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4.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drawings/drawing5.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drawings/drawing6.xml" ContentType="application/vnd.openxmlformats-officedocument.drawing+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7.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drawings/drawing8.xml" ContentType="application/vnd.openxmlformats-officedocument.drawing+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drawings/drawing12.xml" ContentType="application/vnd.openxmlformats-officedocument.drawing+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drawings/drawing13.xml" ContentType="application/vnd.openxmlformats-officedocument.drawing+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drawings/drawing14.xml" ContentType="application/vnd.openxmlformats-officedocument.drawing+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drawings/drawing15.xml" ContentType="application/vnd.openxmlformats-officedocument.drawing+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drawings/drawing16.xml" ContentType="application/vnd.openxmlformats-officedocument.drawing+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updateLinks="never" codeName="ThisWorkbook"/>
  <mc:AlternateContent xmlns:mc="http://schemas.openxmlformats.org/markup-compatibility/2006">
    <mc:Choice Requires="x15">
      <x15ac:absPath xmlns:x15ac="http://schemas.microsoft.com/office/spreadsheetml/2010/11/ac" url="G:\Division\Green Building\Scoring Tools\Bronze Cookbooks\"/>
    </mc:Choice>
  </mc:AlternateContent>
  <xr:revisionPtr revIDLastSave="0" documentId="13_ncr:1_{01473416-5515-4E4E-B358-6C19EF13F6A2}" xr6:coauthVersionLast="47" xr6:coauthVersionMax="47" xr10:uidLastSave="{00000000-0000-0000-0000-000000000000}"/>
  <workbookProtection workbookAlgorithmName="SHA-512" workbookHashValue="O9u9KI1gbQYbZR+pdodAz+/dRfB9qgRu/zSObYViJaivz7h3GAZ3hPKcl05dyCHURNfjm4QKg7syOaIXvuMXqg==" workbookSaltValue="RzRXuWQkxL7H1unwPB8pgw==" workbookSpinCount="100000" lockStructure="1"/>
  <bookViews>
    <workbookView xWindow="-110" yWindow="-110" windowWidth="19420" windowHeight="10420" tabRatio="851" xr2:uid="{00000000-000D-0000-FFFF-FFFF00000000}"/>
  </bookViews>
  <sheets>
    <sheet name="Info &amp; Intro" sheetId="6" r:id="rId1"/>
    <sheet name="Overview (Design)" sheetId="7" r:id="rId2"/>
    <sheet name="Geography" sheetId="4" state="veryHidden" r:id="rId3"/>
    <sheet name="Ch5" sheetId="8" r:id="rId4"/>
    <sheet name="Ch6" sheetId="24" r:id="rId5"/>
    <sheet name="Ch7" sheetId="25" r:id="rId6"/>
    <sheet name="Ch8" sheetId="27" r:id="rId7"/>
    <sheet name="Ch9" sheetId="28" r:id="rId8"/>
    <sheet name="Ch10" sheetId="29" r:id="rId9"/>
    <sheet name="Req. Doc." sheetId="80" r:id="rId10"/>
    <sheet name="Design Summ." sheetId="72" r:id="rId11"/>
    <sheet name="Badges (Design)" sheetId="85" r:id="rId12"/>
    <sheet name="WaterSense (Design)" sheetId="86" r:id="rId13"/>
    <sheet name="GRESB (Design)" sheetId="88" r:id="rId14"/>
    <sheet name="Dropdowns" sheetId="2" state="veryHidden" r:id="rId15"/>
    <sheet name="Points" sheetId="3" state="veryHidden" r:id="rId16"/>
    <sheet name="Formulas" sheetId="10" state="veryHidden" r:id="rId17"/>
    <sheet name="Overview (Verification)" sheetId="23" r:id="rId18"/>
    <sheet name="Photo Review" sheetId="81" state="veryHidden" r:id="rId19"/>
    <sheet name="Verification Report" sheetId="16" r:id="rId20"/>
    <sheet name="Badges (Verification)" sheetId="84" r:id="rId21"/>
    <sheet name="WaterSense (Verification)" sheetId="87" r:id="rId22"/>
    <sheet name="GRESB (Verification)" sheetId="89" r:id="rId23"/>
    <sheet name="Rough Summary" sheetId="17" r:id="rId24"/>
    <sheet name="Final Summary" sheetId="18" r:id="rId25"/>
    <sheet name="Appendix B" sheetId="75" r:id="rId26"/>
    <sheet name="Table 602.1.12" sheetId="30" r:id="rId27"/>
    <sheet name="Table 604.1" sheetId="31" r:id="rId28"/>
    <sheet name="Table 610.1.2.1" sheetId="32" r:id="rId29"/>
    <sheet name="Table 610.1.2.2" sheetId="33" r:id="rId30"/>
    <sheet name="Figure 6(2)" sheetId="34" r:id="rId31"/>
    <sheet name="Figure 6(3)" sheetId="37" r:id="rId32"/>
    <sheet name="Table 701.4.3.2(2)" sheetId="39" r:id="rId33"/>
    <sheet name="Table 703.2.1(a)" sheetId="38" r:id="rId34"/>
    <sheet name="Table 703.2.1(b)" sheetId="40" r:id="rId35"/>
    <sheet name="Table 703.2.2" sheetId="41" r:id="rId36"/>
    <sheet name="Table 703.2.4" sheetId="43" r:id="rId37"/>
    <sheet name="Table 703.2.5.1" sheetId="44" r:id="rId38"/>
    <sheet name="Tables 703.2.5.2(a), (b) &amp; (c)" sheetId="45" r:id="rId39"/>
    <sheet name="Table 703.7.1(7)" sheetId="65" r:id="rId40"/>
    <sheet name="Table 801.1(1)" sheetId="67" r:id="rId41"/>
    <sheet name="Table 801.1(2)" sheetId="68" r:id="rId42"/>
    <sheet name="Table 901.9.1" sheetId="69" r:id="rId43"/>
    <sheet name="Table 901.9.2" sheetId="70" r:id="rId44"/>
    <sheet name="Table 901.10(3)" sheetId="71" r:id="rId45"/>
    <sheet name="Errata" sheetId="21" r:id="rId46"/>
  </sheets>
  <definedNames>
    <definedName name="_xlnm._FilterDatabase" localSheetId="2" hidden="1">Geography!$A$1:$G$3255</definedName>
    <definedName name="_xlnm._FilterDatabase" localSheetId="18" hidden="1">'Photo Review'!$G$6:$G$2468</definedName>
    <definedName name="_xlnm._FilterDatabase" localSheetId="9" hidden="1">'Req. Doc.'!$A$6:$C$3118</definedName>
    <definedName name="_xlnm._FilterDatabase" localSheetId="19" hidden="1">'Verification Report'!$A$7:$H$2457</definedName>
    <definedName name="Ch10Add">Points!$M$20</definedName>
    <definedName name="Ch10AddFinal">Points!$V$20</definedName>
    <definedName name="Ch10AddGoal">Points!$X$20</definedName>
    <definedName name="Ch10GLevFinal">Points!$AA$20</definedName>
    <definedName name="Ch10Level">Points!$R$20</definedName>
    <definedName name="Ch10LevelFinal">Points!$AC$20</definedName>
    <definedName name="Ch10NLev">Points!$P$20</definedName>
    <definedName name="Ch10Points">Points!$H$20</definedName>
    <definedName name="Ch10PointsFinal">Points!$T$20</definedName>
    <definedName name="Ch5Add" localSheetId="15">Points!$M$15</definedName>
    <definedName name="Ch5AddFinal">Points!$V$15</definedName>
    <definedName name="Ch5AddGoal">Points!$X$15</definedName>
    <definedName name="Ch5Error">'Ch5'!$AI$3</definedName>
    <definedName name="Ch5GLevFinal">Points!$AA$15</definedName>
    <definedName name="Ch5Level" localSheetId="15">Points!$R$15</definedName>
    <definedName name="Ch5LevelFinal">Points!$AC$15</definedName>
    <definedName name="Ch5MandError">'Ch5'!$AG$3</definedName>
    <definedName name="Ch5NLev" localSheetId="15">Points!$P$15</definedName>
    <definedName name="Ch5Points" localSheetId="15">Points!$H$15</definedName>
    <definedName name="Ch5PointsFinal">Points!$T$15</definedName>
    <definedName name="Ch6Add">Points!$M$16</definedName>
    <definedName name="Ch6AddFinal">Points!$V$16</definedName>
    <definedName name="Ch6AddGoal">Points!$X$16</definedName>
    <definedName name="Ch6GLevFinal">Points!$AA$16</definedName>
    <definedName name="Ch6Level">Points!$R$16</definedName>
    <definedName name="Ch6LevelFinal">Points!$AC$16</definedName>
    <definedName name="Ch6NLev">Points!$P$16</definedName>
    <definedName name="Ch6Points">Points!$H$16</definedName>
    <definedName name="Ch6PointsFinal">Points!$T$16</definedName>
    <definedName name="Ch7Add">Points!$M$17</definedName>
    <definedName name="Ch7AddFinal">Points!$V$17</definedName>
    <definedName name="Ch7AddGoal">Points!$X$17</definedName>
    <definedName name="Ch7GLevFinal">Points!$AA$17</definedName>
    <definedName name="Ch7Level">Points!$R$17</definedName>
    <definedName name="Ch7LevelFinal">Points!$AC$17</definedName>
    <definedName name="Ch7Max">Points!$N$10</definedName>
    <definedName name="Ch7NLev">Points!$P$17</definedName>
    <definedName name="Ch7Path">Points!$N$9</definedName>
    <definedName name="Ch7Points">Points!$H$17</definedName>
    <definedName name="Ch7PointsFinal">Points!$T$17</definedName>
    <definedName name="Ch8Add">Points!$M$18</definedName>
    <definedName name="Ch8AddFinal">Points!$V$18</definedName>
    <definedName name="Ch8AddGoal">Points!$X$18</definedName>
    <definedName name="Ch8GLevFinal">Points!$AA$18</definedName>
    <definedName name="Ch8Level">Points!$R$18</definedName>
    <definedName name="Ch8LevelFinal">Points!$AC$18</definedName>
    <definedName name="Ch8Max">Points!$N$12</definedName>
    <definedName name="Ch8NLev">Points!$P$18</definedName>
    <definedName name="Ch8Points">Points!$H$18</definedName>
    <definedName name="Ch8PointsFinal">Points!$T$18</definedName>
    <definedName name="Ch9Add">Points!$M$19</definedName>
    <definedName name="Ch9AddFinal">Points!$V$19</definedName>
    <definedName name="Ch9AddGoal">Points!$X$19</definedName>
    <definedName name="Ch9GLevFinal">Points!$AA$19</definedName>
    <definedName name="Ch9Level">Points!$R$19</definedName>
    <definedName name="Ch9LevelFinal">Points!$AC$19</definedName>
    <definedName name="Ch9NLev">Points!$P$19</definedName>
    <definedName name="Ch9Points">Points!$H$19</definedName>
    <definedName name="Ch9PointsFinal">Points!$T$19</definedName>
    <definedName name="codChapter10">'Ch10'!$H$9:$H$214</definedName>
    <definedName name="codChapter5">'Ch5'!$H$9:$H$305</definedName>
    <definedName name="codChapter6">'Ch6'!$H$9:$H$544</definedName>
    <definedName name="codChapter7">'Ch7'!$H$9:$H$745</definedName>
    <definedName name="codChapter8">'Ch8'!$H$9:$H$235</definedName>
    <definedName name="codChapter9">'Ch9'!$H$9:$H$372</definedName>
    <definedName name="dbState">Geography!$A$1:$H$3255</definedName>
    <definedName name="dch1001_1_1">'Ch10'!$AQ$15</definedName>
    <definedName name="dch1001_1_10">'Ch10'!$AQ$30</definedName>
    <definedName name="dch1001_1_11">'Ch10'!$AQ$31</definedName>
    <definedName name="dch1001_1_12">'Ch10'!$AQ$32</definedName>
    <definedName name="dch1001_1_13">'Ch10'!$AQ$38</definedName>
    <definedName name="dch1001_1_14">'Ch10'!$AQ$42</definedName>
    <definedName name="dch1001_1_15">'Ch10'!$AQ$44</definedName>
    <definedName name="dch1001_1_16">'Ch10'!$AQ$46</definedName>
    <definedName name="dch1001_1_17">'Ch10'!$AQ$47</definedName>
    <definedName name="dch1001_1_18">'Ch10'!$AQ$49</definedName>
    <definedName name="dch1001_1_19">'Ch10'!$AQ$51</definedName>
    <definedName name="dch1001_1_2">'Ch10'!$AQ$16</definedName>
    <definedName name="dch1001_1_20">'Ch10'!$AQ$52</definedName>
    <definedName name="dch1001_1_21">'Ch10'!$AQ$54</definedName>
    <definedName name="dch1001_1_22">'Ch10'!$AQ$56</definedName>
    <definedName name="dch1001_1_23">'Ch10'!$AQ$58</definedName>
    <definedName name="dch1001_1_24">'Ch10'!$AQ$59</definedName>
    <definedName name="dch1001_1_3">'Ch10'!$AQ$17</definedName>
    <definedName name="dch1001_1_4">'Ch10'!$AQ$21</definedName>
    <definedName name="dch1001_1_5">'Ch10'!$AQ$22</definedName>
    <definedName name="dch1001_1_6">'Ch10'!$AQ$23</definedName>
    <definedName name="dch1001_1_7">'Ch10'!$AQ$25</definedName>
    <definedName name="dch1001_1_8">'Ch10'!$AQ$27</definedName>
    <definedName name="dch1001_1_9">'Ch10'!$AQ$28</definedName>
    <definedName name="dch1001_2">'Ch10'!$AQ$60</definedName>
    <definedName name="dch1002_1_1">'Ch10'!$AQ$82</definedName>
    <definedName name="dch1002_1_2">'Ch10'!$AQ$85</definedName>
    <definedName name="dch1002_1_3">'Ch10'!$AQ$88</definedName>
    <definedName name="dch1002_1_4">'Ch10'!$AQ$90</definedName>
    <definedName name="dch1002_1_5">'Ch10'!$AQ$91</definedName>
    <definedName name="dch1002_1_6">'Ch10'!$AQ$93</definedName>
    <definedName name="dch1002_1_7">'Ch10'!$AQ$94</definedName>
    <definedName name="dch1002_1_8">'Ch10'!$AQ$95</definedName>
    <definedName name="dch1002_2_1">'Ch10'!$AQ$101</definedName>
    <definedName name="dch1002_2_10">'Ch10'!$AQ$119</definedName>
    <definedName name="dch1002_2_11">'Ch10'!$AQ$122</definedName>
    <definedName name="dch1002_2_2">'Ch10'!$AQ$103</definedName>
    <definedName name="dch1002_2_3">'Ch10'!$AQ$106</definedName>
    <definedName name="dch1002_2_4">'Ch10'!$AQ$108</definedName>
    <definedName name="dch1002_2_5">'Ch10'!$AQ$111</definedName>
    <definedName name="dch1002_2_6">'Ch10'!$AQ$113</definedName>
    <definedName name="dch1002_2_7">'Ch10'!$AQ$114</definedName>
    <definedName name="dch1002_2_8">'Ch10'!$AQ$116</definedName>
    <definedName name="dch1002_2_9">'Ch10'!$AQ$118</definedName>
    <definedName name="dch1002_3_1">'Ch10'!$AQ$128</definedName>
    <definedName name="dch1002_3_10">'Ch10'!$AQ$149</definedName>
    <definedName name="dch1002_3_11">'Ch10'!$AQ$150</definedName>
    <definedName name="dch1002_3_2">'Ch10'!$AQ$130</definedName>
    <definedName name="dch1002_3_3">'Ch10'!$AQ$134</definedName>
    <definedName name="dch1002_3_4">'Ch10'!$AQ$141</definedName>
    <definedName name="dch1002_3_5">'Ch10'!$AQ$143</definedName>
    <definedName name="dch1002_3_6">'Ch10'!$AQ$144</definedName>
    <definedName name="dch1002_3_7">'Ch10'!$AQ$146</definedName>
    <definedName name="dch1002_3_8">'Ch10'!$AQ$147</definedName>
    <definedName name="dch1002_3_9">'Ch10'!$AQ$148</definedName>
    <definedName name="dch1002_4">'Ch10'!$AQ$152</definedName>
    <definedName name="dch1002_5_1">'Ch10'!$AQ$167</definedName>
    <definedName name="dch1002_5_2">'Ch10'!$AQ$168</definedName>
    <definedName name="dch1002_5_3">'Ch10'!$AQ$169</definedName>
    <definedName name="dch1002_5_4">'Ch10'!$AQ$171</definedName>
    <definedName name="dch1002_5_5">'Ch10'!$AQ$172</definedName>
    <definedName name="dch1002_5_6">'Ch10'!$AQ$173</definedName>
    <definedName name="dch1002_5_7">'Ch10'!$AQ$174</definedName>
    <definedName name="dch1002_5_8">'Ch10'!$AQ$175</definedName>
    <definedName name="dch1002_5_9">'Ch10'!$AQ$176</definedName>
    <definedName name="dch1002_6_1">'Ch10'!$AQ$181</definedName>
    <definedName name="dch1002_6_2">'Ch10'!$AQ$182</definedName>
    <definedName name="dch1002_6_3">'Ch10'!$AQ$183</definedName>
    <definedName name="dch1002_6_4">'Ch10'!$AQ$184</definedName>
    <definedName name="dch1002_6_5">'Ch10'!$AQ$185</definedName>
    <definedName name="dch1002_6_6">'Ch10'!$AQ$186</definedName>
    <definedName name="dch1002_6_7">'Ch10'!$AQ$187</definedName>
    <definedName name="dch1003_1_1">'Ch10'!$AQ$193</definedName>
    <definedName name="dch1003_1_2">'Ch10'!$AQ$195</definedName>
    <definedName name="dch1003_1_3">'Ch10'!$AQ$198</definedName>
    <definedName name="dch1004_1_1">'Ch10'!$AQ$211</definedName>
    <definedName name="dch1004_1_2">'Ch10'!$AQ$213</definedName>
    <definedName name="dch1005_1_1">'Ch10'!$AQ$217</definedName>
    <definedName name="dch1005_1_2">'Ch10'!$AQ$220</definedName>
    <definedName name="dch501_1_1">'Ch5'!$AQ$15</definedName>
    <definedName name="dch501_1_2_a">'Ch5'!$AQ$17</definedName>
    <definedName name="dch501_1_2_b">'Ch5'!$AQ$18</definedName>
    <definedName name="dch501_1_2_c">'Ch5'!$AQ$19</definedName>
    <definedName name="dch501_2_1">'Ch5'!$AQ$22</definedName>
    <definedName name="dch501_2_2">'Ch5'!$AQ$24</definedName>
    <definedName name="dch501_2_3">'Ch5'!$AQ$26</definedName>
    <definedName name="dch501_2_4">'Ch5'!$AQ$28</definedName>
    <definedName name="dch501_2_4_1">'Ch5'!$AQ$38</definedName>
    <definedName name="dch501_2_5">'Ch5'!$AQ$43</definedName>
    <definedName name="dch501_2_6">'Ch5'!$AQ$46</definedName>
    <definedName name="dch501_2_6_d">'Ch5'!$AQ$51</definedName>
    <definedName name="dch501_2_7">'Ch5'!$AQ$53</definedName>
    <definedName name="dch501_2_8">'Ch5'!$AQ$56</definedName>
    <definedName name="dch502_1">'Ch5'!$AQ$59</definedName>
    <definedName name="dch503_1_1">'Ch5'!$AQ$70</definedName>
    <definedName name="dch503_1_2">'Ch5'!$AQ$72</definedName>
    <definedName name="dch503_1_3">'Ch5'!$AQ$74</definedName>
    <definedName name="dch503_1_4">'Ch5'!$AQ$76</definedName>
    <definedName name="dch503_1_5">'Ch5'!$AQ$78</definedName>
    <definedName name="dch503_1_6">'Ch5'!$AQ$80</definedName>
    <definedName name="dch503_1_7">'Ch5'!$AQ$82</definedName>
    <definedName name="dch503_1_8">'Ch5'!$AQ$84</definedName>
    <definedName name="dch503_2">'Ch5'!$AQ$90</definedName>
    <definedName name="dch503_2_1">'Ch5'!$AQ$91</definedName>
    <definedName name="dch503_2_2">'Ch5'!$AQ$92</definedName>
    <definedName name="dch503_2_3">'Ch5'!$AQ$94</definedName>
    <definedName name="dch503_2_4">'Ch5'!$AQ$99</definedName>
    <definedName name="dch503_2_5">'Ch5'!$AQ$101</definedName>
    <definedName name="dch503_3_1">'Ch5'!$AQ$105</definedName>
    <definedName name="dch503_3_2_a">'Ch5'!$AQ$109</definedName>
    <definedName name="dch503_3_2_b">'Ch5'!$AQ$110</definedName>
    <definedName name="dch503_3_2_c">'Ch5'!$AQ$112</definedName>
    <definedName name="dch503_3_2_d">'Ch5'!$AQ$113</definedName>
    <definedName name="dch503_3_3">'Ch5'!$AQ$114</definedName>
    <definedName name="dch503_4_1">'Ch5'!$AQ$122</definedName>
    <definedName name="dch503_4_2">'Ch5'!$AQ$125</definedName>
    <definedName name="dch503_4_3">'Ch5'!$AQ$129</definedName>
    <definedName name="dch503_4_4">'Ch5'!$AQ$136</definedName>
    <definedName name="dch503_4_4_c_1">'Ch5'!$AQ$141</definedName>
    <definedName name="dch503_4_5">'Ch5'!$AQ$143</definedName>
    <definedName name="dch503_5">'Ch5'!$AQ$148</definedName>
    <definedName name="dch503_5_1">'Ch5'!$AQ$150</definedName>
    <definedName name="dch503_5_10">'Ch5'!$AQ$179</definedName>
    <definedName name="dch503_5_11">'Ch5'!$AQ$182</definedName>
    <definedName name="dch503_5_12">'Ch5'!$AQ$184</definedName>
    <definedName name="dch503_5_13">'Ch5'!$AQ$186</definedName>
    <definedName name="dch503_5_2">'Ch5'!$AQ$156</definedName>
    <definedName name="dch503_5_3">'Ch5'!$AQ$158</definedName>
    <definedName name="dch503_5_4">'Ch5'!$AQ$161</definedName>
    <definedName name="dch503_5_5">'Ch5'!$AQ$163</definedName>
    <definedName name="dch503_5_6">'Ch5'!$AQ$166</definedName>
    <definedName name="dch503_5_7">'Ch5'!$AQ$171</definedName>
    <definedName name="dch503_5_8">'Ch5'!$AQ$172</definedName>
    <definedName name="dch503_5_9">'Ch5'!$AQ$177</definedName>
    <definedName name="dch503_6_1">'Ch5'!$AQ$190</definedName>
    <definedName name="dch503_6_2">'Ch5'!$AQ$191</definedName>
    <definedName name="dch503_6_3">'Ch5'!$AQ$192</definedName>
    <definedName name="dch503_6_4">'Ch5'!$AQ$194</definedName>
    <definedName name="dch503_7">'Ch5'!$AQ$195</definedName>
    <definedName name="dch503_8">'Ch5'!$AQ$202</definedName>
    <definedName name="dch504_1">'Ch5'!$AQ$209</definedName>
    <definedName name="dch504_2_1">'Ch5'!$AQ$216</definedName>
    <definedName name="dch504_2_2">'Ch5'!$AQ$217</definedName>
    <definedName name="dch504_2_3">'Ch5'!$AQ$219</definedName>
    <definedName name="dch504_3_1">'Ch5'!$AQ$224</definedName>
    <definedName name="dch504_3_2">'Ch5'!$AQ$226</definedName>
    <definedName name="dch504_3_3">'Ch5'!$AQ$227</definedName>
    <definedName name="dch504_3_4">'Ch5'!$AQ$229</definedName>
    <definedName name="dch504_3_5">'Ch5'!$AQ$231</definedName>
    <definedName name="dch504_3_6">'Ch5'!$AQ$235</definedName>
    <definedName name="dch504_3_7">'Ch5'!$AQ$238</definedName>
    <definedName name="dch504_3_8a">'Ch5'!$AQ$240</definedName>
    <definedName name="dch504_3_8b">'Ch5'!$AQ$241</definedName>
    <definedName name="dch504_3_8c">'Ch5'!$AQ$242</definedName>
    <definedName name="dch504_3_8d">'Ch5'!$AQ$243</definedName>
    <definedName name="dch504_3_8e">'Ch5'!$AQ$244</definedName>
    <definedName name="dch504_3_8f">'Ch5'!$AQ$245</definedName>
    <definedName name="dch504_3_9">'Ch5'!$AQ$247</definedName>
    <definedName name="dch505_1_1">'Ch5'!$AQ$254</definedName>
    <definedName name="dch505_1_2">'Ch5'!$AQ$256</definedName>
    <definedName name="dch505_1_3">'Ch5'!$AQ$258</definedName>
    <definedName name="dch505_10_a">'Ch5'!$AQ$322</definedName>
    <definedName name="dch505_10_b">'Ch5'!$AQ$324</definedName>
    <definedName name="dch505_10_c">'Ch5'!$AQ$326</definedName>
    <definedName name="dch505_2_1_a">'Ch5'!$AQ$265</definedName>
    <definedName name="dch505_2_1_b">'Ch5'!$AQ$268</definedName>
    <definedName name="dch505_2_1_c">'Ch5'!$AQ$272</definedName>
    <definedName name="dch505_2_2">'Ch5'!$AQ$273</definedName>
    <definedName name="dch505_3_1">'Ch5'!$AQ$277</definedName>
    <definedName name="dch505_4_1">'Ch5'!$AQ$283</definedName>
    <definedName name="dch505_5_a">'Ch5'!$AQ$287</definedName>
    <definedName name="dch505_5_b">'Ch5'!$AQ$289</definedName>
    <definedName name="dch505_5_c">'Ch5'!$AQ$292</definedName>
    <definedName name="dch505_5_d">'Ch5'!$AQ$293</definedName>
    <definedName name="dch505_6">'Ch5'!$AQ$295</definedName>
    <definedName name="dch505_7">'Ch5'!$AQ$306</definedName>
    <definedName name="dch505_8">'Ch5'!$AQ$310</definedName>
    <definedName name="dch505_9_a">'Ch5'!$AQ$313</definedName>
    <definedName name="dch505_9_b">'Ch5'!$AQ$316</definedName>
    <definedName name="dch505_9_c">'Ch5'!$AQ$317</definedName>
    <definedName name="dch601_2_1">'Ch6'!$AQ$31</definedName>
    <definedName name="dch601_2_2">'Ch6'!$AQ$34</definedName>
    <definedName name="dch601_2_3">'Ch6'!$AQ$37</definedName>
    <definedName name="dch601_3_1">'Ch6'!$AQ$41</definedName>
    <definedName name="dch601_3_2">'Ch6'!$AQ$42</definedName>
    <definedName name="dch601_3_3">'Ch6'!$AQ$43</definedName>
    <definedName name="dch601_3_4">'Ch6'!$AQ$44</definedName>
    <definedName name="dch601_3_5">'Ch6'!$AQ$45</definedName>
    <definedName name="dch601_4">'Ch6'!$AQ$46</definedName>
    <definedName name="dch601_5_1">'Ch6'!$AQ$52</definedName>
    <definedName name="dch601_5_2">'Ch6'!$AQ$53</definedName>
    <definedName name="dch601_5_3">'Ch6'!$AQ$54</definedName>
    <definedName name="dch601_5_4">'Ch6'!$AQ$55</definedName>
    <definedName name="dch601_5_5">'Ch6'!$AQ$56</definedName>
    <definedName name="dch601_7_a">'Ch6'!$AQ$65</definedName>
    <definedName name="dch601_7_b">'Ch6'!$AQ$66</definedName>
    <definedName name="dch601_7_c">'Ch6'!$AQ$67</definedName>
    <definedName name="dch601_7_d">'Ch6'!$AQ$71</definedName>
    <definedName name="dch601_7_e">'Ch6'!$AQ$73</definedName>
    <definedName name="dch601_8">'Ch6'!$AQ$80</definedName>
    <definedName name="dch602_1_1_1">'Ch6'!$AQ$93</definedName>
    <definedName name="dch602_1_1_2">'Ch6'!$AQ$96</definedName>
    <definedName name="dch602_1_10">'Ch6'!$AQ$193</definedName>
    <definedName name="dch602_1_11">'Ch6'!$AQ$205</definedName>
    <definedName name="dch602_1_12">'Ch6'!$AQ$207</definedName>
    <definedName name="dch602_1_13">'Ch6'!$AQ$210</definedName>
    <definedName name="dch602_1_14_1">'Ch6'!$AQ$216</definedName>
    <definedName name="dch602_1_14_2">'Ch6'!$AQ$218</definedName>
    <definedName name="dch602_1_14_3">'Ch6'!$AQ$219</definedName>
    <definedName name="dch602_1_15">'Ch6'!$AQ$220</definedName>
    <definedName name="dch602_1_2__1">'Ch6'!$AQ$100</definedName>
    <definedName name="dch602_1_2__2">'Ch6'!$AQ$101</definedName>
    <definedName name="dch602_1_3_1">'Ch6'!$AQ$103</definedName>
    <definedName name="dch602_1_3_2">'Ch6'!$AQ$105</definedName>
    <definedName name="dch602_1_4_1_1">'Ch6'!$AQ$111</definedName>
    <definedName name="dch602_1_4_1_2">'Ch6'!$AQ$113</definedName>
    <definedName name="dch602_1_4_2_1">'Ch6'!$AQ$117</definedName>
    <definedName name="dch602_1_4_2_2">'Ch6'!$AQ$119</definedName>
    <definedName name="dch602_1_5">'Ch6'!$AQ$122</definedName>
    <definedName name="dch602_1_5_1">'Ch6'!$AQ$123</definedName>
    <definedName name="dch602_1_5_2">'Ch6'!$AQ$125</definedName>
    <definedName name="dch602_1_6_1">'Ch6'!$AQ$131</definedName>
    <definedName name="dch602_1_6_2">'Ch6'!$AQ$135</definedName>
    <definedName name="dch602_1_6_3">'Ch6'!$AQ$139</definedName>
    <definedName name="dch602_1_7_1_1">'Ch6'!$AQ$144</definedName>
    <definedName name="dch602_1_7_1_2">'Ch6'!$AQ$146</definedName>
    <definedName name="dch602_1_7_1_3">'Ch6'!$AQ$149</definedName>
    <definedName name="dch602_1_7_2">'Ch6'!$AQ$151</definedName>
    <definedName name="dch602_1_7_3">'Ch6'!$AQ$153</definedName>
    <definedName name="dch602_1_8">'Ch6'!$AQ$157</definedName>
    <definedName name="dch602_1_9_1">'Ch6'!$AQ$165</definedName>
    <definedName name="dch602_1_9_2">'Ch6'!$AQ$175</definedName>
    <definedName name="dch602_1_9_3">'Ch6'!$AQ$178</definedName>
    <definedName name="dch602_1_9_4">'Ch6'!$AQ$179</definedName>
    <definedName name="dch602_1_9_5">'Ch6'!$AQ$183</definedName>
    <definedName name="dch602_1_9_6">'Ch6'!$AQ$189</definedName>
    <definedName name="dch602_1_9_7">'Ch6'!$AQ$191</definedName>
    <definedName name="dch602_2_1">'Ch6'!$AQ$227</definedName>
    <definedName name="dch602_2_2">'Ch6'!$AQ$229</definedName>
    <definedName name="dch602_2_3">'Ch6'!$AQ$230</definedName>
    <definedName name="dch602_3">'Ch6'!$AQ$233</definedName>
    <definedName name="dch602_4_1">'Ch6'!$AQ$237</definedName>
    <definedName name="dch602_4_2">'Ch6'!$AQ$242</definedName>
    <definedName name="dch602_4_3">'Ch6'!$AQ$244</definedName>
    <definedName name="dch603_1">'Ch6'!$AQ$248</definedName>
    <definedName name="dch603_2">'Ch6'!$AQ$254</definedName>
    <definedName name="dch603_3">'Ch6'!$AQ$261</definedName>
    <definedName name="dch604_1a">'Ch6'!$AQ$266</definedName>
    <definedName name="dch604_1b">'Ch6'!$AQ$268</definedName>
    <definedName name="dch604_1c">'Ch6'!$AQ$270</definedName>
    <definedName name="dch604_1d">'Ch6'!$AQ$272</definedName>
    <definedName name="dch605_1">'Ch6'!$AQ$275</definedName>
    <definedName name="dch605_2">'Ch6'!$AQ$278</definedName>
    <definedName name="dch605_2_2">'Ch6'!$AQ$291</definedName>
    <definedName name="dch605_3">'Ch6'!$AQ$293</definedName>
    <definedName name="dch605_4_2_a">'Ch6'!$AQ$306</definedName>
    <definedName name="dch605_4_2_b">'Ch6'!$AQ$307</definedName>
    <definedName name="dch605_4_2_c">'Ch6'!$AQ$308</definedName>
    <definedName name="dch605_4_2_d">'Ch6'!$AQ$309</definedName>
    <definedName name="dch605_4_2_e">'Ch6'!$AQ$310</definedName>
    <definedName name="dch605_4_2_f">'Ch6'!$AQ$311</definedName>
    <definedName name="dch605_4_2_g">'Ch6'!$AQ$312</definedName>
    <definedName name="dch605_4_2_h">'Ch6'!$AQ$313</definedName>
    <definedName name="dch605_4_2_i">'Ch6'!$AQ$314</definedName>
    <definedName name="dch606_1_a">'Ch6'!$AQ$319</definedName>
    <definedName name="dch606_1_b">'Ch6'!$AQ$320</definedName>
    <definedName name="dch606_1_c">'Ch6'!$AQ$321</definedName>
    <definedName name="dch606_1_d">'Ch6'!$AQ$322</definedName>
    <definedName name="dch606_1_e">'Ch6'!$AQ$323</definedName>
    <definedName name="dch606_1_f">'Ch6'!$AQ$324</definedName>
    <definedName name="dch606_1_g">'Ch6'!$AQ$325</definedName>
    <definedName name="dch606_1_h">'Ch6'!$AQ$326</definedName>
    <definedName name="dch606_2_1a">'Ch6'!$AQ$350</definedName>
    <definedName name="dch606_2_1b">'Ch6'!$AQ$351</definedName>
    <definedName name="dch606_2_2a">'Ch6'!$AQ$353</definedName>
    <definedName name="dch606_2_2b">'Ch6'!$AQ$354</definedName>
    <definedName name="dch606_3">'Ch6'!$AQ$356</definedName>
    <definedName name="dch607_1_1">'Ch6'!$AQ$365</definedName>
    <definedName name="dch607_1_2">'Ch6'!$AQ$370</definedName>
    <definedName name="dch607_2">'Ch6'!$AQ$376</definedName>
    <definedName name="dch608_1">'Ch6'!$AQ$379</definedName>
    <definedName name="dch609_1_1">'Ch6'!$AQ$390</definedName>
    <definedName name="dch609_1_2">'Ch6'!$AQ$392</definedName>
    <definedName name="dch610_1_1_1">'Ch6'!$AQ$409</definedName>
    <definedName name="dch610_1_1_2">'Ch6'!$AQ$418</definedName>
    <definedName name="dch610_1_1_3">'Ch6'!$AQ$426</definedName>
    <definedName name="dch610_1_2_1a">'Ch6'!$AQ$434</definedName>
    <definedName name="dch610_1_2_1b">'Ch6'!$AQ$441</definedName>
    <definedName name="dch610_1_2_2_f">'Ch6'!$AQ$466</definedName>
    <definedName name="dch610_1_2_2a">'Ch6'!$AQ$447</definedName>
    <definedName name="dch610_1_2_2b">'Ch6'!$AQ$454</definedName>
    <definedName name="dch610_1_2_2c">'Ch6'!$AQ$460</definedName>
    <definedName name="dch611_1_1">'Ch6'!$AQ$478</definedName>
    <definedName name="dch611_1_2">'Ch6'!$AQ$489</definedName>
    <definedName name="dch612_1">'Ch6'!$AQ$495</definedName>
    <definedName name="dch612_2_1">'Ch6'!$AQ$506</definedName>
    <definedName name="dch612_2_2">'Ch6'!$AQ$507</definedName>
    <definedName name="dch612_2_3">'Ch6'!$AQ$509</definedName>
    <definedName name="dch612_2_4">'Ch6'!$AQ$511</definedName>
    <definedName name="dch612_2_5">'Ch6'!$AQ$513</definedName>
    <definedName name="dch612_2_6">'Ch6'!$AQ$515</definedName>
    <definedName name="dch612_2_7">'Ch6'!$AQ$517</definedName>
    <definedName name="dch612_3_1">'Ch6'!$AQ$521</definedName>
    <definedName name="dch612_3_2">'Ch6'!$AQ$526</definedName>
    <definedName name="dch612_3_3">'Ch6'!$AQ$530</definedName>
    <definedName name="dch612_3_4">'Ch6'!$AQ$532</definedName>
    <definedName name="dch612_3_5">'Ch6'!$AQ$534</definedName>
    <definedName name="dch612_3_6">'Ch6'!$AQ$535</definedName>
    <definedName name="dch612_3_7">'Ch6'!$AQ$536</definedName>
    <definedName name="dch612_3_8">'Ch6'!$AQ$540</definedName>
    <definedName name="dch612_3_9">'Ch6'!$AQ$542</definedName>
    <definedName name="dch613_1">'Ch6'!$AQ$546</definedName>
    <definedName name="dch701_1">'Ch7'!$AQ$12</definedName>
    <definedName name="dch701_1_">'Ch7'!$AQ$14</definedName>
    <definedName name="dch701_1_4">'Ch7'!$AQ$28</definedName>
    <definedName name="dch701_1_4_">'Ch7'!$AQ$30</definedName>
    <definedName name="dch701_1_6_1">'Ch7'!$AQ$41</definedName>
    <definedName name="dch701_1_6_2">'Ch7'!$AQ$42</definedName>
    <definedName name="dch701_1_6_3">'Ch7'!$AQ$44</definedName>
    <definedName name="dch701_1_6_4">'Ch7'!$AQ$45</definedName>
    <definedName name="dch701_1_6_5">'Ch7'!$AQ$47</definedName>
    <definedName name="dch701_1_6_6_a">'Ch7'!$AQ$50</definedName>
    <definedName name="dch701_1_6_6_b">'Ch7'!$AQ$51</definedName>
    <definedName name="dch701_1_6_6_c">'Ch7'!$AQ$52</definedName>
    <definedName name="dch701_1_6_7_a">'Ch7'!$AQ$54</definedName>
    <definedName name="dch701_1_6_7_b">'Ch7'!$AQ$55</definedName>
    <definedName name="dch701_1_6_7_c">'Ch7'!$AQ$56</definedName>
    <definedName name="dch701_1_6_8">'Ch7'!$AQ$57</definedName>
    <definedName name="dch701_1_6_9">'Ch7'!$AQ$59</definedName>
    <definedName name="dch701_3">'Ch7'!$AQ$63</definedName>
    <definedName name="dch701_4_1">'Ch7'!$AQ$77</definedName>
    <definedName name="dch701_4_1_1">'Ch7'!$AQ$68</definedName>
    <definedName name="dch701_4_1_2">'Ch7'!$AQ$71</definedName>
    <definedName name="dch701_4_2_2">'Ch7'!$AQ$80</definedName>
    <definedName name="dch701_4_2_3">'Ch7'!$AQ$81</definedName>
    <definedName name="dch701_4_3_1">'Ch7'!$AQ$85</definedName>
    <definedName name="dch701_4_3_1_a">'Ch7'!$AQ$88</definedName>
    <definedName name="dch701_4_3_1_b">'Ch7'!$AQ$89</definedName>
    <definedName name="dch701_4_3_1_c">'Ch7'!$AQ$90</definedName>
    <definedName name="dch701_4_3_1_d">'Ch7'!$AQ$91</definedName>
    <definedName name="dch701_4_3_1_e">'Ch7'!$AQ$92</definedName>
    <definedName name="dch701_4_3_1_f">'Ch7'!$AQ$93</definedName>
    <definedName name="dch701_4_3_1_g">'Ch7'!$AQ$94</definedName>
    <definedName name="dch701_4_3_1_h">'Ch7'!$AQ$95</definedName>
    <definedName name="dch701_4_3_1_i">'Ch7'!$AQ$96</definedName>
    <definedName name="dch701_4_3_1_j">'Ch7'!$AQ$97</definedName>
    <definedName name="dch701_4_3_1_k">'Ch7'!$AQ$98</definedName>
    <definedName name="dch701_4_3_1_l">'Ch7'!$AQ$99</definedName>
    <definedName name="dch701_4_3_1_m">'Ch7'!$AQ$100</definedName>
    <definedName name="dch701_4_3_2_1">'Ch7'!$AQ$124</definedName>
    <definedName name="dch701_4_3_2_1_">'Ch7'!$AQ$105</definedName>
    <definedName name="dch701_4_3_2_2">'Ch7'!$AQ$121</definedName>
    <definedName name="dch701_4_3_2e">'Ch7'!$AQ$108</definedName>
    <definedName name="dch701_4_3_4">'Ch7'!$AQ$150</definedName>
    <definedName name="dch701_4_3_5">'Ch7'!$AQ$160</definedName>
    <definedName name="dch701_4_4_1">'Ch7'!$AQ$170</definedName>
    <definedName name="dch701_4_4_2">'Ch7'!$AQ$172</definedName>
    <definedName name="dch701_4_5">'Ch7'!$AQ$173</definedName>
    <definedName name="dch702_2_1">'Ch7'!$AQ$179</definedName>
    <definedName name="dch702_2_2">'Ch7'!$AQ$185</definedName>
    <definedName name="dch703_1_1">'Ch7'!$AQ$196</definedName>
    <definedName name="dch703_1_2">'Ch7'!$AQ$211</definedName>
    <definedName name="dch703_1_3">'Ch7'!$AQ$214</definedName>
    <definedName name="dch703_1_3_1">'Ch7'!$AQ$216</definedName>
    <definedName name="dch703_1_3_2">'Ch7'!$AQ$218</definedName>
    <definedName name="dch703_2_1">'Ch7'!$AQ$220</definedName>
    <definedName name="dch703_2_1_2">'Ch7'!$AQ$222</definedName>
    <definedName name="dch703_2_2">'Ch7'!$AQ$228</definedName>
    <definedName name="dch703_2_3">'Ch7'!$AQ$229</definedName>
    <definedName name="dch703_2_5_1">'Ch7'!$AQ$236</definedName>
    <definedName name="dch703_2_5_1_1">'Ch7'!$AQ$244</definedName>
    <definedName name="dch703_2_5_2">'Ch7'!$AQ$252</definedName>
    <definedName name="dch703_2_5_2_1">'Ch7'!$AQ$260</definedName>
    <definedName name="dch703_3_0_1">'Ch7'!$AQ$271</definedName>
    <definedName name="dch703_3_0_2">'Ch7'!$AQ$278</definedName>
    <definedName name="dch703_3_1">'Ch7'!$AQ$284</definedName>
    <definedName name="dch703_3_2__1_1">'Ch7'!$AQ$291</definedName>
    <definedName name="dch703_3_2__2_1">'Ch7'!$AQ$297</definedName>
    <definedName name="dch703_3_2__3_1">'Ch7'!$AQ$300</definedName>
    <definedName name="dch703_3_2__4_1">'Ch7'!$AQ$305</definedName>
    <definedName name="dch703_3_3__1_1">'Ch7'!$AQ$311</definedName>
    <definedName name="dch703_3_3__2">'Ch7'!$AQ$316</definedName>
    <definedName name="dch703_3_3__3">'Ch7'!$AQ$318</definedName>
    <definedName name="dch703_3_4_1_1">'Ch7'!$AQ$323</definedName>
    <definedName name="dch703_3_4_1_6">'Ch7'!$AQ$328</definedName>
    <definedName name="dch703_3_4_2">'Ch7'!$AQ$330</definedName>
    <definedName name="dch703_3_5">'Ch7'!$AQ$331</definedName>
    <definedName name="dch703_3_6">'Ch7'!$AQ$336</definedName>
    <definedName name="dch703_3_7_1">'Ch7'!$AQ$341</definedName>
    <definedName name="dch703_3_7_2">'Ch7'!$AQ$343</definedName>
    <definedName name="dch703_3_8">'Ch7'!$AQ$348</definedName>
    <definedName name="dch703_4_1">'Ch7'!$AQ$354</definedName>
    <definedName name="dch703_4_2">'Ch7'!$AQ$356</definedName>
    <definedName name="dch703_4_3_1">'Ch7'!$AQ$359</definedName>
    <definedName name="dch703_4_3_2">'Ch7'!$AQ$360</definedName>
    <definedName name="dch703_4_3_3">'Ch7'!$AQ$362</definedName>
    <definedName name="dch703_4_4">'Ch7'!$AQ$364</definedName>
    <definedName name="dch703_5_1">'Ch7'!$AQ$375</definedName>
    <definedName name="dch703_5_1_1">'Ch7'!$AQ$381</definedName>
    <definedName name="dch703_5_1_1_a">'Ch7'!$AQ$383</definedName>
    <definedName name="dch703_5_1_2">'Ch7'!$AQ$400</definedName>
    <definedName name="dch703_5_1_2_a">'Ch7'!$AQ$402</definedName>
    <definedName name="dch703_5_1_3">'Ch7'!$AQ$422</definedName>
    <definedName name="dch703_5_2">'Ch7'!$AQ$423</definedName>
    <definedName name="dch703_5_3">'Ch7'!$AQ$425</definedName>
    <definedName name="dch703_5_4">'Ch7'!$AQ$427</definedName>
    <definedName name="dch703_5_5">'Ch7'!$AQ$429</definedName>
    <definedName name="dch703_5_5_a">'Ch7'!$AQ$431</definedName>
    <definedName name="dch703_6_1_1">'Ch7'!$AQ$448</definedName>
    <definedName name="dch703_6_1_2">'Ch7'!$AQ$450</definedName>
    <definedName name="dch703_6_1_3">'Ch7'!$AQ$452</definedName>
    <definedName name="dch703_6_2__1">'Ch7'!$AQ$455</definedName>
    <definedName name="dch703_6_2__2">'Ch7'!$AQ$456</definedName>
    <definedName name="dch703_6_2__3">'Ch7'!$AQ$457</definedName>
    <definedName name="dch703_7_1">'Ch7'!$AQ$460</definedName>
    <definedName name="dch703_7_2">'Ch7'!$AQ$487</definedName>
    <definedName name="dch703_7_3_1_a">'Ch7'!$AQ$495</definedName>
    <definedName name="dch703_7_3_1_b">'Ch7'!$AQ$497</definedName>
    <definedName name="dch703_7_3_1_c">'Ch7'!$AQ$498</definedName>
    <definedName name="dch703_7_3_1_d">'Ch7'!$AQ$499</definedName>
    <definedName name="dch703_7_3_2">'Ch7'!$AQ$501</definedName>
    <definedName name="dch703_7_3_3">'Ch7'!$AQ$504</definedName>
    <definedName name="dch703_7_3_4">'Ch7'!$AQ$506</definedName>
    <definedName name="dch703_7_3_5_a">'Ch7'!$AQ$511</definedName>
    <definedName name="dch703_7_3_5_b">'Ch7'!$AQ$513</definedName>
    <definedName name="dch703_7_3_6">'Ch7'!$AQ$515</definedName>
    <definedName name="dch703_7_4">'Ch7'!$AQ$517</definedName>
    <definedName name="dch704_2_1">'Ch7'!$AQ$547</definedName>
    <definedName name="dch704_2_2">'Ch7'!$AQ$549</definedName>
    <definedName name="dch705_2_1_1">'Ch7'!$AQ$557</definedName>
    <definedName name="dch705_2_1_2">'Ch7'!$AQ$561</definedName>
    <definedName name="dch705_2_1_3_1">'Ch7'!$AQ$564</definedName>
    <definedName name="dch705_2_1_3_2">'Ch7'!$AQ$568</definedName>
    <definedName name="dch705_2_1_4">'Ch7'!$AQ$573</definedName>
    <definedName name="dch705_2_2">'Ch7'!$AQ$578</definedName>
    <definedName name="dch705_2_3">'Ch7'!$AQ$581</definedName>
    <definedName name="dch705_2_4">'Ch7'!$AQ$584</definedName>
    <definedName name="dch705_3">'Ch7'!$AQ$586</definedName>
    <definedName name="dch705_4">'Ch7'!$AQ$587</definedName>
    <definedName name="dch705_5_1_1">'Ch7'!$AQ$592</definedName>
    <definedName name="dch705_5_1_2">'Ch7'!$AQ$595</definedName>
    <definedName name="dch705_5_2">'Ch7'!$AQ$597</definedName>
    <definedName name="dch705_5_3_1">'Ch7'!$AQ$600</definedName>
    <definedName name="dch705_5_3_2">'Ch7'!$AQ$602</definedName>
    <definedName name="dch705_6_2_1_1_1">'Ch7'!$AQ$623</definedName>
    <definedName name="dch705_6_2_1_1_2">'Ch7'!$AQ$625</definedName>
    <definedName name="dch705_6_2_1_2">'Ch7'!$AQ$626</definedName>
    <definedName name="dch705_6_2_2_1">'Ch7'!$AQ$632</definedName>
    <definedName name="dch705_6_2_2_2">'Ch7'!$AQ$634</definedName>
    <definedName name="dch705_6_2_3">'Ch7'!$AQ$637</definedName>
    <definedName name="dch705_6_3">'Ch7'!$AQ$643</definedName>
    <definedName name="dch705_6_3_1">'Ch7'!$AQ$645</definedName>
    <definedName name="dch705_6_4_1">'Ch7'!$AQ$655</definedName>
    <definedName name="dch705_6_4_2">'Ch7'!$AQ$657</definedName>
    <definedName name="dch705_7">'Ch7'!$AQ$659</definedName>
    <definedName name="dch706_1_1">'Ch7'!$AQ$666</definedName>
    <definedName name="dch706_1_2">'Ch7'!$AQ$667</definedName>
    <definedName name="dch706_1_3">'Ch7'!$AQ$668</definedName>
    <definedName name="dch706_1_4">'Ch7'!$AQ$669</definedName>
    <definedName name="dch706_1_5">'Ch7'!$AQ$671</definedName>
    <definedName name="dch706_10">'Ch7'!$AQ$741</definedName>
    <definedName name="dch706_11">'Ch7'!$AQ$746</definedName>
    <definedName name="dch706_12">'Ch7'!$AQ$748</definedName>
    <definedName name="dch706_13">'Ch7'!$AQ$752</definedName>
    <definedName name="dch706_14_1">'Ch7'!$AQ$757</definedName>
    <definedName name="dch706_14_2">'Ch7'!$AQ$761</definedName>
    <definedName name="dch706_15_1">'Ch7'!$AQ$766</definedName>
    <definedName name="dch706_15_2">'Ch7'!$AQ$767</definedName>
    <definedName name="dch706_2_1">'Ch7'!$AQ$674</definedName>
    <definedName name="dch706_2_2">'Ch7'!$AQ$679</definedName>
    <definedName name="dch706_3_1">'Ch7'!$AQ$694</definedName>
    <definedName name="dch706_3_2">'Ch7'!$AQ$695</definedName>
    <definedName name="dch706_3_3">'Ch7'!$AQ$696</definedName>
    <definedName name="dch706_3_4">'Ch7'!$AQ$697</definedName>
    <definedName name="dch706_3_5">'Ch7'!$AQ$698</definedName>
    <definedName name="dch706_3_6">'Ch7'!$AQ$699</definedName>
    <definedName name="dch706_3_7">'Ch7'!$AQ$700</definedName>
    <definedName name="dch706_3_8">'Ch7'!$AQ$701</definedName>
    <definedName name="dch706_4_1_1">'Ch7'!$AQ$704</definedName>
    <definedName name="dch706_4_1_2">'Ch7'!$AQ$706</definedName>
    <definedName name="dch706_4_2">'Ch7'!$AQ$708</definedName>
    <definedName name="dch706_5_1">'Ch7'!$AQ$711</definedName>
    <definedName name="dch706_5_2">'Ch7'!$AQ$713</definedName>
    <definedName name="dch706_5_3">'Ch7'!$AQ$715</definedName>
    <definedName name="dch706_6">'Ch7'!$AQ$725</definedName>
    <definedName name="dch706_7_1">'Ch7'!$AQ$729</definedName>
    <definedName name="dch706_7_2">'Ch7'!$AQ$730</definedName>
    <definedName name="dch706_8">'Ch7'!$AQ$733</definedName>
    <definedName name="dch706_9">'Ch7'!$AQ$736</definedName>
    <definedName name="dch801_1">'Ch8'!$AQ$13</definedName>
    <definedName name="dch802_1">'Ch8'!$AQ$21</definedName>
    <definedName name="dch802_1_6">'Ch8'!$AQ$50</definedName>
    <definedName name="dch802_10_1">'Ch8'!$AQ$208</definedName>
    <definedName name="dch802_10_1_1">'Ch8'!$AQ$211</definedName>
    <definedName name="dch802_2_1">'Ch8'!$AQ$55</definedName>
    <definedName name="dch802_2_2">'Ch8'!$AQ$56</definedName>
    <definedName name="dch802_3_1_a">'Ch8'!$AQ$64</definedName>
    <definedName name="dch802_3_1_b">'Ch8'!$AQ$66</definedName>
    <definedName name="dch802_3_2_a">'Ch8'!$AQ$73</definedName>
    <definedName name="dch802_3_2_b">'Ch8'!$AQ$75</definedName>
    <definedName name="dch802_4_1">'Ch8'!$AQ$80</definedName>
    <definedName name="dch802_4_2">'Ch8'!$AQ$92</definedName>
    <definedName name="dch802_4_3">'Ch8'!$AQ$97</definedName>
    <definedName name="dch802_5_1a">'Ch8'!$AQ$100</definedName>
    <definedName name="dch802_5_1b">'Ch8'!$AQ$102</definedName>
    <definedName name="dch802_5_2">'Ch8'!$AQ$112</definedName>
    <definedName name="dch802_5_3">'Ch8'!$AQ$117</definedName>
    <definedName name="dch802_5_4_2">'Ch8'!$AQ$124</definedName>
    <definedName name="dch802_5_4_3">'Ch8'!$AQ$131</definedName>
    <definedName name="dch802_5_4_4_a">'Ch8'!$AQ$134</definedName>
    <definedName name="dch802_5_4_4_b">'Ch8'!$AQ$138</definedName>
    <definedName name="dch802_5_4_4_c">'Ch8'!$AQ$140</definedName>
    <definedName name="dch802_6_1">'Ch8'!$AQ$143</definedName>
    <definedName name="dch802_6_2">'Ch8'!$AQ$145</definedName>
    <definedName name="dch802_6_3_1">'Ch8'!$AQ$149</definedName>
    <definedName name="dch802_6_3_2">'Ch8'!$AQ$150</definedName>
    <definedName name="dch802_6_3_3">'Ch8'!$AQ$151</definedName>
    <definedName name="dch802_6_4_1">'Ch8'!$AQ$156</definedName>
    <definedName name="dch802_6_4_2">'Ch8'!$AQ$158</definedName>
    <definedName name="dch802_6_5_1">'Ch8'!$AQ$164</definedName>
    <definedName name="dch802_6_5_2">'Ch8'!$AQ$166</definedName>
    <definedName name="dch802_6_5_3">'Ch8'!$AQ$168</definedName>
    <definedName name="dch802_6_5_4">'Ch8'!$AQ$169</definedName>
    <definedName name="dch802_6_5_5">'Ch8'!$AQ$171</definedName>
    <definedName name="dch802_7_1">'Ch8'!$AQ$175</definedName>
    <definedName name="dch802_7_2_1">'Ch8'!$AQ$189</definedName>
    <definedName name="dch802_7_2_2">'Ch8'!$AQ$191</definedName>
    <definedName name="dch802_8">'Ch8'!$AQ$192</definedName>
    <definedName name="dch802_9_1">'Ch8'!$AQ$195</definedName>
    <definedName name="dch802_9_2">'Ch8'!$AQ$203</definedName>
    <definedName name="dch803_1_1">'Ch8'!$AQ$217</definedName>
    <definedName name="dch803_1_2">'Ch8'!$AQ$219</definedName>
    <definedName name="dch803_2">'Ch8'!$AQ$221</definedName>
    <definedName name="dch803_3">'Ch8'!$AQ$223</definedName>
    <definedName name="dch803_4">'Ch8'!$AQ$228</definedName>
    <definedName name="dch803_5">'Ch8'!$AQ$231</definedName>
    <definedName name="dch803_6">'Ch8'!$AQ$233</definedName>
    <definedName name="dch804_2">'Ch8'!$AQ$239</definedName>
    <definedName name="dch901_1_1">'Ch9'!$AQ$12</definedName>
    <definedName name="dch901_1_2">'Ch9'!$AQ$18</definedName>
    <definedName name="dch901_1_3_1">'Ch9'!$AQ$23</definedName>
    <definedName name="dch901_1_3_2">'Ch9'!$AQ$26</definedName>
    <definedName name="dch901_1_4">'Ch9'!$AQ$29</definedName>
    <definedName name="dch901_1_5">'Ch9'!$AQ$34</definedName>
    <definedName name="dch901_1_6">'Ch9'!$AQ$37</definedName>
    <definedName name="dch901_10_1">'Ch9'!$AQ$149</definedName>
    <definedName name="dch901_10_2">'Ch9'!$AQ$154</definedName>
    <definedName name="dch901_10_3">'Ch9'!$AQ$155</definedName>
    <definedName name="dch901_11">'Ch9'!$AQ$159</definedName>
    <definedName name="dch901_12">'Ch9'!$AQ$164</definedName>
    <definedName name="dch901_13">'Ch9'!$AQ$168</definedName>
    <definedName name="dch901_14_1">'Ch9'!$AQ$172</definedName>
    <definedName name="dch901_14_2">'Ch9'!$AQ$173</definedName>
    <definedName name="dch901_15_1">'Ch9'!$AQ$176</definedName>
    <definedName name="dch901_15_2">'Ch9'!$AQ$178</definedName>
    <definedName name="dch901_2_1_1">'Ch9'!$AQ$43</definedName>
    <definedName name="dch901_2_1_2">'Ch9'!$AQ$46</definedName>
    <definedName name="dch901_2_1_3">'Ch9'!$AQ$48</definedName>
    <definedName name="dch901_2_1_4">'Ch9'!$AQ$51</definedName>
    <definedName name="dch901_2_1_5">'Ch9'!$AQ$53</definedName>
    <definedName name="dch901_2_2">'Ch9'!$AQ$55</definedName>
    <definedName name="dch901_3_1_a">'Ch9'!$AQ$58</definedName>
    <definedName name="dch901_3_1_b">'Ch9'!$AQ$60</definedName>
    <definedName name="dch901_3_1_c">'Ch9'!$AQ$62</definedName>
    <definedName name="dch901_3_2">'Ch9'!$AQ$68</definedName>
    <definedName name="dch901_4_1">'Ch9'!$AQ$72</definedName>
    <definedName name="dch901_4_a">'Ch9'!$AQ$77</definedName>
    <definedName name="dch901_4_b">'Ch9'!$AQ$78</definedName>
    <definedName name="dch901_4_c">'Ch9'!$AQ$79</definedName>
    <definedName name="dch901_4_d">'Ch9'!$AQ$80</definedName>
    <definedName name="dch901_5_1">'Ch9'!$AQ$91</definedName>
    <definedName name="dch901_5_2">'Ch9'!$AQ$93</definedName>
    <definedName name="dch901_6">'Ch9'!$AQ$96</definedName>
    <definedName name="dch901_7_1">'Ch9'!$AQ$105</definedName>
    <definedName name="dch901_7_2">'Ch9'!$AQ$115</definedName>
    <definedName name="dch901_7_3">'Ch9'!$AQ$116</definedName>
    <definedName name="dch901_8">'Ch9'!$AQ$119</definedName>
    <definedName name="dch901_9_1_1">'Ch9'!$AQ$130</definedName>
    <definedName name="dch901_9_1_2">'Ch9'!$AQ$132</definedName>
    <definedName name="dch901_9_1_3">'Ch9'!$AQ$133</definedName>
    <definedName name="dch901_9_2">'Ch9'!$AQ$135</definedName>
    <definedName name="dch901_9_3">'Ch9'!$AQ$140</definedName>
    <definedName name="dch902_1_1">'Ch9'!$AQ$184</definedName>
    <definedName name="dch902_1_1_a">'Ch9'!$AQ$186</definedName>
    <definedName name="dch902_1_2">'Ch9'!$AQ$188</definedName>
    <definedName name="dch902_1_2_">'Ch9'!$AQ$194</definedName>
    <definedName name="dch902_1_2_2">'Ch9'!$AQ$196</definedName>
    <definedName name="dch902_1_3">'Ch9'!$AQ$190</definedName>
    <definedName name="dch902_1_3_">'Ch9'!$AQ$197</definedName>
    <definedName name="dch902_1_4_1">'Ch9'!$AQ$203</definedName>
    <definedName name="dch902_1_4_2">'Ch9'!$AQ$205</definedName>
    <definedName name="dch902_1_5_1">'Ch9'!$AQ$208</definedName>
    <definedName name="dch902_1_5_2">'Ch9'!$AQ$210</definedName>
    <definedName name="dch902_1_5_3">'Ch9'!$AQ$212</definedName>
    <definedName name="dch902_1_6">'Ch9'!$AQ$215</definedName>
    <definedName name="dch902_2_1">'Ch9'!$AQ$219</definedName>
    <definedName name="dch902_2_2">'Ch9'!$AQ$230</definedName>
    <definedName name="dch902_2_3">'Ch9'!$AQ$232</definedName>
    <definedName name="dch902_2_4">'Ch9'!$AQ$235</definedName>
    <definedName name="dch902_3">'Ch9'!$AQ$238</definedName>
    <definedName name="dch902_3_2">'Ch9'!$AQ$286</definedName>
    <definedName name="dch902_3_2_1">'Ch9'!$AQ$288</definedName>
    <definedName name="dch902_3_2_1_b">'Ch9'!$AQ$290</definedName>
    <definedName name="dch902_4_1">'Ch9'!$AQ$314</definedName>
    <definedName name="dch902_4_2">'Ch9'!$AQ$316</definedName>
    <definedName name="dch902_4_3">'Ch9'!$AQ$319</definedName>
    <definedName name="dch902_5">'Ch9'!$AQ$322</definedName>
    <definedName name="dch902_6">'Ch9'!$AQ$324</definedName>
    <definedName name="dch903_1">'Ch9'!$AQ$328</definedName>
    <definedName name="dch903_2">'Ch9'!$AQ$332</definedName>
    <definedName name="dch903_3_1">'Ch9'!$AQ$338</definedName>
    <definedName name="dch903_3_2">'Ch9'!$AQ$339</definedName>
    <definedName name="dch904_1">'Ch9'!$AQ$344</definedName>
    <definedName name="dch904_2">'Ch9'!$AQ$349</definedName>
    <definedName name="dch904_3_1">'Ch9'!$AQ$354</definedName>
    <definedName name="dch904_3_2">'Ch9'!$AQ$362</definedName>
    <definedName name="dch905_1">'Ch9'!$AQ$366</definedName>
    <definedName name="dch905_2">'Ch9'!$AQ$371</definedName>
    <definedName name="dch905_3_1">'Ch9'!$AQ$374</definedName>
    <definedName name="dch905_3_2">'Ch9'!$AQ$375</definedName>
    <definedName name="dch905_4">'Ch9'!$AQ$377</definedName>
    <definedName name="dch905_5">'Ch9'!$AQ$382</definedName>
    <definedName name="dch905_6">'Ch9'!$AQ$382</definedName>
    <definedName name="dd13_102_1">Dropdowns!$FM$5:$FM$6</definedName>
    <definedName name="dd13_104_1_1">Dropdowns!$FN$5:$FN$7</definedName>
    <definedName name="dd13_104_1_2">Dropdowns!$FO$5:$FO$7</definedName>
    <definedName name="dd13_104_1_3">Dropdowns!$FP$5:$FP$7</definedName>
    <definedName name="dd13_104_1_4">Dropdowns!$FQ$5:$FQ$7</definedName>
    <definedName name="dd13_104_1_5_1">Dropdowns!$FR$5:$FR$7</definedName>
    <definedName name="dd13_104_1_5_10">Dropdowns!$GA$5:$GA$7</definedName>
    <definedName name="dd13_104_1_5_11">Dropdowns!$GB$5:$GB$7</definedName>
    <definedName name="dd13_104_1_5_12">Dropdowns!$GC$5:$GC$7</definedName>
    <definedName name="dd13_104_1_5_2">Dropdowns!$FS$5:$FS$7</definedName>
    <definedName name="dd13_104_1_5_3">Dropdowns!$FT$5:$FT$7</definedName>
    <definedName name="dd13_104_1_5_4">Dropdowns!$FU$5:$FU$7</definedName>
    <definedName name="dd13_104_1_5_5">Dropdowns!$FV$5:$FV$7</definedName>
    <definedName name="dd13_104_1_5_6">Dropdowns!$FW$5:$FW$7</definedName>
    <definedName name="dd13_104_1_5_7">Dropdowns!$FX$5:$FX$7</definedName>
    <definedName name="dd13_104_1_5_8">Dropdowns!$FY$5:$FY$7</definedName>
    <definedName name="dd13_104_1_5_9">Dropdowns!$FZ$5:$FZ$7</definedName>
    <definedName name="dd13_104_1_6">Dropdowns!$GD$5:$GD$7</definedName>
    <definedName name="dd13_104_1_7">Dropdowns!$GE$5:$GE$7</definedName>
    <definedName name="dd13_105_10">Dropdowns!$GS$5:$GS$7</definedName>
    <definedName name="dd13_105_11">Dropdowns!$GT$5:$GT$7</definedName>
    <definedName name="dd13_105_11_1">Dropdowns!$GU$5:$GU$7</definedName>
    <definedName name="dd13_105_11_2">Dropdowns!$GV$5:$GV$7</definedName>
    <definedName name="dd13_105_11_3">Dropdowns!$GW$5:$GW$7</definedName>
    <definedName name="dd13_105_12">Dropdowns!$GX$5:$GX$7</definedName>
    <definedName name="dd13_105_3_1">Dropdowns!$GF$5:$GF$7</definedName>
    <definedName name="dd13_105_3_10">Dropdowns!$GO$5:$GO$7</definedName>
    <definedName name="dd13_105_3_11">Dropdowns!$GP$5:$GP$7</definedName>
    <definedName name="dd13_105_3_12">Dropdowns!$GQ$5:$GQ$7</definedName>
    <definedName name="dd13_105_3_2">Dropdowns!$GG$5:$GG$7</definedName>
    <definedName name="dd13_105_3_3">Dropdowns!$GH$5:$GH$7</definedName>
    <definedName name="dd13_105_3_4">Dropdowns!$GI$5:$GI$7</definedName>
    <definedName name="dd13_105_3_5">Dropdowns!$GJ$5:$GJ$7</definedName>
    <definedName name="dd13_105_3_6">Dropdowns!$GK$5:$GK$7</definedName>
    <definedName name="dd13_105_3_7">Dropdowns!$GL$5:$GL$7</definedName>
    <definedName name="dd13_105_3_8">Dropdowns!$GM$5:$GM$7</definedName>
    <definedName name="dd13_105_3_9">Dropdowns!$GN$5:$GN$7</definedName>
    <definedName name="dd13_105_4">Dropdowns!$GR$5:$GR$7</definedName>
    <definedName name="dd13_106_3_1">Dropdowns!$GY$5:$GY$7</definedName>
    <definedName name="dd13_106_3_2">Dropdowns!$GZ$5:$GZ$7</definedName>
    <definedName name="dd13_106_3_3">Dropdowns!$HA$5:$HA$7</definedName>
    <definedName name="dd13_106_3_4">Dropdowns!$HB$5:$HB$7</definedName>
    <definedName name="dd13_106_4_1">Dropdowns!$HC$5:$HC$7</definedName>
    <definedName name="dd13_106_4_2">Dropdowns!$HD$5:$HD$7</definedName>
    <definedName name="dd13_106_4_3">Dropdowns!$HE$5:$HE$7</definedName>
    <definedName name="dd13_106_4_4">Dropdowns!$HF$5:$HF$7</definedName>
    <definedName name="dd13_106_5_1">Dropdowns!$HG$5:$HG$7</definedName>
    <definedName name="dd13_106_5_2">Dropdowns!$HH$5:$HH$7</definedName>
    <definedName name="dd13_106_5_3">Dropdowns!$HI$5:$HI$7</definedName>
    <definedName name="dd13_106_6">Dropdowns!$HJ$5:$HJ$7</definedName>
    <definedName name="dd13_107_1_1">Dropdowns!$HK$5:$HK$6</definedName>
    <definedName name="dd13_107_4">Dropdowns!$HL$5:$HL$7</definedName>
    <definedName name="dd13_107_4_1">Dropdowns!$HM$5:$HM$7</definedName>
    <definedName name="dd13_107_4_2">Dropdowns!$HN$5:$HN$7</definedName>
    <definedName name="dd13_107_4_2_1">Dropdowns!$HO$5:$HO$7</definedName>
    <definedName name="dd13_107_4_2_2">Dropdowns!$HP$5:$HP$7</definedName>
    <definedName name="dd13_107_4_2_3">Dropdowns!$HQ$5:$HQ$7</definedName>
    <definedName name="dd13_107_4_3">Dropdowns!$HR$5:$HR$7</definedName>
    <definedName name="dd13_107_4_4">Dropdowns!$HS$5:$HS$7</definedName>
    <definedName name="dd13_107_6_1">Dropdowns!$HT$5:$HT$7</definedName>
    <definedName name="dd13_107_6_2">Dropdowns!$HU$5:$HU$7</definedName>
    <definedName name="dd501_2_4_1">Dropdowns!$AD$5:$AD$6</definedName>
    <definedName name="dd501_2_6">Dropdowns!$AE$5:$AE$7</definedName>
    <definedName name="dd503_2_3">Dropdowns!$AF$5:$AF$7</definedName>
    <definedName name="dd503_4_3">Dropdowns!$AG$5:$AG$7</definedName>
    <definedName name="dd503_4_4">Dropdowns!$AH$5:$AH$7</definedName>
    <definedName name="dd503_5">Dropdowns!$AI$5:$AI$7</definedName>
    <definedName name="dd503_5_1">Dropdowns!$AJ$5:$AJ$8</definedName>
    <definedName name="dd503_5_6">Dropdowns!$AK$5:$AK$8</definedName>
    <definedName name="dd503_7">Dropdowns!$AL$5:$AL$6</definedName>
    <definedName name="dd503_8">Dropdowns!$AM$5:$AM$10</definedName>
    <definedName name="dd505_1_3">Dropdowns!$AN$5:$AN$7</definedName>
    <definedName name="dd505_3">Dropdowns!$AO$5:$AO$9</definedName>
    <definedName name="dd601_6">Dropdowns!$AP$5:$AP$7</definedName>
    <definedName name="dd601_7_a">Dropdowns!$AQ$5:$AQ$7</definedName>
    <definedName name="dd601_7_b">Dropdowns!$AR$5:$AR$7</definedName>
    <definedName name="dd601_7_c">Dropdowns!$AS$5:$AS$7</definedName>
    <definedName name="dd601_7_d">Dropdowns!$AT$5:$AT$7</definedName>
    <definedName name="dd601_7_e">Dropdowns!$AU$5:$AU$7</definedName>
    <definedName name="dd602_1_1_1">Dropdowns!$AV$5:$AV$7</definedName>
    <definedName name="dd602_1_10">Dropdowns!$BC$5:$BC$7</definedName>
    <definedName name="dd602_1_11">Dropdowns!$BD$5:$BD$7</definedName>
    <definedName name="dd602_1_13">Dropdowns!$BE$5:$BE$7</definedName>
    <definedName name="dd602_1_14_1">Dropdowns!$BF$5:$BF$7</definedName>
    <definedName name="dd602_1_4_1_2">Dropdowns!$AW$5:$AW$7</definedName>
    <definedName name="dd602_1_4_2_2">Dropdowns!$AX$5:$AX$7</definedName>
    <definedName name="dd602_1_5">Dropdowns!$AY$5:$AY$8</definedName>
    <definedName name="dd602_1_7_1_2">Dropdowns!$AZ$5:$AZ$7</definedName>
    <definedName name="dd602_1_8">Dropdowns!$BA$5:$BA$7</definedName>
    <definedName name="dd602_1_9_5">Dropdowns!$BB$5:$BB$6</definedName>
    <definedName name="dd606_1_a">Dropdowns!$BG$5:$BG$6</definedName>
    <definedName name="dd606_1_b">Dropdowns!$BH$5:$BH$6</definedName>
    <definedName name="dd606_1_c">Dropdowns!$BI$5:$BI$6</definedName>
    <definedName name="dd606_1_d">Dropdowns!$BJ$5:$BJ$6</definedName>
    <definedName name="dd606_1_e">Dropdowns!$BK$5:$BK$6</definedName>
    <definedName name="dd606_1_f">Dropdowns!$BL$5:$BL$6</definedName>
    <definedName name="dd606_1_g">Dropdowns!$BM$5:$BM$6</definedName>
    <definedName name="dd606_1_h">Dropdowns!$BN$5:$BN$6</definedName>
    <definedName name="dd606_2_1a">Dropdowns!$BO$5:$BO$12</definedName>
    <definedName name="dd606_2_1b">Dropdowns!$BP$5:$BP$12</definedName>
    <definedName name="dd606_2_2a">Dropdowns!$BQ$5:$BQ$12</definedName>
    <definedName name="dd606_2_2b">Dropdowns!$BR$5:$BR$12</definedName>
    <definedName name="dd606_3">Dropdowns!$BS$5:$BS$7</definedName>
    <definedName name="dd608_1">Dropdowns!$BT$5:$BT$7</definedName>
    <definedName name="dd609_1_1">Dropdowns!$BU$5:$BU$9</definedName>
    <definedName name="dd609_1_2">Dropdowns!$BV$5:$BV$14</definedName>
    <definedName name="dd610_1_2_1a">Dropdowns!$BW$5:$BW$9</definedName>
    <definedName name="dd610_1_2_1b">Dropdowns!$BX$5:$BX$9</definedName>
    <definedName name="dd610_1_2_2_f">Dropdowns!$CB$5:$CB$6</definedName>
    <definedName name="dd610_1_2_2a">Dropdowns!$BY$5:$BY$6</definedName>
    <definedName name="dd610_1_2_2b">Dropdowns!$BZ$5:$BZ$6</definedName>
    <definedName name="dd610_1_2_2c">Dropdowns!$CA$5:$CA$6</definedName>
    <definedName name="dd612_1">Dropdowns!$CC$5:$CC$14</definedName>
    <definedName name="dd612_3_9">Dropdowns!$CD$5:$CD$9</definedName>
    <definedName name="dd613_1">Dropdowns!$CE$5:$CE$10</definedName>
    <definedName name="dd701_1">Dropdowns!$CF$5:$CF$9</definedName>
    <definedName name="dd701_1_">Dropdowns!$CG$5:$CG$9</definedName>
    <definedName name="dd701_1_4">Dropdowns!$CH$5:$CH$6</definedName>
    <definedName name="dd701_1_6_2">Dropdowns!$CK$5:$CK$7</definedName>
    <definedName name="dd701_1_6_4">Dropdowns!$CL$5:$CL$7</definedName>
    <definedName name="dd701_4_1_2">Dropdowns!$CM$5:$CM$8</definedName>
    <definedName name="dd701_4_3_1_a">Dropdowns!$CN$5:$CN$7</definedName>
    <definedName name="dd701_4_3_1_b">Dropdowns!$CO$5:$CO$7</definedName>
    <definedName name="dd701_4_3_1_c">Dropdowns!$CP$5:$CP$7</definedName>
    <definedName name="dd701_4_3_1_d">Dropdowns!$CQ$5:$CQ$7</definedName>
    <definedName name="dd701_4_3_1_e">Dropdowns!$CR$5:$CR$7</definedName>
    <definedName name="dd701_4_3_1_f">Dropdowns!$CS$5:$CS$7</definedName>
    <definedName name="dd701_4_3_1_g">Dropdowns!$CT$5:$CT$7</definedName>
    <definedName name="dd701_4_3_1_h">Dropdowns!$CU$5:$CU$7</definedName>
    <definedName name="dd701_4_3_1_i">Dropdowns!$CV$5:$CV$7</definedName>
    <definedName name="dd701_4_3_1_j">Dropdowns!$CW$5:$CW$7</definedName>
    <definedName name="dd701_4_3_1_k">Dropdowns!$CX$5:$CX$7</definedName>
    <definedName name="dd701_4_3_1_l">Dropdowns!$CY$5:$CY$7</definedName>
    <definedName name="dd701_4_3_1_m">Dropdowns!$CZ$5:$CZ$7</definedName>
    <definedName name="dd701_4_3_5">Dropdowns!$DA$5:$DA$7</definedName>
    <definedName name="dd703_1_3">Dropdowns!$DB$5:$DB$6</definedName>
    <definedName name="dd703_2_5_1">Dropdowns!$DC$5:$DC$7</definedName>
    <definedName name="dd703_2_5_1_1">Dropdowns!$DD$5:$DD$7</definedName>
    <definedName name="dd703_2_5_2">Dropdowns!$DE$5:$DE$7</definedName>
    <definedName name="dd703_2_5_2_1">Dropdowns!$DF$5:$DF$7</definedName>
    <definedName name="dd703_3_0_1">Dropdowns!$DG$5:$DG$6</definedName>
    <definedName name="dd703_3_0_2">Dropdowns!$DH$5:$DH$6</definedName>
    <definedName name="dd703_4_4">Dropdowns!$DI$5:$DI$8</definedName>
    <definedName name="dd703_5_1">Dropdowns!$DJ$5:$DJ$7</definedName>
    <definedName name="dd703_5_1_1">Dropdowns!$DK$5:$DK$9</definedName>
    <definedName name="dd703_5_1_2">Dropdowns!$DL$5:$DL$9</definedName>
    <definedName name="dd703_5_5">Dropdowns!$DM$5:$DM$6</definedName>
    <definedName name="dd705_2_1_1">Dropdowns!$DN$5:$DN$6</definedName>
    <definedName name="dd705_2_1_3_1">Dropdowns!$DO$5:$DO$6</definedName>
    <definedName name="dd705_2_1_3_2">Dropdowns!$DP$5:$DP$6</definedName>
    <definedName name="dd705_2_1_4">Dropdowns!$DQ$5:$DQ$6</definedName>
    <definedName name="dd705_6_2_3">Dropdowns!$DR$5:$DR$6</definedName>
    <definedName name="dd706_13">Dropdowns!$DT$5:$DT$6</definedName>
    <definedName name="dd706_2_2">Dropdowns!$DS$5:$DS$6</definedName>
    <definedName name="dd801_1">Dropdowns!$DU$5:$DU$6</definedName>
    <definedName name="dd802_1">Dropdowns!$DV$5:$DV$10</definedName>
    <definedName name="dd802_10_1">Dropdowns!$EL$5:$EL$7</definedName>
    <definedName name="dd802_2_2">Dropdowns!$DW$5:$DW$6</definedName>
    <definedName name="dd802_4_1">Dropdowns!$DX$5:$DX$8</definedName>
    <definedName name="dd802_4_2">Dropdowns!$DY$5:$DY$6</definedName>
    <definedName name="dd802_4_3">Dropdowns!$DZ$5:$DZ$7</definedName>
    <definedName name="dd802_5_1a">Dropdowns!$EA$5:$EA$7</definedName>
    <definedName name="dd802_5_1b">Dropdowns!$EB$5:$EB$9</definedName>
    <definedName name="dd802_5_2">Dropdowns!$EC$5:$EC$6</definedName>
    <definedName name="dd802_5_3">Dropdowns!$ED$5:$ED$7</definedName>
    <definedName name="dd802_5_4_2">Dropdowns!$EE$5:$EE$7</definedName>
    <definedName name="dd802_5_4_4_a">Dropdowns!$EF$5:$EF$7</definedName>
    <definedName name="dd802_6_1">Dropdowns!$EG$5:$EG$7</definedName>
    <definedName name="dd802_7_1">Dropdowns!$EH$5:$EH$9</definedName>
    <definedName name="dd802_7_2_1">Dropdowns!$EI$5:$EI$7</definedName>
    <definedName name="dd802_9_1">Dropdowns!$EJ$5:$EJ$6</definedName>
    <definedName name="dd802_9_2">Dropdowns!$EK$5:$EK$6</definedName>
    <definedName name="dd803_1_1">Dropdowns!$EM$5:$EM$8</definedName>
    <definedName name="dd803_3">Dropdowns!$EN$5:$EN$6</definedName>
    <definedName name="dd901_1_3_1">Dropdowns!$EO$5:$EO$6</definedName>
    <definedName name="dd901_1_3_2">Dropdowns!$EP$5:$EP$6</definedName>
    <definedName name="dd901_1_4">Dropdowns!$EQ$5:$EQ$7</definedName>
    <definedName name="dd901_1_6">Dropdowns!$ER$5:$ER$6</definedName>
    <definedName name="dd901_13">Dropdowns!$FE$5:$FE$7</definedName>
    <definedName name="dd901_2_1_1_m">Dropdowns!$ES$5:$ES$7</definedName>
    <definedName name="dd901_2_1_2_m">Dropdowns!$ET$5:$ET$7</definedName>
    <definedName name="dd901_2_1_3_m">Dropdowns!$EU$5:$EU$7</definedName>
    <definedName name="dd901_2_1_4_m">Dropdowns!$EV$5:$EV$7</definedName>
    <definedName name="dd901_2_1_5_m">Dropdowns!$EW$5:$EW$7</definedName>
    <definedName name="dd901_3_1_a_m">Dropdowns!$EX$5:$EX$7</definedName>
    <definedName name="dd901_3_1_b_m">Dropdowns!$EY$5:$EY$7</definedName>
    <definedName name="dd901_4_1">Dropdowns!$EZ$5:$EZ$7</definedName>
    <definedName name="dd901_4_a">Dropdowns!$FA$5:$FA$9</definedName>
    <definedName name="dd901_4_b">Dropdowns!$FB$5:$FB$9</definedName>
    <definedName name="dd901_4_c">Dropdowns!$FC$5:$FC$9</definedName>
    <definedName name="dd901_4_d">Dropdowns!$FD$5:$FD$9</definedName>
    <definedName name="dd902_1_2">Dropdowns!$FF$5:$FF$7</definedName>
    <definedName name="dd902_2_1">Dropdowns!$FG$5:$FG$9</definedName>
    <definedName name="dd902_3">Dropdowns!$FH$5:$FH$8</definedName>
    <definedName name="dd903_1">Dropdowns!$FI$5:$FI$6</definedName>
    <definedName name="dd903_2">Dropdowns!$FJ$5:$FJ$6</definedName>
    <definedName name="ddAltBronze">Dropdowns!$CI$5:$CI$8</definedName>
    <definedName name="ddAltSilver">Dropdowns!$CJ$5:$CJ$7</definedName>
    <definedName name="ddAttachedGarage">Dropdowns!$T$5:$T$6</definedName>
    <definedName name="ddAttic">Dropdowns!$S$5:$S$8</definedName>
    <definedName name="ddBuildingCode">Dropdowns!$AB$5:$AB$10</definedName>
    <definedName name="ddBuildingCodeMF">Dropdowns!$AC$5:$AC$14</definedName>
    <definedName name="ddCDucts">Dropdowns!$P$5:$P$7</definedName>
    <definedName name="ddCommercial">Dropdowns!$F$5:$F$6</definedName>
    <definedName name="ddCool1">Dropdowns!$M$5:$M$10</definedName>
    <definedName name="ddCool2">Dropdowns!$N$5:$N$10</definedName>
    <definedName name="ddCool3">Dropdowns!$O$5:$O$10</definedName>
    <definedName name="ddCToilet">Dropdowns!$Z$5:$Z$6</definedName>
    <definedName name="ddEnergyCode">Dropdowns!$AA$5:$AA$10</definedName>
    <definedName name="ddFoundation">Dropdowns!$G$5:$G$12</definedName>
    <definedName name="ddFuel">Dropdowns!$K$5:$K$10</definedName>
    <definedName name="ddHDucts">Dropdowns!$L$5:$L$7</definedName>
    <definedName name="ddHeat1">Dropdowns!$H$5:$H$12</definedName>
    <definedName name="ddHeat2">Dropdowns!$I$5:$I$12</definedName>
    <definedName name="ddHeat3">Dropdowns!$J$5:$J$12</definedName>
    <definedName name="ddMassWalls">Dropdowns!$W$5:$W$6</definedName>
    <definedName name="ddMetNotMetNA">Dropdowns!$C$5:$C$7</definedName>
    <definedName name="ddPassiveSolar">Dropdowns!$V$5:$V$6</definedName>
    <definedName name="ddRadiantHydronic">Dropdowns!$X$5:$X$6</definedName>
    <definedName name="ddRecessedLighting">Dropdowns!$U$5:$U$6</definedName>
    <definedName name="ddRenewable">Dropdowns!$Q$5:$Q$10</definedName>
    <definedName name="ddSingleOrMulti">Dropdowns!$E$5:$E$6</definedName>
    <definedName name="ddTEInsulation">Dropdowns!$R$5:$R$13</definedName>
    <definedName name="ddTLWH">Dropdowns!$Y$5:$Y$6</definedName>
    <definedName name="ddWellnessException">Dropdowns!$D$5:$D$7</definedName>
    <definedName name="ddWS1">Dropdowns!$FK$5:$FK$6</definedName>
    <definedName name="desBadges703_7_2">'Badges (Design)'!$AQ$126</definedName>
    <definedName name="desBadges802_10_1_1">'Badges (Design)'!$AQ$154</definedName>
    <definedName name="desBadges802_6_4_1">'Badges (Design)'!$AQ$152</definedName>
    <definedName name="desBadges802_6_5_5">'Badges (Design)'!$AQ$153</definedName>
    <definedName name="desBadges803_3_1">'Badges (Design)'!$AQ$155</definedName>
    <definedName name="desBadges901_1_1">'Badges (Design)'!$AQ$203</definedName>
    <definedName name="desBadges901_1_5">'Badges (Design)'!$AQ$204</definedName>
    <definedName name="desBadges903_3">'Badges (Design)'!$AQ$256</definedName>
    <definedName name="desBadgesBuildingVent">'Badges (Design)'!$AQ$55</definedName>
    <definedName name="desBadgesElectricAC">'Badges (Design)'!$AQ$46</definedName>
    <definedName name="desBadgesElectricHeat">'Badges (Design)'!$AQ$44</definedName>
    <definedName name="desBadgesFloorRVal">'Badges (Design)'!$AQ$16</definedName>
    <definedName name="desBadgesGasBoiler">'Badges (Design)'!$AQ$41</definedName>
    <definedName name="desBadgesGEDHPHeating">'Badges (Design)'!$AQ$45</definedName>
    <definedName name="desBadgesGEHHPCooling">'Badges (Design)'!$AQ$47</definedName>
    <definedName name="desBadgesGeothermalEfficiency">'Badges (Design)'!$AQ$85</definedName>
    <definedName name="desBadgesGeothermalFieldArea">'Badges (Design)'!$AQ$83</definedName>
    <definedName name="desBadgesGeothermalPower">'Badges (Design)'!$AQ$80</definedName>
    <definedName name="desBadgesGeothermalResTemp">'Badges (Design)'!$AQ$82</definedName>
    <definedName name="desBadgesGeothermalSurfaceTemp">'Badges (Design)'!$AQ$81</definedName>
    <definedName name="desBadgesGeothermalWells">'Badges (Design)'!$AQ$84</definedName>
    <definedName name="desBadgesGroundSourceHP">'Badges (Design)'!$AQ$49</definedName>
    <definedName name="desBadgesOilBoiler">'Badges (Design)'!$AQ$42</definedName>
    <definedName name="desBadgesOilFurnace">'Badges (Design)'!$AQ$40</definedName>
    <definedName name="desBadgesPropane">'Badges (Design)'!$AQ$39</definedName>
    <definedName name="desBadgesRadiant">'Badges (Design)'!$AQ$43</definedName>
    <definedName name="desBadgesResilienceAdditional">'Badges (Design)'!$AQ$110</definedName>
    <definedName name="desBadgesRoofRVal">'Badges (Design)'!$AQ$15</definedName>
    <definedName name="desBadgesSHGC">'Badges (Design)'!$AQ$23</definedName>
    <definedName name="desBadgesSmartAdd">'Badges (Design)'!$AQ$166</definedName>
    <definedName name="desBadgesSolarThermalArea">'Badges (Design)'!$AQ$69</definedName>
    <definedName name="desBadgesSolarThermalEfficiency">'Badges (Design)'!$AQ$71</definedName>
    <definedName name="desBadgesSolarThermalHeatingRate">'Badges (Design)'!$AQ$73</definedName>
    <definedName name="desBadgesSolarThermalSlope">'Badges (Design)'!$AQ$70</definedName>
    <definedName name="desBadgesSolarThermalTankVolume">'Badges (Design)'!$AQ$72</definedName>
    <definedName name="desBadgesSpotVent">'Badges (Design)'!$AQ$54</definedName>
    <definedName name="desBadgesWallRVal">'Badges (Design)'!$AQ$17</definedName>
    <definedName name="desBadgesWaterSourceHC">'Badges (Design)'!$AQ$48</definedName>
    <definedName name="desBadgesWellnessException">'Badges (Design)'!$AQ$227</definedName>
    <definedName name="desBadgesWindowUVal">'Badges (Design)'!$AQ$22</definedName>
    <definedName name="desBadgesWindowWallRatio">'Badges (Design)'!$AQ$21</definedName>
    <definedName name="desGoalLevel">Points!$H$10</definedName>
    <definedName name="desWaterSenseClothesWasher">'WaterSense (Design)'!$AQ$110</definedName>
    <definedName name="desWaterSenseDishwasher">'WaterSense (Design)'!$AQ$115</definedName>
    <definedName name="desWaterSenseIrrigation">'WaterSense (Design)'!$AQ$55</definedName>
    <definedName name="desWaterSenseLavFaucet">'WaterSense (Design)'!$AQ$41</definedName>
    <definedName name="desWaterSenseLeaks1">'WaterSense (Design)'!$AQ$18</definedName>
    <definedName name="desWaterSenseLeaks2">'WaterSense (Design)'!$AQ$19</definedName>
    <definedName name="desWaterSenseLeaks3">'WaterSense (Design)'!$AQ$20</definedName>
    <definedName name="desWaterSenseLeaks4">'WaterSense (Design)'!$AQ$22</definedName>
    <definedName name="desWaterSenseLeaks5">'WaterSense (Design)'!$AQ$23</definedName>
    <definedName name="desWaterSenseLeaks6">'WaterSense (Design)'!$AQ$24</definedName>
    <definedName name="desWaterSenseLeaks7">'WaterSense (Design)'!$AQ$27</definedName>
    <definedName name="desWaterSenseLeaks8">'WaterSense (Design)'!$AQ$28</definedName>
    <definedName name="desWaterSenseOptionA">'WaterSense (Design)'!$AQ$132</definedName>
    <definedName name="desWaterSenseShowerheads">'WaterSense (Design)'!$AQ$48</definedName>
    <definedName name="desWaterSenseToilet">'WaterSense (Design)'!$AQ$34</definedName>
    <definedName name="dnt1001_1_1">'Ch10'!$AS$15</definedName>
    <definedName name="dnt1001_1_10">'Ch10'!$AS$30</definedName>
    <definedName name="dnt1001_1_11">'Ch10'!$AS$31</definedName>
    <definedName name="dnt1001_1_12">'Ch10'!$AS$32</definedName>
    <definedName name="dnt1001_1_13">'Ch10'!$AS$38</definedName>
    <definedName name="dnt1001_1_14">'Ch10'!$AS$42</definedName>
    <definedName name="dnt1001_1_15">'Ch10'!$AS$44</definedName>
    <definedName name="dnt1001_1_16">'Ch10'!$AS$46</definedName>
    <definedName name="dnt1001_1_17">'Ch10'!$AS$47</definedName>
    <definedName name="dnt1001_1_18">'Ch10'!$AS$49</definedName>
    <definedName name="dnt1001_1_19">'Ch10'!$AS$51</definedName>
    <definedName name="dnt1001_1_2">'Ch10'!$AS$16</definedName>
    <definedName name="dnt1001_1_20">'Ch10'!$AS$52</definedName>
    <definedName name="dnt1001_1_21">'Ch10'!$AS$54</definedName>
    <definedName name="dnt1001_1_22">'Ch10'!$AS$56</definedName>
    <definedName name="dnt1001_1_23">'Ch10'!$AS$58</definedName>
    <definedName name="dnt1001_1_24">'Ch10'!$AS$59</definedName>
    <definedName name="dnt1001_1_3">'Ch10'!$AS$17</definedName>
    <definedName name="dnt1001_1_4">'Ch10'!$AS$21</definedName>
    <definedName name="dnt1001_1_5">'Ch10'!$AS$22</definedName>
    <definedName name="dnt1001_1_6">'Ch10'!$AS$23</definedName>
    <definedName name="dnt1001_1_7">'Ch10'!$AS$25</definedName>
    <definedName name="dnt1001_1_8">'Ch10'!$AS$27</definedName>
    <definedName name="dnt1001_1_9">'Ch10'!$AS$28</definedName>
    <definedName name="dnt1001_2">'Ch10'!$AS$60</definedName>
    <definedName name="dnt1002_1_1">'Ch10'!$AS$82</definedName>
    <definedName name="dnt1002_1_2">'Ch10'!$AS$85</definedName>
    <definedName name="dnt1002_1_3">'Ch10'!$AS$88</definedName>
    <definedName name="dnt1002_1_4">'Ch10'!$AS$90</definedName>
    <definedName name="dnt1002_1_5">'Ch10'!$AS$91</definedName>
    <definedName name="dnt1002_1_6">'Ch10'!$AS$93</definedName>
    <definedName name="dnt1002_1_7">'Ch10'!$AS$94</definedName>
    <definedName name="dnt1002_1_8">'Ch10'!$AS$95</definedName>
    <definedName name="dnt1002_2_1">'Ch10'!$AS$101</definedName>
    <definedName name="dnt1002_2_10">'Ch10'!$AS$119</definedName>
    <definedName name="dnt1002_2_11">'Ch10'!$AS$122</definedName>
    <definedName name="dnt1002_2_2">'Ch10'!$AS$103</definedName>
    <definedName name="dnt1002_2_3">'Ch10'!$AS$106</definedName>
    <definedName name="dnt1002_2_4">'Ch10'!$AS$108</definedName>
    <definedName name="dnt1002_2_5">'Ch10'!$AS$111</definedName>
    <definedName name="dnt1002_2_6">'Ch10'!$AS$113</definedName>
    <definedName name="dnt1002_2_7">'Ch10'!$AS$114</definedName>
    <definedName name="dnt1002_2_8">'Ch10'!$AS$116</definedName>
    <definedName name="dnt1002_2_9">'Ch10'!$AS$118</definedName>
    <definedName name="dnt1002_3_1">'Ch10'!$AS$128</definedName>
    <definedName name="dnt1002_3_10">'Ch10'!$AS$149</definedName>
    <definedName name="dnt1002_3_11">'Ch10'!$AS$150</definedName>
    <definedName name="dnt1002_3_2">'Ch10'!$AS$130</definedName>
    <definedName name="dnt1002_3_3">'Ch10'!$AS$134</definedName>
    <definedName name="dnt1002_3_4">'Ch10'!$AS$141</definedName>
    <definedName name="dnt1002_3_5">'Ch10'!$AS$143</definedName>
    <definedName name="dnt1002_3_6">'Ch10'!$AS$144</definedName>
    <definedName name="dnt1002_3_7">'Ch10'!$AS$146</definedName>
    <definedName name="dnt1002_3_8">'Ch10'!$AS$147</definedName>
    <definedName name="dnt1002_3_9">'Ch10'!$AS$148</definedName>
    <definedName name="dnt1002_4">'Ch10'!$AS$152</definedName>
    <definedName name="dnt1002_5_1">'Ch10'!$AS$167</definedName>
    <definedName name="dnt1002_5_2">'Ch10'!$AS$168</definedName>
    <definedName name="dnt1002_5_3">'Ch10'!$AS$169</definedName>
    <definedName name="dnt1002_5_4">'Ch10'!$AS$171</definedName>
    <definedName name="dnt1002_5_5">'Ch10'!$AS$172</definedName>
    <definedName name="dnt1002_5_6">'Ch10'!$AS$173</definedName>
    <definedName name="dnt1002_5_7">'Ch10'!$AS$174</definedName>
    <definedName name="dnt1002_5_8">'Ch10'!$AS$175</definedName>
    <definedName name="dnt1002_5_9">'Ch10'!$AS$176</definedName>
    <definedName name="dnt1002_6_1">'Ch10'!$AS$181</definedName>
    <definedName name="dnt1002_6_2">'Ch10'!$AS$182</definedName>
    <definedName name="dnt1002_6_3">'Ch10'!$AS$183</definedName>
    <definedName name="dnt1002_6_4">'Ch10'!$AS$184</definedName>
    <definedName name="dnt1002_6_5">'Ch10'!$AS$185</definedName>
    <definedName name="dnt1002_6_6">'Ch10'!$AS$186</definedName>
    <definedName name="dnt1002_6_7">'Ch10'!$AS$187</definedName>
    <definedName name="dnt1003_1_1">'Ch10'!$AS$193</definedName>
    <definedName name="dnt1003_1_2">'Ch10'!$AS$195</definedName>
    <definedName name="dnt1003_1_3">'Ch10'!$AS$198</definedName>
    <definedName name="dnt1004_1_1">'Ch10'!$AS$211</definedName>
    <definedName name="dnt1004_1_2">'Ch10'!$AS$213</definedName>
    <definedName name="dnt1005_1_1">'Ch10'!$AS$217</definedName>
    <definedName name="dnt1005_1_2">'Ch10'!$AS$220</definedName>
    <definedName name="dnt501_1">'Ch5'!$AS$14</definedName>
    <definedName name="dnt501_2">'Ch5'!$AS$20</definedName>
    <definedName name="dnt501_2_1">'Ch5'!$AS$22</definedName>
    <definedName name="dnt501_2_2">'Ch5'!$AS$24</definedName>
    <definedName name="dnt501_2_3">'Ch5'!$AS$26</definedName>
    <definedName name="dnt501_2_4">'Ch5'!$AS$28</definedName>
    <definedName name="dnt501_2_4_1">'Ch5'!$AS$38</definedName>
    <definedName name="dnt501_2_5">'Ch5'!$AS$43</definedName>
    <definedName name="dnt501_2_6">'Ch5'!$AS$46</definedName>
    <definedName name="dnt501_2_6_d">'Ch5'!$AS$51</definedName>
    <definedName name="dnt501_2_7">'Ch5'!$AS$53</definedName>
    <definedName name="dnt501_2_8">'Ch5'!$AS$56</definedName>
    <definedName name="dnt502_1">'Ch5'!$AS$59</definedName>
    <definedName name="dnt503_0">'Ch5'!$AS$64</definedName>
    <definedName name="dnt503_1">'Ch5'!$AS$69</definedName>
    <definedName name="dnt503_2">'Ch5'!$AS$89</definedName>
    <definedName name="dnt503_3">'Ch5'!$AS$102</definedName>
    <definedName name="dnt503_4">'Ch5'!$AS$115</definedName>
    <definedName name="dnt503_4_1">'Ch5'!$AS$122</definedName>
    <definedName name="dnt503_4_2">'Ch5'!$AS$125</definedName>
    <definedName name="dnt503_4_3">'Ch5'!$AS$129</definedName>
    <definedName name="dnt503_4_4">'Ch5'!$AS$136</definedName>
    <definedName name="dnt503_4_4_c_1">'Ch5'!$AS$141</definedName>
    <definedName name="dnt503_4_5">'Ch5'!$AS$143</definedName>
    <definedName name="dnt503_5">'Ch5'!$AS$146</definedName>
    <definedName name="dnt503_5_1">'Ch5'!$AS$150</definedName>
    <definedName name="dnt503_5_10">'Ch5'!$AS$179</definedName>
    <definedName name="dnt503_5_11">'Ch5'!$AS$182</definedName>
    <definedName name="dnt503_5_12">'Ch5'!$AS$184</definedName>
    <definedName name="dnt503_5_13">'Ch5'!$AS$186</definedName>
    <definedName name="dnt503_5_2">'Ch5'!$AS$156</definedName>
    <definedName name="dnt503_5_3">'Ch5'!$AS$158</definedName>
    <definedName name="dnt503_5_4">'Ch5'!$AS$161</definedName>
    <definedName name="dnt503_5_5">'Ch5'!$AS$163</definedName>
    <definedName name="dnt503_5_6">'Ch5'!$AS$166</definedName>
    <definedName name="dnt503_5_7">'Ch5'!$AS$171</definedName>
    <definedName name="dnt503_5_8">'Ch5'!$AS$172</definedName>
    <definedName name="dnt503_5_9">'Ch5'!$AS$177</definedName>
    <definedName name="dnt503_6">'Ch5'!$AS$188</definedName>
    <definedName name="dnt503_7">'Ch5'!$AS$195</definedName>
    <definedName name="dnt503_8">'Ch5'!$AS$201</definedName>
    <definedName name="dnt504_1">'Ch5'!$AS$209</definedName>
    <definedName name="dnt504_2">'Ch5'!$AS$214</definedName>
    <definedName name="dnt504_3">'Ch5'!$AS$221</definedName>
    <definedName name="dnt504_3_1">'Ch5'!$AS$224</definedName>
    <definedName name="dnt504_3_2">'Ch5'!$AS$226</definedName>
    <definedName name="dnt504_3_3">'Ch5'!$AS$227</definedName>
    <definedName name="dnt504_3_4">'Ch5'!$AS$229</definedName>
    <definedName name="dnt504_3_5">'Ch5'!$AS$231</definedName>
    <definedName name="dnt504_3_6">'Ch5'!$AS$235</definedName>
    <definedName name="dnt504_3_7">'Ch5'!$AS$238</definedName>
    <definedName name="dnt504_3_8">'Ch5'!$AS$239</definedName>
    <definedName name="dnt504_3_9">'Ch5'!$AS$247</definedName>
    <definedName name="dnt505_1_1">'Ch5'!$AS$254</definedName>
    <definedName name="dnt505_1_2">'Ch5'!$AS$256</definedName>
    <definedName name="dnt505_1_3">'Ch5'!$AS$258</definedName>
    <definedName name="dnt505_10_a">'Ch5'!$AS$322</definedName>
    <definedName name="dnt505_10_b">'Ch5'!$AS$324</definedName>
    <definedName name="dnt505_10_c">'Ch5'!$AS$326</definedName>
    <definedName name="dnt505_2_1">'Ch5'!$AS$263</definedName>
    <definedName name="dnt505_2_2">'Ch5'!$AS$273</definedName>
    <definedName name="dnt505_3">'Ch5'!$AS$276</definedName>
    <definedName name="dnt505_4_1">'Ch5'!$AS$283</definedName>
    <definedName name="dnt505_5_a">'Ch5'!$AS$287</definedName>
    <definedName name="dnt505_5_b">'Ch5'!$AS$289</definedName>
    <definedName name="dnt505_5_c">'Ch5'!$AS$292</definedName>
    <definedName name="dnt505_5_d">'Ch5'!$AS$293</definedName>
    <definedName name="dnt505_6">'Ch5'!$AS$294</definedName>
    <definedName name="dnt505_7">'Ch5'!$AS$306</definedName>
    <definedName name="dnt505_8">'Ch5'!$AS$310</definedName>
    <definedName name="dnt505_9_a">'Ch5'!$AS$313</definedName>
    <definedName name="dnt505_9_b">'Ch5'!$AS$316</definedName>
    <definedName name="dnt505_9_c">'Ch5'!$AS$317</definedName>
    <definedName name="dnt601_1">'Ch6'!$AS$13</definedName>
    <definedName name="dnt601_2_1">'Ch6'!$AS$31</definedName>
    <definedName name="dnt601_2_2">'Ch6'!$AS$34</definedName>
    <definedName name="dnt601_2_3">'Ch6'!$AS$37</definedName>
    <definedName name="dnt601_3_1">'Ch6'!$AS$41</definedName>
    <definedName name="dnt601_3_2">'Ch6'!$AS$42</definedName>
    <definedName name="dnt601_3_3">'Ch6'!$AS$43</definedName>
    <definedName name="dnt601_3_4">'Ch6'!$AS$44</definedName>
    <definedName name="dnt601_3_5">'Ch6'!$AS$45</definedName>
    <definedName name="dnt601_4">'Ch6'!$AS$46</definedName>
    <definedName name="dnt601_5_1">'Ch6'!$AS$52</definedName>
    <definedName name="dnt601_5_2">'Ch6'!$AS$53</definedName>
    <definedName name="dnt601_5_3">'Ch6'!$AS$54</definedName>
    <definedName name="dnt601_5_4">'Ch6'!$AS$55</definedName>
    <definedName name="dnt601_5_5">'Ch6'!$AS$56</definedName>
    <definedName name="dnt601_6">'Ch6'!$AS$57</definedName>
    <definedName name="dnt601_7">'Ch6'!$AS$62</definedName>
    <definedName name="dnt601_8">'Ch6'!$AS$80</definedName>
    <definedName name="dnt602_1_1_1">'Ch6'!$AS$93</definedName>
    <definedName name="dnt602_1_1_2">'Ch6'!$AS$96</definedName>
    <definedName name="dnt602_1_10">'Ch6'!$AS$193</definedName>
    <definedName name="dnt602_1_11">'Ch6'!$AS$205</definedName>
    <definedName name="dnt602_1_12">'Ch6'!$AS$207</definedName>
    <definedName name="dnt602_1_13">'Ch6'!$AS$210</definedName>
    <definedName name="dnt602_1_14_1">'Ch6'!$AS$216</definedName>
    <definedName name="dnt602_1_14_2">'Ch6'!$AS$218</definedName>
    <definedName name="dnt602_1_14_3">'Ch6'!$AS$219</definedName>
    <definedName name="dnt602_1_15">'Ch6'!$AS$220</definedName>
    <definedName name="dnt602_1_2">'Ch6'!$AS$98</definedName>
    <definedName name="dnt602_1_3_1">'Ch6'!$AS$103</definedName>
    <definedName name="dnt602_1_3_2">'Ch6'!$AS$105</definedName>
    <definedName name="dnt602_1_4_1_1">'Ch6'!$AS$111</definedName>
    <definedName name="dnt602_1_4_1_2">'Ch6'!$AS$113</definedName>
    <definedName name="dnt602_1_4_2_1">'Ch6'!$AS$117</definedName>
    <definedName name="dnt602_1_4_2_2">'Ch6'!$AS$119</definedName>
    <definedName name="dnt602_1_5">'Ch6'!$AS$122</definedName>
    <definedName name="dnt602_1_6_1">'Ch6'!$AS$131</definedName>
    <definedName name="dnt602_1_7_1_1">'Ch6'!$AS$144</definedName>
    <definedName name="dnt602_1_7_1_2">'Ch6'!$AS$146</definedName>
    <definedName name="dnt602_1_7_1_3">'Ch6'!$AS$149</definedName>
    <definedName name="dnt602_1_7_2">'Ch6'!$AS$151</definedName>
    <definedName name="dnt602_1_7_3">'Ch6'!$AS$153</definedName>
    <definedName name="dnt602_1_8">'Ch6'!$AS$157</definedName>
    <definedName name="dnt602_1_9_1">'Ch6'!$AS$165</definedName>
    <definedName name="dnt602_1_9_2">'Ch6'!$AS$175</definedName>
    <definedName name="dnt602_1_9_3">'Ch6'!$AS$178</definedName>
    <definedName name="dnt602_1_9_4">'Ch6'!$AS$179</definedName>
    <definedName name="dnt602_1_9_5">'Ch6'!$AS$183</definedName>
    <definedName name="dnt602_1_9_6">'Ch6'!$AS$189</definedName>
    <definedName name="dnt602_1_9_7">'Ch6'!$AS$191</definedName>
    <definedName name="dnt602_2_1">'Ch6'!$AS$227</definedName>
    <definedName name="dnt602_2_2">'Ch6'!$AS$229</definedName>
    <definedName name="dnt602_2_3">'Ch6'!$AS$230</definedName>
    <definedName name="dnt602_3">'Ch6'!$AS$233</definedName>
    <definedName name="dnt602_4_1">'Ch6'!$AS$237</definedName>
    <definedName name="dnt602_4_2">'Ch6'!$AS$242</definedName>
    <definedName name="dnt602_4_3">'Ch6'!$AS$244</definedName>
    <definedName name="dnt603_1">'Ch6'!$AS$248</definedName>
    <definedName name="dnt603_2">'Ch6'!$AS$254</definedName>
    <definedName name="dnt603_3">'Ch6'!$AS$261</definedName>
    <definedName name="dnt604_1a">'Ch6'!$AS$265</definedName>
    <definedName name="dnt604_1b">'Ch6'!$AS$267</definedName>
    <definedName name="dnt604_1c">'Ch6'!$AS$269</definedName>
    <definedName name="dnt604_1d">'Ch6'!$AS$271</definedName>
    <definedName name="dnt605_1">'Ch6'!$AS$275</definedName>
    <definedName name="dnt605_2">'Ch6'!$AS$278</definedName>
    <definedName name="dnt605_3">'Ch6'!$AS$293</definedName>
    <definedName name="dnt605_4_2_a">'Ch6'!$AS$306</definedName>
    <definedName name="dnt605_4_2_h">'Ch6'!$AS$313</definedName>
    <definedName name="dnt605_4_2_i">'Ch6'!$AS$314</definedName>
    <definedName name="dnt606_1_a">'Ch6'!$AS$319</definedName>
    <definedName name="dnt606_2_1a">'Ch6'!$AS$350</definedName>
    <definedName name="dnt606_2_1b">'Ch6'!$AS$351</definedName>
    <definedName name="dnt606_2_2a">'Ch6'!$AS$353</definedName>
    <definedName name="dnt606_2_2b">'Ch6'!$AS$354</definedName>
    <definedName name="dnt606_3">'Ch6'!$AS$356</definedName>
    <definedName name="dnt607_1_1">'Ch6'!$AS$365</definedName>
    <definedName name="dnt607_1_2">'Ch6'!$AS$370</definedName>
    <definedName name="dnt607_2">'Ch6'!$AS$376</definedName>
    <definedName name="dnt608_1">'Ch6'!$AS$379</definedName>
    <definedName name="dnt609_1_1">'Ch6'!$AS$390</definedName>
    <definedName name="dnt609_1_2">'Ch6'!$AS$392</definedName>
    <definedName name="dnt610_1">'Ch6'!$AS$400</definedName>
    <definedName name="dnt610_1_1_1">'Ch6'!$AS$409</definedName>
    <definedName name="dnt610_1_1_2">'Ch6'!$AS$418</definedName>
    <definedName name="dnt610_1_1_3">'Ch6'!$AS$426</definedName>
    <definedName name="dnt610_1_2_1">'Ch6'!$AS$432</definedName>
    <definedName name="dnt610_1_2_1_e">'Ch6'!$AS$439</definedName>
    <definedName name="dnt610_1_2_2_e">'Ch6'!$AS$465</definedName>
    <definedName name="dnt610_1_2_2a">'Ch6'!$AS$446</definedName>
    <definedName name="dnt610_1_2_2b">'Ch6'!$AS$453</definedName>
    <definedName name="dnt610_1_2_2c">'Ch6'!$AS$459</definedName>
    <definedName name="dnt611_1_1">'Ch6'!$AS$477</definedName>
    <definedName name="dnt611_1_2">'Ch6'!$AS$487</definedName>
    <definedName name="dnt612_1">'Ch6'!$AS$495</definedName>
    <definedName name="dnt612_2_1">'Ch6'!$AS$506</definedName>
    <definedName name="dnt612_2_2">'Ch6'!$AS$507</definedName>
    <definedName name="dnt612_2_3">'Ch6'!$AS$509</definedName>
    <definedName name="dnt612_2_4">'Ch6'!$AS$511</definedName>
    <definedName name="dnt612_2_5">'Ch6'!$AS$513</definedName>
    <definedName name="dnt612_2_6">'Ch6'!$AS$515</definedName>
    <definedName name="dnt612_2_7">'Ch6'!$AS$517</definedName>
    <definedName name="dnt612_3_1">'Ch6'!$AS$521</definedName>
    <definedName name="dnt612_3_2">'Ch6'!$AS$526</definedName>
    <definedName name="dnt612_3_3">'Ch6'!$AS$530</definedName>
    <definedName name="dnt612_3_4">'Ch6'!$AS$532</definedName>
    <definedName name="dnt612_3_5">'Ch6'!$AS$534</definedName>
    <definedName name="dnt612_3_6">'Ch6'!$AS$535</definedName>
    <definedName name="dnt612_3_7">'Ch6'!$AS$536</definedName>
    <definedName name="dnt612_3_8">'Ch6'!$AS$540</definedName>
    <definedName name="dnt612_3_9">'Ch6'!$AS$542</definedName>
    <definedName name="dnt613_1">'Ch6'!$AS$546</definedName>
    <definedName name="dnt701_1_">'Ch7'!$AS$14</definedName>
    <definedName name="dnt701_1_1">'Ch7'!$AS$17</definedName>
    <definedName name="dnt701_1_2">'Ch7'!$AS$20</definedName>
    <definedName name="dnt701_1_3">'Ch7'!$AS$24</definedName>
    <definedName name="dnt701_1_4">'Ch7'!$AS$27</definedName>
    <definedName name="dnt701_1_6_1">'Ch7'!$AS$41</definedName>
    <definedName name="dnt701_1_6_2">'Ch7'!$AS$42</definedName>
    <definedName name="dnt701_1_6_3">'Ch7'!$AS$44</definedName>
    <definedName name="dnt701_1_6_4">'Ch7'!$AS$45</definedName>
    <definedName name="dnt701_1_6_5">'Ch7'!$AS$47</definedName>
    <definedName name="dnt701_1_6_6_a">'Ch7'!$AS$50</definedName>
    <definedName name="dnt701_1_6_6_b">'Ch7'!$AS$51</definedName>
    <definedName name="dnt701_1_6_6_c">'Ch7'!$AS$52</definedName>
    <definedName name="dnt701_1_6_7_a">'Ch7'!$AS$54</definedName>
    <definedName name="dnt701_1_6_7_b">'Ch7'!$AS$55</definedName>
    <definedName name="dnt701_1_6_7_c">'Ch7'!$AS$56</definedName>
    <definedName name="dnt701_1_6_8">'Ch7'!$AS$57</definedName>
    <definedName name="dnt701_1_6_9">'Ch7'!$AS$59</definedName>
    <definedName name="dnt701_3">'Ch7'!$AS$63</definedName>
    <definedName name="dnt701_4_1">'Ch7'!$AS$77</definedName>
    <definedName name="dnt701_4_1_1">'Ch7'!$AS$68</definedName>
    <definedName name="dnt701_4_1_2">'Ch7'!$AS$71</definedName>
    <definedName name="dnt701_4_2_2">'Ch7'!$AS$80</definedName>
    <definedName name="dnt701_4_2_3">'Ch7'!$AS$81</definedName>
    <definedName name="dnt701_4_3_1">'Ch7'!$AS$84</definedName>
    <definedName name="dnt701_4_3_1_a">'Ch7'!$AS$88</definedName>
    <definedName name="dnt701_4_3_1_b">'Ch7'!$AS$89</definedName>
    <definedName name="dnt701_4_3_1_c">'Ch7'!$AS$90</definedName>
    <definedName name="dnt701_4_3_1_d">'Ch7'!$AS$91</definedName>
    <definedName name="dnt701_4_3_1_e">'Ch7'!$AS$92</definedName>
    <definedName name="dnt701_4_3_1_f">'Ch7'!$AS$93</definedName>
    <definedName name="dnt701_4_3_1_g">'Ch7'!$AS$94</definedName>
    <definedName name="dnt701_4_3_1_h">'Ch7'!$AS$95</definedName>
    <definedName name="dnt701_4_3_1_i">'Ch7'!$AS$96</definedName>
    <definedName name="dnt701_4_3_1_j">'Ch7'!$AS$97</definedName>
    <definedName name="dnt701_4_3_1_k">'Ch7'!$AS$98</definedName>
    <definedName name="dnt701_4_3_1_l">'Ch7'!$AS$99</definedName>
    <definedName name="dnt701_4_3_1_m">'Ch7'!$AS$100</definedName>
    <definedName name="dnt701_4_3_2_1_">'Ch7'!$AS$105</definedName>
    <definedName name="dnt701_4_3_2_1_1">'Ch7'!$AS$128</definedName>
    <definedName name="dnt701_4_3_2_1_2">'Ch7'!$AS$129</definedName>
    <definedName name="dnt701_4_3_2_1_3">'Ch7'!$AS$133</definedName>
    <definedName name="dnt701_4_3_2_1_4">'Ch7'!$AS$135</definedName>
    <definedName name="dnt701_4_3_2_1_5">'Ch7'!$AS$138</definedName>
    <definedName name="dnt701_4_3_2_1_6">'Ch7'!$AS$140</definedName>
    <definedName name="dnt701_4_3_2_1_7">'Ch7'!$AS$141</definedName>
    <definedName name="dnt701_4_3_2_1_8">'Ch7'!$AS$142</definedName>
    <definedName name="dnt701_4_3_2_1_9">'Ch7'!$AS$145</definedName>
    <definedName name="dnt701_4_3_2_1_a">'Ch7'!$AS$110</definedName>
    <definedName name="dnt701_4_3_2_1_b">'Ch7'!$AS$111</definedName>
    <definedName name="dnt701_4_3_2_1_c">'Ch7'!$AS$113</definedName>
    <definedName name="dnt701_4_3_2_1_d">'Ch7'!$AS$114</definedName>
    <definedName name="dnt701_4_3_2_1_e">'Ch7'!$AS$116</definedName>
    <definedName name="dnt701_4_3_2_1_f">'Ch7'!$AS$117</definedName>
    <definedName name="dnt701_4_3_2_1_g">'Ch7'!$AS$118</definedName>
    <definedName name="dnt701_4_3_2_1_h">'Ch7'!$AS$119</definedName>
    <definedName name="dnt701_4_3_2_2">'Ch7'!$AS$121</definedName>
    <definedName name="dnt701_4_3_2e">'Ch7'!$AS$108</definedName>
    <definedName name="dnt701_4_3_3">'Ch7'!$AS$147</definedName>
    <definedName name="dnt701_4_3_4">'Ch7'!$AS$150</definedName>
    <definedName name="dnt701_4_3_5">'Ch7'!$AS$160</definedName>
    <definedName name="dnt701_4_4_1">'Ch7'!$AS$170</definedName>
    <definedName name="dnt701_4_4_2">'Ch7'!$AS$172</definedName>
    <definedName name="dnt701_4_5">'Ch7'!$AS$173</definedName>
    <definedName name="dnt702_2_1">'Ch7'!$AS$179</definedName>
    <definedName name="dnt702_2_2">'Ch7'!$AS$183</definedName>
    <definedName name="dnt702_2_2_m">'Ch7'!$AS$189</definedName>
    <definedName name="dnt702_2_3">'Ch7'!$AS$192</definedName>
    <definedName name="dnt703_1_1">'Ch7'!$AS$196</definedName>
    <definedName name="dnt703_1_2">'Ch7'!$AS$211</definedName>
    <definedName name="dnt703_1_3">'Ch7'!$AS$214</definedName>
    <definedName name="dnt703_2_1">'Ch7'!$AS$220</definedName>
    <definedName name="dnt703_2_2">'Ch7'!$AS$227</definedName>
    <definedName name="dnt703_2_3">'Ch7'!$AS$229</definedName>
    <definedName name="dnt703_2_4">'Ch7'!$AS$232</definedName>
    <definedName name="dnt703_2_5_1">'Ch7'!$AS$236</definedName>
    <definedName name="dnt703_2_5_1_1">'Ch7'!$AS$244</definedName>
    <definedName name="dnt703_2_5_2">'Ch7'!$AS$252</definedName>
    <definedName name="dnt703_2_5_2_1">'Ch7'!$AS$260</definedName>
    <definedName name="dnt703_3_0_1">'Ch7'!$AS$270</definedName>
    <definedName name="dnt703_3_0_2">'Ch7'!$AS$277</definedName>
    <definedName name="dnt703_3_1">'Ch7'!$AS$284</definedName>
    <definedName name="dnt703_3_2__1">'Ch7'!$AS$290</definedName>
    <definedName name="dnt703_3_2__2">'Ch7'!$AS$296</definedName>
    <definedName name="dnt703_3_2__3">'Ch7'!$AS$299</definedName>
    <definedName name="dnt703_3_2__4">'Ch7'!$AS$304</definedName>
    <definedName name="dnt703_3_3__1">'Ch7'!$AS$310</definedName>
    <definedName name="dnt703_3_3__2">'Ch7'!$AS$316</definedName>
    <definedName name="dnt703_3_3__3">'Ch7'!$AS$318</definedName>
    <definedName name="dnt703_3_4_1">'Ch7'!$AS$322</definedName>
    <definedName name="dnt703_3_4_1_6">'Ch7'!$AS$328</definedName>
    <definedName name="dnt703_3_4_2">'Ch7'!$AS$330</definedName>
    <definedName name="dnt703_3_5">'Ch7'!$AS$331</definedName>
    <definedName name="dnt703_3_6">'Ch7'!$AS$335</definedName>
    <definedName name="dnt703_3_7_1">'Ch7'!$AS$341</definedName>
    <definedName name="dnt703_3_8">'Ch7'!$AS$348</definedName>
    <definedName name="dnt703_4_1">'Ch7'!$AS$354</definedName>
    <definedName name="dnt703_4_2">'Ch7'!$AS$356</definedName>
    <definedName name="dnt703_4_3_1">'Ch7'!$AS$359</definedName>
    <definedName name="dnt703_4_3_2">'Ch7'!$AS$360</definedName>
    <definedName name="dnt703_4_3_3">'Ch7'!$AS$362</definedName>
    <definedName name="dnt703_4_4">'Ch7'!$AS$364</definedName>
    <definedName name="dnt703_5_1">'Ch7'!$AS$374</definedName>
    <definedName name="dnt703_5_2">'Ch7'!$AS$423</definedName>
    <definedName name="dnt703_5_3">'Ch7'!$AS$425</definedName>
    <definedName name="dnt703_5_4">'Ch7'!$AS$427</definedName>
    <definedName name="dnt703_5_5">'Ch7'!$AS$428</definedName>
    <definedName name="dnt703_6_1_1">'Ch7'!$AS$448</definedName>
    <definedName name="dnt703_6_1_2">'Ch7'!$AS$450</definedName>
    <definedName name="dnt703_6_1_3">'Ch7'!$AS$452</definedName>
    <definedName name="dnt703_6_2__1">'Ch7'!$AS$455</definedName>
    <definedName name="dnt703_6_2__2">'Ch7'!$AS$456</definedName>
    <definedName name="dnt703_6_2__3">'Ch7'!$AS$457</definedName>
    <definedName name="dnt703_7_1_1">'Ch7'!$AS$462</definedName>
    <definedName name="dnt703_7_1_2">'Ch7'!$AS$464</definedName>
    <definedName name="dnt703_7_1_3">'Ch7'!$AS$466</definedName>
    <definedName name="dnt703_7_1_4">'Ch7'!$AS$468</definedName>
    <definedName name="dnt703_7_1_5">'Ch7'!$AS$470</definedName>
    <definedName name="dnt703_7_1_6_a">'Ch7'!$AS$473</definedName>
    <definedName name="dnt703_7_1_6_b">'Ch7'!$AS$474</definedName>
    <definedName name="dnt703_7_1_6_c">'Ch7'!$AS$475</definedName>
    <definedName name="dnt703_7_1_7">'Ch7'!$AS$477</definedName>
    <definedName name="dnt703_7_1_8">'Ch7'!$AS$480</definedName>
    <definedName name="dnt703_7_1_9">'Ch7'!$AS$481</definedName>
    <definedName name="dnt703_7_1_9_m">'Ch7'!$AS$482</definedName>
    <definedName name="dnt703_7_2">'Ch7'!$AS$487</definedName>
    <definedName name="dnt703_7_3_1_a">'Ch7'!$AS$495</definedName>
    <definedName name="dnt703_7_3_1_b">'Ch7'!$AS$497</definedName>
    <definedName name="dnt703_7_3_1_c">'Ch7'!$AS$498</definedName>
    <definedName name="dnt703_7_3_1_d">'Ch7'!$AS$499</definedName>
    <definedName name="dnt703_7_3_2">'Ch7'!$AS$501</definedName>
    <definedName name="dnt703_7_3_3">'Ch7'!$AS$504</definedName>
    <definedName name="dnt703_7_3_4">'Ch7'!$AS$506</definedName>
    <definedName name="dnt703_7_3_5_a">'Ch7'!$AS$511</definedName>
    <definedName name="dnt703_7_3_5_b">'Ch7'!$AS$513</definedName>
    <definedName name="dnt703_7_3_6">'Ch7'!$AS$515</definedName>
    <definedName name="dnt703_7_4_1">'Ch7'!$AS$520</definedName>
    <definedName name="dnt703_7_4_2_a">'Ch7'!$AS$524</definedName>
    <definedName name="dnt703_7_4_2_b">'Ch7'!$AS$527</definedName>
    <definedName name="dnt703_7_4_2_c">'Ch7'!$AS$535</definedName>
    <definedName name="dnt703_7_4_3">'Ch7'!$AS$538</definedName>
    <definedName name="dnt704_1">'Ch7'!$AS$541</definedName>
    <definedName name="dnt705_2_1_1">'Ch7'!$AS$557</definedName>
    <definedName name="dnt705_2_1_2">'Ch7'!$AS$561</definedName>
    <definedName name="dnt705_2_1_3_1">'Ch7'!$AS$564</definedName>
    <definedName name="dnt705_2_1_3_2">'Ch7'!$AS$568</definedName>
    <definedName name="dnt705_2_1_4">'Ch7'!$AS$573</definedName>
    <definedName name="dnt705_2_2">'Ch7'!$AS$578</definedName>
    <definedName name="dnt705_2_3">'Ch7'!$AS$581</definedName>
    <definedName name="dnt705_2_4">'Ch7'!$AS$583</definedName>
    <definedName name="dnt705_3">'Ch7'!$AS$586</definedName>
    <definedName name="dnt705_4">'Ch7'!$AS$587</definedName>
    <definedName name="dnt705_5_1_1">'Ch7'!$AS$592</definedName>
    <definedName name="dnt705_5_1_2">'Ch7'!$AS$595</definedName>
    <definedName name="dnt705_5_2">'Ch7'!$AS$597</definedName>
    <definedName name="dnt705_5_2_1">'Ch7'!$AS$599</definedName>
    <definedName name="dnt705_5_2_2">'Ch7'!$AS$600</definedName>
    <definedName name="dnt705_5_2_3">'Ch7'!$AS$601</definedName>
    <definedName name="dnt705_5_2_4">'Ch7'!$AS$602</definedName>
    <definedName name="dnt705_5_2_5">'Ch7'!$AS$603</definedName>
    <definedName name="dnt705_5_2_6">'Ch7'!$AS$604</definedName>
    <definedName name="dnt705_5_3_1">'Ch7'!$AS$606</definedName>
    <definedName name="dnt705_5_3_2">'Ch7'!$AS$608</definedName>
    <definedName name="dnt705_6_1">'Ch7'!$AS$610</definedName>
    <definedName name="dnt705_6_2_1_1_1">'Ch7'!$AS$623</definedName>
    <definedName name="dnt705_6_2_1_2">'Ch7'!$AS$626</definedName>
    <definedName name="dnt705_6_2_2_1">'Ch7'!$AS$632</definedName>
    <definedName name="dnt705_6_2_2_2">'Ch7'!$AS$634</definedName>
    <definedName name="dnt705_6_2_3">'Ch7'!$AS$637</definedName>
    <definedName name="dnt705_6_3_a">'Ch7'!$AS$646</definedName>
    <definedName name="dnt705_6_3_b">'Ch7'!$AS$647</definedName>
    <definedName name="dnt705_6_3_c">'Ch7'!$AS$648</definedName>
    <definedName name="dnt705_6_3_d">'Ch7'!$AS$649</definedName>
    <definedName name="dnt705_6_3_e">'Ch7'!$AS$650</definedName>
    <definedName name="dnt705_6_3_f">'Ch7'!$AS$651</definedName>
    <definedName name="dnt705_6_3_g">'Ch7'!$AS$652</definedName>
    <definedName name="dnt705_6_4_1">'Ch7'!$AS$655</definedName>
    <definedName name="dnt705_6_4_2">'Ch7'!$AS$657</definedName>
    <definedName name="dnt705_7">'Ch7'!$AS$659</definedName>
    <definedName name="dnt706_1_1">'Ch7'!$AS$666</definedName>
    <definedName name="dnt706_1_2">'Ch7'!$AS$667</definedName>
    <definedName name="dnt706_1_3">'Ch7'!$AS$668</definedName>
    <definedName name="dnt706_1_4">'Ch7'!$AS$669</definedName>
    <definedName name="dnt706_1_5">'Ch7'!$AS$671</definedName>
    <definedName name="dnt706_10">'Ch7'!$AS$741</definedName>
    <definedName name="dnt706_11">'Ch7'!$AS$746</definedName>
    <definedName name="dnt706_12">'Ch7'!$AS$748</definedName>
    <definedName name="dnt706_13">'Ch7'!$AS$752</definedName>
    <definedName name="dnt706_14_1">'Ch7'!$AS$757</definedName>
    <definedName name="dnt706_14_2">'Ch7'!$AS$761</definedName>
    <definedName name="dnt706_15_1">'Ch7'!$AS$766</definedName>
    <definedName name="dnt706_15_2">'Ch7'!$AS$767</definedName>
    <definedName name="dnt706_2_1">'Ch7'!$AS$674</definedName>
    <definedName name="dnt706_2_2">'Ch7'!$AS$679</definedName>
    <definedName name="dnt706_3">'Ch7'!$AS$686</definedName>
    <definedName name="dnt706_3_1">'Ch7'!$AS$694</definedName>
    <definedName name="dnt706_3_2">'Ch7'!$AS$695</definedName>
    <definedName name="dnt706_3_3">'Ch7'!$AS$696</definedName>
    <definedName name="dnt706_3_4">'Ch7'!$AS$697</definedName>
    <definedName name="dnt706_3_5">'Ch7'!$AS$698</definedName>
    <definedName name="dnt706_3_6">'Ch7'!$AS$699</definedName>
    <definedName name="dnt706_3_7">'Ch7'!$AS$700</definedName>
    <definedName name="dnt706_3_8">'Ch7'!$AS$701</definedName>
    <definedName name="dnt706_4_1_1">'Ch7'!$AS$704</definedName>
    <definedName name="dnt706_4_1_2">'Ch7'!$AS$706</definedName>
    <definedName name="dnt706_4_2">'Ch7'!$AS$708</definedName>
    <definedName name="dnt706_5">'Ch7'!$AS$710</definedName>
    <definedName name="dnt706_6">'Ch7'!$AS$725</definedName>
    <definedName name="dnt706_7_1">'Ch7'!$AS$729</definedName>
    <definedName name="dnt706_7_2">'Ch7'!$AS$730</definedName>
    <definedName name="dnt706_8">'Ch7'!$AS$733</definedName>
    <definedName name="dnt706_9">'Ch7'!$AS$736</definedName>
    <definedName name="dnt801_1">'Ch8'!$AS$13</definedName>
    <definedName name="dnt802_1_1">'Ch8'!$AS$34</definedName>
    <definedName name="dnt802_1_5">'Ch8'!$AS$45</definedName>
    <definedName name="dnt802_1_6">'Ch8'!$AS$50</definedName>
    <definedName name="dnt802_10_1">'Ch8'!$AS$208</definedName>
    <definedName name="dnt802_10_1_1">'Ch8'!$AS$211</definedName>
    <definedName name="dnt802_2_1">'Ch8'!$AS$55</definedName>
    <definedName name="dnt802_2_2">'Ch8'!$AS$56</definedName>
    <definedName name="dnt802_3_1_a">'Ch8'!$AS$64</definedName>
    <definedName name="dnt802_3_1_b">'Ch8'!$AS$66</definedName>
    <definedName name="dnt802_3_2_a">'Ch8'!$AS$73</definedName>
    <definedName name="dnt802_3_2_b">'Ch8'!$AS$75</definedName>
    <definedName name="dnt802_4_1">'Ch8'!$AS$80</definedName>
    <definedName name="dnt802_4_2">'Ch8'!$AS$92</definedName>
    <definedName name="dnt802_4_3">'Ch8'!$AS$97</definedName>
    <definedName name="dnt802_5_1a">'Ch8'!$AS$100</definedName>
    <definedName name="dnt802_5_2">'Ch8'!$AS$112</definedName>
    <definedName name="dnt802_5_3">'Ch8'!$AS$117</definedName>
    <definedName name="dnt802_5_4_1">'Ch8'!$AS$122</definedName>
    <definedName name="dnt802_5_4_2">'Ch8'!$AS$124</definedName>
    <definedName name="dnt802_5_4_3">'Ch8'!$AS$131</definedName>
    <definedName name="dnt802_5_4_4_a">'Ch8'!$AS$134</definedName>
    <definedName name="dnt802_5_4_4_b">'Ch8'!$AS$138</definedName>
    <definedName name="dnt802_5_4_4_c">'Ch8'!$AS$140</definedName>
    <definedName name="dnt802_6_1">'Ch8'!$AS$143</definedName>
    <definedName name="dnt802_6_2">'Ch8'!$AS$145</definedName>
    <definedName name="dnt802_6_3_1">'Ch8'!$AS$149</definedName>
    <definedName name="dnt802_6_3_2">'Ch8'!$AS$150</definedName>
    <definedName name="dnt802_6_3_3">'Ch8'!$AS$151</definedName>
    <definedName name="dnt802_6_4_1">'Ch8'!$AS$156</definedName>
    <definedName name="dnt802_6_4_2">'Ch8'!$AS$158</definedName>
    <definedName name="dnt802_6_5_1">'Ch8'!$AS$164</definedName>
    <definedName name="dnt802_6_5_2">'Ch8'!$AS$166</definedName>
    <definedName name="dnt802_6_5_3">'Ch8'!$AS$168</definedName>
    <definedName name="dnt802_6_5_4">'Ch8'!$AS$169</definedName>
    <definedName name="dnt802_6_5_5">'Ch8'!$AS$171</definedName>
    <definedName name="dnt802_7_1">'Ch8'!$AS$175</definedName>
    <definedName name="dnt802_7_2_1">'Ch8'!$AS$189</definedName>
    <definedName name="dnt802_7_2_2">'Ch8'!$AS$191</definedName>
    <definedName name="dnt802_8">'Ch8'!$AS$192</definedName>
    <definedName name="dnt802_9_1">'Ch8'!$AS$195</definedName>
    <definedName name="dnt802_9_2">'Ch8'!$AS$203</definedName>
    <definedName name="dnt803_1_1">'Ch8'!$AS$217</definedName>
    <definedName name="dnt803_1_2">'Ch8'!$AS$219</definedName>
    <definedName name="dnt803_2">'Ch8'!$AS$220</definedName>
    <definedName name="dnt803_3">'Ch8'!$AS$223</definedName>
    <definedName name="dnt803_4">'Ch8'!$AS$228</definedName>
    <definedName name="dnt803_5">'Ch8'!$AS$231</definedName>
    <definedName name="dnt803_6">'Ch8'!$AS$233</definedName>
    <definedName name="dnt804_2">'Ch8'!$AS$239</definedName>
    <definedName name="dnt901_1_1">'Ch9'!$AS$12</definedName>
    <definedName name="dnt901_1_2">'Ch9'!$AS$18</definedName>
    <definedName name="dnt901_1_3_1">'Ch9'!$AS$23</definedName>
    <definedName name="dnt901_1_3_2">'Ch9'!$AS$26</definedName>
    <definedName name="dnt901_1_4">'Ch9'!$AS$29</definedName>
    <definedName name="dnt901_1_5">'Ch9'!$AS$34</definedName>
    <definedName name="dnt901_1_6">'Ch9'!$AS$37</definedName>
    <definedName name="dnt901_10_1">'Ch9'!$AS$149</definedName>
    <definedName name="dnt901_10_2">'Ch9'!$AS$154</definedName>
    <definedName name="dnt901_10_3">'Ch9'!$AS$155</definedName>
    <definedName name="dnt901_11">'Ch9'!$AS$159</definedName>
    <definedName name="dnt901_12">'Ch9'!$AS$164</definedName>
    <definedName name="dnt901_13">'Ch9'!$AS$168</definedName>
    <definedName name="dnt901_14">'Ch9'!$AS$170</definedName>
    <definedName name="dnt901_15_1">'Ch9'!$AS$176</definedName>
    <definedName name="dnt901_15_2">'Ch9'!$AS$178</definedName>
    <definedName name="dnt901_2_1_1">'Ch9'!$AS$43</definedName>
    <definedName name="dnt901_2_1_2">'Ch9'!$AS$46</definedName>
    <definedName name="dnt901_2_1_3">'Ch9'!$AS$48</definedName>
    <definedName name="dnt901_2_1_4">'Ch9'!$AS$51</definedName>
    <definedName name="dnt901_2_1_5">'Ch9'!$AS$53</definedName>
    <definedName name="dnt901_2_2">'Ch9'!$AS$55</definedName>
    <definedName name="dnt901_3_1_a">'Ch9'!$AS$58</definedName>
    <definedName name="dnt901_3_1_b">'Ch9'!$AS$60</definedName>
    <definedName name="dnt901_3_1_c">'Ch9'!$AS$62</definedName>
    <definedName name="dnt901_3_2">'Ch9'!$AS$68</definedName>
    <definedName name="dnt901_4_1">'Ch9'!$AS$72</definedName>
    <definedName name="dnt901_4_a">'Ch9'!$AS$77</definedName>
    <definedName name="dnt901_5_1">'Ch9'!$AS$91</definedName>
    <definedName name="dnt901_5_2">'Ch9'!$AS$93</definedName>
    <definedName name="dnt901_6">'Ch9'!$AS$96</definedName>
    <definedName name="dnt901_7_1">'Ch9'!$AS$105</definedName>
    <definedName name="dnt901_7_2">'Ch9'!$AS$115</definedName>
    <definedName name="dnt901_8">'Ch9'!$AS$119</definedName>
    <definedName name="dnt901_9">'Ch9'!$AS$125</definedName>
    <definedName name="dnt901_9_1_1">'Ch9'!$AS$130</definedName>
    <definedName name="dnt901_9_1_2">'Ch9'!$AS$132</definedName>
    <definedName name="dnt901_9_1_3">'Ch9'!$AS$133</definedName>
    <definedName name="dnt901_9_2">'Ch9'!$AS$135</definedName>
    <definedName name="dnt901_9_3">'Ch9'!$AS$140</definedName>
    <definedName name="dnt902_1_1">'Ch9'!$AS$184</definedName>
    <definedName name="dnt902_1_1_a">'Ch9'!$AS$186</definedName>
    <definedName name="dnt902_1_2">'Ch9'!$AS$188</definedName>
    <definedName name="dnt902_1_2_">'Ch9'!$AS$193</definedName>
    <definedName name="dnt902_1_3">'Ch9'!$AS$190</definedName>
    <definedName name="dnt902_1_3_">'Ch9'!$AS$197</definedName>
    <definedName name="dnt902_1_4">'Ch9'!$AS$201</definedName>
    <definedName name="dnt902_1_5_1">'Ch9'!$AS$208</definedName>
    <definedName name="dnt902_1_5_2">'Ch9'!$AS$210</definedName>
    <definedName name="dnt902_1_5_3">'Ch9'!$AS$212</definedName>
    <definedName name="dnt902_1_6">'Ch9'!$AS$215</definedName>
    <definedName name="dnt902_2_1">'Ch9'!$AS$219</definedName>
    <definedName name="dnt902_2_2">'Ch9'!$AS$230</definedName>
    <definedName name="dnt902_2_3">'Ch9'!$AS$232</definedName>
    <definedName name="dnt902_2_4">'Ch9'!$AS$235</definedName>
    <definedName name="dnt902_3">'Ch9'!$AS$238</definedName>
    <definedName name="dnt902_3_1">'Ch9'!$AS$247</definedName>
    <definedName name="dnt902_3_2_1">'Ch9'!$AS$288</definedName>
    <definedName name="dnt902_3_2_2">'Ch9'!$AS$310</definedName>
    <definedName name="dnt902_4_1">'Ch9'!$AS$314</definedName>
    <definedName name="dnt902_4_2">'Ch9'!$AS$316</definedName>
    <definedName name="dnt902_4_3">'Ch9'!$AS$319</definedName>
    <definedName name="dnt902_5">'Ch9'!$AS$322</definedName>
    <definedName name="dnt902_6">'Ch9'!$AS$324</definedName>
    <definedName name="dnt903_1">'Ch9'!$AS$328</definedName>
    <definedName name="dnt903_2">'Ch9'!$AS$332</definedName>
    <definedName name="dnt903_3">'Ch9'!$AS$336</definedName>
    <definedName name="dnt904_1">'Ch9'!$AS$344</definedName>
    <definedName name="dnt904_2">'Ch9'!$AS$349</definedName>
    <definedName name="dnt904_3_1">'Ch9'!$AS$354</definedName>
    <definedName name="dnt904_3_2">'Ch9'!$AS$362</definedName>
    <definedName name="dnt905_1">'Ch9'!$AS$366</definedName>
    <definedName name="dnt905_2">'Ch9'!$AS$371</definedName>
    <definedName name="dnt905_3_1">'Ch9'!$AS$374</definedName>
    <definedName name="dnt905_3_2">'Ch9'!$AS$375</definedName>
    <definedName name="dnt905_4">'Ch9'!$AS$377</definedName>
    <definedName name="dnt905_5">'Ch9'!$AS$382</definedName>
    <definedName name="dnt905_6">'Ch9'!$AS$382</definedName>
    <definedName name="dntBadgesAirLeakage">'Badges (Design)'!$AS$28</definedName>
    <definedName name="dntBadgesAirSealing">'Badges (Design)'!$AS$29</definedName>
    <definedName name="dntBadgesBatteryStorage">'Badges (Design)'!$AS$58</definedName>
    <definedName name="dntBadgesBuildingVent">'Badges (Design)'!$AS$55</definedName>
    <definedName name="dntBadgesDaylighting">'Badges (Design)'!$AS$34</definedName>
    <definedName name="dntBadgesElectricAC">'Badges (Design)'!$AS$46</definedName>
    <definedName name="dntBadgesElectricHeat">'Badges (Design)'!$AS$44</definedName>
    <definedName name="dntBadgesEnergyCredits">'Badges (Design)'!$AS$77</definedName>
    <definedName name="dntBadgesExteriorShading">'Badges (Design)'!$AS$27</definedName>
    <definedName name="dntBadgesFloorRVal">'Badges (Design)'!$AS$16</definedName>
    <definedName name="dntBadgesGasBoiler">'Badges (Design)'!$AS$41</definedName>
    <definedName name="dntBadgesGEDHPHeating">'Badges (Design)'!$AS$45</definedName>
    <definedName name="dntBadgesGEHHPCooling">'Badges (Design)'!$AS$47</definedName>
    <definedName name="dntBadgesGeothermalPower">'Badges (Design)'!$AS$80</definedName>
    <definedName name="dntBadgesGroundSourceHP">'Badges (Design)'!$AS$49</definedName>
    <definedName name="dntBadgesHVACDesc">'Badges (Design)'!$AS$50</definedName>
    <definedName name="dntBadgesLightingDesign">'Badges (Design)'!$AS$36</definedName>
    <definedName name="dntBadgesLightingType">'Badges (Design)'!$AS$33</definedName>
    <definedName name="dntBadgesOccSensor">'Badges (Design)'!$AS$35</definedName>
    <definedName name="dntBadgesOilBoiler">'Badges (Design)'!$AS$42</definedName>
    <definedName name="dntBadgesOilFurnace">'Badges (Design)'!$AS$40</definedName>
    <definedName name="dntBadgesPropane">'Badges (Design)'!$AS$39</definedName>
    <definedName name="dntBadgesRadiant">'Badges (Design)'!$AS$43</definedName>
    <definedName name="dntBadgesResilienceAdditional">'Badges (Design)'!$AS$110</definedName>
    <definedName name="dntBadgesResilienceSect1">'Badges (Design)'!$AS$97</definedName>
    <definedName name="dntBadgesResilienceSect2">'Badges (Design)'!$AS$106</definedName>
    <definedName name="dntBadgesRoofRVal">'Badges (Design)'!$AS$15</definedName>
    <definedName name="dntBadgesSHGC">'Badges (Design)'!$AS$23</definedName>
    <definedName name="dntBadgesSmartAdd">'Badges (Design)'!$AS$166</definedName>
    <definedName name="dntBadgesSmartSect1">'Badges (Design)'!$AS$125</definedName>
    <definedName name="dntBadgesSmartSect2">'Badges (Design)'!$AS$139</definedName>
    <definedName name="dntBadgesSmartSect3">'Badges (Design)'!$AS$152</definedName>
    <definedName name="dntBadgesSmartSect4">'Badges (Design)'!$AS$162</definedName>
    <definedName name="dntBadgesSolar">'Badges (Design)'!$AS$66</definedName>
    <definedName name="dntBadgesSolarThermalArea">'Badges (Design)'!$AS$69</definedName>
    <definedName name="dntBadgesSpotVent">'Badges (Design)'!$AS$54</definedName>
    <definedName name="dntBadgesWallDesc">'Badges (Design)'!$AS$18</definedName>
    <definedName name="dntBadgesWallRVal">'Badges (Design)'!$AS$17</definedName>
    <definedName name="dntBadgesWaterSourceHC">'Badges (Design)'!$AS$48</definedName>
    <definedName name="dntBadgesWellnessSect1">'Badges (Design)'!$AS$203</definedName>
    <definedName name="dntBadgesWellnessSect2">'Badges (Design)'!$AS$222</definedName>
    <definedName name="dntBadgesWellnessSect3">'Badges (Design)'!$AS$246</definedName>
    <definedName name="dntBadgesWellnessSect4">'Badges (Design)'!$AS$256</definedName>
    <definedName name="dntBadgesWellnessSect5">'Badges (Design)'!$AS$264</definedName>
    <definedName name="dntBadgesWellnessSect6">'Badges (Design)'!$AS$272</definedName>
    <definedName name="dntBadgesWellnessSect7">'Badges (Design)'!$AS$280</definedName>
    <definedName name="dntBadgesWellnessSect8">'Badges (Design)'!$AS$287</definedName>
    <definedName name="dntBadgesWellnessSect9">'Badges (Design)'!$AS$298</definedName>
    <definedName name="dntBadgesWind">'Badges (Design)'!$AS$74</definedName>
    <definedName name="dntBadgesWindowDesc">'Badges (Design)'!$AS$24</definedName>
    <definedName name="dntBadgesWindowUVal">'Badges (Design)'!$AS$22</definedName>
    <definedName name="dntBadgesWindowWallRatio">'Badges (Design)'!$AS$21</definedName>
    <definedName name="dntWaterSenseClothesWasher">'WaterSense (Design)'!$AS$110</definedName>
    <definedName name="dntWaterSenseDishwasher">'WaterSense (Design)'!$AS$115</definedName>
    <definedName name="dntWaterSenseIrrigation">'WaterSense (Design)'!$AS$55</definedName>
    <definedName name="dntWaterSenseLavFaucet">'WaterSense (Design)'!$AS$41</definedName>
    <definedName name="dntWaterSenseLeaks1">'WaterSense (Design)'!$AS$18</definedName>
    <definedName name="dntWaterSenseLeaks2">'WaterSense (Design)'!$AS$19</definedName>
    <definedName name="dntWaterSenseLeaks3">'WaterSense (Design)'!$AS$20</definedName>
    <definedName name="dntWaterSenseLeaks4">'WaterSense (Design)'!$AS$22</definedName>
    <definedName name="dntWaterSenseLeaks5">'WaterSense (Design)'!$AS$23</definedName>
    <definedName name="dntWaterSenseLeaks6">'WaterSense (Design)'!$AS$24</definedName>
    <definedName name="dntWaterSenseLeaks7">'WaterSense (Design)'!$AS$27</definedName>
    <definedName name="dntWaterSenseLeaks8">'WaterSense (Design)'!$AS$28</definedName>
    <definedName name="dntWaterSenseOptionA">'WaterSense (Design)'!$AS$132</definedName>
    <definedName name="dntWaterSenseShowerheads">'WaterSense (Design)'!$AS$48</definedName>
    <definedName name="dntWaterSenseToilet">'WaterSense (Design)'!$AS$34</definedName>
    <definedName name="dpa1001_1">'Ch10'!$AM$12</definedName>
    <definedName name="dpa1001_1_1">'Ch10'!$AM$15</definedName>
    <definedName name="dpa1001_1_2">'Ch10'!$AM$16</definedName>
    <definedName name="dpa1001_1_3">'Ch10'!$AM$17</definedName>
    <definedName name="dpa1001_1_9">'Ch10'!$AM$28</definedName>
    <definedName name="dpa1001_2">'Ch10'!$AM$62</definedName>
    <definedName name="dpa1001_2_m">'Ch10'!$AM$60</definedName>
    <definedName name="dpa1002_1">'Ch10'!$AM$79</definedName>
    <definedName name="dpa1002_1_1">'Ch10'!$AM$82</definedName>
    <definedName name="dpa1002_1_2">'Ch10'!$AM$85</definedName>
    <definedName name="dpa1002_1_3">'Ch10'!$AM$88</definedName>
    <definedName name="dpa1002_2">'Ch10'!$AM$97</definedName>
    <definedName name="dpa1002_2_1">'Ch10'!$AM$101</definedName>
    <definedName name="dpa1002_2_11">'Ch10'!$AM$122</definedName>
    <definedName name="dpa1002_2_2">'Ch10'!$AM$103</definedName>
    <definedName name="dpa1002_3">'Ch10'!$AM$124</definedName>
    <definedName name="dpa1002_3_1">'Ch10'!$AM$128</definedName>
    <definedName name="dpa1002_4">'Ch10'!$AM$154</definedName>
    <definedName name="dpa1002_4_m">'Ch10'!$AM$152</definedName>
    <definedName name="dpa1002_5">'Ch10'!$AM$165</definedName>
    <definedName name="dpa1002_5_1">'Ch10'!$AM$167</definedName>
    <definedName name="dpa1002_5_2">'Ch10'!$AM$168</definedName>
    <definedName name="dpa1002_5_3">'Ch10'!$AM$169</definedName>
    <definedName name="dpa1002_6">'Ch10'!$AM$177</definedName>
    <definedName name="dpa1003_1">'Ch10'!$AM$192</definedName>
    <definedName name="dpa1003_1_1">'Ch10'!$AM$193</definedName>
    <definedName name="dpa1003_1_2">'Ch10'!$AM$195</definedName>
    <definedName name="dpa1003_1_3">'Ch10'!$AM$198</definedName>
    <definedName name="dpa1004_1_1">'Ch10'!$AM$211</definedName>
    <definedName name="dpa1004_1_2">'Ch10'!$AM$213</definedName>
    <definedName name="dpa1005_1_1">'Ch10'!$AM$217</definedName>
    <definedName name="dpa1005_1_2">'Ch10'!$AM$220</definedName>
    <definedName name="dpa1005_1_3">'Ch10'!$AM$224</definedName>
    <definedName name="dpa501_1">'Ch5'!$AM$14</definedName>
    <definedName name="dpa501_1_2_a">'Ch5'!$AM$17</definedName>
    <definedName name="dpa501_1_2_b">'Ch5'!$AM$18</definedName>
    <definedName name="dpa501_1_2_c">'Ch5'!$AM$19</definedName>
    <definedName name="dpa501_2_1">'Ch5'!$AM$22</definedName>
    <definedName name="dpa501_2_2">'Ch5'!$AM$24</definedName>
    <definedName name="dpa501_2_3">'Ch5'!$AM$26</definedName>
    <definedName name="dpa501_2_4">'Ch5'!$AM$28</definedName>
    <definedName name="dpa501_2_4_1_a">'Ch5'!$AM$41</definedName>
    <definedName name="dpa501_2_4_1_b">'Ch5'!$AM$42</definedName>
    <definedName name="dpa501_2_5">'Ch5'!$AM$43</definedName>
    <definedName name="dpa501_2_6_a">'Ch5'!$AM$48</definedName>
    <definedName name="dpa501_2_6_b">'Ch5'!$AM$49</definedName>
    <definedName name="dpa501_2_6_c">'Ch5'!$AM$50</definedName>
    <definedName name="dpa501_2_6_d">'Ch5'!$AM$51</definedName>
    <definedName name="dpa501_2_7">'Ch5'!$AM$53</definedName>
    <definedName name="dpa501_2_8">'Ch5'!$AM$56</definedName>
    <definedName name="dpa502_1">'Ch5'!$AM$59</definedName>
    <definedName name="dpa503_1_1">'Ch5'!$AM$70</definedName>
    <definedName name="dpa503_1_2">'Ch5'!$AM$72</definedName>
    <definedName name="dpa503_1_3">'Ch5'!$AM$74</definedName>
    <definedName name="dpa503_1_4">'Ch5'!$AM$76</definedName>
    <definedName name="dpa503_1_5">'Ch5'!$AM$78</definedName>
    <definedName name="dpa503_1_6">'Ch5'!$AM$80</definedName>
    <definedName name="dpa503_1_7">'Ch5'!$AM$82</definedName>
    <definedName name="dpa503_1_8">'Ch5'!$AM$84</definedName>
    <definedName name="dpa503_2_1">'Ch5'!$AM$91</definedName>
    <definedName name="dpa503_2_2">'Ch5'!$AM$92</definedName>
    <definedName name="dpa503_2_3_a">'Ch5'!$AM$96</definedName>
    <definedName name="dpa503_2_3_b">'Ch5'!$AM$97</definedName>
    <definedName name="dpa503_2_3_c">'Ch5'!$AM$98</definedName>
    <definedName name="dpa503_2_4">'Ch5'!$AM$99</definedName>
    <definedName name="dpa503_2_5">'Ch5'!$AM$101</definedName>
    <definedName name="dpa503_3_1">'Ch5'!$AM$105</definedName>
    <definedName name="dpa503_3_2">'Ch5'!$AM$107</definedName>
    <definedName name="dpa503_3_3">'Ch5'!$AM$114</definedName>
    <definedName name="dpa503_4_1">'Ch5'!$AM$122</definedName>
    <definedName name="dpa503_4_2">'Ch5'!$AM$125</definedName>
    <definedName name="dpa503_4_3_a">'Ch5'!$AM$133</definedName>
    <definedName name="dpa503_4_3_b">'Ch5'!$AM$134</definedName>
    <definedName name="dpa503_4_3_c">'Ch5'!$AM$135</definedName>
    <definedName name="dpa503_4_4_a">'Ch5'!$AM$138</definedName>
    <definedName name="dpa503_4_4_b">'Ch5'!$AM$139</definedName>
    <definedName name="dpa503_4_4_c">'Ch5'!$AM$140</definedName>
    <definedName name="dpa503_4_4_c_1">'Ch5'!$AM$141</definedName>
    <definedName name="dpa503_4_5">'Ch5'!$AM$143</definedName>
    <definedName name="dpa503_5_1_a">'Ch5'!$AM$152</definedName>
    <definedName name="dpa503_5_1_b">'Ch5'!$AM$153</definedName>
    <definedName name="dpa503_5_1_c">'Ch5'!$AM$154</definedName>
    <definedName name="dpa503_5_1_d">'Ch5'!$AM$155</definedName>
    <definedName name="dpa503_5_10">'Ch5'!$AM$179</definedName>
    <definedName name="dpa503_5_11">'Ch5'!$AM$182</definedName>
    <definedName name="dpa503_5_12">'Ch5'!$AM$184</definedName>
    <definedName name="dpa503_5_13">'Ch5'!$AM$186</definedName>
    <definedName name="dpa503_5_2">'Ch5'!$AM$156</definedName>
    <definedName name="dpa503_5_3">'Ch5'!$AM$158</definedName>
    <definedName name="dpa503_5_4">'Ch5'!$AM$161</definedName>
    <definedName name="dpa503_5_5">'Ch5'!$AM$163</definedName>
    <definedName name="dpa503_5_6_a">'Ch5'!$AM$167</definedName>
    <definedName name="dpa503_5_6_b">'Ch5'!$AM$168</definedName>
    <definedName name="dpa503_5_6_c">'Ch5'!$AM$169</definedName>
    <definedName name="dpa503_5_6_d">'Ch5'!$AM$170</definedName>
    <definedName name="dpa503_5_7">'Ch5'!$AM$171</definedName>
    <definedName name="dpa503_5_8">'Ch5'!$AM$172</definedName>
    <definedName name="dpa503_5_9">'Ch5'!$AM$177</definedName>
    <definedName name="dpa503_6_1">'Ch5'!$AM$190</definedName>
    <definedName name="dpa503_6_2">'Ch5'!$AM$191</definedName>
    <definedName name="dpa503_6_3">'Ch5'!$AM$192</definedName>
    <definedName name="dpa503_6_4">'Ch5'!$AM$194</definedName>
    <definedName name="dpa503_7">'Ch5'!$AM$195</definedName>
    <definedName name="dpa503_8">'Ch5'!$AM$201</definedName>
    <definedName name="dpa503_8_1">'Ch5'!$AM$204</definedName>
    <definedName name="dpa504_1">'Ch5'!$AM$209</definedName>
    <definedName name="dpa504_2_1">'Ch5'!$AM$216</definedName>
    <definedName name="dpa504_2_2">'Ch5'!$AM$217</definedName>
    <definedName name="dpa504_2_3">'Ch5'!$AM$219</definedName>
    <definedName name="dpa504_3_1">'Ch5'!$AM$224</definedName>
    <definedName name="dpa504_3_2">'Ch5'!$AM$226</definedName>
    <definedName name="dpa504_3_3">'Ch5'!$AM$227</definedName>
    <definedName name="dpa504_3_4">'Ch5'!$AM$229</definedName>
    <definedName name="dpa504_3_5">'Ch5'!$AM$231</definedName>
    <definedName name="dpa504_3_6">'Ch5'!$AM$235</definedName>
    <definedName name="dpa504_3_7">'Ch5'!$AM$238</definedName>
    <definedName name="dpa504_3_8">'Ch5'!$AM$239</definedName>
    <definedName name="dpa504_3_9">'Ch5'!$AM$247</definedName>
    <definedName name="dpa505_1_1">'Ch5'!$AM$254</definedName>
    <definedName name="dpa505_1_2">'Ch5'!$AM$256</definedName>
    <definedName name="dpa505_1_3_a">'Ch5'!$AM$259</definedName>
    <definedName name="dpa505_1_3_b">'Ch5'!$AM$260</definedName>
    <definedName name="dpa505_1_3_c">'Ch5'!$AM$261</definedName>
    <definedName name="dpa505_10_a">'Ch5'!$AM$322</definedName>
    <definedName name="dpa505_10_b">'Ch5'!$AM$324</definedName>
    <definedName name="dpa505_10_c">'Ch5'!$AM$326</definedName>
    <definedName name="dpa505_2_1">'Ch5'!$AM$263</definedName>
    <definedName name="dpa505_2_2">'Ch5'!$AM$273</definedName>
    <definedName name="dpa505_3_1">'Ch5'!$AM$277</definedName>
    <definedName name="dpa505_3_2">'Ch5'!$AM$278</definedName>
    <definedName name="dpa505_3_3">'Ch5'!$AM$279</definedName>
    <definedName name="dpa505_3_4">'Ch5'!$AM$280</definedName>
    <definedName name="dpa505_3_5">'Ch5'!$AM$281</definedName>
    <definedName name="dpa505_4_1">'Ch5'!$AM$283</definedName>
    <definedName name="dpa505_5_a">'Ch5'!$AM$287</definedName>
    <definedName name="dpa505_5_b">'Ch5'!$AM$289</definedName>
    <definedName name="dpa505_5_c">'Ch5'!$AM$292</definedName>
    <definedName name="dpa505_5_d">'Ch5'!$AM$293</definedName>
    <definedName name="dpa505_6">'Ch5'!$AM$294</definedName>
    <definedName name="dpa505_7">'Ch5'!$AM$306</definedName>
    <definedName name="dpa505_8">'Ch5'!$AM$310</definedName>
    <definedName name="dpa505_9_a">'Ch5'!$AM$313</definedName>
    <definedName name="dpa505_9_b">'Ch5'!$AM$316</definedName>
    <definedName name="dpa505_9_c">'Ch5'!$AM$317</definedName>
    <definedName name="dpa601_1_1">'Ch6'!$AM$19</definedName>
    <definedName name="dpa601_1_2">'Ch6'!$AM$20</definedName>
    <definedName name="dpa601_1_3">'Ch6'!$AM$21</definedName>
    <definedName name="dpa601_1_4">'Ch6'!$AM$22</definedName>
    <definedName name="dpa601_1_5">'Ch6'!$AM$23</definedName>
    <definedName name="dpa601_2_1">'Ch6'!$AM$31</definedName>
    <definedName name="dpa601_2_2">'Ch6'!$AM$34</definedName>
    <definedName name="dpa601_2_3">'Ch6'!$AM$37</definedName>
    <definedName name="dpa601_3_1">'Ch6'!$AM$41</definedName>
    <definedName name="dpa601_3_2">'Ch6'!$AM$42</definedName>
    <definedName name="dpa601_3_3">'Ch6'!$AM$43</definedName>
    <definedName name="dpa601_3_4">'Ch6'!$AM$44</definedName>
    <definedName name="dpa601_3_5">'Ch6'!$AM$45</definedName>
    <definedName name="dpa601_4">'Ch6'!$AM$46</definedName>
    <definedName name="dpa601_5">'Ch6'!$AM$49</definedName>
    <definedName name="dpa601_5_1">'Ch6'!$AM$52</definedName>
    <definedName name="dpa601_5_2">'Ch6'!$AM$53</definedName>
    <definedName name="dpa601_5_3">'Ch6'!$AM$54</definedName>
    <definedName name="dpa601_5_4">'Ch6'!$AM$55</definedName>
    <definedName name="dpa601_5_5">'Ch6'!$AM$56</definedName>
    <definedName name="dpa601_6">'Ch6'!$AM$57</definedName>
    <definedName name="dpa601_6_1">'Ch6'!$AM$60</definedName>
    <definedName name="dpa601_6_2">'Ch6'!$AM$61</definedName>
    <definedName name="dpa601_7">'Ch6'!$AM$62</definedName>
    <definedName name="dpa601_7_1">'Ch6'!$AM$75</definedName>
    <definedName name="dpa601_7_2">'Ch6'!$AM$76</definedName>
    <definedName name="dpa601_7_3">'Ch6'!$AM$78</definedName>
    <definedName name="dpa601_8">'Ch6'!$AM$80</definedName>
    <definedName name="dpa602_1_1_1">'Ch6'!$AM$93</definedName>
    <definedName name="dpa602_1_1_2">'Ch6'!$AM$96</definedName>
    <definedName name="dpa602_1_10">'Ch6'!$AM$192</definedName>
    <definedName name="dpa602_1_11">'Ch6'!$AM$205</definedName>
    <definedName name="dpa602_1_12">'Ch6'!$AM$207</definedName>
    <definedName name="dpa602_1_13">'Ch6'!$AM$210</definedName>
    <definedName name="dpa602_1_14_1">'Ch6'!$AM$216</definedName>
    <definedName name="dpa602_1_14_2">'Ch6'!$AM$218</definedName>
    <definedName name="dpa602_1_14_3">'Ch6'!$AM$219</definedName>
    <definedName name="dpa602_1_15">'Ch6'!$AM$220</definedName>
    <definedName name="dpa602_1_2">'Ch6'!$AM$98</definedName>
    <definedName name="dpa602_1_3_1">'Ch6'!$AM$103</definedName>
    <definedName name="dpa602_1_3_2">'Ch6'!$AM$105</definedName>
    <definedName name="dpa602_1_4_1_1">'Ch6'!$AM$111</definedName>
    <definedName name="dpa602_1_4_1_2">'Ch6'!$AM$113</definedName>
    <definedName name="dpa602_1_4_2_1">'Ch6'!$AM$117</definedName>
    <definedName name="dpa602_1_4_2_2">'Ch6'!$AM$119</definedName>
    <definedName name="dpa602_1_5_1">'Ch6'!$AM$123</definedName>
    <definedName name="dpa602_1_5_2">'Ch6'!$AM$125</definedName>
    <definedName name="dpa602_1_6_1">'Ch6'!$AM$131</definedName>
    <definedName name="dpa602_1_6_2">'Ch6'!$AM$135</definedName>
    <definedName name="dpa602_1_6_3">'Ch6'!$AM$139</definedName>
    <definedName name="dpa602_1_7_1_1">'Ch6'!$AM$144</definedName>
    <definedName name="dpa602_1_7_1_2">'Ch6'!$AM$146</definedName>
    <definedName name="dpa602_1_7_1_3">'Ch6'!$AM$149</definedName>
    <definedName name="dpa602_1_7_2">'Ch6'!$AM$151</definedName>
    <definedName name="dpa602_1_7_3">'Ch6'!$AM$153</definedName>
    <definedName name="dpa602_1_8">'Ch6'!$AM$157</definedName>
    <definedName name="dpa602_1_9_1">'Ch6'!$AM$165</definedName>
    <definedName name="dpa602_1_9_2">'Ch6'!$AM$175</definedName>
    <definedName name="dpa602_1_9_3">'Ch6'!$AM$178</definedName>
    <definedName name="dpa602_1_9_4">'Ch6'!$AM$179</definedName>
    <definedName name="dpa602_1_9_5_a">'Ch6'!$AM$184</definedName>
    <definedName name="dpa602_1_9_5_b">'Ch6'!$AM$187</definedName>
    <definedName name="dpa602_1_9_6">'Ch6'!$AM$189</definedName>
    <definedName name="dpa602_1_9_7">'Ch6'!$AM$191</definedName>
    <definedName name="dpa602_2">'Ch6'!$AM$223</definedName>
    <definedName name="dpa602_3">'Ch6'!$AM$233</definedName>
    <definedName name="dpa602_4_1">'Ch6'!$AM$237</definedName>
    <definedName name="dpa602_4_2">'Ch6'!$AM$242</definedName>
    <definedName name="dpa602_4_3">'Ch6'!$AM$244</definedName>
    <definedName name="dpa603_1">'Ch6'!$AM$248</definedName>
    <definedName name="dpa603_2">'Ch6'!$AM$254</definedName>
    <definedName name="dpa603_3">'Ch6'!$AM$261</definedName>
    <definedName name="dpa604_1a">'Ch6'!$AM$265</definedName>
    <definedName name="dpa605_1">'Ch6'!$AM$275</definedName>
    <definedName name="dpa605_2">'Ch6'!$AM$278</definedName>
    <definedName name="dpa605_3">'Ch6'!$AM$293</definedName>
    <definedName name="dpa605_4">'Ch6'!$AM$302</definedName>
    <definedName name="dpa605_4_1">'Ch6'!$AM$304</definedName>
    <definedName name="dpa605_4_2">'Ch6'!$AM$305</definedName>
    <definedName name="dpa606_1_1">'Ch6'!$AM$329</definedName>
    <definedName name="dpa606_1_2">'Ch6'!$AM$331</definedName>
    <definedName name="dpa606_1_3">'Ch6'!$AM$333</definedName>
    <definedName name="dpa606_2_1a">'Ch6'!$AM$350</definedName>
    <definedName name="dpa606_2_2a">'Ch6'!$AM$353</definedName>
    <definedName name="dpa606_3">'Ch6'!$AM$356</definedName>
    <definedName name="dpa607_1_1">'Ch6'!$AM$365</definedName>
    <definedName name="dpa607_1_2">'Ch6'!$AM$370</definedName>
    <definedName name="dpa607_2">'Ch6'!$AM$376</definedName>
    <definedName name="dpa608_1">'Ch6'!$AM$379</definedName>
    <definedName name="dpa609_1">'Ch6'!$AM$388</definedName>
    <definedName name="dpa609_1_1">'Ch6'!$AM$390</definedName>
    <definedName name="dpa609_1_2">'Ch6'!$AM$392</definedName>
    <definedName name="dpa610_1_1_1">'Ch6'!$AM$409</definedName>
    <definedName name="dpa610_1_1_2">'Ch6'!$AM$418</definedName>
    <definedName name="dpa610_1_1_3">'Ch6'!$AM$426</definedName>
    <definedName name="dpa610_1_2">'Ch6'!$AM$428</definedName>
    <definedName name="dpa610_1_2_1">'Ch6'!$AM$432</definedName>
    <definedName name="dpa610_1_2_2a">'Ch6'!$AM$446</definedName>
    <definedName name="dpa611_1">'Ch6'!$AM$472</definedName>
    <definedName name="dpa612_1">'Ch6'!$AM$495</definedName>
    <definedName name="dpa612_2">'Ch6'!$AM$503</definedName>
    <definedName name="dpa612_2_1">'Ch6'!$AM$506</definedName>
    <definedName name="dpa612_2_2">'Ch6'!$AM$507</definedName>
    <definedName name="dpa612_2_3">'Ch6'!$AM$509</definedName>
    <definedName name="dpa612_2_4">'Ch6'!$AM$511</definedName>
    <definedName name="dpa612_2_5">'Ch6'!$AM$513</definedName>
    <definedName name="dpa612_2_6">'Ch6'!$AM$515</definedName>
    <definedName name="dpa612_2_7">'Ch6'!$AM$517</definedName>
    <definedName name="dpa612_3">'Ch6'!$AM$519</definedName>
    <definedName name="dpa612_3_1">'Ch6'!$AM$521</definedName>
    <definedName name="dpa612_3_2">'Ch6'!$AM$526</definedName>
    <definedName name="dpa612_3_3">'Ch6'!$AM$530</definedName>
    <definedName name="dpa612_3_4">'Ch6'!$AM$532</definedName>
    <definedName name="dpa612_3_5">'Ch6'!$AM$534</definedName>
    <definedName name="dpa612_3_6">'Ch6'!$AM$535</definedName>
    <definedName name="dpa612_3_7">'Ch6'!$AM$536</definedName>
    <definedName name="dpa612_3_8">'Ch6'!$AM$540</definedName>
    <definedName name="dpa612_3_9">'Ch6'!$AM$542</definedName>
    <definedName name="dpa613_1_a">'Ch6'!$AM$551</definedName>
    <definedName name="dpa613_1_b">'Ch6'!$AM$553</definedName>
    <definedName name="dpa613_1_c">'Ch6'!$AM$557</definedName>
    <definedName name="dpa613_1_d">'Ch6'!$AM$558</definedName>
    <definedName name="dpa613_1_e">'Ch6'!$AM$559</definedName>
    <definedName name="dpa613_1_f">'Ch6'!$AM$560</definedName>
    <definedName name="dpa701_1_6_1">'Ch7'!$AM$41</definedName>
    <definedName name="dpa701_1_6_2">'Ch7'!$AM$42</definedName>
    <definedName name="dpa701_1_6_3">'Ch7'!$AM$44</definedName>
    <definedName name="dpa701_1_6_4">'Ch7'!$AM$45</definedName>
    <definedName name="dpa701_1_6_5">'Ch7'!$AM$47</definedName>
    <definedName name="dpa701_1_6_6_a">'Ch7'!$AM$50</definedName>
    <definedName name="dpa701_1_6_6_b">'Ch7'!$AM$51</definedName>
    <definedName name="dpa701_1_6_6_c">'Ch7'!$AM$52</definedName>
    <definedName name="dpa701_1_6_7_a">'Ch7'!$AM$54</definedName>
    <definedName name="dpa701_1_6_7_b">'Ch7'!$AM$55</definedName>
    <definedName name="dpa701_1_6_7_c">'Ch7'!$AM$56</definedName>
    <definedName name="dpa701_1_6_8">'Ch7'!$AM$57</definedName>
    <definedName name="dpa701_1_6_9">'Ch7'!$AM$59</definedName>
    <definedName name="dpa701_4_1">'Ch7'!$AM$77</definedName>
    <definedName name="dpa701_4_1_1">'Ch7'!$AM$68</definedName>
    <definedName name="dpa701_4_1_2">'Ch7'!$AM$71</definedName>
    <definedName name="dpa701_4_2_2">'Ch7'!$AM$80</definedName>
    <definedName name="dpa701_4_2_3">'Ch7'!$AM$81</definedName>
    <definedName name="dpa701_4_3_1">'Ch7'!$AM$84</definedName>
    <definedName name="dpa701_4_3_2">'Ch7'!$AM$101</definedName>
    <definedName name="dpa701_4_3_2_1">'Ch7'!$AM$124</definedName>
    <definedName name="dpa701_4_3_4">'Ch7'!$AM$150</definedName>
    <definedName name="dpa701_4_3_5">'Ch7'!$AM$160</definedName>
    <definedName name="dpa701_4_4">'Ch7'!$AM$168</definedName>
    <definedName name="dpa701_4_5">'Ch7'!$AM$173</definedName>
    <definedName name="dpa702_2_1">'Ch7'!$AM$179</definedName>
    <definedName name="dpa702_2_2">'Ch7'!$AM$183</definedName>
    <definedName name="dpa703_1">'Ch7'!$AM$195</definedName>
    <definedName name="dpa703_1_1">'Ch7'!$AM$196</definedName>
    <definedName name="dpa703_1_2">'Ch7'!$AM$211</definedName>
    <definedName name="dpa703_1_3">'Ch7'!$AM$214</definedName>
    <definedName name="dpa703_2_1">'Ch7'!$AM$220</definedName>
    <definedName name="dpa703_2_2">'Ch7'!$AM$227</definedName>
    <definedName name="dpa703_2_3">'Ch7'!$AM$229</definedName>
    <definedName name="dpa703_2_4">'Ch7'!$AM$232</definedName>
    <definedName name="dpa703_2_5_1">'Ch7'!$AM$236</definedName>
    <definedName name="dpa703_2_5_2">'Ch7'!$AM$252</definedName>
    <definedName name="dpa703_2_5_2_a">'Ch7'!$AM$257</definedName>
    <definedName name="dpa703_2_5_2_b">'Ch7'!$AM$258</definedName>
    <definedName name="dpa703_2_5_2_c">'Ch7'!$AM$259</definedName>
    <definedName name="dpa703_3_1">'Ch7'!$AM$284</definedName>
    <definedName name="dpa703_3_2__1_1">'Ch7'!$AM$291</definedName>
    <definedName name="dpa703_3_2__1_2">'Ch7'!$AM$292</definedName>
    <definedName name="dpa703_3_2__1_3">'Ch7'!$AM$293</definedName>
    <definedName name="dpa703_3_2__1_4">'Ch7'!$AM$294</definedName>
    <definedName name="dpa703_3_2__1_5">'Ch7'!$AM$295</definedName>
    <definedName name="dpa703_3_2__2_1">'Ch7'!$AM$297</definedName>
    <definedName name="dpa703_3_2__2_2">'Ch7'!$AM$298</definedName>
    <definedName name="dpa703_3_2__3_1">'Ch7'!$AM$300</definedName>
    <definedName name="dpa703_3_2__3_2">'Ch7'!$AM$301</definedName>
    <definedName name="dpa703_3_2__3_3">'Ch7'!$AM$302</definedName>
    <definedName name="dpa703_3_2__3_4">'Ch7'!$AM$303</definedName>
    <definedName name="dpa703_3_2__4_1">'Ch7'!$AM$305</definedName>
    <definedName name="dpa703_3_2__4_2">'Ch7'!$AM$306</definedName>
    <definedName name="dpa703_3_3__1_1">'Ch7'!$AM$311</definedName>
    <definedName name="dpa703_3_3__1_2">'Ch7'!$AM$312</definedName>
    <definedName name="dpa703_3_3__1_3">'Ch7'!$AM$313</definedName>
    <definedName name="dpa703_3_3__1_4">'Ch7'!$AM$314</definedName>
    <definedName name="dpa703_3_3__1_5">'Ch7'!$AM$315</definedName>
    <definedName name="dpa703_3_3__2">'Ch7'!$AM$316</definedName>
    <definedName name="dpa703_3_3__3">'Ch7'!$AM$318</definedName>
    <definedName name="dpa703_3_4_1_1">'Ch7'!$AM$323</definedName>
    <definedName name="dpa703_3_4_1_2">'Ch7'!$AM$324</definedName>
    <definedName name="dpa703_3_4_1_3">'Ch7'!$AM$325</definedName>
    <definedName name="dpa703_3_4_1_4">'Ch7'!$AM$326</definedName>
    <definedName name="dpa703_3_4_1_5">'Ch7'!$AM$327</definedName>
    <definedName name="dpa703_3_4_1_6">'Ch7'!$AM$328</definedName>
    <definedName name="dpa703_3_4_2">'Ch7'!$AM$330</definedName>
    <definedName name="dpa703_3_5">'Ch7'!$AM$331</definedName>
    <definedName name="dpa703_3_6_1">'Ch7'!$AM$338</definedName>
    <definedName name="dpa703_3_6_2">'Ch7'!$AM$339</definedName>
    <definedName name="dpa703_3_6_3">'Ch7'!$AM$340</definedName>
    <definedName name="dpa703_3_7_1">'Ch7'!$AM$341</definedName>
    <definedName name="dpa703_3_8">'Ch7'!$AM$348</definedName>
    <definedName name="dpa703_4_1">'Ch7'!$AM$354</definedName>
    <definedName name="dpa703_4_2">'Ch7'!$AM$356</definedName>
    <definedName name="dpa703_4_3">'Ch7'!$AM$358</definedName>
    <definedName name="dpa703_4_4_1">'Ch7'!$AM$370</definedName>
    <definedName name="dpa703_4_4_2">'Ch7'!$AM$371</definedName>
    <definedName name="dpa703_4_4_3">'Ch7'!$AM$372</definedName>
    <definedName name="dpa703_5_1_1_a_1">'Ch7'!$AM$384</definedName>
    <definedName name="dpa703_5_1_1_a_2">'Ch7'!$AM$385</definedName>
    <definedName name="dpa703_5_1_1_b">'Ch7'!$AM$386</definedName>
    <definedName name="dpa703_5_1_1_c_1">'Ch7'!$AM$389</definedName>
    <definedName name="dpa703_5_1_1_c_2">'Ch7'!$AM$390</definedName>
    <definedName name="dpa703_5_1_1_d_1">'Ch7'!$AM$394</definedName>
    <definedName name="dpa703_5_1_1_d_2">'Ch7'!$AM$395</definedName>
    <definedName name="dpa703_5_1_1_e_1">'Ch7'!$AM$398</definedName>
    <definedName name="dpa703_5_1_1_e_2">'Ch7'!$AM$399</definedName>
    <definedName name="dpa703_5_1_2_a_1">'Ch7'!$AM$403</definedName>
    <definedName name="dpa703_5_1_2_a_2">'Ch7'!$AM$404</definedName>
    <definedName name="dpa703_5_1_2_a_3">'Ch7'!$AM$405</definedName>
    <definedName name="dpa703_5_1_2_a_4">'Ch7'!$AM$406</definedName>
    <definedName name="dpa703_5_1_2_a_5">'Ch7'!$AM$407</definedName>
    <definedName name="dpa703_5_1_2_a_6">'Ch7'!$AM$408</definedName>
    <definedName name="dpa703_5_1_2_a_7">'Ch7'!$AM$409</definedName>
    <definedName name="dpa703_5_1_2_b_1">'Ch7'!$AM$412</definedName>
    <definedName name="dpa703_5_1_2_b_2">'Ch7'!$AM$413</definedName>
    <definedName name="dpa703_5_1_2_b_3">'Ch7'!$AM$414</definedName>
    <definedName name="dpa703_5_1_2_b_4">'Ch7'!$AM$415</definedName>
    <definedName name="dpa703_5_1_2_c">'Ch7'!$AM$416</definedName>
    <definedName name="dpa703_5_1_2_d">'Ch7'!$AM$418</definedName>
    <definedName name="dpa703_5_1_2_e">'Ch7'!$AM$420</definedName>
    <definedName name="dpa703_5_1_3">'Ch7'!$AM$422</definedName>
    <definedName name="dpa703_5_2">'Ch7'!$AM$423</definedName>
    <definedName name="dpa703_5_3">'Ch7'!$AM$425</definedName>
    <definedName name="dpa703_5_4">'Ch7'!$AM$427</definedName>
    <definedName name="dpa703_5_5_a_1">'Ch7'!$AM$433</definedName>
    <definedName name="dpa703_5_5_a_2">'Ch7'!$AM$434</definedName>
    <definedName name="dpa703_5_5_a_3">'Ch7'!$AM$435</definedName>
    <definedName name="dpa703_5_5_a_4">'Ch7'!$AM$436</definedName>
    <definedName name="dpa703_5_5_a_5">'Ch7'!$AM$437</definedName>
    <definedName name="dpa703_5_5_b_1">'Ch7'!$AM$440</definedName>
    <definedName name="dpa703_5_5_b_2">'Ch7'!$AM$441</definedName>
    <definedName name="dpa703_5_5_b_3">'Ch7'!$AM$442</definedName>
    <definedName name="dpa703_5_5_b_4">'Ch7'!$AM$443</definedName>
    <definedName name="dpa703_5_5_b_5">'Ch7'!$AM$444</definedName>
    <definedName name="dpa703_6_1_1">'Ch7'!$AM$448</definedName>
    <definedName name="dpa703_6_1_2">'Ch7'!$AM$450</definedName>
    <definedName name="dpa703_6_1_3">'Ch7'!$AM$452</definedName>
    <definedName name="dpa703_6_2__1">'Ch7'!$AM$455</definedName>
    <definedName name="dpa703_6_2__2">'Ch7'!$AM$456</definedName>
    <definedName name="dpa703_6_2__3">'Ch7'!$AM$457</definedName>
    <definedName name="dpa703_7_1">'Ch7'!$AM$460</definedName>
    <definedName name="dpa703_7_2">'Ch7'!$AM$487</definedName>
    <definedName name="dpa703_7_3_1">'Ch7'!$AM$491</definedName>
    <definedName name="dpa703_7_3_2">'Ch7'!$AM$492</definedName>
    <definedName name="dpa703_7_4">'Ch7'!$AM$517</definedName>
    <definedName name="dpa705_2_1_1_1">'Ch7'!$AM$559</definedName>
    <definedName name="dpa705_2_1_1_2">'Ch7'!$AM$560</definedName>
    <definedName name="dpa705_2_1_2">'Ch7'!$AM$561</definedName>
    <definedName name="dpa705_2_1_3_1_a">'Ch7'!$AM$566</definedName>
    <definedName name="dpa705_2_1_3_1_b">'Ch7'!$AM$567</definedName>
    <definedName name="dpa705_2_1_3_2_a">'Ch7'!$AM$571</definedName>
    <definedName name="dpa705_2_1_3_2_b">'Ch7'!$AM$572</definedName>
    <definedName name="dpa705_2_1_4_1">'Ch7'!$AM$576</definedName>
    <definedName name="dpa705_2_1_4_2">'Ch7'!$AM$577</definedName>
    <definedName name="dpa705_2_2">'Ch7'!$AM$578</definedName>
    <definedName name="dpa705_2_3">'Ch7'!$AM$581</definedName>
    <definedName name="dpa705_2_4">'Ch7'!$AM$583</definedName>
    <definedName name="dpa705_3">'Ch7'!$AM$586</definedName>
    <definedName name="dpa705_4">'Ch7'!$AM$587</definedName>
    <definedName name="dpa705_5_1_1">'Ch7'!$AM$592</definedName>
    <definedName name="dpa705_5_1_2">'Ch7'!$AM$595</definedName>
    <definedName name="dpa705_5_2">'Ch7'!$AM$597</definedName>
    <definedName name="dpa705_5_3_1">'Ch7'!$AM$606</definedName>
    <definedName name="dpa705_5_3_2">'Ch7'!$AM$608</definedName>
    <definedName name="dpa705_6_1">'Ch7'!$AM$610</definedName>
    <definedName name="dpa705_6_2_1_1_1">'Ch7'!$AM$623</definedName>
    <definedName name="dpa705_6_2_1_2">'Ch7'!$AM$626</definedName>
    <definedName name="dpa705_6_2_2_1">'Ch7'!$AM$632</definedName>
    <definedName name="dpa705_6_2_2_2">'Ch7'!$AM$634</definedName>
    <definedName name="dpa705_6_2_3_1">'Ch7'!$AM$640</definedName>
    <definedName name="dpa705_6_2_3_2">'Ch7'!$AM$641</definedName>
    <definedName name="dpa705_6_3">'Ch7'!$AM$643</definedName>
    <definedName name="dpa705_6_4_1">'Ch7'!$AM$655</definedName>
    <definedName name="dpa705_6_4_2">'Ch7'!$AM$657</definedName>
    <definedName name="dpa705_7">'Ch7'!$AM$659</definedName>
    <definedName name="dpa706_1">'Ch7'!$AM$664</definedName>
    <definedName name="dpa706_1_1">'Ch7'!$AM$666</definedName>
    <definedName name="dpa706_1_2">'Ch7'!$AM$667</definedName>
    <definedName name="dpa706_1_3">'Ch7'!$AM$668</definedName>
    <definedName name="dpa706_1_4">'Ch7'!$AM$669</definedName>
    <definedName name="dpa706_1_5">'Ch7'!$AM$671</definedName>
    <definedName name="dpa706_10">'Ch7'!$AM$741</definedName>
    <definedName name="dpa706_11">'Ch7'!$AM$746</definedName>
    <definedName name="dpa706_12">'Ch7'!$AM$748</definedName>
    <definedName name="dpa706_13_1">'Ch7'!$AM$754</definedName>
    <definedName name="dpa706_13_2">'Ch7'!$AM$755</definedName>
    <definedName name="dpa706_14_1">'Ch7'!$AM$757</definedName>
    <definedName name="dpa706_14_2">'Ch7'!$AM$761</definedName>
    <definedName name="dpa706_15_1">'Ch7'!$AM$766</definedName>
    <definedName name="dpa706_15_2">'Ch7'!$AM$767</definedName>
    <definedName name="dpa706_2_1">'Ch7'!$AM$674</definedName>
    <definedName name="dpa706_2_2_a">'Ch7'!$AM$682</definedName>
    <definedName name="dpa706_2_2_b">'Ch7'!$AM$684</definedName>
    <definedName name="dpa706_3_a">'Ch7'!$AM$688</definedName>
    <definedName name="dpa706_3_b">'Ch7'!$AM$689</definedName>
    <definedName name="dpa706_4_1_1">'Ch7'!$AM$704</definedName>
    <definedName name="dpa706_4_1_2">'Ch7'!$AM$706</definedName>
    <definedName name="dpa706_4_2">'Ch7'!$AM$708</definedName>
    <definedName name="dpa706_5_1">'Ch7'!$AM$711</definedName>
    <definedName name="dpa706_5_2">'Ch7'!$AM$713</definedName>
    <definedName name="dpa706_5_3">'Ch7'!$AM$715</definedName>
    <definedName name="dpa706_6">'Ch7'!$AM$725</definedName>
    <definedName name="dpa706_7_1">'Ch7'!$AM$729</definedName>
    <definedName name="dpa706_7_2">'Ch7'!$AM$730</definedName>
    <definedName name="dpa706_8">'Ch7'!$AM$733</definedName>
    <definedName name="dpa706_9">'Ch7'!$AM$736</definedName>
    <definedName name="dpa802_1_1">'Ch8'!$AM$34</definedName>
    <definedName name="dpa802_1_2">'Ch8'!$AM$36</definedName>
    <definedName name="dpa802_1_3">'Ch8'!$AM$38</definedName>
    <definedName name="dpa802_1_4">'Ch8'!$AM$40</definedName>
    <definedName name="dpa802_1_4_a">'Ch8'!$AM$43</definedName>
    <definedName name="dpa802_1_5">'Ch8'!$AM$45</definedName>
    <definedName name="dpa802_1_6">'Ch8'!$AM$50</definedName>
    <definedName name="dpa802_10_1">'Ch8'!$AM$208</definedName>
    <definedName name="dpa802_10_1_1">'Ch8'!$AM$211</definedName>
    <definedName name="dpa802_2_1">'Ch8'!$AM$55</definedName>
    <definedName name="dpa802_2_2">'Ch8'!$AM$56</definedName>
    <definedName name="dpa802_2_3">'Ch8'!$AM$57</definedName>
    <definedName name="dpa802_3_1_a">'Ch8'!$AM$64</definedName>
    <definedName name="dpa802_3_1_b">'Ch8'!$AM$66</definedName>
    <definedName name="dpa802_3_2_a">'Ch8'!$AM$73</definedName>
    <definedName name="dpa802_3_2_b">'Ch8'!$AM$75</definedName>
    <definedName name="dpa802_4_1">'Ch8'!$AM$80</definedName>
    <definedName name="dpa802_4_1_1">'Ch8'!$AM$82</definedName>
    <definedName name="dpa802_4_1_2">'Ch8'!$AM$89</definedName>
    <definedName name="dpa802_4_2_a">'Ch8'!$AM$95</definedName>
    <definedName name="dpa802_4_2_b">'Ch8'!$AM$96</definedName>
    <definedName name="dpa802_4_3">'Ch8'!$AM$97</definedName>
    <definedName name="dpa802_5_1_1">'Ch8'!$AM$103</definedName>
    <definedName name="dpa802_5_1_2">'Ch8'!$AM$107</definedName>
    <definedName name="dpa802_5_1_3">'Ch8'!$AM$108</definedName>
    <definedName name="dpa802_5_1_4">'Ch8'!$AM$109</definedName>
    <definedName name="dpa802_5_1_5">'Ch8'!$AM$111</definedName>
    <definedName name="dpa802_5_2_1">'Ch8'!$AM$115</definedName>
    <definedName name="dpa802_5_2_2">'Ch8'!$AM$116</definedName>
    <definedName name="dpa802_5_3">'Ch8'!$AM$117</definedName>
    <definedName name="dpa802_5_4_2">'Ch8'!$AM$124</definedName>
    <definedName name="dpa802_5_4_3">'Ch8'!$AM$131</definedName>
    <definedName name="dpa802_5_4_4_a">'Ch8'!$AM$134</definedName>
    <definedName name="dpa802_5_4_4_b">'Ch8'!$AM$138</definedName>
    <definedName name="dpa802_5_4_4_c">'Ch8'!$AM$140</definedName>
    <definedName name="dpa802_6_1">'Ch8'!$AM$143</definedName>
    <definedName name="dpa802_6_2">'Ch8'!$AM$145</definedName>
    <definedName name="dpa802_6_3_1">'Ch8'!$AM$149</definedName>
    <definedName name="dpa802_6_3_2">'Ch8'!$AM$150</definedName>
    <definedName name="dpa802_6_3_3">'Ch8'!$AM$151</definedName>
    <definedName name="dpa802_6_4_1">'Ch8'!$AM$156</definedName>
    <definedName name="dpa802_6_4_2">'Ch8'!$AM$158</definedName>
    <definedName name="dpa802_6_5_1">'Ch8'!$AM$164</definedName>
    <definedName name="dpa802_6_5_2">'Ch8'!$AM$166</definedName>
    <definedName name="dpa802_6_5_3">'Ch8'!$AM$168</definedName>
    <definedName name="dpa802_6_5_4">'Ch8'!$AM$169</definedName>
    <definedName name="dpa802_6_5_5">'Ch8'!$AM$171</definedName>
    <definedName name="dpa802_7_1_1">'Ch8'!$AM$176</definedName>
    <definedName name="dpa802_7_1_2_a">'Ch8'!$AM$179</definedName>
    <definedName name="dpa802_7_1_2_b">'Ch8'!$AM$180</definedName>
    <definedName name="dpa802_7_1_2_c">'Ch8'!$AM$181</definedName>
    <definedName name="dpa802_7_1_2_d">'Ch8'!$AM$183</definedName>
    <definedName name="dpa802_7_2_1">'Ch8'!$AM$189</definedName>
    <definedName name="dpa802_7_2_2">'Ch8'!$AM$191</definedName>
    <definedName name="dpa802_8">'Ch8'!$AM$192</definedName>
    <definedName name="dpa802_9_1_1">'Ch8'!$AM$201</definedName>
    <definedName name="dpa802_9_1_2">'Ch8'!$AM$202</definedName>
    <definedName name="dpa802_9_2_1">'Ch8'!$AM$205</definedName>
    <definedName name="dpa802_9_2_2">'Ch8'!$AM$206</definedName>
    <definedName name="dpa803_1_1">'Ch8'!$AM$217</definedName>
    <definedName name="dpa803_1_2">'Ch8'!$AM$219</definedName>
    <definedName name="dpa803_2">'Ch8'!$AM$220</definedName>
    <definedName name="dpa803_3">'Ch8'!$AM$223</definedName>
    <definedName name="dpa803_4">'Ch8'!$AM$228</definedName>
    <definedName name="dpa803_5">'Ch8'!$AM$231</definedName>
    <definedName name="dpa803_6">'Ch8'!$AM$233</definedName>
    <definedName name="dpa901_1_1">'Ch9'!$AM$12</definedName>
    <definedName name="dpa901_1_2">'Ch9'!$AM$18</definedName>
    <definedName name="dpa901_1_3_1_a">'Ch9'!$AM$24</definedName>
    <definedName name="dpa901_1_3_1_b">'Ch9'!$AM$25</definedName>
    <definedName name="dpa901_1_3_2_a">'Ch9'!$AM$27</definedName>
    <definedName name="dpa901_1_3_2_b">'Ch9'!$AM$28</definedName>
    <definedName name="dpa901_1_4">'Ch9'!$AM$29</definedName>
    <definedName name="dpa901_1_5">'Ch9'!$AM$34</definedName>
    <definedName name="dpa901_1_6_1">'Ch9'!$AM$38</definedName>
    <definedName name="dpa901_1_6_2">'Ch9'!$AM$39</definedName>
    <definedName name="dpa901_10_1">'Ch9'!$AM$149</definedName>
    <definedName name="dpa901_10_2">'Ch9'!$AM$154</definedName>
    <definedName name="dpa901_10_3">'Ch9'!$AM$155</definedName>
    <definedName name="dpa901_11">'Ch9'!$AM$159</definedName>
    <definedName name="dpa901_12">'Ch9'!$AM$164</definedName>
    <definedName name="dpa901_13">'Ch9'!$AM$168</definedName>
    <definedName name="dpa901_14_1">'Ch9'!$AM$172</definedName>
    <definedName name="dpa901_14_2">'Ch9'!$AM$173</definedName>
    <definedName name="dpa901_15_1">'Ch9'!$AM$176</definedName>
    <definedName name="dpa901_15_2">'Ch9'!$AM$178</definedName>
    <definedName name="dpa901_2_1_1">'Ch9'!$AM$44</definedName>
    <definedName name="dpa901_2_1_1_m">'Ch9'!$AM$43</definedName>
    <definedName name="dpa901_2_1_2">'Ch9'!$AM$47</definedName>
    <definedName name="dpa901_2_1_2_m">'Ch9'!$AM$46</definedName>
    <definedName name="dpa901_2_1_3">'Ch9'!$AM$49</definedName>
    <definedName name="dpa901_2_1_3_m">'Ch9'!$AM$48</definedName>
    <definedName name="dpa901_2_1_4">'Ch9'!$AM$52</definedName>
    <definedName name="dpa901_2_1_4_m">'Ch9'!$AM$51</definedName>
    <definedName name="dpa901_2_1_5">'Ch9'!$AM$54</definedName>
    <definedName name="dpa901_2_1_5_m">'Ch9'!$AM$53</definedName>
    <definedName name="dpa901_2_2">'Ch9'!$AM$55</definedName>
    <definedName name="dpa901_3_1_a">'Ch9'!$AM$59</definedName>
    <definedName name="dpa901_3_1_a_m">'Ch9'!$AM$58</definedName>
    <definedName name="dpa901_3_1_b">'Ch9'!$AM$61</definedName>
    <definedName name="dpa901_3_1_b_m">'Ch9'!$AM$60</definedName>
    <definedName name="dpa901_3_1_c">'Ch9'!$AM$62</definedName>
    <definedName name="dpa901_3_2">'Ch9'!$AM$68</definedName>
    <definedName name="dpa901_4">'Ch9'!$AM$69</definedName>
    <definedName name="dpa901_4_1">'Ch9'!$AM$72</definedName>
    <definedName name="dpa901_4_2">'Ch9'!$AM$81</definedName>
    <definedName name="dpa901_4_3">'Ch9'!$AM$83</definedName>
    <definedName name="dpa901_4_4">'Ch9'!$AM$84</definedName>
    <definedName name="dpa901_4_5">'Ch9'!$AM$85</definedName>
    <definedName name="dpa901_4_6">'Ch9'!$AM$87</definedName>
    <definedName name="dpa901_5_1">'Ch9'!$AM$91</definedName>
    <definedName name="dpa901_5_2">'Ch9'!$AM$93</definedName>
    <definedName name="dpa901_6">'Ch9'!$AM$96</definedName>
    <definedName name="dpa901_7">'Ch9'!$AM$98</definedName>
    <definedName name="dpa901_8">'Ch9'!$AM$119</definedName>
    <definedName name="dpa901_9_1">'Ch9'!$AM$128</definedName>
    <definedName name="dpa901_9_2">'Ch9'!$AM$135</definedName>
    <definedName name="dpa901_9_3">'Ch9'!$AM$140</definedName>
    <definedName name="dpa902_1_1">'Ch9'!$AM$184</definedName>
    <definedName name="dpa902_1_1_a">'Ch9'!$AM$186</definedName>
    <definedName name="dpa902_1_2">'Ch9'!$AM$188</definedName>
    <definedName name="dpa902_1_2_">'Ch9'!$AM$193</definedName>
    <definedName name="dpa902_1_2_1">'Ch9'!$AM$195</definedName>
    <definedName name="dpa902_1_2_2">'Ch9'!$AM$196</definedName>
    <definedName name="dpa902_1_3">'Ch9'!$AM$190</definedName>
    <definedName name="dpa902_1_3_">'Ch9'!$AM$197</definedName>
    <definedName name="dpa902_1_4">'Ch9'!$AM$201</definedName>
    <definedName name="dpa902_1_4_1">'Ch9'!$AM$202</definedName>
    <definedName name="dpa902_1_4_2">'Ch9'!$AM$204</definedName>
    <definedName name="dpa902_1_5">'Ch9'!$AM$206</definedName>
    <definedName name="dpa902_1_6">'Ch9'!$AM$215</definedName>
    <definedName name="dpa902_2_1">'Ch9'!$AM$219</definedName>
    <definedName name="dpa902_2_1_1">'Ch9'!$AM$223</definedName>
    <definedName name="dpa902_2_1_2">'Ch9'!$AM$225</definedName>
    <definedName name="dpa902_2_1_3">'Ch9'!$AM$227</definedName>
    <definedName name="dpa902_2_1_4">'Ch9'!$AM$228</definedName>
    <definedName name="dpa902_2_1_5">'Ch9'!$AM$229</definedName>
    <definedName name="dpa902_2_2">'Ch9'!$AM$230</definedName>
    <definedName name="dpa902_2_3">'Ch9'!$AM$232</definedName>
    <definedName name="dpa902_2_4">'Ch9'!$AM$235</definedName>
    <definedName name="dpa902_3">'Ch9'!$AM$238</definedName>
    <definedName name="dpa902_3_1_a">'Ch9'!$AM$242</definedName>
    <definedName name="dpa902_3_1_b">'Ch9'!$AM$243</definedName>
    <definedName name="dpa902_3_2">'Ch9'!$AM$284</definedName>
    <definedName name="dpa902_3_2_1">'Ch9'!$AM$288</definedName>
    <definedName name="dpa902_3_2_2">'Ch9'!$AM$310</definedName>
    <definedName name="dpa902_3_2_a">'Ch9'!$AM$245</definedName>
    <definedName name="dpa902_3_2_b">'Ch9'!$AM$246</definedName>
    <definedName name="dpa902_4">'Ch9'!$AM$312</definedName>
    <definedName name="dpa902_5">'Ch9'!$AM$322</definedName>
    <definedName name="dpa902_6">'Ch9'!$AM$324</definedName>
    <definedName name="dpa903_1_1_1">'Ch9'!$AM$329</definedName>
    <definedName name="dpa903_1_2_2">'Ch9'!$AM$331</definedName>
    <definedName name="dpa903_2_1">'Ch9'!$AM$333</definedName>
    <definedName name="dpa903_2_2">'Ch9'!$AM$334</definedName>
    <definedName name="dpa903_3">'Ch9'!$AM$336</definedName>
    <definedName name="dpa904_1">'Ch9'!$AM$344</definedName>
    <definedName name="dpa904_2">'Ch9'!$AM$349</definedName>
    <definedName name="dpa904_3_1">'Ch9'!$AM$354</definedName>
    <definedName name="dpa904_3_2">'Ch9'!$AM$362</definedName>
    <definedName name="dpa905_1">'Ch9'!$AM$366</definedName>
    <definedName name="dpa905_2">'Ch9'!$AM$371</definedName>
    <definedName name="dpa905_3">'Ch9'!$AM$373</definedName>
    <definedName name="dpa905_4">'Ch9'!$AM$377</definedName>
    <definedName name="dpa905_5">'Ch9'!$AM$382</definedName>
    <definedName name="dpa905_6">'Ch9'!$AM$382</definedName>
    <definedName name="dpc1001_1">'Ch10'!$AO$12</definedName>
    <definedName name="dpc1001_2">'Ch10'!$AO$60</definedName>
    <definedName name="dpc1002_1">'Ch10'!$AO$79</definedName>
    <definedName name="dpc1002_2">'Ch10'!$AO$97</definedName>
    <definedName name="dpc1002_3">'Ch10'!$AO$124</definedName>
    <definedName name="dpc1002_4">'Ch10'!$AO$152</definedName>
    <definedName name="dpc1002_5">'Ch10'!$AO$165</definedName>
    <definedName name="dpc1002_6">'Ch10'!$AO$177</definedName>
    <definedName name="dpc1003_1">'Ch10'!$AO$192</definedName>
    <definedName name="dpc1004_1_1">'Ch10'!$AO$211</definedName>
    <definedName name="dpc1004_1_2">'Ch10'!$AO$213</definedName>
    <definedName name="dpc1005_1_1">'Ch10'!$AO$217</definedName>
    <definedName name="dpc1005_1_2">'Ch10'!$AO$220</definedName>
    <definedName name="dpc1005_1_3">'Ch10'!$AO$224</definedName>
    <definedName name="dpc501_1">'Ch5'!$AO$14</definedName>
    <definedName name="dpc501_2_1">'Ch5'!$AO$22</definedName>
    <definedName name="dpc501_2_2">'Ch5'!$AO$24</definedName>
    <definedName name="dpc501_2_3">'Ch5'!$AO$26</definedName>
    <definedName name="dpc501_2_4">'Ch5'!$AO$28</definedName>
    <definedName name="dpc501_2_4_1">'Ch5'!$AO$38</definedName>
    <definedName name="dpc501_2_5">'Ch5'!$AO$43</definedName>
    <definedName name="dpc501_2_6">'Ch5'!$AO$46</definedName>
    <definedName name="dpc501_2_6_d">'Ch5'!$AO$51</definedName>
    <definedName name="dpc501_2_7">'Ch5'!$AO$53</definedName>
    <definedName name="dpc501_2_8">'Ch5'!$AO$56</definedName>
    <definedName name="dpc502_1">'Ch5'!$AO$59</definedName>
    <definedName name="dpc503_1_1">'Ch5'!$AO$70</definedName>
    <definedName name="dpc503_1_2">'Ch5'!$AO$72</definedName>
    <definedName name="dpc503_1_3">'Ch5'!$AO$74</definedName>
    <definedName name="dpc503_1_4">'Ch5'!$AO$76</definedName>
    <definedName name="dpc503_1_5">'Ch5'!$AO$78</definedName>
    <definedName name="dpc503_1_6">'Ch5'!$AO$80</definedName>
    <definedName name="dpc503_1_7">'Ch5'!$AO$82</definedName>
    <definedName name="dpc503_1_8">'Ch5'!$AO$84</definedName>
    <definedName name="dpc503_2_1">'Ch5'!$AO$91</definedName>
    <definedName name="dpc503_2_2">'Ch5'!$AO$92</definedName>
    <definedName name="dpc503_2_3">'Ch5'!$AO$94</definedName>
    <definedName name="dpc503_2_4">'Ch5'!$AO$99</definedName>
    <definedName name="dpc503_2_5">'Ch5'!$AO$101</definedName>
    <definedName name="dpc503_3_1">'Ch5'!$AO$105</definedName>
    <definedName name="dpc503_3_2">'Ch5'!$AO$107</definedName>
    <definedName name="dpc503_3_3">'Ch5'!$AO$114</definedName>
    <definedName name="dpc503_4_1">'Ch5'!$AO$122</definedName>
    <definedName name="dpc503_4_2">'Ch5'!$AO$125</definedName>
    <definedName name="dpc503_4_3">'Ch5'!$AO$129</definedName>
    <definedName name="dpc503_4_4">'Ch5'!$AO$136</definedName>
    <definedName name="dpc503_4_4_c_1">'Ch5'!$AO$141</definedName>
    <definedName name="dpc503_4_5">'Ch5'!$AO$143</definedName>
    <definedName name="dpc503_5_1">'Ch5'!$AO$150</definedName>
    <definedName name="dpc503_5_10">'Ch5'!$AO$179</definedName>
    <definedName name="dpc503_5_11">'Ch5'!$AO$182</definedName>
    <definedName name="dpc503_5_12">'Ch5'!$AO$184</definedName>
    <definedName name="dpc503_5_13">'Ch5'!$AO$186</definedName>
    <definedName name="dpc503_5_2">'Ch5'!$AO$156</definedName>
    <definedName name="dpc503_5_3">'Ch5'!$AO$158</definedName>
    <definedName name="dpc503_5_4">'Ch5'!$AO$161</definedName>
    <definedName name="dpc503_5_5">'Ch5'!$AO$163</definedName>
    <definedName name="dpc503_5_6">'Ch5'!$AO$166</definedName>
    <definedName name="dpc503_5_7">'Ch5'!$AO$171</definedName>
    <definedName name="dpc503_5_8">'Ch5'!$AO$172</definedName>
    <definedName name="dpc503_5_9">'Ch5'!$AO$177</definedName>
    <definedName name="dpc503_6">'Ch5'!$AO$188</definedName>
    <definedName name="dpc503_7">'Ch5'!$AO$195</definedName>
    <definedName name="dpc503_8">'Ch5'!$AO$201</definedName>
    <definedName name="dpc504_1">'Ch5'!$AO$209</definedName>
    <definedName name="dpc504_2_1">'Ch5'!$AO$216</definedName>
    <definedName name="dpc504_2_2">'Ch5'!$AO$217</definedName>
    <definedName name="dpc504_2_3">'Ch5'!$AO$219</definedName>
    <definedName name="dpc504_3_1">'Ch5'!$AO$224</definedName>
    <definedName name="dpc504_3_2">'Ch5'!$AO$226</definedName>
    <definedName name="dpc504_3_3">'Ch5'!$AO$227</definedName>
    <definedName name="dpc504_3_4">'Ch5'!$AO$229</definedName>
    <definedName name="dpc504_3_5">'Ch5'!$AO$231</definedName>
    <definedName name="dpc504_3_6">'Ch5'!$AO$235</definedName>
    <definedName name="dpc504_3_7">'Ch5'!$AO$238</definedName>
    <definedName name="dpc504_3_8">'Ch5'!$AO$239</definedName>
    <definedName name="dpc504_3_9">'Ch5'!$AO$247</definedName>
    <definedName name="dpc505_1_1">'Ch5'!$AO$254</definedName>
    <definedName name="dpc505_1_2">'Ch5'!$AO$256</definedName>
    <definedName name="dpc505_1_3">'Ch5'!$AO$258</definedName>
    <definedName name="dpc505_10_a">'Ch5'!$AO$322</definedName>
    <definedName name="dpc505_10_b">'Ch5'!$AO$324</definedName>
    <definedName name="dpc505_10_c">'Ch5'!$AO$326</definedName>
    <definedName name="dpc505_2_1">'Ch5'!$AO$263</definedName>
    <definedName name="dpc505_2_2">'Ch5'!$AO$273</definedName>
    <definedName name="dpc505_3">'Ch5'!$AO$276</definedName>
    <definedName name="dpc505_4_1">'Ch5'!$AO$283</definedName>
    <definedName name="dpc505_5_a">'Ch5'!$AO$287</definedName>
    <definedName name="dpc505_5_b">'Ch5'!$AO$289</definedName>
    <definedName name="dpc505_5_c">'Ch5'!$AO$292</definedName>
    <definedName name="dpc505_5_d">'Ch5'!$AO$293</definedName>
    <definedName name="dpc505_6">'Ch5'!$AO$294</definedName>
    <definedName name="dpc505_7">'Ch5'!$AO$306</definedName>
    <definedName name="dpc505_8">'Ch5'!$AO$310</definedName>
    <definedName name="dpc505_9_a">'Ch5'!$AO$313</definedName>
    <definedName name="dpc505_9_b">'Ch5'!$AO$316</definedName>
    <definedName name="dpc505_9_c">'Ch5'!$AO$317</definedName>
    <definedName name="dpc601_1">'Ch6'!$AO$13</definedName>
    <definedName name="dpc601_2_1">'Ch6'!$AO$31</definedName>
    <definedName name="dpc601_2_2">'Ch6'!$AO$34</definedName>
    <definedName name="dpc601_2_3">'Ch6'!$AO$37</definedName>
    <definedName name="dpc601_3_1">'Ch6'!$AO$41</definedName>
    <definedName name="dpc601_3_2">'Ch6'!$AO$42</definedName>
    <definedName name="dpc601_3_3">'Ch6'!$AO$43</definedName>
    <definedName name="dpc601_3_4">'Ch6'!$AO$44</definedName>
    <definedName name="dpc601_3_5">'Ch6'!$AO$45</definedName>
    <definedName name="dpc601_4">'Ch6'!$AO$46</definedName>
    <definedName name="dpc601_5_1">'Ch6'!$AO$52</definedName>
    <definedName name="dpc601_5_2">'Ch6'!$AO$53</definedName>
    <definedName name="dpc601_5_3">'Ch6'!$AO$54</definedName>
    <definedName name="dpc601_5_4">'Ch6'!$AO$55</definedName>
    <definedName name="dpc601_5_5">'Ch6'!$AO$56</definedName>
    <definedName name="dpc601_6">'Ch6'!$AO$57</definedName>
    <definedName name="dpc601_7">'Ch6'!$AO$62</definedName>
    <definedName name="dpc601_8">'Ch6'!$AO$80</definedName>
    <definedName name="dpc602_1_1_2">'Ch6'!$AO$96</definedName>
    <definedName name="dpc602_1_10">'Ch6'!$AO$192</definedName>
    <definedName name="dpc602_1_12">'Ch6'!$AO$207</definedName>
    <definedName name="dpc602_1_14_1">'Ch6'!$AO$216</definedName>
    <definedName name="dpc602_1_14_2">'Ch6'!$AO$218</definedName>
    <definedName name="dpc602_1_14_3">'Ch6'!$AO$219</definedName>
    <definedName name="dpc602_1_15">'Ch6'!$AO$220</definedName>
    <definedName name="dpc602_1_2">'Ch6'!$AO$98</definedName>
    <definedName name="dpc602_1_3_2">'Ch6'!$AO$105</definedName>
    <definedName name="dpc602_1_4_1_1">'Ch6'!$AO$111</definedName>
    <definedName name="dpc602_1_4_2_1">'Ch6'!$AO$117</definedName>
    <definedName name="dpc602_1_5_1">'Ch6'!$AO$123</definedName>
    <definedName name="dpc602_1_5_2">'Ch6'!$AO$125</definedName>
    <definedName name="dpc602_1_6_1">'Ch6'!$AO$131</definedName>
    <definedName name="dpc602_1_6_2">'Ch6'!$AO$135</definedName>
    <definedName name="dpc602_1_6_3">'Ch6'!$AO$139</definedName>
    <definedName name="dpc602_1_7_1_1">'Ch6'!$AO$144</definedName>
    <definedName name="dpc602_1_7_1_2">'Ch6'!$AO$146</definedName>
    <definedName name="dpc602_1_7_1_3">'Ch6'!$AO$149</definedName>
    <definedName name="dpc602_1_7_2">'Ch6'!$AO$151</definedName>
    <definedName name="dpc602_1_7_3">'Ch6'!$AO$153</definedName>
    <definedName name="dpc602_1_9_2">'Ch6'!$AO$175</definedName>
    <definedName name="dpc602_1_9_3">'Ch6'!$AO$178</definedName>
    <definedName name="dpc602_1_9_4">'Ch6'!$AO$179</definedName>
    <definedName name="dpc602_1_9_5">'Ch6'!$AO$183</definedName>
    <definedName name="dpc602_1_9_6">'Ch6'!$AO$189</definedName>
    <definedName name="dpc602_1_9_7">'Ch6'!$AO$191</definedName>
    <definedName name="dpc602_2">'Ch6'!$AO$223</definedName>
    <definedName name="dpc602_3">'Ch6'!$AO$233</definedName>
    <definedName name="dpc602_4_2">'Ch6'!$AO$242</definedName>
    <definedName name="dpc602_4_3">'Ch6'!$AO$244</definedName>
    <definedName name="dpc603_1">'Ch6'!$AO$248</definedName>
    <definedName name="dpc603_2">'Ch6'!$AO$254</definedName>
    <definedName name="dpc603_3">'Ch6'!$AO$261</definedName>
    <definedName name="dpc604_1a">'Ch6'!$AO$265</definedName>
    <definedName name="dpc605_2">'Ch6'!$AO$278</definedName>
    <definedName name="dpc605_3">'Ch6'!$AO$293</definedName>
    <definedName name="dpc605_4">'Ch6'!$AO$302</definedName>
    <definedName name="dpc606_1">'Ch6'!$AO$318</definedName>
    <definedName name="dpc606_2_1a">'Ch6'!$AO$350</definedName>
    <definedName name="dpc606_2_2a">'Ch6'!$AO$353</definedName>
    <definedName name="dpc606_3">'Ch6'!$AO$356</definedName>
    <definedName name="dpc607_1_1">'Ch6'!$AO$365</definedName>
    <definedName name="dpc607_1_2">'Ch6'!$AO$370</definedName>
    <definedName name="dpc607_2">'Ch6'!$AO$376</definedName>
    <definedName name="dpc608_1">'Ch6'!$AO$379</definedName>
    <definedName name="dpc609_1">'Ch6'!$AO$388</definedName>
    <definedName name="dpc610_1_1_1">'Ch6'!$AO$409</definedName>
    <definedName name="dpc610_1_1_2">'Ch6'!$AO$418</definedName>
    <definedName name="dpc610_1_1_3">'Ch6'!$AO$426</definedName>
    <definedName name="dpc610_1_2">'Ch6'!$AO$428</definedName>
    <definedName name="dpc611_1">'Ch6'!$AO$472</definedName>
    <definedName name="dpc612_1">'Ch6'!$AO$495</definedName>
    <definedName name="dpc612_2">'Ch6'!$AO$503</definedName>
    <definedName name="dpc612_3">'Ch6'!$AO$519</definedName>
    <definedName name="dpc613_1">'Ch6'!$AO$546</definedName>
    <definedName name="dpc701_1_4">'Ch7'!$AO$27</definedName>
    <definedName name="dpc702_2_2">'Ch7'!$AO$183</definedName>
    <definedName name="dpc703_1">'Ch7'!$AO$195</definedName>
    <definedName name="dpc703_2_1">'Ch7'!$AO$220</definedName>
    <definedName name="dpc703_2_2">'Ch7'!$AO$227</definedName>
    <definedName name="dpc703_2_3">'Ch7'!$AO$229</definedName>
    <definedName name="dpc703_2_4">'Ch7'!$AO$232</definedName>
    <definedName name="dpc703_2_5_2">'Ch7'!$AO$252</definedName>
    <definedName name="dpc703_3_1">'Ch7'!$AO$284</definedName>
    <definedName name="dpc703_3_2__1">'Ch7'!$AO$290</definedName>
    <definedName name="dpc703_3_2__2">'Ch7'!$AO$296</definedName>
    <definedName name="dpc703_3_2__3">'Ch7'!$AO$299</definedName>
    <definedName name="dpc703_3_2__4">'Ch7'!$AO$304</definedName>
    <definedName name="dpc703_3_3__1">'Ch7'!$AO$310</definedName>
    <definedName name="dpc703_3_3__2">'Ch7'!$AO$316</definedName>
    <definedName name="dpc703_3_3__3">'Ch7'!$AO$318</definedName>
    <definedName name="dpc703_3_4_1">'Ch7'!$AO$322</definedName>
    <definedName name="dpc703_3_4_1_6">'Ch7'!$AO$328</definedName>
    <definedName name="dpc703_3_4_2">'Ch7'!$AO$330</definedName>
    <definedName name="dpc703_3_5">'Ch7'!$AO$331</definedName>
    <definedName name="dpc703_3_6">'Ch7'!$AO$335</definedName>
    <definedName name="dpc703_3_7_1">'Ch7'!$AO$341</definedName>
    <definedName name="dpc703_3_8">'Ch7'!$AO$348</definedName>
    <definedName name="dpc703_4_1">'Ch7'!$AO$354</definedName>
    <definedName name="dpc703_4_2">'Ch7'!$AO$356</definedName>
    <definedName name="dpc703_4_3">'Ch7'!$AO$358</definedName>
    <definedName name="dpc703_4_4">'Ch7'!$AO$364</definedName>
    <definedName name="dpc703_5_1_1_a">'Ch7'!$AO$382</definedName>
    <definedName name="dpc703_5_1_1_b">'Ch7'!$AO$386</definedName>
    <definedName name="dpc703_5_1_1_d">'Ch7'!$AO$391</definedName>
    <definedName name="dpc703_5_1_1_e">'Ch7'!$AO$396</definedName>
    <definedName name="dpc703_5_1_2_a">'Ch7'!$AO$401</definedName>
    <definedName name="dpc703_5_1_2_b">'Ch7'!$AO$410</definedName>
    <definedName name="dpc703_5_1_2_c">'Ch7'!$AO$416</definedName>
    <definedName name="dpc703_5_1_2_d">'Ch7'!$AO$418</definedName>
    <definedName name="dpc703_5_1_2_e">'Ch7'!$AO$420</definedName>
    <definedName name="dpc703_5_1_3">'Ch7'!$AO$422</definedName>
    <definedName name="dpc703_5_2">'Ch7'!$AO$423</definedName>
    <definedName name="dpc703_5_3">'Ch7'!$AO$425</definedName>
    <definedName name="dpc703_5_4">'Ch7'!$AO$427</definedName>
    <definedName name="dpc703_5_5_a">'Ch7'!$AO$431</definedName>
    <definedName name="dpc703_5_5_b">'Ch7'!$AO$438</definedName>
    <definedName name="dpc703_6_1_1">'Ch7'!$AO$448</definedName>
    <definedName name="dpc703_6_1_2">'Ch7'!$AO$450</definedName>
    <definedName name="dpc703_6_1_3">'Ch7'!$AO$452</definedName>
    <definedName name="dpc703_6_2__1">'Ch7'!$AO$455</definedName>
    <definedName name="dpc703_6_2__2">'Ch7'!$AO$456</definedName>
    <definedName name="dpc703_6_2__3">'Ch7'!$AO$457</definedName>
    <definedName name="dpc703_7_1">'Ch7'!$AO$460</definedName>
    <definedName name="dpc703_7_2">'Ch7'!$AO$487</definedName>
    <definedName name="dpc703_7_3">'Ch7'!$AO$489</definedName>
    <definedName name="dpc703_7_4">'Ch7'!$AO$517</definedName>
    <definedName name="dpc704_1">'Ch7'!$AO$541</definedName>
    <definedName name="dpc705_2_1_1">'Ch7'!$AO$557</definedName>
    <definedName name="dpc705_2_1_2">'Ch7'!$AO$561</definedName>
    <definedName name="dpc705_2_1_3_1">'Ch7'!$AO$564</definedName>
    <definedName name="dpc705_2_1_3_2">'Ch7'!$AO$568</definedName>
    <definedName name="dpc705_2_1_4">'Ch7'!$AO$573</definedName>
    <definedName name="dpc705_2_2">'Ch7'!$AO$578</definedName>
    <definedName name="dpc705_2_3">'Ch7'!$AO$581</definedName>
    <definedName name="dpc705_2_4">'Ch7'!$AO$583</definedName>
    <definedName name="dpc705_3">'Ch7'!$AO$586</definedName>
    <definedName name="dpc705_4">'Ch7'!$AO$587</definedName>
    <definedName name="dpc705_5_1_1">'Ch7'!$AO$592</definedName>
    <definedName name="dpc705_5_1_2">'Ch7'!$AO$595</definedName>
    <definedName name="dpc705_5_2">'Ch7'!$AO$597</definedName>
    <definedName name="dpc705_5_3_1">'Ch7'!$AO$606</definedName>
    <definedName name="dpc705_5_3_2">'Ch7'!$AO$608</definedName>
    <definedName name="dpc705_6_1">'Ch7'!$AO$610</definedName>
    <definedName name="dpc705_6_2_1_1_1">'Ch7'!$AO$623</definedName>
    <definedName name="dpc705_6_2_1_2">'Ch7'!$AO$626</definedName>
    <definedName name="dpc705_6_2_2_1">'Ch7'!$AO$632</definedName>
    <definedName name="dpc705_6_2_2_2">'Ch7'!$AO$634</definedName>
    <definedName name="dpc705_6_2_3">'Ch7'!$AO$637</definedName>
    <definedName name="dpc705_6_3">'Ch7'!$AO$643</definedName>
    <definedName name="dpc705_6_4_1">'Ch7'!$AO$655</definedName>
    <definedName name="dpc705_6_4_2">'Ch7'!$AO$657</definedName>
    <definedName name="dpc705_7">'Ch7'!$AO$659</definedName>
    <definedName name="dpc706_1">'Ch7'!$AO$664</definedName>
    <definedName name="dpc706_10">'Ch7'!$AO$741</definedName>
    <definedName name="dpc706_11">'Ch7'!$AO$746</definedName>
    <definedName name="dpc706_12">'Ch7'!$AO$748</definedName>
    <definedName name="dpc706_13">'Ch7'!$AO$752</definedName>
    <definedName name="dpc706_14_1">'Ch7'!$AO$757</definedName>
    <definedName name="dpc706_14_2">'Ch7'!$AO$761</definedName>
    <definedName name="dpc706_15_1">'Ch7'!$AO$766</definedName>
    <definedName name="dpc706_15_2">'Ch7'!$AO$767</definedName>
    <definedName name="dpc706_2_1">'Ch7'!$AO$674</definedName>
    <definedName name="dpc706_2_2">'Ch7'!$AO$679</definedName>
    <definedName name="dpc706_3">'Ch7'!$AO$686</definedName>
    <definedName name="dpc706_4_1_1">'Ch7'!$AO$704</definedName>
    <definedName name="dpc706_4_1_2">'Ch7'!$AO$706</definedName>
    <definedName name="dpc706_4_2">'Ch7'!$AO$708</definedName>
    <definedName name="dpc706_5_1">'Ch7'!$AO$711</definedName>
    <definedName name="dpc706_5_2">'Ch7'!$AO$713</definedName>
    <definedName name="dpc706_5_3">'Ch7'!$AO$715</definedName>
    <definedName name="dpc706_6">'Ch7'!$AO$725</definedName>
    <definedName name="dpc706_7_1">'Ch7'!$AO$729</definedName>
    <definedName name="dpc706_7_2">'Ch7'!$AO$730</definedName>
    <definedName name="dpc706_8">'Ch7'!$AO$733</definedName>
    <definedName name="dpc706_9">'Ch7'!$AO$736</definedName>
    <definedName name="dpc802_1">'Ch8'!$AO$20</definedName>
    <definedName name="dpc802_1_6">'Ch8'!$AO$50</definedName>
    <definedName name="dpc802_10_1_1">'Ch8'!$AO$211</definedName>
    <definedName name="dpc802_2_1">'Ch8'!$AO$55</definedName>
    <definedName name="dpc802_2_2">'Ch8'!$AO$56</definedName>
    <definedName name="dpc802_3_1_a">'Ch8'!$AO$64</definedName>
    <definedName name="dpc802_3_1_b">'Ch8'!$AO$66</definedName>
    <definedName name="dpc802_3_2_a">'Ch8'!$AO$73</definedName>
    <definedName name="dpc802_3_2_b">'Ch8'!$AO$75</definedName>
    <definedName name="dpc802_4_1">'Ch8'!$AO$80</definedName>
    <definedName name="dpc802_4_2">'Ch8'!$AO$92</definedName>
    <definedName name="dpc802_4_3">'Ch8'!$AO$97</definedName>
    <definedName name="dpc802_5_1a">'Ch8'!$AO$100</definedName>
    <definedName name="dpc802_5_2">'Ch8'!$AO$112</definedName>
    <definedName name="dpc802_5_3">'Ch8'!$AO$117</definedName>
    <definedName name="dpc802_5_4_2">'Ch8'!$AO$124</definedName>
    <definedName name="dpc802_5_4_3">'Ch8'!$AO$131</definedName>
    <definedName name="dpc802_5_4_4_a">'Ch8'!$AO$134</definedName>
    <definedName name="dpc802_5_4_4_b">'Ch8'!$AO$138</definedName>
    <definedName name="dpc802_5_4_4_c">'Ch8'!$AO$140</definedName>
    <definedName name="dpc802_6_2">'Ch8'!$AO$145</definedName>
    <definedName name="dpc802_6_3_1">'Ch8'!$AO$149</definedName>
    <definedName name="dpc802_6_3_2">'Ch8'!$AO$150</definedName>
    <definedName name="dpc802_6_3_3">'Ch8'!$AO$151</definedName>
    <definedName name="dpc802_6_4_1">'Ch8'!$AO$156</definedName>
    <definedName name="dpc802_6_4_2">'Ch8'!$AO$158</definedName>
    <definedName name="dpc802_6_5_1">'Ch8'!$AO$164</definedName>
    <definedName name="dpc802_6_5_2">'Ch8'!$AO$166</definedName>
    <definedName name="dpc802_6_5_3">'Ch8'!$AO$168</definedName>
    <definedName name="dpc802_6_5_4">'Ch8'!$AO$169</definedName>
    <definedName name="dpc802_6_5_5">'Ch8'!$AO$171</definedName>
    <definedName name="dpc802_7_1">'Ch8'!$AO$175</definedName>
    <definedName name="dpc802_7_2">'Ch8'!$AO$186</definedName>
    <definedName name="dpc802_8">'Ch8'!$AO$192</definedName>
    <definedName name="dpc802_9_1">'Ch8'!$AO$195</definedName>
    <definedName name="dpc802_9_2">'Ch8'!$AO$203</definedName>
    <definedName name="dpc803_1">'Ch8'!$AO$213</definedName>
    <definedName name="dpc803_2">'Ch8'!$AO$220</definedName>
    <definedName name="dpc803_3">'Ch8'!$AO$223</definedName>
    <definedName name="dpc803_4">'Ch8'!$AO$228</definedName>
    <definedName name="dpc803_5">'Ch8'!$AO$231</definedName>
    <definedName name="dpc803_6">'Ch8'!$AO$233</definedName>
    <definedName name="dpc804_3">'Ch8'!$AO$241</definedName>
    <definedName name="dpc901_1_1">'Ch9'!$AO$12</definedName>
    <definedName name="dpc901_1_2">'Ch9'!$AO$18</definedName>
    <definedName name="dpc901_1_3_1">'Ch9'!$AO$23</definedName>
    <definedName name="dpc901_1_3_2">'Ch9'!$AO$26</definedName>
    <definedName name="dpc901_1_5">'Ch9'!$AO$34</definedName>
    <definedName name="dpc901_1_6">'Ch9'!$AO$37</definedName>
    <definedName name="dpc901_10">'Ch9'!$AO$146</definedName>
    <definedName name="dpc901_11">'Ch9'!$AO$159</definedName>
    <definedName name="dpc901_12">'Ch9'!$AO$164</definedName>
    <definedName name="dpc901_14">'Ch9'!$AO$170</definedName>
    <definedName name="dpc901_15_1">'Ch9'!$AO$176</definedName>
    <definedName name="dpc901_15_2">'Ch9'!$AO$178</definedName>
    <definedName name="dpc901_2_1_1">'Ch9'!$AO$43</definedName>
    <definedName name="dpc901_2_1_2">'Ch9'!$AO$46</definedName>
    <definedName name="dpc901_2_1_3">'Ch9'!$AO$48</definedName>
    <definedName name="dpc901_2_1_4">'Ch9'!$AO$51</definedName>
    <definedName name="dpc901_2_1_5">'Ch9'!$AO$53</definedName>
    <definedName name="dpc901_2_2">'Ch9'!$AO$55</definedName>
    <definedName name="dpc901_3_1_a">'Ch9'!$AO$58</definedName>
    <definedName name="dpc901_3_1_b">'Ch9'!$AO$60</definedName>
    <definedName name="dpc901_3_1_c">'Ch9'!$AO$62</definedName>
    <definedName name="dpc901_3_2">'Ch9'!$AO$68</definedName>
    <definedName name="dpc901_4">'Ch9'!$AO$69</definedName>
    <definedName name="dpc901_5_1">'Ch9'!$AO$91</definedName>
    <definedName name="dpc901_5_2">'Ch9'!$AO$93</definedName>
    <definedName name="dpc901_7">'Ch9'!$AO$98</definedName>
    <definedName name="dpc901_8">'Ch9'!$AO$119</definedName>
    <definedName name="dpc901_9_1">'Ch9'!$AO$128</definedName>
    <definedName name="dpc901_9_2">'Ch9'!$AO$135</definedName>
    <definedName name="dpc901_9_3">'Ch9'!$AO$140</definedName>
    <definedName name="dpc902_1_1_a">'Ch9'!$AO$186</definedName>
    <definedName name="dpc902_1_2_">'Ch9'!$AO$193</definedName>
    <definedName name="dpc902_1_3">'Ch9'!$AO$190</definedName>
    <definedName name="dpc902_1_3_">'Ch9'!$AO$197</definedName>
    <definedName name="dpc902_1_4">'Ch9'!$AO$201</definedName>
    <definedName name="dpc902_1_5">'Ch9'!$AO$206</definedName>
    <definedName name="dpc902_1_6">'Ch9'!$AO$215</definedName>
    <definedName name="dpc902_2_1">'Ch9'!$AO$219</definedName>
    <definedName name="dpc902_2_2">'Ch9'!$AO$230</definedName>
    <definedName name="dpc902_2_3">'Ch9'!$AO$232</definedName>
    <definedName name="dpc902_2_4">'Ch9'!$AO$235</definedName>
    <definedName name="dpc902_3_1">'Ch9'!$AO$241</definedName>
    <definedName name="dpc902_3_2">'Ch9'!$AO$244</definedName>
    <definedName name="dpc902_3_2_1">'Ch9'!$AO$288</definedName>
    <definedName name="dpc902_3_2_2">'Ch9'!$AO$310</definedName>
    <definedName name="dpc902_4">'Ch9'!$AO$312</definedName>
    <definedName name="dpc902_5">'Ch9'!$AO$322</definedName>
    <definedName name="dpc903_1">'Ch9'!$AO$328</definedName>
    <definedName name="dpc903_2">'Ch9'!$AO$332</definedName>
    <definedName name="dpc903_3">'Ch9'!$AO$336</definedName>
    <definedName name="dpc904_1">'Ch9'!$AO$344</definedName>
    <definedName name="dpc904_2">'Ch9'!$AO$349</definedName>
    <definedName name="dpc905_1">'Ch9'!$AO$366</definedName>
    <definedName name="dpc905_2">'Ch9'!$AO$371</definedName>
    <definedName name="dpc905_3">'Ch9'!$AO$373</definedName>
    <definedName name="dpc905_4">'Ch9'!$AO$377</definedName>
    <definedName name="dpc905_5">'Ch9'!$AO$382</definedName>
    <definedName name="dpc905_6">'Ch9'!$AO$382</definedName>
    <definedName name="dstAGFloorArea">'Overview (Design)'!$G$25</definedName>
    <definedName name="dstAttachedGarage">'Overview (Design)'!$G$51</definedName>
    <definedName name="dstAttic">'Overview (Design)'!$G$50</definedName>
    <definedName name="dstBatch">'Overview (Design)'!$G$8</definedName>
    <definedName name="dstBuilderName">'Overview (Design)'!$G$10</definedName>
    <definedName name="dstBuildingCode">'Overview (Design)'!$G$62</definedName>
    <definedName name="dstCDucts">'Overview (Design)'!$G$42</definedName>
    <definedName name="dstCity">'Overview (Design)'!$G$13</definedName>
    <definedName name="dstCommercial">'Overview (Design)'!$G$20</definedName>
    <definedName name="dstCool1">'Overview (Design)'!$G$39</definedName>
    <definedName name="dstCool2">'Overview (Design)'!$G$40</definedName>
    <definedName name="dstCool3">'Overview (Design)'!$G$41</definedName>
    <definedName name="dstCounty">'Overview (Design)'!$G$15</definedName>
    <definedName name="dstCToilet">'Overview (Design)'!$G$59</definedName>
    <definedName name="dstDesigner">'Overview (Design)'!$G$64</definedName>
    <definedName name="dstElevation">'Overview (Design)'!$G$28</definedName>
    <definedName name="dstEnergyCode">'Overview (Design)'!$G$61</definedName>
    <definedName name="dstFloors">'Overview (Design)'!$G$27</definedName>
    <definedName name="dstFoundation">'Overview (Design)'!$G$32</definedName>
    <definedName name="dstFuel">'Overview (Design)'!$G$37</definedName>
    <definedName name="dstHDucts">'Overview (Design)'!$G$38</definedName>
    <definedName name="dstHeat1">'Overview (Design)'!$G$34</definedName>
    <definedName name="dstHeat2">'Overview (Design)'!$G$35</definedName>
    <definedName name="dstHeat3">'Overview (Design)'!$G$36</definedName>
    <definedName name="dstHomeAddress">'Overview (Design)'!$G$11</definedName>
    <definedName name="dstLot">'Overview (Design)'!$G$12</definedName>
    <definedName name="dstMassWalls">'Overview (Design)'!$G$56</definedName>
    <definedName name="dstPassiveSolar">'Overview (Design)'!$G$55</definedName>
    <definedName name="dstProjectDesc">'Overview (Design)'!$G$30</definedName>
    <definedName name="dstProjectName">'Overview (Design)'!$G$23</definedName>
    <definedName name="dstRadiantHydronic">'Overview (Design)'!$G$57</definedName>
    <definedName name="dstRecessedLighting">'Overview (Design)'!$G$52</definedName>
    <definedName name="dstRenewable">'Overview (Design)'!$G$48</definedName>
    <definedName name="dstSingleOrMulti">'Overview (Design)'!$G$18</definedName>
    <definedName name="dstsSHGC">'Overview (Design)'!$G$45</definedName>
    <definedName name="dstState">'Overview (Design)'!$G$14</definedName>
    <definedName name="dstsUV">'Overview (Design)'!$G$47</definedName>
    <definedName name="dstTCFloorArea">'Overview (Design)'!$G$26</definedName>
    <definedName name="dstTEInsulation">'Overview (Design)'!$G$49</definedName>
    <definedName name="dstTLWH">'Overview (Design)'!$G$58</definedName>
    <definedName name="dstUnits">'Overview (Design)'!$G$19</definedName>
    <definedName name="dstwdSHGC">'Overview (Design)'!$G$44</definedName>
    <definedName name="dstwdUV">'Overview (Design)'!$G$46</definedName>
    <definedName name="dstZIP">'Overview (Design)'!$G$16</definedName>
    <definedName name="fsgBatchSubmissionCity1">'Final Summary'!$E$87</definedName>
    <definedName name="fsgBatchSubmissionCity10">'Final Summary'!$E$96</definedName>
    <definedName name="fsgBatchSubmissionCity11">'Final Summary'!$E$97</definedName>
    <definedName name="fsgBatchSubmissionCity12">'Final Summary'!$E$98</definedName>
    <definedName name="fsgBatchSubmissionCity13">'Final Summary'!$E$99</definedName>
    <definedName name="fsgBatchSubmissionCity14">'Final Summary'!$E$100</definedName>
    <definedName name="fsgBatchSubmissionCity15">'Final Summary'!$E$101</definedName>
    <definedName name="fsgBatchSubmissionCity16">'Final Summary'!$E$102</definedName>
    <definedName name="fsgBatchSubmissionCity17">'Final Summary'!$E$103</definedName>
    <definedName name="fsgBatchSubmissionCity18">'Final Summary'!$E$104</definedName>
    <definedName name="fsgBatchSubmissionCity19">'Final Summary'!$E$105</definedName>
    <definedName name="fsgBatchSubmissionCity2">'Final Summary'!$E$88</definedName>
    <definedName name="fsgBatchSubmissionCity20">'Final Summary'!$E$106</definedName>
    <definedName name="fsgBatchSubmissionCity21">'Final Summary'!$E$107</definedName>
    <definedName name="fsgBatchSubmissionCity22">'Final Summary'!$E$108</definedName>
    <definedName name="fsgBatchSubmissionCity23">'Final Summary'!$E$109</definedName>
    <definedName name="fsgBatchSubmissionCity24">'Final Summary'!$E$110</definedName>
    <definedName name="fsgBatchSubmissionCity25">'Final Summary'!$E$111</definedName>
    <definedName name="fsgBatchSubmissionCity26">'Final Summary'!$E$112</definedName>
    <definedName name="fsgBatchSubmissionCity27">'Final Summary'!$E$113</definedName>
    <definedName name="fsgBatchSubmissionCity28">'Final Summary'!$E$114</definedName>
    <definedName name="fsgBatchSubmissionCity29">'Final Summary'!$E$115</definedName>
    <definedName name="fsgBatchSubmissionCity3">'Final Summary'!$E$89</definedName>
    <definedName name="fsgBatchSubmissionCity30">'Final Summary'!$E$116</definedName>
    <definedName name="fsgBatchSubmissionCity31">'Final Summary'!$E$117</definedName>
    <definedName name="fsgBatchSubmissionCity32">'Final Summary'!$E$118</definedName>
    <definedName name="fsgBatchSubmissionCity33">'Final Summary'!$E$119</definedName>
    <definedName name="fsgBatchSubmissionCity34">'Final Summary'!$E$120</definedName>
    <definedName name="fsgBatchSubmissionCity35">'Final Summary'!$E$121</definedName>
    <definedName name="fsgBatchSubmissionCity36">'Final Summary'!$E$122</definedName>
    <definedName name="fsgBatchSubmissionCity37">'Final Summary'!$E$123</definedName>
    <definedName name="fsgBatchSubmissionCity38">'Final Summary'!$E$124</definedName>
    <definedName name="fsgBatchSubmissionCity39">'Final Summary'!$E$125</definedName>
    <definedName name="fsgBatchSubmissionCity4">'Final Summary'!$E$90</definedName>
    <definedName name="fsgBatchSubmissionCity40">'Final Summary'!$E$126</definedName>
    <definedName name="fsgBatchSubmissionCity41">'Final Summary'!$E$127</definedName>
    <definedName name="fsgBatchSubmissionCity42">'Final Summary'!$E$128</definedName>
    <definedName name="fsgBatchSubmissionCity43">'Final Summary'!$E$129</definedName>
    <definedName name="fsgBatchSubmissionCity44">'Final Summary'!$E$130</definedName>
    <definedName name="fsgBatchSubmissionCity45">'Final Summary'!$E$131</definedName>
    <definedName name="fsgBatchSubmissionCity46">'Final Summary'!$E$132</definedName>
    <definedName name="fsgBatchSubmissionCity47">'Final Summary'!$E$133</definedName>
    <definedName name="fsgBatchSubmissionCity48">'Final Summary'!$E$134</definedName>
    <definedName name="fsgBatchSubmissionCity49">'Final Summary'!$E$135</definedName>
    <definedName name="fsgBatchSubmissionCity5">'Final Summary'!$E$91</definedName>
    <definedName name="fsgBatchSubmissionCity50">'Final Summary'!$E$136</definedName>
    <definedName name="fsgBatchSubmissionCity6">'Final Summary'!$E$92</definedName>
    <definedName name="fsgBatchSubmissionCity7">'Final Summary'!$E$93</definedName>
    <definedName name="fsgBatchSubmissionCity8">'Final Summary'!$E$94</definedName>
    <definedName name="fsgBatchSubmissionCity9">'Final Summary'!$E$95</definedName>
    <definedName name="fsgBatchSubmissionFinalAddress1">'Final Summary'!$C$87:$D$87</definedName>
    <definedName name="fsgBatchSubmissionFinalAddress10">'Final Summary'!$C$96:$D$96</definedName>
    <definedName name="fsgBatchSubmissionFinalAddress11">'Final Summary'!$C$97:$D$97</definedName>
    <definedName name="fsgBatchSubmissionFinalAddress12">'Final Summary'!$C$98:$D$98</definedName>
    <definedName name="fsgBatchSubmissionFinalAddress13">'Final Summary'!$C$99:$D$99</definedName>
    <definedName name="fsgBatchSubmissionFinalAddress14">'Final Summary'!$C$100:$D$100</definedName>
    <definedName name="fsgBatchSubmissionFinalAddress15">'Final Summary'!$C$101:$D$101</definedName>
    <definedName name="fsgBatchSubmissionFinalAddress16">'Final Summary'!$C$102:$D$102</definedName>
    <definedName name="fsgBatchSubmissionFinalAddress17">'Final Summary'!$C$103:$D$103</definedName>
    <definedName name="fsgBatchSubmissionFinalAddress18">'Final Summary'!$C$104:$D$104</definedName>
    <definedName name="fsgBatchSubmissionFinalAddress19">'Final Summary'!$C$105:$D$105</definedName>
    <definedName name="fsgBatchSubmissionFinalAddress2">'Final Summary'!$C$88:$D$88</definedName>
    <definedName name="fsgBatchSubmissionFinalAddress20">'Final Summary'!$C$106:$D$106</definedName>
    <definedName name="fsgBatchSubmissionFinalAddress21">'Final Summary'!$C$107:$D$107</definedName>
    <definedName name="fsgBatchSubmissionFinalAddress22">'Final Summary'!$C$108:$D$108</definedName>
    <definedName name="fsgBatchSubmissionFinalAddress23">'Final Summary'!$C$109:$D$109</definedName>
    <definedName name="fsgBatchSubmissionFinalAddress24">'Final Summary'!$C$110:$D$110</definedName>
    <definedName name="fsgBatchSubmissionFinalAddress25">'Final Summary'!$C$111:$D$111</definedName>
    <definedName name="fsgBatchSubmissionFinalAddress26">'Final Summary'!$C$112:$D$112</definedName>
    <definedName name="fsgBatchSubmissionFinalAddress27">'Final Summary'!$C$113:$D$113</definedName>
    <definedName name="fsgBatchSubmissionFinalAddress28">'Final Summary'!$C$114:$D$114</definedName>
    <definedName name="fsgBatchSubmissionFinalAddress29">'Final Summary'!$C$115:$D$115</definedName>
    <definedName name="fsgBatchSubmissionFinalAddress3">'Final Summary'!$C$89:$D$89</definedName>
    <definedName name="fsgBatchSubmissionFinalAddress30">'Final Summary'!$C$116:$D$116</definedName>
    <definedName name="fsgBatchSubmissionFinalAddress31">'Final Summary'!$C$117:$D$117</definedName>
    <definedName name="fsgBatchSubmissionFinalAddress32">'Final Summary'!$C$118:$D$118</definedName>
    <definedName name="fsgBatchSubmissionFinalAddress33">'Final Summary'!$C$119:$D$119</definedName>
    <definedName name="fsgBatchSubmissionFinalAddress34">'Final Summary'!$C$120:$D$120</definedName>
    <definedName name="fsgBatchSubmissionFinalAddress35">'Final Summary'!$C$121:$D$121</definedName>
    <definedName name="fsgBatchSubmissionFinalAddress36">'Final Summary'!$C$122:$D$122</definedName>
    <definedName name="fsgBatchSubmissionFinalAddress37">'Final Summary'!$C$123:$D$123</definedName>
    <definedName name="fsgBatchSubmissionFinalAddress38">'Final Summary'!$C$124:$D$124</definedName>
    <definedName name="fsgBatchSubmissionFinalAddress39">'Final Summary'!$C$125:$D$125</definedName>
    <definedName name="fsgBatchSubmissionFinalAddress4">'Final Summary'!$C$90:$D$90</definedName>
    <definedName name="fsgBatchSubmissionFinalAddress40">'Final Summary'!$C$126:$D$126</definedName>
    <definedName name="fsgBatchSubmissionFinalAddress41">'Final Summary'!$C$127:$D$127</definedName>
    <definedName name="fsgBatchSubmissionFinalAddress42">'Final Summary'!$C$128:$D$128</definedName>
    <definedName name="fsgBatchSubmissionFinalAddress43">'Final Summary'!$C$129:$D$129</definedName>
    <definedName name="fsgBatchSubmissionFinalAddress44">'Final Summary'!$C$130:$D$130</definedName>
    <definedName name="fsgBatchSubmissionFinalAddress45">'Final Summary'!$C$131:$D$131</definedName>
    <definedName name="fsgBatchSubmissionFinalAddress46">'Final Summary'!$C$132:$D$132</definedName>
    <definedName name="fsgBatchSubmissionFinalAddress47">'Final Summary'!$C$133:$D$133</definedName>
    <definedName name="fsgBatchSubmissionFinalAddress48">'Final Summary'!$C$134:$D$134</definedName>
    <definedName name="fsgBatchSubmissionFinalAddress49">'Final Summary'!$C$135:$D$135</definedName>
    <definedName name="fsgBatchSubmissionFinalAddress5">'Final Summary'!$C$91:$D$91</definedName>
    <definedName name="fsgBatchSubmissionFinalAddress50">'Final Summary'!$C$136:$D$136</definedName>
    <definedName name="fsgBatchSubmissionFinalAddress6">'Final Summary'!$C$92:$D$92</definedName>
    <definedName name="fsgBatchSubmissionFinalAddress7">'Final Summary'!$C$93:$D$93</definedName>
    <definedName name="fsgBatchSubmissionFinalAddress8">'Final Summary'!$C$94:$D$94</definedName>
    <definedName name="fsgBatchSubmissionFinalAddress9">'Final Summary'!$C$95:$D$95</definedName>
    <definedName name="fsgBatchSubmissionFinalWRI1">'Final Summary'!$I$87</definedName>
    <definedName name="fsgBatchSubmissionFinalWRI10">'Final Summary'!$I$96</definedName>
    <definedName name="fsgBatchSubmissionFinalWRI11">'Final Summary'!$I$97</definedName>
    <definedName name="fsgBatchSubmissionFinalWRI12">'Final Summary'!$I$98</definedName>
    <definedName name="fsgBatchSubmissionFinalWRI13">'Final Summary'!$I$99</definedName>
    <definedName name="fsgBatchSubmissionFinalWRI14">'Final Summary'!$I$100</definedName>
    <definedName name="fsgBatchSubmissionFinalWRI15">'Final Summary'!$I$101</definedName>
    <definedName name="fsgBatchSubmissionFinalWRI16">'Final Summary'!$I$102</definedName>
    <definedName name="fsgBatchSubmissionFinalWRI17">'Final Summary'!$I$103</definedName>
    <definedName name="fsgBatchSubmissionFinalWRI18">'Final Summary'!$I$104</definedName>
    <definedName name="fsgBatchSubmissionFinalWRI19">'Final Summary'!$I$105</definedName>
    <definedName name="fsgBatchSubmissionFinalWRI2">'Final Summary'!$I$88</definedName>
    <definedName name="fsgBatchSubmissionFinalWRI20">'Final Summary'!$I$106</definedName>
    <definedName name="fsgBatchSubmissionFinalWRI21">'Final Summary'!$I$107</definedName>
    <definedName name="fsgBatchSubmissionFinalWRI22">'Final Summary'!$I$108</definedName>
    <definedName name="fsgBatchSubmissionFinalWRI23">'Final Summary'!$I$109</definedName>
    <definedName name="fsgBatchSubmissionFinalWRI24">'Final Summary'!$I$110</definedName>
    <definedName name="fsgBatchSubmissionFinalWRI25">'Final Summary'!$I$111</definedName>
    <definedName name="fsgBatchSubmissionFinalWRI26">'Final Summary'!$I$112</definedName>
    <definedName name="fsgBatchSubmissionFinalWRI27">'Final Summary'!$I$113</definedName>
    <definedName name="fsgBatchSubmissionFinalWRI28">'Final Summary'!$I$114</definedName>
    <definedName name="fsgBatchSubmissionFinalWRI29">'Final Summary'!$I$115</definedName>
    <definedName name="fsgBatchSubmissionFinalWRI3">'Final Summary'!$I$89</definedName>
    <definedName name="fsgBatchSubmissionFinalWRI30">'Final Summary'!$I$116</definedName>
    <definedName name="fsgBatchSubmissionFinalWRI31">'Final Summary'!$I$117</definedName>
    <definedName name="fsgBatchSubmissionFinalWRI32">'Final Summary'!$I$118</definedName>
    <definedName name="fsgBatchSubmissionFinalWRI33">'Final Summary'!$I$119</definedName>
    <definedName name="fsgBatchSubmissionFinalWRI34">'Final Summary'!$I$120</definedName>
    <definedName name="fsgBatchSubmissionFinalWRI35">'Final Summary'!$I$121</definedName>
    <definedName name="fsgBatchSubmissionFinalWRI36">'Final Summary'!$I$122</definedName>
    <definedName name="fsgBatchSubmissionFinalWRI37">'Final Summary'!$I$123</definedName>
    <definedName name="fsgBatchSubmissionFinalWRI38">'Final Summary'!$I$124</definedName>
    <definedName name="fsgBatchSubmissionFinalWRI39">'Final Summary'!$I$125</definedName>
    <definedName name="fsgBatchSubmissionFinalWRI4">'Final Summary'!$I$90</definedName>
    <definedName name="fsgBatchSubmissionFinalWRI40">'Final Summary'!$I$126</definedName>
    <definedName name="fsgBatchSubmissionFinalWRI41">'Final Summary'!$I$127</definedName>
    <definedName name="fsgBatchSubmissionFinalWRI42">'Final Summary'!$I$128</definedName>
    <definedName name="fsgBatchSubmissionFinalWRI43">'Final Summary'!$I$129</definedName>
    <definedName name="fsgBatchSubmissionFinalWRI44">'Final Summary'!$I$130</definedName>
    <definedName name="fsgBatchSubmissionFinalWRI45">'Final Summary'!$I$131</definedName>
    <definedName name="fsgBatchSubmissionFinalWRI46">'Final Summary'!$I$132</definedName>
    <definedName name="fsgBatchSubmissionFinalWRI47">'Final Summary'!$I$133</definedName>
    <definedName name="fsgBatchSubmissionFinalWRI48">'Final Summary'!$I$134</definedName>
    <definedName name="fsgBatchSubmissionFinalWRI49">'Final Summary'!$I$135</definedName>
    <definedName name="fsgBatchSubmissionFinalWRI5">'Final Summary'!$I$91</definedName>
    <definedName name="fsgBatchSubmissionFinalWRI50">'Final Summary'!$I$136</definedName>
    <definedName name="fsgBatchSubmissionFinalWRI6">'Final Summary'!$I$92</definedName>
    <definedName name="fsgBatchSubmissionFinalWRI7">'Final Summary'!$I$93</definedName>
    <definedName name="fsgBatchSubmissionFinalWRI8">'Final Summary'!$I$94</definedName>
    <definedName name="fsgBatchSubmissionFinalWRI9">'Final Summary'!$I$95</definedName>
    <definedName name="fsgBatchSubmissionInspectionDate1">'Final Summary'!$J$87</definedName>
    <definedName name="fsgBatchSubmissionInspectionDate10">'Final Summary'!$J$96</definedName>
    <definedName name="fsgBatchSubmissionInspectionDate11">'Final Summary'!$J$97</definedName>
    <definedName name="fsgBatchSubmissionInspectionDate12">'Final Summary'!$J$98</definedName>
    <definedName name="fsgBatchSubmissionInspectionDate13">'Final Summary'!$J$99</definedName>
    <definedName name="fsgBatchSubmissionInspectionDate14">'Final Summary'!$J$100</definedName>
    <definedName name="fsgBatchSubmissionInspectionDate15">'Final Summary'!$J$101</definedName>
    <definedName name="fsgBatchSubmissionInspectionDate16">'Final Summary'!$J$102</definedName>
    <definedName name="fsgBatchSubmissionInspectionDate17">'Final Summary'!$J$103</definedName>
    <definedName name="fsgBatchSubmissionInspectionDate18">'Final Summary'!$J$104</definedName>
    <definedName name="fsgBatchSubmissionInspectionDate19">'Final Summary'!$J$105</definedName>
    <definedName name="fsgBatchSubmissionInspectionDate2">'Final Summary'!$J$88</definedName>
    <definedName name="fsgBatchSubmissionInspectionDate20">'Final Summary'!$J$106</definedName>
    <definedName name="fsgBatchSubmissionInspectionDate21">'Final Summary'!$J$107</definedName>
    <definedName name="fsgBatchSubmissionInspectionDate22">'Final Summary'!$J$108</definedName>
    <definedName name="fsgBatchSubmissionInspectionDate23">'Final Summary'!$J$109</definedName>
    <definedName name="fsgBatchSubmissionInspectionDate24">'Final Summary'!$J$110</definedName>
    <definedName name="fsgBatchSubmissionInspectionDate25">'Final Summary'!$J$111</definedName>
    <definedName name="fsgBatchSubmissionInspectionDate26">'Final Summary'!$J$112</definedName>
    <definedName name="fsgBatchSubmissionInspectionDate27">'Final Summary'!$J$113</definedName>
    <definedName name="fsgBatchSubmissionInspectionDate28">'Final Summary'!$J$114</definedName>
    <definedName name="fsgBatchSubmissionInspectionDate29">'Final Summary'!$J$115</definedName>
    <definedName name="fsgBatchSubmissionInspectionDate3">'Final Summary'!$J$89</definedName>
    <definedName name="fsgBatchSubmissionInspectionDate30">'Final Summary'!$J$116</definedName>
    <definedName name="fsgBatchSubmissionInspectionDate31">'Final Summary'!$J$117</definedName>
    <definedName name="fsgBatchSubmissionInspectionDate32">'Final Summary'!$J$118</definedName>
    <definedName name="fsgBatchSubmissionInspectionDate33">'Final Summary'!$J$119</definedName>
    <definedName name="fsgBatchSubmissionInspectionDate34">'Final Summary'!$J$120</definedName>
    <definedName name="fsgBatchSubmissionInspectionDate35">'Final Summary'!$J$121</definedName>
    <definedName name="fsgBatchSubmissionInspectionDate36">'Final Summary'!$J$122</definedName>
    <definedName name="fsgBatchSubmissionInspectionDate37">'Final Summary'!$J$123</definedName>
    <definedName name="fsgBatchSubmissionInspectionDate38">'Final Summary'!$J$124</definedName>
    <definedName name="fsgBatchSubmissionInspectionDate39">'Final Summary'!$J$125</definedName>
    <definedName name="fsgBatchSubmissionInspectionDate4">'Final Summary'!$J$90</definedName>
    <definedName name="fsgBatchSubmissionInspectionDate40">'Final Summary'!$J$126</definedName>
    <definedName name="fsgBatchSubmissionInspectionDate41">'Final Summary'!$J$127</definedName>
    <definedName name="fsgBatchSubmissionInspectionDate42">'Final Summary'!$J$128</definedName>
    <definedName name="fsgBatchSubmissionInspectionDate43">'Final Summary'!$J$129</definedName>
    <definedName name="fsgBatchSubmissionInspectionDate44">'Final Summary'!$J$130</definedName>
    <definedName name="fsgBatchSubmissionInspectionDate45">'Final Summary'!$J$131</definedName>
    <definedName name="fsgBatchSubmissionInspectionDate46">'Final Summary'!$J$132</definedName>
    <definedName name="fsgBatchSubmissionInspectionDate47">'Final Summary'!$J$133</definedName>
    <definedName name="fsgBatchSubmissionInspectionDate48">'Final Summary'!$J$134</definedName>
    <definedName name="fsgBatchSubmissionInspectionDate49">'Final Summary'!$J$135</definedName>
    <definedName name="fsgBatchSubmissionInspectionDate5">'Final Summary'!$J$91</definedName>
    <definedName name="fsgBatchSubmissionInspectionDate50">'Final Summary'!$J$136</definedName>
    <definedName name="fsgBatchSubmissionInspectionDate6">'Final Summary'!$J$92</definedName>
    <definedName name="fsgBatchSubmissionInspectionDate7">'Final Summary'!$J$93</definedName>
    <definedName name="fsgBatchSubmissionInspectionDate8">'Final Summary'!$J$94</definedName>
    <definedName name="fsgBatchSubmissionInspectionDate9">'Final Summary'!$J$95</definedName>
    <definedName name="fsgBatchSubmissionProjectID1">'Final Summary'!$H$87</definedName>
    <definedName name="fsgBatchSubmissionProjectID10">'Final Summary'!$H$96</definedName>
    <definedName name="fsgBatchSubmissionProjectID11">'Final Summary'!$H$97</definedName>
    <definedName name="fsgBatchSubmissionProjectID12">'Final Summary'!$H$98</definedName>
    <definedName name="fsgBatchSubmissionProjectID13">'Final Summary'!$H$99</definedName>
    <definedName name="fsgBatchSubmissionProjectID14">'Final Summary'!$H$100</definedName>
    <definedName name="fsgBatchSubmissionProjectID15">'Final Summary'!$H$101</definedName>
    <definedName name="fsgBatchSubmissionProjectID16">'Final Summary'!$H$102</definedName>
    <definedName name="fsgBatchSubmissionProjectID17">'Final Summary'!$H$103</definedName>
    <definedName name="fsgBatchSubmissionProjectID18">'Final Summary'!$H$104</definedName>
    <definedName name="fsgBatchSubmissionProjectID19">'Final Summary'!$H$105</definedName>
    <definedName name="fsgBatchSubmissionProjectID2">'Final Summary'!$H$88</definedName>
    <definedName name="fsgBatchSubmissionProjectID20">'Final Summary'!$H$106</definedName>
    <definedName name="fsgBatchSubmissionProjectID21">'Final Summary'!$H$107</definedName>
    <definedName name="fsgBatchSubmissionProjectID22">'Final Summary'!$H$108</definedName>
    <definedName name="fsgBatchSubmissionProjectID23">'Final Summary'!$H$109</definedName>
    <definedName name="fsgBatchSubmissionProjectID24">'Final Summary'!$H$110</definedName>
    <definedName name="fsgBatchSubmissionProjectID25">'Final Summary'!$H$111</definedName>
    <definedName name="fsgBatchSubmissionProjectID26">'Final Summary'!$H$112</definedName>
    <definedName name="fsgBatchSubmissionProjectID27">'Final Summary'!$H$113</definedName>
    <definedName name="fsgBatchSubmissionProjectID28">'Final Summary'!$H$114</definedName>
    <definedName name="fsgBatchSubmissionProjectID29">'Final Summary'!$H$115</definedName>
    <definedName name="fsgBatchSubmissionProjectID3">'Final Summary'!$H$89</definedName>
    <definedName name="fsgBatchSubmissionProjectID30">'Final Summary'!$H$116</definedName>
    <definedName name="fsgBatchSubmissionProjectID31">'Final Summary'!$H$117</definedName>
    <definedName name="fsgBatchSubmissionProjectID32">'Final Summary'!$H$118</definedName>
    <definedName name="fsgBatchSubmissionProjectID33">'Final Summary'!$H$119</definedName>
    <definedName name="fsgBatchSubmissionProjectID34">'Final Summary'!$H$120</definedName>
    <definedName name="fsgBatchSubmissionProjectID35">'Final Summary'!$H$121</definedName>
    <definedName name="fsgBatchSubmissionProjectID36">'Final Summary'!$H$122</definedName>
    <definedName name="fsgBatchSubmissionProjectID37">'Final Summary'!$H$123</definedName>
    <definedName name="fsgBatchSubmissionProjectID38">'Final Summary'!$H$124</definedName>
    <definedName name="fsgBatchSubmissionProjectID39">'Final Summary'!$H$125</definedName>
    <definedName name="fsgBatchSubmissionProjectID4">'Final Summary'!$H$90</definedName>
    <definedName name="fsgBatchSubmissionProjectID40">'Final Summary'!$H$126</definedName>
    <definedName name="fsgBatchSubmissionProjectID41">'Final Summary'!$H$127</definedName>
    <definedName name="fsgBatchSubmissionProjectID42">'Final Summary'!$H$128</definedName>
    <definedName name="fsgBatchSubmissionProjectID43">'Final Summary'!$H$129</definedName>
    <definedName name="fsgBatchSubmissionProjectID44">'Final Summary'!$H$130</definedName>
    <definedName name="fsgBatchSubmissionProjectID45">'Final Summary'!$H$131</definedName>
    <definedName name="fsgBatchSubmissionProjectID46">'Final Summary'!$H$132</definedName>
    <definedName name="fsgBatchSubmissionProjectID47">'Final Summary'!$H$133</definedName>
    <definedName name="fsgBatchSubmissionProjectID48">'Final Summary'!$H$134</definedName>
    <definedName name="fsgBatchSubmissionProjectID49">'Final Summary'!$H$135</definedName>
    <definedName name="fsgBatchSubmissionProjectID5">'Final Summary'!$H$91</definedName>
    <definedName name="fsgBatchSubmissionProjectID50">'Final Summary'!$H$136</definedName>
    <definedName name="fsgBatchSubmissionProjectID6">'Final Summary'!$H$92</definedName>
    <definedName name="fsgBatchSubmissionProjectID7">'Final Summary'!$H$93</definedName>
    <definedName name="fsgBatchSubmissionProjectID8">'Final Summary'!$H$94</definedName>
    <definedName name="fsgBatchSubmissionProjectID9">'Final Summary'!$H$95</definedName>
    <definedName name="fsgBatchSubmissionZIP1">'Final Summary'!$G$87</definedName>
    <definedName name="fsgBatchSubmissionZIP10">'Final Summary'!$G$96</definedName>
    <definedName name="fsgBatchSubmissionZIP11">'Final Summary'!$G$97</definedName>
    <definedName name="fsgBatchSubmissionZIP12">'Final Summary'!$G$98</definedName>
    <definedName name="fsgBatchSubmissionZIP13">'Final Summary'!$G$99</definedName>
    <definedName name="fsgBatchSubmissionZIP14">'Final Summary'!$G$100</definedName>
    <definedName name="fsgBatchSubmissionZIP15">'Final Summary'!$G$101</definedName>
    <definedName name="fsgBatchSubmissionZIP16">'Final Summary'!$G$102</definedName>
    <definedName name="fsgBatchSubmissionZIP17">'Final Summary'!$G$103</definedName>
    <definedName name="fsgBatchSubmissionZIP18">'Final Summary'!$G$104</definedName>
    <definedName name="fsgBatchSubmissionZIP19">'Final Summary'!$G$105</definedName>
    <definedName name="fsgBatchSubmissionZIP2">'Final Summary'!$G$88</definedName>
    <definedName name="fsgBatchSubmissionZIP20">'Final Summary'!$G$106</definedName>
    <definedName name="fsgBatchSubmissionZIP21">'Final Summary'!$G$107</definedName>
    <definedName name="fsgBatchSubmissionZIP22">'Final Summary'!$G$108</definedName>
    <definedName name="fsgBatchSubmissionZIP23">'Final Summary'!$G$109</definedName>
    <definedName name="fsgBatchSubmissionZIP24">'Final Summary'!$G$110</definedName>
    <definedName name="fsgBatchSubmissionZIP25">'Final Summary'!$G$111</definedName>
    <definedName name="fsgBatchSubmissionZIP26">'Final Summary'!$G$112</definedName>
    <definedName name="fsgBatchSubmissionZIP27">'Final Summary'!$G$113</definedName>
    <definedName name="fsgBatchSubmissionZIP28">'Final Summary'!$G$114</definedName>
    <definedName name="fsgBatchSubmissionZIP29">'Final Summary'!$G$115</definedName>
    <definedName name="fsgBatchSubmissionZIP3">'Final Summary'!$G$89</definedName>
    <definedName name="fsgBatchSubmissionZIP30">'Final Summary'!$G$116</definedName>
    <definedName name="fsgBatchSubmissionZIP31">'Final Summary'!$G$117</definedName>
    <definedName name="fsgBatchSubmissionZIP32">'Final Summary'!$G$118</definedName>
    <definedName name="fsgBatchSubmissionZIP33">'Final Summary'!$G$119</definedName>
    <definedName name="fsgBatchSubmissionZIP34">'Final Summary'!$G$120</definedName>
    <definedName name="fsgBatchSubmissionZIP35">'Final Summary'!$G$121</definedName>
    <definedName name="fsgBatchSubmissionZIP36">'Final Summary'!$G$122</definedName>
    <definedName name="fsgBatchSubmissionZIP37">'Final Summary'!$G$123</definedName>
    <definedName name="fsgBatchSubmissionZIP38">'Final Summary'!$G$124</definedName>
    <definedName name="fsgBatchSubmissionZIP39">'Final Summary'!$G$125</definedName>
    <definedName name="fsgBatchSubmissionZIP4">'Final Summary'!$G$90</definedName>
    <definedName name="fsgBatchSubmissionZIP40">'Final Summary'!$G$126</definedName>
    <definedName name="fsgBatchSubmissionZIP41">'Final Summary'!$G$127</definedName>
    <definedName name="fsgBatchSubmissionZIP42">'Final Summary'!$G$128</definedName>
    <definedName name="fsgBatchSubmissionZIP43">'Final Summary'!$G$129</definedName>
    <definedName name="fsgBatchSubmissionZIP44">'Final Summary'!$G$130</definedName>
    <definedName name="fsgBatchSubmissionZIP45">'Final Summary'!$G$131</definedName>
    <definedName name="fsgBatchSubmissionZIP46">'Final Summary'!$G$132</definedName>
    <definedName name="fsgBatchSubmissionZIP47">'Final Summary'!$G$133</definedName>
    <definedName name="fsgBatchSubmissionZIP48">'Final Summary'!$G$134</definedName>
    <definedName name="fsgBatchSubmissionZIP49">'Final Summary'!$G$135</definedName>
    <definedName name="fsgBatchSubmissionZIP5">'Final Summary'!$G$91</definedName>
    <definedName name="fsgBatchSubmissionZIP50">'Final Summary'!$G$136</definedName>
    <definedName name="fsgBatchSubmissionZIP6">'Final Summary'!$G$92</definedName>
    <definedName name="fsgBatchSubmissionZIP7">'Final Summary'!$G$93</definedName>
    <definedName name="fsgBatchSubmissionZIP8">'Final Summary'!$G$94</definedName>
    <definedName name="fsgBatchSubmissionZIP9">'Final Summary'!$G$95</definedName>
    <definedName name="fsgBuilderComments">'Final Summary'!$C$39</definedName>
    <definedName name="fsgBuilderDate">'Final Summary'!$C$49</definedName>
    <definedName name="fsgBuilderEmail">'Final Summary'!$C$45</definedName>
    <definedName name="fsgBuilderName">'Final Summary'!$C$43</definedName>
    <definedName name="fsgBuilderPhone">'Final Summary'!$C$47</definedName>
    <definedName name="fsgSampleDate1">'Final Summary'!$C$164</definedName>
    <definedName name="fsgSampleDate10">'Final Summary'!$C$173</definedName>
    <definedName name="fsgSampleDate11">'Final Summary'!$C$174</definedName>
    <definedName name="fsgSampleDate12">'Final Summary'!$C$175</definedName>
    <definedName name="fsgSampleDate13">'Final Summary'!$C$176</definedName>
    <definedName name="fsgSampleDate14">'Final Summary'!$C$177</definedName>
    <definedName name="fsgSampleDate15">'Final Summary'!$C$178</definedName>
    <definedName name="fsgSampleDate16">'Final Summary'!$C$179</definedName>
    <definedName name="fsgSampleDate2">'Final Summary'!$C$165</definedName>
    <definedName name="fsgSampleDate3">'Final Summary'!$C$166</definedName>
    <definedName name="fsgSampleDate4">'Final Summary'!$C$167</definedName>
    <definedName name="fsgSampleDate5">'Final Summary'!$C$168</definedName>
    <definedName name="fsgSampleDate6">'Final Summary'!$C$169</definedName>
    <definedName name="fsgSampleDate7">'Final Summary'!$C$170</definedName>
    <definedName name="fsgSampleDate8">'Final Summary'!$C$171</definedName>
    <definedName name="fsgSampleDate9">'Final Summary'!$C$172</definedName>
    <definedName name="fsgSampleNotes1">'Final Summary'!$F$164</definedName>
    <definedName name="fsgSampleNotes10">'Final Summary'!$F$173</definedName>
    <definedName name="fsgSampleNotes11">'Final Summary'!$F$174</definedName>
    <definedName name="fsgSampleNotes12">'Final Summary'!$F$175</definedName>
    <definedName name="fsgSampleNotes13">'Final Summary'!$F$176</definedName>
    <definedName name="fsgSampleNotes14">'Final Summary'!$F$177</definedName>
    <definedName name="fsgSampleNotes15">'Final Summary'!$F$178</definedName>
    <definedName name="fsgSampleNotes16">'Final Summary'!$F$179</definedName>
    <definedName name="fsgSampleNotes2">'Final Summary'!$F$165</definedName>
    <definedName name="fsgSampleNotes3">'Final Summary'!$F$166</definedName>
    <definedName name="fsgSampleNotes4">'Final Summary'!$F$167</definedName>
    <definedName name="fsgSampleNotes5">'Final Summary'!$F$168</definedName>
    <definedName name="fsgSampleNotes6">'Final Summary'!$F$169</definedName>
    <definedName name="fsgSampleNotes7">'Final Summary'!$F$170</definedName>
    <definedName name="fsgSampleNotes8">'Final Summary'!$F$171</definedName>
    <definedName name="fsgSampleNotes9">'Final Summary'!$F$172</definedName>
    <definedName name="fsgSampleUnitsAvailable1">'Final Summary'!$D$164</definedName>
    <definedName name="fsgSampleUnitsAvailable10">'Final Summary'!$D$173</definedName>
    <definedName name="fsgSampleUnitsAvailable11">'Final Summary'!$D$174</definedName>
    <definedName name="fsgSampleUnitsAvailable12">'Final Summary'!$D$175</definedName>
    <definedName name="fsgSampleUnitsAvailable13">'Final Summary'!$D$176</definedName>
    <definedName name="fsgSampleUnitsAvailable14">'Final Summary'!$D$177</definedName>
    <definedName name="fsgSampleUnitsAvailable15">'Final Summary'!$D$178</definedName>
    <definedName name="fsgSampleUnitsAvailable16">'Final Summary'!$D$179</definedName>
    <definedName name="fsgSampleUnitsAvailable2">'Final Summary'!$D$165</definedName>
    <definedName name="fsgSampleUnitsAvailable3">'Final Summary'!$D$166</definedName>
    <definedName name="fsgSampleUnitsAvailable4">'Final Summary'!$D$167</definedName>
    <definedName name="fsgSampleUnitsAvailable5">'Final Summary'!$D$168</definedName>
    <definedName name="fsgSampleUnitsAvailable6">'Final Summary'!$D$169</definedName>
    <definedName name="fsgSampleUnitsAvailable7">'Final Summary'!$D$170</definedName>
    <definedName name="fsgSampleUnitsAvailable8">'Final Summary'!$D$171</definedName>
    <definedName name="fsgSampleUnitsAvailable9">'Final Summary'!$D$172</definedName>
    <definedName name="fsgSampleUnitsInspected1">'Final Summary'!$E$164</definedName>
    <definedName name="fsgSampleUnitsInspected10">'Final Summary'!$E$173</definedName>
    <definedName name="fsgSampleUnitsInspected11">'Final Summary'!$E$174</definedName>
    <definedName name="fsgSampleUnitsInspected12">'Final Summary'!$E$175</definedName>
    <definedName name="fsgSampleUnitsInspected13">'Final Summary'!$E$176</definedName>
    <definedName name="fsgSampleUnitsInspected14">'Final Summary'!$E$177</definedName>
    <definedName name="fsgSampleUnitsInspected15">'Final Summary'!$E$178</definedName>
    <definedName name="fsgSampleUnitsInspected16">'Final Summary'!$E$179</definedName>
    <definedName name="fsgSampleUnitsInspected2">'Final Summary'!$E$165</definedName>
    <definedName name="fsgSampleUnitsInspected3">'Final Summary'!$E$166</definedName>
    <definedName name="fsgSampleUnitsInspected4">'Final Summary'!$E$167</definedName>
    <definedName name="fsgSampleUnitsInspected5">'Final Summary'!$E$168</definedName>
    <definedName name="fsgSampleUnitsInspected6">'Final Summary'!$E$169</definedName>
    <definedName name="fsgSampleUnitsInspected7">'Final Summary'!$E$170</definedName>
    <definedName name="fsgSampleUnitsInspected8">'Final Summary'!$E$171</definedName>
    <definedName name="fsgSampleUnitsInspected9">'Final Summary'!$E$172</definedName>
    <definedName name="fsgTeamVerifierElementsVerified1">'Final Summary'!$E$75</definedName>
    <definedName name="fsgTeamVerifierElementsVerified2">'Final Summary'!$E$76</definedName>
    <definedName name="fsgTeamVerifierElementsVerified3">'Final Summary'!$E$77</definedName>
    <definedName name="fsgTeamVerifierElementsVerified4">'Final Summary'!$E$78</definedName>
    <definedName name="fsgTeamVerifierElementsVerified5">'Final Summary'!$E$79</definedName>
    <definedName name="fsgTeamVerifierInspectionDate1">'Final Summary'!$G$75</definedName>
    <definedName name="fsgTeamVerifierInspectionDate2">'Final Summary'!$G$76</definedName>
    <definedName name="fsgTeamVerifierInspectionDate3">'Final Summary'!$G$77</definedName>
    <definedName name="fsgTeamVerifierInspectionDate4">'Final Summary'!$G$78</definedName>
    <definedName name="fsgTeamVerifierInspectionDate5">'Final Summary'!$G$79</definedName>
    <definedName name="fsgTeamVerifierName1">'Final Summary'!$C$75</definedName>
    <definedName name="fsgTeamVerifierName2">'Final Summary'!$C$76</definedName>
    <definedName name="fsgTeamVerifierName3">'Final Summary'!$C$77</definedName>
    <definedName name="fsgTeamVerifierName4">'Final Summary'!$C$78</definedName>
    <definedName name="fsgTeamVerifierName5">'Final Summary'!$C$79</definedName>
    <definedName name="fsgTeamVerifierRole1">'Final Summary'!$D$75</definedName>
    <definedName name="fsgTeamVerifierRole2">'Final Summary'!$D$76</definedName>
    <definedName name="fsgTeamVerifierRole3">'Final Summary'!$D$77</definedName>
    <definedName name="fsgTeamVerifierRole4">'Final Summary'!$D$78</definedName>
    <definedName name="fsgTeamVerifierRole5">'Final Summary'!$D$79</definedName>
    <definedName name="fsgVerifierComments">'Final Summary'!$C$53</definedName>
    <definedName name="fsgVerifierDate">'Final Summary'!$C$67</definedName>
    <definedName name="fsgVerifierEmail">'Final Summary'!$C$59</definedName>
    <definedName name="fsgVerifierEndTime">'Final Summary'!$C$65</definedName>
    <definedName name="fsgVerifierName">'Final Summary'!$C$57</definedName>
    <definedName name="fsgVerifierPhone">'Final Summary'!$C$61</definedName>
    <definedName name="fsgVerifierStartTime">'Final Summary'!$C$63</definedName>
    <definedName name="GoalLevel">'Verification Report'!$L$1</definedName>
    <definedName name="hid802.3.2">'Ch8'!$M$71</definedName>
    <definedName name="hid802.3.2ver">'Verification Report'!$M$1700</definedName>
    <definedName name="hidBadgeMandatoryMsg" localSheetId="11">'Badges (Design)'!$X$7</definedName>
    <definedName name="hidBadgeMandatoryMsg" localSheetId="20">'Badges (Verification)'!$X$7</definedName>
    <definedName name="hidBadgeMandatoryMsg" localSheetId="12">'WaterSense (Design)'!$X$7</definedName>
    <definedName name="hidBadgeMandatoryMsg" localSheetId="21">'WaterSense (Verification)'!$X$7</definedName>
    <definedName name="hidBadgeOverviewMsg" localSheetId="11">'Badges (Design)'!$X$6</definedName>
    <definedName name="hidBadgeOverviewMsg" localSheetId="20">'Badges (Verification)'!$X$6</definedName>
    <definedName name="hidBadgeOverviewMsg" localSheetId="12">'WaterSense (Design)'!$X$6</definedName>
    <definedName name="hidBadgeOverviewMsg" localSheetId="21">'WaterSense (Verification)'!$X$6</definedName>
    <definedName name="hidCh10ErrorsMsg">'Ch10'!$X$3</definedName>
    <definedName name="hidCh10MandatoryMsg">'Ch10'!$X$2</definedName>
    <definedName name="hidCh10OverviewMsg">'Ch10'!$X$1</definedName>
    <definedName name="hidCh5ErrorsMsg">'Ch5'!$X$3</definedName>
    <definedName name="hidCh5MandatoryMsg">'Ch5'!$X$2</definedName>
    <definedName name="hidCh5OverviewMsg">'Ch5'!$X$1</definedName>
    <definedName name="hidCh6ErrorsMsg">'Ch6'!$X$3</definedName>
    <definedName name="hidCh6MandatoryMsg">'Ch6'!$X$2</definedName>
    <definedName name="hidCh6OverviewMsg">'Ch6'!$X$1</definedName>
    <definedName name="hidCh7ErrorsMsg">'Ch7'!$X$3</definedName>
    <definedName name="hidCh7MandatoryMsg">'Ch7'!$X$2</definedName>
    <definedName name="hidCh7OverviewMsg">'Ch7'!$X$1</definedName>
    <definedName name="hidCh8ErrorsMsg">'Ch8'!$X$3</definedName>
    <definedName name="hidCh8MandatoryMsg">'Ch8'!$X$2</definedName>
    <definedName name="hidCh8OverviewMsg">'Ch8'!$X$1</definedName>
    <definedName name="hidCh9ErrorsMsg">'Ch9'!$X$3</definedName>
    <definedName name="hidCh9MandatoryMsg">'Ch9'!$X$2</definedName>
    <definedName name="hidCh9OverviewMsg">'Ch9'!$X$1</definedName>
    <definedName name="hidCity">'Overview (Verification)'!$T$13</definedName>
    <definedName name="hidCityInstruction">'Overview (Design)'!$K$13</definedName>
    <definedName name="hidDesBadgesErrorsMsg" localSheetId="12">'WaterSense (Design)'!$X$3</definedName>
    <definedName name="hidDesBadgesErrorsMsg">'Badges (Design)'!$X$3</definedName>
    <definedName name="hidDesBadgesMandatoryMsg" localSheetId="12">'WaterSense (Design)'!$X$2</definedName>
    <definedName name="hidDesBadgesMandatoryMsg">'Badges (Design)'!$X$2</definedName>
    <definedName name="hidDesBadgesOverviewMsg" localSheetId="12">'WaterSense (Design)'!$X$1</definedName>
    <definedName name="hidDesBadgesOverviewMsg">'Badges (Design)'!$X$1</definedName>
    <definedName name="hidElevationWarning">'Ch7'!$L$36</definedName>
    <definedName name="hidElevationWarning2">'Ch7'!$L$40</definedName>
    <definedName name="hidElevationWarning3">'Verification Report'!$L$906</definedName>
    <definedName name="hidElevationWarning4">'Verification Report'!$L$910</definedName>
    <definedName name="hidFinalSamp1">'Final Summary'!$C$180</definedName>
    <definedName name="hidFinalSamp2">'Final Summary'!$F$180</definedName>
    <definedName name="hidFSMandatoryMsg">'Final Summary'!$F$18</definedName>
    <definedName name="hidFSOverviewMsg">'Final Summary'!$C$18</definedName>
    <definedName name="hidIDInstruction">'Overview (Verification)'!$R$8</definedName>
    <definedName name="hidODClimateFormula">'Overview (Design)'!$N$15</definedName>
    <definedName name="hidODClimateLabel">'Overview (Design)'!$N$14</definedName>
    <definedName name="hidODCommercial">'Overview (Design)'!$A$20</definedName>
    <definedName name="hidODCountyFormula">'Overview (Design)'!$L$15</definedName>
    <definedName name="hidODCountyLabel">'Overview (Design)'!$L$14</definedName>
    <definedName name="hidODMoistFormula">'Overview (Design)'!$O$15</definedName>
    <definedName name="hidODMoistLabel">'Overview (Design)'!$O$14</definedName>
    <definedName name="hidODNumberUnitsLabel">'Overview (Design)'!$A$19</definedName>
    <definedName name="hidODProjectNameLabel">'Overview (Design)'!$A$23</definedName>
    <definedName name="hidODStateFormula">'Overview (Design)'!$K$15</definedName>
    <definedName name="hidODStateLabel">'Overview (Design)'!$K$14</definedName>
    <definedName name="hidODTropicalFormula">'Overview (Design)'!$Q$15</definedName>
    <definedName name="hidODTropicalLabel">'Overview (Design)'!$Q$14</definedName>
    <definedName name="hidODWarmFormula">'Overview (Design)'!$P$15</definedName>
    <definedName name="hidODWarmLabel">'Overview (Design)'!$P$14</definedName>
    <definedName name="hidOVClimateFormula">'Overview (Verification)'!$W$15</definedName>
    <definedName name="hidOVClimateLabel">'Overview (Verification)'!$W$14</definedName>
    <definedName name="hidOVCommercial">'Overview (Verification)'!$A$20</definedName>
    <definedName name="hidOVCountyFormula">'Overview (Verification)'!$U$15</definedName>
    <definedName name="hidOVCountyLabel">'Overview (Verification)'!$U$14</definedName>
    <definedName name="hidOVMoistFormula">'Overview (Verification)'!$X$15</definedName>
    <definedName name="hidOVMoistLabel">'Overview (Verification)'!$X$14</definedName>
    <definedName name="hidOVNumberUnitsLabel">'Overview (Verification)'!$A$19</definedName>
    <definedName name="hidOVProjectNameLabel">'Overview (Verification)'!$A$23</definedName>
    <definedName name="hidOVStateFormula">'Overview (Verification)'!$T$15</definedName>
    <definedName name="hidOVStateLabel">'Overview (Verification)'!$T$14</definedName>
    <definedName name="hidOVTropicalFormula">'Overview (Verification)'!$Z$15</definedName>
    <definedName name="hidOVTropicalLabel">'Overview (Verification)'!$Z$14</definedName>
    <definedName name="hidOVWarmFormula">'Overview (Verification)'!$Y$15</definedName>
    <definedName name="hidOVWarmLabel">'Overview (Verification)'!$Y$14</definedName>
    <definedName name="hidRoughCommNote">'Rough Summary'!$C$34</definedName>
    <definedName name="hidRoughSamp1">'Rough Summary'!$C$180</definedName>
    <definedName name="hidRoughSamp2">'Rough Summary'!$F$180</definedName>
    <definedName name="hidRSMandatoryMsg">'Rough Summary'!$F$18</definedName>
    <definedName name="hidRSOverviewMsg">'Rough Summary'!$C$18</definedName>
    <definedName name="hidVerBadgesErrorsMsg" localSheetId="21">'WaterSense (Verification)'!$X$3</definedName>
    <definedName name="hidVerBadgesErrorsMsg">'Badges (Verification)'!$X$3</definedName>
    <definedName name="hidVerBadgesMandatoryMsg" localSheetId="21">'WaterSense (Verification)'!$X$2</definedName>
    <definedName name="hidVerBadgesMandatoryMsg">'Badges (Verification)'!$X$2</definedName>
    <definedName name="hidVerBadgesOverviewMsg" localSheetId="21">'WaterSense (Verification)'!$X$1</definedName>
    <definedName name="hidVerBadgesOverviewMsg">'Badges (Verification)'!$X$1</definedName>
    <definedName name="hidVRErrorsMsg">'Verification Report'!$X$3</definedName>
    <definedName name="hidVRMandatoryMsg">'Verification Report'!$X$2</definedName>
    <definedName name="hidVROverviewMsg">'Verification Report'!$X$1</definedName>
    <definedName name="hidZip">'Overview (Verification)'!$Q$16</definedName>
    <definedName name="hidZIPInstruction">'Overview (Design)'!$K$16</definedName>
    <definedName name="hyptarg1">'Ch6'!$W$122</definedName>
    <definedName name="hyptarg2">'Ch6'!$W$131</definedName>
    <definedName name="hyptarg3">'Ch6'!$W$207</definedName>
    <definedName name="hyptarg4">'Ch6'!$W$266</definedName>
    <definedName name="hyptarg5">'Ch6'!$W$434</definedName>
    <definedName name="hyptarg6">'Ch6'!$W$447</definedName>
    <definedName name="hyptarg7.1">'Ch7'!$W$121</definedName>
    <definedName name="hyptarg7.2">'Ch7'!$W$220</definedName>
    <definedName name="hyptarg7.26">'Ch7'!$W$460</definedName>
    <definedName name="hyptarg7.3">'Ch7'!$W$228</definedName>
    <definedName name="hyptarg7.4">'Ch7'!$W$236</definedName>
    <definedName name="hyptarg7.5">'Ch7'!$W$252</definedName>
    <definedName name="hyptarg8.1">'Ch8'!$W$21</definedName>
    <definedName name="hyptarg9.1">'Ch9'!$W$133</definedName>
    <definedName name="hyptarg9.2">'Ch9'!$W$135</definedName>
    <definedName name="hyptarg9.3">'Ch9'!$W$155</definedName>
    <definedName name="Intro">'Info &amp; Intro'!$B$14</definedName>
    <definedName name="MFIntro">Formulas!$X$12</definedName>
    <definedName name="_xlnm.Print_Area" localSheetId="11">'Badges (Design)'!$A$1:$X$313</definedName>
    <definedName name="_xlnm.Print_Area" localSheetId="20">'Badges (Verification)'!$A$1:$Y$338</definedName>
    <definedName name="_xlnm.Print_Area" localSheetId="8">'Ch10'!$A$1:$X$234</definedName>
    <definedName name="_xlnm.Print_Area" localSheetId="3">'Ch5'!$D$1:$X$328</definedName>
    <definedName name="_xlnm.Print_Area" localSheetId="4">'Ch6'!$A$1:$X$561</definedName>
    <definedName name="_xlnm.Print_Area" localSheetId="6">'Ch8'!$A$1:$X$246</definedName>
    <definedName name="_xlnm.Print_Area" localSheetId="10">'Design Summ.'!$A$1:$M$26</definedName>
    <definedName name="_xlnm.Print_Area" localSheetId="1">'Overview (Design)'!$A$1:$U$66</definedName>
    <definedName name="_xlnm.Print_Area" localSheetId="17">'Overview (Verification)'!$A$1:$Y$64</definedName>
    <definedName name="_xlnm.Print_Area" localSheetId="19">'Verification Report'!$I$1:$Y$2476</definedName>
    <definedName name="_xlnm.Print_Area" localSheetId="12">'WaterSense (Design)'!$A$1:$X$30</definedName>
    <definedName name="_xlnm.Print_Area" localSheetId="21">'WaterSense (Verification)'!$A$1:$Y$170</definedName>
    <definedName name="ReportType" localSheetId="11">'Badges (Design)'!$R$3</definedName>
    <definedName name="ReportType" localSheetId="20">'Badges (Verification)'!$R$3</definedName>
    <definedName name="ReportType" localSheetId="19">'Verification Report'!$L$5</definedName>
    <definedName name="ReportType" localSheetId="12">'WaterSense (Design)'!$R$3</definedName>
    <definedName name="ReportType" localSheetId="21">'WaterSense (Verification)'!$R$3</definedName>
    <definedName name="ReportType">'Verification Report'!$L$5</definedName>
    <definedName name="ReportTypeRes">'Verification Report'!$L$5</definedName>
    <definedName name="rsgBatchSubmissionCity1">'Rough Summary'!$E$87</definedName>
    <definedName name="rsgBatchSubmissionCity10">'Rough Summary'!$E$96</definedName>
    <definedName name="rsgBatchSubmissionCity11">'Rough Summary'!$E$97</definedName>
    <definedName name="rsgBatchSubmissionCity12">'Rough Summary'!$E$98</definedName>
    <definedName name="rsgBatchSubmissionCity13">'Rough Summary'!$E$99</definedName>
    <definedName name="rsgBatchSubmissionCity14">'Rough Summary'!$E$100</definedName>
    <definedName name="rsgBatchSubmissionCity15">'Rough Summary'!$E$101</definedName>
    <definedName name="rsgBatchSubmissionCity16">'Rough Summary'!$E$102</definedName>
    <definedName name="rsgBatchSubmissionCity17">'Rough Summary'!$E$103</definedName>
    <definedName name="rsgBatchSubmissionCity18">'Rough Summary'!$E$104</definedName>
    <definedName name="rsgBatchSubmissionCity19">'Rough Summary'!$E$105</definedName>
    <definedName name="rsgBatchSubmissionCity2">'Rough Summary'!$E$88</definedName>
    <definedName name="rsgBatchSubmissionCity20">'Rough Summary'!$E$106</definedName>
    <definedName name="rsgBatchSubmissionCity21">'Rough Summary'!$E$107</definedName>
    <definedName name="rsgBatchSubmissionCity22">'Rough Summary'!$E$108</definedName>
    <definedName name="rsgBatchSubmissionCity23">'Rough Summary'!$E$109</definedName>
    <definedName name="rsgBatchSubmissionCity24">'Rough Summary'!$E$110</definedName>
    <definedName name="rsgBatchSubmissionCity25">'Rough Summary'!$E$111</definedName>
    <definedName name="rsgBatchSubmissionCity26">'Rough Summary'!$E$112</definedName>
    <definedName name="rsgBatchSubmissionCity27">'Rough Summary'!$E$113</definedName>
    <definedName name="rsgBatchSubmissionCity28">'Rough Summary'!$E$114</definedName>
    <definedName name="rsgBatchSubmissionCity29">'Rough Summary'!$E$115</definedName>
    <definedName name="rsgBatchSubmissionCity3">'Rough Summary'!$E$89</definedName>
    <definedName name="rsgBatchSubmissionCity30">'Rough Summary'!$E$116</definedName>
    <definedName name="rsgBatchSubmissionCity31">'Rough Summary'!$E$117</definedName>
    <definedName name="rsgBatchSubmissionCity32">'Rough Summary'!$E$118</definedName>
    <definedName name="rsgBatchSubmissionCity33">'Rough Summary'!$E$119</definedName>
    <definedName name="rsgBatchSubmissionCity34">'Rough Summary'!$E$120</definedName>
    <definedName name="rsgBatchSubmissionCity35">'Rough Summary'!$E$121</definedName>
    <definedName name="rsgBatchSubmissionCity36">'Rough Summary'!$E$122</definedName>
    <definedName name="rsgBatchSubmissionCity37">'Rough Summary'!$E$123</definedName>
    <definedName name="rsgBatchSubmissionCity38">'Rough Summary'!$E$124</definedName>
    <definedName name="rsgBatchSubmissionCity39">'Rough Summary'!$E$125</definedName>
    <definedName name="rsgBatchSubmissionCity4">'Rough Summary'!$E$90</definedName>
    <definedName name="rsgBatchSubmissionCity40">'Rough Summary'!$E$126</definedName>
    <definedName name="rsgBatchSubmissionCity41">'Rough Summary'!$E$127</definedName>
    <definedName name="rsgBatchSubmissionCity42">'Rough Summary'!$E$128</definedName>
    <definedName name="rsgBatchSubmissionCity43">'Rough Summary'!$E$129</definedName>
    <definedName name="rsgBatchSubmissionCity44">'Rough Summary'!$E$130</definedName>
    <definedName name="rsgBatchSubmissionCity45">'Rough Summary'!$E$131</definedName>
    <definedName name="rsgBatchSubmissionCity46">'Rough Summary'!$E$132</definedName>
    <definedName name="rsgBatchSubmissionCity47">'Rough Summary'!$E$133</definedName>
    <definedName name="rsgBatchSubmissionCity48">'Rough Summary'!$E$134</definedName>
    <definedName name="rsgBatchSubmissionCity49">'Rough Summary'!$E$135</definedName>
    <definedName name="rsgBatchSubmissionCity5">'Rough Summary'!$E$91</definedName>
    <definedName name="rsgBatchSubmissionCity50">'Rough Summary'!$E$136</definedName>
    <definedName name="rsgBatchSubmissionCity6">'Rough Summary'!$E$92</definedName>
    <definedName name="rsgBatchSubmissionCity7">'Rough Summary'!$E$93</definedName>
    <definedName name="rsgBatchSubmissionCity8">'Rough Summary'!$E$94</definedName>
    <definedName name="rsgBatchSubmissionCity9">'Rough Summary'!$E$95</definedName>
    <definedName name="rsgBatchSubmissionInspectionDate1">'Rough Summary'!$I$87</definedName>
    <definedName name="rsgBatchSubmissionInspectionDate10">'Rough Summary'!$I$96</definedName>
    <definedName name="rsgBatchSubmissionInspectionDate11">'Rough Summary'!$I$97</definedName>
    <definedName name="rsgBatchSubmissionInspectionDate12">'Rough Summary'!$I$98</definedName>
    <definedName name="rsgBatchSubmissionInspectionDate13">'Rough Summary'!$I$99</definedName>
    <definedName name="rsgBatchSubmissionInspectionDate14">'Rough Summary'!$I$100</definedName>
    <definedName name="rsgBatchSubmissionInspectionDate15">'Rough Summary'!$I$101</definedName>
    <definedName name="rsgBatchSubmissionInspectionDate16">'Rough Summary'!$I$102</definedName>
    <definedName name="rsgBatchSubmissionInspectionDate17">'Rough Summary'!$I$103</definedName>
    <definedName name="rsgBatchSubmissionInspectionDate18">'Rough Summary'!$I$104</definedName>
    <definedName name="rsgBatchSubmissionInspectionDate19">'Rough Summary'!$I$105</definedName>
    <definedName name="rsgBatchSubmissionInspectionDate2">'Rough Summary'!$I$88</definedName>
    <definedName name="rsgBatchSubmissionInspectionDate20">'Rough Summary'!$I$106</definedName>
    <definedName name="rsgBatchSubmissionInspectionDate21">'Rough Summary'!$I$107</definedName>
    <definedName name="rsgBatchSubmissionInspectionDate22">'Rough Summary'!$I$108</definedName>
    <definedName name="rsgBatchSubmissionInspectionDate23">'Rough Summary'!$I$109</definedName>
    <definedName name="rsgBatchSubmissionInspectionDate24">'Rough Summary'!$I$110</definedName>
    <definedName name="rsgBatchSubmissionInspectionDate25">'Rough Summary'!$I$111</definedName>
    <definedName name="rsgBatchSubmissionInspectionDate26">'Rough Summary'!$I$112</definedName>
    <definedName name="rsgBatchSubmissionInspectionDate27">'Rough Summary'!$I$113</definedName>
    <definedName name="rsgBatchSubmissionInspectionDate28">'Rough Summary'!$I$114</definedName>
    <definedName name="rsgBatchSubmissionInspectionDate29">'Rough Summary'!$I$115</definedName>
    <definedName name="rsgBatchSubmissionInspectionDate3">'Rough Summary'!$I$89</definedName>
    <definedName name="rsgBatchSubmissionInspectionDate30">'Rough Summary'!$I$116</definedName>
    <definedName name="rsgBatchSubmissionInspectionDate31">'Rough Summary'!$I$117</definedName>
    <definedName name="rsgBatchSubmissionInspectionDate32">'Rough Summary'!$I$118</definedName>
    <definedName name="rsgBatchSubmissionInspectionDate33">'Rough Summary'!$I$119</definedName>
    <definedName name="rsgBatchSubmissionInspectionDate34">'Rough Summary'!$I$120</definedName>
    <definedName name="rsgBatchSubmissionInspectionDate35">'Rough Summary'!$I$121</definedName>
    <definedName name="rsgBatchSubmissionInspectionDate36">'Rough Summary'!$I$122</definedName>
    <definedName name="rsgBatchSubmissionInspectionDate37">'Rough Summary'!$I$123</definedName>
    <definedName name="rsgBatchSubmissionInspectionDate38">'Rough Summary'!$I$124</definedName>
    <definedName name="rsgBatchSubmissionInspectionDate39">'Rough Summary'!$I$125</definedName>
    <definedName name="rsgBatchSubmissionInspectionDate4">'Rough Summary'!$I$90</definedName>
    <definedName name="rsgBatchSubmissionInspectionDate40">'Rough Summary'!$I$126</definedName>
    <definedName name="rsgBatchSubmissionInspectionDate41">'Rough Summary'!$I$127</definedName>
    <definedName name="rsgBatchSubmissionInspectionDate42">'Rough Summary'!$I$128</definedName>
    <definedName name="rsgBatchSubmissionInspectionDate43">'Rough Summary'!$I$129</definedName>
    <definedName name="rsgBatchSubmissionInspectionDate44">'Rough Summary'!$I$130</definedName>
    <definedName name="rsgBatchSubmissionInspectionDate45">'Rough Summary'!$I$131</definedName>
    <definedName name="rsgBatchSubmissionInspectionDate46">'Rough Summary'!$I$132</definedName>
    <definedName name="rsgBatchSubmissionInspectionDate47">'Rough Summary'!$I$133</definedName>
    <definedName name="rsgBatchSubmissionInspectionDate48">'Rough Summary'!$I$134</definedName>
    <definedName name="rsgBatchSubmissionInspectionDate49">'Rough Summary'!$I$135</definedName>
    <definedName name="rsgBatchSubmissionInspectionDate5">'Rough Summary'!$I$91</definedName>
    <definedName name="rsgBatchSubmissionInspectionDate50">'Rough Summary'!$I$136</definedName>
    <definedName name="rsgBatchSubmissionInspectionDate6">'Rough Summary'!$I$92</definedName>
    <definedName name="rsgBatchSubmissionInspectionDate7">'Rough Summary'!$I$93</definedName>
    <definedName name="rsgBatchSubmissionInspectionDate8">'Rough Summary'!$I$94</definedName>
    <definedName name="rsgBatchSubmissionInspectionDate9">'Rough Summary'!$I$95</definedName>
    <definedName name="rsgBatchSubmissionProjectID1">'Rough Summary'!$H$87</definedName>
    <definedName name="rsgBatchSubmissionProjectID10">'Rough Summary'!$H$96</definedName>
    <definedName name="rsgBatchSubmissionProjectID11">'Rough Summary'!$H$97</definedName>
    <definedName name="rsgBatchSubmissionProjectID12">'Rough Summary'!$H$98</definedName>
    <definedName name="rsgBatchSubmissionProjectID13">'Rough Summary'!$H$99</definedName>
    <definedName name="rsgBatchSubmissionProjectID14">'Rough Summary'!$H$100</definedName>
    <definedName name="rsgBatchSubmissionProjectID15">'Rough Summary'!$H$101</definedName>
    <definedName name="rsgBatchSubmissionProjectID16">'Rough Summary'!$H$102</definedName>
    <definedName name="rsgBatchSubmissionProjectID17">'Rough Summary'!$H$103</definedName>
    <definedName name="rsgBatchSubmissionProjectID18">'Rough Summary'!$H$104</definedName>
    <definedName name="rsgBatchSubmissionProjectID19">'Rough Summary'!$H$105</definedName>
    <definedName name="rsgBatchSubmissionProjectID2">'Rough Summary'!$H$88</definedName>
    <definedName name="rsgBatchSubmissionProjectID20">'Rough Summary'!$H$106</definedName>
    <definedName name="rsgBatchSubmissionProjectID21">'Rough Summary'!$H$107</definedName>
    <definedName name="rsgBatchSubmissionProjectID22">'Rough Summary'!$H$108</definedName>
    <definedName name="rsgBatchSubmissionProjectID23">'Rough Summary'!$H$109</definedName>
    <definedName name="rsgBatchSubmissionProjectID24">'Rough Summary'!$H$110</definedName>
    <definedName name="rsgBatchSubmissionProjectID25">'Rough Summary'!$H$111</definedName>
    <definedName name="rsgBatchSubmissionProjectID26">'Rough Summary'!$H$112</definedName>
    <definedName name="rsgBatchSubmissionProjectID27">'Rough Summary'!$H$113</definedName>
    <definedName name="rsgBatchSubmissionProjectID28">'Rough Summary'!$H$114</definedName>
    <definedName name="rsgBatchSubmissionProjectID29">'Rough Summary'!$H$115</definedName>
    <definedName name="rsgBatchSubmissionProjectID3">'Rough Summary'!$H$89</definedName>
    <definedName name="rsgBatchSubmissionProjectID30">'Rough Summary'!$H$116</definedName>
    <definedName name="rsgBatchSubmissionProjectID31">'Rough Summary'!$H$117</definedName>
    <definedName name="rsgBatchSubmissionProjectID32">'Rough Summary'!$H$118</definedName>
    <definedName name="rsgBatchSubmissionProjectID33">'Rough Summary'!$H$119</definedName>
    <definedName name="rsgBatchSubmissionProjectID34">'Rough Summary'!$H$120</definedName>
    <definedName name="rsgBatchSubmissionProjectID35">'Rough Summary'!$H$121</definedName>
    <definedName name="rsgBatchSubmissionProjectID36">'Rough Summary'!$H$122</definedName>
    <definedName name="rsgBatchSubmissionProjectID37">'Rough Summary'!$H$123</definedName>
    <definedName name="rsgBatchSubmissionProjectID38">'Rough Summary'!$H$124</definedName>
    <definedName name="rsgBatchSubmissionProjectID39">'Rough Summary'!$H$125</definedName>
    <definedName name="rsgBatchSubmissionProjectID4">'Rough Summary'!$H$90</definedName>
    <definedName name="rsgBatchSubmissionProjectID40">'Rough Summary'!$H$126</definedName>
    <definedName name="rsgBatchSubmissionProjectID41">'Rough Summary'!$H$127</definedName>
    <definedName name="rsgBatchSubmissionProjectID42">'Rough Summary'!$H$128</definedName>
    <definedName name="rsgBatchSubmissionProjectID43">'Rough Summary'!$H$129</definedName>
    <definedName name="rsgBatchSubmissionProjectID44">'Rough Summary'!$H$130</definedName>
    <definedName name="rsgBatchSubmissionProjectID45">'Rough Summary'!$H$131</definedName>
    <definedName name="rsgBatchSubmissionProjectID46">'Rough Summary'!$H$132</definedName>
    <definedName name="rsgBatchSubmissionProjectID47">'Rough Summary'!$H$133</definedName>
    <definedName name="rsgBatchSubmissionProjectID48">'Rough Summary'!$H$134</definedName>
    <definedName name="rsgBatchSubmissionProjectID49">'Rough Summary'!$H$135</definedName>
    <definedName name="rsgBatchSubmissionProjectID5">'Rough Summary'!$H$91</definedName>
    <definedName name="rsgBatchSubmissionProjectID50">'Rough Summary'!$H$136</definedName>
    <definedName name="rsgBatchSubmissionProjectID6">'Rough Summary'!$H$92</definedName>
    <definedName name="rsgBatchSubmissionProjectID7">'Rough Summary'!$H$93</definedName>
    <definedName name="rsgBatchSubmissionProjectID8">'Rough Summary'!$H$94</definedName>
    <definedName name="rsgBatchSubmissionProjectID9">'Rough Summary'!$H$95</definedName>
    <definedName name="rsgBatchSubmissionRoughAddress1">'Rough Summary'!$C$87:$D$87</definedName>
    <definedName name="rsgBatchSubmissionRoughAddress10">'Rough Summary'!$C$96:$D$96</definedName>
    <definedName name="rsgBatchSubmissionRoughAddress11">'Rough Summary'!$C$97:$D$97</definedName>
    <definedName name="rsgBatchSubmissionRoughAddress12">'Rough Summary'!$C$98:$D$98</definedName>
    <definedName name="rsgBatchSubmissionRoughAddress13">'Rough Summary'!$C$99:$D$99</definedName>
    <definedName name="rsgBatchSubmissionRoughAddress14">'Rough Summary'!$C$100:$D$100</definedName>
    <definedName name="rsgBatchSubmissionRoughAddress15">'Rough Summary'!$C$101:$D$101</definedName>
    <definedName name="rsgBatchSubmissionRoughAddress16">'Rough Summary'!$C$102:$D$102</definedName>
    <definedName name="rsgBatchSubmissionRoughAddress17">'Rough Summary'!$C$103:$D$103</definedName>
    <definedName name="rsgBatchSubmissionRoughAddress18">'Rough Summary'!$C$104:$D$104</definedName>
    <definedName name="rsgBatchSubmissionRoughAddress19">'Rough Summary'!$C$105:$D$105</definedName>
    <definedName name="rsgBatchSubmissionRoughAddress2">'Rough Summary'!$C$88:$D$88</definedName>
    <definedName name="rsgBatchSubmissionRoughAddress20">'Rough Summary'!$C$106:$D$106</definedName>
    <definedName name="rsgBatchSubmissionRoughAddress21">'Rough Summary'!$C$107:$D$107</definedName>
    <definedName name="rsgBatchSubmissionRoughAddress22">'Rough Summary'!$C$108:$D$108</definedName>
    <definedName name="rsgBatchSubmissionRoughAddress23">'Rough Summary'!$C$109:$D$109</definedName>
    <definedName name="rsgBatchSubmissionRoughAddress24">'Rough Summary'!$C$110:$D$110</definedName>
    <definedName name="rsgBatchSubmissionRoughAddress25">'Rough Summary'!$C$111:$D$111</definedName>
    <definedName name="rsgBatchSubmissionRoughAddress26">'Rough Summary'!$C$112:$D$112</definedName>
    <definedName name="rsgBatchSubmissionRoughAddress27">'Rough Summary'!$C$113:$D$113</definedName>
    <definedName name="rsgBatchSubmissionRoughAddress28">'Rough Summary'!$C$114:$D$114</definedName>
    <definedName name="rsgBatchSubmissionRoughAddress29">'Rough Summary'!$C$115:$D$115</definedName>
    <definedName name="rsgBatchSubmissionRoughAddress3">'Rough Summary'!$C$89:$D$89</definedName>
    <definedName name="rsgBatchSubmissionRoughAddress30">'Rough Summary'!$C$116:$D$116</definedName>
    <definedName name="rsgBatchSubmissionRoughAddress31">'Rough Summary'!$C$117:$D$117</definedName>
    <definedName name="rsgBatchSubmissionRoughAddress32">'Rough Summary'!$C$118:$D$118</definedName>
    <definedName name="rsgBatchSubmissionRoughAddress33">'Rough Summary'!$C$119:$D$119</definedName>
    <definedName name="rsgBatchSubmissionRoughAddress34">'Rough Summary'!$C$120:$D$120</definedName>
    <definedName name="rsgBatchSubmissionRoughAddress35">'Rough Summary'!$C$121:$D$121</definedName>
    <definedName name="rsgBatchSubmissionRoughAddress36">'Rough Summary'!$C$122:$D$122</definedName>
    <definedName name="rsgBatchSubmissionRoughAddress37">'Rough Summary'!$C$123:$D$123</definedName>
    <definedName name="rsgBatchSubmissionRoughAddress38">'Rough Summary'!$C$124:$D$124</definedName>
    <definedName name="rsgBatchSubmissionRoughAddress39">'Rough Summary'!$C$125:$D$125</definedName>
    <definedName name="rsgBatchSubmissionRoughAddress4">'Rough Summary'!$C$90:$D$90</definedName>
    <definedName name="rsgBatchSubmissionRoughAddress40">'Rough Summary'!$C$126:$D$126</definedName>
    <definedName name="rsgBatchSubmissionRoughAddress41">'Rough Summary'!$C$127:$D$127</definedName>
    <definedName name="rsgBatchSubmissionRoughAddress42">'Rough Summary'!$C$128:$D$128</definedName>
    <definedName name="rsgBatchSubmissionRoughAddress43">'Rough Summary'!$C$129:$D$129</definedName>
    <definedName name="rsgBatchSubmissionRoughAddress44">'Rough Summary'!$C$130:$D$130</definedName>
    <definedName name="rsgBatchSubmissionRoughAddress45">'Rough Summary'!$C$131:$D$131</definedName>
    <definedName name="rsgBatchSubmissionRoughAddress46">'Rough Summary'!$C$132:$D$132</definedName>
    <definedName name="rsgBatchSubmissionRoughAddress47">'Rough Summary'!$C$133:$D$133</definedName>
    <definedName name="rsgBatchSubmissionRoughAddress48">'Rough Summary'!$C$134:$D$134</definedName>
    <definedName name="rsgBatchSubmissionRoughAddress49">'Rough Summary'!$C$135:$D$135</definedName>
    <definedName name="rsgBatchSubmissionRoughAddress5">'Rough Summary'!$C$91:$D$91</definedName>
    <definedName name="rsgBatchSubmissionRoughAddress50">'Rough Summary'!$C$136:$D$136</definedName>
    <definedName name="rsgBatchSubmissionRoughAddress6">'Rough Summary'!$C$92:$D$92</definedName>
    <definedName name="rsgBatchSubmissionRoughAddress7">'Rough Summary'!$C$93:$D$93</definedName>
    <definedName name="rsgBatchSubmissionRoughAddress8">'Rough Summary'!$C$94:$D$94</definedName>
    <definedName name="rsgBatchSubmissionRoughAddress9">'Rough Summary'!$C$95:$D$95</definedName>
    <definedName name="rsgBatchSubmissionZIP1">'Rough Summary'!$G$87</definedName>
    <definedName name="rsgBatchSubmissionZIP10">'Rough Summary'!$G$96</definedName>
    <definedName name="rsgBatchSubmissionZIP11">'Rough Summary'!$G$97</definedName>
    <definedName name="rsgBatchSubmissionZIP12">'Rough Summary'!$G$98</definedName>
    <definedName name="rsgBatchSubmissionZIP13">'Rough Summary'!$G$99</definedName>
    <definedName name="rsgBatchSubmissionZIP14">'Rough Summary'!$G$100</definedName>
    <definedName name="rsgBatchSubmissionZIP15">'Rough Summary'!$G$101</definedName>
    <definedName name="rsgBatchSubmissionZIP16">'Rough Summary'!$G$102</definedName>
    <definedName name="rsgBatchSubmissionZIP17">'Rough Summary'!$G$103</definedName>
    <definedName name="rsgBatchSubmissionZIP18">'Rough Summary'!$G$104</definedName>
    <definedName name="rsgBatchSubmissionZIP19">'Rough Summary'!$G$105</definedName>
    <definedName name="rsgBatchSubmissionZIP2">'Rough Summary'!$G$88</definedName>
    <definedName name="rsgBatchSubmissionZIP20">'Rough Summary'!$G$106</definedName>
    <definedName name="rsgBatchSubmissionZIP21">'Rough Summary'!$G$107</definedName>
    <definedName name="rsgBatchSubmissionZIP22">'Rough Summary'!$G$108</definedName>
    <definedName name="rsgBatchSubmissionZIP23">'Rough Summary'!$G$109</definedName>
    <definedName name="rsgBatchSubmissionZIP24">'Rough Summary'!$G$110</definedName>
    <definedName name="rsgBatchSubmissionZIP25">'Rough Summary'!$G$111</definedName>
    <definedName name="rsgBatchSubmissionZIP26">'Rough Summary'!$G$112</definedName>
    <definedName name="rsgBatchSubmissionZIP27">'Rough Summary'!$G$113</definedName>
    <definedName name="rsgBatchSubmissionZIP28">'Rough Summary'!$G$114</definedName>
    <definedName name="rsgBatchSubmissionZIP29">'Rough Summary'!$G$115</definedName>
    <definedName name="rsgBatchSubmissionZIP3">'Rough Summary'!$G$89</definedName>
    <definedName name="rsgBatchSubmissionZIP30">'Rough Summary'!$G$116</definedName>
    <definedName name="rsgBatchSubmissionZIP31">'Rough Summary'!$G$117</definedName>
    <definedName name="rsgBatchSubmissionZIP32">'Rough Summary'!$G$118</definedName>
    <definedName name="rsgBatchSubmissionZIP33">'Rough Summary'!$G$119</definedName>
    <definedName name="rsgBatchSubmissionZIP34">'Rough Summary'!$G$120</definedName>
    <definedName name="rsgBatchSubmissionZIP35">'Rough Summary'!$G$121</definedName>
    <definedName name="rsgBatchSubmissionZIP36">'Rough Summary'!$G$122</definedName>
    <definedName name="rsgBatchSubmissionZIP37">'Rough Summary'!$G$123</definedName>
    <definedName name="rsgBatchSubmissionZIP38">'Rough Summary'!$G$124</definedName>
    <definedName name="rsgBatchSubmissionZIP39">'Rough Summary'!$G$125</definedName>
    <definedName name="rsgBatchSubmissionZIP4">'Rough Summary'!$G$90</definedName>
    <definedName name="rsgBatchSubmissionZIP40">'Rough Summary'!$G$126</definedName>
    <definedName name="rsgBatchSubmissionZIP41">'Rough Summary'!$G$127</definedName>
    <definedName name="rsgBatchSubmissionZIP42">'Rough Summary'!$G$128</definedName>
    <definedName name="rsgBatchSubmissionZIP43">'Rough Summary'!$G$129</definedName>
    <definedName name="rsgBatchSubmissionZIP44">'Rough Summary'!$G$130</definedName>
    <definedName name="rsgBatchSubmissionZIP45">'Rough Summary'!$G$131</definedName>
    <definedName name="rsgBatchSubmissionZIP46">'Rough Summary'!$G$132</definedName>
    <definedName name="rsgBatchSubmissionZIP47">'Rough Summary'!$G$133</definedName>
    <definedName name="rsgBatchSubmissionZIP48">'Rough Summary'!$G$134</definedName>
    <definedName name="rsgBatchSubmissionZIP49">'Rough Summary'!$G$135</definedName>
    <definedName name="rsgBatchSubmissionZIP5">'Rough Summary'!$G$91</definedName>
    <definedName name="rsgBatchSubmissionZIP50">'Rough Summary'!$G$136</definedName>
    <definedName name="rsgBatchSubmissionZIP6">'Rough Summary'!$G$92</definedName>
    <definedName name="rsgBatchSubmissionZIP7">'Rough Summary'!$G$93</definedName>
    <definedName name="rsgBatchSubmissionZIP8">'Rough Summary'!$G$94</definedName>
    <definedName name="rsgBatchSubmissionZIP9">'Rough Summary'!$G$95</definedName>
    <definedName name="rsgBuilderComments">'Rough Summary'!$C$39</definedName>
    <definedName name="rsgBuilderDate">'Rough Summary'!$C$49</definedName>
    <definedName name="rsgBuilderEmail">'Rough Summary'!$C$45</definedName>
    <definedName name="rsgBuilderName">'Rough Summary'!$C$43</definedName>
    <definedName name="rsgBuilderPhone">'Rough Summary'!$C$47</definedName>
    <definedName name="rsgSampleDate1">'Rough Summary'!$C$164</definedName>
    <definedName name="rsgSampleDate10">'Rough Summary'!$C$173</definedName>
    <definedName name="rsgSampleDate11">'Rough Summary'!$C$174</definedName>
    <definedName name="rsgSampleDate12">'Rough Summary'!$C$175</definedName>
    <definedName name="rsgSampleDate13">'Rough Summary'!$C$176</definedName>
    <definedName name="rsgSampleDate14">'Rough Summary'!$C$177</definedName>
    <definedName name="rsgSampleDate15">'Rough Summary'!$C$178</definedName>
    <definedName name="rsgSampleDate16">'Rough Summary'!$C$179</definedName>
    <definedName name="rsgSampleDate2">'Rough Summary'!$C$165</definedName>
    <definedName name="rsgSampleDate3">'Rough Summary'!$C$166</definedName>
    <definedName name="rsgSampleDate4">'Rough Summary'!$C$167</definedName>
    <definedName name="rsgSampleDate5">'Rough Summary'!$C$168</definedName>
    <definedName name="rsgSampleDate6">'Rough Summary'!$C$169</definedName>
    <definedName name="rsgSampleDate7">'Rough Summary'!$C$170</definedName>
    <definedName name="rsgSampleDate8">'Rough Summary'!$C$171</definedName>
    <definedName name="rsgSampleDate9">'Rough Summary'!$C$172</definedName>
    <definedName name="rsgSampleNotes1">'Rough Summary'!$F$164</definedName>
    <definedName name="rsgSampleNotes10">'Rough Summary'!$F$173</definedName>
    <definedName name="rsgSampleNotes11">'Rough Summary'!$F$174</definedName>
    <definedName name="rsgSampleNotes12">'Rough Summary'!$F$175</definedName>
    <definedName name="rsgSampleNotes13">'Rough Summary'!$F$176</definedName>
    <definedName name="rsgSampleNotes14">'Rough Summary'!$F$177</definedName>
    <definedName name="rsgSampleNotes15">'Rough Summary'!$F$178</definedName>
    <definedName name="rsgSampleNotes16">'Rough Summary'!$F$179</definedName>
    <definedName name="rsgSampleNotes2">'Rough Summary'!$F$165</definedName>
    <definedName name="rsgSampleNotes3">'Rough Summary'!$F$166</definedName>
    <definedName name="rsgSampleNotes4">'Rough Summary'!$F$167</definedName>
    <definedName name="rsgSampleNotes5">'Rough Summary'!$F$168</definedName>
    <definedName name="rsgSampleNotes6">'Rough Summary'!$F$169</definedName>
    <definedName name="rsgSampleNotes7">'Rough Summary'!$F$170</definedName>
    <definedName name="rsgSampleNotes8">'Rough Summary'!$F$171</definedName>
    <definedName name="rsgSampleNotes9">'Rough Summary'!$F$172</definedName>
    <definedName name="rsgSampleUnitsAvailable1">'Rough Summary'!$D$164</definedName>
    <definedName name="rsgSampleUnitsAvailable10">'Rough Summary'!$D$173</definedName>
    <definedName name="rsgSampleUnitsAvailable11">'Rough Summary'!$D$174</definedName>
    <definedName name="rsgSampleUnitsAvailable12">'Rough Summary'!$D$175</definedName>
    <definedName name="rsgSampleUnitsAvailable13">'Rough Summary'!$D$176</definedName>
    <definedName name="rsgSampleUnitsAvailable14">'Rough Summary'!$D$177</definedName>
    <definedName name="rsgSampleUnitsAvailable15">'Rough Summary'!$D$178</definedName>
    <definedName name="rsgSampleUnitsAvailable16">'Rough Summary'!$D$179</definedName>
    <definedName name="rsgSampleUnitsAvailable2">'Rough Summary'!$D$165</definedName>
    <definedName name="rsgSampleUnitsAvailable3">'Rough Summary'!$D$166</definedName>
    <definedName name="rsgSampleUnitsAvailable4">'Rough Summary'!$D$167</definedName>
    <definedName name="rsgSampleUnitsAvailable5">'Rough Summary'!$D$168</definedName>
    <definedName name="rsgSampleUnitsAvailable6">'Rough Summary'!$D$169</definedName>
    <definedName name="rsgSampleUnitsAvailable7">'Rough Summary'!$D$170</definedName>
    <definedName name="rsgSampleUnitsAvailable8">'Rough Summary'!$D$171</definedName>
    <definedName name="rsgSampleUnitsAvailable9">'Rough Summary'!$D$172</definedName>
    <definedName name="rsgSampleUnitsInspected1">'Rough Summary'!$E$164</definedName>
    <definedName name="rsgSampleUnitsInspected10">'Rough Summary'!$E$173</definedName>
    <definedName name="rsgSampleUnitsInspected11">'Rough Summary'!$E$174</definedName>
    <definedName name="rsgSampleUnitsInspected12">'Rough Summary'!$E$175</definedName>
    <definedName name="rsgSampleUnitsInspected13">'Rough Summary'!$E$176</definedName>
    <definedName name="rsgSampleUnitsInspected14">'Rough Summary'!$E$177</definedName>
    <definedName name="rsgSampleUnitsInspected15">'Rough Summary'!$E$178</definedName>
    <definedName name="rsgSampleUnitsInspected16">'Rough Summary'!$E$179</definedName>
    <definedName name="rsgSampleUnitsInspected2">'Rough Summary'!$E$165</definedName>
    <definedName name="rsgSampleUnitsInspected3">'Rough Summary'!$E$166</definedName>
    <definedName name="rsgSampleUnitsInspected4">'Rough Summary'!$E$167</definedName>
    <definedName name="rsgSampleUnitsInspected5">'Rough Summary'!$E$168</definedName>
    <definedName name="rsgSampleUnitsInspected6">'Rough Summary'!$E$169</definedName>
    <definedName name="rsgSampleUnitsInspected7">'Rough Summary'!$E$170</definedName>
    <definedName name="rsgSampleUnitsInspected8">'Rough Summary'!$E$171</definedName>
    <definedName name="rsgSampleUnitsInspected9">'Rough Summary'!$E$172</definedName>
    <definedName name="rsgTeamVerifierElementsVerified1">'Rough Summary'!$E$75</definedName>
    <definedName name="rsgTeamVerifierElementsVerified2">'Rough Summary'!$E$76</definedName>
    <definedName name="rsgTeamVerifierElementsVerified3">'Rough Summary'!$E$77</definedName>
    <definedName name="rsgTeamVerifierElementsVerified4">'Rough Summary'!$E$78</definedName>
    <definedName name="rsgTeamVerifierElementsVerified5">'Rough Summary'!$E$79</definedName>
    <definedName name="rsgTeamVerifierInspectionDate1">'Rough Summary'!$G$75</definedName>
    <definedName name="rsgTeamVerifierInspectionDate2">'Rough Summary'!$G$76</definedName>
    <definedName name="rsgTeamVerifierInspectionDate3">'Rough Summary'!$G$77</definedName>
    <definedName name="rsgTeamVerifierInspectionDate4">'Rough Summary'!$G$78</definedName>
    <definedName name="rsgTeamVerifierInspectionDate5">'Rough Summary'!$G$79</definedName>
    <definedName name="rsgTeamVerifierName1">'Rough Summary'!$C$75</definedName>
    <definedName name="rsgTeamVerifierName2">'Rough Summary'!$C$76</definedName>
    <definedName name="rsgTeamVerifierName3">'Rough Summary'!$C$77</definedName>
    <definedName name="rsgTeamVerifierName4">'Rough Summary'!$C$78</definedName>
    <definedName name="rsgTeamVerifierName5">'Rough Summary'!$C$79</definedName>
    <definedName name="rsgTeamVerifierRole1">'Rough Summary'!$D$75</definedName>
    <definedName name="rsgTeamVerifierRole2">'Rough Summary'!$D$76</definedName>
    <definedName name="rsgTeamVerifierRole3">'Rough Summary'!$D$77</definedName>
    <definedName name="rsgTeamVerifierRole4">'Rough Summary'!$D$78</definedName>
    <definedName name="rsgTeamVerifierRole5">'Rough Summary'!$D$79</definedName>
    <definedName name="rsgVerifierComments">'Rough Summary'!$C$53</definedName>
    <definedName name="rsgVerifierDate">'Rough Summary'!$C$67</definedName>
    <definedName name="rsgVerifierEmail">'Rough Summary'!$C$59</definedName>
    <definedName name="rsgVerifierEndTime">'Rough Summary'!$C$65</definedName>
    <definedName name="rsgVerifierName">'Rough Summary'!$C$57</definedName>
    <definedName name="rsgVerifierPhone">'Rough Summary'!$C$61</definedName>
    <definedName name="rsgVerifierStartTime">'Rough Summary'!$C$63</definedName>
    <definedName name="SFIntro">Formulas!$X$6</definedName>
    <definedName name="startError">Points!$B$3</definedName>
    <definedName name="TorF">Dropdowns!$B$5:$B$6</definedName>
    <definedName name="vch1001_1_1">'Verification Report'!$AQ$2258</definedName>
    <definedName name="vch1001_1_10">'Verification Report'!$AQ$2273</definedName>
    <definedName name="vch1001_1_11">'Verification Report'!$AQ$2274</definedName>
    <definedName name="vch1001_1_12">'Verification Report'!$AQ$2275</definedName>
    <definedName name="vch1001_1_13">'Verification Report'!$AQ$2281</definedName>
    <definedName name="vch1001_1_14">'Verification Report'!$AQ$2285</definedName>
    <definedName name="vch1001_1_15">'Verification Report'!$AQ$2287</definedName>
    <definedName name="vch1001_1_16">'Verification Report'!$AQ$2289</definedName>
    <definedName name="vch1001_1_17">'Verification Report'!$AQ$2290</definedName>
    <definedName name="vch1001_1_18">'Verification Report'!$AQ$2292</definedName>
    <definedName name="vch1001_1_19">'Verification Report'!$AQ$2294</definedName>
    <definedName name="vch1001_1_2">'Verification Report'!$AQ$2259</definedName>
    <definedName name="vch1001_1_20">'Verification Report'!$AQ$2295</definedName>
    <definedName name="vch1001_1_21">'Verification Report'!$AQ$2297</definedName>
    <definedName name="vch1001_1_22">'Verification Report'!$AQ$2299</definedName>
    <definedName name="vch1001_1_23">'Verification Report'!$AQ$2301</definedName>
    <definedName name="vch1001_1_24">'Verification Report'!$AQ$2302</definedName>
    <definedName name="vch1001_1_3">'Verification Report'!$AQ$2260</definedName>
    <definedName name="vch1001_1_4">'Verification Report'!$AQ$2264</definedName>
    <definedName name="vch1001_1_5">'Verification Report'!$AQ$2265</definedName>
    <definedName name="vch1001_1_6">'Verification Report'!$AQ$2266</definedName>
    <definedName name="vch1001_1_7">'Verification Report'!$AQ$2268</definedName>
    <definedName name="vch1001_1_8">'Verification Report'!$AQ$2270</definedName>
    <definedName name="vch1001_1_9">'Verification Report'!$AQ$2271</definedName>
    <definedName name="vch1001_2">'Verification Report'!$AQ$2303</definedName>
    <definedName name="vch1002_1_1">'Verification Report'!$AQ$2325</definedName>
    <definedName name="vch1002_1_2">'Verification Report'!$AQ$2328</definedName>
    <definedName name="vch1002_1_3">'Verification Report'!$AQ$2331</definedName>
    <definedName name="vch1002_1_4">'Verification Report'!$AQ$2333</definedName>
    <definedName name="vch1002_1_5">'Verification Report'!$AQ$2334</definedName>
    <definedName name="vch1002_1_6">'Verification Report'!$AQ$2336</definedName>
    <definedName name="vch1002_1_7">'Verification Report'!$AQ$2337</definedName>
    <definedName name="vch1002_1_8">'Verification Report'!$AQ$2338</definedName>
    <definedName name="vch1002_2_1">'Verification Report'!$AQ$2344</definedName>
    <definedName name="vch1002_2_10">'Verification Report'!$AQ$2362</definedName>
    <definedName name="vch1002_2_11">'Verification Report'!$AQ$2365</definedName>
    <definedName name="vch1002_2_2">'Verification Report'!$AQ$2346</definedName>
    <definedName name="vch1002_2_3">'Verification Report'!$AQ$2349</definedName>
    <definedName name="vch1002_2_4">'Verification Report'!$AQ$2351</definedName>
    <definedName name="vch1002_2_5">'Verification Report'!$AQ$2354</definedName>
    <definedName name="vch1002_2_6">'Verification Report'!$AQ$2356</definedName>
    <definedName name="vch1002_2_7">'Verification Report'!$AQ$2357</definedName>
    <definedName name="vch1002_2_8">'Verification Report'!$AQ$2359</definedName>
    <definedName name="vch1002_2_9">'Verification Report'!$AQ$2361</definedName>
    <definedName name="vch1002_3_1">'Verification Report'!$AQ$2371</definedName>
    <definedName name="vch1002_3_10">'Verification Report'!$AQ$2392</definedName>
    <definedName name="vch1002_3_11">'Verification Report'!$AQ$2393</definedName>
    <definedName name="vch1002_3_2">'Verification Report'!$AQ$2373</definedName>
    <definedName name="vch1002_3_3">'Verification Report'!$AQ$2377</definedName>
    <definedName name="vch1002_3_4">'Verification Report'!$AQ$2384</definedName>
    <definedName name="vch1002_3_5">'Verification Report'!$AQ$2386</definedName>
    <definedName name="vch1002_3_6">'Verification Report'!$AQ$2387</definedName>
    <definedName name="vch1002_3_7">'Verification Report'!$AQ$2389</definedName>
    <definedName name="vch1002_3_8">'Verification Report'!$AQ$2390</definedName>
    <definedName name="vch1002_3_9">'Verification Report'!$AQ$2391</definedName>
    <definedName name="vch1002_4">'Verification Report'!$AQ$2395</definedName>
    <definedName name="vch1002_5_1">'Verification Report'!$AQ$2410</definedName>
    <definedName name="vch1002_5_2">'Verification Report'!$AQ$2411</definedName>
    <definedName name="vch1002_5_3">'Verification Report'!$AQ$2412</definedName>
    <definedName name="vch1002_5_4">'Verification Report'!$AQ$2414</definedName>
    <definedName name="vch1002_5_5">'Verification Report'!$AQ$2415</definedName>
    <definedName name="vch1002_5_6">'Verification Report'!$AQ$2416</definedName>
    <definedName name="vch1002_5_7">'Verification Report'!$AQ$2417</definedName>
    <definedName name="vch1002_5_8">'Verification Report'!$AQ$2418</definedName>
    <definedName name="vch1002_5_9">'Verification Report'!$AQ$2419</definedName>
    <definedName name="vch1002_6_1">'Verification Report'!$AQ$2424</definedName>
    <definedName name="vch1002_6_2">'Verification Report'!$AQ$2425</definedName>
    <definedName name="vch1002_6_3">'Verification Report'!$AQ$2426</definedName>
    <definedName name="vch1002_6_4">'Verification Report'!$AQ$2427</definedName>
    <definedName name="vch1002_6_5">'Verification Report'!$AQ$2428</definedName>
    <definedName name="vch1002_6_6">'Verification Report'!$AQ$2429</definedName>
    <definedName name="vch1002_6_7">'Verification Report'!$AQ$2430</definedName>
    <definedName name="vch1003_1_1">'Verification Report'!$AQ$2436</definedName>
    <definedName name="vch1003_1_2">'Verification Report'!$AQ$2438</definedName>
    <definedName name="vch1003_1_3">'Verification Report'!$AQ$2441</definedName>
    <definedName name="vch1004_1_1">'Verification Report'!$AQ$2454</definedName>
    <definedName name="vch1004_1_2">'Verification Report'!$AQ$2456</definedName>
    <definedName name="vch1005_1_1">'Verification Report'!$AQ$2460</definedName>
    <definedName name="vch1005_1_2">'Verification Report'!$AQ$2463</definedName>
    <definedName name="vch501_1_1">'Verification Report'!$AQ$14</definedName>
    <definedName name="vch501_1_2_a">'Verification Report'!$AQ$16</definedName>
    <definedName name="vch501_1_2_b">'Verification Report'!$AQ$17</definedName>
    <definedName name="vch501_1_2_c">'Verification Report'!$AQ$18</definedName>
    <definedName name="vch501_2_1">'Verification Report'!$AQ$21</definedName>
    <definedName name="vch501_2_2">'Verification Report'!$AQ$23</definedName>
    <definedName name="vch501_2_3">'Verification Report'!$AQ$25</definedName>
    <definedName name="vch501_2_4">'Verification Report'!$AQ$27</definedName>
    <definedName name="vch501_2_4_1">'Verification Report'!$AQ$37</definedName>
    <definedName name="vch501_2_5">'Verification Report'!$AQ$42</definedName>
    <definedName name="vch501_2_6">'Verification Report'!$AQ$45</definedName>
    <definedName name="vch501_2_6_d">'Verification Report'!$AQ$50</definedName>
    <definedName name="vch501_2_7">'Verification Report'!$AQ$52</definedName>
    <definedName name="vch501_2_8">'Verification Report'!$AQ$55</definedName>
    <definedName name="vch502_1">'Verification Report'!$AQ$58</definedName>
    <definedName name="vch503_1_1">'Verification Report'!$AQ$69</definedName>
    <definedName name="vch503_1_2">'Verification Report'!$AQ$71</definedName>
    <definedName name="vch503_1_3">'Verification Report'!$AQ$73</definedName>
    <definedName name="vch503_1_4">'Verification Report'!$AQ$75</definedName>
    <definedName name="vch503_1_5">'Verification Report'!$AQ$77</definedName>
    <definedName name="vch503_1_6">'Verification Report'!$AQ$79</definedName>
    <definedName name="vch503_1_7">'Verification Report'!$AQ$81</definedName>
    <definedName name="vch503_1_8">'Verification Report'!$AQ$83</definedName>
    <definedName name="vch503_2">'Verification Report'!$AQ$89</definedName>
    <definedName name="vch503_2_1">'Verification Report'!$AQ$90</definedName>
    <definedName name="vch503_2_2">'Verification Report'!$AQ$91</definedName>
    <definedName name="vch503_2_3">'Verification Report'!$AQ$93</definedName>
    <definedName name="vch503_2_4">'Verification Report'!$AQ$98</definedName>
    <definedName name="vch503_2_5">'Verification Report'!$AQ$100</definedName>
    <definedName name="vch503_3_1">'Verification Report'!$AQ$104</definedName>
    <definedName name="vch503_3_2_a">'Verification Report'!$AQ$108</definedName>
    <definedName name="vch503_3_2_b">'Verification Report'!$AQ$109</definedName>
    <definedName name="vch503_3_2_c">'Verification Report'!$AQ$111</definedName>
    <definedName name="vch503_3_2_d">'Verification Report'!$AQ$112</definedName>
    <definedName name="vch503_3_3">'Verification Report'!$AQ$113</definedName>
    <definedName name="vch503_4_1">'Verification Report'!$AQ$121</definedName>
    <definedName name="vch503_4_2">'Verification Report'!$AQ$124</definedName>
    <definedName name="vch503_4_3">'Verification Report'!$AQ$128</definedName>
    <definedName name="vch503_4_4">'Verification Report'!$AQ$135</definedName>
    <definedName name="vch503_4_4_c_1">'Verification Report'!$AQ$140</definedName>
    <definedName name="vch503_4_5">'Verification Report'!$AQ$142</definedName>
    <definedName name="vch503_5">'Verification Report'!$AQ$147</definedName>
    <definedName name="vch503_5_1">'Verification Report'!$AQ$149</definedName>
    <definedName name="vch503_5_10">'Verification Report'!$AQ$178</definedName>
    <definedName name="vch503_5_11">'Verification Report'!$AQ$181</definedName>
    <definedName name="vch503_5_12">'Verification Report'!$AQ$183</definedName>
    <definedName name="vch503_5_13">'Verification Report'!$AQ$185</definedName>
    <definedName name="vch503_5_2">'Verification Report'!$AQ$155</definedName>
    <definedName name="vch503_5_3">'Verification Report'!$AQ$157</definedName>
    <definedName name="vch503_5_4">'Verification Report'!$AQ$160</definedName>
    <definedName name="vch503_5_5">'Verification Report'!$AQ$162</definedName>
    <definedName name="vch503_5_6">'Verification Report'!$AQ$165</definedName>
    <definedName name="vch503_5_7">'Verification Report'!$AQ$170</definedName>
    <definedName name="vch503_5_8">'Verification Report'!$AQ$171</definedName>
    <definedName name="vch503_5_9">'Verification Report'!$AQ$176</definedName>
    <definedName name="vch503_6_1">'Verification Report'!$AQ$189</definedName>
    <definedName name="vch503_6_2">'Verification Report'!$AQ$190</definedName>
    <definedName name="vch503_6_3">'Verification Report'!$AQ$191</definedName>
    <definedName name="vch503_6_4">'Verification Report'!$AQ$193</definedName>
    <definedName name="vch503_7">'Verification Report'!$AQ$194</definedName>
    <definedName name="vch503_8">'Verification Report'!$AQ$201</definedName>
    <definedName name="vch504_1">'Verification Report'!$AQ$208</definedName>
    <definedName name="vch504_2_1">'Verification Report'!$AQ$215</definedName>
    <definedName name="vch504_2_2">'Verification Report'!$AQ$216</definedName>
    <definedName name="vch504_2_3">'Verification Report'!$AQ$218</definedName>
    <definedName name="vch504_3_1">'Verification Report'!$AQ$223</definedName>
    <definedName name="vch504_3_2">'Verification Report'!$AQ$225</definedName>
    <definedName name="vch504_3_3">'Verification Report'!$AQ$226</definedName>
    <definedName name="vch504_3_4">'Verification Report'!$AQ$228</definedName>
    <definedName name="vch504_3_5">'Verification Report'!$AQ$230</definedName>
    <definedName name="vch504_3_6">'Verification Report'!$AQ$234</definedName>
    <definedName name="vch504_3_7">'Verification Report'!$AQ$237</definedName>
    <definedName name="vch504_3_8a">'Verification Report'!$AQ$239</definedName>
    <definedName name="vch504_3_8b">'Verification Report'!$AQ$240</definedName>
    <definedName name="vch504_3_8c">'Verification Report'!$AQ$241</definedName>
    <definedName name="vch504_3_8d">'Verification Report'!$AQ$242</definedName>
    <definedName name="vch504_3_8e">'Verification Report'!$AQ$243</definedName>
    <definedName name="vch504_3_8f">'Verification Report'!$AQ$244</definedName>
    <definedName name="vch504_3_9">'Verification Report'!$AQ$246</definedName>
    <definedName name="vch505_1_1">'Verification Report'!$AQ$253</definedName>
    <definedName name="vch505_1_2">'Verification Report'!$AQ$255</definedName>
    <definedName name="vch505_1_3">'Verification Report'!$AQ$257</definedName>
    <definedName name="vch505_10_a">'Verification Report'!$AQ$321</definedName>
    <definedName name="vch505_10_b">'Verification Report'!$AQ$323</definedName>
    <definedName name="vch505_10_c">'Verification Report'!$AQ$325</definedName>
    <definedName name="vch505_2_1_a">'Verification Report'!$AQ$264</definedName>
    <definedName name="vch505_2_1_b">'Verification Report'!$AQ$267</definedName>
    <definedName name="vch505_2_1_c">'Verification Report'!$AQ$271</definedName>
    <definedName name="vch505_2_2">'Verification Report'!$AQ$272</definedName>
    <definedName name="vch505_3_1">'Verification Report'!$AQ$276</definedName>
    <definedName name="vch505_4_1">'Verification Report'!$AQ$282</definedName>
    <definedName name="vch505_5_a">'Verification Report'!$AQ$286</definedName>
    <definedName name="vch505_5_b">'Verification Report'!$AQ$288</definedName>
    <definedName name="vch505_5_c">'Verification Report'!$AQ$291</definedName>
    <definedName name="vch505_5_d">'Verification Report'!$AQ$292</definedName>
    <definedName name="vch505_6">'Verification Report'!$AQ$294</definedName>
    <definedName name="vch505_7">'Verification Report'!$AQ$305</definedName>
    <definedName name="vch505_8">'Verification Report'!$AQ$309</definedName>
    <definedName name="vch505_9_a">'Verification Report'!$AQ$312</definedName>
    <definedName name="vch505_9_b">'Verification Report'!$AQ$315</definedName>
    <definedName name="vch505_9_c">'Verification Report'!$AQ$316</definedName>
    <definedName name="vch601_2_1">'Verification Report'!$AQ$349</definedName>
    <definedName name="vch601_2_2">'Verification Report'!$AQ$352</definedName>
    <definedName name="vch601_2_3">'Verification Report'!$AQ$355</definedName>
    <definedName name="vch601_3_1">'Verification Report'!$AQ$359</definedName>
    <definedName name="vch601_3_2">'Verification Report'!$AQ$360</definedName>
    <definedName name="vch601_3_3">'Verification Report'!$AQ$361</definedName>
    <definedName name="vch601_3_4">'Verification Report'!$AQ$362</definedName>
    <definedName name="vch601_3_5">'Verification Report'!$AQ$363</definedName>
    <definedName name="vch601_4">'Verification Report'!$AQ$364</definedName>
    <definedName name="vch601_5_1">'Verification Report'!$AQ$370</definedName>
    <definedName name="vch601_5_2">'Verification Report'!$AQ$371</definedName>
    <definedName name="vch601_5_3">'Verification Report'!$AQ$372</definedName>
    <definedName name="vch601_5_4">'Verification Report'!$AQ$373</definedName>
    <definedName name="vch601_5_5">'Verification Report'!$AQ$374</definedName>
    <definedName name="vch601_7_a">'Verification Report'!$AQ$383</definedName>
    <definedName name="vch601_7_b">'Verification Report'!$AQ$384</definedName>
    <definedName name="vch601_7_c">'Verification Report'!$AQ$385</definedName>
    <definedName name="vch601_7_d">'Verification Report'!$AQ$389</definedName>
    <definedName name="vch601_7_e">'Verification Report'!$AQ$391</definedName>
    <definedName name="vch601_8">'Verification Report'!$AQ$398</definedName>
    <definedName name="vch602_1_1_1">'Verification Report'!$AQ$411</definedName>
    <definedName name="vch602_1_1_2">'Verification Report'!$AQ$414</definedName>
    <definedName name="vch602_1_10">'Verification Report'!$AQ$511</definedName>
    <definedName name="vch602_1_11">'Verification Report'!$AQ$523</definedName>
    <definedName name="vch602_1_12">'Verification Report'!$AQ$525</definedName>
    <definedName name="vch602_1_13">'Verification Report'!$AQ$528</definedName>
    <definedName name="vch602_1_14_1">'Verification Report'!$AQ$534</definedName>
    <definedName name="vch602_1_14_2">'Verification Report'!$AQ$536</definedName>
    <definedName name="vch602_1_14_3">'Verification Report'!$AQ$537</definedName>
    <definedName name="vch602_1_15">'Verification Report'!$AQ$538</definedName>
    <definedName name="vch602_1_2__1">'Verification Report'!$AQ$418</definedName>
    <definedName name="vch602_1_2__2">'Verification Report'!$AQ$419</definedName>
    <definedName name="vch602_1_3_1">'Verification Report'!$AQ$421</definedName>
    <definedName name="vch602_1_3_2">'Verification Report'!$AQ$423</definedName>
    <definedName name="vch602_1_4_1_1">'Verification Report'!$AQ$429</definedName>
    <definedName name="vch602_1_4_1_2">'Verification Report'!$AQ$431</definedName>
    <definedName name="vch602_1_4_2_1">'Verification Report'!$AQ$435</definedName>
    <definedName name="vch602_1_4_2_2">'Verification Report'!$AQ$437</definedName>
    <definedName name="vch602_1_5">'Verification Report'!$AQ$440</definedName>
    <definedName name="vch602_1_5_1">'Verification Report'!$AQ$441</definedName>
    <definedName name="vch602_1_5_2">'Verification Report'!$AQ$443</definedName>
    <definedName name="vch602_1_6_1">'Verification Report'!$AQ$449</definedName>
    <definedName name="vch602_1_6_2">'Verification Report'!$AQ$453</definedName>
    <definedName name="vch602_1_6_3">'Verification Report'!$AQ$457</definedName>
    <definedName name="vch602_1_7_1_1">'Verification Report'!$AQ$462</definedName>
    <definedName name="vch602_1_7_1_2">'Verification Report'!$AQ$464</definedName>
    <definedName name="vch602_1_7_1_3">'Verification Report'!$AQ$467</definedName>
    <definedName name="vch602_1_7_2">'Verification Report'!$AQ$469</definedName>
    <definedName name="vch602_1_7_3">'Verification Report'!$AQ$471</definedName>
    <definedName name="vch602_1_8">'Verification Report'!$AQ$475</definedName>
    <definedName name="vch602_1_9_1">'Verification Report'!$AQ$483</definedName>
    <definedName name="vch602_1_9_2">'Verification Report'!$AQ$493</definedName>
    <definedName name="vch602_1_9_3">'Verification Report'!$AQ$496</definedName>
    <definedName name="vch602_1_9_4">'Verification Report'!$AQ$497</definedName>
    <definedName name="vch602_1_9_5">'Verification Report'!$AQ$501</definedName>
    <definedName name="vch602_1_9_6">'Verification Report'!$AQ$507</definedName>
    <definedName name="vch602_1_9_7">'Verification Report'!$AQ$509</definedName>
    <definedName name="vch602_2_1">'Verification Report'!$AQ$545</definedName>
    <definedName name="vch602_2_2">'Verification Report'!$AQ$547</definedName>
    <definedName name="vch602_2_3">'Verification Report'!$AQ$548</definedName>
    <definedName name="vch602_3">'Verification Report'!$AQ$551</definedName>
    <definedName name="vch602_4_1">'Verification Report'!$AQ$555</definedName>
    <definedName name="vch602_4_2">'Verification Report'!$AQ$560</definedName>
    <definedName name="vch602_4_3">'Verification Report'!$AQ$562</definedName>
    <definedName name="vch603_1">'Verification Report'!$AQ$566</definedName>
    <definedName name="vch603_2">'Verification Report'!$AQ$572</definedName>
    <definedName name="vch603_3">'Verification Report'!$AQ$579</definedName>
    <definedName name="vch604_1a">'Verification Report'!$AQ$584</definedName>
    <definedName name="vch604_1b">'Verification Report'!$AQ$586</definedName>
    <definedName name="vch604_1c">'Verification Report'!$AQ$588</definedName>
    <definedName name="vch604_1d">'Verification Report'!$AQ$590</definedName>
    <definedName name="vch605_1">'Verification Report'!$AQ$593</definedName>
    <definedName name="vch605_2">'Verification Report'!$AQ$596</definedName>
    <definedName name="vch605_2_2">'Verification Report'!$AQ$609</definedName>
    <definedName name="vch605_3">'Verification Report'!$AQ$611</definedName>
    <definedName name="vch605_4_2_a">'Verification Report'!$AQ$624</definedName>
    <definedName name="vch605_4_2_b">'Verification Report'!$AQ$625</definedName>
    <definedName name="vch605_4_2_c">'Verification Report'!$AQ$626</definedName>
    <definedName name="vch605_4_2_d">'Verification Report'!$AQ$627</definedName>
    <definedName name="vch605_4_2_e">'Verification Report'!$AQ$628</definedName>
    <definedName name="vch605_4_2_f">'Verification Report'!$AQ$629</definedName>
    <definedName name="vch605_4_2_g">'Verification Report'!$AQ$630</definedName>
    <definedName name="vch605_4_2_h">'Verification Report'!$AQ$631</definedName>
    <definedName name="vch605_4_2_i">'Verification Report'!$AQ$632</definedName>
    <definedName name="vch606_1_a">'Verification Report'!$AQ$637</definedName>
    <definedName name="vch606_1_b">'Verification Report'!$AQ$638</definedName>
    <definedName name="vch606_1_c">'Verification Report'!$AQ$639</definedName>
    <definedName name="vch606_1_d">'Verification Report'!$AQ$640</definedName>
    <definedName name="vch606_1_e">'Verification Report'!$AQ$641</definedName>
    <definedName name="vch606_1_f">'Verification Report'!$AQ$642</definedName>
    <definedName name="vch606_1_g">'Verification Report'!$AQ$643</definedName>
    <definedName name="vch606_1_h">'Verification Report'!$AQ$644</definedName>
    <definedName name="vch606_2_1a">'Verification Report'!$AQ$668</definedName>
    <definedName name="vch606_2_1b">'Verification Report'!$AQ$669</definedName>
    <definedName name="vch606_2_2a">'Verification Report'!$AQ$671</definedName>
    <definedName name="vch606_2_2b">'Verification Report'!$AQ$672</definedName>
    <definedName name="vch606_3">'Verification Report'!$AQ$674</definedName>
    <definedName name="vch607_1_1">'Verification Report'!$AQ$683</definedName>
    <definedName name="vch607_1_2">'Verification Report'!$AQ$688</definedName>
    <definedName name="vch607_2">'Verification Report'!$AQ$694</definedName>
    <definedName name="vch608_1">'Verification Report'!$AQ$697</definedName>
    <definedName name="vch609_1_1">'Verification Report'!$AQ$708</definedName>
    <definedName name="vch609_1_2">'Verification Report'!$AQ$710</definedName>
    <definedName name="vch610_1_1_1">'Verification Report'!$AQ$727</definedName>
    <definedName name="vch610_1_1_2">'Verification Report'!$AQ$736</definedName>
    <definedName name="vch610_1_1_3">'Verification Report'!$AQ$744</definedName>
    <definedName name="vch610_1_2_1a">'Verification Report'!$AQ$752</definedName>
    <definedName name="vch610_1_2_1b">'Verification Report'!$AQ$759</definedName>
    <definedName name="vch610_1_2_2_f">'Verification Report'!$AQ$784</definedName>
    <definedName name="vch610_1_2_2a">'Verification Report'!$AQ$765</definedName>
    <definedName name="vch610_1_2_2b">'Verification Report'!$AQ$772</definedName>
    <definedName name="vch610_1_2_2c">'Verification Report'!$AQ$778</definedName>
    <definedName name="vch611_1_1">'Verification Report'!$AQ$796</definedName>
    <definedName name="vch611_1_2">'Verification Report'!$AQ$807</definedName>
    <definedName name="vch612_1">'Verification Report'!$AQ$813</definedName>
    <definedName name="vch612_2_1">'Verification Report'!$AQ$824</definedName>
    <definedName name="vch612_2_2">'Verification Report'!$AQ$825</definedName>
    <definedName name="vch612_2_3">'Verification Report'!$AQ$827</definedName>
    <definedName name="vch612_2_4">'Verification Report'!$AQ$829</definedName>
    <definedName name="vch612_2_5">'Verification Report'!$AQ$831</definedName>
    <definedName name="vch612_2_6">'Verification Report'!$AQ$833</definedName>
    <definedName name="vch612_2_7">'Verification Report'!$AQ$835</definedName>
    <definedName name="vch612_3_1">'Verification Report'!$AQ$839</definedName>
    <definedName name="vch612_3_2">'Verification Report'!$AQ$844</definedName>
    <definedName name="vch612_3_3">'Verification Report'!$AQ$848</definedName>
    <definedName name="vch612_3_4">'Verification Report'!$AQ$850</definedName>
    <definedName name="vch612_3_5">'Verification Report'!$AQ$852</definedName>
    <definedName name="vch612_3_6">'Verification Report'!$AQ$853</definedName>
    <definedName name="vch612_3_7">'Verification Report'!$AQ$854</definedName>
    <definedName name="vch612_3_8">'Verification Report'!$AQ$858</definedName>
    <definedName name="vch612_3_9">'Verification Report'!$AQ$860</definedName>
    <definedName name="vch613_1">'Verification Report'!$AQ$864</definedName>
    <definedName name="vch701_1">'Verification Report'!$AQ$882</definedName>
    <definedName name="vch701_1_">'Verification Report'!$AQ$884</definedName>
    <definedName name="vch701_1_4">'Verification Report'!$AQ$898</definedName>
    <definedName name="vch701_1_4_">'Verification Report'!$AQ$900</definedName>
    <definedName name="vch701_1_6_1">'Verification Report'!$AQ$911</definedName>
    <definedName name="vch701_1_6_2">'Verification Report'!$AQ$912</definedName>
    <definedName name="vch701_1_6_3">'Verification Report'!$AQ$914</definedName>
    <definedName name="vch701_1_6_4">'Verification Report'!$AQ$915</definedName>
    <definedName name="vch701_1_6_5">'Verification Report'!$AQ$917</definedName>
    <definedName name="vch701_1_6_6_a">'Verification Report'!$AQ$920</definedName>
    <definedName name="vch701_1_6_6_b">'Verification Report'!$AQ$921</definedName>
    <definedName name="vch701_1_6_6_c">'Verification Report'!$AQ$922</definedName>
    <definedName name="vch701_1_6_7_a">'Verification Report'!$AQ$924</definedName>
    <definedName name="vch701_1_6_7_b">'Verification Report'!$AQ$925</definedName>
    <definedName name="vch701_1_6_7_c">'Verification Report'!$AQ$926</definedName>
    <definedName name="vch701_1_6_8">'Verification Report'!$AQ$927</definedName>
    <definedName name="vch701_1_6_9">'Verification Report'!$AQ$929</definedName>
    <definedName name="vch701_3">'Verification Report'!$AQ$933</definedName>
    <definedName name="vch701_4_1">'Verification Report'!$AQ$947</definedName>
    <definedName name="vch701_4_1_1">'Verification Report'!$AQ$938</definedName>
    <definedName name="vch701_4_1_2">'Verification Report'!$AQ$941</definedName>
    <definedName name="vch701_4_2_2">'Verification Report'!$AQ$950</definedName>
    <definedName name="vch701_4_2_3">'Verification Report'!$AQ$951</definedName>
    <definedName name="vch701_4_3_1">'Verification Report'!$AQ$955</definedName>
    <definedName name="vch701_4_3_1_a">'Verification Report'!$AQ$958</definedName>
    <definedName name="vch701_4_3_1_b">'Verification Report'!$AQ$959</definedName>
    <definedName name="vch701_4_3_1_c">'Verification Report'!$AQ$960</definedName>
    <definedName name="vch701_4_3_1_d">'Verification Report'!$AQ$961</definedName>
    <definedName name="vch701_4_3_1_e">'Verification Report'!$AQ$962</definedName>
    <definedName name="vch701_4_3_1_f">'Verification Report'!$AQ$963</definedName>
    <definedName name="vch701_4_3_1_g">'Verification Report'!$AQ$964</definedName>
    <definedName name="vch701_4_3_1_h">'Verification Report'!$AQ$965</definedName>
    <definedName name="vch701_4_3_1_i">'Verification Report'!$AQ$966</definedName>
    <definedName name="vch701_4_3_1_j">'Verification Report'!$AQ$967</definedName>
    <definedName name="vch701_4_3_1_k">'Verification Report'!$AQ$968</definedName>
    <definedName name="vch701_4_3_1_l">'Verification Report'!$AQ$969</definedName>
    <definedName name="vch701_4_3_1_m">'Verification Report'!$AQ$970</definedName>
    <definedName name="vch701_4_3_2_1">'Verification Report'!$AQ$994</definedName>
    <definedName name="vch701_4_3_2_1_">'Verification Report'!$AQ$975</definedName>
    <definedName name="vch701_4_3_2_2">'Verification Report'!$AQ$991</definedName>
    <definedName name="vch701_4_3_2e">'Verification Report'!$AQ$978</definedName>
    <definedName name="vch701_4_3_4">'Verification Report'!$AQ$1020</definedName>
    <definedName name="vch701_4_3_5">'Verification Report'!$AQ$1030</definedName>
    <definedName name="vch701_4_4_1">'Verification Report'!$AQ$1040</definedName>
    <definedName name="vch701_4_4_2">'Verification Report'!$AQ$1042</definedName>
    <definedName name="vch701_4_5">'Verification Report'!$AQ$1043</definedName>
    <definedName name="vch702_2_1">'Verification Report'!$AQ$1049</definedName>
    <definedName name="vch702_2_2">'Verification Report'!$AQ$1055</definedName>
    <definedName name="vch703_1_1">'Verification Report'!$AQ$1066</definedName>
    <definedName name="vch703_1_2">'Verification Report'!$AQ$1081</definedName>
    <definedName name="vch703_1_3">'Verification Report'!$AQ$1084</definedName>
    <definedName name="vch703_1_3_1">'Verification Report'!$AQ$1086</definedName>
    <definedName name="vch703_1_3_2">'Verification Report'!$AQ$1088</definedName>
    <definedName name="vch703_2_1">'Verification Report'!$AQ$1090</definedName>
    <definedName name="vch703_2_1_2">'Verification Report'!$AQ$1092</definedName>
    <definedName name="vch703_2_2">'Verification Report'!$AQ$1098</definedName>
    <definedName name="vch703_2_3">'Verification Report'!$AQ$1099</definedName>
    <definedName name="vch703_2_5_1">'Verification Report'!$AQ$1106</definedName>
    <definedName name="vch703_2_5_1_1">'Verification Report'!$AQ$1114</definedName>
    <definedName name="vch703_2_5_2">'Verification Report'!$AQ$1122</definedName>
    <definedName name="vch703_2_5_2_1">'Verification Report'!$AQ$1130</definedName>
    <definedName name="vch703_3_0_1">'Verification Report'!$AQ$1141</definedName>
    <definedName name="vch703_3_0_2">'Verification Report'!$AQ$1148</definedName>
    <definedName name="vch703_3_1">'Verification Report'!$AQ$1154</definedName>
    <definedName name="vch703_3_2__1_1">'Verification Report'!$AQ$1161</definedName>
    <definedName name="vch703_3_2__2_1">'Verification Report'!$AQ$1167</definedName>
    <definedName name="vch703_3_2__3_1">'Verification Report'!$AQ$1170</definedName>
    <definedName name="vch703_3_2__4_1">'Verification Report'!$AQ$1175</definedName>
    <definedName name="vch703_3_3__1_1">'Verification Report'!$AQ$1181</definedName>
    <definedName name="vch703_3_3__2">'Verification Report'!$AQ$1186</definedName>
    <definedName name="vch703_3_3__3">'Verification Report'!$AQ$1188</definedName>
    <definedName name="vch703_3_4_1_1">'Verification Report'!$AQ$1193</definedName>
    <definedName name="vch703_3_4_1_6">'Verification Report'!$AQ$1198</definedName>
    <definedName name="vch703_3_4_2">'Verification Report'!$AQ$1200</definedName>
    <definedName name="vch703_3_5">'Verification Report'!$AQ$1201</definedName>
    <definedName name="vch703_3_6">'Verification Report'!$AQ$1206</definedName>
    <definedName name="vch703_3_7_1">'Verification Report'!$AQ$1211</definedName>
    <definedName name="vch703_3_7_2">'Verification Report'!$AQ$1213</definedName>
    <definedName name="vch703_3_8">'Verification Report'!$AQ$1218</definedName>
    <definedName name="vch703_4_1">'Verification Report'!$AQ$1224</definedName>
    <definedName name="vch703_4_2">'Verification Report'!$AQ$1226</definedName>
    <definedName name="vch703_4_3_1">'Verification Report'!$AQ$1229</definedName>
    <definedName name="vch703_4_3_2">'Verification Report'!$AQ$1230</definedName>
    <definedName name="vch703_4_3_3">'Verification Report'!$AQ$1232</definedName>
    <definedName name="vch703_4_4">'Verification Report'!$AQ$1234</definedName>
    <definedName name="vch703_5_1">'Verification Report'!$AQ$1245</definedName>
    <definedName name="vch703_5_1_1">'Verification Report'!$AQ$1251</definedName>
    <definedName name="vch703_5_1_1_a">'Verification Report'!$AQ$1253</definedName>
    <definedName name="vch703_5_1_2">'Verification Report'!$AQ$1270</definedName>
    <definedName name="vch703_5_1_2_a">'Verification Report'!$AQ$1272</definedName>
    <definedName name="vch703_5_1_3">'Verification Report'!$AQ$1292</definedName>
    <definedName name="vch703_5_2">'Verification Report'!$AQ$1293</definedName>
    <definedName name="vch703_5_3">'Verification Report'!$AQ$1295</definedName>
    <definedName name="vch703_5_4">'Verification Report'!$AQ$1297</definedName>
    <definedName name="vch703_5_5">'Verification Report'!$AQ$1299</definedName>
    <definedName name="vch703_5_5_a">'Verification Report'!$AQ$1301</definedName>
    <definedName name="vch703_6_1_1">'Verification Report'!$AQ$1318</definedName>
    <definedName name="vch703_6_1_2">'Verification Report'!$AQ$1320</definedName>
    <definedName name="vch703_6_1_3">'Verification Report'!$AQ$1322</definedName>
    <definedName name="vch703_6_2__1">'Verification Report'!$AQ$1325</definedName>
    <definedName name="vch703_6_2__2">'Verification Report'!$AQ$1326</definedName>
    <definedName name="vch703_6_2__3">'Verification Report'!$AQ$1327</definedName>
    <definedName name="vch703_7_1">'Verification Report'!$AQ$1330</definedName>
    <definedName name="vch703_7_2">'Verification Report'!$AQ$1357</definedName>
    <definedName name="vch703_7_3_1_a">'Verification Report'!$AQ$1365</definedName>
    <definedName name="vch703_7_3_1_b">'Verification Report'!$AQ$1367</definedName>
    <definedName name="vch703_7_3_1_c">'Verification Report'!$AQ$1368</definedName>
    <definedName name="vch703_7_3_1_d">'Verification Report'!$AQ$1369</definedName>
    <definedName name="vch703_7_3_2">'Verification Report'!$AQ$1371</definedName>
    <definedName name="vch703_7_3_3">'Verification Report'!$AQ$1374</definedName>
    <definedName name="vch703_7_3_4">'Verification Report'!$AQ$1376</definedName>
    <definedName name="vch703_7_3_5_a">'Verification Report'!$AQ$1381</definedName>
    <definedName name="vch703_7_3_5_b">'Verification Report'!$AQ$1383</definedName>
    <definedName name="vch703_7_3_6">'Verification Report'!$AQ$1385</definedName>
    <definedName name="vch703_7_4">'Verification Report'!$AQ$1387</definedName>
    <definedName name="vch704_2_1">'Verification Report'!$AQ$1417</definedName>
    <definedName name="vch704_2_2">'Verification Report'!$AQ$1419</definedName>
    <definedName name="vch705_2_1_1">'Verification Report'!$AQ$1427</definedName>
    <definedName name="vch705_2_1_2">'Verification Report'!$AQ$1431</definedName>
    <definedName name="vch705_2_1_3_1">'Verification Report'!$AQ$1434</definedName>
    <definedName name="vch705_2_1_3_2">'Verification Report'!$AQ$1438</definedName>
    <definedName name="vch705_2_1_4">'Verification Report'!$AQ$1443</definedName>
    <definedName name="vch705_2_2">'Verification Report'!$AQ$1448</definedName>
    <definedName name="vch705_2_3">'Verification Report'!$AQ$1451</definedName>
    <definedName name="vch705_2_4">'Verification Report'!$AQ$1454</definedName>
    <definedName name="vch705_3">'Verification Report'!$AQ$1456</definedName>
    <definedName name="vch705_4">'Verification Report'!$AQ$1457</definedName>
    <definedName name="vch705_5_1_1">'Verification Report'!$AQ$1462</definedName>
    <definedName name="vch705_5_1_2">'Verification Report'!$AQ$1465</definedName>
    <definedName name="vch705_5_2">'Verification Report'!$AQ$1467</definedName>
    <definedName name="vch705_5_3_1">'Verification Report'!$AQ$1470</definedName>
    <definedName name="vch705_5_3_2">'Verification Report'!$AQ$1472</definedName>
    <definedName name="vch705_6_2_1_1_1">'Verification Report'!$AQ$1493</definedName>
    <definedName name="vch705_6_2_1_1_2">'Verification Report'!$AQ$1495</definedName>
    <definedName name="vch705_6_2_1_2">'Verification Report'!$AQ$1496</definedName>
    <definedName name="vch705_6_2_2_1">'Verification Report'!$AQ$1502</definedName>
    <definedName name="vch705_6_2_2_2">'Verification Report'!$AQ$1504</definedName>
    <definedName name="vch705_6_2_3">'Verification Report'!$AQ$1507</definedName>
    <definedName name="vch705_6_3">'Verification Report'!$AQ$1513</definedName>
    <definedName name="vch705_6_3_1">'Verification Report'!$AQ$1515</definedName>
    <definedName name="vch705_6_4_1">'Verification Report'!$AQ$1525</definedName>
    <definedName name="vch705_6_4_2">'Verification Report'!$AQ$1527</definedName>
    <definedName name="vch705_7">'Verification Report'!$AQ$1529</definedName>
    <definedName name="vch706_1_1">'Verification Report'!$AQ$1536</definedName>
    <definedName name="vch706_1_2">'Verification Report'!$AQ$1537</definedName>
    <definedName name="vch706_1_3">'Verification Report'!$AQ$1538</definedName>
    <definedName name="vch706_1_4">'Verification Report'!$AQ$1539</definedName>
    <definedName name="vch706_1_5">'Verification Report'!$AQ$1541</definedName>
    <definedName name="vch706_10">'Verification Report'!$AQ$1611</definedName>
    <definedName name="vch706_11">'Verification Report'!$AQ$1616</definedName>
    <definedName name="vch706_12">'Verification Report'!$AQ$1618</definedName>
    <definedName name="vch706_13">'Verification Report'!$AQ$1622</definedName>
    <definedName name="vch706_14_1">'Verification Report'!$AQ$1627</definedName>
    <definedName name="vch706_14_2">'Verification Report'!$AQ$1631</definedName>
    <definedName name="vch706_15_1">'Verification Report'!$AQ$1636</definedName>
    <definedName name="vch706_15_2">'Verification Report'!$AQ$1637</definedName>
    <definedName name="vch706_2_1">'Verification Report'!$AQ$1544</definedName>
    <definedName name="vch706_2_2">'Verification Report'!$AQ$1549</definedName>
    <definedName name="vch706_3_1">'Verification Report'!$AQ$1564</definedName>
    <definedName name="vch706_3_2">'Verification Report'!$AQ$1565</definedName>
    <definedName name="vch706_3_3">'Verification Report'!$AQ$1566</definedName>
    <definedName name="vch706_3_4">'Verification Report'!$AQ$1567</definedName>
    <definedName name="vch706_3_5">'Verification Report'!$AQ$1568</definedName>
    <definedName name="vch706_3_6">'Verification Report'!$AQ$1569</definedName>
    <definedName name="vch706_3_7">'Verification Report'!$AQ$1570</definedName>
    <definedName name="vch706_3_8">'Verification Report'!$AQ$1571</definedName>
    <definedName name="vch706_4_1_1">'Verification Report'!$AQ$1574</definedName>
    <definedName name="vch706_4_1_2">'Verification Report'!$AQ$1576</definedName>
    <definedName name="vch706_4_2">'Verification Report'!$AQ$1578</definedName>
    <definedName name="vch706_5_1">'Verification Report'!$AQ$1581</definedName>
    <definedName name="vch706_5_2">'Verification Report'!$AQ$1583</definedName>
    <definedName name="vch706_5_3">'Verification Report'!$AQ$1585</definedName>
    <definedName name="vch706_6">'Verification Report'!$AQ$1595</definedName>
    <definedName name="vch706_7_1">'Verification Report'!$AQ$1599</definedName>
    <definedName name="vch706_7_2">'Verification Report'!$AQ$1600</definedName>
    <definedName name="vch706_8">'Verification Report'!$AQ$1603</definedName>
    <definedName name="vch706_9">'Verification Report'!$AQ$1606</definedName>
    <definedName name="vch801_1">'Verification Report'!$AQ$1642</definedName>
    <definedName name="vch802_1">'Verification Report'!$AQ$1650</definedName>
    <definedName name="vch802_1_6">'Verification Report'!$AQ$1679</definedName>
    <definedName name="vch802_10_1">'Verification Report'!$AQ$1837</definedName>
    <definedName name="vch802_10_1_1">'Verification Report'!$AQ$1840</definedName>
    <definedName name="vch802_2_1">'Verification Report'!$AQ$1684</definedName>
    <definedName name="vch802_2_2">'Verification Report'!$AQ$1685</definedName>
    <definedName name="vch802_3_1_a">'Verification Report'!$AQ$1693</definedName>
    <definedName name="vch802_3_1_b">'Verification Report'!$AQ$1695</definedName>
    <definedName name="vch802_3_2_a">'Verification Report'!$AQ$1702</definedName>
    <definedName name="vch802_3_2_b">'Verification Report'!$AQ$1704</definedName>
    <definedName name="vch802_4_1">'Verification Report'!$AQ$1709</definedName>
    <definedName name="vch802_4_2">'Verification Report'!$AQ$1721</definedName>
    <definedName name="vch802_4_3">'Verification Report'!$AQ$1726</definedName>
    <definedName name="vch802_5_1a">'Verification Report'!$AQ$1729</definedName>
    <definedName name="vch802_5_1b">'Verification Report'!$AQ$1731</definedName>
    <definedName name="vch802_5_2">'Verification Report'!$AQ$1741</definedName>
    <definedName name="vch802_5_3">'Verification Report'!$AQ$1746</definedName>
    <definedName name="vch802_5_4_2">'Verification Report'!$AQ$1753</definedName>
    <definedName name="vch802_5_4_3">'Verification Report'!$AQ$1760</definedName>
    <definedName name="vch802_5_4_4_a">'Verification Report'!$AQ$1763</definedName>
    <definedName name="vch802_5_4_4_b">'Verification Report'!$AQ$1767</definedName>
    <definedName name="vch802_5_4_4_c">'Verification Report'!$AQ$1769</definedName>
    <definedName name="vch802_6_1">'Verification Report'!$AQ$1772</definedName>
    <definedName name="vch802_6_2">'Verification Report'!$AQ$1774</definedName>
    <definedName name="vch802_6_3_1">'Verification Report'!$AQ$1778</definedName>
    <definedName name="vch802_6_3_2">'Verification Report'!$AQ$1779</definedName>
    <definedName name="vch802_6_3_3">'Verification Report'!$AQ$1780</definedName>
    <definedName name="vch802_6_4_1">'Verification Report'!$AQ$1785</definedName>
    <definedName name="vch802_6_4_2">'Verification Report'!$AQ$1787</definedName>
    <definedName name="vch802_6_5_1">'Verification Report'!$AQ$1793</definedName>
    <definedName name="vch802_6_5_2">'Verification Report'!$AQ$1795</definedName>
    <definedName name="vch802_6_5_3">'Verification Report'!$AQ$1797</definedName>
    <definedName name="vch802_6_5_4">'Verification Report'!$AQ$1798</definedName>
    <definedName name="vch802_6_5_5">'Verification Report'!$AQ$1800</definedName>
    <definedName name="vch802_7_1">'Verification Report'!$AQ$1804</definedName>
    <definedName name="vch802_7_2_1">'Verification Report'!$AQ$1818</definedName>
    <definedName name="vch802_7_2_2">'Verification Report'!$AQ$1820</definedName>
    <definedName name="vch802_8">'Verification Report'!$AQ$1821</definedName>
    <definedName name="vch802_9_1">'Verification Report'!$AQ$1824</definedName>
    <definedName name="vch802_9_2">'Verification Report'!$AQ$1832</definedName>
    <definedName name="vch803_1_1">'Verification Report'!$AQ$1846</definedName>
    <definedName name="vch803_1_2">'Verification Report'!$AQ$1848</definedName>
    <definedName name="vch803_2">'Verification Report'!$AQ$1850</definedName>
    <definedName name="vch803_3">'Verification Report'!$AQ$1852</definedName>
    <definedName name="vch803_4">'Verification Report'!$AQ$1857</definedName>
    <definedName name="vch803_5">'Verification Report'!$AQ$1860</definedName>
    <definedName name="vch803_6">'Verification Report'!$AQ$1862</definedName>
    <definedName name="vch804_2">'Verification Report'!$AQ$1868</definedName>
    <definedName name="vch901_1_1">'Verification Report'!$AQ$1878</definedName>
    <definedName name="vch901_1_2">'Verification Report'!$AQ$1884</definedName>
    <definedName name="vch901_1_3_1">'Verification Report'!$AQ$1889</definedName>
    <definedName name="vch901_1_3_2">'Verification Report'!$AQ$1892</definedName>
    <definedName name="vch901_1_4">'Verification Report'!$AQ$1895</definedName>
    <definedName name="vch901_1_5">'Verification Report'!$AQ$1900</definedName>
    <definedName name="vch901_1_6">'Verification Report'!$AQ$1903</definedName>
    <definedName name="vch901_10_1">'Verification Report'!$AQ$2015</definedName>
    <definedName name="vch901_10_2">'Verification Report'!$AQ$2020</definedName>
    <definedName name="vch901_10_3">'Verification Report'!$AQ$2021</definedName>
    <definedName name="vch901_11">'Verification Report'!$AQ$2025</definedName>
    <definedName name="vch901_12">'Verification Report'!$AQ$2030</definedName>
    <definedName name="vch901_13">'Verification Report'!$AQ$2034</definedName>
    <definedName name="vch901_14_1">'Verification Report'!$AQ$2038</definedName>
    <definedName name="vch901_14_2">'Verification Report'!$AQ$2039</definedName>
    <definedName name="vch901_15_1">'Verification Report'!$AQ$2042</definedName>
    <definedName name="vch901_15_2">'Verification Report'!$AQ$2044</definedName>
    <definedName name="vch901_2_1_1">'Verification Report'!$AQ$1909</definedName>
    <definedName name="vch901_2_1_2">'Verification Report'!$AQ$1912</definedName>
    <definedName name="vch901_2_1_3">'Verification Report'!$AQ$1914</definedName>
    <definedName name="vch901_2_1_4">'Verification Report'!$AQ$1917</definedName>
    <definedName name="vch901_2_1_5">'Verification Report'!$AQ$1919</definedName>
    <definedName name="vch901_2_2">'Verification Report'!$AQ$1921</definedName>
    <definedName name="vch901_3_1_a">'Verification Report'!$AQ$1924</definedName>
    <definedName name="vch901_3_1_b">'Verification Report'!$AQ$1926</definedName>
    <definedName name="vch901_3_1_c">'Verification Report'!$AQ$1928</definedName>
    <definedName name="vch901_3_2">'Verification Report'!$AQ$1934</definedName>
    <definedName name="vch901_4_1">'Verification Report'!$AQ$1938</definedName>
    <definedName name="vch901_4_a">'Verification Report'!$AQ$1943</definedName>
    <definedName name="vch901_4_b">'Verification Report'!$AQ$1944</definedName>
    <definedName name="vch901_4_c">'Verification Report'!$AQ$1945</definedName>
    <definedName name="vch901_4_d">'Verification Report'!$AQ$1946</definedName>
    <definedName name="vch901_5_1">'Verification Report'!$AQ$1957</definedName>
    <definedName name="vch901_5_2">'Verification Report'!$AQ$1959</definedName>
    <definedName name="vch901_6">'Verification Report'!$AQ$1962</definedName>
    <definedName name="vch901_7_1">'Verification Report'!$AQ$1971</definedName>
    <definedName name="vch901_7_2">'Verification Report'!$AQ$1981</definedName>
    <definedName name="vch901_7_3">'Verification Report'!$AQ$1982</definedName>
    <definedName name="vch901_8">'Verification Report'!$AQ$1985</definedName>
    <definedName name="vch901_9_1_1">'Verification Report'!$AQ$1996</definedName>
    <definedName name="vch901_9_1_2">'Verification Report'!$AQ$1998</definedName>
    <definedName name="vch901_9_1_3">'Verification Report'!$AQ$1999</definedName>
    <definedName name="vch901_9_2">'Verification Report'!$AQ$2001</definedName>
    <definedName name="vch901_9_3">'Verification Report'!$AQ$2006</definedName>
    <definedName name="vch902_1_1">'Verification Report'!$AQ$2050</definedName>
    <definedName name="vch902_1_1_a">'Verification Report'!$AQ$2052</definedName>
    <definedName name="vch902_1_2">'Verification Report'!$AQ$2054</definedName>
    <definedName name="vch902_1_2_">'Verification Report'!$AQ$2060</definedName>
    <definedName name="vch902_1_2_2">'Verification Report'!$AQ$2062</definedName>
    <definedName name="vch902_1_3">'Verification Report'!$AQ$2056</definedName>
    <definedName name="vch902_1_3_">'Verification Report'!$AQ$2063</definedName>
    <definedName name="vch902_1_4_1">'Verification Report'!$AQ$2069</definedName>
    <definedName name="vch902_1_4_2">'Verification Report'!$AQ$2071</definedName>
    <definedName name="vch902_1_5_1">'Verification Report'!$AQ$2074</definedName>
    <definedName name="vch902_1_5_2">'Verification Report'!$AQ$2076</definedName>
    <definedName name="vch902_1_5_3">'Verification Report'!$AQ$2078</definedName>
    <definedName name="vch902_1_6">'Verification Report'!$AQ$2081</definedName>
    <definedName name="vch902_2_1">'Verification Report'!$AQ$2085</definedName>
    <definedName name="vch902_2_2">'Verification Report'!$AQ$2096</definedName>
    <definedName name="vch902_2_3">'Verification Report'!$AQ$2098</definedName>
    <definedName name="vch902_2_4">'Verification Report'!$AQ$2101</definedName>
    <definedName name="vch902_3">'Verification Report'!$AQ$2104</definedName>
    <definedName name="vch902_3_2">'Verification Report'!$AQ$2152</definedName>
    <definedName name="vch902_3_2_1">'Verification Report'!$AQ$2154</definedName>
    <definedName name="vch902_3_2_1_b">'Verification Report'!$AQ$2156</definedName>
    <definedName name="vch902_4_1">'Verification Report'!$AQ$2180</definedName>
    <definedName name="vch902_4_2">'Verification Report'!$AQ$2182</definedName>
    <definedName name="vch902_4_3">'Verification Report'!$AQ$2185</definedName>
    <definedName name="vch902_5">'Verification Report'!$AQ$2188</definedName>
    <definedName name="vch902_6">'Verification Report'!$AQ$2190</definedName>
    <definedName name="vch903_1">'Verification Report'!$AQ$2194</definedName>
    <definedName name="vch903_2">'Verification Report'!$AQ$2198</definedName>
    <definedName name="vch903_3_1">'Verification Report'!$AQ$2204</definedName>
    <definedName name="vch903_3_2">'Verification Report'!$AQ$2205</definedName>
    <definedName name="vch904_1">'Verification Report'!$AQ$2210</definedName>
    <definedName name="vch904_2">'Verification Report'!$AQ$2215</definedName>
    <definedName name="vch904_3_1">'Verification Report'!$AQ$2220</definedName>
    <definedName name="vch904_3_2">'Verification Report'!$AQ$2228</definedName>
    <definedName name="vch905_1">'Verification Report'!$AQ$2232</definedName>
    <definedName name="vch905_2">'Verification Report'!$AQ$2237</definedName>
    <definedName name="vch905_3_1">'Verification Report'!$AQ$2240</definedName>
    <definedName name="vch905_3_2">'Verification Report'!$AQ$2241</definedName>
    <definedName name="vch905_4">'Verification Report'!$AQ$2243</definedName>
    <definedName name="vch905_5">'Verification Report'!$AQ$2248</definedName>
    <definedName name="vch905_6">'Verification Report'!$AQ$2248</definedName>
    <definedName name="vchWaterSenseClothesWasher">'WaterSense (Verification)'!$AQ$110</definedName>
    <definedName name="vchWaterSenseDishwasher">'WaterSense (Verification)'!$AQ$115</definedName>
    <definedName name="vchWaterSenseIrrigation">'WaterSense (Verification)'!$AQ$55</definedName>
    <definedName name="vchWaterSenseLavFaucet">'WaterSense (Verification)'!$AQ$41</definedName>
    <definedName name="vchWaterSenseLeaks1">'WaterSense (Verification)'!$AQ$18</definedName>
    <definedName name="vchWaterSenseLeaks2">'WaterSense (Verification)'!$AQ$19</definedName>
    <definedName name="vchWaterSenseLeaks3">'WaterSense (Verification)'!$AQ$20</definedName>
    <definedName name="vchWaterSenseLeaks4">'WaterSense (Verification)'!$AQ$22</definedName>
    <definedName name="vchWaterSenseLeaks5">'WaterSense (Verification)'!$AQ$23</definedName>
    <definedName name="vchWaterSenseLeaks6">'WaterSense (Verification)'!$AQ$24</definedName>
    <definedName name="vchWaterSenseLeaks7">'WaterSense (Verification)'!$AQ$27</definedName>
    <definedName name="vchWaterSenseLeaks8">'WaterSense (Verification)'!$AQ$28</definedName>
    <definedName name="vchWaterSenseOptionA">'WaterSense (Verification)'!$AQ$132</definedName>
    <definedName name="vchWaterSenseShowerheads">'WaterSense (Verification)'!$AQ$48</definedName>
    <definedName name="vchWaterSenseToilet">'WaterSense (Verification)'!$AQ$34</definedName>
    <definedName name="verAGFloorArea">'Overview (Verification)'!$P$25</definedName>
    <definedName name="verAttachedGarage">'Overview (Verification)'!$P$51</definedName>
    <definedName name="verAttic">'Overview (Verification)'!$P$50</definedName>
    <definedName name="verBadges703_7_2">'Badges (Verification)'!$AQ$126</definedName>
    <definedName name="verBadges802_10_1_1">'Badges (Verification)'!$AQ$154</definedName>
    <definedName name="verBadges802_6_4_1">'Badges (Verification)'!$AQ$152</definedName>
    <definedName name="verBadges802_6_5_5">'Badges (Verification)'!$AQ$153</definedName>
    <definedName name="verBadges803_3_1">'Badges (Verification)'!$AQ$155</definedName>
    <definedName name="verBadges901_1_1">'Badges (Verification)'!$AQ$203</definedName>
    <definedName name="verBadges901_1_3">'Badges (Verification)'!$AQ$204</definedName>
    <definedName name="verBadges903_3">'Badges (Verification)'!$AQ$256</definedName>
    <definedName name="verBadgesBuildingVent">'Badges (Verification)'!$AQ$55</definedName>
    <definedName name="verBadgesElectricAC">'Badges (Verification)'!$AQ$46</definedName>
    <definedName name="verBadgesElectricHeat">'Badges (Verification)'!$AQ$44</definedName>
    <definedName name="verBadgesFloorRVal">'Badges (Verification)'!$AQ$16</definedName>
    <definedName name="verBadgesGasBoiler">'Badges (Verification)'!$AQ$41</definedName>
    <definedName name="verBadgesGEDHPHeating">'Badges (Verification)'!$AQ$45</definedName>
    <definedName name="verBadgesGEHHPCooling">'Badges (Verification)'!$AQ$47</definedName>
    <definedName name="verBadgesGeothermalEfficiency">'Badges (Verification)'!$AQ$85</definedName>
    <definedName name="verBadgesGeothermalFieldArea">'Badges (Verification)'!$AQ$83</definedName>
    <definedName name="verBadgesGeothermalPower">'Badges (Verification)'!$AQ$80</definedName>
    <definedName name="verBadgesGeothermalResTemp">'Badges (Verification)'!$AQ$82</definedName>
    <definedName name="verBadgesGeothermalSurfaceTemp">'Badges (Verification)'!$AQ$81</definedName>
    <definedName name="verBadgesGeothermalWells">'Badges (Verification)'!$AQ$84</definedName>
    <definedName name="verBadgesGroundSourceHP">'Badges (Verification)'!$AQ$49</definedName>
    <definedName name="verBadgesOilBoiler">'Badges (Verification)'!$AQ$42</definedName>
    <definedName name="verBadgesOilFurnace">'Badges (Verification)'!$AQ$40</definedName>
    <definedName name="verBadgesPropane">'Badges (Verification)'!$AQ$39</definedName>
    <definedName name="verBadgesRadiant">'Badges (Verification)'!$AQ$43</definedName>
    <definedName name="verBadgesResilienceAdditional">'Badges (Verification)'!$AQ$110</definedName>
    <definedName name="verBadgesRoofRVal">'Badges (Verification)'!$AQ$15</definedName>
    <definedName name="verBadgesSHGC">'Badges (Verification)'!$AQ$23</definedName>
    <definedName name="verBadgesSmartAdd">'Badges (Verification)'!$AQ$166</definedName>
    <definedName name="verBadgesSolarThermalArea">'Badges (Verification)'!$AQ$69</definedName>
    <definedName name="verBadgesSolarThermalEfficiency">'Badges (Verification)'!$AQ$71</definedName>
    <definedName name="verBadgesSolarThermalHeatingRate">'Badges (Verification)'!$AQ$73</definedName>
    <definedName name="verBadgesSolarThermalSlope">'Badges (Verification)'!$AQ$70</definedName>
    <definedName name="verBadgesSolarThermalTankVolume">'Badges (Verification)'!$AQ$72</definedName>
    <definedName name="verBadgesSpotVent">'Badges (Verification)'!$AQ$54</definedName>
    <definedName name="verBadgesVerifierComments">'Badges (Verification)'!$E$323</definedName>
    <definedName name="verBadgesVerifierDate">'Badges (Verification)'!$E$337</definedName>
    <definedName name="verBadgesVerifierEmail">'Badges (Verification)'!$E$329</definedName>
    <definedName name="verBadgesVerifierEndTime">'Badges (Verification)'!$E$335</definedName>
    <definedName name="verBadgesVerifierName">'Badges (Verification)'!$E$327</definedName>
    <definedName name="verBadgesVerifierPhone">'Badges (Verification)'!$E$331</definedName>
    <definedName name="verBadgesVerifierSign">'Badges (Verification)'!$E$320</definedName>
    <definedName name="verBadgesVerifierStartTime">'Badges (Verification)'!$E$333</definedName>
    <definedName name="verBadgesWallRVal">'Badges (Verification)'!$AQ$17</definedName>
    <definedName name="verBadgesWaterSourceHC">'Badges (Verification)'!$AQ$48</definedName>
    <definedName name="verBadgesWellnessException">'Badges (Verification)'!$AQ$227</definedName>
    <definedName name="verBadgesWindowUVal">'Badges (Verification)'!$AQ$22</definedName>
    <definedName name="verBadgesWindowWallRatio">'Badges (Verification)'!$AQ$21</definedName>
    <definedName name="verBuilderName">'Overview (Verification)'!$P$10</definedName>
    <definedName name="verBuildingCode">'Overview (Verification)'!$P$62</definedName>
    <definedName name="verBuildingCodeOther">'Overview (Verification)'!$T$62</definedName>
    <definedName name="verCDucts">'Overview (Verification)'!$P$42</definedName>
    <definedName name="verCity">'Overview (Verification)'!$P$13</definedName>
    <definedName name="verCommercial">'Overview (Verification)'!$P$20</definedName>
    <definedName name="verCool1">'Overview (Verification)'!$P$39</definedName>
    <definedName name="verCool1Other">'Overview (Verification)'!$T$39</definedName>
    <definedName name="verCool2">'Overview (Verification)'!$P$40</definedName>
    <definedName name="verCool2Other">'Overview (Verification)'!$T$40</definedName>
    <definedName name="verCool3">'Overview (Verification)'!$P$41</definedName>
    <definedName name="verCool3Other">'Overview (Verification)'!$T$41</definedName>
    <definedName name="verCounty">'Overview (Verification)'!$P$15</definedName>
    <definedName name="verCToilet">'Overview (Verification)'!$P$59</definedName>
    <definedName name="verElevation">'Overview (Verification)'!$P$28</definedName>
    <definedName name="verEnergyCode">'Overview (Verification)'!$P$61</definedName>
    <definedName name="verEnergyCodeOther">'Overview (Verification)'!$T$61</definedName>
    <definedName name="verFloors">'Overview (Verification)'!$P$27</definedName>
    <definedName name="verFoundation">'Overview (Verification)'!$P$32</definedName>
    <definedName name="verFuel">'Overview (Verification)'!$P$37</definedName>
    <definedName name="verFuelother">'Overview (Verification)'!$T$37</definedName>
    <definedName name="verGoalLevel">Points!$T$10</definedName>
    <definedName name="verHDucts">'Overview (Verification)'!$P$38</definedName>
    <definedName name="verHomeAddress">'Overview (Verification)'!$P$11</definedName>
    <definedName name="verHVAC1">'Overview (Verification)'!$P$34</definedName>
    <definedName name="verHVAC1Other">'Overview (Verification)'!$T$34</definedName>
    <definedName name="verHVAC2">'Overview (Verification)'!$P$35</definedName>
    <definedName name="verHVAC2Other">'Overview (Verification)'!$T$35</definedName>
    <definedName name="verHVAC3">'Overview (Verification)'!$P$36</definedName>
    <definedName name="verHVAC3Other">'Overview (Verification)'!$T$36</definedName>
    <definedName name="verLot">'Overview (Verification)'!$P$12</definedName>
    <definedName name="verMassWalls">'Overview (Verification)'!$P$56</definedName>
    <definedName name="verPassiveSolar">'Overview (Verification)'!$P$55</definedName>
    <definedName name="verProjectDesc">'Overview (Verification)'!$P$30</definedName>
    <definedName name="verProjectID">'Overview (Verification)'!$P$8</definedName>
    <definedName name="verProjectName">'Overview (Verification)'!$P$23</definedName>
    <definedName name="verRadiantHydronic">'Overview (Verification)'!$P$57</definedName>
    <definedName name="verRecessedLighting">'Overview (Verification)'!$P$52</definedName>
    <definedName name="verRenewable">'Overview (Verification)'!$P$48</definedName>
    <definedName name="verRenewableOther">'Overview (Verification)'!$T$48</definedName>
    <definedName name="verSingleOrMulti">'Overview (Verification)'!$P$18</definedName>
    <definedName name="VersionDate">'Info &amp; Intro'!$E$7</definedName>
    <definedName name="VersionNum">'Info &amp; Intro'!$B$7</definedName>
    <definedName name="versSHGC">'Overview (Verification)'!$P$45</definedName>
    <definedName name="verStartError">Points!$B$4</definedName>
    <definedName name="verState">'Overview (Verification)'!$P$14</definedName>
    <definedName name="versUV">'Overview (Verification)'!$P$47</definedName>
    <definedName name="verTCFloorArea">'Overview (Verification)'!$P$26</definedName>
    <definedName name="verTEInsulation">'Overview (Verification)'!$P$49</definedName>
    <definedName name="verTEInsulationOther">'Overview (Verification)'!$T$49</definedName>
    <definedName name="verTLWH">'Overview (Verification)'!$P$58</definedName>
    <definedName name="verUnits">'Overview (Verification)'!$P$19</definedName>
    <definedName name="verwdSHGC">'Overview (Verification)'!$P$44</definedName>
    <definedName name="verwdUV">'Overview (Verification)'!$P$46</definedName>
    <definedName name="verZIP">'Overview (Verification)'!$P$16</definedName>
    <definedName name="vnt1001_1_1">'Verification Report'!$AS$2258</definedName>
    <definedName name="vnt1001_1_10">'Verification Report'!$AS$2273</definedName>
    <definedName name="vnt1001_1_11">'Verification Report'!$AS$2274</definedName>
    <definedName name="vnt1001_1_12">'Verification Report'!$AS$2275</definedName>
    <definedName name="vnt1001_1_13">'Verification Report'!$AS$2281</definedName>
    <definedName name="vnt1001_1_14">'Verification Report'!$AS$2285</definedName>
    <definedName name="vnt1001_1_15">'Verification Report'!$AS$2287</definedName>
    <definedName name="vnt1001_1_16">'Verification Report'!$AS$2289</definedName>
    <definedName name="vnt1001_1_17">'Verification Report'!$AS$2290</definedName>
    <definedName name="vnt1001_1_18">'Verification Report'!$AS$2292</definedName>
    <definedName name="vnt1001_1_19">'Verification Report'!$AS$2294</definedName>
    <definedName name="vnt1001_1_2">'Verification Report'!$AS$2259</definedName>
    <definedName name="vnt1001_1_20">'Verification Report'!$AS$2295</definedName>
    <definedName name="vnt1001_1_21">'Verification Report'!$AS$2297</definedName>
    <definedName name="vnt1001_1_22">'Verification Report'!$AS$2299</definedName>
    <definedName name="vnt1001_1_23">'Verification Report'!$AS$2301</definedName>
    <definedName name="vnt1001_1_24">'Verification Report'!$AS$2302</definedName>
    <definedName name="vnt1001_1_3">'Verification Report'!$AS$2260</definedName>
    <definedName name="vnt1001_1_4">'Verification Report'!$AS$2264</definedName>
    <definedName name="vnt1001_1_5">'Verification Report'!$AS$2265</definedName>
    <definedName name="vnt1001_1_6">'Verification Report'!$AS$2266</definedName>
    <definedName name="vnt1001_1_7">'Verification Report'!$AS$2268</definedName>
    <definedName name="vnt1001_1_8">'Verification Report'!$AS$2270</definedName>
    <definedName name="vnt1001_1_9">'Verification Report'!$AS$2271</definedName>
    <definedName name="vnt1001_2">'Verification Report'!$AS$2303</definedName>
    <definedName name="vnt1002_1_1">'Verification Report'!$AS$2325</definedName>
    <definedName name="vnt1002_1_2">'Verification Report'!$AS$2328</definedName>
    <definedName name="vnt1002_1_3">'Verification Report'!$AS$2331</definedName>
    <definedName name="vnt1002_1_4">'Verification Report'!$AS$2333</definedName>
    <definedName name="vnt1002_1_5">'Verification Report'!$AS$2334</definedName>
    <definedName name="vnt1002_1_6">'Verification Report'!$AS$2336</definedName>
    <definedName name="vnt1002_1_7">'Verification Report'!$AS$2337</definedName>
    <definedName name="vnt1002_1_8">'Verification Report'!$AS$2338</definedName>
    <definedName name="vnt1002_2_1">'Verification Report'!$AS$2344</definedName>
    <definedName name="vnt1002_2_10">'Verification Report'!$AS$2362</definedName>
    <definedName name="vnt1002_2_11">'Verification Report'!$AS$2365</definedName>
    <definedName name="vnt1002_2_2">'Verification Report'!$AS$2346</definedName>
    <definedName name="vnt1002_2_3">'Verification Report'!$AS$2349</definedName>
    <definedName name="vnt1002_2_4">'Verification Report'!$AS$2351</definedName>
    <definedName name="vnt1002_2_5">'Verification Report'!$AS$2354</definedName>
    <definedName name="vnt1002_2_6">'Verification Report'!$AS$2356</definedName>
    <definedName name="vnt1002_2_7">'Verification Report'!$AS$2357</definedName>
    <definedName name="vnt1002_2_8">'Verification Report'!$AS$2359</definedName>
    <definedName name="vnt1002_2_9">'Verification Report'!$AS$2361</definedName>
    <definedName name="vnt1002_3_1">'Verification Report'!$AS$2371</definedName>
    <definedName name="vnt1002_3_10">'Verification Report'!$AS$2392</definedName>
    <definedName name="vnt1002_3_11">'Verification Report'!$AS$2393</definedName>
    <definedName name="vnt1002_3_2">'Verification Report'!$AS$2373</definedName>
    <definedName name="vnt1002_3_3">'Verification Report'!$AS$2377</definedName>
    <definedName name="vnt1002_3_4">'Verification Report'!$AS$2384</definedName>
    <definedName name="vnt1002_3_5">'Verification Report'!$AS$2386</definedName>
    <definedName name="vnt1002_3_6">'Verification Report'!$AS$2387</definedName>
    <definedName name="vnt1002_3_7">'Verification Report'!$AS$2389</definedName>
    <definedName name="vnt1002_3_8">'Verification Report'!$AS$2390</definedName>
    <definedName name="vnt1002_3_9">'Verification Report'!$AS$2391</definedName>
    <definedName name="vnt1002_4">'Verification Report'!$AS$2395</definedName>
    <definedName name="vnt1002_5_1">'Verification Report'!$AS$2410</definedName>
    <definedName name="vnt1002_5_2">'Verification Report'!$AS$2411</definedName>
    <definedName name="vnt1002_5_3">'Verification Report'!$AS$2412</definedName>
    <definedName name="vnt1002_5_4">'Verification Report'!$AS$2414</definedName>
    <definedName name="vnt1002_5_5">'Verification Report'!$AS$2415</definedName>
    <definedName name="vnt1002_5_6">'Verification Report'!$AS$2416</definedName>
    <definedName name="vnt1002_5_7">'Verification Report'!$AS$2417</definedName>
    <definedName name="vnt1002_5_8">'Verification Report'!$AS$2418</definedName>
    <definedName name="vnt1002_5_9">'Verification Report'!$AS$2419</definedName>
    <definedName name="vnt1002_6_1">'Verification Report'!$AS$2424</definedName>
    <definedName name="vnt1002_6_2">'Verification Report'!$AS$2425</definedName>
    <definedName name="vnt1002_6_3">'Verification Report'!$AS$2426</definedName>
    <definedName name="vnt1002_6_4">'Verification Report'!$AS$2427</definedName>
    <definedName name="vnt1002_6_5">'Verification Report'!$AS$2428</definedName>
    <definedName name="vnt1002_6_6">'Verification Report'!$AS$2429</definedName>
    <definedName name="vnt1002_6_7">'Verification Report'!$AS$2430</definedName>
    <definedName name="vnt1003_1_1">'Verification Report'!$AS$2436</definedName>
    <definedName name="vnt1003_1_2">'Verification Report'!$AS$2438</definedName>
    <definedName name="vnt1003_1_3">'Verification Report'!$AS$2441</definedName>
    <definedName name="vnt1004_1_1">'Verification Report'!$AS$2454</definedName>
    <definedName name="vnt1004_1_2">'Verification Report'!$AS$2456</definedName>
    <definedName name="vnt1005_1_1">'Verification Report'!$AS$2460</definedName>
    <definedName name="vnt1005_1_2">'Verification Report'!$AS$2463</definedName>
    <definedName name="vnt501_1">'Verification Report'!$AS$13</definedName>
    <definedName name="vnt501_2">'Verification Report'!$AS$19</definedName>
    <definedName name="vnt501_2_1">'Verification Report'!$AS$21</definedName>
    <definedName name="vnt501_2_2">'Verification Report'!$AS$23</definedName>
    <definedName name="vnt501_2_3">'Verification Report'!$AS$25</definedName>
    <definedName name="vnt501_2_4">'Verification Report'!$AS$27</definedName>
    <definedName name="vnt501_2_4_1">'Verification Report'!$AS$37</definedName>
    <definedName name="vnt501_2_5">'Verification Report'!$AS$42</definedName>
    <definedName name="vnt501_2_6">'Verification Report'!$AS$45</definedName>
    <definedName name="vnt501_2_6_d">'Verification Report'!$AS$50</definedName>
    <definedName name="vnt501_2_7">'Verification Report'!$AS$52</definedName>
    <definedName name="vnt501_2_8">'Verification Report'!$AS$55</definedName>
    <definedName name="vnt502_1">'Verification Report'!$AS$58</definedName>
    <definedName name="vnt503_0">'Verification Report'!$AS$63</definedName>
    <definedName name="vnt503_1">'Verification Report'!$AS$68</definedName>
    <definedName name="vnt503_2">'Verification Report'!$AS$88</definedName>
    <definedName name="vnt503_3">'Verification Report'!$AS$101</definedName>
    <definedName name="vnt503_4">'Verification Report'!$AS$114</definedName>
    <definedName name="vnt503_4_1">'Verification Report'!$AS$121</definedName>
    <definedName name="vnt503_4_2">'Verification Report'!$AS$124</definedName>
    <definedName name="vnt503_4_3">'Verification Report'!$AS$128</definedName>
    <definedName name="vnt503_4_4">'Verification Report'!$AS$135</definedName>
    <definedName name="vnt503_4_4_c_1">'Verification Report'!$AS$140</definedName>
    <definedName name="vnt503_4_5">'Verification Report'!$AS$142</definedName>
    <definedName name="vnt503_5">'Verification Report'!$AS$145</definedName>
    <definedName name="vnt503_5_1">'Verification Report'!$AS$149</definedName>
    <definedName name="vnt503_5_10">'Verification Report'!$AS$178</definedName>
    <definedName name="vnt503_5_11">'Verification Report'!$AS$181</definedName>
    <definedName name="vnt503_5_12">'Verification Report'!$AS$183</definedName>
    <definedName name="vnt503_5_13">'Verification Report'!$AS$185</definedName>
    <definedName name="vnt503_5_2">'Verification Report'!$AS$155</definedName>
    <definedName name="vnt503_5_3">'Verification Report'!$AS$157</definedName>
    <definedName name="vnt503_5_4">'Verification Report'!$AS$160</definedName>
    <definedName name="vnt503_5_5">'Verification Report'!$AS$162</definedName>
    <definedName name="vnt503_5_6">'Verification Report'!$AS$165</definedName>
    <definedName name="vnt503_5_7">'Verification Report'!$AS$170</definedName>
    <definedName name="vnt503_5_8">'Verification Report'!$AS$171</definedName>
    <definedName name="vnt503_5_9">'Verification Report'!$AS$176</definedName>
    <definedName name="vnt503_6">'Verification Report'!$AS$187</definedName>
    <definedName name="vnt503_7">'Verification Report'!$AS$194</definedName>
    <definedName name="vnt503_8">'Verification Report'!$AS$200</definedName>
    <definedName name="vnt504_1">'Verification Report'!$AS$208</definedName>
    <definedName name="vnt504_2">'Verification Report'!$AS$213</definedName>
    <definedName name="vnt504_3">'Verification Report'!$AS$220</definedName>
    <definedName name="vnt504_3_1">'Verification Report'!$AS$223</definedName>
    <definedName name="vnt504_3_2">'Verification Report'!$AS$225</definedName>
    <definedName name="vnt504_3_3">'Verification Report'!$AS$226</definedName>
    <definedName name="vnt504_3_4">'Verification Report'!$AS$228</definedName>
    <definedName name="vnt504_3_5">'Verification Report'!$AS$230</definedName>
    <definedName name="vnt504_3_6">'Verification Report'!$AS$234</definedName>
    <definedName name="vnt504_3_7">'Verification Report'!$AS$237</definedName>
    <definedName name="vnt504_3_8">'Verification Report'!$AS$238</definedName>
    <definedName name="vnt504_3_9">'Verification Report'!$AS$246</definedName>
    <definedName name="vnt505_1_1">'Verification Report'!$AS$253</definedName>
    <definedName name="vnt505_1_2">'Verification Report'!$AS$255</definedName>
    <definedName name="vnt505_1_3">'Verification Report'!$AS$257</definedName>
    <definedName name="vnt505_10_a">'Verification Report'!$AS$321</definedName>
    <definedName name="vnt505_10_b">'Verification Report'!$AS$323</definedName>
    <definedName name="vnt505_10_c">'Verification Report'!$AS$325</definedName>
    <definedName name="vnt505_2_1">'Verification Report'!$AS$262</definedName>
    <definedName name="vnt505_2_2">'Verification Report'!$AS$272</definedName>
    <definedName name="vnt505_3">'Verification Report'!$AS$275</definedName>
    <definedName name="vnt505_4_1">'Verification Report'!$AS$282</definedName>
    <definedName name="vnt505_5_a">'Verification Report'!$AS$286</definedName>
    <definedName name="vnt505_5_b">'Verification Report'!$AS$288</definedName>
    <definedName name="vnt505_5_c">'Verification Report'!$AS$291</definedName>
    <definedName name="vnt505_5_d">'Verification Report'!$AS$292</definedName>
    <definedName name="vnt505_6">'Verification Report'!$AS$293</definedName>
    <definedName name="vnt505_7">'Verification Report'!$AS$305</definedName>
    <definedName name="vnt505_8">'Verification Report'!$AS$309</definedName>
    <definedName name="vnt505_9_a">'Verification Report'!$AS$312</definedName>
    <definedName name="vnt505_9_b">'Verification Report'!$AS$315</definedName>
    <definedName name="vnt505_9_c">'Verification Report'!$AS$316</definedName>
    <definedName name="vnt601_1">'Verification Report'!$AS$331</definedName>
    <definedName name="vnt601_2_1">'Verification Report'!$AS$349</definedName>
    <definedName name="vnt601_2_2">'Verification Report'!$AS$352</definedName>
    <definedName name="vnt601_2_3">'Verification Report'!$AS$355</definedName>
    <definedName name="vnt601_3_1">'Verification Report'!$AS$359</definedName>
    <definedName name="vnt601_3_2">'Verification Report'!$AS$360</definedName>
    <definedName name="vnt601_3_3">'Verification Report'!$AS$361</definedName>
    <definedName name="vnt601_3_4">'Verification Report'!$AS$362</definedName>
    <definedName name="vnt601_3_5">'Verification Report'!$AS$363</definedName>
    <definedName name="vnt601_4">'Verification Report'!$AS$364</definedName>
    <definedName name="vnt601_5_1">'Verification Report'!$AS$370</definedName>
    <definedName name="vnt601_5_2">'Verification Report'!$AS$371</definedName>
    <definedName name="vnt601_5_3">'Verification Report'!$AS$372</definedName>
    <definedName name="vnt601_5_4">'Verification Report'!$AS$373</definedName>
    <definedName name="vnt601_5_5">'Verification Report'!$AS$374</definedName>
    <definedName name="vnt601_6">'Verification Report'!$AS$375</definedName>
    <definedName name="vnt601_7">'Verification Report'!$AS$380</definedName>
    <definedName name="vnt601_8">'Verification Report'!$AS$398</definedName>
    <definedName name="vnt602_1_1_1">'Verification Report'!$AS$411</definedName>
    <definedName name="vnt602_1_1_2">'Verification Report'!$AS$414</definedName>
    <definedName name="vnt602_1_10">'Verification Report'!$AS$511</definedName>
    <definedName name="vnt602_1_11">'Verification Report'!$AS$523</definedName>
    <definedName name="vnt602_1_12">'Verification Report'!$AS$525</definedName>
    <definedName name="vnt602_1_13">'Verification Report'!$AS$528</definedName>
    <definedName name="vnt602_1_14_1">'Verification Report'!$AS$534</definedName>
    <definedName name="vnt602_1_14_2">'Verification Report'!$AS$536</definedName>
    <definedName name="vnt602_1_14_3">'Verification Report'!$AS$537</definedName>
    <definedName name="vnt602_1_15">'Verification Report'!$AS$538</definedName>
    <definedName name="vnt602_1_2">'Verification Report'!$AS$416</definedName>
    <definedName name="vnt602_1_3_1">'Verification Report'!$AS$421</definedName>
    <definedName name="vnt602_1_3_2">'Verification Report'!$AS$423</definedName>
    <definedName name="vnt602_1_4_1_1">'Verification Report'!$AS$429</definedName>
    <definedName name="vnt602_1_4_1_2">'Verification Report'!$AS$431</definedName>
    <definedName name="vnt602_1_4_2_1">'Verification Report'!$AS$435</definedName>
    <definedName name="vnt602_1_4_2_2">'Verification Report'!$AS$437</definedName>
    <definedName name="vnt602_1_5">'Verification Report'!$AS$440</definedName>
    <definedName name="vnt602_1_6_1">'Verification Report'!$AS$449</definedName>
    <definedName name="vnt602_1_7_1_1">'Verification Report'!$AS$462</definedName>
    <definedName name="vnt602_1_7_1_2">'Verification Report'!$AS$464</definedName>
    <definedName name="vnt602_1_7_1_3">'Verification Report'!$AS$467</definedName>
    <definedName name="vnt602_1_7_2">'Verification Report'!$AS$469</definedName>
    <definedName name="vnt602_1_7_3">'Verification Report'!$AS$471</definedName>
    <definedName name="vnt602_1_8">'Verification Report'!$AS$475</definedName>
    <definedName name="vnt602_1_9_1">'Verification Report'!$AS$483</definedName>
    <definedName name="vnt602_1_9_2">'Verification Report'!$AS$493</definedName>
    <definedName name="vnt602_1_9_3">'Verification Report'!$AS$496</definedName>
    <definedName name="vnt602_1_9_4">'Verification Report'!$AS$497</definedName>
    <definedName name="vnt602_1_9_5">'Verification Report'!$AS$501</definedName>
    <definedName name="vnt602_1_9_6">'Verification Report'!$AS$507</definedName>
    <definedName name="vnt602_1_9_7">'Verification Report'!$AS$509</definedName>
    <definedName name="vnt602_2_1">'Verification Report'!$AS$545</definedName>
    <definedName name="vnt602_2_2">'Verification Report'!$AS$547</definedName>
    <definedName name="vnt602_2_3">'Verification Report'!$AS$548</definedName>
    <definedName name="vnt602_3">'Verification Report'!$AS$551</definedName>
    <definedName name="vnt602_4_1">'Verification Report'!$AS$555</definedName>
    <definedName name="vnt602_4_2">'Verification Report'!$AS$560</definedName>
    <definedName name="vnt602_4_3">'Verification Report'!$AS$562</definedName>
    <definedName name="vnt603_1">'Verification Report'!$AS$566</definedName>
    <definedName name="vnt603_2">'Verification Report'!$AS$572</definedName>
    <definedName name="vnt603_3">'Verification Report'!$AS$579</definedName>
    <definedName name="vnt604_1a">'Verification Report'!$AS$583</definedName>
    <definedName name="vnt604_1b">'Verification Report'!$AS$585</definedName>
    <definedName name="vnt604_1c">'Verification Report'!$AS$587</definedName>
    <definedName name="vnt604_1d">'Verification Report'!$AS$589</definedName>
    <definedName name="vnt605_1">'Verification Report'!$AS$593</definedName>
    <definedName name="vnt605_2">'Verification Report'!$AS$596</definedName>
    <definedName name="vnt605_3">'Verification Report'!$AS$611</definedName>
    <definedName name="vnt605_4_2_a">'Verification Report'!$AS$624</definedName>
    <definedName name="vnt605_4_2_h">'Verification Report'!$AS$631</definedName>
    <definedName name="vnt605_4_2_i">'Verification Report'!$AS$632</definedName>
    <definedName name="vnt606_1_a">'Verification Report'!$AS$637</definedName>
    <definedName name="vnt606_2_1a">'Verification Report'!$AS$668</definedName>
    <definedName name="vnt606_2_1b">'Verification Report'!$AS$669</definedName>
    <definedName name="vnt606_2_2a">'Verification Report'!$AS$671</definedName>
    <definedName name="vnt606_2_2b">'Verification Report'!$AS$672</definedName>
    <definedName name="vnt606_3">'Verification Report'!$AS$674</definedName>
    <definedName name="vnt607_1_1">'Verification Report'!$AS$683</definedName>
    <definedName name="vnt607_1_2">'Verification Report'!$AS$688</definedName>
    <definedName name="vnt607_2">'Verification Report'!$AS$694</definedName>
    <definedName name="vnt608_1">'Verification Report'!$AS$697</definedName>
    <definedName name="vnt609_1_1">'Verification Report'!$AS$708</definedName>
    <definedName name="vnt609_1_2">'Verification Report'!$AS$710</definedName>
    <definedName name="vnt610_1">'Verification Report'!$AS$718</definedName>
    <definedName name="vnt610_1_1_1">'Verification Report'!$AS$727</definedName>
    <definedName name="vnt610_1_1_2">'Verification Report'!$AS$736</definedName>
    <definedName name="vnt610_1_1_3">'Verification Report'!$AS$744</definedName>
    <definedName name="vnt610_1_2_1">'Verification Report'!$AS$750</definedName>
    <definedName name="vnt610_1_2_1_e">'Verification Report'!$AS$757</definedName>
    <definedName name="vnt610_1_2_2_e">'Verification Report'!$AS$783</definedName>
    <definedName name="vnt610_1_2_2a">'Verification Report'!$AS$764</definedName>
    <definedName name="vnt610_1_2_2b">'Verification Report'!$AS$771</definedName>
    <definedName name="vnt610_1_2_2c">'Verification Report'!$AS$777</definedName>
    <definedName name="vnt611_1_1">'Verification Report'!$AS$795</definedName>
    <definedName name="vnt611_1_2">'Verification Report'!$AS$805</definedName>
    <definedName name="vnt612_1">'Verification Report'!$AS$813</definedName>
    <definedName name="vnt612_2_1">'Verification Report'!$AS$824</definedName>
    <definedName name="vnt612_2_2">'Verification Report'!$AS$825</definedName>
    <definedName name="vnt612_2_3">'Verification Report'!$AS$827</definedName>
    <definedName name="vnt612_2_4">'Verification Report'!$AS$829</definedName>
    <definedName name="vnt612_2_5">'Verification Report'!$AS$831</definedName>
    <definedName name="vnt612_2_6">'Verification Report'!$AS$833</definedName>
    <definedName name="vnt612_2_7">'Verification Report'!$AS$835</definedName>
    <definedName name="vnt612_3_1">'Verification Report'!$AS$839</definedName>
    <definedName name="vnt612_3_2">'Verification Report'!$AS$844</definedName>
    <definedName name="vnt612_3_3">'Verification Report'!$AS$848</definedName>
    <definedName name="vnt612_3_4">'Verification Report'!$AS$850</definedName>
    <definedName name="vnt612_3_5">'Verification Report'!$AS$852</definedName>
    <definedName name="vnt612_3_6">'Verification Report'!$AS$853</definedName>
    <definedName name="vnt612_3_7">'Verification Report'!$AS$854</definedName>
    <definedName name="vnt612_3_8">'Verification Report'!$AS$858</definedName>
    <definedName name="vnt612_3_9">'Verification Report'!$AS$860</definedName>
    <definedName name="vnt613_1">'Verification Report'!$AS$864</definedName>
    <definedName name="vnt701_1_">'Verification Report'!$AS$884</definedName>
    <definedName name="vnt701_1_1">'Verification Report'!$AS$887</definedName>
    <definedName name="vnt701_1_2">'Verification Report'!$AS$890</definedName>
    <definedName name="vnt701_1_3">'Verification Report'!$AS$894</definedName>
    <definedName name="vnt701_1_4">'Verification Report'!$AS$897</definedName>
    <definedName name="vnt701_1_6_1">'Verification Report'!$AS$911</definedName>
    <definedName name="vnt701_1_6_2">'Verification Report'!$AS$912</definedName>
    <definedName name="vnt701_1_6_3">'Verification Report'!$AS$914</definedName>
    <definedName name="vnt701_1_6_4">'Verification Report'!$AS$915</definedName>
    <definedName name="vnt701_1_6_5">'Verification Report'!$AS$917</definedName>
    <definedName name="vnt701_1_6_6_a">'Verification Report'!$AS$920</definedName>
    <definedName name="vnt701_1_6_6_b">'Verification Report'!$AS$921</definedName>
    <definedName name="vnt701_1_6_6_c">'Verification Report'!$AS$922</definedName>
    <definedName name="vnt701_1_6_7_a">'Verification Report'!$AS$924</definedName>
    <definedName name="vnt701_1_6_7_b">'Verification Report'!$AS$925</definedName>
    <definedName name="vnt701_1_6_7_c">'Verification Report'!$AS$926</definedName>
    <definedName name="vnt701_1_6_8">'Verification Report'!$AS$927</definedName>
    <definedName name="vnt701_1_6_9">'Verification Report'!$AS$929</definedName>
    <definedName name="vnt701_3">'Verification Report'!$AS$933</definedName>
    <definedName name="vnt701_4_1">'Verification Report'!$AS$947</definedName>
    <definedName name="vnt701_4_1_1">'Verification Report'!$AS$938</definedName>
    <definedName name="vnt701_4_1_2">'Verification Report'!$AS$941</definedName>
    <definedName name="vnt701_4_2_2">'Verification Report'!$AS$950</definedName>
    <definedName name="vnt701_4_2_3">'Verification Report'!$AS$951</definedName>
    <definedName name="vnt701_4_3_1">'Verification Report'!$AS$954</definedName>
    <definedName name="vnt701_4_3_1_a">'Verification Report'!$AS$958</definedName>
    <definedName name="vnt701_4_3_1_b">'Verification Report'!$AS$959</definedName>
    <definedName name="vnt701_4_3_1_c">'Verification Report'!$AS$960</definedName>
    <definedName name="vnt701_4_3_1_d">'Verification Report'!$AS$961</definedName>
    <definedName name="vnt701_4_3_1_e">'Verification Report'!$AS$962</definedName>
    <definedName name="vnt701_4_3_1_f">'Verification Report'!$AS$963</definedName>
    <definedName name="vnt701_4_3_1_g">'Verification Report'!$AS$964</definedName>
    <definedName name="vnt701_4_3_1_h">'Verification Report'!$AS$965</definedName>
    <definedName name="vnt701_4_3_1_i">'Verification Report'!$AS$966</definedName>
    <definedName name="vnt701_4_3_1_j">'Verification Report'!$AS$967</definedName>
    <definedName name="vnt701_4_3_1_k">'Verification Report'!$AS$968</definedName>
    <definedName name="vnt701_4_3_1_l">'Verification Report'!$AS$969</definedName>
    <definedName name="vnt701_4_3_1_m">'Verification Report'!$AS$970</definedName>
    <definedName name="vnt701_4_3_2_1_">'Verification Report'!$AS$975</definedName>
    <definedName name="vnt701_4_3_2_1_1">'Verification Report'!$AS$998</definedName>
    <definedName name="vnt701_4_3_2_1_2">'Verification Report'!$AS$999</definedName>
    <definedName name="vnt701_4_3_2_1_3">'Verification Report'!$AS$1003</definedName>
    <definedName name="vnt701_4_3_2_1_4">'Verification Report'!$AS$1005</definedName>
    <definedName name="vnt701_4_3_2_1_5">'Verification Report'!$AS$1008</definedName>
    <definedName name="vnt701_4_3_2_1_6">'Verification Report'!$AS$1010</definedName>
    <definedName name="vnt701_4_3_2_1_7">'Verification Report'!$AS$1011</definedName>
    <definedName name="vnt701_4_3_2_1_8">'Verification Report'!$AS$1012</definedName>
    <definedName name="vnt701_4_3_2_1_9">'Verification Report'!$AS$1015</definedName>
    <definedName name="vnt701_4_3_2_1_a">'Verification Report'!$AS$980</definedName>
    <definedName name="vnt701_4_3_2_1_b">'Verification Report'!$AS$981</definedName>
    <definedName name="vnt701_4_3_2_1_c">'Verification Report'!$AS$983</definedName>
    <definedName name="vnt701_4_3_2_1_d">'Verification Report'!$AS$984</definedName>
    <definedName name="vnt701_4_3_2_1_e">'Verification Report'!$AS$986</definedName>
    <definedName name="vnt701_4_3_2_1_f">'Verification Report'!$AS$987</definedName>
    <definedName name="vnt701_4_3_2_1_g">'Verification Report'!$AS$988</definedName>
    <definedName name="vnt701_4_3_2_1_h">'Verification Report'!$AS$989</definedName>
    <definedName name="vnt701_4_3_2_2">'Verification Report'!$AS$991</definedName>
    <definedName name="vnt701_4_3_2e">'Verification Report'!$AS$978</definedName>
    <definedName name="vnt701_4_3_3">'Verification Report'!$AS$1017</definedName>
    <definedName name="vnt701_4_3_4">'Verification Report'!$AS$1020</definedName>
    <definedName name="vnt701_4_3_5">'Verification Report'!$AS$1030</definedName>
    <definedName name="vnt701_4_4_1">'Verification Report'!$AS$1040</definedName>
    <definedName name="vnt701_4_4_2">'Verification Report'!$AS$1042</definedName>
    <definedName name="vnt701_4_5">'Verification Report'!$AS$1043</definedName>
    <definedName name="vnt702_2_1">'Verification Report'!$AS$1049</definedName>
    <definedName name="vnt702_2_2">'Verification Report'!$AS$1053</definedName>
    <definedName name="vnt702_2_2_m">'Verification Report'!$AS$1059</definedName>
    <definedName name="vnt702_2_3">'Verification Report'!$AS$1062</definedName>
    <definedName name="vnt703_1_1">'Verification Report'!$AS$1066</definedName>
    <definedName name="vnt703_1_2">'Verification Report'!$AS$1081</definedName>
    <definedName name="vnt703_1_3">'Verification Report'!$AS$1084</definedName>
    <definedName name="vnt703_2_1">'Verification Report'!$AS$1090</definedName>
    <definedName name="vnt703_2_2">'Verification Report'!$AS$1097</definedName>
    <definedName name="vnt703_2_3">'Verification Report'!$AS$1099</definedName>
    <definedName name="vnt703_2_4">'Verification Report'!$AS$1102</definedName>
    <definedName name="vnt703_2_5_1">'Verification Report'!$AS$1106</definedName>
    <definedName name="vnt703_2_5_1_1">'Verification Report'!$AS$1114</definedName>
    <definedName name="vnt703_2_5_2">'Verification Report'!$AS$1122</definedName>
    <definedName name="vnt703_2_5_2_1">'Verification Report'!$AS$1130</definedName>
    <definedName name="vnt703_3_0_1">'Verification Report'!$AS$1140</definedName>
    <definedName name="vnt703_3_0_2">'Verification Report'!$AS$1147</definedName>
    <definedName name="vnt703_3_1">'Verification Report'!$AS$1154</definedName>
    <definedName name="vnt703_3_2__1">'Verification Report'!$AS$1160</definedName>
    <definedName name="vnt703_3_2__2">'Verification Report'!$AS$1166</definedName>
    <definedName name="vnt703_3_2__3">'Verification Report'!$AS$1169</definedName>
    <definedName name="vnt703_3_2__4">'Verification Report'!$AS$1174</definedName>
    <definedName name="vnt703_3_3__1">'Verification Report'!$AS$1180</definedName>
    <definedName name="vnt703_3_3__2">'Verification Report'!$AS$1186</definedName>
    <definedName name="vnt703_3_3__3">'Verification Report'!$AS$1188</definedName>
    <definedName name="vnt703_3_4_1">'Verification Report'!$AS$1192</definedName>
    <definedName name="vnt703_3_4_1_6">'Verification Report'!$AS$1198</definedName>
    <definedName name="vnt703_3_4_2">'Verification Report'!$AS$1200</definedName>
    <definedName name="vnt703_3_5">'Verification Report'!$AS$1201</definedName>
    <definedName name="vnt703_3_6">'Verification Report'!$AS$1205</definedName>
    <definedName name="vnt703_3_7_1">'Verification Report'!$AS$1211</definedName>
    <definedName name="vnt703_3_8">'Verification Report'!$AS$1218</definedName>
    <definedName name="vnt703_4_1">'Verification Report'!$AS$1224</definedName>
    <definedName name="vnt703_4_2">'Verification Report'!$AS$1226</definedName>
    <definedName name="vnt703_4_3_1">'Verification Report'!$AS$1229</definedName>
    <definedName name="vnt703_4_3_2">'Verification Report'!$AS$1230</definedName>
    <definedName name="vnt703_4_3_3">'Verification Report'!$AS$1232</definedName>
    <definedName name="vnt703_4_4">'Verification Report'!$AS$1234</definedName>
    <definedName name="vnt703_5_1">'Verification Report'!$AS$1244</definedName>
    <definedName name="vnt703_5_2">'Verification Report'!$AS$1293</definedName>
    <definedName name="vnt703_5_3">'Verification Report'!$AS$1295</definedName>
    <definedName name="vnt703_5_4">'Verification Report'!$AS$1297</definedName>
    <definedName name="vnt703_5_5">'Verification Report'!$AS$1298</definedName>
    <definedName name="vnt703_6_1_1">'Verification Report'!$AS$1318</definedName>
    <definedName name="vnt703_6_1_2">'Verification Report'!$AS$1320</definedName>
    <definedName name="vnt703_6_1_3">'Verification Report'!$AS$1322</definedName>
    <definedName name="vnt703_6_2__1">'Verification Report'!$AS$1325</definedName>
    <definedName name="vnt703_6_2__2">'Verification Report'!$AS$1326</definedName>
    <definedName name="vnt703_6_2__3">'Verification Report'!$AS$1327</definedName>
    <definedName name="vnt703_7_1_1">'Verification Report'!$AS$1332</definedName>
    <definedName name="vnt703_7_1_2">'Verification Report'!$AS$1334</definedName>
    <definedName name="vnt703_7_1_3">'Verification Report'!$AS$1336</definedName>
    <definedName name="vnt703_7_1_4">'Verification Report'!$AS$1338</definedName>
    <definedName name="vnt703_7_1_5">'Verification Report'!$AS$1340</definedName>
    <definedName name="vnt703_7_1_6_a">'Verification Report'!$AS$1343</definedName>
    <definedName name="vnt703_7_1_6_b">'Verification Report'!$AS$1344</definedName>
    <definedName name="vnt703_7_1_6_c">'Verification Report'!$AS$1345</definedName>
    <definedName name="vnt703_7_1_7">'Verification Report'!$AS$1347</definedName>
    <definedName name="vnt703_7_1_8">'Verification Report'!$AS$1350</definedName>
    <definedName name="vnt703_7_1_9">'Verification Report'!$AS$1351</definedName>
    <definedName name="vnt703_7_1_9_m">'Verification Report'!$AS$1352</definedName>
    <definedName name="vnt703_7_2">'Verification Report'!$AS$1357</definedName>
    <definedName name="vnt703_7_3_1_a">'Verification Report'!$AS$1365</definedName>
    <definedName name="vnt703_7_3_1_b">'Verification Report'!$AS$1367</definedName>
    <definedName name="vnt703_7_3_1_c">'Verification Report'!$AS$1368</definedName>
    <definedName name="vnt703_7_3_1_d">'Verification Report'!$AS$1369</definedName>
    <definedName name="vnt703_7_3_2">'Verification Report'!$AS$1371</definedName>
    <definedName name="vnt703_7_3_3">'Verification Report'!$AS$1374</definedName>
    <definedName name="vnt703_7_3_4">'Verification Report'!$AS$1376</definedName>
    <definedName name="vnt703_7_3_5_a">'Verification Report'!$AS$1381</definedName>
    <definedName name="vnt703_7_3_5_b">'Verification Report'!$AS$1383</definedName>
    <definedName name="vnt703_7_3_6">'Verification Report'!$AS$1385</definedName>
    <definedName name="vnt703_7_4_1">'Verification Report'!$AS$1390</definedName>
    <definedName name="vnt703_7_4_2_a">'Verification Report'!$AS$1394</definedName>
    <definedName name="vnt703_7_4_2_b">'Verification Report'!$AS$1397</definedName>
    <definedName name="vnt703_7_4_2_c">'Verification Report'!$AS$1405</definedName>
    <definedName name="vnt703_7_4_3">'Verification Report'!$AS$1408</definedName>
    <definedName name="vnt704_1">'Verification Report'!$AS$1411</definedName>
    <definedName name="vnt705_2_1_1">'Verification Report'!$AS$1427</definedName>
    <definedName name="vnt705_2_1_2">'Verification Report'!$AS$1431</definedName>
    <definedName name="vnt705_2_1_3_1">'Verification Report'!$AS$1434</definedName>
    <definedName name="vnt705_2_1_3_2">'Verification Report'!$AS$1438</definedName>
    <definedName name="vnt705_2_1_4">'Verification Report'!$AS$1443</definedName>
    <definedName name="vnt705_2_2">'Verification Report'!$AS$1448</definedName>
    <definedName name="vnt705_2_3">'Verification Report'!$AS$1451</definedName>
    <definedName name="vnt705_2_4">'Verification Report'!$AS$1453</definedName>
    <definedName name="vnt705_3">'Verification Report'!$AS$1456</definedName>
    <definedName name="vnt705_4">'Verification Report'!$AS$1457</definedName>
    <definedName name="vnt705_5_1_1">'Verification Report'!$AS$1462</definedName>
    <definedName name="vnt705_5_1_2">'Verification Report'!$AS$1465</definedName>
    <definedName name="vnt705_5_2">'Verification Report'!$AS$1467</definedName>
    <definedName name="vnt705_5_2_1">'Verification Report'!$AS$1469</definedName>
    <definedName name="vnt705_5_2_2">'Verification Report'!$AS$1470</definedName>
    <definedName name="vnt705_5_2_3">'Verification Report'!$AS$1471</definedName>
    <definedName name="vnt705_5_2_4">'Verification Report'!$AS$1472</definedName>
    <definedName name="vnt705_5_2_5">'Verification Report'!$AS$1473</definedName>
    <definedName name="vnt705_5_2_6">'Verification Report'!$AS$1474</definedName>
    <definedName name="vnt705_5_3_1">'Verification Report'!$AS$1476</definedName>
    <definedName name="vnt705_5_3_2">'Verification Report'!$AS$1478</definedName>
    <definedName name="vnt705_6_1">'Verification Report'!$AS$1480</definedName>
    <definedName name="vnt705_6_2_1_1_1">'Verification Report'!$AS$1493</definedName>
    <definedName name="vnt705_6_2_1_2">'Verification Report'!$AS$1496</definedName>
    <definedName name="vnt705_6_2_2_1">'Verification Report'!$AS$1502</definedName>
    <definedName name="vnt705_6_2_2_2">'Verification Report'!$AS$1504</definedName>
    <definedName name="vnt705_6_2_3">'Verification Report'!$AS$1507</definedName>
    <definedName name="vnt705_6_3_a">'Verification Report'!$AS$1516</definedName>
    <definedName name="vnt705_6_3_b">'Verification Report'!$AS$1517</definedName>
    <definedName name="vnt705_6_3_c">'Verification Report'!$AS$1518</definedName>
    <definedName name="vnt705_6_3_d">'Verification Report'!$AS$1519</definedName>
    <definedName name="vnt705_6_3_e">'Verification Report'!$AS$1520</definedName>
    <definedName name="vnt705_6_3_f">'Verification Report'!$AS$1521</definedName>
    <definedName name="vnt705_6_3_g">'Verification Report'!$AS$1522</definedName>
    <definedName name="vnt705_6_4_1">'Verification Report'!$AS$1525</definedName>
    <definedName name="vnt705_6_4_2">'Verification Report'!$AS$1527</definedName>
    <definedName name="vnt705_7">'Verification Report'!$AS$1529</definedName>
    <definedName name="vnt706_1_1">'Verification Report'!$AS$1536</definedName>
    <definedName name="vnt706_1_2">'Verification Report'!$AS$1537</definedName>
    <definedName name="vnt706_1_3">'Verification Report'!$AS$1538</definedName>
    <definedName name="vnt706_1_4">'Verification Report'!$AS$1539</definedName>
    <definedName name="vnt706_1_5">'Verification Report'!$AS$1541</definedName>
    <definedName name="vnt706_10">'Verification Report'!$AS$1611</definedName>
    <definedName name="vnt706_11">'Verification Report'!$AS$1616</definedName>
    <definedName name="vnt706_12">'Verification Report'!$AS$1618</definedName>
    <definedName name="vnt706_13">'Verification Report'!$AS$1622</definedName>
    <definedName name="vnt706_14_1">'Verification Report'!$AS$1627</definedName>
    <definedName name="vnt706_14_2">'Verification Report'!$AS$1631</definedName>
    <definedName name="vnt706_15_1">'Verification Report'!$AS$1636</definedName>
    <definedName name="vnt706_15_2">'Verification Report'!$AS$1637</definedName>
    <definedName name="vnt706_2_1">'Verification Report'!$AS$1544</definedName>
    <definedName name="vnt706_2_2">'Verification Report'!$AS$1549</definedName>
    <definedName name="vnt706_3">'Verification Report'!$AS$1556</definedName>
    <definedName name="vnt706_3_1">'Verification Report'!$AS$1564</definedName>
    <definedName name="vnt706_3_2">'Verification Report'!$AS$1565</definedName>
    <definedName name="vnt706_3_3">'Verification Report'!$AS$1566</definedName>
    <definedName name="vnt706_3_4">'Verification Report'!$AS$1567</definedName>
    <definedName name="vnt706_3_5">'Verification Report'!$AS$1568</definedName>
    <definedName name="vnt706_3_6">'Verification Report'!$AS$1569</definedName>
    <definedName name="vnt706_3_7">'Verification Report'!$AS$1570</definedName>
    <definedName name="vnt706_3_8">'Verification Report'!$AS$1571</definedName>
    <definedName name="vnt706_4_1_1">'Verification Report'!$AS$1574</definedName>
    <definedName name="vnt706_4_1_2">'Verification Report'!$AS$1576</definedName>
    <definedName name="vnt706_4_2">'Verification Report'!$AS$1578</definedName>
    <definedName name="vnt706_5">'Verification Report'!$AS$1580</definedName>
    <definedName name="vnt706_6">'Verification Report'!$AS$1595</definedName>
    <definedName name="vnt706_7_1">'Verification Report'!$AS$1599</definedName>
    <definedName name="vnt706_7_2">'Verification Report'!$AS$1600</definedName>
    <definedName name="vnt706_8">'Verification Report'!$AS$1603</definedName>
    <definedName name="vnt706_9">'Verification Report'!$AS$1606</definedName>
    <definedName name="vnt801_1">'Verification Report'!$AS$1642</definedName>
    <definedName name="vnt802_1_1">'Verification Report'!$AS$1663</definedName>
    <definedName name="vnt802_1_5">'Verification Report'!$AS$1674</definedName>
    <definedName name="vnt802_1_6">'Verification Report'!$AS$1679</definedName>
    <definedName name="vnt802_10_1">'Verification Report'!$AS$1837</definedName>
    <definedName name="vnt802_10_1_1">'Verification Report'!$AS$1840</definedName>
    <definedName name="vnt802_2_1">'Verification Report'!$AS$1684</definedName>
    <definedName name="vnt802_2_2">'Verification Report'!$AS$1685</definedName>
    <definedName name="vnt802_3_1_a">'Verification Report'!$AS$1693</definedName>
    <definedName name="vnt802_3_1_b">'Verification Report'!$AS$1695</definedName>
    <definedName name="vnt802_3_2_a">'Verification Report'!$AS$1702</definedName>
    <definedName name="vnt802_3_2_b">'Verification Report'!$AS$1704</definedName>
    <definedName name="vnt802_4_1">'Verification Report'!$AS$1709</definedName>
    <definedName name="vnt802_4_2">'Verification Report'!$AS$1721</definedName>
    <definedName name="vnt802_4_3">'Verification Report'!$AS$1726</definedName>
    <definedName name="vnt802_5_1a">'Verification Report'!$AS$1729</definedName>
    <definedName name="vnt802_5_2">'Verification Report'!$AS$1741</definedName>
    <definedName name="vnt802_5_3">'Verification Report'!$AS$1746</definedName>
    <definedName name="vnt802_5_4_1">'Verification Report'!$AS$1751</definedName>
    <definedName name="vnt802_5_4_2">'Verification Report'!$AS$1753</definedName>
    <definedName name="vnt802_5_4_3">'Verification Report'!$AS$1760</definedName>
    <definedName name="vnt802_5_4_4_a">'Verification Report'!$AS$1763</definedName>
    <definedName name="vnt802_5_4_4_b">'Verification Report'!$AS$1767</definedName>
    <definedName name="vnt802_5_4_4_c">'Verification Report'!$AS$1769</definedName>
    <definedName name="vnt802_6_1">'Verification Report'!$AS$1772</definedName>
    <definedName name="vnt802_6_2">'Verification Report'!$AS$1774</definedName>
    <definedName name="vnt802_6_3_1">'Verification Report'!$AS$1778</definedName>
    <definedName name="vnt802_6_3_2">'Verification Report'!$AS$1779</definedName>
    <definedName name="vnt802_6_3_3">'Verification Report'!$AS$1780</definedName>
    <definedName name="vnt802_6_4_1">'Verification Report'!$AS$1785</definedName>
    <definedName name="vnt802_6_4_2">'Verification Report'!$AS$1787</definedName>
    <definedName name="vnt802_6_5_1">'Verification Report'!$AS$1793</definedName>
    <definedName name="vnt802_6_5_2">'Verification Report'!$AS$1795</definedName>
    <definedName name="vnt802_6_5_3">'Verification Report'!$AS$1797</definedName>
    <definedName name="vnt802_6_5_4">'Verification Report'!$AS$1798</definedName>
    <definedName name="vnt802_6_5_5">'Verification Report'!$AS$1800</definedName>
    <definedName name="vnt802_7_1">'Verification Report'!$AS$1804</definedName>
    <definedName name="vnt802_7_2_1">'Verification Report'!$AS$1818</definedName>
    <definedName name="vnt802_7_2_2">'Verification Report'!$AS$1820</definedName>
    <definedName name="vnt802_8">'Verification Report'!$AS$1821</definedName>
    <definedName name="vnt802_9_1">'Verification Report'!$AS$1824</definedName>
    <definedName name="vnt802_9_2">'Verification Report'!$AS$1832</definedName>
    <definedName name="vnt803_1_1">'Verification Report'!$AS$1846</definedName>
    <definedName name="vnt803_1_2">'Verification Report'!$AS$1848</definedName>
    <definedName name="vnt803_2">'Verification Report'!$AS$1849</definedName>
    <definedName name="vnt803_3">'Verification Report'!$AS$1852</definedName>
    <definedName name="vnt803_4">'Verification Report'!$AS$1857</definedName>
    <definedName name="vnt803_5">'Verification Report'!$AS$1860</definedName>
    <definedName name="vnt803_6">'Verification Report'!$AS$1862</definedName>
    <definedName name="vnt804_2">'Verification Report'!$AS$1868</definedName>
    <definedName name="vnt901_1_1">'Verification Report'!$AS$1878</definedName>
    <definedName name="vnt901_1_2">'Verification Report'!$AS$1884</definedName>
    <definedName name="vnt901_1_3_1">'Verification Report'!$AS$1889</definedName>
    <definedName name="vnt901_1_3_2">'Verification Report'!$AS$1892</definedName>
    <definedName name="vnt901_1_4">'Verification Report'!$AS$1895</definedName>
    <definedName name="vnt901_1_5">'Verification Report'!$AS$1900</definedName>
    <definedName name="vnt901_1_6">'Verification Report'!$AS$1903</definedName>
    <definedName name="vnt901_10_1">'Verification Report'!$AS$2015</definedName>
    <definedName name="vnt901_10_2">'Verification Report'!$AS$2020</definedName>
    <definedName name="vnt901_10_3">'Verification Report'!$AS$2021</definedName>
    <definedName name="vnt901_11">'Verification Report'!$AS$2025</definedName>
    <definedName name="vnt901_12">'Verification Report'!$AS$2030</definedName>
    <definedName name="vnt901_13">'Verification Report'!$AS$2034</definedName>
    <definedName name="vnt901_14">'Verification Report'!$AS$2036</definedName>
    <definedName name="vnt901_15_1">'Verification Report'!$AS$2042</definedName>
    <definedName name="vnt901_15_2">'Verification Report'!$AS$2044</definedName>
    <definedName name="vnt901_2_1_1">'Verification Report'!$AS$1909</definedName>
    <definedName name="vnt901_2_1_2">'Verification Report'!$AS$1912</definedName>
    <definedName name="vnt901_2_1_3">'Verification Report'!$AS$1914</definedName>
    <definedName name="vnt901_2_1_4">'Verification Report'!$AS$1917</definedName>
    <definedName name="vnt901_2_1_5">'Verification Report'!$AS$1919</definedName>
    <definedName name="vnt901_2_2">'Verification Report'!$AS$1921</definedName>
    <definedName name="vnt901_3_1_a">'Verification Report'!$AS$1924</definedName>
    <definedName name="vnt901_3_1_b">'Verification Report'!$AS$1926</definedName>
    <definedName name="vnt901_3_1_c">'Verification Report'!$AS$1928</definedName>
    <definedName name="vnt901_3_2">'Verification Report'!$AS$1934</definedName>
    <definedName name="vnt901_4_1">'Verification Report'!$AS$1938</definedName>
    <definedName name="vnt901_4_a">'Verification Report'!$AS$1943</definedName>
    <definedName name="vnt901_5_1">'Verification Report'!$AS$1957</definedName>
    <definedName name="vnt901_5_2">'Verification Report'!$AS$1959</definedName>
    <definedName name="vnt901_6">'Verification Report'!$AS$1962</definedName>
    <definedName name="vnt901_7_1">'Verification Report'!$AS$1971</definedName>
    <definedName name="vnt901_7_2">'Verification Report'!$AS$1981</definedName>
    <definedName name="vnt901_8">'Verification Report'!$AS$1985</definedName>
    <definedName name="vnt901_9">'Verification Report'!$AS$1991</definedName>
    <definedName name="vnt901_9_1_1">'Verification Report'!$AS$1996</definedName>
    <definedName name="vnt901_9_1_2">'Verification Report'!$AS$1998</definedName>
    <definedName name="vnt901_9_1_3">'Verification Report'!$AS$1999</definedName>
    <definedName name="vnt901_9_2">'Verification Report'!$AS$2001</definedName>
    <definedName name="vnt901_9_3">'Verification Report'!$AS$2006</definedName>
    <definedName name="vnt902_1_1">'Verification Report'!$AS$2050</definedName>
    <definedName name="vnt902_1_1_a">'Verification Report'!$AS$2052</definedName>
    <definedName name="vnt902_1_2">'Verification Report'!$AS$2054</definedName>
    <definedName name="vnt902_1_2_">'Verification Report'!$AS$2059</definedName>
    <definedName name="vnt902_1_3">'Verification Report'!$AS$2056</definedName>
    <definedName name="vnt902_1_3_">'Verification Report'!$AS$2063</definedName>
    <definedName name="vnt902_1_4">'Verification Report'!$AS$2067</definedName>
    <definedName name="vnt902_1_5_1">'Verification Report'!$AS$2074</definedName>
    <definedName name="vnt902_1_5_2">'Verification Report'!$AS$2076</definedName>
    <definedName name="vnt902_1_5_3">'Verification Report'!$AS$2078</definedName>
    <definedName name="vnt902_1_6">'Verification Report'!$AS$2081</definedName>
    <definedName name="vnt902_2_1">'Verification Report'!$AS$2085</definedName>
    <definedName name="vnt902_2_2">'Verification Report'!$AS$2096</definedName>
    <definedName name="vnt902_2_3">'Verification Report'!$AS$2098</definedName>
    <definedName name="vnt902_2_4">'Verification Report'!$AS$2101</definedName>
    <definedName name="vnt902_3">'Verification Report'!$AS$2104</definedName>
    <definedName name="vnt902_3_1">'Verification Report'!$AS$2113</definedName>
    <definedName name="vnt902_3_2_1">'Verification Report'!$AS$2154</definedName>
    <definedName name="vnt902_3_2_2">'Verification Report'!$AS$2176</definedName>
    <definedName name="vnt902_4_1">'Verification Report'!$AS$2180</definedName>
    <definedName name="vnt902_4_2">'Verification Report'!$AS$2182</definedName>
    <definedName name="vnt902_4_3">'Verification Report'!$AS$2185</definedName>
    <definedName name="vnt902_5">'Verification Report'!$AS$2188</definedName>
    <definedName name="vnt902_6">'Verification Report'!$AS$2190</definedName>
    <definedName name="vnt903_1">'Verification Report'!$AS$2194</definedName>
    <definedName name="vnt903_2">'Verification Report'!$AS$2198</definedName>
    <definedName name="vnt903_3">'Verification Report'!$AS$2202</definedName>
    <definedName name="vnt904_1">'Verification Report'!$AS$2210</definedName>
    <definedName name="vnt904_2">'Verification Report'!$AS$2215</definedName>
    <definedName name="vnt904_3_1">'Verification Report'!$AS$2220</definedName>
    <definedName name="vnt904_3_2">'Verification Report'!$AS$2228</definedName>
    <definedName name="vnt905_1">'Verification Report'!$AS$2232</definedName>
    <definedName name="vnt905_2">'Verification Report'!$AS$2237</definedName>
    <definedName name="vnt905_3_1">'Verification Report'!$AS$2240</definedName>
    <definedName name="vnt905_3_2">'Verification Report'!$AS$2241</definedName>
    <definedName name="vnt905_4">'Verification Report'!$AS$2243</definedName>
    <definedName name="vnt905_5">'Verification Report'!$AS$2248</definedName>
    <definedName name="vnt905_6">'Verification Report'!$AS$2248</definedName>
    <definedName name="vntBadgesAirLeakage">'Badges (Verification)'!$AS$28</definedName>
    <definedName name="vntBadgesAirSealing">'Badges (Verification)'!$AS$29</definedName>
    <definedName name="vntBadgesBatteryStorage">'Badges (Verification)'!$AS$58</definedName>
    <definedName name="vntBadgesBuildingVent">'Badges (Verification)'!$AS$55</definedName>
    <definedName name="vntBadgesDaylighting">'Badges (Verification)'!$AS$34</definedName>
    <definedName name="vntBadgesElectricAC">'Badges (Verification)'!$AS$46</definedName>
    <definedName name="vntBadgesElectricHeat">'Badges (Verification)'!$AS$44</definedName>
    <definedName name="vntBadgesEnergyCredits">'Badges (Verification)'!$AS$77</definedName>
    <definedName name="vntBadgesExteriorShading">'Badges (Verification)'!$AS$27</definedName>
    <definedName name="vntBadgesFloorRVal">'Badges (Verification)'!$AS$16</definedName>
    <definedName name="vntBadgesGasBoiler">'Badges (Verification)'!$AS$41</definedName>
    <definedName name="vntBadgesGEDHPHeating">'Badges (Verification)'!$AS$45</definedName>
    <definedName name="vntBadgesGEHHPCooling">'Badges (Verification)'!$AS$47</definedName>
    <definedName name="vntBadgesGeothermalPower">'Badges (Verification)'!$AS$80</definedName>
    <definedName name="vntBadgesGroundSourceHP">'Badges (Verification)'!$AS$49</definedName>
    <definedName name="vntBadgesHVACDesc">'Badges (Verification)'!$AS$50</definedName>
    <definedName name="vntBadgesLightingDesign">'Badges (Verification)'!$AS$36</definedName>
    <definedName name="vntBadgesLightingType">'Badges (Verification)'!$AS$33</definedName>
    <definedName name="vntBadgesOccSensor">'Badges (Verification)'!$AS$35</definedName>
    <definedName name="vntBadgesOilBoiler">'Badges (Verification)'!$AS$42</definedName>
    <definedName name="vntBadgesOilFurnace">'Badges (Verification)'!$AS$40</definedName>
    <definedName name="vntBadgesPropane">'Badges (Verification)'!$AS$39</definedName>
    <definedName name="vntBadgesRadiant">'Badges (Verification)'!$AS$43</definedName>
    <definedName name="vntBadgesResilienceAdditional">'Badges (Verification)'!$AS$110</definedName>
    <definedName name="vntBadgesResilienceSect1">'Badges (Verification)'!$AS$97</definedName>
    <definedName name="vntBadgesResilienceSect2">'Badges (Verification)'!$AS$106</definedName>
    <definedName name="vntBadgesRoofRVal">'Badges (Verification)'!$AS$15</definedName>
    <definedName name="vntBadgesSHGC">'Badges (Verification)'!$AS$23</definedName>
    <definedName name="vntBadgesSmartAdd">'Badges (Verification)'!$AS$166</definedName>
    <definedName name="vntBadgesSmartSect1">'Badges (Verification)'!$AS$125</definedName>
    <definedName name="vntBadgesSmartSect2">'Badges (Verification)'!$AS$139</definedName>
    <definedName name="vntBadgesSmartSect3">'Badges (Verification)'!$AS$152</definedName>
    <definedName name="vntBadgesSmartSect4">'Badges (Verification)'!$AS$162</definedName>
    <definedName name="vntBadgesSolar">'Badges (Verification)'!$AS$66</definedName>
    <definedName name="vntBadgesSolarThermalArea">'Badges (Verification)'!$AS$69</definedName>
    <definedName name="vntBadgesSpotVent">'Badges (Verification)'!$AS$54</definedName>
    <definedName name="vntBadgesWallDesc">'Badges (Verification)'!$AS$18</definedName>
    <definedName name="vntBadgesWallRVal">'Badges (Verification)'!$AS$17</definedName>
    <definedName name="vntBadgesWaterSourceHC">'Badges (Verification)'!$AS$48</definedName>
    <definedName name="vntBadgesWellnessSect1">'Badges (Verification)'!$AS$203</definedName>
    <definedName name="vntBadgesWellnessSect2">'Badges (Verification)'!$AS$222</definedName>
    <definedName name="vntBadgesWellnessSect3">'Badges (Verification)'!$AS$246</definedName>
    <definedName name="vntBadgesWellnessSect4">'Badges (Verification)'!$AS$256</definedName>
    <definedName name="vntBadgesWellnessSect5">'Badges (Verification)'!$AS$264</definedName>
    <definedName name="vntBadgesWellnessSect6">'Badges (Verification)'!$AS$272</definedName>
    <definedName name="vntBadgesWellnessSect7">'Badges (Verification)'!$AS$280</definedName>
    <definedName name="vntBadgesWellnessSect8">'Badges (Verification)'!$AS$287</definedName>
    <definedName name="vntBadgesWellnessSect9">'Badges (Verification)'!$AS$298</definedName>
    <definedName name="vntBadgesWind">'Badges (Verification)'!$AS$74</definedName>
    <definedName name="vntBadgesWindowDesc">'Badges (Verification)'!$AS$24</definedName>
    <definedName name="vntBadgesWindowUVal">'Badges (Verification)'!$AS$22</definedName>
    <definedName name="vntBadgesWindowWallRatio">'Badges (Verification)'!$AS$21</definedName>
    <definedName name="vntWaterSenseClothesWasher">'WaterSense (Verification)'!$AS$110</definedName>
    <definedName name="vntWaterSenseDishwasher">'WaterSense (Verification)'!$AS$115</definedName>
    <definedName name="vntWaterSenseIrrigation">'WaterSense (Verification)'!$AS$55</definedName>
    <definedName name="vntWaterSenseLavFaucet">'WaterSense (Verification)'!$AS$41</definedName>
    <definedName name="vntWaterSenseLeaks1">'WaterSense (Verification)'!$AS$18</definedName>
    <definedName name="vntWaterSenseLeaks2">'WaterSense (Verification)'!$AS$19</definedName>
    <definedName name="vntWaterSenseLeaks3">'WaterSense (Verification)'!$AS$20</definedName>
    <definedName name="vntWaterSenseLeaks4">'WaterSense (Verification)'!$AS$22</definedName>
    <definedName name="vntWaterSenseLeaks5">'WaterSense (Verification)'!$AS$23</definedName>
    <definedName name="vntWaterSenseLeaks6">'WaterSense (Verification)'!$AS$24</definedName>
    <definedName name="vntWaterSenseLeaks7">'WaterSense (Verification)'!$AS$27</definedName>
    <definedName name="vntWaterSenseLeaks8">'WaterSense (Verification)'!$AS$28</definedName>
    <definedName name="vntWaterSenseOptionA">'WaterSense (Verification)'!$AS$132</definedName>
    <definedName name="vntWaterSenseShowerheads">'WaterSense (Verification)'!$AS$48</definedName>
    <definedName name="vntWaterSenseToilet">'WaterSense (Verification)'!$AS$34</definedName>
    <definedName name="vpa1001_1">'Verification Report'!$AM$2255</definedName>
    <definedName name="vpa1001_1_1">'Verification Report'!$AM$2258</definedName>
    <definedName name="vpa1001_1_2">'Verification Report'!$AM$2259</definedName>
    <definedName name="vpa1001_1_3">'Verification Report'!$AM$2260</definedName>
    <definedName name="vpa1001_1_9">'Verification Report'!$AM$2271</definedName>
    <definedName name="vpa1001_2">'Verification Report'!$AM$2305</definedName>
    <definedName name="vpa1001_2_m">'Verification Report'!$AM$2303</definedName>
    <definedName name="vpa1002_1">'Verification Report'!$AM$2322</definedName>
    <definedName name="vpa1002_1_1">'Verification Report'!$AM$2325</definedName>
    <definedName name="vpa1002_1_2">'Verification Report'!$AM$2328</definedName>
    <definedName name="vpa1002_1_3">'Verification Report'!$AM$2331</definedName>
    <definedName name="vpa1002_2">'Verification Report'!$AM$2340</definedName>
    <definedName name="vpa1002_2_1">'Verification Report'!$AM$2344</definedName>
    <definedName name="vpa1002_2_11">'Verification Report'!$AM$2365</definedName>
    <definedName name="vpa1002_2_2">'Verification Report'!$AM$2346</definedName>
    <definedName name="vpa1002_3">'Verification Report'!$AM$2367</definedName>
    <definedName name="vpa1002_3_1">'Verification Report'!$AM$2371</definedName>
    <definedName name="vpa1002_4">'Verification Report'!$AM$2397</definedName>
    <definedName name="vpa1002_4_m">'Verification Report'!$AM$2395</definedName>
    <definedName name="vpa1002_5">'Verification Report'!$AM$2408</definedName>
    <definedName name="vpa1002_5_1">'Verification Report'!$AM$2410</definedName>
    <definedName name="vpa1002_5_2">'Verification Report'!$AM$2411</definedName>
    <definedName name="vpa1002_5_3">'Verification Report'!$AM$2412</definedName>
    <definedName name="vpa1002_6">'Verification Report'!$AM$2420</definedName>
    <definedName name="vpa1003_1">'Verification Report'!$AM$2435</definedName>
    <definedName name="vpa1003_1_1">'Verification Report'!$AM$2436</definedName>
    <definedName name="vpa1003_1_2">'Verification Report'!$AM$2438</definedName>
    <definedName name="vpa1003_1_3">'Verification Report'!$AM$2441</definedName>
    <definedName name="vpa1004_1_1">'Verification Report'!$AM$2454</definedName>
    <definedName name="vpa1004_1_2">'Verification Report'!$AM$2456</definedName>
    <definedName name="vpa1005_1_1">'Verification Report'!$AM$2460</definedName>
    <definedName name="vpa1005_1_2">'Verification Report'!$AM$2463</definedName>
    <definedName name="vpa1005_1_3">'Verification Report'!$AM$2467</definedName>
    <definedName name="vpa501_1">'Verification Report'!$AM$13</definedName>
    <definedName name="vpa501_1_2_a">'Verification Report'!$AM$16</definedName>
    <definedName name="vpa501_1_2_b">'Verification Report'!$AM$17</definedName>
    <definedName name="vpa501_1_2_c">'Verification Report'!$AM$18</definedName>
    <definedName name="vpa501_2_1">'Verification Report'!$AM$21</definedName>
    <definedName name="vpa501_2_2">'Verification Report'!$AM$23</definedName>
    <definedName name="vpa501_2_3">'Verification Report'!$AM$25</definedName>
    <definedName name="vpa501_2_4">'Verification Report'!$AM$27</definedName>
    <definedName name="vpa501_2_4_1_a">'Verification Report'!$AM$40</definedName>
    <definedName name="vpa501_2_4_1_b">'Verification Report'!$AM$41</definedName>
    <definedName name="vpa501_2_5">'Verification Report'!$AM$42</definedName>
    <definedName name="vpa501_2_6_a">'Verification Report'!$AM$47</definedName>
    <definedName name="vpa501_2_6_b">'Verification Report'!$AM$48</definedName>
    <definedName name="vpa501_2_6_c">'Verification Report'!$AM$49</definedName>
    <definedName name="vpa501_2_6_d">'Verification Report'!$AM$50</definedName>
    <definedName name="vpa501_2_7">'Verification Report'!$AM$52</definedName>
    <definedName name="vpa501_2_8">'Verification Report'!$AM$55</definedName>
    <definedName name="vpa502_1">'Verification Report'!$AM$58</definedName>
    <definedName name="vpa503_1_1">'Verification Report'!$AM$69</definedName>
    <definedName name="vpa503_1_2">'Verification Report'!$AM$71</definedName>
    <definedName name="vpa503_1_3">'Verification Report'!$AM$73</definedName>
    <definedName name="vpa503_1_4">'Verification Report'!$AM$75</definedName>
    <definedName name="vpa503_1_5">'Verification Report'!$AM$77</definedName>
    <definedName name="vpa503_1_6">'Verification Report'!$AM$79</definedName>
    <definedName name="vpa503_1_7">'Verification Report'!$AM$81</definedName>
    <definedName name="vpa503_1_8">'Verification Report'!$AM$83</definedName>
    <definedName name="vpa503_2_1">'Verification Report'!$AM$90</definedName>
    <definedName name="vpa503_2_2">'Verification Report'!$AM$91</definedName>
    <definedName name="vpa503_2_3_a">'Verification Report'!$AM$95</definedName>
    <definedName name="vpa503_2_3_b">'Verification Report'!$AM$96</definedName>
    <definedName name="vpa503_2_3_c">'Verification Report'!$AM$97</definedName>
    <definedName name="vpa503_2_4">'Verification Report'!$AM$98</definedName>
    <definedName name="vpa503_2_5">'Verification Report'!$AM$100</definedName>
    <definedName name="vpa503_3_1">'Verification Report'!$AM$104</definedName>
    <definedName name="vpa503_3_2">'Verification Report'!$AM$106</definedName>
    <definedName name="vpa503_3_3">'Verification Report'!$AM$113</definedName>
    <definedName name="vpa503_4_1">'Verification Report'!$AM$121</definedName>
    <definedName name="vpa503_4_2">'Verification Report'!$AM$124</definedName>
    <definedName name="vpa503_4_3_a">'Verification Report'!$AM$132</definedName>
    <definedName name="vpa503_4_3_b">'Verification Report'!$AM$133</definedName>
    <definedName name="vpa503_4_3_c">'Verification Report'!$AM$134</definedName>
    <definedName name="vpa503_4_4_a">'Verification Report'!$AM$137</definedName>
    <definedName name="vpa503_4_4_b">'Verification Report'!$AM$138</definedName>
    <definedName name="vpa503_4_4_c">'Verification Report'!$AM$139</definedName>
    <definedName name="vpa503_4_4_c_1">'Verification Report'!$AM$140</definedName>
    <definedName name="vpa503_4_5">'Verification Report'!$AM$142</definedName>
    <definedName name="vpa503_5_1_a">'Verification Report'!$AM$151</definedName>
    <definedName name="vpa503_5_1_b">'Verification Report'!$AM$152</definedName>
    <definedName name="vpa503_5_1_c">'Verification Report'!$AM$153</definedName>
    <definedName name="vpa503_5_1_d">'Verification Report'!$AM$154</definedName>
    <definedName name="vpa503_5_10">'Verification Report'!$AM$178</definedName>
    <definedName name="vpa503_5_11">'Verification Report'!$AM$181</definedName>
    <definedName name="vpa503_5_12">'Verification Report'!$AM$183</definedName>
    <definedName name="vpa503_5_13">'Verification Report'!$AM$185</definedName>
    <definedName name="vpa503_5_2">'Verification Report'!$AM$155</definedName>
    <definedName name="vpa503_5_3">'Verification Report'!$AM$157</definedName>
    <definedName name="vpa503_5_4">'Verification Report'!$AM$160</definedName>
    <definedName name="vpa503_5_5">'Verification Report'!$AM$162</definedName>
    <definedName name="vpa503_5_6_a">'Verification Report'!$AM$166</definedName>
    <definedName name="vpa503_5_6_b">'Verification Report'!$AM$167</definedName>
    <definedName name="vpa503_5_6_c">'Verification Report'!$AM$168</definedName>
    <definedName name="vpa503_5_6_d">'Verification Report'!$AM$169</definedName>
    <definedName name="vpa503_5_7">'Verification Report'!$AM$170</definedName>
    <definedName name="vpa503_5_8">'Verification Report'!$AM$171</definedName>
    <definedName name="vpa503_5_9">'Verification Report'!$AM$176</definedName>
    <definedName name="vpa503_6_1">'Verification Report'!$AM$189</definedName>
    <definedName name="vpa503_6_2">'Verification Report'!$AM$190</definedName>
    <definedName name="vpa503_6_3">'Verification Report'!$AM$191</definedName>
    <definedName name="vpa503_6_4">'Verification Report'!$AM$193</definedName>
    <definedName name="vpa503_7">'Verification Report'!$AM$194</definedName>
    <definedName name="vpa503_8">'Verification Report'!$AM$200</definedName>
    <definedName name="vpa503_8_1">'Verification Report'!$AM$203</definedName>
    <definedName name="vpa504_1">'Verification Report'!$AM$208</definedName>
    <definedName name="vpa504_2_1">'Verification Report'!$AM$215</definedName>
    <definedName name="vpa504_2_2">'Verification Report'!$AM$216</definedName>
    <definedName name="vpa504_2_3">'Verification Report'!$AM$218</definedName>
    <definedName name="vpa504_3_1">'Verification Report'!$AM$223</definedName>
    <definedName name="vpa504_3_2">'Verification Report'!$AM$225</definedName>
    <definedName name="vpa504_3_3">'Verification Report'!$AM$226</definedName>
    <definedName name="vpa504_3_4">'Verification Report'!$AM$228</definedName>
    <definedName name="vpa504_3_5">'Verification Report'!$AM$230</definedName>
    <definedName name="vpa504_3_6">'Verification Report'!$AM$234</definedName>
    <definedName name="vpa504_3_7">'Verification Report'!$AM$237</definedName>
    <definedName name="vpa504_3_8">'Verification Report'!$AM$238</definedName>
    <definedName name="vpa504_3_9">'Verification Report'!$AM$246</definedName>
    <definedName name="vpa505_1_1">'Verification Report'!$AM$253</definedName>
    <definedName name="vpa505_1_2">'Verification Report'!$AM$255</definedName>
    <definedName name="vpa505_1_3_a">'Verification Report'!$AM$258</definedName>
    <definedName name="vpa505_1_3_b">'Verification Report'!$AM$259</definedName>
    <definedName name="vpa505_1_3_c">'Verification Report'!$AM$260</definedName>
    <definedName name="vpa505_10_a">'Verification Report'!$AM$321</definedName>
    <definedName name="vpa505_10_b">'Verification Report'!$AM$323</definedName>
    <definedName name="vpa505_10_c">'Verification Report'!$AM$325</definedName>
    <definedName name="vpa505_2_1">'Verification Report'!$AM$262</definedName>
    <definedName name="vpa505_2_2">'Verification Report'!$AM$272</definedName>
    <definedName name="vpa505_3_1">'Verification Report'!$AM$276</definedName>
    <definedName name="vpa505_3_2">'Verification Report'!$AM$277</definedName>
    <definedName name="vpa505_3_3">'Verification Report'!$AM$278</definedName>
    <definedName name="vpa505_3_4">'Verification Report'!$AM$279</definedName>
    <definedName name="vpa505_3_5">'Verification Report'!$AM$280</definedName>
    <definedName name="vpa505_4_1">'Verification Report'!$AM$282</definedName>
    <definedName name="vpa505_5_a">'Verification Report'!$AM$286</definedName>
    <definedName name="vpa505_5_b">'Verification Report'!$AM$288</definedName>
    <definedName name="vpa505_5_c">'Verification Report'!$AM$291</definedName>
    <definedName name="vpa505_5_d">'Verification Report'!$AM$292</definedName>
    <definedName name="vpa505_6">'Verification Report'!$AM$293</definedName>
    <definedName name="vpa505_7">'Verification Report'!$AM$305</definedName>
    <definedName name="vpa505_8">'Verification Report'!$AM$309</definedName>
    <definedName name="vpa505_9_a">'Verification Report'!$AM$312</definedName>
    <definedName name="vpa505_9_b">'Verification Report'!$AM$315</definedName>
    <definedName name="vpa505_9_c">'Verification Report'!$AM$316</definedName>
    <definedName name="vpa601_1_1">'Verification Report'!$AM$337</definedName>
    <definedName name="vpa601_1_2">'Verification Report'!$AM$338</definedName>
    <definedName name="vpa601_1_3">'Verification Report'!$AM$339</definedName>
    <definedName name="vpa601_1_4">'Verification Report'!$AM$340</definedName>
    <definedName name="vpa601_1_5">'Verification Report'!$AM$341</definedName>
    <definedName name="vpa601_2_1">'Verification Report'!$AM$349</definedName>
    <definedName name="vpa601_2_2">'Verification Report'!$AM$352</definedName>
    <definedName name="vpa601_2_3">'Verification Report'!$AM$355</definedName>
    <definedName name="vpa601_3_1">'Verification Report'!$AM$359</definedName>
    <definedName name="vpa601_3_2">'Verification Report'!$AM$360</definedName>
    <definedName name="vpa601_3_3">'Verification Report'!$AM$361</definedName>
    <definedName name="vpa601_3_4">'Verification Report'!$AM$362</definedName>
    <definedName name="vpa601_3_5">'Verification Report'!$AM$363</definedName>
    <definedName name="vpa601_4">'Verification Report'!$AM$364</definedName>
    <definedName name="vpa601_5">'Verification Report'!$AM$367</definedName>
    <definedName name="vpa601_5_1">'Verification Report'!$AM$370</definedName>
    <definedName name="vpa601_5_2">'Verification Report'!$AM$371</definedName>
    <definedName name="vpa601_5_3">'Verification Report'!$AM$372</definedName>
    <definedName name="vpa601_5_4">'Verification Report'!$AM$373</definedName>
    <definedName name="vpa601_5_5">'Verification Report'!$AM$374</definedName>
    <definedName name="vpa601_6">'Verification Report'!$AM$375</definedName>
    <definedName name="vpa601_6_1">'Verification Report'!$AM$378</definedName>
    <definedName name="vpa601_6_2">'Verification Report'!$AM$379</definedName>
    <definedName name="vpa601_7">'Verification Report'!$AM$380</definedName>
    <definedName name="vpa601_7_1">'Verification Report'!$AM$393</definedName>
    <definedName name="vpa601_7_2">'Verification Report'!$AM$394</definedName>
    <definedName name="vpa601_7_3">'Verification Report'!$AM$396</definedName>
    <definedName name="vpa601_8">'Verification Report'!$AM$398</definedName>
    <definedName name="vpa602_1_1_1">'Verification Report'!$AM$411</definedName>
    <definedName name="vpa602_1_1_2">'Verification Report'!$AM$414</definedName>
    <definedName name="vpa602_1_10">'Verification Report'!$AM$510</definedName>
    <definedName name="vpa602_1_11">'Verification Report'!$AM$523</definedName>
    <definedName name="vpa602_1_12">'Verification Report'!$AM$525</definedName>
    <definedName name="vpa602_1_13">'Verification Report'!$AM$528</definedName>
    <definedName name="vpa602_1_14_1">'Verification Report'!$AM$534</definedName>
    <definedName name="vpa602_1_14_2">'Verification Report'!$AM$536</definedName>
    <definedName name="vpa602_1_14_3">'Verification Report'!$AM$537</definedName>
    <definedName name="vpa602_1_15">'Verification Report'!$AM$538</definedName>
    <definedName name="vpa602_1_2">'Verification Report'!$AM$416</definedName>
    <definedName name="vpa602_1_3_1">'Verification Report'!$AM$421</definedName>
    <definedName name="vpa602_1_3_2">'Verification Report'!$AM$423</definedName>
    <definedName name="vpa602_1_4_1_1">'Verification Report'!$AM$429</definedName>
    <definedName name="vpa602_1_4_1_2">'Verification Report'!$AM$431</definedName>
    <definedName name="vpa602_1_4_2_1">'Verification Report'!$AM$435</definedName>
    <definedName name="vpa602_1_4_2_2">'Verification Report'!$AM$437</definedName>
    <definedName name="vpa602_1_5_1">'Verification Report'!$AM$441</definedName>
    <definedName name="vpa602_1_5_2">'Verification Report'!$AM$443</definedName>
    <definedName name="vpa602_1_6_1">'Verification Report'!$AM$449</definedName>
    <definedName name="vpa602_1_6_2">'Verification Report'!$AM$453</definedName>
    <definedName name="vpa602_1_6_3">'Verification Report'!$AM$457</definedName>
    <definedName name="vpa602_1_7_1_1">'Verification Report'!$AM$462</definedName>
    <definedName name="vpa602_1_7_1_2">'Verification Report'!$AM$464</definedName>
    <definedName name="vpa602_1_7_1_3">'Verification Report'!$AM$467</definedName>
    <definedName name="vpa602_1_7_2">'Verification Report'!$AM$469</definedName>
    <definedName name="vpa602_1_7_3">'Verification Report'!$AM$471</definedName>
    <definedName name="vpa602_1_8">'Verification Report'!$AM$475</definedName>
    <definedName name="vpa602_1_9_1">'Verification Report'!$AM$483</definedName>
    <definedName name="vpa602_1_9_2">'Verification Report'!$AM$493</definedName>
    <definedName name="vpa602_1_9_3">'Verification Report'!$AM$496</definedName>
    <definedName name="vpa602_1_9_4">'Verification Report'!$AM$497</definedName>
    <definedName name="vpa602_1_9_5_a">'Verification Report'!$AM$502</definedName>
    <definedName name="vpa602_1_9_5_b">'Verification Report'!$AM$505</definedName>
    <definedName name="vpa602_1_9_6">'Verification Report'!$AM$507</definedName>
    <definedName name="vpa602_1_9_7">'Verification Report'!$AM$509</definedName>
    <definedName name="vpa602_2">'Verification Report'!$AM$541</definedName>
    <definedName name="vpa602_3">'Verification Report'!$AM$551</definedName>
    <definedName name="vpa602_4_1">'Verification Report'!$AM$555</definedName>
    <definedName name="vpa602_4_2">'Verification Report'!$AM$560</definedName>
    <definedName name="vpa602_4_3">'Verification Report'!$AM$562</definedName>
    <definedName name="vpa603_1">'Verification Report'!$AM$566</definedName>
    <definedName name="vpa603_2">'Verification Report'!$AM$572</definedName>
    <definedName name="vpa603_3">'Verification Report'!$AM$579</definedName>
    <definedName name="vpa604_1a">'Verification Report'!$AM$583</definedName>
    <definedName name="vpa605_1">'Verification Report'!$AM$593</definedName>
    <definedName name="vpa605_2">'Verification Report'!$AM$596</definedName>
    <definedName name="vpa605_3">'Verification Report'!$AM$611</definedName>
    <definedName name="vpa605_4">'Verification Report'!$AM$620</definedName>
    <definedName name="vpa605_4_1">'Verification Report'!$AM$622</definedName>
    <definedName name="vpa605_4_2">'Verification Report'!$AM$623</definedName>
    <definedName name="vpa606_1_1">'Verification Report'!$AM$647</definedName>
    <definedName name="vpa606_1_2">'Verification Report'!$AM$649</definedName>
    <definedName name="vpa606_1_3">'Verification Report'!$AM$651</definedName>
    <definedName name="vpa606_2_1a">'Verification Report'!$AM$668</definedName>
    <definedName name="vpa606_2_2a">'Verification Report'!$AM$671</definedName>
    <definedName name="vpa606_3">'Verification Report'!$AM$674</definedName>
    <definedName name="vpa607_1_1">'Verification Report'!$AM$683</definedName>
    <definedName name="vpa607_1_2">'Verification Report'!$AM$688</definedName>
    <definedName name="vpa607_2">'Verification Report'!$AM$694</definedName>
    <definedName name="vpa608_1">'Verification Report'!$AM$697</definedName>
    <definedName name="vpa609_1">'Verification Report'!$AM$706</definedName>
    <definedName name="vpa609_1_1">'Verification Report'!$AM$708</definedName>
    <definedName name="vpa609_1_2">'Verification Report'!$AM$710</definedName>
    <definedName name="vpa610_1_1_1">'Verification Report'!$AM$727</definedName>
    <definedName name="vpa610_1_1_2">'Verification Report'!$AM$736</definedName>
    <definedName name="vpa610_1_1_3">'Verification Report'!$AM$744</definedName>
    <definedName name="vpa610_1_2">'Verification Report'!$AM$746</definedName>
    <definedName name="vpa610_1_2_1">'Verification Report'!$AM$750</definedName>
    <definedName name="vpa610_1_2_2a">'Verification Report'!$AM$764</definedName>
    <definedName name="vpa611_1">'Verification Report'!$AM$790</definedName>
    <definedName name="vpa612_1">'Verification Report'!$AM$813</definedName>
    <definedName name="vpa612_2">'Verification Report'!$AM$821</definedName>
    <definedName name="vpa612_2_1">'Verification Report'!$AM$824</definedName>
    <definedName name="vpa612_2_2">'Verification Report'!$AM$825</definedName>
    <definedName name="vpa612_2_3">'Verification Report'!$AM$827</definedName>
    <definedName name="vpa612_2_4">'Verification Report'!$AM$829</definedName>
    <definedName name="vpa612_2_5">'Verification Report'!$AM$831</definedName>
    <definedName name="vpa612_2_6">'Verification Report'!$AM$833</definedName>
    <definedName name="vpa612_2_7">'Verification Report'!$AM$835</definedName>
    <definedName name="vpa612_3">'Verification Report'!$AM$837</definedName>
    <definedName name="vpa612_3_1">'Verification Report'!$AM$839</definedName>
    <definedName name="vpa612_3_2">'Verification Report'!$AM$844</definedName>
    <definedName name="vpa612_3_3">'Verification Report'!$AM$848</definedName>
    <definedName name="vpa612_3_4">'Verification Report'!$AM$850</definedName>
    <definedName name="vpa612_3_5">'Verification Report'!$AM$852</definedName>
    <definedName name="vpa612_3_6">'Verification Report'!$AM$853</definedName>
    <definedName name="vpa612_3_7">'Verification Report'!$AM$854</definedName>
    <definedName name="vpa612_3_8">'Verification Report'!$AM$858</definedName>
    <definedName name="vpa612_3_9">'Verification Report'!$AM$860</definedName>
    <definedName name="vpa613_1_a">'Verification Report'!$AM$869</definedName>
    <definedName name="vpa613_1_b">'Verification Report'!$AM$871</definedName>
    <definedName name="vpa613_1_c">'Verification Report'!$AM$875</definedName>
    <definedName name="vpa613_1_d">'Verification Report'!$AM$876</definedName>
    <definedName name="vpa613_1_e">'Verification Report'!$AM$877</definedName>
    <definedName name="vpa613_1_f">'Verification Report'!$AM$878</definedName>
    <definedName name="vpa701_1_6_1">'Verification Report'!$AM$911</definedName>
    <definedName name="vpa701_1_6_2">'Verification Report'!$AM$912</definedName>
    <definedName name="vpa701_1_6_3">'Verification Report'!$AM$914</definedName>
    <definedName name="vpa701_1_6_4">'Verification Report'!$AM$915</definedName>
    <definedName name="vpa701_1_6_5">'Verification Report'!$AM$917</definedName>
    <definedName name="vpa701_1_6_6_a">'Verification Report'!$AM$920</definedName>
    <definedName name="vpa701_1_6_6_b">'Verification Report'!$AM$921</definedName>
    <definedName name="vpa701_1_6_6_c">'Verification Report'!$AM$922</definedName>
    <definedName name="vpa701_1_6_7_a">'Verification Report'!$AM$924</definedName>
    <definedName name="vpa701_1_6_7_b">'Verification Report'!$AM$925</definedName>
    <definedName name="vpa701_1_6_7_c">'Verification Report'!$AM$926</definedName>
    <definedName name="vpa701_1_6_8">'Verification Report'!$AM$927</definedName>
    <definedName name="vpa701_1_6_9">'Verification Report'!$AM$929</definedName>
    <definedName name="vpa701_4_1">'Verification Report'!$AM$947</definedName>
    <definedName name="vpa701_4_1_1">'Verification Report'!$AM$938</definedName>
    <definedName name="vpa701_4_1_2">'Verification Report'!$AM$941</definedName>
    <definedName name="vpa701_4_2_2">'Verification Report'!$AM$950</definedName>
    <definedName name="vpa701_4_2_3">'Verification Report'!$AM$951</definedName>
    <definedName name="vpa701_4_3_1">'Verification Report'!$AM$954</definedName>
    <definedName name="vpa701_4_3_2">'Verification Report'!$AM$971</definedName>
    <definedName name="vpa701_4_3_2_1">'Verification Report'!$AM$994</definedName>
    <definedName name="vpa701_4_3_4">'Verification Report'!$AM$1020</definedName>
    <definedName name="vpa701_4_3_5">'Verification Report'!$AM$1030</definedName>
    <definedName name="vpa701_4_4">'Verification Report'!$AM$1038</definedName>
    <definedName name="vpa701_4_5">'Verification Report'!$AM$1043</definedName>
    <definedName name="vpa702_2_1">'Verification Report'!$AM$1049</definedName>
    <definedName name="vpa702_2_2">'Verification Report'!$AM$1053</definedName>
    <definedName name="vpa703_1">'Verification Report'!$AM$1065</definedName>
    <definedName name="vpa703_1_1">'Verification Report'!$AM$1066</definedName>
    <definedName name="vpa703_1_2">'Verification Report'!$AM$1081</definedName>
    <definedName name="vpa703_1_3">'Verification Report'!$AM$1084</definedName>
    <definedName name="vpa703_2_1">'Verification Report'!$AM$1090</definedName>
    <definedName name="vpa703_2_2">'Verification Report'!$AM$1097</definedName>
    <definedName name="vpa703_2_3">'Verification Report'!$AM$1099</definedName>
    <definedName name="vpa703_2_4">'Verification Report'!$AM$1102</definedName>
    <definedName name="vpa703_2_5_1">'Verification Report'!$AM$1106</definedName>
    <definedName name="vpa703_2_5_2">'Verification Report'!$AM$1122</definedName>
    <definedName name="vpa703_2_5_2_a">'Verification Report'!$AM$1127</definedName>
    <definedName name="vpa703_2_5_2_b">'Verification Report'!$AM$1128</definedName>
    <definedName name="vpa703_2_5_2_c">'Verification Report'!$AM$1129</definedName>
    <definedName name="vpa703_3_1">'Verification Report'!$AM$1154</definedName>
    <definedName name="vpa703_3_2__1_1">'Verification Report'!$AM$1161</definedName>
    <definedName name="vpa703_3_2__1_2">'Verification Report'!$AM$1162</definedName>
    <definedName name="vpa703_3_2__1_3">'Verification Report'!$AM$1163</definedName>
    <definedName name="vpa703_3_2__1_4">'Verification Report'!$AM$1164</definedName>
    <definedName name="vpa703_3_2__1_5">'Verification Report'!$AM$1165</definedName>
    <definedName name="vpa703_3_2__2_1">'Verification Report'!$AM$1167</definedName>
    <definedName name="vpa703_3_2__2_2">'Verification Report'!$AM$1168</definedName>
    <definedName name="vpa703_3_2__3_1">'Verification Report'!$AM$1170</definedName>
    <definedName name="vpa703_3_2__3_2">'Verification Report'!$AM$1171</definedName>
    <definedName name="vpa703_3_2__3_3">'Verification Report'!$AM$1172</definedName>
    <definedName name="vpa703_3_2__3_4">'Verification Report'!$AM$1173</definedName>
    <definedName name="vpa703_3_2__4_1">'Verification Report'!$AM$1175</definedName>
    <definedName name="vpa703_3_2__4_2">'Verification Report'!$AM$1176</definedName>
    <definedName name="vpa703_3_3__1_1">'Verification Report'!$AM$1181</definedName>
    <definedName name="vpa703_3_3__1_2">'Verification Report'!$AM$1182</definedName>
    <definedName name="vpa703_3_3__1_3">'Verification Report'!$AM$1183</definedName>
    <definedName name="vpa703_3_3__1_4">'Verification Report'!$AM$1184</definedName>
    <definedName name="vpa703_3_3__1_5">'Verification Report'!$AM$1185</definedName>
    <definedName name="vpa703_3_3__2">'Verification Report'!$AM$1186</definedName>
    <definedName name="vpa703_3_3__3">'Verification Report'!$AM$1188</definedName>
    <definedName name="vpa703_3_4_1_1">'Verification Report'!$AM$1193</definedName>
    <definedName name="vpa703_3_4_1_2">'Verification Report'!$AM$1194</definedName>
    <definedName name="vpa703_3_4_1_3">'Verification Report'!$AM$1195</definedName>
    <definedName name="vpa703_3_4_1_4">'Verification Report'!$AM$1196</definedName>
    <definedName name="vpa703_3_4_1_5">'Verification Report'!$AM$1197</definedName>
    <definedName name="vpa703_3_4_1_6">'Verification Report'!$AM$1198</definedName>
    <definedName name="vpa703_3_4_2">'Verification Report'!$AM$1200</definedName>
    <definedName name="vpa703_3_5">'Verification Report'!$AM$1201</definedName>
    <definedName name="vpa703_3_6_1">'Verification Report'!$AM$1208</definedName>
    <definedName name="vpa703_3_6_2">'Verification Report'!$AM$1209</definedName>
    <definedName name="vpa703_3_6_3">'Verification Report'!$AM$1210</definedName>
    <definedName name="vpa703_3_7_1">'Verification Report'!$AM$1211</definedName>
    <definedName name="vpa703_3_8">'Verification Report'!$AM$1218</definedName>
    <definedName name="vpa703_4_1">'Verification Report'!$AM$1224</definedName>
    <definedName name="vpa703_4_2">'Verification Report'!$AM$1226</definedName>
    <definedName name="vpa703_4_3">'Verification Report'!$AM$1228</definedName>
    <definedName name="vpa703_4_4_1">'Verification Report'!$AM$1240</definedName>
    <definedName name="vpa703_4_4_2">'Verification Report'!$AM$1241</definedName>
    <definedName name="vpa703_4_4_3">'Verification Report'!$AM$1242</definedName>
    <definedName name="vpa703_5_1_1_a_1">'Verification Report'!$AM$1254</definedName>
    <definedName name="vpa703_5_1_1_a_2">'Verification Report'!$AM$1255</definedName>
    <definedName name="vpa703_5_1_1_b">'Verification Report'!$AM$1256</definedName>
    <definedName name="vpa703_5_1_1_c_1">'Verification Report'!$AM$1259</definedName>
    <definedName name="vpa703_5_1_1_c_2">'Verification Report'!$AM$1260</definedName>
    <definedName name="vpa703_5_1_1_d_1">'Verification Report'!$AM$1264</definedName>
    <definedName name="vpa703_5_1_1_d_2">'Verification Report'!$AM$1265</definedName>
    <definedName name="vpa703_5_1_1_e_1">'Verification Report'!$AM$1268</definedName>
    <definedName name="vpa703_5_1_1_e_2">'Verification Report'!$AM$1269</definedName>
    <definedName name="vpa703_5_1_2_a_1">'Verification Report'!$AM$1273</definedName>
    <definedName name="vpa703_5_1_2_a_2">'Verification Report'!$AM$1274</definedName>
    <definedName name="vpa703_5_1_2_a_3">'Verification Report'!$AM$1275</definedName>
    <definedName name="vpa703_5_1_2_a_4">'Verification Report'!$AM$1276</definedName>
    <definedName name="vpa703_5_1_2_a_5">'Verification Report'!$AM$1277</definedName>
    <definedName name="vpa703_5_1_2_a_6">'Verification Report'!$AM$1278</definedName>
    <definedName name="vpa703_5_1_2_a_7">'Verification Report'!$AM$1279</definedName>
    <definedName name="vpa703_5_1_2_b_1">'Verification Report'!$AM$1282</definedName>
    <definedName name="vpa703_5_1_2_b_2">'Verification Report'!$AM$1283</definedName>
    <definedName name="vpa703_5_1_2_b_3">'Verification Report'!$AM$1284</definedName>
    <definedName name="vpa703_5_1_2_b_4">'Verification Report'!$AM$1285</definedName>
    <definedName name="vpa703_5_1_2_c">'Verification Report'!$AM$1286</definedName>
    <definedName name="vpa703_5_1_2_d">'Verification Report'!$AM$1288</definedName>
    <definedName name="vpa703_5_1_2_e">'Verification Report'!$AM$1290</definedName>
    <definedName name="vpa703_5_1_3">'Verification Report'!$AM$1292</definedName>
    <definedName name="vpa703_5_2">'Verification Report'!$AM$1293</definedName>
    <definedName name="vpa703_5_3">'Verification Report'!$AM$1295</definedName>
    <definedName name="vpa703_5_4">'Verification Report'!$AM$1297</definedName>
    <definedName name="vpa703_5_5_a_1">'Verification Report'!$AM$1303</definedName>
    <definedName name="vpa703_5_5_a_2">'Verification Report'!$AM$1304</definedName>
    <definedName name="vpa703_5_5_a_3">'Verification Report'!$AM$1305</definedName>
    <definedName name="vpa703_5_5_a_4">'Verification Report'!$AM$1306</definedName>
    <definedName name="vpa703_5_5_a_5">'Verification Report'!$AM$1307</definedName>
    <definedName name="vpa703_5_5_b_1">'Verification Report'!$AM$1310</definedName>
    <definedName name="vpa703_5_5_b_2">'Verification Report'!$AM$1311</definedName>
    <definedName name="vpa703_5_5_b_3">'Verification Report'!$AM$1312</definedName>
    <definedName name="vpa703_5_5_b_4">'Verification Report'!$AM$1313</definedName>
    <definedName name="vpa703_5_5_b_5">'Verification Report'!$AM$1314</definedName>
    <definedName name="vpa703_6_1_1">'Verification Report'!$AM$1318</definedName>
    <definedName name="vpa703_6_1_2">'Verification Report'!$AM$1320</definedName>
    <definedName name="vpa703_6_1_3">'Verification Report'!$AM$1322</definedName>
    <definedName name="vpa703_6_2__1">'Verification Report'!$AM$1325</definedName>
    <definedName name="vpa703_6_2__2">'Verification Report'!$AM$1326</definedName>
    <definedName name="vpa703_6_2__3">'Verification Report'!$AM$1327</definedName>
    <definedName name="vpa703_7_1">'Verification Report'!$AM$1330</definedName>
    <definedName name="vpa703_7_2">'Verification Report'!$AM$1357</definedName>
    <definedName name="vpa703_7_3_1">'Verification Report'!$AM$1361</definedName>
    <definedName name="vpa703_7_3_2">'Verification Report'!$AM$1362</definedName>
    <definedName name="vpa703_7_4">'Verification Report'!$AM$1387</definedName>
    <definedName name="vpa705_2_1_1_1">'Verification Report'!$AM$1429</definedName>
    <definedName name="vpa705_2_1_1_2">'Verification Report'!$AM$1430</definedName>
    <definedName name="vpa705_2_1_2">'Verification Report'!$AM$1431</definedName>
    <definedName name="vpa705_2_1_3_1_a">'Verification Report'!$AM$1436</definedName>
    <definedName name="vpa705_2_1_3_1_b">'Verification Report'!$AM$1437</definedName>
    <definedName name="vpa705_2_1_3_2_a">'Verification Report'!$AM$1441</definedName>
    <definedName name="vpa705_2_1_3_2_b">'Verification Report'!$AM$1442</definedName>
    <definedName name="vpa705_2_1_4_1">'Verification Report'!$AM$1446</definedName>
    <definedName name="vpa705_2_1_4_2">'Verification Report'!$AM$1447</definedName>
    <definedName name="vpa705_2_2">'Verification Report'!$AM$1448</definedName>
    <definedName name="vpa705_2_3">'Verification Report'!$AM$1451</definedName>
    <definedName name="vpa705_2_4">'Verification Report'!$AM$1453</definedName>
    <definedName name="vpa705_3">'Verification Report'!$AM$1456</definedName>
    <definedName name="vpa705_4">'Verification Report'!$AM$1457</definedName>
    <definedName name="vpa705_5_1_1">'Verification Report'!$AM$1462</definedName>
    <definedName name="vpa705_5_1_2">'Verification Report'!$AM$1465</definedName>
    <definedName name="vpa705_5_2">'Verification Report'!$AM$1467</definedName>
    <definedName name="vpa705_5_3_1">'Verification Report'!$AM$1476</definedName>
    <definedName name="vpa705_5_3_2">'Verification Report'!$AM$1478</definedName>
    <definedName name="vpa705_6_1">'Verification Report'!$AM$1480</definedName>
    <definedName name="vpa705_6_2_1_1_1">'Verification Report'!$AM$1493</definedName>
    <definedName name="vpa705_6_2_1_2">'Verification Report'!$AM$1496</definedName>
    <definedName name="vpa705_6_2_2_1">'Verification Report'!$AM$1502</definedName>
    <definedName name="vpa705_6_2_2_2">'Verification Report'!$AM$1504</definedName>
    <definedName name="vpa705_6_2_3_1">'Verification Report'!$AM$1510</definedName>
    <definedName name="vpa705_6_2_3_2">'Verification Report'!$AM$1511</definedName>
    <definedName name="vpa705_6_3">'Verification Report'!$AM$1513</definedName>
    <definedName name="vpa705_6_4_1">'Verification Report'!$AM$1525</definedName>
    <definedName name="vpa705_6_4_2">'Verification Report'!$AM$1527</definedName>
    <definedName name="vpa705_7">'Verification Report'!$AM$1529</definedName>
    <definedName name="vpa706_1">'Verification Report'!$AM$1534</definedName>
    <definedName name="vpa706_1_1">'Verification Report'!$AM$1536</definedName>
    <definedName name="vpa706_1_2">'Verification Report'!$AM$1537</definedName>
    <definedName name="vpa706_1_3">'Verification Report'!$AM$1538</definedName>
    <definedName name="vpa706_1_4">'Verification Report'!$AM$1539</definedName>
    <definedName name="vpa706_1_5">'Verification Report'!$AM$1541</definedName>
    <definedName name="vpa706_10">'Verification Report'!$AM$1611</definedName>
    <definedName name="vpa706_11">'Verification Report'!$AM$1616</definedName>
    <definedName name="vpa706_12">'Verification Report'!$AM$1618</definedName>
    <definedName name="vpa706_13_1">'Verification Report'!$AM$1624</definedName>
    <definedName name="vpa706_13_2">'Verification Report'!$AM$1625</definedName>
    <definedName name="vpa706_14_1">'Verification Report'!$AM$1627</definedName>
    <definedName name="vpa706_14_2">'Verification Report'!$AM$1631</definedName>
    <definedName name="vpa706_15_1">'Verification Report'!$AM$1636</definedName>
    <definedName name="vpa706_15_2">'Verification Report'!$AM$1637</definedName>
    <definedName name="vpa706_2_1">'Verification Report'!$AM$1544</definedName>
    <definedName name="vpa706_2_2_a">'Verification Report'!$AM$1552</definedName>
    <definedName name="vpa706_2_2_b">'Verification Report'!$AM$1554</definedName>
    <definedName name="vpa706_3_a">'Verification Report'!$AM$1558</definedName>
    <definedName name="vpa706_3_b">'Verification Report'!$AM$1559</definedName>
    <definedName name="vpa706_4_1_1">'Verification Report'!$AM$1574</definedName>
    <definedName name="vpa706_4_1_2">'Verification Report'!$AM$1576</definedName>
    <definedName name="vpa706_4_2">'Verification Report'!$AM$1578</definedName>
    <definedName name="vpa706_5_1">'Verification Report'!$AM$1581</definedName>
    <definedName name="vpa706_5_2">'Verification Report'!$AM$1583</definedName>
    <definedName name="vpa706_5_3">'Verification Report'!$AM$1585</definedName>
    <definedName name="vpa706_6">'Verification Report'!$AM$1595</definedName>
    <definedName name="vpa706_7_1">'Verification Report'!$AM$1599</definedName>
    <definedName name="vpa706_7_2">'Verification Report'!$AM$1600</definedName>
    <definedName name="vpa706_8">'Verification Report'!$AM$1603</definedName>
    <definedName name="vpa706_9">'Verification Report'!$AM$1606</definedName>
    <definedName name="vpa802_1_1">'Verification Report'!$AM$1663</definedName>
    <definedName name="vpa802_1_2">'Verification Report'!$AM$1665</definedName>
    <definedName name="vpa802_1_3">'Verification Report'!$AM$1667</definedName>
    <definedName name="vpa802_1_4">'Verification Report'!$AM$1669</definedName>
    <definedName name="vpa802_1_4_a">'Verification Report'!$AM$1672</definedName>
    <definedName name="vpa802_1_5">'Verification Report'!$AM$1674</definedName>
    <definedName name="vpa802_1_6">'Verification Report'!$AM$1679</definedName>
    <definedName name="vpa802_10_1">'Verification Report'!$AM$1837</definedName>
    <definedName name="vpa802_10_1_1">'Verification Report'!$AM$1840</definedName>
    <definedName name="vpa802_2_1">'Verification Report'!$AM$1684</definedName>
    <definedName name="vpa802_2_2">'Verification Report'!$AM$1685</definedName>
    <definedName name="vpa802_2_3">'Verification Report'!$AM$1686</definedName>
    <definedName name="vpa802_3_1_a">'Verification Report'!$AM$1693</definedName>
    <definedName name="vpa802_3_1_b">'Verification Report'!$AM$1695</definedName>
    <definedName name="vpa802_3_2_a">'Verification Report'!$AM$1702</definedName>
    <definedName name="vpa802_3_2_b">'Verification Report'!$AM$1704</definedName>
    <definedName name="vpa802_4_1">'Verification Report'!$AM$1709</definedName>
    <definedName name="vpa802_4_1_1">'Verification Report'!$AM$1711</definedName>
    <definedName name="vpa802_4_1_2">'Verification Report'!$AM$1718</definedName>
    <definedName name="vpa802_4_2_a">'Verification Report'!$AM$1724</definedName>
    <definedName name="vpa802_4_2_b">'Verification Report'!$AM$1725</definedName>
    <definedName name="vpa802_4_3">'Verification Report'!$AM$1726</definedName>
    <definedName name="vpa802_5_1_1">'Verification Report'!$AM$1732</definedName>
    <definedName name="vpa802_5_1_2">'Verification Report'!$AM$1736</definedName>
    <definedName name="vpa802_5_1_3">'Verification Report'!$AM$1737</definedName>
    <definedName name="vpa802_5_1_4">'Verification Report'!$AM$1738</definedName>
    <definedName name="vpa802_5_1_5">'Verification Report'!$AM$1740</definedName>
    <definedName name="vpa802_5_2_1">'Verification Report'!$AM$1744</definedName>
    <definedName name="vpa802_5_2_2">'Verification Report'!$AM$1745</definedName>
    <definedName name="vpa802_5_3">'Verification Report'!$AM$1746</definedName>
    <definedName name="vpa802_5_4_2">'Verification Report'!$AM$1753</definedName>
    <definedName name="vpa802_5_4_3">'Verification Report'!$AM$1760</definedName>
    <definedName name="vpa802_5_4_4_a">'Verification Report'!$AM$1763</definedName>
    <definedName name="vpa802_5_4_4_b">'Verification Report'!$AM$1767</definedName>
    <definedName name="vpa802_5_4_4_c">'Verification Report'!$AM$1769</definedName>
    <definedName name="vpa802_6_1">'Verification Report'!$AM$1772</definedName>
    <definedName name="vpa802_6_2">'Verification Report'!$AM$1774</definedName>
    <definedName name="vpa802_6_3_1">'Verification Report'!$AM$1778</definedName>
    <definedName name="vpa802_6_3_2">'Verification Report'!$AM$1779</definedName>
    <definedName name="vpa802_6_3_3">'Verification Report'!$AM$1780</definedName>
    <definedName name="vpa802_6_4_1">'Verification Report'!$AM$1785</definedName>
    <definedName name="vpa802_6_4_2">'Verification Report'!$AM$1787</definedName>
    <definedName name="vpa802_6_5_1">'Verification Report'!$AM$1793</definedName>
    <definedName name="vpa802_6_5_2">'Verification Report'!$AM$1795</definedName>
    <definedName name="vpa802_6_5_3">'Verification Report'!$AM$1797</definedName>
    <definedName name="vpa802_6_5_4">'Verification Report'!$AM$1798</definedName>
    <definedName name="vpa802_6_5_5">'Verification Report'!$AM$1800</definedName>
    <definedName name="vpa802_7_1_1">'Verification Report'!$AM$1805</definedName>
    <definedName name="vpa802_7_1_2_a">'Verification Report'!$AM$1808</definedName>
    <definedName name="vpa802_7_1_2_b">'Verification Report'!$AM$1809</definedName>
    <definedName name="vpa802_7_1_2_c">'Verification Report'!$AM$1810</definedName>
    <definedName name="vpa802_7_1_2_d">'Verification Report'!$AM$1812</definedName>
    <definedName name="vpa802_7_2_1">'Verification Report'!$AM$1818</definedName>
    <definedName name="vpa802_7_2_2">'Verification Report'!$AM$1820</definedName>
    <definedName name="vpa802_8">'Verification Report'!$AM$1821</definedName>
    <definedName name="vpa802_9_1_1">'Verification Report'!$AM$1830</definedName>
    <definedName name="vpa802_9_1_2">'Verification Report'!$AM$1831</definedName>
    <definedName name="vpa802_9_2_1">'Verification Report'!$AM$1834</definedName>
    <definedName name="vpa802_9_2_2">'Verification Report'!$AM$1835</definedName>
    <definedName name="vpa803_1_1">'Verification Report'!$AM$1846</definedName>
    <definedName name="vpa803_1_2">'Verification Report'!$AM$1848</definedName>
    <definedName name="vpa803_2">'Verification Report'!$AM$1849</definedName>
    <definedName name="vpa803_3">'Verification Report'!$AM$1852</definedName>
    <definedName name="vpa803_4">'Verification Report'!$AM$1857</definedName>
    <definedName name="vpa803_5">'Verification Report'!$AM$1860</definedName>
    <definedName name="vpa803_6">'Verification Report'!$AM$1862</definedName>
    <definedName name="vpa901_1_1">'Verification Report'!$AM$1878</definedName>
    <definedName name="vpa901_1_2">'Verification Report'!$AM$1884</definedName>
    <definedName name="vpa901_1_3_1_a">'Verification Report'!$AM$1890</definedName>
    <definedName name="vpa901_1_3_1_b">'Verification Report'!$AM$1891</definedName>
    <definedName name="vpa901_1_3_2_a">'Verification Report'!$AM$1893</definedName>
    <definedName name="vpa901_1_3_2_b">'Verification Report'!$AM$1894</definedName>
    <definedName name="vpa901_1_4">'Verification Report'!$AM$1895</definedName>
    <definedName name="vpa901_1_5">'Verification Report'!$AM$1900</definedName>
    <definedName name="vpa901_1_6_1">'Verification Report'!$AM$1904</definedName>
    <definedName name="vpa901_1_6_2">'Verification Report'!$AM$1905</definedName>
    <definedName name="vpa901_10_1">'Verification Report'!$AM$2015</definedName>
    <definedName name="vpa901_10_2">'Verification Report'!$AM$2020</definedName>
    <definedName name="vpa901_10_3">'Verification Report'!$AM$2021</definedName>
    <definedName name="vpa901_11">'Verification Report'!$AM$2025</definedName>
    <definedName name="vpa901_12">'Verification Report'!$AM$2030</definedName>
    <definedName name="vpa901_13">'Verification Report'!$AM$2034</definedName>
    <definedName name="vpa901_14_1">'Verification Report'!$AM$2038</definedName>
    <definedName name="vpa901_14_2">'Verification Report'!$AM$2039</definedName>
    <definedName name="vpa901_15_1">'Verification Report'!$AM$2042</definedName>
    <definedName name="vpa901_15_2">'Verification Report'!$AM$2044</definedName>
    <definedName name="vpa901_2_1_1">'Verification Report'!$AM$1910</definedName>
    <definedName name="vpa901_2_1_1_m">'Verification Report'!$AM$1909</definedName>
    <definedName name="vpa901_2_1_2">'Verification Report'!$AM$1913</definedName>
    <definedName name="vpa901_2_1_2_m">'Verification Report'!$AM$1912</definedName>
    <definedName name="vpa901_2_1_3">'Verification Report'!$AM$1915</definedName>
    <definedName name="vpa901_2_1_3_m">'Verification Report'!$AM$1914</definedName>
    <definedName name="vpa901_2_1_4">'Verification Report'!$AM$1918</definedName>
    <definedName name="vpa901_2_1_4_m">'Verification Report'!$AM$1917</definedName>
    <definedName name="vpa901_2_1_5">'Verification Report'!$AM$1920</definedName>
    <definedName name="vpa901_2_1_5_m">'Verification Report'!$AM$1919</definedName>
    <definedName name="vpa901_2_2">'Verification Report'!$AM$1921</definedName>
    <definedName name="vpa901_3_1_a">'Verification Report'!$AM$1925</definedName>
    <definedName name="vpa901_3_1_a_m">'Verification Report'!$AM$1924</definedName>
    <definedName name="vpa901_3_1_b">'Verification Report'!$AM$1927</definedName>
    <definedName name="vpa901_3_1_b_m">'Verification Report'!$AM$1926</definedName>
    <definedName name="vpa901_3_1_c">'Verification Report'!$AM$1928</definedName>
    <definedName name="vpa901_3_2">'Verification Report'!$AM$1934</definedName>
    <definedName name="vpa901_4">'Verification Report'!$AM$1935</definedName>
    <definedName name="vpa901_4_1">'Verification Report'!$AM$1938</definedName>
    <definedName name="vpa901_4_2">'Verification Report'!$AM$1947</definedName>
    <definedName name="vpa901_4_3">'Verification Report'!$AM$1949</definedName>
    <definedName name="vpa901_4_4">'Verification Report'!$AM$1950</definedName>
    <definedName name="vpa901_4_5">'Verification Report'!$AM$1951</definedName>
    <definedName name="vpa901_4_6">'Verification Report'!$AM$1953</definedName>
    <definedName name="vpa901_5_1">'Verification Report'!$AM$1957</definedName>
    <definedName name="vpa901_5_2">'Verification Report'!$AM$1959</definedName>
    <definedName name="vpa901_6">'Verification Report'!$AM$1962</definedName>
    <definedName name="vpa901_7">'Verification Report'!$AM$1964</definedName>
    <definedName name="vpa901_8">'Verification Report'!$AM$1985</definedName>
    <definedName name="vpa901_9_1">'Verification Report'!$AM$1994</definedName>
    <definedName name="vpa901_9_2">'Verification Report'!$AM$2001</definedName>
    <definedName name="vpa901_9_3">'Verification Report'!$AM$2006</definedName>
    <definedName name="vpa902_1_1">'Verification Report'!$AM$2050</definedName>
    <definedName name="vpa902_1_1_a">'Verification Report'!$AM$2052</definedName>
    <definedName name="vpa902_1_2">'Verification Report'!$AM$2054</definedName>
    <definedName name="vpa902_1_2_">'Verification Report'!$AM$2059</definedName>
    <definedName name="vpa902_1_2_1">'Verification Report'!$AM$2061</definedName>
    <definedName name="vpa902_1_2_2">'Verification Report'!$AM$2062</definedName>
    <definedName name="vpa902_1_3">'Verification Report'!$AM$2056</definedName>
    <definedName name="vpa902_1_3_">'Verification Report'!$AM$2063</definedName>
    <definedName name="vpa902_1_4">'Verification Report'!$AM$2067</definedName>
    <definedName name="vpa902_1_4_1">'Verification Report'!$AM$2068</definedName>
    <definedName name="vpa902_1_4_2">'Verification Report'!$AM$2070</definedName>
    <definedName name="vpa902_1_5">'Verification Report'!$AM$2072</definedName>
    <definedName name="vpa902_1_6">'Verification Report'!$AM$2081</definedName>
    <definedName name="vpa902_2_1">'Verification Report'!$AM$2085</definedName>
    <definedName name="vpa902_2_1_1">'Verification Report'!$AM$2089</definedName>
    <definedName name="vpa902_2_1_2">'Verification Report'!$AM$2091</definedName>
    <definedName name="vpa902_2_1_3">'Verification Report'!$AM$2093</definedName>
    <definedName name="vpa902_2_1_4">'Verification Report'!$AM$2094</definedName>
    <definedName name="vpa902_2_1_5">'Verification Report'!$AM$2095</definedName>
    <definedName name="vpa902_2_2">'Verification Report'!$AM$2096</definedName>
    <definedName name="vpa902_2_3">'Verification Report'!$AM$2098</definedName>
    <definedName name="vpa902_2_4">'Verification Report'!$AM$2101</definedName>
    <definedName name="vpa902_3">'Verification Report'!$AM$2104</definedName>
    <definedName name="vpa902_3_1_a">'Verification Report'!$AM$2108</definedName>
    <definedName name="vpa902_3_1_b">'Verification Report'!$AM$2109</definedName>
    <definedName name="vpa902_3_2">'Verification Report'!$AM$2150</definedName>
    <definedName name="vpa902_3_2_1">'Verification Report'!$AM$2154</definedName>
    <definedName name="vpa902_3_2_2">'Verification Report'!$AM$2176</definedName>
    <definedName name="vpa902_3_2_a">'Verification Report'!$AM$2111</definedName>
    <definedName name="vpa902_3_2_b">'Verification Report'!$AM$2112</definedName>
    <definedName name="vpa902_4">'Verification Report'!$AM$2178</definedName>
    <definedName name="vpa902_5">'Verification Report'!$AM$2188</definedName>
    <definedName name="vpa902_6">'Verification Report'!$AM$2190</definedName>
    <definedName name="vpa903_1_1_1">'Verification Report'!$AM$2195</definedName>
    <definedName name="vpa903_1_2_2">'Verification Report'!$AM$2197</definedName>
    <definedName name="vpa903_2_1">'Verification Report'!$AM$2199</definedName>
    <definedName name="vpa903_2_2">'Verification Report'!$AM$2200</definedName>
    <definedName name="vpa903_3">'Verification Report'!$AM$2202</definedName>
    <definedName name="vpa904_1">'Verification Report'!$AM$2210</definedName>
    <definedName name="vpa904_2">'Verification Report'!$AM$2215</definedName>
    <definedName name="vpa904_3_1">'Verification Report'!$AM$2220</definedName>
    <definedName name="vpa904_3_2">'Verification Report'!$AM$2228</definedName>
    <definedName name="vpa905_1">'Verification Report'!$AM$2232</definedName>
    <definedName name="vpa905_2">'Verification Report'!$AM$2237</definedName>
    <definedName name="vpa905_3">'Verification Report'!$AM$2239</definedName>
    <definedName name="vpa905_4">'Verification Report'!$AM$2243</definedName>
    <definedName name="vpa905_5">'Verification Report'!$AM$2248</definedName>
    <definedName name="vpa905_6">'Verification Report'!$AM$2248</definedName>
    <definedName name="vpc1001_1">'Verification Report'!$AO$2255</definedName>
    <definedName name="vpc1001_2">'Verification Report'!$AO$2303</definedName>
    <definedName name="vpc1002_1">'Verification Report'!$AO$2322</definedName>
    <definedName name="vpc1002_2">'Verification Report'!$AO$2340</definedName>
    <definedName name="vpc1002_3">'Verification Report'!$AO$2367</definedName>
    <definedName name="vpc1002_4">'Verification Report'!$AO$2395</definedName>
    <definedName name="vpc1002_5">'Verification Report'!$AO$2408</definedName>
    <definedName name="vpc1002_6">'Verification Report'!$AO$2420</definedName>
    <definedName name="vpc1003_1">'Verification Report'!$AO$2435</definedName>
    <definedName name="vpc1004_1_1">'Verification Report'!$AO$2454</definedName>
    <definedName name="vpc1004_1_2">'Verification Report'!$AO$2456</definedName>
    <definedName name="vpc1005_1_1">'Verification Report'!$AO$2460</definedName>
    <definedName name="vpc1005_1_2">'Verification Report'!$AO$2463</definedName>
    <definedName name="vpc1005_1_3">'Verification Report'!$AO$2467</definedName>
    <definedName name="vpc501_1">'Verification Report'!$AO$13</definedName>
    <definedName name="vpc501_2_1">'Verification Report'!$AO$21</definedName>
    <definedName name="vpc501_2_2">'Verification Report'!$AO$23</definedName>
    <definedName name="vpc501_2_3">'Verification Report'!$AO$25</definedName>
    <definedName name="vpc501_2_4">'Verification Report'!$AO$27</definedName>
    <definedName name="vpc501_2_4_1">'Verification Report'!$AO$37</definedName>
    <definedName name="vpc501_2_5">'Verification Report'!$AO$42</definedName>
    <definedName name="vpc501_2_6">'Verification Report'!$AO$45</definedName>
    <definedName name="vpc501_2_6_d">'Verification Report'!$AO$50</definedName>
    <definedName name="vpc501_2_7">'Verification Report'!$AO$52</definedName>
    <definedName name="vpc501_2_8">'Verification Report'!$AO$55</definedName>
    <definedName name="vpc502_1">'Verification Report'!$AO$58</definedName>
    <definedName name="vpc503_1_1">'Verification Report'!$AO$69</definedName>
    <definedName name="vpc503_1_2">'Verification Report'!$AO$71</definedName>
    <definedName name="vpc503_1_3">'Verification Report'!$AO$73</definedName>
    <definedName name="vpc503_1_4">'Verification Report'!$AO$75</definedName>
    <definedName name="vpc503_1_5">'Verification Report'!$AO$77</definedName>
    <definedName name="vpc503_1_6">'Verification Report'!$AO$79</definedName>
    <definedName name="vpc503_1_7">'Verification Report'!$AO$81</definedName>
    <definedName name="vpc503_1_8">'Verification Report'!$AO$83</definedName>
    <definedName name="vpc503_2_1">'Verification Report'!$AO$90</definedName>
    <definedName name="vpc503_2_2">'Verification Report'!$AO$91</definedName>
    <definedName name="vpc503_2_3">'Verification Report'!$AO$93</definedName>
    <definedName name="vpc503_2_4">'Verification Report'!$AO$98</definedName>
    <definedName name="vpc503_2_5">'Verification Report'!$AO$100</definedName>
    <definedName name="vpc503_3_1">'Verification Report'!$AO$104</definedName>
    <definedName name="vpc503_3_2">'Verification Report'!$AO$106</definedName>
    <definedName name="vpc503_3_3">'Verification Report'!$AO$113</definedName>
    <definedName name="vpc503_4_1">'Verification Report'!$AO$121</definedName>
    <definedName name="vpc503_4_2">'Verification Report'!$AO$124</definedName>
    <definedName name="vpc503_4_3">'Verification Report'!$AO$128</definedName>
    <definedName name="vpc503_4_4">'Verification Report'!$AO$135</definedName>
    <definedName name="vpc503_4_4_c_1">'Verification Report'!$AO$140</definedName>
    <definedName name="vpc503_4_5">'Verification Report'!$AO$142</definedName>
    <definedName name="vpc503_5_1">'Verification Report'!$AO$149</definedName>
    <definedName name="vpc503_5_10">'Verification Report'!$AO$178</definedName>
    <definedName name="vpc503_5_11">'Verification Report'!$AO$181</definedName>
    <definedName name="vpc503_5_12">'Verification Report'!$AO$183</definedName>
    <definedName name="vpc503_5_13">'Verification Report'!$AO$185</definedName>
    <definedName name="vpc503_5_2">'Verification Report'!$AO$155</definedName>
    <definedName name="vpc503_5_3">'Verification Report'!$AO$157</definedName>
    <definedName name="vpc503_5_4">'Verification Report'!$AO$160</definedName>
    <definedName name="vpc503_5_5">'Verification Report'!$AO$162</definedName>
    <definedName name="vpc503_5_6">'Verification Report'!$AO$165</definedName>
    <definedName name="vpc503_5_7">'Verification Report'!$AO$170</definedName>
    <definedName name="vpc503_5_8">'Verification Report'!$AO$171</definedName>
    <definedName name="vpc503_5_9">'Verification Report'!$AO$176</definedName>
    <definedName name="vpc503_6">'Verification Report'!$AO$187</definedName>
    <definedName name="vpc503_7">'Verification Report'!$AO$194</definedName>
    <definedName name="vpc503_8">'Verification Report'!$AO$200</definedName>
    <definedName name="vpc504_1">'Verification Report'!$AO$208</definedName>
    <definedName name="vpc504_2_1">'Verification Report'!$AO$215</definedName>
    <definedName name="vpc504_2_2">'Verification Report'!$AO$216</definedName>
    <definedName name="vpc504_2_3">'Verification Report'!$AO$218</definedName>
    <definedName name="vpc504_3_1">'Verification Report'!$AO$223</definedName>
    <definedName name="vpc504_3_2">'Verification Report'!$AO$225</definedName>
    <definedName name="vpc504_3_3">'Verification Report'!$AO$226</definedName>
    <definedName name="vpc504_3_4">'Verification Report'!$AO$228</definedName>
    <definedName name="vpc504_3_5">'Verification Report'!$AO$230</definedName>
    <definedName name="vpc504_3_6">'Verification Report'!$AO$234</definedName>
    <definedName name="vpc504_3_7">'Verification Report'!$AO$237</definedName>
    <definedName name="vpc504_3_8">'Verification Report'!$AO$238</definedName>
    <definedName name="vpc504_3_9">'Verification Report'!$AO$246</definedName>
    <definedName name="vpc505_1_1">'Verification Report'!$AO$253</definedName>
    <definedName name="vpc505_1_2">'Verification Report'!$AO$255</definedName>
    <definedName name="vpc505_1_3">'Verification Report'!$AO$257</definedName>
    <definedName name="vpc505_10_a">'Verification Report'!$AO$321</definedName>
    <definedName name="vpc505_10_b">'Verification Report'!$AO$323</definedName>
    <definedName name="vpc505_10_c">'Verification Report'!$AO$325</definedName>
    <definedName name="vpc505_2_1">'Verification Report'!$AO$262</definedName>
    <definedName name="vpc505_2_2">'Verification Report'!$AO$272</definedName>
    <definedName name="vpc505_3">'Verification Report'!$AO$275</definedName>
    <definedName name="vpc505_4_1">'Verification Report'!$AO$282</definedName>
    <definedName name="vpc505_5_a">'Verification Report'!$AO$286</definedName>
    <definedName name="vpc505_5_b">'Verification Report'!$AO$288</definedName>
    <definedName name="vpc505_5_c">'Verification Report'!$AO$291</definedName>
    <definedName name="vpc505_5_d">'Verification Report'!$AO$292</definedName>
    <definedName name="vpc505_6">'Verification Report'!$AO$293</definedName>
    <definedName name="vpc505_7">'Verification Report'!$AO$305</definedName>
    <definedName name="vpc505_8">'Verification Report'!$AO$309</definedName>
    <definedName name="vpc505_9_a">'Verification Report'!$AO$312</definedName>
    <definedName name="vpc505_9_b">'Verification Report'!$AO$315</definedName>
    <definedName name="vpc505_9_c">'Verification Report'!$AO$316</definedName>
    <definedName name="vpc601_1">'Verification Report'!$AO$331</definedName>
    <definedName name="vpc601_2_1">'Verification Report'!$AO$349</definedName>
    <definedName name="vpc601_2_2">'Verification Report'!$AO$352</definedName>
    <definedName name="vpc601_2_3">'Verification Report'!$AO$355</definedName>
    <definedName name="vpc601_3_1">'Verification Report'!$AO$359</definedName>
    <definedName name="vpc601_3_2">'Verification Report'!$AO$360</definedName>
    <definedName name="vpc601_3_3">'Verification Report'!$AO$361</definedName>
    <definedName name="vpc601_3_4">'Verification Report'!$AO$362</definedName>
    <definedName name="vpc601_3_5">'Verification Report'!$AO$363</definedName>
    <definedName name="vpc601_4">'Verification Report'!$AO$364</definedName>
    <definedName name="vpc601_5_1">'Verification Report'!$AO$370</definedName>
    <definedName name="vpc601_5_2">'Verification Report'!$AO$371</definedName>
    <definedName name="vpc601_5_3">'Verification Report'!$AO$372</definedName>
    <definedName name="vpc601_5_4">'Verification Report'!$AO$373</definedName>
    <definedName name="vpc601_5_5">'Verification Report'!$AO$374</definedName>
    <definedName name="vpc601_6">'Verification Report'!$AO$375</definedName>
    <definedName name="vpc601_7">'Verification Report'!$AO$380</definedName>
    <definedName name="vpc601_8">'Verification Report'!$AO$398</definedName>
    <definedName name="vpc602_1_1_2">'Verification Report'!$AO$414</definedName>
    <definedName name="vpc602_1_10">'Verification Report'!$AO$510</definedName>
    <definedName name="vpc602_1_12">'Verification Report'!$AO$525</definedName>
    <definedName name="vpc602_1_14_1">'Verification Report'!$AO$534</definedName>
    <definedName name="vpc602_1_14_2">'Verification Report'!$AO$536</definedName>
    <definedName name="vpc602_1_14_3">'Verification Report'!$AO$537</definedName>
    <definedName name="vpc602_1_15">'Verification Report'!$AO$538</definedName>
    <definedName name="vpc602_1_2">'Verification Report'!$AO$416</definedName>
    <definedName name="vpc602_1_3_2">'Verification Report'!$AO$423</definedName>
    <definedName name="vpc602_1_4_1_1">'Verification Report'!$AO$429</definedName>
    <definedName name="vpc602_1_4_2_1">'Verification Report'!$AO$435</definedName>
    <definedName name="vpc602_1_5_1">'Verification Report'!$AO$441</definedName>
    <definedName name="vpc602_1_5_2">'Verification Report'!$AO$443</definedName>
    <definedName name="vpc602_1_6_1">'Verification Report'!$AO$449</definedName>
    <definedName name="vpc602_1_6_2">'Verification Report'!$AO$453</definedName>
    <definedName name="vpc602_1_6_3">'Verification Report'!$AO$457</definedName>
    <definedName name="vpc602_1_7_1_1">'Verification Report'!$AO$462</definedName>
    <definedName name="vpc602_1_7_1_2">'Verification Report'!$AO$464</definedName>
    <definedName name="vpc602_1_7_1_3">'Verification Report'!$AO$467</definedName>
    <definedName name="vpc602_1_7_2">'Verification Report'!$AO$469</definedName>
    <definedName name="vpc602_1_7_3">'Verification Report'!$AO$471</definedName>
    <definedName name="vpc602_1_9_2">'Verification Report'!$AO$493</definedName>
    <definedName name="vpc602_1_9_3">'Verification Report'!$AO$496</definedName>
    <definedName name="vpc602_1_9_4">'Verification Report'!$AO$497</definedName>
    <definedName name="vpc602_1_9_5">'Verification Report'!$AO$501</definedName>
    <definedName name="vpc602_1_9_6">'Verification Report'!$AO$507</definedName>
    <definedName name="vpc602_1_9_7">'Verification Report'!$AO$509</definedName>
    <definedName name="vpc602_2">'Verification Report'!$AO$541</definedName>
    <definedName name="vpc602_3">'Verification Report'!$AO$551</definedName>
    <definedName name="vpc602_4_2">'Verification Report'!$AO$560</definedName>
    <definedName name="vpc602_4_3">'Verification Report'!$AO$562</definedName>
    <definedName name="vpc603_1">'Verification Report'!$AO$566</definedName>
    <definedName name="vpc603_2">'Verification Report'!$AO$572</definedName>
    <definedName name="vpc603_3">'Verification Report'!$AO$579</definedName>
    <definedName name="vpc604_1a">'Verification Report'!$AO$583</definedName>
    <definedName name="vpc605_2">'Verification Report'!$AO$596</definedName>
    <definedName name="vpc605_3">'Verification Report'!$AO$611</definedName>
    <definedName name="vpc605_4">'Verification Report'!$AO$620</definedName>
    <definedName name="vpc606_1">'Verification Report'!$AO$636</definedName>
    <definedName name="vpc606_2_1a">'Verification Report'!$AO$668</definedName>
    <definedName name="vpc606_2_2a">'Verification Report'!$AO$671</definedName>
    <definedName name="vpc606_3">'Verification Report'!$AO$674</definedName>
    <definedName name="vpc607_1_1">'Verification Report'!$AO$683</definedName>
    <definedName name="vpc607_1_2">'Verification Report'!$AO$688</definedName>
    <definedName name="vpc607_2">'Verification Report'!$AO$694</definedName>
    <definedName name="vpc608_1">'Verification Report'!$AO$697</definedName>
    <definedName name="vpc609_1">'Verification Report'!$AO$706</definedName>
    <definedName name="vpc610_1_1_1">'Verification Report'!$AO$727</definedName>
    <definedName name="vpc610_1_1_2">'Verification Report'!$AO$736</definedName>
    <definedName name="vpc610_1_1_3">'Verification Report'!$AO$744</definedName>
    <definedName name="vpc610_1_2">'Verification Report'!$AO$746</definedName>
    <definedName name="vpc611_1">'Verification Report'!$AO$790</definedName>
    <definedName name="vpc612_1">'Verification Report'!$AO$813</definedName>
    <definedName name="vpc612_2">'Verification Report'!$AO$821</definedName>
    <definedName name="vpc612_3">'Verification Report'!$AO$837</definedName>
    <definedName name="vpc613_1">'Verification Report'!$AO$864</definedName>
    <definedName name="vpc701_1_4">'Verification Report'!$AO$897</definedName>
    <definedName name="vpc702_2_2">'Verification Report'!$AO$1053</definedName>
    <definedName name="vpc703_1">'Verification Report'!$AO$1065</definedName>
    <definedName name="vpc703_2_1">'Verification Report'!$AO$1090</definedName>
    <definedName name="vpc703_2_2">'Verification Report'!$AO$1097</definedName>
    <definedName name="vpc703_2_3">'Verification Report'!$AO$1099</definedName>
    <definedName name="vpc703_2_4">'Verification Report'!$AO$1102</definedName>
    <definedName name="vpc703_2_5_2">'Verification Report'!$AO$1122</definedName>
    <definedName name="vpc703_3_1">'Verification Report'!$AO$1154</definedName>
    <definedName name="vpc703_3_2__1">'Verification Report'!$AO$1160</definedName>
    <definedName name="vpc703_3_2__2">'Verification Report'!$AO$1166</definedName>
    <definedName name="vpc703_3_2__3">'Verification Report'!$AO$1169</definedName>
    <definedName name="vpc703_3_2__4">'Verification Report'!$AO$1174</definedName>
    <definedName name="vpc703_3_3__1">'Verification Report'!$AO$1180</definedName>
    <definedName name="vpc703_3_3__2">'Verification Report'!$AO$1186</definedName>
    <definedName name="vpc703_3_3__3">'Verification Report'!$AO$1188</definedName>
    <definedName name="vpc703_3_4_1">'Verification Report'!$AO$1192</definedName>
    <definedName name="vpc703_3_4_1_6">'Verification Report'!$AO$1198</definedName>
    <definedName name="vpc703_3_4_2">'Verification Report'!$AO$1200</definedName>
    <definedName name="vpc703_3_5">'Verification Report'!$AO$1201</definedName>
    <definedName name="vpc703_3_6">'Verification Report'!$AO$1205</definedName>
    <definedName name="vpc703_3_7_1">'Verification Report'!$AO$1211</definedName>
    <definedName name="vpc703_3_8">'Verification Report'!$AO$1218</definedName>
    <definedName name="vpc703_4_1">'Verification Report'!$AO$1224</definedName>
    <definedName name="vpc703_4_2">'Verification Report'!$AO$1226</definedName>
    <definedName name="vpc703_4_3">'Verification Report'!$AO$1228</definedName>
    <definedName name="vpc703_4_4">'Verification Report'!$AO$1234</definedName>
    <definedName name="vpc703_5_1_1_a">'Verification Report'!$AO$1252</definedName>
    <definedName name="vpc703_5_1_1_b">'Verification Report'!$AO$1256</definedName>
    <definedName name="vpc703_5_1_1_d">'Verification Report'!$AO$1261</definedName>
    <definedName name="vpc703_5_1_1_e">'Verification Report'!$AO$1266</definedName>
    <definedName name="vpc703_5_1_2_a">'Verification Report'!$AO$1271</definedName>
    <definedName name="vpc703_5_1_2_b">'Verification Report'!$AO$1280</definedName>
    <definedName name="vpc703_5_1_2_c">'Verification Report'!$AO$1286</definedName>
    <definedName name="vpc703_5_1_2_d">'Verification Report'!$AO$1288</definedName>
    <definedName name="vpc703_5_1_2_e">'Verification Report'!$AO$1290</definedName>
    <definedName name="vpc703_5_1_3">'Verification Report'!$AO$1292</definedName>
    <definedName name="vpc703_5_2">'Verification Report'!$AO$1293</definedName>
    <definedName name="vpc703_5_3">'Verification Report'!$AO$1295</definedName>
    <definedName name="vpc703_5_4">'Verification Report'!$AO$1297</definedName>
    <definedName name="vpc703_5_5_a">'Verification Report'!$AO$1301</definedName>
    <definedName name="vpc703_5_5_b">'Verification Report'!$AO$1308</definedName>
    <definedName name="vpc703_6_1_1">'Verification Report'!$AO$1318</definedName>
    <definedName name="vpc703_6_1_2">'Verification Report'!$AO$1320</definedName>
    <definedName name="vpc703_6_1_3">'Verification Report'!$AO$1322</definedName>
    <definedName name="vpc703_6_2__1">'Verification Report'!$AO$1325</definedName>
    <definedName name="vpc703_6_2__2">'Verification Report'!$AO$1326</definedName>
    <definedName name="vpc703_6_2__3">'Verification Report'!$AO$1327</definedName>
    <definedName name="vpc703_7_1">'Verification Report'!$AO$1330</definedName>
    <definedName name="vpc703_7_2">'Verification Report'!$AO$1357</definedName>
    <definedName name="vpc703_7_3">'Verification Report'!$AO$1359</definedName>
    <definedName name="vpc703_7_4">'Verification Report'!$AO$1387</definedName>
    <definedName name="vpc704_1">'Verification Report'!$AO$1411</definedName>
    <definedName name="vpc705_2_1_1">'Verification Report'!$AO$1427</definedName>
    <definedName name="vpc705_2_1_2">'Verification Report'!$AO$1431</definedName>
    <definedName name="vpc705_2_1_3_1">'Verification Report'!$AO$1434</definedName>
    <definedName name="vpc705_2_1_3_2">'Verification Report'!$AO$1438</definedName>
    <definedName name="vpc705_2_1_4">'Verification Report'!$AO$1443</definedName>
    <definedName name="vpc705_2_2">'Verification Report'!$AO$1448</definedName>
    <definedName name="vpc705_2_3">'Verification Report'!$AO$1451</definedName>
    <definedName name="vpc705_2_4">'Verification Report'!$AO$1453</definedName>
    <definedName name="vpc705_3">'Verification Report'!$AO$1456</definedName>
    <definedName name="vpc705_4">'Verification Report'!$AO$1457</definedName>
    <definedName name="vpc705_5_1_1">'Verification Report'!$AO$1462</definedName>
    <definedName name="vpc705_5_1_2">'Verification Report'!$AO$1465</definedName>
    <definedName name="vpc705_5_2">'Verification Report'!$AO$1467</definedName>
    <definedName name="vpc705_5_3_1">'Verification Report'!$AO$1476</definedName>
    <definedName name="vpc705_5_3_2">'Verification Report'!$AO$1478</definedName>
    <definedName name="vpc705_6_1">'Verification Report'!$AO$1480</definedName>
    <definedName name="vpc705_6_2_1_1_1">'Verification Report'!$AO$1493</definedName>
    <definedName name="vpc705_6_2_1_2">'Verification Report'!$AO$1496</definedName>
    <definedName name="vpc705_6_2_2_1">'Verification Report'!$AO$1502</definedName>
    <definedName name="vpc705_6_2_2_2">'Verification Report'!$AO$1504</definedName>
    <definedName name="vpc705_6_2_3">'Verification Report'!$AO$1507</definedName>
    <definedName name="vpc705_6_3">'Verification Report'!$AO$1513</definedName>
    <definedName name="vpc705_6_4_1">'Verification Report'!$AO$1525</definedName>
    <definedName name="vpc705_6_4_2">'Verification Report'!$AO$1527</definedName>
    <definedName name="vpc705_7">'Verification Report'!$AO$1529</definedName>
    <definedName name="vpc706_1">'Verification Report'!$AO$1534</definedName>
    <definedName name="vpc706_10">'Verification Report'!$AO$1611</definedName>
    <definedName name="vpc706_11">'Verification Report'!$AO$1616</definedName>
    <definedName name="vpc706_12">'Verification Report'!$AO$1618</definedName>
    <definedName name="vpc706_13">'Verification Report'!$AO$1622</definedName>
    <definedName name="vpc706_14_1">'Verification Report'!$AO$1627</definedName>
    <definedName name="vpc706_14_2">'Verification Report'!$AO$1631</definedName>
    <definedName name="vpc706_15_1">'Verification Report'!$AO$1636</definedName>
    <definedName name="vpc706_15_2">'Verification Report'!$AO$1637</definedName>
    <definedName name="vpc706_2_1">'Verification Report'!$AO$1544</definedName>
    <definedName name="vpc706_2_2">'Verification Report'!$AO$1549</definedName>
    <definedName name="vpc706_3">'Verification Report'!$AO$1556</definedName>
    <definedName name="vpc706_4_1_1">'Verification Report'!$AO$1574</definedName>
    <definedName name="vpc706_4_1_2">'Verification Report'!$AO$1576</definedName>
    <definedName name="vpc706_4_2">'Verification Report'!$AO$1578</definedName>
    <definedName name="vpc706_5_1">'Verification Report'!$AO$1581</definedName>
    <definedName name="vpc706_5_2">'Verification Report'!$AO$1583</definedName>
    <definedName name="vpc706_5_3">'Verification Report'!$AO$1585</definedName>
    <definedName name="vpc706_6">'Verification Report'!$AO$1595</definedName>
    <definedName name="vpc706_7_1">'Verification Report'!$AO$1599</definedName>
    <definedName name="vpc706_7_2">'Verification Report'!$AO$1600</definedName>
    <definedName name="vpc706_8">'Verification Report'!$AO$1603</definedName>
    <definedName name="vpc706_9">'Verification Report'!$AO$1606</definedName>
    <definedName name="vpc802_1">'Verification Report'!$AO$1649</definedName>
    <definedName name="vpc802_1_6">'Verification Report'!$AO$1679</definedName>
    <definedName name="vpc802_10_1_1">'Verification Report'!$AO$1840</definedName>
    <definedName name="vpc802_2_1">'Verification Report'!$AO$1684</definedName>
    <definedName name="vpc802_2_2">'Verification Report'!$AO$1685</definedName>
    <definedName name="vpc802_3_1_a">'Verification Report'!$AO$1693</definedName>
    <definedName name="vpc802_3_1_b">'Verification Report'!$AO$1695</definedName>
    <definedName name="vpc802_3_2_a">'Verification Report'!$AO$1702</definedName>
    <definedName name="vpc802_3_2_b">'Verification Report'!$AO$1704</definedName>
    <definedName name="vpc802_4_1">'Verification Report'!$AO$1709</definedName>
    <definedName name="vpc802_4_2">'Verification Report'!$AO$1721</definedName>
    <definedName name="vpc802_4_3">'Verification Report'!$AO$1726</definedName>
    <definedName name="vpc802_5_1a">'Verification Report'!$AO$1729</definedName>
    <definedName name="vpc802_5_2">'Verification Report'!$AO$1741</definedName>
    <definedName name="vpc802_5_3">'Verification Report'!$AO$1746</definedName>
    <definedName name="vpc802_5_4_2">'Verification Report'!$AO$1753</definedName>
    <definedName name="vpc802_5_4_3">'Verification Report'!$AO$1760</definedName>
    <definedName name="vpc802_5_4_4_a">'Verification Report'!$AO$1763</definedName>
    <definedName name="vpc802_5_4_4_b">'Verification Report'!$AO$1767</definedName>
    <definedName name="vpc802_5_4_4_c">'Verification Report'!$AO$1769</definedName>
    <definedName name="vpc802_6_2">'Verification Report'!$AO$1774</definedName>
    <definedName name="vpc802_6_3_1">'Verification Report'!$AO$1778</definedName>
    <definedName name="vpc802_6_3_2">'Verification Report'!$AO$1779</definedName>
    <definedName name="vpc802_6_3_3">'Verification Report'!$AO$1780</definedName>
    <definedName name="vpc802_6_4_1">'Verification Report'!$AO$1785</definedName>
    <definedName name="vpc802_6_4_2">'Verification Report'!$AO$1787</definedName>
    <definedName name="vpc802_6_5_1">'Verification Report'!$AO$1793</definedName>
    <definedName name="vpc802_6_5_2">'Verification Report'!$AO$1795</definedName>
    <definedName name="vpc802_6_5_3">'Verification Report'!$AO$1797</definedName>
    <definedName name="vpc802_6_5_4">'Verification Report'!$AO$1798</definedName>
    <definedName name="vpc802_6_5_5">'Verification Report'!$AO$1800</definedName>
    <definedName name="vpc802_7_1">'Verification Report'!$AO$1804</definedName>
    <definedName name="vpc802_7_2">'Verification Report'!$AO$1815</definedName>
    <definedName name="vpc802_8">'Verification Report'!$AO$1821</definedName>
    <definedName name="vpc802_9_1">'Verification Report'!$AO$1824</definedName>
    <definedName name="vpc802_9_2">'Verification Report'!$AO$1832</definedName>
    <definedName name="vpc803_1">'Verification Report'!$AO$1842</definedName>
    <definedName name="vpc803_2">'Verification Report'!$AO$1849</definedName>
    <definedName name="vpc803_3">'Verification Report'!$AO$1852</definedName>
    <definedName name="vpc803_4">'Verification Report'!$AO$1857</definedName>
    <definedName name="vpc803_5">'Verification Report'!$AO$1860</definedName>
    <definedName name="vpc803_6">'Verification Report'!$AO$1862</definedName>
    <definedName name="vpc804_3">'Verification Report'!$AO$1870</definedName>
    <definedName name="vpc901_1_1">'Verification Report'!$AO$1878</definedName>
    <definedName name="vpc901_1_2">'Verification Report'!$AO$1884</definedName>
    <definedName name="vpc901_1_3_1">'Verification Report'!$AO$1889</definedName>
    <definedName name="vpc901_1_3_2">'Verification Report'!$AO$1892</definedName>
    <definedName name="vpc901_1_5">'Verification Report'!$AO$1900</definedName>
    <definedName name="vpc901_1_6">'Verification Report'!$AO$1903</definedName>
    <definedName name="vpc901_10">'Verification Report'!$AO$2012</definedName>
    <definedName name="vpc901_11">'Verification Report'!$AO$2025</definedName>
    <definedName name="vpc901_12">'Verification Report'!$AO$2030</definedName>
    <definedName name="vpc901_14">'Verification Report'!$AO$2036</definedName>
    <definedName name="vpc901_15_1">'Verification Report'!$AO$2042</definedName>
    <definedName name="vpc901_15_2">'Verification Report'!$AO$2044</definedName>
    <definedName name="vpc901_2_1_1">'Verification Report'!$AO$1909</definedName>
    <definedName name="vpc901_2_1_2">'Verification Report'!$AO$1912</definedName>
    <definedName name="vpc901_2_1_3">'Verification Report'!$AO$1914</definedName>
    <definedName name="vpc901_2_1_4">'Verification Report'!$AO$1917</definedName>
    <definedName name="vpc901_2_1_5">'Verification Report'!$AO$1919</definedName>
    <definedName name="vpc901_2_2">'Verification Report'!$AO$1921</definedName>
    <definedName name="vpc901_3_1_a">'Verification Report'!$AO$1924</definedName>
    <definedName name="vpc901_3_1_b">'Verification Report'!$AO$1926</definedName>
    <definedName name="vpc901_3_1_c">'Verification Report'!$AO$1928</definedName>
    <definedName name="vpc901_3_2">'Verification Report'!$AO$1934</definedName>
    <definedName name="vpc901_4">'Verification Report'!$AO$1935</definedName>
    <definedName name="vpc901_5_1">'Verification Report'!$AO$1957</definedName>
    <definedName name="vpc901_5_2">'Verification Report'!$AO$1959</definedName>
    <definedName name="vpc901_7">'Verification Report'!$AO$1964</definedName>
    <definedName name="vpc901_8">'Verification Report'!$AO$1985</definedName>
    <definedName name="vpc901_9_1">'Verification Report'!$AO$1994</definedName>
    <definedName name="vpc901_9_2">'Verification Report'!$AO$2001</definedName>
    <definedName name="vpc901_9_3">'Verification Report'!$AO$2006</definedName>
    <definedName name="vpc902_1_1_a">'Verification Report'!$AO$2052</definedName>
    <definedName name="vpc902_1_2_">'Verification Report'!$AO$2059</definedName>
    <definedName name="vpc902_1_3">'Verification Report'!$AO$2056</definedName>
    <definedName name="vpc902_1_3_">'Verification Report'!$AO$2063</definedName>
    <definedName name="vpc902_1_4">'Verification Report'!$AO$2067</definedName>
    <definedName name="vpc902_1_5">'Verification Report'!$AO$2072</definedName>
    <definedName name="vpc902_1_6">'Verification Report'!$AO$2081</definedName>
    <definedName name="vpc902_2_1">'Verification Report'!$AO$2085</definedName>
    <definedName name="vpc902_2_2">'Verification Report'!$AO$2096</definedName>
    <definedName name="vpc902_2_3">'Verification Report'!$AO$2098</definedName>
    <definedName name="vpc902_2_4">'Verification Report'!$AO$2101</definedName>
    <definedName name="vpc902_3_1">'Verification Report'!$AO$2107</definedName>
    <definedName name="vpc902_3_2">'Verification Report'!$AO$2110</definedName>
    <definedName name="vpc902_3_2_1">'Verification Report'!$AO$2154</definedName>
    <definedName name="vpc902_3_2_2">'Verification Report'!$AO$2176</definedName>
    <definedName name="vpc902_4">'Verification Report'!$AO$2178</definedName>
    <definedName name="vpc902_5">'Verification Report'!$AO$2188</definedName>
    <definedName name="vpc903_1">'Verification Report'!$AO$2194</definedName>
    <definedName name="vpc903_2">'Verification Report'!$AO$2198</definedName>
    <definedName name="vpc903_3">'Verification Report'!$AO$2202</definedName>
    <definedName name="vpc904_1">'Verification Report'!$AO$2210</definedName>
    <definedName name="vpc904_2">'Verification Report'!$AO$2215</definedName>
    <definedName name="vpc905_1">'Verification Report'!$AO$2232</definedName>
    <definedName name="vpc905_2">'Verification Report'!$AO$2237</definedName>
    <definedName name="vpc905_3">'Verification Report'!$AO$2239</definedName>
    <definedName name="vpc905_4">'Verification Report'!$AO$2243</definedName>
    <definedName name="vpc905_5">'Verification Report'!$AO$2248</definedName>
    <definedName name="vpc905_6">'Verification Report'!$AO$2248</definedName>
    <definedName name="vscAGFloorArea">'Overview (Verification)'!$I$25</definedName>
    <definedName name="vscAttachedGarage">'Overview (Verification)'!$I$51</definedName>
    <definedName name="vscAttic">'Overview (Verification)'!$I$50</definedName>
    <definedName name="vscBuilderName">'Overview (Verification)'!$I$10</definedName>
    <definedName name="vscBuildingCode">'Overview (Verification)'!$I$62</definedName>
    <definedName name="vscCDucts">'Overview (Verification)'!$I$42</definedName>
    <definedName name="vscCity">'Overview (Verification)'!$I$13</definedName>
    <definedName name="vscCommercial">'Overview (Verification)'!$I$20</definedName>
    <definedName name="vscCool1">'Overview (Verification)'!$I$39</definedName>
    <definedName name="vscCool2">'Overview (Verification)'!$I$40</definedName>
    <definedName name="vscCool3">'Overview (Verification)'!$I$41</definedName>
    <definedName name="vscCounty">'Overview (Verification)'!$I$15</definedName>
    <definedName name="vscCToilet">'Overview (Verification)'!$I$59</definedName>
    <definedName name="vscEnergyCode">'Overview (Verification)'!$I$61</definedName>
    <definedName name="vscFloors">'Overview (Verification)'!$I$27</definedName>
    <definedName name="vscFoundation">'Overview (Verification)'!$I$32</definedName>
    <definedName name="vscFuel">'Overview (Verification)'!$I$37</definedName>
    <definedName name="vscHDucts">'Overview (Verification)'!$I$38</definedName>
    <definedName name="vscHomeAddress">'Overview (Verification)'!$I$11</definedName>
    <definedName name="vscHVAC1">'Overview (Verification)'!$I$34</definedName>
    <definedName name="vscHVAC2">'Overview (Verification)'!$I$35</definedName>
    <definedName name="vscHVAC3">'Overview (Verification)'!$I$36</definedName>
    <definedName name="vscLot">'Overview (Verification)'!$I$12</definedName>
    <definedName name="vscMassWalls">'Overview (Verification)'!$I$56</definedName>
    <definedName name="vscPassiveSolar">'Overview (Verification)'!$I$55</definedName>
    <definedName name="vscProjectDesc">'Overview (Verification)'!$I$30</definedName>
    <definedName name="vscProjectName">'Overview (Verification)'!$I$23</definedName>
    <definedName name="vscRadiantHydronic">'Overview (Verification)'!$I$57</definedName>
    <definedName name="vscRecessedLighting">'Overview (Verification)'!$I$52</definedName>
    <definedName name="vscRenewable">'Overview (Verification)'!$I$48</definedName>
    <definedName name="vscSingleOrMulti">'Overview (Verification)'!$I$18</definedName>
    <definedName name="vscsSHGC">'Overview (Verification)'!$I$45</definedName>
    <definedName name="vscState">'Overview (Verification)'!$I$14</definedName>
    <definedName name="vscsUV">'Overview (Verification)'!$I$47</definedName>
    <definedName name="vscTCFloorArea">'Overview (Verification)'!$I$26</definedName>
    <definedName name="vscTEInsulation">'Overview (Verification)'!$I$49</definedName>
    <definedName name="vscTLWH">'Overview (Verification)'!$I$58</definedName>
    <definedName name="vscUnits">'Overview (Verification)'!$I$19</definedName>
    <definedName name="vscwdSHGC">'Overview (Verification)'!$I$44</definedName>
    <definedName name="vscwdUV">'Overview (Verification)'!$I$46</definedName>
    <definedName name="vscZIP">'Overview (Verification)'!$I$16</definedName>
    <definedName name="vsfAGFloorArea">'Overview (Verification)'!$J$25</definedName>
    <definedName name="vsfAttachedGarage">'Overview (Verification)'!$J$51</definedName>
    <definedName name="vsfAttic">'Overview (Verification)'!$J$50</definedName>
    <definedName name="vsfBuilderName">'Overview (Verification)'!$J$10</definedName>
    <definedName name="vsfBuildingCode">'Overview (Verification)'!$J$62</definedName>
    <definedName name="vsfCDucts">'Overview (Verification)'!$J$42</definedName>
    <definedName name="vsfCity">'Overview (Verification)'!$J$13</definedName>
    <definedName name="vsfCommercial">'Overview (Verification)'!$J$20</definedName>
    <definedName name="vsfCool1">'Overview (Verification)'!$J$39</definedName>
    <definedName name="vsfCool2">'Overview (Verification)'!$J$40</definedName>
    <definedName name="vsfCool3">'Overview (Verification)'!$J$41</definedName>
    <definedName name="vsfCounty">'Overview (Verification)'!$J$15</definedName>
    <definedName name="vsfCToilet">'Overview (Verification)'!$J$59</definedName>
    <definedName name="vsfElevation">'Overview (Verification)'!$J$28</definedName>
    <definedName name="vsfEnergyCode">'Overview (Verification)'!$J$61</definedName>
    <definedName name="vsfFloors">'Overview (Verification)'!$J$27</definedName>
    <definedName name="vsfFoundation">'Overview (Verification)'!$J$32</definedName>
    <definedName name="vsfFuel">'Overview (Verification)'!$J$37</definedName>
    <definedName name="vsfHDucts">'Overview (Verification)'!$J$38</definedName>
    <definedName name="vsfHomeAddress">'Overview (Verification)'!$J$11</definedName>
    <definedName name="vsfHVAC1">'Overview (Verification)'!$J$34</definedName>
    <definedName name="vsfHVAC2">'Overview (Verification)'!$J$35</definedName>
    <definedName name="vsfHVAC3">'Overview (Verification)'!$J$36</definedName>
    <definedName name="vsfLot">'Overview (Verification)'!$J$12</definedName>
    <definedName name="vsfMassWalls">'Overview (Verification)'!$J$56</definedName>
    <definedName name="vsfPassiveSolar">'Overview (Verification)'!$J$55</definedName>
    <definedName name="vsfProjectDesc">'Overview (Verification)'!$J$30</definedName>
    <definedName name="vsfProjectID">'Overview (Verification)'!$J$8</definedName>
    <definedName name="vsfProjectName">'Overview (Verification)'!$J$23</definedName>
    <definedName name="vsfRadiantHydronic">'Overview (Verification)'!$J$57</definedName>
    <definedName name="vsfRecessedLighting">'Overview (Verification)'!$J$52</definedName>
    <definedName name="vsfRenewable">'Overview (Verification)'!$J$48</definedName>
    <definedName name="vsfSingleOrMulti">'Overview (Verification)'!$J$18</definedName>
    <definedName name="vsfsSHGC">'Overview (Verification)'!$J$45</definedName>
    <definedName name="vsfState">'Overview (Verification)'!$J$14</definedName>
    <definedName name="vsfsUV">'Overview (Verification)'!$J$47</definedName>
    <definedName name="vsfTCFloorArea">'Overview (Verification)'!$J$26</definedName>
    <definedName name="vsfTEInsulation">'Overview (Verification)'!$J$49</definedName>
    <definedName name="vsfTLWH">'Overview (Verification)'!$J$58</definedName>
    <definedName name="vsfUnits">'Overview (Verification)'!$J$19</definedName>
    <definedName name="vsfwdSHGC">'Overview (Verification)'!$J$44</definedName>
    <definedName name="vsfwdUV">'Overview (Verification)'!$J$46</definedName>
    <definedName name="vsfZIP">'Overview (Verification)'!$J$16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Q1472" i="16" l="1"/>
  <c r="AQ1470" i="16"/>
  <c r="AQ602" i="25"/>
  <c r="AQ600" i="25"/>
  <c r="AS2248" i="16"/>
  <c r="AS2243" i="16"/>
  <c r="AS2241" i="16"/>
  <c r="AS2240" i="16"/>
  <c r="AS2237" i="16"/>
  <c r="AS2232" i="16"/>
  <c r="AS2228" i="16"/>
  <c r="AS2220" i="16"/>
  <c r="AS2215" i="16"/>
  <c r="AS2210" i="16"/>
  <c r="AS2202" i="16"/>
  <c r="AS2198" i="16"/>
  <c r="AS2194" i="16"/>
  <c r="AS2190" i="16"/>
  <c r="AS2188" i="16"/>
  <c r="AS2185" i="16"/>
  <c r="AS2182" i="16"/>
  <c r="AS2180" i="16"/>
  <c r="AS2176" i="16"/>
  <c r="AS2154" i="16"/>
  <c r="AS2113" i="16"/>
  <c r="AS2104" i="16"/>
  <c r="AS2101" i="16"/>
  <c r="AS2098" i="16"/>
  <c r="AS2096" i="16"/>
  <c r="AS2085" i="16"/>
  <c r="AS2081" i="16"/>
  <c r="AS2078" i="16"/>
  <c r="AS2076" i="16"/>
  <c r="AS2074" i="16"/>
  <c r="AS2067" i="16"/>
  <c r="AS2063" i="16"/>
  <c r="AS2056" i="16"/>
  <c r="AS2059" i="16"/>
  <c r="AS2054" i="16"/>
  <c r="AS2052" i="16"/>
  <c r="AS2050" i="16"/>
  <c r="AS2006" i="16"/>
  <c r="AS2001" i="16"/>
  <c r="AS1999" i="16"/>
  <c r="AS1998" i="16"/>
  <c r="AS1996" i="16"/>
  <c r="AS1991" i="16"/>
  <c r="AS1985" i="16"/>
  <c r="AS1981" i="16"/>
  <c r="AS1971" i="16"/>
  <c r="AS1962" i="16"/>
  <c r="AS1959" i="16"/>
  <c r="AS1957" i="16"/>
  <c r="AS1943" i="16"/>
  <c r="AS1938" i="16"/>
  <c r="AS1934" i="16"/>
  <c r="AS1928" i="16"/>
  <c r="AS1926" i="16"/>
  <c r="AS1924" i="16"/>
  <c r="AS1921" i="16"/>
  <c r="AS1919" i="16"/>
  <c r="AS1917" i="16"/>
  <c r="AS1914" i="16"/>
  <c r="AS1912" i="16"/>
  <c r="AS1909" i="16"/>
  <c r="AS2044" i="16"/>
  <c r="AS2042" i="16"/>
  <c r="AS2036" i="16"/>
  <c r="AS2034" i="16"/>
  <c r="AS2030" i="16"/>
  <c r="AS2025" i="16"/>
  <c r="AS2021" i="16"/>
  <c r="AS2020" i="16"/>
  <c r="AS2015" i="16"/>
  <c r="AS1903" i="16"/>
  <c r="AS1900" i="16"/>
  <c r="AS1895" i="16"/>
  <c r="AS1892" i="16"/>
  <c r="AS1889" i="16"/>
  <c r="AS1884" i="16"/>
  <c r="AS1878" i="16"/>
  <c r="AS1862" i="16"/>
  <c r="AS1860" i="16"/>
  <c r="AS1857" i="16"/>
  <c r="AS1852" i="16"/>
  <c r="AS1849" i="16"/>
  <c r="AS1848" i="16"/>
  <c r="AS1846" i="16"/>
  <c r="AS1832" i="16"/>
  <c r="AS1824" i="16"/>
  <c r="AS1821" i="16"/>
  <c r="AS1820" i="16"/>
  <c r="AS1818" i="16"/>
  <c r="AS1804" i="16"/>
  <c r="AS1800" i="16"/>
  <c r="AS1798" i="16"/>
  <c r="AS1797" i="16"/>
  <c r="AS1795" i="16"/>
  <c r="AS1793" i="16"/>
  <c r="AS1787" i="16"/>
  <c r="AS1785" i="16"/>
  <c r="AS1780" i="16"/>
  <c r="AS1779" i="16"/>
  <c r="AS1778" i="16"/>
  <c r="AS1774" i="16"/>
  <c r="AS1772" i="16"/>
  <c r="AS1769" i="16"/>
  <c r="AS1767" i="16"/>
  <c r="AS1763" i="16"/>
  <c r="AS1760" i="16"/>
  <c r="AS1753" i="16"/>
  <c r="AS1751" i="16"/>
  <c r="AS1746" i="16"/>
  <c r="AS1741" i="16"/>
  <c r="AS1729" i="16"/>
  <c r="AS1726" i="16"/>
  <c r="AS1721" i="16"/>
  <c r="AS1709" i="16"/>
  <c r="AS1704" i="16"/>
  <c r="AS1702" i="16"/>
  <c r="AS1695" i="16"/>
  <c r="AS1693" i="16"/>
  <c r="AS1685" i="16"/>
  <c r="AS1684" i="16"/>
  <c r="AS1840" i="16"/>
  <c r="AS1679" i="16"/>
  <c r="AS1674" i="16"/>
  <c r="AS1663" i="16"/>
  <c r="AS1642" i="16"/>
  <c r="AS1606" i="16"/>
  <c r="AS1603" i="16"/>
  <c r="AS1600" i="16"/>
  <c r="AS1599" i="16"/>
  <c r="AS1595" i="16"/>
  <c r="AS1580" i="16"/>
  <c r="AS1578" i="16"/>
  <c r="AS1576" i="16"/>
  <c r="AS1574" i="16"/>
  <c r="AS1571" i="16"/>
  <c r="AS1570" i="16"/>
  <c r="AS1569" i="16"/>
  <c r="AS1568" i="16"/>
  <c r="AS1567" i="16"/>
  <c r="AS1566" i="16"/>
  <c r="AS1565" i="16"/>
  <c r="AS1564" i="16"/>
  <c r="AS1556" i="16"/>
  <c r="AS1549" i="16"/>
  <c r="AS1544" i="16"/>
  <c r="AS1637" i="16"/>
  <c r="AS1636" i="16"/>
  <c r="AS1631" i="16"/>
  <c r="AS1627" i="16"/>
  <c r="AS1622" i="16"/>
  <c r="AS1618" i="16"/>
  <c r="AS1616" i="16"/>
  <c r="AS1611" i="16"/>
  <c r="AS1541" i="16"/>
  <c r="AS1539" i="16"/>
  <c r="AS1538" i="16"/>
  <c r="AS1537" i="16"/>
  <c r="AS1536" i="16"/>
  <c r="AS1529" i="16"/>
  <c r="AS1527" i="16"/>
  <c r="AS1525" i="16"/>
  <c r="AS1522" i="16"/>
  <c r="AS1521" i="16"/>
  <c r="AS1520" i="16"/>
  <c r="AS1519" i="16"/>
  <c r="AS1518" i="16"/>
  <c r="AS1517" i="16"/>
  <c r="AS1516" i="16"/>
  <c r="AS1507" i="16"/>
  <c r="AS1504" i="16"/>
  <c r="AS1502" i="16"/>
  <c r="AS1496" i="16"/>
  <c r="AS1493" i="16"/>
  <c r="AS1480" i="16"/>
  <c r="AS1478" i="16"/>
  <c r="AS1476" i="16"/>
  <c r="AS1474" i="16"/>
  <c r="AS1473" i="16"/>
  <c r="AS1472" i="16"/>
  <c r="AS1471" i="16"/>
  <c r="AS1470" i="16"/>
  <c r="AS1469" i="16"/>
  <c r="AS1467" i="16"/>
  <c r="AS1465" i="16"/>
  <c r="AS1462" i="16"/>
  <c r="AS1457" i="16"/>
  <c r="AS1456" i="16"/>
  <c r="AS1453" i="16"/>
  <c r="AS1451" i="16"/>
  <c r="AS1448" i="16"/>
  <c r="AS1443" i="16"/>
  <c r="AS1438" i="16"/>
  <c r="AS1434" i="16"/>
  <c r="AS1431" i="16"/>
  <c r="AS1427" i="16"/>
  <c r="AS1411" i="16"/>
  <c r="AS1408" i="16"/>
  <c r="AS1405" i="16"/>
  <c r="AS1397" i="16"/>
  <c r="AS1394" i="16"/>
  <c r="AS1390" i="16"/>
  <c r="AS1385" i="16"/>
  <c r="AS1383" i="16"/>
  <c r="AS1381" i="16"/>
  <c r="AS1376" i="16"/>
  <c r="AS1374" i="16"/>
  <c r="AS1371" i="16"/>
  <c r="AS1369" i="16"/>
  <c r="AS1368" i="16"/>
  <c r="AS1367" i="16"/>
  <c r="AS1365" i="16"/>
  <c r="AS1357" i="16"/>
  <c r="AS1352" i="16"/>
  <c r="AS1351" i="16"/>
  <c r="AS1350" i="16"/>
  <c r="AS1347" i="16"/>
  <c r="AS1345" i="16"/>
  <c r="AS1344" i="16"/>
  <c r="AS1343" i="16"/>
  <c r="AS1340" i="16"/>
  <c r="AS1338" i="16"/>
  <c r="AS1336" i="16"/>
  <c r="AS1334" i="16"/>
  <c r="AS1332" i="16"/>
  <c r="AS1327" i="16"/>
  <c r="AS1326" i="16"/>
  <c r="AS1325" i="16"/>
  <c r="AS1322" i="16"/>
  <c r="AS1320" i="16"/>
  <c r="AS1318" i="16"/>
  <c r="AS1298" i="16"/>
  <c r="AS1297" i="16"/>
  <c r="AS1295" i="16"/>
  <c r="AS1293" i="16"/>
  <c r="AS1244" i="16"/>
  <c r="AS1234" i="16"/>
  <c r="AS1232" i="16"/>
  <c r="AS1230" i="16"/>
  <c r="AS1229" i="16"/>
  <c r="AS1226" i="16"/>
  <c r="AS1224" i="16"/>
  <c r="AS1218" i="16"/>
  <c r="AS1211" i="16"/>
  <c r="AS1205" i="16"/>
  <c r="AS1201" i="16"/>
  <c r="AS1200" i="16"/>
  <c r="AS1198" i="16"/>
  <c r="AS1192" i="16"/>
  <c r="AS1188" i="16"/>
  <c r="AS1186" i="16"/>
  <c r="AS1180" i="16"/>
  <c r="AS1174" i="16"/>
  <c r="AS1169" i="16"/>
  <c r="AS1166" i="16"/>
  <c r="AS1160" i="16"/>
  <c r="AS1154" i="16"/>
  <c r="AS1147" i="16"/>
  <c r="AS1140" i="16"/>
  <c r="AS1130" i="16"/>
  <c r="AS1122" i="16"/>
  <c r="AS1114" i="16"/>
  <c r="AS1106" i="16"/>
  <c r="AS1102" i="16"/>
  <c r="AS1099" i="16"/>
  <c r="AS1097" i="16"/>
  <c r="AS1090" i="16"/>
  <c r="AS1084" i="16"/>
  <c r="AS1081" i="16"/>
  <c r="AS1066" i="16"/>
  <c r="AS1062" i="16"/>
  <c r="AS1059" i="16"/>
  <c r="AS1053" i="16"/>
  <c r="AS1049" i="16"/>
  <c r="AS1043" i="16"/>
  <c r="AS1042" i="16"/>
  <c r="AS1040" i="16"/>
  <c r="AS1030" i="16"/>
  <c r="AS1020" i="16"/>
  <c r="AS1017" i="16"/>
  <c r="AS978" i="16"/>
  <c r="AS991" i="16"/>
  <c r="AS989" i="16"/>
  <c r="AS988" i="16"/>
  <c r="AS987" i="16"/>
  <c r="AS986" i="16"/>
  <c r="AS984" i="16"/>
  <c r="AS983" i="16"/>
  <c r="AS981" i="16"/>
  <c r="AS980" i="16"/>
  <c r="AS1015" i="16"/>
  <c r="AS1012" i="16"/>
  <c r="AS1011" i="16"/>
  <c r="AS1010" i="16"/>
  <c r="AS1008" i="16"/>
  <c r="AS1005" i="16"/>
  <c r="AS1003" i="16"/>
  <c r="AS999" i="16"/>
  <c r="AS998" i="16"/>
  <c r="AS975" i="16"/>
  <c r="AS970" i="16"/>
  <c r="AS969" i="16"/>
  <c r="AS968" i="16"/>
  <c r="AS967" i="16"/>
  <c r="AS966" i="16"/>
  <c r="AS965" i="16"/>
  <c r="AS964" i="16"/>
  <c r="AS963" i="16"/>
  <c r="AS962" i="16"/>
  <c r="AS961" i="16"/>
  <c r="AS960" i="16"/>
  <c r="AS959" i="16"/>
  <c r="AS958" i="16"/>
  <c r="AS954" i="16"/>
  <c r="AS951" i="16"/>
  <c r="AS950" i="16"/>
  <c r="AS941" i="16"/>
  <c r="AS938" i="16"/>
  <c r="AS947" i="16"/>
  <c r="AS933" i="16"/>
  <c r="AS929" i="16"/>
  <c r="AS927" i="16"/>
  <c r="AS926" i="16"/>
  <c r="AS925" i="16"/>
  <c r="AS924" i="16"/>
  <c r="AS922" i="16"/>
  <c r="AS921" i="16"/>
  <c r="AS920" i="16"/>
  <c r="AS917" i="16"/>
  <c r="AS915" i="16"/>
  <c r="AS914" i="16"/>
  <c r="AS912" i="16"/>
  <c r="AS911" i="16"/>
  <c r="AS897" i="16"/>
  <c r="AS894" i="16"/>
  <c r="AS890" i="16"/>
  <c r="AS887" i="16"/>
  <c r="AS864" i="16"/>
  <c r="AS860" i="16"/>
  <c r="AS858" i="16"/>
  <c r="AS854" i="16"/>
  <c r="AS853" i="16"/>
  <c r="AS852" i="16"/>
  <c r="AS850" i="16"/>
  <c r="AS848" i="16"/>
  <c r="AS844" i="16"/>
  <c r="AS839" i="16"/>
  <c r="AS835" i="16"/>
  <c r="AS833" i="16"/>
  <c r="AS831" i="16"/>
  <c r="AS829" i="16"/>
  <c r="AS827" i="16"/>
  <c r="AS825" i="16"/>
  <c r="AS824" i="16"/>
  <c r="AS813" i="16"/>
  <c r="AS805" i="16"/>
  <c r="AS795" i="16"/>
  <c r="AS777" i="16"/>
  <c r="AS771" i="16"/>
  <c r="AS764" i="16"/>
  <c r="AS783" i="16"/>
  <c r="AS757" i="16"/>
  <c r="AS750" i="16"/>
  <c r="AS744" i="16"/>
  <c r="AS736" i="16"/>
  <c r="AS727" i="16"/>
  <c r="AS718" i="16"/>
  <c r="AS710" i="16"/>
  <c r="AS708" i="16"/>
  <c r="AS697" i="16"/>
  <c r="AS694" i="16"/>
  <c r="AS688" i="16"/>
  <c r="AS683" i="16"/>
  <c r="AS674" i="16"/>
  <c r="AS672" i="16"/>
  <c r="AS671" i="16"/>
  <c r="AS669" i="16"/>
  <c r="AS668" i="16"/>
  <c r="AS637" i="16"/>
  <c r="AS632" i="16"/>
  <c r="AS631" i="16"/>
  <c r="AS624" i="16"/>
  <c r="AS611" i="16"/>
  <c r="AS596" i="16"/>
  <c r="AS593" i="16"/>
  <c r="AS589" i="16"/>
  <c r="AS587" i="16"/>
  <c r="AS585" i="16"/>
  <c r="AS583" i="16"/>
  <c r="AS579" i="16"/>
  <c r="AS572" i="16"/>
  <c r="AS566" i="16"/>
  <c r="AS562" i="16"/>
  <c r="AS560" i="16"/>
  <c r="AS555" i="16"/>
  <c r="AS551" i="16"/>
  <c r="AS548" i="16"/>
  <c r="AS547" i="16"/>
  <c r="AS545" i="16"/>
  <c r="AS509" i="16"/>
  <c r="AS507" i="16"/>
  <c r="AS501" i="16"/>
  <c r="AS497" i="16"/>
  <c r="AS496" i="16"/>
  <c r="AS493" i="16"/>
  <c r="AS483" i="16"/>
  <c r="AS475" i="16"/>
  <c r="AS471" i="16"/>
  <c r="AS469" i="16"/>
  <c r="AS467" i="16"/>
  <c r="AS464" i="16"/>
  <c r="AS462" i="16"/>
  <c r="AS449" i="16"/>
  <c r="AS440" i="16"/>
  <c r="AS437" i="16"/>
  <c r="AS435" i="16"/>
  <c r="AS431" i="16"/>
  <c r="AS429" i="16"/>
  <c r="AS423" i="16"/>
  <c r="AS421" i="16"/>
  <c r="AS416" i="16"/>
  <c r="AS538" i="16"/>
  <c r="AS537" i="16"/>
  <c r="AS536" i="16"/>
  <c r="AS534" i="16"/>
  <c r="AS528" i="16"/>
  <c r="AS525" i="16"/>
  <c r="AS523" i="16"/>
  <c r="AS511" i="16"/>
  <c r="AS414" i="16"/>
  <c r="AS411" i="16"/>
  <c r="AS398" i="16"/>
  <c r="AS380" i="16"/>
  <c r="AS375" i="16"/>
  <c r="AS374" i="16"/>
  <c r="AS373" i="16"/>
  <c r="AS372" i="16"/>
  <c r="AS371" i="16"/>
  <c r="AS370" i="16"/>
  <c r="AS364" i="16"/>
  <c r="AS363" i="16"/>
  <c r="AS362" i="16"/>
  <c r="AS361" i="16"/>
  <c r="AS360" i="16"/>
  <c r="AS359" i="16"/>
  <c r="AS355" i="16"/>
  <c r="AS352" i="16"/>
  <c r="AS349" i="16"/>
  <c r="AS331" i="16"/>
  <c r="AS316" i="16"/>
  <c r="AS315" i="16"/>
  <c r="AS312" i="16"/>
  <c r="AS309" i="16"/>
  <c r="AS305" i="16"/>
  <c r="AS293" i="16"/>
  <c r="AS292" i="16"/>
  <c r="AS291" i="16"/>
  <c r="AS288" i="16"/>
  <c r="AS286" i="16"/>
  <c r="AS282" i="16"/>
  <c r="AS275" i="16"/>
  <c r="AS272" i="16"/>
  <c r="AS262" i="16"/>
  <c r="AS325" i="16"/>
  <c r="AS323" i="16"/>
  <c r="AS321" i="16"/>
  <c r="AS257" i="16"/>
  <c r="AS255" i="16"/>
  <c r="AS253" i="16"/>
  <c r="AS246" i="16"/>
  <c r="AS238" i="16"/>
  <c r="AS237" i="16"/>
  <c r="AS234" i="16"/>
  <c r="AS230" i="16"/>
  <c r="AS228" i="16"/>
  <c r="AS226" i="16"/>
  <c r="AS225" i="16"/>
  <c r="AS223" i="16"/>
  <c r="AS220" i="16"/>
  <c r="AS213" i="16"/>
  <c r="AS208" i="16"/>
  <c r="AS200" i="16"/>
  <c r="AS194" i="16"/>
  <c r="AS187" i="16"/>
  <c r="AS176" i="16"/>
  <c r="AS171" i="16"/>
  <c r="AS170" i="16"/>
  <c r="AS165" i="16"/>
  <c r="AS162" i="16"/>
  <c r="AS160" i="16"/>
  <c r="AS157" i="16"/>
  <c r="AS155" i="16"/>
  <c r="AS185" i="16"/>
  <c r="AS183" i="16"/>
  <c r="AS181" i="16"/>
  <c r="AS178" i="16"/>
  <c r="AS149" i="16"/>
  <c r="AS145" i="16"/>
  <c r="AS142" i="16"/>
  <c r="AS140" i="16"/>
  <c r="AS135" i="16"/>
  <c r="AS128" i="16"/>
  <c r="AS124" i="16"/>
  <c r="AS121" i="16"/>
  <c r="AS114" i="16"/>
  <c r="AS101" i="16"/>
  <c r="AS88" i="16"/>
  <c r="AS68" i="16"/>
  <c r="AS63" i="16"/>
  <c r="AS58" i="16"/>
  <c r="AS55" i="16"/>
  <c r="AS52" i="16"/>
  <c r="AS50" i="16"/>
  <c r="AS45" i="16"/>
  <c r="AS42" i="16"/>
  <c r="AS37" i="16"/>
  <c r="AS27" i="16"/>
  <c r="AS25" i="16"/>
  <c r="AS23" i="16"/>
  <c r="AS21" i="16"/>
  <c r="AS19" i="16"/>
  <c r="AS13" i="16"/>
  <c r="AS2463" i="16"/>
  <c r="AS2460" i="16"/>
  <c r="AS2456" i="16"/>
  <c r="AS2454" i="16"/>
  <c r="AS2441" i="16"/>
  <c r="AS2438" i="16"/>
  <c r="AS2436" i="16"/>
  <c r="AS2430" i="16"/>
  <c r="AS2429" i="16"/>
  <c r="AS2428" i="16"/>
  <c r="AS2427" i="16"/>
  <c r="AS2426" i="16"/>
  <c r="AS2425" i="16"/>
  <c r="AS2424" i="16"/>
  <c r="AS2419" i="16"/>
  <c r="AS2418" i="16"/>
  <c r="AS2417" i="16"/>
  <c r="AS2416" i="16"/>
  <c r="AS2415" i="16"/>
  <c r="AS2414" i="16"/>
  <c r="AS2412" i="16"/>
  <c r="AS2411" i="16"/>
  <c r="AS2410" i="16"/>
  <c r="AS2395" i="16"/>
  <c r="AS2391" i="16"/>
  <c r="AS2390" i="16"/>
  <c r="AS2389" i="16"/>
  <c r="AS2387" i="16"/>
  <c r="AS2386" i="16"/>
  <c r="AS2384" i="16"/>
  <c r="AS2377" i="16"/>
  <c r="AS2373" i="16"/>
  <c r="AS2393" i="16"/>
  <c r="AS2392" i="16"/>
  <c r="AS2371" i="16"/>
  <c r="AS2361" i="16"/>
  <c r="AS2359" i="16"/>
  <c r="AS2357" i="16"/>
  <c r="AS2356" i="16"/>
  <c r="AS2354" i="16"/>
  <c r="AS2351" i="16"/>
  <c r="AS2349" i="16"/>
  <c r="AS2346" i="16"/>
  <c r="AS2365" i="16"/>
  <c r="AS2362" i="16"/>
  <c r="AS2344" i="16"/>
  <c r="AS2338" i="16"/>
  <c r="AS2337" i="16"/>
  <c r="AS2336" i="16"/>
  <c r="AS2334" i="16"/>
  <c r="AS2333" i="16"/>
  <c r="AS2331" i="16"/>
  <c r="AS2328" i="16"/>
  <c r="AS2325" i="16"/>
  <c r="AS2303" i="16"/>
  <c r="AS2271" i="16"/>
  <c r="AS2270" i="16"/>
  <c r="AS2268" i="16"/>
  <c r="AS2266" i="16"/>
  <c r="AS2265" i="16"/>
  <c r="AS2264" i="16"/>
  <c r="AS2260" i="16"/>
  <c r="AS2302" i="16"/>
  <c r="AS2301" i="16"/>
  <c r="AS2299" i="16"/>
  <c r="AS2297" i="16"/>
  <c r="AS2295" i="16"/>
  <c r="AS2259" i="16"/>
  <c r="AS2294" i="16"/>
  <c r="AS2292" i="16"/>
  <c r="AS2290" i="16"/>
  <c r="AS2289" i="16"/>
  <c r="AS2287" i="16"/>
  <c r="AS2285" i="16"/>
  <c r="AS2281" i="16"/>
  <c r="AS2275" i="16"/>
  <c r="AS2274" i="16"/>
  <c r="AS2273" i="16"/>
  <c r="AS2258" i="16"/>
  <c r="AQ2248" i="16"/>
  <c r="AQ2243" i="16"/>
  <c r="AQ2241" i="16"/>
  <c r="AQ2240" i="16"/>
  <c r="AQ2237" i="16"/>
  <c r="AQ2232" i="16"/>
  <c r="AQ2228" i="16"/>
  <c r="AQ2220" i="16"/>
  <c r="AQ2215" i="16"/>
  <c r="AQ2210" i="16"/>
  <c r="AQ2205" i="16"/>
  <c r="AQ2204" i="16"/>
  <c r="AQ2198" i="16"/>
  <c r="AQ2194" i="16"/>
  <c r="AQ2190" i="16"/>
  <c r="AQ2188" i="16"/>
  <c r="AQ2185" i="16"/>
  <c r="AQ2182" i="16"/>
  <c r="AQ2180" i="16"/>
  <c r="AQ2154" i="16"/>
  <c r="AQ2152" i="16"/>
  <c r="AQ2104" i="16"/>
  <c r="AQ2101" i="16"/>
  <c r="AQ2098" i="16"/>
  <c r="AQ2096" i="16"/>
  <c r="AQ2085" i="16"/>
  <c r="AQ2081" i="16"/>
  <c r="AQ2078" i="16"/>
  <c r="AQ2076" i="16"/>
  <c r="AQ2074" i="16"/>
  <c r="AQ2071" i="16"/>
  <c r="AQ2069" i="16"/>
  <c r="AQ2063" i="16"/>
  <c r="AQ2056" i="16"/>
  <c r="AQ2062" i="16"/>
  <c r="AQ2060" i="16"/>
  <c r="AQ2054" i="16"/>
  <c r="AQ2052" i="16"/>
  <c r="AQ2050" i="16"/>
  <c r="AQ2006" i="16"/>
  <c r="AQ2001" i="16"/>
  <c r="AQ1999" i="16"/>
  <c r="AQ1998" i="16"/>
  <c r="AQ1996" i="16"/>
  <c r="AQ1985" i="16"/>
  <c r="AQ1982" i="16"/>
  <c r="AQ1981" i="16"/>
  <c r="AQ1971" i="16"/>
  <c r="AQ1962" i="16"/>
  <c r="AQ1959" i="16"/>
  <c r="AQ1957" i="16"/>
  <c r="AQ1946" i="16"/>
  <c r="AQ1945" i="16"/>
  <c r="AQ1944" i="16"/>
  <c r="AQ1943" i="16"/>
  <c r="AQ1938" i="16"/>
  <c r="AQ1934" i="16"/>
  <c r="AQ1928" i="16"/>
  <c r="AQ1926" i="16"/>
  <c r="AQ1924" i="16"/>
  <c r="AQ1921" i="16"/>
  <c r="AQ1919" i="16"/>
  <c r="AQ1917" i="16"/>
  <c r="AQ1914" i="16"/>
  <c r="AQ1912" i="16"/>
  <c r="AQ1909" i="16"/>
  <c r="AQ2044" i="16"/>
  <c r="AQ2042" i="16"/>
  <c r="AQ2039" i="16"/>
  <c r="AQ2038" i="16"/>
  <c r="AQ2034" i="16"/>
  <c r="AQ2030" i="16"/>
  <c r="AQ2025" i="16"/>
  <c r="AQ2021" i="16"/>
  <c r="AQ2020" i="16"/>
  <c r="AQ2015" i="16"/>
  <c r="AQ1903" i="16"/>
  <c r="AQ1900" i="16"/>
  <c r="AQ1895" i="16"/>
  <c r="AQ1892" i="16"/>
  <c r="AQ1889" i="16"/>
  <c r="AQ1884" i="16"/>
  <c r="AQ1878" i="16"/>
  <c r="AQ1862" i="16"/>
  <c r="AQ1860" i="16"/>
  <c r="AQ1857" i="16"/>
  <c r="AQ1852" i="16"/>
  <c r="AQ1850" i="16"/>
  <c r="AQ1848" i="16"/>
  <c r="AQ1846" i="16"/>
  <c r="AQ1832" i="16"/>
  <c r="AQ1824" i="16"/>
  <c r="AQ1821" i="16"/>
  <c r="AQ1820" i="16"/>
  <c r="AQ1818" i="16"/>
  <c r="AQ1804" i="16"/>
  <c r="AQ1800" i="16"/>
  <c r="AQ1798" i="16"/>
  <c r="AQ1797" i="16"/>
  <c r="AQ1795" i="16"/>
  <c r="AQ1793" i="16"/>
  <c r="AQ1787" i="16"/>
  <c r="AQ1785" i="16"/>
  <c r="AQ1780" i="16"/>
  <c r="AQ1779" i="16"/>
  <c r="AQ1778" i="16"/>
  <c r="AQ1774" i="16"/>
  <c r="AQ1772" i="16"/>
  <c r="AQ1769" i="16"/>
  <c r="AQ1767" i="16"/>
  <c r="AQ1763" i="16"/>
  <c r="AQ1760" i="16"/>
  <c r="AQ1753" i="16"/>
  <c r="AQ1746" i="16"/>
  <c r="AQ1741" i="16"/>
  <c r="AQ1731" i="16"/>
  <c r="AQ1729" i="16"/>
  <c r="AQ1726" i="16"/>
  <c r="AQ1721" i="16"/>
  <c r="AQ1709" i="16"/>
  <c r="AQ1704" i="16"/>
  <c r="AQ1702" i="16"/>
  <c r="AQ1695" i="16"/>
  <c r="AQ1693" i="16"/>
  <c r="AQ1685" i="16"/>
  <c r="AQ1684" i="16"/>
  <c r="AQ1840" i="16"/>
  <c r="AQ1679" i="16"/>
  <c r="AQ1650" i="16"/>
  <c r="AQ1642" i="16"/>
  <c r="AQ1606" i="16"/>
  <c r="AQ1603" i="16"/>
  <c r="AQ1600" i="16"/>
  <c r="AQ1599" i="16"/>
  <c r="AQ1595" i="16"/>
  <c r="AQ1585" i="16"/>
  <c r="AQ1583" i="16"/>
  <c r="AQ1581" i="16"/>
  <c r="AQ1578" i="16"/>
  <c r="AQ1576" i="16"/>
  <c r="AQ1574" i="16"/>
  <c r="AQ1571" i="16"/>
  <c r="AQ1570" i="16"/>
  <c r="AQ1569" i="16"/>
  <c r="AQ1568" i="16"/>
  <c r="AQ1567" i="16"/>
  <c r="AQ1566" i="16"/>
  <c r="AQ1565" i="16"/>
  <c r="AQ1564" i="16"/>
  <c r="AQ1549" i="16"/>
  <c r="AQ1544" i="16"/>
  <c r="AQ1637" i="16"/>
  <c r="AQ1636" i="16"/>
  <c r="AQ1631" i="16"/>
  <c r="AQ1627" i="16"/>
  <c r="AQ1622" i="16"/>
  <c r="AQ1618" i="16"/>
  <c r="AQ1616" i="16"/>
  <c r="AQ1611" i="16"/>
  <c r="AQ1541" i="16"/>
  <c r="AQ1539" i="16"/>
  <c r="AQ1538" i="16"/>
  <c r="AQ1537" i="16"/>
  <c r="AQ1536" i="16"/>
  <c r="AQ1529" i="16"/>
  <c r="AQ1527" i="16"/>
  <c r="AQ1525" i="16"/>
  <c r="AQ1515" i="16"/>
  <c r="AQ1513" i="16"/>
  <c r="AQ1507" i="16"/>
  <c r="AQ1504" i="16"/>
  <c r="AQ1502" i="16"/>
  <c r="AQ1496" i="16"/>
  <c r="AQ1495" i="16"/>
  <c r="AQ1493" i="16"/>
  <c r="AQ1467" i="16"/>
  <c r="AQ1465" i="16"/>
  <c r="AQ1462" i="16"/>
  <c r="AQ1457" i="16"/>
  <c r="AQ1456" i="16"/>
  <c r="AQ1454" i="16"/>
  <c r="AQ1451" i="16"/>
  <c r="AQ1448" i="16"/>
  <c r="AQ1443" i="16"/>
  <c r="AQ1438" i="16"/>
  <c r="AQ1434" i="16"/>
  <c r="AQ1431" i="16"/>
  <c r="AQ1427" i="16"/>
  <c r="AQ1387" i="16"/>
  <c r="AQ1385" i="16"/>
  <c r="AQ1383" i="16"/>
  <c r="AQ1381" i="16"/>
  <c r="AQ1376" i="16"/>
  <c r="AQ1374" i="16"/>
  <c r="AQ1371" i="16"/>
  <c r="AQ1369" i="16"/>
  <c r="AQ1368" i="16"/>
  <c r="AQ1367" i="16"/>
  <c r="AQ1365" i="16"/>
  <c r="AQ1357" i="16"/>
  <c r="AQ1330" i="16"/>
  <c r="AQ1327" i="16"/>
  <c r="AQ1326" i="16"/>
  <c r="AQ1325" i="16"/>
  <c r="AQ1322" i="16"/>
  <c r="AQ1320" i="16"/>
  <c r="AQ1318" i="16"/>
  <c r="AQ1301" i="16"/>
  <c r="AQ1299" i="16"/>
  <c r="AQ1297" i="16"/>
  <c r="AQ1295" i="16"/>
  <c r="AQ1293" i="16"/>
  <c r="AQ1292" i="16"/>
  <c r="AQ1272" i="16"/>
  <c r="AQ1270" i="16"/>
  <c r="AQ1253" i="16"/>
  <c r="AQ1251" i="16"/>
  <c r="AQ1245" i="16"/>
  <c r="AQ1234" i="16"/>
  <c r="AQ1232" i="16"/>
  <c r="AQ1230" i="16"/>
  <c r="AQ1229" i="16"/>
  <c r="AQ1226" i="16"/>
  <c r="AQ1224" i="16"/>
  <c r="AQ1218" i="16"/>
  <c r="AQ1213" i="16"/>
  <c r="AQ1211" i="16"/>
  <c r="AQ1206" i="16"/>
  <c r="AQ1201" i="16"/>
  <c r="AQ1200" i="16"/>
  <c r="AQ1198" i="16"/>
  <c r="AQ1193" i="16"/>
  <c r="AQ1188" i="16"/>
  <c r="AQ1186" i="16"/>
  <c r="AQ1181" i="16"/>
  <c r="AQ1175" i="16"/>
  <c r="AQ1170" i="16"/>
  <c r="AQ1167" i="16"/>
  <c r="AQ1161" i="16"/>
  <c r="AQ1154" i="16"/>
  <c r="AQ1148" i="16"/>
  <c r="AQ1141" i="16"/>
  <c r="AQ1130" i="16"/>
  <c r="AQ1122" i="16"/>
  <c r="AQ1114" i="16"/>
  <c r="AQ1106" i="16"/>
  <c r="AQ1099" i="16"/>
  <c r="AQ1098" i="16"/>
  <c r="AQ1092" i="16"/>
  <c r="AQ1090" i="16"/>
  <c r="AQ1084" i="16"/>
  <c r="AQ1081" i="16"/>
  <c r="AQ1066" i="16"/>
  <c r="AQ1055" i="16"/>
  <c r="AQ1049" i="16"/>
  <c r="AQ1043" i="16"/>
  <c r="AQ1042" i="16"/>
  <c r="AQ1040" i="16"/>
  <c r="AQ1030" i="16"/>
  <c r="AQ1020" i="16"/>
  <c r="AQ978" i="16"/>
  <c r="AQ991" i="16"/>
  <c r="AQ975" i="16"/>
  <c r="AQ994" i="16"/>
  <c r="AQ970" i="16"/>
  <c r="AQ969" i="16"/>
  <c r="AQ968" i="16"/>
  <c r="AQ967" i="16"/>
  <c r="AQ966" i="16"/>
  <c r="AQ965" i="16"/>
  <c r="AQ964" i="16"/>
  <c r="AQ963" i="16"/>
  <c r="AQ962" i="16"/>
  <c r="AQ961" i="16"/>
  <c r="AQ960" i="16"/>
  <c r="AQ959" i="16"/>
  <c r="AQ958" i="16"/>
  <c r="AQ955" i="16"/>
  <c r="AQ951" i="16"/>
  <c r="AQ950" i="16"/>
  <c r="AQ941" i="16"/>
  <c r="AQ938" i="16"/>
  <c r="AQ947" i="16"/>
  <c r="AQ933" i="16"/>
  <c r="AQ929" i="16"/>
  <c r="AQ927" i="16"/>
  <c r="AQ926" i="16"/>
  <c r="AQ925" i="16"/>
  <c r="AQ924" i="16"/>
  <c r="AQ922" i="16"/>
  <c r="AQ921" i="16"/>
  <c r="AQ920" i="16"/>
  <c r="AQ917" i="16"/>
  <c r="AQ915" i="16"/>
  <c r="AQ914" i="16"/>
  <c r="AQ912" i="16"/>
  <c r="AQ911" i="16"/>
  <c r="AQ898" i="16"/>
  <c r="AQ882" i="16"/>
  <c r="AQ864" i="16"/>
  <c r="AQ860" i="16"/>
  <c r="AQ858" i="16"/>
  <c r="AQ854" i="16"/>
  <c r="AQ853" i="16"/>
  <c r="AQ852" i="16"/>
  <c r="AQ850" i="16"/>
  <c r="AQ848" i="16"/>
  <c r="AQ844" i="16"/>
  <c r="AQ839" i="16"/>
  <c r="AQ835" i="16"/>
  <c r="AQ833" i="16"/>
  <c r="AQ831" i="16"/>
  <c r="AQ829" i="16"/>
  <c r="AQ827" i="16"/>
  <c r="AQ825" i="16"/>
  <c r="AQ824" i="16"/>
  <c r="AQ813" i="16"/>
  <c r="AQ807" i="16"/>
  <c r="AQ796" i="16"/>
  <c r="AQ778" i="16"/>
  <c r="AQ772" i="16"/>
  <c r="AQ765" i="16"/>
  <c r="AQ784" i="16"/>
  <c r="AQ759" i="16"/>
  <c r="AQ752" i="16"/>
  <c r="AQ744" i="16"/>
  <c r="AQ736" i="16"/>
  <c r="AQ727" i="16"/>
  <c r="AQ710" i="16"/>
  <c r="AQ708" i="16"/>
  <c r="AQ697" i="16"/>
  <c r="AQ694" i="16"/>
  <c r="AQ688" i="16"/>
  <c r="AQ683" i="16"/>
  <c r="AQ674" i="16"/>
  <c r="AQ672" i="16"/>
  <c r="AQ671" i="16"/>
  <c r="AQ669" i="16"/>
  <c r="AQ668" i="16"/>
  <c r="AQ644" i="16"/>
  <c r="AQ643" i="16"/>
  <c r="AQ642" i="16"/>
  <c r="AQ641" i="16"/>
  <c r="AQ640" i="16"/>
  <c r="AQ639" i="16"/>
  <c r="AQ638" i="16"/>
  <c r="AQ637" i="16"/>
  <c r="AQ632" i="16"/>
  <c r="AQ631" i="16"/>
  <c r="AQ630" i="16"/>
  <c r="AQ629" i="16"/>
  <c r="AQ628" i="16"/>
  <c r="AQ627" i="16"/>
  <c r="AQ626" i="16"/>
  <c r="AQ625" i="16"/>
  <c r="AQ624" i="16"/>
  <c r="AQ611" i="16"/>
  <c r="AQ609" i="16"/>
  <c r="AQ596" i="16"/>
  <c r="AQ593" i="16"/>
  <c r="AQ590" i="16"/>
  <c r="AQ588" i="16"/>
  <c r="AQ586" i="16"/>
  <c r="AQ584" i="16"/>
  <c r="AQ579" i="16"/>
  <c r="AQ572" i="16"/>
  <c r="AQ566" i="16"/>
  <c r="AQ562" i="16"/>
  <c r="AQ560" i="16"/>
  <c r="AQ555" i="16"/>
  <c r="AQ551" i="16"/>
  <c r="AQ548" i="16"/>
  <c r="AQ547" i="16"/>
  <c r="AQ545" i="16"/>
  <c r="AQ509" i="16"/>
  <c r="AQ507" i="16"/>
  <c r="AQ501" i="16"/>
  <c r="AQ497" i="16"/>
  <c r="AQ496" i="16"/>
  <c r="AQ493" i="16"/>
  <c r="AQ483" i="16"/>
  <c r="AQ475" i="16"/>
  <c r="AQ471" i="16"/>
  <c r="AQ469" i="16"/>
  <c r="AQ467" i="16"/>
  <c r="AQ464" i="16"/>
  <c r="AQ462" i="16"/>
  <c r="AQ457" i="16"/>
  <c r="AQ453" i="16"/>
  <c r="AQ449" i="16"/>
  <c r="AQ443" i="16"/>
  <c r="AQ441" i="16"/>
  <c r="AQ440" i="16"/>
  <c r="AQ437" i="16"/>
  <c r="AQ435" i="16"/>
  <c r="AQ431" i="16"/>
  <c r="AQ429" i="16"/>
  <c r="AQ423" i="16"/>
  <c r="AQ421" i="16"/>
  <c r="AQ419" i="16"/>
  <c r="AQ418" i="16"/>
  <c r="AQ538" i="16"/>
  <c r="AQ537" i="16"/>
  <c r="AQ536" i="16"/>
  <c r="AQ534" i="16"/>
  <c r="AQ528" i="16"/>
  <c r="AQ525" i="16"/>
  <c r="AQ523" i="16"/>
  <c r="AQ511" i="16"/>
  <c r="AQ414" i="16"/>
  <c r="AQ411" i="16"/>
  <c r="AQ398" i="16"/>
  <c r="AQ391" i="16"/>
  <c r="AQ389" i="16"/>
  <c r="AQ385" i="16"/>
  <c r="AQ384" i="16"/>
  <c r="AQ383" i="16"/>
  <c r="AQ374" i="16"/>
  <c r="AQ373" i="16"/>
  <c r="AQ372" i="16"/>
  <c r="AQ371" i="16"/>
  <c r="AQ370" i="16"/>
  <c r="AQ364" i="16"/>
  <c r="AQ363" i="16"/>
  <c r="AQ362" i="16"/>
  <c r="AQ361" i="16"/>
  <c r="AQ360" i="16"/>
  <c r="AQ359" i="16"/>
  <c r="AQ355" i="16"/>
  <c r="AQ352" i="16"/>
  <c r="AQ349" i="16"/>
  <c r="AQ316" i="16"/>
  <c r="AQ315" i="16"/>
  <c r="AQ312" i="16"/>
  <c r="AQ309" i="16"/>
  <c r="AQ305" i="16"/>
  <c r="AQ294" i="16"/>
  <c r="AQ292" i="16"/>
  <c r="AQ291" i="16"/>
  <c r="AQ288" i="16"/>
  <c r="AQ286" i="16"/>
  <c r="AQ282" i="16"/>
  <c r="AQ276" i="16"/>
  <c r="AQ272" i="16"/>
  <c r="AQ271" i="16"/>
  <c r="AQ267" i="16"/>
  <c r="AQ264" i="16"/>
  <c r="AQ325" i="16"/>
  <c r="AQ323" i="16"/>
  <c r="AQ321" i="16"/>
  <c r="AQ257" i="16"/>
  <c r="AQ255" i="16"/>
  <c r="AQ253" i="16"/>
  <c r="AQ246" i="16"/>
  <c r="AQ244" i="16"/>
  <c r="AQ243" i="16"/>
  <c r="AQ242" i="16"/>
  <c r="AQ241" i="16"/>
  <c r="AQ240" i="16"/>
  <c r="AQ239" i="16"/>
  <c r="AQ237" i="16"/>
  <c r="AQ234" i="16"/>
  <c r="AQ230" i="16"/>
  <c r="AQ228" i="16"/>
  <c r="AQ226" i="16"/>
  <c r="AQ225" i="16"/>
  <c r="AQ223" i="16"/>
  <c r="AQ218" i="16"/>
  <c r="AQ216" i="16"/>
  <c r="AQ215" i="16"/>
  <c r="AQ208" i="16"/>
  <c r="AQ201" i="16"/>
  <c r="AQ193" i="16"/>
  <c r="AQ191" i="16"/>
  <c r="AQ190" i="16"/>
  <c r="AQ189" i="16"/>
  <c r="AQ176" i="16"/>
  <c r="AQ171" i="16"/>
  <c r="AQ170" i="16"/>
  <c r="AQ165" i="16"/>
  <c r="AQ162" i="16"/>
  <c r="AQ160" i="16"/>
  <c r="AQ157" i="16"/>
  <c r="AQ155" i="16"/>
  <c r="AQ185" i="16"/>
  <c r="AQ183" i="16"/>
  <c r="AQ181" i="16"/>
  <c r="AQ178" i="16"/>
  <c r="AQ149" i="16"/>
  <c r="AQ147" i="16"/>
  <c r="AQ142" i="16"/>
  <c r="AQ140" i="16"/>
  <c r="AQ135" i="16"/>
  <c r="AQ128" i="16"/>
  <c r="AQ124" i="16"/>
  <c r="AQ121" i="16"/>
  <c r="AQ113" i="16"/>
  <c r="AQ112" i="16"/>
  <c r="AQ111" i="16"/>
  <c r="AQ109" i="16"/>
  <c r="AQ108" i="16"/>
  <c r="AQ104" i="16"/>
  <c r="AQ100" i="16"/>
  <c r="AQ98" i="16"/>
  <c r="AQ93" i="16"/>
  <c r="AQ91" i="16"/>
  <c r="AQ90" i="16"/>
  <c r="AQ89" i="16"/>
  <c r="AQ83" i="16"/>
  <c r="AQ81" i="16"/>
  <c r="AQ79" i="16"/>
  <c r="AQ77" i="16"/>
  <c r="AQ75" i="16"/>
  <c r="AQ73" i="16"/>
  <c r="AQ71" i="16"/>
  <c r="AQ69" i="16"/>
  <c r="AQ58" i="16"/>
  <c r="AQ55" i="16"/>
  <c r="AQ52" i="16"/>
  <c r="AQ50" i="16"/>
  <c r="AQ45" i="16"/>
  <c r="AQ42" i="16"/>
  <c r="AQ37" i="16"/>
  <c r="AQ27" i="16"/>
  <c r="AQ25" i="16"/>
  <c r="AQ23" i="16"/>
  <c r="AQ21" i="16"/>
  <c r="AQ18" i="16"/>
  <c r="AQ17" i="16"/>
  <c r="AQ16" i="16"/>
  <c r="AQ14" i="16"/>
  <c r="AQ2463" i="16"/>
  <c r="AQ2460" i="16"/>
  <c r="AQ2456" i="16"/>
  <c r="AQ2454" i="16"/>
  <c r="AQ2441" i="16"/>
  <c r="AQ2438" i="16"/>
  <c r="AQ2436" i="16"/>
  <c r="AQ2430" i="16"/>
  <c r="AQ2429" i="16"/>
  <c r="AQ2428" i="16"/>
  <c r="AQ2427" i="16"/>
  <c r="AQ2426" i="16"/>
  <c r="AQ2425" i="16"/>
  <c r="AQ2424" i="16"/>
  <c r="AQ2419" i="16"/>
  <c r="AQ2418" i="16"/>
  <c r="AQ2417" i="16"/>
  <c r="AQ2416" i="16"/>
  <c r="AQ2415" i="16"/>
  <c r="AQ2414" i="16"/>
  <c r="AQ2412" i="16"/>
  <c r="AQ2411" i="16"/>
  <c r="AQ2410" i="16"/>
  <c r="AQ2395" i="16"/>
  <c r="AQ2391" i="16"/>
  <c r="AQ2390" i="16"/>
  <c r="AQ2389" i="16"/>
  <c r="AQ2387" i="16"/>
  <c r="AQ2386" i="16"/>
  <c r="AQ2384" i="16"/>
  <c r="AQ2377" i="16"/>
  <c r="AQ2373" i="16"/>
  <c r="AQ2393" i="16"/>
  <c r="AQ2392" i="16"/>
  <c r="AQ2371" i="16"/>
  <c r="AQ2361" i="16"/>
  <c r="AQ2359" i="16"/>
  <c r="AQ2357" i="16"/>
  <c r="AQ2356" i="16"/>
  <c r="AQ2354" i="16"/>
  <c r="AQ2351" i="16"/>
  <c r="AQ2349" i="16"/>
  <c r="AQ2346" i="16"/>
  <c r="AQ2365" i="16"/>
  <c r="AQ2362" i="16"/>
  <c r="AQ2344" i="16"/>
  <c r="AQ2338" i="16"/>
  <c r="AQ2337" i="16"/>
  <c r="AQ2336" i="16"/>
  <c r="AQ2334" i="16"/>
  <c r="AQ2333" i="16"/>
  <c r="AQ2331" i="16"/>
  <c r="AQ2328" i="16"/>
  <c r="AQ2325" i="16"/>
  <c r="AQ2303" i="16"/>
  <c r="AQ2271" i="16"/>
  <c r="AQ2270" i="16"/>
  <c r="AQ2268" i="16"/>
  <c r="AQ2266" i="16"/>
  <c r="AQ2265" i="16"/>
  <c r="AQ2264" i="16"/>
  <c r="AQ2260" i="16"/>
  <c r="AQ2302" i="16"/>
  <c r="AQ2301" i="16"/>
  <c r="AQ2299" i="16"/>
  <c r="AQ2297" i="16"/>
  <c r="AQ2295" i="16"/>
  <c r="AQ2259" i="16"/>
  <c r="AQ2294" i="16"/>
  <c r="AQ2292" i="16"/>
  <c r="AQ2290" i="16"/>
  <c r="AQ2289" i="16"/>
  <c r="AQ2287" i="16"/>
  <c r="AQ2285" i="16"/>
  <c r="AQ2281" i="16"/>
  <c r="AQ2275" i="16"/>
  <c r="AQ2274" i="16"/>
  <c r="AQ2273" i="16"/>
  <c r="AQ2258" i="16"/>
  <c r="AS382" i="28"/>
  <c r="AS377" i="28"/>
  <c r="AS375" i="28"/>
  <c r="AS374" i="28"/>
  <c r="AS371" i="28"/>
  <c r="AS366" i="28"/>
  <c r="AS362" i="28"/>
  <c r="AS354" i="28"/>
  <c r="AS349" i="28"/>
  <c r="AS344" i="28"/>
  <c r="AS336" i="28"/>
  <c r="AS332" i="28"/>
  <c r="AS328" i="28"/>
  <c r="AS324" i="28"/>
  <c r="AS322" i="28"/>
  <c r="AS319" i="28"/>
  <c r="AS316" i="28"/>
  <c r="AS314" i="28"/>
  <c r="AS310" i="28"/>
  <c r="AS288" i="28"/>
  <c r="AS247" i="28"/>
  <c r="AS238" i="28"/>
  <c r="AS235" i="28"/>
  <c r="AS232" i="28"/>
  <c r="AS230" i="28"/>
  <c r="AS219" i="28"/>
  <c r="AS215" i="28"/>
  <c r="AS212" i="28"/>
  <c r="AS210" i="28"/>
  <c r="AS208" i="28"/>
  <c r="AS201" i="28"/>
  <c r="AS197" i="28"/>
  <c r="AS190" i="28"/>
  <c r="AS193" i="28"/>
  <c r="AS188" i="28"/>
  <c r="AS186" i="28"/>
  <c r="AS184" i="28"/>
  <c r="AS140" i="28"/>
  <c r="AS135" i="28"/>
  <c r="AS133" i="28"/>
  <c r="AS132" i="28"/>
  <c r="AS130" i="28"/>
  <c r="AS125" i="28"/>
  <c r="AS119" i="28"/>
  <c r="AS115" i="28"/>
  <c r="AS105" i="28"/>
  <c r="AS96" i="28"/>
  <c r="AS93" i="28"/>
  <c r="AS91" i="28"/>
  <c r="AS77" i="28"/>
  <c r="AS72" i="28"/>
  <c r="AS68" i="28"/>
  <c r="AS62" i="28"/>
  <c r="AS60" i="28"/>
  <c r="AS58" i="28"/>
  <c r="AS55" i="28"/>
  <c r="AS53" i="28"/>
  <c r="AS51" i="28"/>
  <c r="AS48" i="28"/>
  <c r="AS46" i="28"/>
  <c r="AS43" i="28"/>
  <c r="AS178" i="28"/>
  <c r="AS176" i="28"/>
  <c r="AS170" i="28"/>
  <c r="AS168" i="28"/>
  <c r="AS164" i="28"/>
  <c r="AS159" i="28"/>
  <c r="AS155" i="28"/>
  <c r="AS154" i="28"/>
  <c r="AS149" i="28"/>
  <c r="AS37" i="28"/>
  <c r="AS34" i="28"/>
  <c r="AS29" i="28"/>
  <c r="AS26" i="28"/>
  <c r="AS23" i="28"/>
  <c r="AS18" i="28"/>
  <c r="AS12" i="28"/>
  <c r="AS233" i="27"/>
  <c r="AS231" i="27"/>
  <c r="AS228" i="27"/>
  <c r="AS223" i="27"/>
  <c r="AS220" i="27"/>
  <c r="AS219" i="27"/>
  <c r="AS217" i="27"/>
  <c r="AS203" i="27"/>
  <c r="AS195" i="27"/>
  <c r="AS192" i="27"/>
  <c r="AS191" i="27"/>
  <c r="AS189" i="27"/>
  <c r="AS175" i="27"/>
  <c r="AS171" i="27"/>
  <c r="AS169" i="27"/>
  <c r="AS168" i="27"/>
  <c r="AS166" i="27"/>
  <c r="AS164" i="27"/>
  <c r="AS158" i="27"/>
  <c r="AS156" i="27"/>
  <c r="AS151" i="27"/>
  <c r="AS150" i="27"/>
  <c r="AS149" i="27"/>
  <c r="AS145" i="27"/>
  <c r="AS143" i="27"/>
  <c r="AS140" i="27"/>
  <c r="AS138" i="27"/>
  <c r="AS134" i="27"/>
  <c r="AS131" i="27"/>
  <c r="AS124" i="27"/>
  <c r="AS122" i="27"/>
  <c r="AS117" i="27"/>
  <c r="AS112" i="27"/>
  <c r="AS100" i="27"/>
  <c r="AS97" i="27"/>
  <c r="AS92" i="27"/>
  <c r="AS80" i="27"/>
  <c r="AS75" i="27"/>
  <c r="AS73" i="27"/>
  <c r="AS66" i="27"/>
  <c r="AS64" i="27"/>
  <c r="AS56" i="27"/>
  <c r="AS55" i="27"/>
  <c r="AS211" i="27"/>
  <c r="AS50" i="27"/>
  <c r="AS45" i="27"/>
  <c r="AS34" i="27"/>
  <c r="AS13" i="27"/>
  <c r="AS736" i="25"/>
  <c r="AS733" i="25"/>
  <c r="AS730" i="25"/>
  <c r="AS729" i="25"/>
  <c r="AS725" i="25"/>
  <c r="AS710" i="25"/>
  <c r="AS708" i="25"/>
  <c r="AS706" i="25"/>
  <c r="AS704" i="25"/>
  <c r="AS701" i="25"/>
  <c r="AS700" i="25"/>
  <c r="AS699" i="25"/>
  <c r="AS698" i="25"/>
  <c r="AS697" i="25"/>
  <c r="AS696" i="25"/>
  <c r="AS695" i="25"/>
  <c r="AS694" i="25"/>
  <c r="AS686" i="25"/>
  <c r="AS679" i="25"/>
  <c r="AS674" i="25"/>
  <c r="AS767" i="25"/>
  <c r="AS766" i="25"/>
  <c r="AS761" i="25"/>
  <c r="AS757" i="25"/>
  <c r="AS752" i="25"/>
  <c r="AS748" i="25"/>
  <c r="AS746" i="25"/>
  <c r="AS741" i="25"/>
  <c r="AS671" i="25"/>
  <c r="AS669" i="25"/>
  <c r="AS668" i="25"/>
  <c r="AS667" i="25"/>
  <c r="AS666" i="25"/>
  <c r="AS659" i="25"/>
  <c r="AS657" i="25"/>
  <c r="AS655" i="25"/>
  <c r="AS652" i="25"/>
  <c r="AS651" i="25"/>
  <c r="AS650" i="25"/>
  <c r="AS649" i="25"/>
  <c r="AS648" i="25"/>
  <c r="AS647" i="25"/>
  <c r="AS646" i="25"/>
  <c r="AS637" i="25"/>
  <c r="AS634" i="25"/>
  <c r="AS632" i="25"/>
  <c r="AS626" i="25"/>
  <c r="AS623" i="25"/>
  <c r="AS610" i="25"/>
  <c r="AS608" i="25"/>
  <c r="AS606" i="25"/>
  <c r="AS604" i="25"/>
  <c r="AS603" i="25"/>
  <c r="AS602" i="25"/>
  <c r="AS601" i="25"/>
  <c r="AS600" i="25"/>
  <c r="AS599" i="25"/>
  <c r="AS597" i="25"/>
  <c r="AS595" i="25"/>
  <c r="AS592" i="25"/>
  <c r="AS587" i="25"/>
  <c r="AS586" i="25"/>
  <c r="AS583" i="25"/>
  <c r="AS581" i="25"/>
  <c r="AS578" i="25"/>
  <c r="AS573" i="25"/>
  <c r="AS568" i="25"/>
  <c r="AS564" i="25"/>
  <c r="AS561" i="25"/>
  <c r="AS557" i="25"/>
  <c r="AS541" i="25"/>
  <c r="AS538" i="25"/>
  <c r="AS535" i="25"/>
  <c r="AS527" i="25"/>
  <c r="AS524" i="25"/>
  <c r="AS520" i="25"/>
  <c r="AS515" i="25"/>
  <c r="AS513" i="25"/>
  <c r="AS511" i="25"/>
  <c r="AS506" i="25"/>
  <c r="AS504" i="25"/>
  <c r="AS501" i="25"/>
  <c r="AS499" i="25"/>
  <c r="AS498" i="25"/>
  <c r="AS497" i="25"/>
  <c r="AS495" i="25"/>
  <c r="AS487" i="25"/>
  <c r="AS482" i="25"/>
  <c r="AS481" i="25"/>
  <c r="AS480" i="25"/>
  <c r="AS477" i="25"/>
  <c r="AS475" i="25"/>
  <c r="AS474" i="25"/>
  <c r="AS473" i="25"/>
  <c r="AS470" i="25"/>
  <c r="AS468" i="25"/>
  <c r="AS466" i="25"/>
  <c r="AS464" i="25"/>
  <c r="AS462" i="25"/>
  <c r="AS457" i="25"/>
  <c r="AS456" i="25"/>
  <c r="AS455" i="25"/>
  <c r="AS452" i="25"/>
  <c r="AS450" i="25"/>
  <c r="AS448" i="25"/>
  <c r="AS428" i="25"/>
  <c r="AS427" i="25"/>
  <c r="AS425" i="25"/>
  <c r="AS423" i="25"/>
  <c r="AS374" i="25"/>
  <c r="AS364" i="25"/>
  <c r="AS362" i="25"/>
  <c r="AS360" i="25"/>
  <c r="AS359" i="25"/>
  <c r="AS356" i="25"/>
  <c r="AS354" i="25"/>
  <c r="AS348" i="25"/>
  <c r="AS341" i="25"/>
  <c r="AS335" i="25"/>
  <c r="AS331" i="25"/>
  <c r="AS330" i="25"/>
  <c r="AS328" i="25"/>
  <c r="AS322" i="25"/>
  <c r="AS318" i="25"/>
  <c r="AS316" i="25"/>
  <c r="AS310" i="25"/>
  <c r="AS304" i="25"/>
  <c r="AS299" i="25"/>
  <c r="AS296" i="25"/>
  <c r="AS290" i="25"/>
  <c r="AS284" i="25"/>
  <c r="AS277" i="25"/>
  <c r="AS270" i="25"/>
  <c r="AS260" i="25"/>
  <c r="AS252" i="25"/>
  <c r="AS244" i="25"/>
  <c r="AS236" i="25"/>
  <c r="AS232" i="25"/>
  <c r="AS229" i="25"/>
  <c r="AS227" i="25"/>
  <c r="AS220" i="25"/>
  <c r="AS214" i="25"/>
  <c r="AS211" i="25"/>
  <c r="AS196" i="25"/>
  <c r="AS192" i="25"/>
  <c r="AS189" i="25"/>
  <c r="AS183" i="25"/>
  <c r="AS179" i="25"/>
  <c r="AS173" i="25"/>
  <c r="AS172" i="25"/>
  <c r="AS170" i="25"/>
  <c r="AS160" i="25"/>
  <c r="AS150" i="25"/>
  <c r="AS147" i="25"/>
  <c r="AS108" i="25"/>
  <c r="AS121" i="25"/>
  <c r="AS119" i="25"/>
  <c r="AS118" i="25"/>
  <c r="AS117" i="25"/>
  <c r="AS116" i="25"/>
  <c r="AS114" i="25"/>
  <c r="AS113" i="25"/>
  <c r="AS111" i="25"/>
  <c r="AS110" i="25"/>
  <c r="AS145" i="25"/>
  <c r="AS142" i="25"/>
  <c r="AS141" i="25"/>
  <c r="AS140" i="25"/>
  <c r="AS138" i="25"/>
  <c r="AS135" i="25"/>
  <c r="AS133" i="25"/>
  <c r="AS129" i="25"/>
  <c r="AS128" i="25"/>
  <c r="AS105" i="25"/>
  <c r="AS100" i="25"/>
  <c r="AS99" i="25"/>
  <c r="AS98" i="25"/>
  <c r="AS97" i="25"/>
  <c r="AS96" i="25"/>
  <c r="AS95" i="25"/>
  <c r="AS94" i="25"/>
  <c r="AS93" i="25"/>
  <c r="AS92" i="25"/>
  <c r="AS91" i="25"/>
  <c r="AS90" i="25"/>
  <c r="AS89" i="25"/>
  <c r="AS88" i="25"/>
  <c r="AS84" i="25"/>
  <c r="AS81" i="25"/>
  <c r="AS80" i="25"/>
  <c r="AS71" i="25"/>
  <c r="AS68" i="25"/>
  <c r="AS77" i="25"/>
  <c r="AS63" i="25"/>
  <c r="AS59" i="25"/>
  <c r="AS57" i="25"/>
  <c r="AS56" i="25"/>
  <c r="AS55" i="25"/>
  <c r="AS54" i="25"/>
  <c r="AS52" i="25"/>
  <c r="AS51" i="25"/>
  <c r="AS50" i="25"/>
  <c r="AS47" i="25"/>
  <c r="AS45" i="25"/>
  <c r="AS44" i="25"/>
  <c r="AS42" i="25"/>
  <c r="AS41" i="25"/>
  <c r="AS27" i="25"/>
  <c r="AS24" i="25"/>
  <c r="AS20" i="25"/>
  <c r="AS17" i="25"/>
  <c r="AS546" i="24"/>
  <c r="AS542" i="24"/>
  <c r="AS540" i="24"/>
  <c r="AS536" i="24"/>
  <c r="AS535" i="24"/>
  <c r="AS534" i="24"/>
  <c r="AS532" i="24"/>
  <c r="AS530" i="24"/>
  <c r="AS526" i="24"/>
  <c r="AS521" i="24"/>
  <c r="AS517" i="24"/>
  <c r="AS515" i="24"/>
  <c r="AS513" i="24"/>
  <c r="AS511" i="24"/>
  <c r="AS509" i="24"/>
  <c r="AS507" i="24"/>
  <c r="AS506" i="24"/>
  <c r="AS495" i="24"/>
  <c r="AS487" i="24"/>
  <c r="AS477" i="24"/>
  <c r="AS459" i="24"/>
  <c r="AS453" i="24"/>
  <c r="AS446" i="24"/>
  <c r="AS465" i="24"/>
  <c r="AS439" i="24"/>
  <c r="AS432" i="24"/>
  <c r="AS426" i="24"/>
  <c r="AS418" i="24"/>
  <c r="AS409" i="24"/>
  <c r="AS400" i="24"/>
  <c r="AS392" i="24"/>
  <c r="AS390" i="24"/>
  <c r="AS379" i="24"/>
  <c r="AS376" i="24"/>
  <c r="AS370" i="24"/>
  <c r="AS365" i="24"/>
  <c r="AS356" i="24"/>
  <c r="AS354" i="24"/>
  <c r="AS353" i="24"/>
  <c r="AS351" i="24"/>
  <c r="AS350" i="24"/>
  <c r="AS319" i="24"/>
  <c r="AS314" i="24"/>
  <c r="AS313" i="24"/>
  <c r="AS306" i="24"/>
  <c r="AS293" i="24"/>
  <c r="AS278" i="24"/>
  <c r="AS275" i="24"/>
  <c r="AS271" i="24"/>
  <c r="AS269" i="24"/>
  <c r="AS267" i="24"/>
  <c r="AS265" i="24"/>
  <c r="AS261" i="24"/>
  <c r="AS254" i="24"/>
  <c r="AS248" i="24"/>
  <c r="AS244" i="24"/>
  <c r="AS242" i="24"/>
  <c r="AS237" i="24"/>
  <c r="AS233" i="24"/>
  <c r="AS230" i="24"/>
  <c r="AS229" i="24"/>
  <c r="AS227" i="24"/>
  <c r="AS191" i="24"/>
  <c r="AS189" i="24"/>
  <c r="AS183" i="24"/>
  <c r="AS179" i="24"/>
  <c r="AS178" i="24"/>
  <c r="AS175" i="24"/>
  <c r="AS165" i="24"/>
  <c r="AS157" i="24"/>
  <c r="AS153" i="24"/>
  <c r="AS151" i="24"/>
  <c r="AS149" i="24"/>
  <c r="AS146" i="24"/>
  <c r="AS144" i="24"/>
  <c r="AS131" i="24"/>
  <c r="AS122" i="24"/>
  <c r="AS119" i="24"/>
  <c r="AS117" i="24"/>
  <c r="AS113" i="24"/>
  <c r="AS111" i="24"/>
  <c r="AS105" i="24"/>
  <c r="AS103" i="24"/>
  <c r="AS98" i="24"/>
  <c r="AS220" i="24"/>
  <c r="AS219" i="24"/>
  <c r="AS218" i="24"/>
  <c r="AS216" i="24"/>
  <c r="AS210" i="24"/>
  <c r="AS207" i="24"/>
  <c r="AS205" i="24"/>
  <c r="AS193" i="24"/>
  <c r="AS96" i="24"/>
  <c r="AS93" i="24"/>
  <c r="AS80" i="24"/>
  <c r="AS62" i="24"/>
  <c r="AS57" i="24"/>
  <c r="AS56" i="24"/>
  <c r="AS55" i="24"/>
  <c r="AS54" i="24"/>
  <c r="AS53" i="24"/>
  <c r="AS52" i="24"/>
  <c r="AS46" i="24"/>
  <c r="AS45" i="24"/>
  <c r="AS44" i="24"/>
  <c r="AS43" i="24"/>
  <c r="AS42" i="24"/>
  <c r="AS41" i="24"/>
  <c r="AS37" i="24"/>
  <c r="AS34" i="24"/>
  <c r="AS31" i="24"/>
  <c r="AS13" i="24"/>
  <c r="AS317" i="8"/>
  <c r="AS316" i="8"/>
  <c r="AS313" i="8"/>
  <c r="AS310" i="8"/>
  <c r="AS306" i="8"/>
  <c r="AS294" i="8"/>
  <c r="AS293" i="8"/>
  <c r="AS292" i="8"/>
  <c r="AS289" i="8"/>
  <c r="AS287" i="8"/>
  <c r="AS283" i="8"/>
  <c r="AS276" i="8"/>
  <c r="AS273" i="8"/>
  <c r="AS263" i="8"/>
  <c r="AS326" i="8"/>
  <c r="AS324" i="8"/>
  <c r="AS322" i="8"/>
  <c r="AS258" i="8"/>
  <c r="AS256" i="8"/>
  <c r="AS254" i="8"/>
  <c r="AS247" i="8"/>
  <c r="AS239" i="8"/>
  <c r="AS238" i="8"/>
  <c r="AS235" i="8"/>
  <c r="AS231" i="8"/>
  <c r="AS229" i="8"/>
  <c r="AS227" i="8"/>
  <c r="AS226" i="8"/>
  <c r="AS224" i="8"/>
  <c r="AS221" i="8"/>
  <c r="AS214" i="8"/>
  <c r="AS209" i="8"/>
  <c r="AS201" i="8"/>
  <c r="AS195" i="8"/>
  <c r="AS188" i="8"/>
  <c r="AS177" i="8"/>
  <c r="AS172" i="8"/>
  <c r="AS171" i="8"/>
  <c r="AS166" i="8"/>
  <c r="AS163" i="8"/>
  <c r="AS161" i="8"/>
  <c r="AS158" i="8"/>
  <c r="AS156" i="8"/>
  <c r="AS186" i="8"/>
  <c r="AS184" i="8"/>
  <c r="AS182" i="8"/>
  <c r="AS179" i="8"/>
  <c r="AS150" i="8"/>
  <c r="AS146" i="8"/>
  <c r="AS143" i="8"/>
  <c r="AS141" i="8"/>
  <c r="AS136" i="8"/>
  <c r="AS129" i="8"/>
  <c r="AS125" i="8"/>
  <c r="AS122" i="8"/>
  <c r="AS115" i="8"/>
  <c r="AS102" i="8"/>
  <c r="AS89" i="8"/>
  <c r="AS69" i="8"/>
  <c r="AS64" i="8"/>
  <c r="AS59" i="8"/>
  <c r="AS56" i="8"/>
  <c r="AS53" i="8"/>
  <c r="AS51" i="8"/>
  <c r="AS46" i="8"/>
  <c r="AS43" i="8"/>
  <c r="AS38" i="8"/>
  <c r="AS28" i="8"/>
  <c r="AS26" i="8"/>
  <c r="AS24" i="8"/>
  <c r="AS22" i="8"/>
  <c r="AS20" i="8"/>
  <c r="AS14" i="8"/>
  <c r="AS220" i="29"/>
  <c r="AS217" i="29"/>
  <c r="AS213" i="29"/>
  <c r="AS211" i="29"/>
  <c r="AS198" i="29"/>
  <c r="AS195" i="29"/>
  <c r="AS193" i="29"/>
  <c r="AS187" i="29"/>
  <c r="AS186" i="29"/>
  <c r="AS185" i="29"/>
  <c r="AS184" i="29"/>
  <c r="AS183" i="29"/>
  <c r="AS182" i="29"/>
  <c r="AS181" i="29"/>
  <c r="AS176" i="29"/>
  <c r="AS175" i="29"/>
  <c r="AS174" i="29"/>
  <c r="AS173" i="29"/>
  <c r="AS172" i="29"/>
  <c r="AS171" i="29"/>
  <c r="AS169" i="29"/>
  <c r="AS168" i="29"/>
  <c r="AS167" i="29"/>
  <c r="AS152" i="29"/>
  <c r="AS148" i="29"/>
  <c r="AS147" i="29"/>
  <c r="AS146" i="29"/>
  <c r="AS144" i="29"/>
  <c r="AS143" i="29"/>
  <c r="AS141" i="29"/>
  <c r="AS134" i="29"/>
  <c r="AS130" i="29"/>
  <c r="AS150" i="29"/>
  <c r="AS149" i="29"/>
  <c r="AS128" i="29"/>
  <c r="AS118" i="29"/>
  <c r="AS116" i="29"/>
  <c r="AS114" i="29"/>
  <c r="AS113" i="29"/>
  <c r="AS111" i="29"/>
  <c r="AS108" i="29"/>
  <c r="AS106" i="29"/>
  <c r="AS103" i="29"/>
  <c r="AS122" i="29"/>
  <c r="AS119" i="29"/>
  <c r="AS101" i="29"/>
  <c r="AS95" i="29"/>
  <c r="AS94" i="29"/>
  <c r="AS93" i="29"/>
  <c r="AS91" i="29"/>
  <c r="AS90" i="29"/>
  <c r="AS88" i="29"/>
  <c r="AS85" i="29"/>
  <c r="AS82" i="29"/>
  <c r="AS60" i="29"/>
  <c r="AS28" i="29"/>
  <c r="AS27" i="29"/>
  <c r="AS25" i="29"/>
  <c r="AS23" i="29"/>
  <c r="AS22" i="29"/>
  <c r="AS21" i="29"/>
  <c r="AS17" i="29"/>
  <c r="AS59" i="29"/>
  <c r="AS58" i="29"/>
  <c r="AS56" i="29"/>
  <c r="AS54" i="29"/>
  <c r="AS52" i="29"/>
  <c r="AS16" i="29"/>
  <c r="AS51" i="29"/>
  <c r="AS49" i="29"/>
  <c r="AS47" i="29"/>
  <c r="AS46" i="29"/>
  <c r="AS44" i="29"/>
  <c r="AS42" i="29"/>
  <c r="AS38" i="29"/>
  <c r="AS32" i="29"/>
  <c r="AS31" i="29"/>
  <c r="AS30" i="29"/>
  <c r="AS15" i="29"/>
  <c r="AQ382" i="28"/>
  <c r="AQ377" i="28"/>
  <c r="AQ375" i="28"/>
  <c r="AQ374" i="28"/>
  <c r="AQ371" i="28"/>
  <c r="AQ366" i="28"/>
  <c r="AQ362" i="28"/>
  <c r="AQ354" i="28"/>
  <c r="AQ349" i="28"/>
  <c r="AQ344" i="28"/>
  <c r="AQ339" i="28"/>
  <c r="AQ338" i="28"/>
  <c r="AQ332" i="28"/>
  <c r="AQ328" i="28"/>
  <c r="AQ324" i="28"/>
  <c r="AQ322" i="28"/>
  <c r="AQ319" i="28"/>
  <c r="AQ316" i="28"/>
  <c r="AQ314" i="28"/>
  <c r="AQ288" i="28"/>
  <c r="AQ286" i="28"/>
  <c r="AQ238" i="28"/>
  <c r="AQ235" i="28"/>
  <c r="AQ232" i="28"/>
  <c r="AQ230" i="28"/>
  <c r="AQ219" i="28"/>
  <c r="AQ215" i="28"/>
  <c r="AQ212" i="28"/>
  <c r="AQ210" i="28"/>
  <c r="AQ208" i="28"/>
  <c r="AQ205" i="28"/>
  <c r="AQ203" i="28"/>
  <c r="AQ197" i="28"/>
  <c r="AQ190" i="28"/>
  <c r="AQ196" i="28"/>
  <c r="AQ194" i="28"/>
  <c r="AQ188" i="28"/>
  <c r="AQ186" i="28"/>
  <c r="AQ184" i="28"/>
  <c r="AQ140" i="28"/>
  <c r="AQ135" i="28"/>
  <c r="AQ133" i="28"/>
  <c r="AQ132" i="28"/>
  <c r="AQ130" i="28"/>
  <c r="AQ119" i="28"/>
  <c r="AQ116" i="28"/>
  <c r="AQ115" i="28"/>
  <c r="AQ105" i="28"/>
  <c r="AQ96" i="28"/>
  <c r="AQ93" i="28"/>
  <c r="AQ91" i="28"/>
  <c r="AQ80" i="28"/>
  <c r="AQ79" i="28"/>
  <c r="AQ78" i="28"/>
  <c r="AQ77" i="28"/>
  <c r="AQ72" i="28"/>
  <c r="AQ68" i="28"/>
  <c r="AQ62" i="28"/>
  <c r="AQ60" i="28"/>
  <c r="AQ58" i="28"/>
  <c r="AQ55" i="28"/>
  <c r="AQ53" i="28"/>
  <c r="AQ51" i="28"/>
  <c r="AQ48" i="28"/>
  <c r="AQ46" i="28"/>
  <c r="AQ43" i="28"/>
  <c r="AQ178" i="28"/>
  <c r="AQ176" i="28"/>
  <c r="AQ173" i="28"/>
  <c r="AQ172" i="28"/>
  <c r="AQ168" i="28"/>
  <c r="AQ164" i="28"/>
  <c r="AQ159" i="28"/>
  <c r="AQ155" i="28"/>
  <c r="AQ154" i="28"/>
  <c r="AQ149" i="28"/>
  <c r="AQ37" i="28"/>
  <c r="AQ34" i="28"/>
  <c r="AQ29" i="28"/>
  <c r="AQ26" i="28"/>
  <c r="AQ23" i="28"/>
  <c r="AQ18" i="28"/>
  <c r="AQ12" i="28"/>
  <c r="AQ233" i="27"/>
  <c r="AQ231" i="27"/>
  <c r="AQ228" i="27"/>
  <c r="AQ223" i="27"/>
  <c r="AQ221" i="27"/>
  <c r="AQ219" i="27"/>
  <c r="AQ217" i="27"/>
  <c r="AQ203" i="27"/>
  <c r="AQ195" i="27"/>
  <c r="AQ192" i="27"/>
  <c r="AQ191" i="27"/>
  <c r="AQ189" i="27"/>
  <c r="AQ175" i="27"/>
  <c r="AQ171" i="27"/>
  <c r="AQ169" i="27"/>
  <c r="AQ168" i="27"/>
  <c r="AQ166" i="27"/>
  <c r="AQ164" i="27"/>
  <c r="AQ158" i="27"/>
  <c r="AQ156" i="27"/>
  <c r="AQ151" i="27"/>
  <c r="AQ150" i="27"/>
  <c r="AQ149" i="27"/>
  <c r="AQ145" i="27"/>
  <c r="AQ143" i="27"/>
  <c r="AQ140" i="27"/>
  <c r="AQ138" i="27"/>
  <c r="AQ134" i="27"/>
  <c r="AQ131" i="27"/>
  <c r="AQ124" i="27"/>
  <c r="AQ117" i="27"/>
  <c r="AQ112" i="27"/>
  <c r="AQ102" i="27"/>
  <c r="AQ100" i="27"/>
  <c r="AQ97" i="27"/>
  <c r="AQ92" i="27"/>
  <c r="AQ80" i="27"/>
  <c r="AQ75" i="27"/>
  <c r="AQ73" i="27"/>
  <c r="AQ66" i="27"/>
  <c r="AQ64" i="27"/>
  <c r="AQ56" i="27"/>
  <c r="AQ55" i="27"/>
  <c r="AQ211" i="27"/>
  <c r="AQ50" i="27"/>
  <c r="AQ21" i="27"/>
  <c r="AQ13" i="27"/>
  <c r="AQ736" i="25"/>
  <c r="AQ733" i="25"/>
  <c r="AQ730" i="25"/>
  <c r="AQ729" i="25"/>
  <c r="AQ725" i="25"/>
  <c r="AQ715" i="25"/>
  <c r="AQ713" i="25"/>
  <c r="AQ711" i="25"/>
  <c r="AQ708" i="25"/>
  <c r="AQ706" i="25"/>
  <c r="AQ704" i="25"/>
  <c r="AQ701" i="25"/>
  <c r="AQ700" i="25"/>
  <c r="AQ699" i="25"/>
  <c r="AQ698" i="25"/>
  <c r="AQ697" i="25"/>
  <c r="AQ696" i="25"/>
  <c r="AQ695" i="25"/>
  <c r="AQ694" i="25"/>
  <c r="AQ679" i="25"/>
  <c r="AQ674" i="25"/>
  <c r="AQ767" i="25"/>
  <c r="AQ766" i="25"/>
  <c r="AQ761" i="25"/>
  <c r="AQ757" i="25"/>
  <c r="AQ752" i="25"/>
  <c r="AQ748" i="25"/>
  <c r="AQ746" i="25"/>
  <c r="AQ741" i="25"/>
  <c r="AQ671" i="25"/>
  <c r="AQ669" i="25"/>
  <c r="AQ668" i="25"/>
  <c r="AQ667" i="25"/>
  <c r="AQ666" i="25"/>
  <c r="AQ659" i="25"/>
  <c r="AQ657" i="25"/>
  <c r="AQ655" i="25"/>
  <c r="AQ645" i="25"/>
  <c r="AQ643" i="25"/>
  <c r="AQ637" i="25"/>
  <c r="AQ634" i="25"/>
  <c r="AQ632" i="25"/>
  <c r="AQ626" i="25"/>
  <c r="AQ625" i="25"/>
  <c r="AQ623" i="25"/>
  <c r="AQ597" i="25"/>
  <c r="AQ595" i="25"/>
  <c r="AQ592" i="25"/>
  <c r="AQ587" i="25"/>
  <c r="AQ586" i="25"/>
  <c r="AQ584" i="25"/>
  <c r="AQ581" i="25"/>
  <c r="AQ578" i="25"/>
  <c r="AQ573" i="25"/>
  <c r="AQ568" i="25"/>
  <c r="AQ564" i="25"/>
  <c r="AQ561" i="25"/>
  <c r="AQ557" i="25"/>
  <c r="AQ517" i="25"/>
  <c r="AQ515" i="25"/>
  <c r="AQ513" i="25"/>
  <c r="AQ511" i="25"/>
  <c r="AQ506" i="25"/>
  <c r="AQ504" i="25"/>
  <c r="AQ501" i="25"/>
  <c r="AQ499" i="25"/>
  <c r="AQ498" i="25"/>
  <c r="AQ497" i="25"/>
  <c r="AQ495" i="25"/>
  <c r="AQ487" i="25"/>
  <c r="AQ460" i="25"/>
  <c r="AQ457" i="25"/>
  <c r="AQ456" i="25"/>
  <c r="AQ455" i="25"/>
  <c r="AQ452" i="25"/>
  <c r="AQ450" i="25"/>
  <c r="AQ448" i="25"/>
  <c r="AQ431" i="25"/>
  <c r="AQ429" i="25"/>
  <c r="AQ427" i="25"/>
  <c r="AQ425" i="25"/>
  <c r="AQ423" i="25"/>
  <c r="AQ422" i="25"/>
  <c r="AQ402" i="25"/>
  <c r="AQ400" i="25"/>
  <c r="AQ383" i="25"/>
  <c r="AQ381" i="25"/>
  <c r="AQ375" i="25"/>
  <c r="AQ364" i="25"/>
  <c r="AQ362" i="25"/>
  <c r="AQ360" i="25"/>
  <c r="AQ359" i="25"/>
  <c r="AQ356" i="25"/>
  <c r="AQ354" i="25"/>
  <c r="AQ348" i="25"/>
  <c r="AQ343" i="25"/>
  <c r="AQ341" i="25"/>
  <c r="AQ336" i="25"/>
  <c r="AQ331" i="25"/>
  <c r="AQ330" i="25"/>
  <c r="AQ328" i="25"/>
  <c r="AQ323" i="25"/>
  <c r="AQ318" i="25"/>
  <c r="AQ316" i="25"/>
  <c r="AQ311" i="25"/>
  <c r="AQ305" i="25"/>
  <c r="AQ300" i="25"/>
  <c r="AQ297" i="25"/>
  <c r="AQ291" i="25"/>
  <c r="AQ284" i="25"/>
  <c r="AQ278" i="25"/>
  <c r="AQ271" i="25"/>
  <c r="AQ260" i="25"/>
  <c r="AQ252" i="25"/>
  <c r="AQ244" i="25"/>
  <c r="AQ236" i="25"/>
  <c r="AQ229" i="25"/>
  <c r="AQ228" i="25"/>
  <c r="AQ222" i="25"/>
  <c r="AQ220" i="25"/>
  <c r="AQ214" i="25"/>
  <c r="AQ211" i="25"/>
  <c r="AQ196" i="25"/>
  <c r="AQ185" i="25"/>
  <c r="AQ179" i="25"/>
  <c r="AQ173" i="25"/>
  <c r="AQ172" i="25"/>
  <c r="AQ170" i="25"/>
  <c r="AQ160" i="25"/>
  <c r="AQ150" i="25"/>
  <c r="AQ108" i="25"/>
  <c r="AQ121" i="25"/>
  <c r="AQ105" i="25"/>
  <c r="AQ124" i="25"/>
  <c r="AQ100" i="25"/>
  <c r="AQ99" i="25"/>
  <c r="AQ98" i="25"/>
  <c r="AQ97" i="25"/>
  <c r="AQ96" i="25"/>
  <c r="AQ95" i="25"/>
  <c r="AQ94" i="25"/>
  <c r="AQ93" i="25"/>
  <c r="AQ92" i="25"/>
  <c r="AQ91" i="25"/>
  <c r="AQ90" i="25"/>
  <c r="AQ89" i="25"/>
  <c r="AQ88" i="25"/>
  <c r="AQ85" i="25"/>
  <c r="AQ81" i="25"/>
  <c r="AQ80" i="25"/>
  <c r="AQ71" i="25"/>
  <c r="AQ68" i="25"/>
  <c r="AQ77" i="25"/>
  <c r="AQ63" i="25"/>
  <c r="AQ59" i="25"/>
  <c r="AQ57" i="25"/>
  <c r="AQ56" i="25"/>
  <c r="AQ55" i="25"/>
  <c r="AQ54" i="25"/>
  <c r="AQ52" i="25"/>
  <c r="AQ51" i="25"/>
  <c r="AQ50" i="25"/>
  <c r="AQ47" i="25"/>
  <c r="AQ45" i="25"/>
  <c r="AQ44" i="25"/>
  <c r="AQ42" i="25"/>
  <c r="AQ41" i="25"/>
  <c r="AQ28" i="25"/>
  <c r="AQ12" i="25"/>
  <c r="AQ546" i="24"/>
  <c r="AQ542" i="24"/>
  <c r="AQ540" i="24"/>
  <c r="AQ536" i="24"/>
  <c r="AQ535" i="24"/>
  <c r="AQ534" i="24"/>
  <c r="AQ532" i="24"/>
  <c r="AQ530" i="24"/>
  <c r="AQ526" i="24"/>
  <c r="AQ521" i="24"/>
  <c r="AQ517" i="24"/>
  <c r="AQ515" i="24"/>
  <c r="AQ513" i="24"/>
  <c r="AQ511" i="24"/>
  <c r="AQ509" i="24"/>
  <c r="AQ507" i="24"/>
  <c r="AQ506" i="24"/>
  <c r="AQ495" i="24"/>
  <c r="AQ489" i="24"/>
  <c r="AQ478" i="24"/>
  <c r="AQ460" i="24"/>
  <c r="AQ454" i="24"/>
  <c r="AQ447" i="24"/>
  <c r="AQ466" i="24"/>
  <c r="AQ441" i="24"/>
  <c r="AQ434" i="24"/>
  <c r="AQ426" i="24"/>
  <c r="AQ418" i="24"/>
  <c r="AQ409" i="24"/>
  <c r="AQ392" i="24"/>
  <c r="AQ390" i="24"/>
  <c r="AQ379" i="24"/>
  <c r="AQ376" i="24"/>
  <c r="AQ370" i="24"/>
  <c r="AQ365" i="24"/>
  <c r="AQ356" i="24"/>
  <c r="AQ354" i="24"/>
  <c r="AQ353" i="24"/>
  <c r="AQ351" i="24"/>
  <c r="AQ350" i="24"/>
  <c r="AQ326" i="24"/>
  <c r="AQ325" i="24"/>
  <c r="AQ324" i="24"/>
  <c r="AQ323" i="24"/>
  <c r="AQ322" i="24"/>
  <c r="AQ321" i="24"/>
  <c r="AQ320" i="24"/>
  <c r="AQ319" i="24"/>
  <c r="AQ314" i="24"/>
  <c r="AQ313" i="24"/>
  <c r="AQ312" i="24"/>
  <c r="AQ311" i="24"/>
  <c r="AQ310" i="24"/>
  <c r="AQ309" i="24"/>
  <c r="AQ308" i="24"/>
  <c r="AQ307" i="24"/>
  <c r="AQ306" i="24"/>
  <c r="AQ293" i="24"/>
  <c r="AQ291" i="24"/>
  <c r="AQ278" i="24"/>
  <c r="AQ275" i="24"/>
  <c r="AQ272" i="24"/>
  <c r="AQ270" i="24"/>
  <c r="AQ268" i="24"/>
  <c r="AQ266" i="24"/>
  <c r="AQ261" i="24"/>
  <c r="AQ254" i="24"/>
  <c r="AQ248" i="24"/>
  <c r="AQ244" i="24"/>
  <c r="AQ242" i="24"/>
  <c r="AQ237" i="24"/>
  <c r="AQ233" i="24"/>
  <c r="AQ230" i="24"/>
  <c r="AQ229" i="24"/>
  <c r="AQ227" i="24"/>
  <c r="AQ191" i="24"/>
  <c r="AQ189" i="24"/>
  <c r="AQ183" i="24"/>
  <c r="AQ179" i="24"/>
  <c r="AQ178" i="24"/>
  <c r="AQ175" i="24"/>
  <c r="AQ165" i="24"/>
  <c r="AQ157" i="24"/>
  <c r="AQ153" i="24"/>
  <c r="AQ151" i="24"/>
  <c r="AQ149" i="24"/>
  <c r="AQ146" i="24"/>
  <c r="AQ144" i="24"/>
  <c r="AQ139" i="24"/>
  <c r="AQ135" i="24"/>
  <c r="AQ131" i="24"/>
  <c r="AQ125" i="24"/>
  <c r="AQ123" i="24"/>
  <c r="AQ122" i="24"/>
  <c r="AQ119" i="24"/>
  <c r="AQ117" i="24"/>
  <c r="AQ113" i="24"/>
  <c r="AQ111" i="24"/>
  <c r="AQ105" i="24"/>
  <c r="AQ103" i="24"/>
  <c r="AQ101" i="24"/>
  <c r="AQ100" i="24"/>
  <c r="AQ220" i="24"/>
  <c r="AQ219" i="24"/>
  <c r="AQ218" i="24"/>
  <c r="AQ216" i="24"/>
  <c r="AQ210" i="24"/>
  <c r="AQ207" i="24"/>
  <c r="AQ205" i="24"/>
  <c r="AQ193" i="24"/>
  <c r="AQ96" i="24"/>
  <c r="AQ93" i="24"/>
  <c r="AQ80" i="24"/>
  <c r="AQ73" i="24"/>
  <c r="AQ71" i="24"/>
  <c r="AQ67" i="24"/>
  <c r="AQ66" i="24"/>
  <c r="AQ65" i="24"/>
  <c r="AQ56" i="24"/>
  <c r="AQ55" i="24"/>
  <c r="AQ54" i="24"/>
  <c r="AQ53" i="24"/>
  <c r="AQ52" i="24"/>
  <c r="AQ46" i="24"/>
  <c r="AQ45" i="24"/>
  <c r="AQ44" i="24"/>
  <c r="AQ43" i="24"/>
  <c r="AQ42" i="24"/>
  <c r="AQ41" i="24"/>
  <c r="AQ37" i="24"/>
  <c r="AQ34" i="24"/>
  <c r="AQ31" i="24"/>
  <c r="AQ317" i="8"/>
  <c r="AQ316" i="8"/>
  <c r="AQ313" i="8"/>
  <c r="AQ310" i="8"/>
  <c r="AQ306" i="8"/>
  <c r="AQ295" i="8"/>
  <c r="AQ293" i="8"/>
  <c r="AQ292" i="8"/>
  <c r="AQ289" i="8"/>
  <c r="AQ287" i="8"/>
  <c r="AQ283" i="8"/>
  <c r="AQ277" i="8"/>
  <c r="AQ273" i="8"/>
  <c r="AQ272" i="8"/>
  <c r="AQ268" i="8"/>
  <c r="AQ265" i="8"/>
  <c r="AQ326" i="8"/>
  <c r="AQ324" i="8"/>
  <c r="AQ322" i="8"/>
  <c r="AQ258" i="8"/>
  <c r="AQ256" i="8"/>
  <c r="AQ254" i="8"/>
  <c r="AQ247" i="8"/>
  <c r="AQ245" i="8"/>
  <c r="AQ244" i="8"/>
  <c r="AQ243" i="8"/>
  <c r="AQ242" i="8"/>
  <c r="AQ241" i="8"/>
  <c r="AQ240" i="8"/>
  <c r="AQ238" i="8"/>
  <c r="AQ235" i="8"/>
  <c r="AQ231" i="8"/>
  <c r="AQ229" i="8"/>
  <c r="AQ227" i="8"/>
  <c r="AQ226" i="8"/>
  <c r="AQ224" i="8"/>
  <c r="AQ219" i="8"/>
  <c r="AQ217" i="8"/>
  <c r="AQ216" i="8"/>
  <c r="AQ209" i="8"/>
  <c r="AQ202" i="8"/>
  <c r="AQ194" i="8"/>
  <c r="AQ192" i="8"/>
  <c r="AQ191" i="8"/>
  <c r="AQ190" i="8"/>
  <c r="AQ177" i="8"/>
  <c r="AQ172" i="8"/>
  <c r="AQ171" i="8"/>
  <c r="AQ166" i="8"/>
  <c r="AQ163" i="8"/>
  <c r="AQ161" i="8"/>
  <c r="AQ158" i="8"/>
  <c r="AQ156" i="8"/>
  <c r="AQ186" i="8"/>
  <c r="AQ184" i="8"/>
  <c r="AQ182" i="8"/>
  <c r="AQ179" i="8"/>
  <c r="AQ150" i="8"/>
  <c r="AQ148" i="8"/>
  <c r="AQ143" i="8"/>
  <c r="AQ141" i="8"/>
  <c r="AQ136" i="8"/>
  <c r="AQ129" i="8"/>
  <c r="AQ125" i="8"/>
  <c r="AQ122" i="8"/>
  <c r="AQ114" i="8"/>
  <c r="AQ113" i="8"/>
  <c r="AQ112" i="8"/>
  <c r="AQ110" i="8"/>
  <c r="AQ109" i="8"/>
  <c r="AQ105" i="8"/>
  <c r="AQ101" i="8"/>
  <c r="AQ99" i="8"/>
  <c r="AQ94" i="8"/>
  <c r="AQ92" i="8"/>
  <c r="AQ91" i="8"/>
  <c r="AQ90" i="8"/>
  <c r="AQ84" i="8"/>
  <c r="AQ82" i="8"/>
  <c r="AQ80" i="8"/>
  <c r="AQ78" i="8"/>
  <c r="AQ76" i="8"/>
  <c r="AQ74" i="8"/>
  <c r="AQ72" i="8"/>
  <c r="AQ70" i="8"/>
  <c r="AQ59" i="8"/>
  <c r="AQ56" i="8"/>
  <c r="AQ53" i="8"/>
  <c r="AQ51" i="8"/>
  <c r="AQ46" i="8"/>
  <c r="AQ43" i="8"/>
  <c r="AQ38" i="8"/>
  <c r="AQ28" i="8"/>
  <c r="AQ26" i="8"/>
  <c r="AQ24" i="8"/>
  <c r="AQ22" i="8"/>
  <c r="AQ19" i="8"/>
  <c r="AQ18" i="8"/>
  <c r="AQ17" i="8"/>
  <c r="AQ15" i="8"/>
  <c r="AQ220" i="29"/>
  <c r="AQ217" i="29"/>
  <c r="AQ213" i="29"/>
  <c r="AQ211" i="29"/>
  <c r="AQ198" i="29"/>
  <c r="AQ195" i="29"/>
  <c r="AQ193" i="29"/>
  <c r="AQ187" i="29"/>
  <c r="AQ186" i="29"/>
  <c r="AQ185" i="29"/>
  <c r="AQ184" i="29"/>
  <c r="AQ183" i="29"/>
  <c r="AQ182" i="29"/>
  <c r="AQ181" i="29"/>
  <c r="AQ176" i="29"/>
  <c r="AQ175" i="29"/>
  <c r="AQ174" i="29"/>
  <c r="AQ173" i="29"/>
  <c r="AQ172" i="29"/>
  <c r="AQ171" i="29"/>
  <c r="AQ169" i="29"/>
  <c r="AQ168" i="29"/>
  <c r="AQ167" i="29"/>
  <c r="AQ152" i="29"/>
  <c r="AQ148" i="29"/>
  <c r="AQ147" i="29"/>
  <c r="AQ146" i="29"/>
  <c r="AQ144" i="29"/>
  <c r="AQ143" i="29"/>
  <c r="AQ141" i="29"/>
  <c r="AQ134" i="29"/>
  <c r="AQ130" i="29"/>
  <c r="AQ150" i="29"/>
  <c r="AQ149" i="29"/>
  <c r="AQ128" i="29"/>
  <c r="AQ118" i="29"/>
  <c r="AQ116" i="29"/>
  <c r="AQ114" i="29"/>
  <c r="AQ113" i="29"/>
  <c r="AQ111" i="29"/>
  <c r="AQ108" i="29"/>
  <c r="AQ106" i="29"/>
  <c r="AQ103" i="29"/>
  <c r="AQ122" i="29"/>
  <c r="AQ119" i="29"/>
  <c r="AQ101" i="29"/>
  <c r="AQ95" i="29"/>
  <c r="AQ94" i="29"/>
  <c r="AQ93" i="29"/>
  <c r="AQ91" i="29"/>
  <c r="AQ90" i="29"/>
  <c r="AQ88" i="29"/>
  <c r="AQ85" i="29"/>
  <c r="AQ82" i="29"/>
  <c r="AQ60" i="29"/>
  <c r="AQ28" i="29"/>
  <c r="AQ27" i="29"/>
  <c r="AQ25" i="29"/>
  <c r="AQ23" i="29"/>
  <c r="AQ22" i="29"/>
  <c r="AQ21" i="29"/>
  <c r="AQ17" i="29"/>
  <c r="AQ59" i="29"/>
  <c r="AQ58" i="29"/>
  <c r="AQ56" i="29"/>
  <c r="AQ54" i="29"/>
  <c r="AQ52" i="29"/>
  <c r="AQ16" i="29"/>
  <c r="AQ51" i="29"/>
  <c r="AQ49" i="29"/>
  <c r="AQ47" i="29"/>
  <c r="AQ46" i="29"/>
  <c r="AQ44" i="29"/>
  <c r="AQ42" i="29"/>
  <c r="AQ38" i="29"/>
  <c r="AQ32" i="29"/>
  <c r="AQ31" i="29"/>
  <c r="AQ30" i="29"/>
  <c r="AQ15" i="29"/>
  <c r="G2037" i="81"/>
  <c r="G197" i="81"/>
  <c r="G195" i="81"/>
  <c r="G1832" i="16"/>
  <c r="G1824" i="16"/>
  <c r="G1478" i="16"/>
  <c r="G1476" i="16"/>
  <c r="G1411" i="16"/>
  <c r="G1266" i="16"/>
  <c r="G1261" i="16"/>
  <c r="G1258" i="16"/>
  <c r="G1256" i="16"/>
  <c r="G1252" i="16"/>
  <c r="G198" i="16"/>
  <c r="G196" i="16"/>
  <c r="A3118" i="80"/>
  <c r="A3117" i="80"/>
  <c r="A3116" i="80"/>
  <c r="A3115" i="80"/>
  <c r="A3114" i="80"/>
  <c r="A3113" i="80"/>
  <c r="A3112" i="80"/>
  <c r="A3111" i="80"/>
  <c r="A3110" i="80"/>
  <c r="A3109" i="80"/>
  <c r="A3108" i="80"/>
  <c r="A3107" i="80"/>
  <c r="A3106" i="80"/>
  <c r="A3091" i="80"/>
  <c r="A3090" i="80"/>
  <c r="A3089" i="80"/>
  <c r="A3088" i="80"/>
  <c r="A3087" i="80"/>
  <c r="A3086" i="80"/>
  <c r="A3085" i="80"/>
  <c r="A3084" i="80"/>
  <c r="A3083" i="80"/>
  <c r="A3082" i="80"/>
  <c r="A3081" i="80"/>
  <c r="A3080" i="80"/>
  <c r="A3079" i="80"/>
  <c r="A3078" i="80"/>
  <c r="A3077" i="80"/>
  <c r="A3076" i="80"/>
  <c r="A3075" i="80"/>
  <c r="A3074" i="80"/>
  <c r="A3073" i="80"/>
  <c r="A3072" i="80"/>
  <c r="A3071" i="80"/>
  <c r="A3070" i="80"/>
  <c r="A3069" i="80"/>
  <c r="A3068" i="80"/>
  <c r="A3067" i="80"/>
  <c r="A3066" i="80"/>
  <c r="A3065" i="80"/>
  <c r="A3064" i="80"/>
  <c r="A3063" i="80"/>
  <c r="A3062" i="80"/>
  <c r="A3061" i="80"/>
  <c r="A3060" i="80"/>
  <c r="A3059" i="80"/>
  <c r="A3058" i="80"/>
  <c r="A3057" i="80"/>
  <c r="A3056" i="80"/>
  <c r="A3055" i="80"/>
  <c r="A3054" i="80"/>
  <c r="A3053" i="80"/>
  <c r="A3052" i="80"/>
  <c r="A3051" i="80"/>
  <c r="A3050" i="80"/>
  <c r="A3049" i="80"/>
  <c r="A3048" i="80"/>
  <c r="A3047" i="80"/>
  <c r="A3046" i="80"/>
  <c r="A3045" i="80"/>
  <c r="A3044" i="80"/>
  <c r="A3043" i="80"/>
  <c r="A3042" i="80"/>
  <c r="A3041" i="80"/>
  <c r="A3040" i="80"/>
  <c r="A3039" i="80"/>
  <c r="A3038" i="80"/>
  <c r="A3037" i="80"/>
  <c r="A3036" i="80"/>
  <c r="A3035" i="80"/>
  <c r="A3034" i="80"/>
  <c r="A3033" i="80"/>
  <c r="A3032" i="80"/>
  <c r="A3031" i="80"/>
  <c r="A3030" i="80"/>
  <c r="A3029" i="80"/>
  <c r="A3028" i="80"/>
  <c r="A3027" i="80"/>
  <c r="A3026" i="80"/>
  <c r="A3025" i="80"/>
  <c r="A3024" i="80"/>
  <c r="A3023" i="80"/>
  <c r="A3022" i="80"/>
  <c r="A3021" i="80"/>
  <c r="A3020" i="80"/>
  <c r="A3019" i="80"/>
  <c r="A3018" i="80"/>
  <c r="A3017" i="80"/>
  <c r="A3016" i="80"/>
  <c r="A3015" i="80"/>
  <c r="A3014" i="80"/>
  <c r="A3013" i="80"/>
  <c r="A3012" i="80"/>
  <c r="A3011" i="80"/>
  <c r="A3010" i="80"/>
  <c r="A3009" i="80"/>
  <c r="A3008" i="80"/>
  <c r="A3007" i="80"/>
  <c r="A3006" i="80"/>
  <c r="A3005" i="80"/>
  <c r="A3004" i="80"/>
  <c r="A3003" i="80"/>
  <c r="A3002" i="80"/>
  <c r="A3001" i="80"/>
  <c r="A3000" i="80"/>
  <c r="A2999" i="80"/>
  <c r="A2998" i="80"/>
  <c r="A2997" i="80"/>
  <c r="A2996" i="80"/>
  <c r="A2995" i="80"/>
  <c r="A2994" i="80"/>
  <c r="A2993" i="80"/>
  <c r="A2992" i="80"/>
  <c r="A2991" i="80"/>
  <c r="A2990" i="80"/>
  <c r="A2989" i="80"/>
  <c r="A2988" i="80"/>
  <c r="A2987" i="80"/>
  <c r="A2986" i="80"/>
  <c r="A2985" i="80"/>
  <c r="A2984" i="80"/>
  <c r="A2983" i="80"/>
  <c r="A2982" i="80"/>
  <c r="A2981" i="80"/>
  <c r="A2980" i="80"/>
  <c r="A2979" i="80"/>
  <c r="A2978" i="80"/>
  <c r="A2977" i="80"/>
  <c r="A2976" i="80"/>
  <c r="A2975" i="80"/>
  <c r="A2974" i="80"/>
  <c r="A2972" i="80"/>
  <c r="A2971" i="80"/>
  <c r="A2970" i="80"/>
  <c r="A2969" i="80"/>
  <c r="A2968" i="80"/>
  <c r="A2967" i="80"/>
  <c r="A2966" i="80"/>
  <c r="A2965" i="80"/>
  <c r="A2964" i="80"/>
  <c r="A2963" i="80"/>
  <c r="A2962" i="80"/>
  <c r="A2961" i="80"/>
  <c r="A2960" i="80"/>
  <c r="A2959" i="80"/>
  <c r="A2958" i="80"/>
  <c r="A2957" i="80"/>
  <c r="A2956" i="80"/>
  <c r="A2955" i="80"/>
  <c r="A2953" i="80"/>
  <c r="A2952" i="80"/>
  <c r="A2951" i="80"/>
  <c r="A2950" i="80"/>
  <c r="A2948" i="80"/>
  <c r="A2947" i="80"/>
  <c r="A2946" i="80"/>
  <c r="A2945" i="80"/>
  <c r="A2944" i="80"/>
  <c r="A2943" i="80"/>
  <c r="A2942" i="80"/>
  <c r="A2941" i="80"/>
  <c r="A2940" i="80"/>
  <c r="A2939" i="80"/>
  <c r="A2938" i="80"/>
  <c r="A2937" i="80"/>
  <c r="A2936" i="80"/>
  <c r="A2935" i="80"/>
  <c r="A2934" i="80"/>
  <c r="A2933" i="80"/>
  <c r="A2932" i="80"/>
  <c r="A2931" i="80"/>
  <c r="A2930" i="80"/>
  <c r="A2929" i="80"/>
  <c r="A2928" i="80"/>
  <c r="A2927" i="80"/>
  <c r="A2926" i="80"/>
  <c r="A2925" i="80"/>
  <c r="A2924" i="80"/>
  <c r="A2923" i="80"/>
  <c r="A2922" i="80"/>
  <c r="A2921" i="80"/>
  <c r="A2920" i="80"/>
  <c r="A2919" i="80"/>
  <c r="A2918" i="80"/>
  <c r="A2917" i="80"/>
  <c r="A2916" i="80"/>
  <c r="A2915" i="80"/>
  <c r="A2914" i="80"/>
  <c r="A2913" i="80"/>
  <c r="A2912" i="80"/>
  <c r="A2911" i="80"/>
  <c r="A2910" i="80"/>
  <c r="A2909" i="80"/>
  <c r="A2908" i="80"/>
  <c r="A2907" i="80"/>
  <c r="A2906" i="80"/>
  <c r="A2905" i="80"/>
  <c r="A2904" i="80"/>
  <c r="A2903" i="80"/>
  <c r="A2902" i="80"/>
  <c r="A2901" i="80"/>
  <c r="A2900" i="80"/>
  <c r="A2899" i="80"/>
  <c r="A2898" i="80"/>
  <c r="A2897" i="80"/>
  <c r="A2896" i="80"/>
  <c r="A2895" i="80"/>
  <c r="A2894" i="80"/>
  <c r="A2892" i="80"/>
  <c r="A2891" i="80"/>
  <c r="A2890" i="80"/>
  <c r="A2889" i="80"/>
  <c r="A2888" i="80"/>
  <c r="A2887" i="80"/>
  <c r="A2886" i="80"/>
  <c r="A2885" i="80"/>
  <c r="A2884" i="80"/>
  <c r="A2883" i="80"/>
  <c r="A2882" i="80"/>
  <c r="A2881" i="80"/>
  <c r="A2880" i="80"/>
  <c r="A2879" i="80"/>
  <c r="A2878" i="80"/>
  <c r="A2877" i="80"/>
  <c r="A2876" i="80"/>
  <c r="A2875" i="80"/>
  <c r="A2874" i="80"/>
  <c r="A2873" i="80"/>
  <c r="A2872" i="80"/>
  <c r="A2871" i="80"/>
  <c r="A2870" i="80"/>
  <c r="A2869" i="80"/>
  <c r="A2868" i="80"/>
  <c r="A2867" i="80"/>
  <c r="A2866" i="80"/>
  <c r="A2865" i="80"/>
  <c r="A2864" i="80"/>
  <c r="A2863" i="80"/>
  <c r="A2862" i="80"/>
  <c r="A2861" i="80"/>
  <c r="A2860" i="80"/>
  <c r="A2859" i="80"/>
  <c r="A2858" i="80"/>
  <c r="A2857" i="80"/>
  <c r="A2856" i="80"/>
  <c r="A2855" i="80"/>
  <c r="A2854" i="80"/>
  <c r="A2853" i="80"/>
  <c r="A2852" i="80"/>
  <c r="A2851" i="80"/>
  <c r="A2850" i="80"/>
  <c r="A2849" i="80"/>
  <c r="A2848" i="80"/>
  <c r="A2847" i="80"/>
  <c r="A2846" i="80"/>
  <c r="A2845" i="80"/>
  <c r="A2844" i="80"/>
  <c r="A2843" i="80"/>
  <c r="A2842" i="80"/>
  <c r="A2833" i="80"/>
  <c r="A2832" i="80"/>
  <c r="A2831" i="80"/>
  <c r="A2830" i="80"/>
  <c r="A2829" i="80"/>
  <c r="A2828" i="80"/>
  <c r="A2827" i="80"/>
  <c r="A2826" i="80"/>
  <c r="A2825" i="80"/>
  <c r="A2824" i="80"/>
  <c r="A2823" i="80"/>
  <c r="A2822" i="80"/>
  <c r="A2821" i="80"/>
  <c r="A2820" i="80"/>
  <c r="A2819" i="80"/>
  <c r="A2818" i="80"/>
  <c r="A2817" i="80"/>
  <c r="A2816" i="80"/>
  <c r="A2815" i="80"/>
  <c r="A2814" i="80"/>
  <c r="A2813" i="80"/>
  <c r="A2812" i="80"/>
  <c r="A2811" i="80"/>
  <c r="A2810" i="80"/>
  <c r="A2809" i="80"/>
  <c r="A2808" i="80"/>
  <c r="A2807" i="80"/>
  <c r="A2806" i="80"/>
  <c r="A2805" i="80"/>
  <c r="A2804" i="80"/>
  <c r="A2803" i="80"/>
  <c r="A2802" i="80"/>
  <c r="A2801" i="80"/>
  <c r="A2800" i="80"/>
  <c r="A2799" i="80"/>
  <c r="A2798" i="80"/>
  <c r="A2797" i="80"/>
  <c r="A2796" i="80"/>
  <c r="A2795" i="80"/>
  <c r="A2794" i="80"/>
  <c r="A2793" i="80"/>
  <c r="A2792" i="80"/>
  <c r="A2791" i="80"/>
  <c r="A2790" i="80"/>
  <c r="A2789" i="80"/>
  <c r="A2787" i="80"/>
  <c r="A2786" i="80"/>
  <c r="A2785" i="80"/>
  <c r="A2784" i="80"/>
  <c r="A2783" i="80"/>
  <c r="A2782" i="80"/>
  <c r="A2781" i="80"/>
  <c r="A2780" i="80"/>
  <c r="A2779" i="80"/>
  <c r="A2778" i="80"/>
  <c r="A2777" i="80"/>
  <c r="A2776" i="80"/>
  <c r="A2775" i="80"/>
  <c r="A2774" i="80"/>
  <c r="A2772" i="80"/>
  <c r="A2771" i="80"/>
  <c r="A2769" i="80"/>
  <c r="A2768" i="80"/>
  <c r="A2767" i="80"/>
  <c r="A2766" i="80"/>
  <c r="A2765" i="80"/>
  <c r="A2764" i="80"/>
  <c r="A2763" i="80"/>
  <c r="A2762" i="80"/>
  <c r="A2761" i="80"/>
  <c r="A2760" i="80"/>
  <c r="A2759" i="80"/>
  <c r="A2758" i="80"/>
  <c r="A2757" i="80"/>
  <c r="A2756" i="80"/>
  <c r="A2755" i="80"/>
  <c r="A2754" i="80"/>
  <c r="A2753" i="80"/>
  <c r="A2752" i="80"/>
  <c r="A2751" i="80"/>
  <c r="A2750" i="80"/>
  <c r="A2749" i="80"/>
  <c r="A2748" i="80"/>
  <c r="A2747" i="80"/>
  <c r="A2746" i="80"/>
  <c r="A2745" i="80"/>
  <c r="A2743" i="80"/>
  <c r="A2742" i="80"/>
  <c r="A2741" i="80"/>
  <c r="A2740" i="80"/>
  <c r="A2739" i="80"/>
  <c r="A2738" i="80"/>
  <c r="A2737" i="80"/>
  <c r="A2736" i="80"/>
  <c r="A2735" i="80"/>
  <c r="A2734" i="80"/>
  <c r="A2733" i="80"/>
  <c r="A2732" i="80"/>
  <c r="A2731" i="80"/>
  <c r="A2730" i="80"/>
  <c r="A2729" i="80"/>
  <c r="A2728" i="80"/>
  <c r="A2727" i="80"/>
  <c r="A2726" i="80"/>
  <c r="A2725" i="80"/>
  <c r="A2724" i="80"/>
  <c r="A2723" i="80"/>
  <c r="A2722" i="80"/>
  <c r="A2721" i="80"/>
  <c r="A2720" i="80"/>
  <c r="A2719" i="80"/>
  <c r="A2718" i="80"/>
  <c r="A2717" i="80"/>
  <c r="A2716" i="80"/>
  <c r="A2715" i="80"/>
  <c r="A2714" i="80"/>
  <c r="A2713" i="80"/>
  <c r="A2712" i="80"/>
  <c r="A2711" i="80"/>
  <c r="A2710" i="80"/>
  <c r="A2709" i="80"/>
  <c r="A2708" i="80"/>
  <c r="A2707" i="80"/>
  <c r="A2706" i="80"/>
  <c r="A2705" i="80"/>
  <c r="A2704" i="80"/>
  <c r="A2703" i="80"/>
  <c r="A2702" i="80"/>
  <c r="A2701" i="80"/>
  <c r="A2700" i="80"/>
  <c r="A2699" i="80"/>
  <c r="A2698" i="80"/>
  <c r="A2697" i="80"/>
  <c r="A2696" i="80"/>
  <c r="A2695" i="80"/>
  <c r="A2694" i="80"/>
  <c r="A2690" i="80"/>
  <c r="A2689" i="80"/>
  <c r="A2688" i="80"/>
  <c r="A2687" i="80"/>
  <c r="A2686" i="80"/>
  <c r="A2685" i="80"/>
  <c r="A2684" i="80"/>
  <c r="A2683" i="80"/>
  <c r="A2682" i="80"/>
  <c r="A2681" i="80"/>
  <c r="A2680" i="80"/>
  <c r="A2679" i="80"/>
  <c r="A2678" i="80"/>
  <c r="A2677" i="80"/>
  <c r="A2676" i="80"/>
  <c r="A2675" i="80"/>
  <c r="A2674" i="80"/>
  <c r="A2673" i="80"/>
  <c r="A2672" i="80"/>
  <c r="A2671" i="80"/>
  <c r="A2668" i="80"/>
  <c r="A2667" i="80"/>
  <c r="A2666" i="80"/>
  <c r="A2665" i="80"/>
  <c r="A2664" i="80"/>
  <c r="A2663" i="80"/>
  <c r="A2660" i="80"/>
  <c r="A2659" i="80"/>
  <c r="A2658" i="80"/>
  <c r="A2657" i="80"/>
  <c r="A2656" i="80"/>
  <c r="A2655" i="80"/>
  <c r="A2654" i="80"/>
  <c r="A2653" i="80"/>
  <c r="A2652" i="80"/>
  <c r="A2651" i="80"/>
  <c r="A2650" i="80"/>
  <c r="A2649" i="80"/>
  <c r="A2648" i="80"/>
  <c r="A2647" i="80"/>
  <c r="A2646" i="80"/>
  <c r="A2645" i="80"/>
  <c r="A2644" i="80"/>
  <c r="A2643" i="80"/>
  <c r="A2642" i="80"/>
  <c r="A2641" i="80"/>
  <c r="A2640" i="80"/>
  <c r="A2639" i="80"/>
  <c r="A2636" i="80"/>
  <c r="A2635" i="80"/>
  <c r="A2634" i="80"/>
  <c r="A2633" i="80"/>
  <c r="A2632" i="80"/>
  <c r="A2631" i="80"/>
  <c r="A2630" i="80"/>
  <c r="A2629" i="80"/>
  <c r="A2628" i="80"/>
  <c r="A2627" i="80"/>
  <c r="A2626" i="80"/>
  <c r="A2625" i="80"/>
  <c r="A2624" i="80"/>
  <c r="A2623" i="80"/>
  <c r="A2622" i="80"/>
  <c r="A2621" i="80"/>
  <c r="A2618" i="80"/>
  <c r="A2617" i="80"/>
  <c r="A2616" i="80"/>
  <c r="A2615" i="80"/>
  <c r="A2614" i="80"/>
  <c r="A2612" i="80"/>
  <c r="A2611" i="80"/>
  <c r="A2610" i="80"/>
  <c r="A2609" i="80"/>
  <c r="A2608" i="80"/>
  <c r="A2607" i="80"/>
  <c r="A2606" i="80"/>
  <c r="A2604" i="80"/>
  <c r="A2603" i="80"/>
  <c r="A2602" i="80"/>
  <c r="A2601" i="80"/>
  <c r="A2600" i="80"/>
  <c r="A2598" i="80"/>
  <c r="A2597" i="80"/>
  <c r="A2595" i="80"/>
  <c r="A2594" i="80"/>
  <c r="A2593" i="80"/>
  <c r="A2592" i="80"/>
  <c r="A2591" i="80"/>
  <c r="A2590" i="80"/>
  <c r="A2589" i="80"/>
  <c r="A2588" i="80"/>
  <c r="A2587" i="80"/>
  <c r="A2586" i="80"/>
  <c r="A2585" i="80"/>
  <c r="A2584" i="80"/>
  <c r="A2583" i="80"/>
  <c r="A2582" i="80"/>
  <c r="A2581" i="80"/>
  <c r="A2580" i="80"/>
  <c r="A2579" i="80"/>
  <c r="A2578" i="80"/>
  <c r="A2577" i="80"/>
  <c r="A2576" i="80"/>
  <c r="A2575" i="80"/>
  <c r="A2574" i="80"/>
  <c r="A2573" i="80"/>
  <c r="A2571" i="80"/>
  <c r="A2570" i="80"/>
  <c r="A2569" i="80"/>
  <c r="A2568" i="80"/>
  <c r="A2567" i="80"/>
  <c r="A2566" i="80"/>
  <c r="A2565" i="80"/>
  <c r="A2564" i="80"/>
  <c r="A2563" i="80"/>
  <c r="A2562" i="80"/>
  <c r="A2561" i="80"/>
  <c r="A2560" i="80"/>
  <c r="A2559" i="80"/>
  <c r="A2558" i="80"/>
  <c r="A2557" i="80"/>
  <c r="A2556" i="80"/>
  <c r="A2551" i="80"/>
  <c r="A2550" i="80"/>
  <c r="A2544" i="80"/>
  <c r="A2543" i="80"/>
  <c r="A2542" i="80"/>
  <c r="A2541" i="80"/>
  <c r="A2540" i="80"/>
  <c r="A2539" i="80"/>
  <c r="A2538" i="80"/>
  <c r="A2537" i="80"/>
  <c r="A2536" i="80"/>
  <c r="A2521" i="80"/>
  <c r="A2520" i="80"/>
  <c r="A2519" i="80"/>
  <c r="A2518" i="80"/>
  <c r="A2517" i="80"/>
  <c r="A2516" i="80"/>
  <c r="A2514" i="80"/>
  <c r="A2513" i="80"/>
  <c r="A2512" i="80"/>
  <c r="A2511" i="80"/>
  <c r="A2510" i="80"/>
  <c r="A2509" i="80"/>
  <c r="A2508" i="80"/>
  <c r="A2507" i="80"/>
  <c r="A2506" i="80"/>
  <c r="A2505" i="80"/>
  <c r="A2504" i="80"/>
  <c r="A2503" i="80"/>
  <c r="A2502" i="80"/>
  <c r="A2501" i="80"/>
  <c r="A2492" i="80"/>
  <c r="A2491" i="80"/>
  <c r="A2490" i="80"/>
  <c r="A2489" i="80"/>
  <c r="A2471" i="80"/>
  <c r="A1871" i="80"/>
  <c r="A1634" i="80"/>
  <c r="A1632" i="80"/>
  <c r="A1628" i="80"/>
  <c r="A1627" i="80"/>
  <c r="A1623" i="80"/>
  <c r="A1619" i="80"/>
  <c r="A1612" i="80"/>
  <c r="A1607" i="80"/>
  <c r="A1604" i="80"/>
  <c r="A1598" i="80"/>
  <c r="A1596" i="80"/>
  <c r="A1477" i="80"/>
  <c r="A1475" i="80"/>
  <c r="A1474" i="80"/>
  <c r="A1416" i="80"/>
  <c r="A1410" i="80"/>
  <c r="A197" i="80"/>
  <c r="A195" i="80"/>
  <c r="A193" i="80"/>
  <c r="E108" i="89"/>
  <c r="E104" i="89"/>
  <c r="C108" i="89" l="1"/>
  <c r="A108" i="89" s="1"/>
  <c r="C104" i="89"/>
  <c r="A104" i="89" s="1"/>
  <c r="E108" i="88"/>
  <c r="E104" i="88" l="1"/>
  <c r="C108" i="88" l="1"/>
  <c r="A108" i="88" s="1"/>
  <c r="C104" i="88"/>
  <c r="A104" i="88" s="1"/>
  <c r="E166" i="89"/>
  <c r="E146" i="89"/>
  <c r="E140" i="89"/>
  <c r="E82" i="89"/>
  <c r="E45" i="89"/>
  <c r="E35" i="89"/>
  <c r="C35" i="89" s="1"/>
  <c r="A35" i="89" s="1"/>
  <c r="E28" i="89"/>
  <c r="C28" i="89" s="1"/>
  <c r="A28" i="89" s="1"/>
  <c r="C146" i="89"/>
  <c r="A146" i="89" s="1"/>
  <c r="C140" i="89"/>
  <c r="A140" i="89" s="1"/>
  <c r="C45" i="89"/>
  <c r="A45" i="89" s="1"/>
  <c r="E35" i="88"/>
  <c r="E41" i="89"/>
  <c r="G17" i="89"/>
  <c r="E40" i="89"/>
  <c r="C41" i="89" l="1"/>
  <c r="A41" i="89" s="1"/>
  <c r="C40" i="89"/>
  <c r="A40" i="89" s="1"/>
  <c r="E166" i="88" l="1"/>
  <c r="E146" i="88"/>
  <c r="C146" i="88" s="1"/>
  <c r="A146" i="88" s="1"/>
  <c r="E140" i="88"/>
  <c r="E82" i="88"/>
  <c r="E45" i="88"/>
  <c r="C45" i="88" s="1"/>
  <c r="A45" i="88" s="1"/>
  <c r="E28" i="88"/>
  <c r="C28" i="88" s="1"/>
  <c r="A28" i="88" s="1"/>
  <c r="O195" i="8"/>
  <c r="C140" i="88"/>
  <c r="A140" i="88" s="1"/>
  <c r="C35" i="88"/>
  <c r="A35" i="88" s="1"/>
  <c r="U275" i="16"/>
  <c r="AO4" i="2"/>
  <c r="U276" i="8"/>
  <c r="O276" i="8"/>
  <c r="E40" i="88"/>
  <c r="O275" i="16"/>
  <c r="E41" i="88"/>
  <c r="G17" i="88"/>
  <c r="C41" i="88" l="1"/>
  <c r="A41" i="88" s="1"/>
  <c r="C40" i="88"/>
  <c r="A40" i="88" s="1"/>
  <c r="AP132" i="87"/>
  <c r="AP115" i="87"/>
  <c r="AP110" i="87"/>
  <c r="AP55" i="87"/>
  <c r="AP48" i="87"/>
  <c r="AP41" i="87"/>
  <c r="AP34" i="87"/>
  <c r="AP28" i="87"/>
  <c r="AP27" i="87"/>
  <c r="AP24" i="87"/>
  <c r="AP23" i="87"/>
  <c r="AP22" i="87"/>
  <c r="AP20" i="87"/>
  <c r="AP19" i="87"/>
  <c r="AP18" i="87"/>
  <c r="M87" i="18" l="1"/>
  <c r="M88" i="18"/>
  <c r="M136" i="18"/>
  <c r="M135" i="18"/>
  <c r="M134" i="18"/>
  <c r="M133" i="18"/>
  <c r="M132" i="18"/>
  <c r="M131" i="18"/>
  <c r="M130" i="18"/>
  <c r="M129" i="18"/>
  <c r="M128" i="18"/>
  <c r="M127" i="18"/>
  <c r="M126" i="18"/>
  <c r="M125" i="18"/>
  <c r="M124" i="18"/>
  <c r="M123" i="18"/>
  <c r="M122" i="18"/>
  <c r="M121" i="18"/>
  <c r="M120" i="18"/>
  <c r="M119" i="18"/>
  <c r="M118" i="18"/>
  <c r="M117" i="18"/>
  <c r="M116" i="18"/>
  <c r="M115" i="18"/>
  <c r="M114" i="18"/>
  <c r="M113" i="18"/>
  <c r="M112" i="18"/>
  <c r="M111" i="18"/>
  <c r="M110" i="18"/>
  <c r="M109" i="18"/>
  <c r="M108" i="18"/>
  <c r="M107" i="18"/>
  <c r="M106" i="18"/>
  <c r="M105" i="18"/>
  <c r="M104" i="18"/>
  <c r="M103" i="18"/>
  <c r="M102" i="18"/>
  <c r="M101" i="18"/>
  <c r="M100" i="18"/>
  <c r="M99" i="18"/>
  <c r="M98" i="18"/>
  <c r="M97" i="18"/>
  <c r="M96" i="18"/>
  <c r="M95" i="18"/>
  <c r="M94" i="18"/>
  <c r="M93" i="18"/>
  <c r="M92" i="18"/>
  <c r="M91" i="18"/>
  <c r="M90" i="18"/>
  <c r="M89" i="18"/>
  <c r="L88" i="17"/>
  <c r="L89" i="17"/>
  <c r="L90" i="17"/>
  <c r="L91" i="17"/>
  <c r="L92" i="17"/>
  <c r="L93" i="17"/>
  <c r="L94" i="17"/>
  <c r="L95" i="17"/>
  <c r="L96" i="17"/>
  <c r="L97" i="17"/>
  <c r="L98"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L129" i="17"/>
  <c r="L130" i="17"/>
  <c r="L131" i="17"/>
  <c r="L132" i="17"/>
  <c r="L133" i="17"/>
  <c r="L134" i="17"/>
  <c r="L135" i="17"/>
  <c r="L136" i="17"/>
  <c r="L87" i="17"/>
  <c r="K114" i="17" l="1"/>
  <c r="K129" i="17"/>
  <c r="K113" i="17"/>
  <c r="K97" i="17"/>
  <c r="K96" i="17"/>
  <c r="K95" i="17"/>
  <c r="K116" i="17"/>
  <c r="K126" i="17"/>
  <c r="K132" i="17"/>
  <c r="K110" i="17"/>
  <c r="K109" i="17"/>
  <c r="K100" i="17"/>
  <c r="K94" i="17"/>
  <c r="K108" i="17"/>
  <c r="K92" i="17"/>
  <c r="K128" i="17"/>
  <c r="K127" i="17"/>
  <c r="K125" i="17"/>
  <c r="K93" i="17"/>
  <c r="K124" i="17"/>
  <c r="K123" i="17"/>
  <c r="K107" i="17"/>
  <c r="K91" i="17"/>
  <c r="K131" i="17"/>
  <c r="K112" i="17"/>
  <c r="K111" i="17"/>
  <c r="K122" i="17"/>
  <c r="K106" i="17"/>
  <c r="K90" i="17"/>
  <c r="K98" i="17"/>
  <c r="K121" i="17"/>
  <c r="K105" i="17"/>
  <c r="K89" i="17"/>
  <c r="K99" i="17"/>
  <c r="K88" i="17"/>
  <c r="K136" i="17"/>
  <c r="K119" i="17"/>
  <c r="K103" i="17"/>
  <c r="K130" i="17"/>
  <c r="K120" i="17"/>
  <c r="K135" i="17"/>
  <c r="K118" i="17"/>
  <c r="K115" i="17"/>
  <c r="K87" i="17"/>
  <c r="K104" i="17"/>
  <c r="K134" i="17"/>
  <c r="K102" i="17"/>
  <c r="K133" i="17"/>
  <c r="K117" i="17"/>
  <c r="K101" i="17"/>
  <c r="U1084" i="16"/>
  <c r="DB4" i="2"/>
  <c r="U214" i="25"/>
  <c r="AS80" i="84"/>
  <c r="AS69" i="84"/>
  <c r="AQ85" i="84"/>
  <c r="AQ84" i="84"/>
  <c r="AQ83" i="84"/>
  <c r="AQ82" i="84"/>
  <c r="AQ81" i="84"/>
  <c r="AQ80" i="84"/>
  <c r="AQ73" i="84"/>
  <c r="AQ72" i="84"/>
  <c r="AQ71" i="84"/>
  <c r="AQ70" i="84"/>
  <c r="AQ69" i="84"/>
  <c r="AQ227" i="84"/>
  <c r="Y80" i="84"/>
  <c r="Y69" i="84"/>
  <c r="AQ227" i="85"/>
  <c r="AE227" i="85"/>
  <c r="AF227" i="85" s="1"/>
  <c r="S223" i="85"/>
  <c r="R202" i="85"/>
  <c r="AQ85" i="85"/>
  <c r="AQ84" i="85"/>
  <c r="AQ83" i="85"/>
  <c r="AQ82" i="85"/>
  <c r="AQ81" i="85"/>
  <c r="AS80" i="85"/>
  <c r="AQ80" i="85"/>
  <c r="AQ73" i="85"/>
  <c r="AQ72" i="85"/>
  <c r="AQ71" i="85"/>
  <c r="AQ70" i="85"/>
  <c r="AS69" i="85"/>
  <c r="AQ69" i="85"/>
  <c r="B1087" i="80"/>
  <c r="B1086" i="80"/>
  <c r="B1085" i="80"/>
  <c r="B1084" i="80"/>
  <c r="R216" i="25"/>
  <c r="Y9" i="3"/>
  <c r="R1088" i="16"/>
  <c r="R218" i="25"/>
  <c r="R1086" i="16"/>
  <c r="U411" i="16" l="1"/>
  <c r="AQ1088" i="16"/>
  <c r="AP1088" i="16"/>
  <c r="AQ1086" i="16"/>
  <c r="AP1086" i="16"/>
  <c r="AQ218" i="25"/>
  <c r="AP218" i="25"/>
  <c r="AQ216" i="25"/>
  <c r="AP216" i="25"/>
  <c r="AE146" i="24"/>
  <c r="AV4" i="2"/>
  <c r="U93" i="24"/>
  <c r="W14" i="87"/>
  <c r="AS132" i="87"/>
  <c r="AR132" i="87"/>
  <c r="AQ132" i="87"/>
  <c r="AS115" i="87"/>
  <c r="AR115" i="87"/>
  <c r="AQ115" i="87"/>
  <c r="AS110" i="87"/>
  <c r="AR110" i="87"/>
  <c r="AQ110" i="87"/>
  <c r="AS55" i="87"/>
  <c r="AR55" i="87"/>
  <c r="AQ55" i="87"/>
  <c r="AS48" i="87"/>
  <c r="AR48" i="87"/>
  <c r="AQ48" i="87"/>
  <c r="AS41" i="87"/>
  <c r="AR41" i="87"/>
  <c r="AQ41" i="87"/>
  <c r="AS34" i="87"/>
  <c r="AR34" i="87"/>
  <c r="AQ34" i="87"/>
  <c r="AS28" i="87"/>
  <c r="AR28" i="87"/>
  <c r="AQ28" i="87"/>
  <c r="AS27" i="87"/>
  <c r="AR27" i="87"/>
  <c r="AQ27" i="87"/>
  <c r="AS24" i="87"/>
  <c r="AR24" i="87"/>
  <c r="AQ24" i="87"/>
  <c r="AS23" i="87"/>
  <c r="AR23" i="87"/>
  <c r="AQ23" i="87"/>
  <c r="AS22" i="87"/>
  <c r="AR22" i="87"/>
  <c r="AQ22" i="87"/>
  <c r="AS20" i="87"/>
  <c r="AR20" i="87"/>
  <c r="AQ20" i="87"/>
  <c r="AS19" i="87"/>
  <c r="AR19" i="87"/>
  <c r="AQ19" i="87"/>
  <c r="AR18" i="87"/>
  <c r="AY65" i="87"/>
  <c r="AX65" i="87"/>
  <c r="AY63" i="87"/>
  <c r="AX63" i="87"/>
  <c r="AY62" i="87"/>
  <c r="AX62" i="87"/>
  <c r="AY60" i="87"/>
  <c r="AX60" i="87"/>
  <c r="AY59" i="87"/>
  <c r="AX59" i="87"/>
  <c r="AY58" i="87"/>
  <c r="AX58" i="87"/>
  <c r="AY57" i="87"/>
  <c r="AX57" i="87"/>
  <c r="AY56" i="87"/>
  <c r="AX56" i="87"/>
  <c r="AY55" i="87"/>
  <c r="AX55" i="87"/>
  <c r="AY53" i="87"/>
  <c r="AX53" i="87"/>
  <c r="AY52" i="87"/>
  <c r="AX52" i="87"/>
  <c r="AY51" i="87"/>
  <c r="AX51" i="87"/>
  <c r="AY50" i="87"/>
  <c r="AX50" i="87"/>
  <c r="AY49" i="87"/>
  <c r="AX49" i="87"/>
  <c r="AY48" i="87"/>
  <c r="AX48" i="87"/>
  <c r="AY47" i="87"/>
  <c r="AX47" i="87"/>
  <c r="AY46" i="87"/>
  <c r="AX46" i="87"/>
  <c r="AY45" i="87"/>
  <c r="AX45" i="87"/>
  <c r="AY43" i="87"/>
  <c r="AX43" i="87"/>
  <c r="AY42" i="87"/>
  <c r="AX42" i="87"/>
  <c r="AY41" i="87"/>
  <c r="AX41" i="87"/>
  <c r="AY40" i="87"/>
  <c r="AX40" i="87"/>
  <c r="AY39" i="87"/>
  <c r="AX39" i="87"/>
  <c r="AY38" i="87"/>
  <c r="AX38" i="87"/>
  <c r="AY37" i="87"/>
  <c r="AX37" i="87"/>
  <c r="AY36" i="87"/>
  <c r="AX36" i="87"/>
  <c r="AY35" i="87"/>
  <c r="AX35" i="87"/>
  <c r="AY33" i="87"/>
  <c r="AX33" i="87"/>
  <c r="AY31" i="87"/>
  <c r="AX31" i="87"/>
  <c r="AY29" i="87"/>
  <c r="AX29" i="87"/>
  <c r="AY28" i="87"/>
  <c r="AX28" i="87"/>
  <c r="AY27" i="87"/>
  <c r="AX27" i="87"/>
  <c r="AY26" i="87"/>
  <c r="AX26" i="87"/>
  <c r="AY24" i="87"/>
  <c r="AX24" i="87"/>
  <c r="AY21" i="87"/>
  <c r="AX21" i="87"/>
  <c r="AY20" i="87"/>
  <c r="AX20" i="87"/>
  <c r="AY19" i="87"/>
  <c r="AX19" i="87"/>
  <c r="AS18" i="87"/>
  <c r="AQ18" i="87"/>
  <c r="AY17" i="87"/>
  <c r="AX17" i="87"/>
  <c r="AY16" i="87"/>
  <c r="AX16" i="87"/>
  <c r="AY15" i="87"/>
  <c r="AX15" i="87"/>
  <c r="AY14" i="87"/>
  <c r="AX14" i="87"/>
  <c r="AY13" i="87"/>
  <c r="AX13" i="87"/>
  <c r="AY12" i="87"/>
  <c r="AX12" i="87"/>
  <c r="AY11" i="87"/>
  <c r="AX11" i="87"/>
  <c r="AE132" i="87"/>
  <c r="AD132" i="87"/>
  <c r="AE115" i="87"/>
  <c r="AD115" i="87"/>
  <c r="AC115" i="87" s="1"/>
  <c r="AE110" i="87"/>
  <c r="AD110" i="87"/>
  <c r="AE55" i="87"/>
  <c r="AD55" i="87"/>
  <c r="AD48" i="87"/>
  <c r="AD41" i="87"/>
  <c r="AD34" i="87"/>
  <c r="AD28" i="87"/>
  <c r="AD27" i="87"/>
  <c r="AD24" i="87"/>
  <c r="AD23" i="87"/>
  <c r="AD22" i="87"/>
  <c r="AD20" i="87"/>
  <c r="AD19" i="87"/>
  <c r="AD18" i="87"/>
  <c r="Y132" i="87"/>
  <c r="Y115" i="87"/>
  <c r="Y110" i="87"/>
  <c r="Y55" i="87"/>
  <c r="Y48" i="87"/>
  <c r="Y41" i="87"/>
  <c r="Y34" i="87"/>
  <c r="Y28" i="87"/>
  <c r="Y27" i="87"/>
  <c r="Y24" i="87"/>
  <c r="Y23" i="87"/>
  <c r="Y22" i="87"/>
  <c r="Y20" i="87"/>
  <c r="Y19" i="87"/>
  <c r="Y18" i="87"/>
  <c r="R3" i="87"/>
  <c r="AS132" i="86"/>
  <c r="AR132" i="86"/>
  <c r="AQ132" i="86"/>
  <c r="AP132" i="86"/>
  <c r="AS115" i="86"/>
  <c r="AR115" i="86"/>
  <c r="AQ115" i="86"/>
  <c r="AP115" i="86"/>
  <c r="AS110" i="86"/>
  <c r="AR110" i="86"/>
  <c r="AQ110" i="86"/>
  <c r="AP110" i="86"/>
  <c r="AS55" i="86"/>
  <c r="AR55" i="86"/>
  <c r="AQ55" i="86"/>
  <c r="AP55" i="86"/>
  <c r="AS48" i="86"/>
  <c r="AR48" i="86"/>
  <c r="AQ48" i="86"/>
  <c r="AP48" i="86"/>
  <c r="AS41" i="86"/>
  <c r="AR41" i="86"/>
  <c r="AQ41" i="86"/>
  <c r="AP41" i="86"/>
  <c r="AS34" i="86"/>
  <c r="AR34" i="86"/>
  <c r="AQ34" i="86"/>
  <c r="AP34" i="86"/>
  <c r="AS28" i="86"/>
  <c r="AR28" i="86"/>
  <c r="AQ28" i="86"/>
  <c r="AP28" i="86"/>
  <c r="AS27" i="86"/>
  <c r="AR27" i="86"/>
  <c r="AQ27" i="86"/>
  <c r="AP27" i="86"/>
  <c r="AS24" i="86"/>
  <c r="AR24" i="86"/>
  <c r="AQ24" i="86"/>
  <c r="AP24" i="86"/>
  <c r="AS23" i="86"/>
  <c r="AR23" i="86"/>
  <c r="AQ23" i="86"/>
  <c r="AP23" i="86"/>
  <c r="AS22" i="86"/>
  <c r="AR22" i="86"/>
  <c r="AQ22" i="86"/>
  <c r="AP22" i="86"/>
  <c r="AS20" i="86"/>
  <c r="AR20" i="86"/>
  <c r="AQ20" i="86"/>
  <c r="AP20" i="86"/>
  <c r="AS19" i="86"/>
  <c r="AR19" i="86"/>
  <c r="AQ19" i="86"/>
  <c r="AP19" i="86"/>
  <c r="AR18" i="86"/>
  <c r="AP18" i="86"/>
  <c r="AS18" i="86"/>
  <c r="AQ18" i="86"/>
  <c r="AE132" i="86"/>
  <c r="AD132" i="86"/>
  <c r="AC132" i="86"/>
  <c r="AE115" i="86"/>
  <c r="AD115" i="86"/>
  <c r="AC115" i="86"/>
  <c r="AE110" i="86"/>
  <c r="AC110" i="86" s="1"/>
  <c r="AD110" i="86"/>
  <c r="AE55" i="86"/>
  <c r="AD55" i="86"/>
  <c r="AC55" i="86" s="1"/>
  <c r="AD48" i="86"/>
  <c r="AD41" i="86"/>
  <c r="AD34" i="86"/>
  <c r="AD28" i="86"/>
  <c r="AD27" i="86"/>
  <c r="AD24" i="86"/>
  <c r="AD23" i="86"/>
  <c r="AD22" i="86"/>
  <c r="AD20" i="86"/>
  <c r="AD19" i="86"/>
  <c r="AD18" i="86"/>
  <c r="AX12" i="86"/>
  <c r="AY12" i="86"/>
  <c r="AX13" i="86"/>
  <c r="AY13" i="86"/>
  <c r="AX14" i="86"/>
  <c r="AY14" i="86"/>
  <c r="AX15" i="86"/>
  <c r="AY15" i="86"/>
  <c r="AX16" i="86"/>
  <c r="AY16" i="86"/>
  <c r="AX17" i="86"/>
  <c r="AY17" i="86"/>
  <c r="AX19" i="86"/>
  <c r="AY19" i="86"/>
  <c r="AX20" i="86"/>
  <c r="AY20" i="86"/>
  <c r="AX21" i="86"/>
  <c r="AY21" i="86"/>
  <c r="AX24" i="86"/>
  <c r="AY24" i="86"/>
  <c r="AX26" i="86"/>
  <c r="AY26" i="86"/>
  <c r="AX27" i="86"/>
  <c r="AY27" i="86"/>
  <c r="AX28" i="86"/>
  <c r="AY28" i="86"/>
  <c r="AX29" i="86"/>
  <c r="AY29" i="86"/>
  <c r="AX31" i="86"/>
  <c r="AY31" i="86"/>
  <c r="AX33" i="86"/>
  <c r="AY33" i="86"/>
  <c r="AX35" i="86"/>
  <c r="AY35" i="86"/>
  <c r="AX36" i="86"/>
  <c r="AY36" i="86"/>
  <c r="AX37" i="86"/>
  <c r="AY37" i="86"/>
  <c r="AX38" i="86"/>
  <c r="AY38" i="86"/>
  <c r="AX39" i="86"/>
  <c r="AY39" i="86"/>
  <c r="AX40" i="86"/>
  <c r="AY40" i="86"/>
  <c r="AX41" i="86"/>
  <c r="AY41" i="86"/>
  <c r="AX42" i="86"/>
  <c r="AY42" i="86"/>
  <c r="AX43" i="86"/>
  <c r="AY43" i="86"/>
  <c r="AX45" i="86"/>
  <c r="AY45" i="86"/>
  <c r="AX46" i="86"/>
  <c r="AY46" i="86"/>
  <c r="AX47" i="86"/>
  <c r="AY47" i="86"/>
  <c r="AX48" i="86"/>
  <c r="AY48" i="86"/>
  <c r="AX49" i="86"/>
  <c r="AY49" i="86"/>
  <c r="AX50" i="86"/>
  <c r="AY50" i="86"/>
  <c r="AX51" i="86"/>
  <c r="AY51" i="86"/>
  <c r="AX52" i="86"/>
  <c r="AY52" i="86"/>
  <c r="AX53" i="86"/>
  <c r="AY53" i="86"/>
  <c r="AX55" i="86"/>
  <c r="AY55" i="86"/>
  <c r="AX56" i="86"/>
  <c r="AY56" i="86"/>
  <c r="AX57" i="86"/>
  <c r="AY57" i="86"/>
  <c r="AX58" i="86"/>
  <c r="AY58" i="86"/>
  <c r="AX59" i="86"/>
  <c r="AY59" i="86"/>
  <c r="AX60" i="86"/>
  <c r="AY60" i="86"/>
  <c r="AX62" i="86"/>
  <c r="AY62" i="86"/>
  <c r="AX63" i="86"/>
  <c r="AY63" i="86"/>
  <c r="AX65" i="86"/>
  <c r="AY65" i="86"/>
  <c r="AY11" i="86"/>
  <c r="AX11" i="86"/>
  <c r="B909" i="80"/>
  <c r="C909" i="80" s="1"/>
  <c r="B905" i="80"/>
  <c r="AQ900" i="16"/>
  <c r="AP900" i="16"/>
  <c r="AQ30" i="25"/>
  <c r="AP30" i="25"/>
  <c r="S900" i="16"/>
  <c r="R900" i="16" s="1"/>
  <c r="AE900" i="16" s="1"/>
  <c r="S30" i="25"/>
  <c r="R30" i="25" s="1"/>
  <c r="AE30" i="25" s="1"/>
  <c r="AX2272" i="16"/>
  <c r="AX1895" i="16"/>
  <c r="AX1658" i="16"/>
  <c r="AX899" i="16"/>
  <c r="AX347" i="16"/>
  <c r="AX28" i="16"/>
  <c r="AY29" i="8"/>
  <c r="AX29" i="8"/>
  <c r="AY29" i="24"/>
  <c r="AX29" i="24"/>
  <c r="AY29" i="25"/>
  <c r="AX29" i="25"/>
  <c r="AY29" i="27"/>
  <c r="AX29" i="27"/>
  <c r="AY29" i="28"/>
  <c r="AX29" i="28"/>
  <c r="AX29" i="29"/>
  <c r="AY29" i="29"/>
  <c r="P28" i="23"/>
  <c r="AY2272" i="16" s="1"/>
  <c r="E28" i="23"/>
  <c r="W14" i="86"/>
  <c r="R202" i="84"/>
  <c r="R203" i="84" s="1"/>
  <c r="D515" i="81"/>
  <c r="AA2038" i="16"/>
  <c r="AA1934" i="16"/>
  <c r="AA1922" i="16"/>
  <c r="AA1921" i="16"/>
  <c r="AA1907" i="16"/>
  <c r="AA1595" i="16"/>
  <c r="AA1583" i="16"/>
  <c r="AA1431" i="16"/>
  <c r="AA1371" i="16"/>
  <c r="AA1363" i="16"/>
  <c r="AA1357" i="16"/>
  <c r="AA839" i="16"/>
  <c r="AA562" i="16"/>
  <c r="AA560" i="16"/>
  <c r="AA555" i="16"/>
  <c r="AA552" i="16"/>
  <c r="AA547" i="16"/>
  <c r="AA532" i="16"/>
  <c r="AA525" i="16"/>
  <c r="AA510" i="16"/>
  <c r="AA478" i="16"/>
  <c r="AA475" i="16"/>
  <c r="AA375" i="16"/>
  <c r="AA331" i="16"/>
  <c r="AA281" i="16"/>
  <c r="AA275" i="16"/>
  <c r="AA272" i="16"/>
  <c r="AA267" i="16"/>
  <c r="AA264" i="16"/>
  <c r="AA257" i="16"/>
  <c r="AA253" i="16"/>
  <c r="AA228" i="16"/>
  <c r="AA226" i="16"/>
  <c r="AA225" i="16"/>
  <c r="AA223" i="16"/>
  <c r="AA214" i="16"/>
  <c r="AA194" i="16"/>
  <c r="AA187" i="16"/>
  <c r="AA178" i="16"/>
  <c r="AA176" i="16"/>
  <c r="AA171" i="16"/>
  <c r="AA170" i="16"/>
  <c r="AA165" i="16"/>
  <c r="AA162" i="16"/>
  <c r="AA160" i="16"/>
  <c r="AA157" i="16"/>
  <c r="AA155" i="16"/>
  <c r="AA142" i="16"/>
  <c r="AA98" i="16"/>
  <c r="AA89" i="16"/>
  <c r="AA25" i="16"/>
  <c r="AA15" i="16"/>
  <c r="S15" i="86"/>
  <c r="Y10" i="3"/>
  <c r="S15" i="87"/>
  <c r="S103" i="27"/>
  <c r="AC110" i="87" l="1"/>
  <c r="AC132" i="87"/>
  <c r="AC55" i="87"/>
  <c r="C41" i="87"/>
  <c r="S125" i="87"/>
  <c r="W125" i="87" s="1"/>
  <c r="S117" i="87"/>
  <c r="W117" i="87" s="1"/>
  <c r="S84" i="87"/>
  <c r="W84" i="87" s="1"/>
  <c r="S50" i="87"/>
  <c r="W50" i="87" s="1"/>
  <c r="S24" i="87"/>
  <c r="R24" i="87" s="1"/>
  <c r="AE24" i="87" s="1"/>
  <c r="AC24" i="87" s="1"/>
  <c r="S19" i="87"/>
  <c r="R19" i="87" s="1"/>
  <c r="AE19" i="87" s="1"/>
  <c r="AC19" i="87" s="1"/>
  <c r="S105" i="87"/>
  <c r="W105" i="87" s="1"/>
  <c r="S59" i="87"/>
  <c r="W59" i="87" s="1"/>
  <c r="S20" i="87"/>
  <c r="R20" i="87" s="1"/>
  <c r="AE20" i="87" s="1"/>
  <c r="AC20" i="87" s="1"/>
  <c r="S48" i="87"/>
  <c r="R48" i="87" s="1"/>
  <c r="AE48" i="87" s="1"/>
  <c r="AC48" i="87" s="1"/>
  <c r="S36" i="87"/>
  <c r="W36" i="87" s="1"/>
  <c r="S63" i="87"/>
  <c r="W63" i="87" s="1"/>
  <c r="S98" i="87"/>
  <c r="W98" i="87" s="1"/>
  <c r="S112" i="87"/>
  <c r="W112" i="87" s="1"/>
  <c r="S74" i="87"/>
  <c r="W74" i="87" s="1"/>
  <c r="S34" i="87"/>
  <c r="R34" i="87" s="1"/>
  <c r="AE34" i="87" s="1"/>
  <c r="AC34" i="87" s="1"/>
  <c r="S23" i="87"/>
  <c r="R23" i="87" s="1"/>
  <c r="AE23" i="87" s="1"/>
  <c r="AC23" i="87" s="1"/>
  <c r="S18" i="87"/>
  <c r="R18" i="87" s="1"/>
  <c r="AE18" i="87" s="1"/>
  <c r="AC18" i="87" s="1"/>
  <c r="G10" i="87" a="1"/>
  <c r="G10" i="87" s="1"/>
  <c r="D2" i="87" s="1"/>
  <c r="S27" i="87"/>
  <c r="R27" i="87" s="1"/>
  <c r="AE27" i="87" s="1"/>
  <c r="AC27" i="87" s="1"/>
  <c r="S43" i="87"/>
  <c r="W43" i="87" s="1"/>
  <c r="S28" i="87"/>
  <c r="R28" i="87" s="1"/>
  <c r="AE28" i="87" s="1"/>
  <c r="AC28" i="87" s="1"/>
  <c r="S22" i="87"/>
  <c r="R22" i="87" s="1"/>
  <c r="AE22" i="87" s="1"/>
  <c r="AC22" i="87" s="1"/>
  <c r="S41" i="87"/>
  <c r="R41" i="87" s="1"/>
  <c r="AE41" i="87" s="1"/>
  <c r="AC41" i="87" s="1"/>
  <c r="AI3" i="87"/>
  <c r="AY899" i="16"/>
  <c r="AY1658" i="16"/>
  <c r="AY28" i="16"/>
  <c r="AY1895" i="16"/>
  <c r="AY347" i="16"/>
  <c r="FK4" i="2"/>
  <c r="S130" i="87"/>
  <c r="W130" i="87" l="1"/>
  <c r="S143" i="87"/>
  <c r="W143" i="87" s="1"/>
  <c r="S136" i="87"/>
  <c r="W136" i="87" s="1"/>
  <c r="T10" i="87"/>
  <c r="AI3" i="86"/>
  <c r="X5" i="86"/>
  <c r="X4" i="86"/>
  <c r="AG3" i="87" l="1"/>
  <c r="S125" i="86"/>
  <c r="S117" i="86"/>
  <c r="S84" i="86"/>
  <c r="W84" i="86" s="1"/>
  <c r="S74" i="86"/>
  <c r="S112" i="86"/>
  <c r="S63" i="86"/>
  <c r="S59" i="86"/>
  <c r="S50" i="86"/>
  <c r="C41" i="86"/>
  <c r="S105" i="86"/>
  <c r="S98" i="86"/>
  <c r="W98" i="86" s="1"/>
  <c r="S48" i="86"/>
  <c r="R48" i="86" s="1"/>
  <c r="AE48" i="86" s="1"/>
  <c r="AC48" i="86" s="1"/>
  <c r="S28" i="86"/>
  <c r="R28" i="86" s="1"/>
  <c r="AE28" i="86" s="1"/>
  <c r="AC28" i="86" s="1"/>
  <c r="S27" i="86"/>
  <c r="R27" i="86" s="1"/>
  <c r="AE27" i="86" s="1"/>
  <c r="AC27" i="86" s="1"/>
  <c r="S24" i="86"/>
  <c r="R24" i="86" s="1"/>
  <c r="AE24" i="86" s="1"/>
  <c r="AC24" i="86" s="1"/>
  <c r="S23" i="86"/>
  <c r="R23" i="86" s="1"/>
  <c r="AE23" i="86" s="1"/>
  <c r="AC23" i="86" s="1"/>
  <c r="S22" i="86"/>
  <c r="R22" i="86" s="1"/>
  <c r="AE22" i="86" s="1"/>
  <c r="AC22" i="86" s="1"/>
  <c r="S20" i="86"/>
  <c r="R20" i="86" s="1"/>
  <c r="AE20" i="86" s="1"/>
  <c r="AC20" i="86" s="1"/>
  <c r="S19" i="86"/>
  <c r="R19" i="86" s="1"/>
  <c r="AE19" i="86" s="1"/>
  <c r="AC19" i="86" s="1"/>
  <c r="S18" i="86"/>
  <c r="R18" i="86" s="1"/>
  <c r="AE18" i="86" s="1"/>
  <c r="S43" i="86"/>
  <c r="W43" i="86" s="1"/>
  <c r="S36" i="86"/>
  <c r="S41" i="86"/>
  <c r="R41" i="86" s="1"/>
  <c r="AE41" i="86" s="1"/>
  <c r="AC41" i="86" s="1"/>
  <c r="S34" i="86"/>
  <c r="R34" i="86" s="1"/>
  <c r="AE34" i="86" s="1"/>
  <c r="AC34" i="86" s="1"/>
  <c r="O1849" i="16"/>
  <c r="U1852" i="16"/>
  <c r="U1846" i="16"/>
  <c r="U1837" i="16"/>
  <c r="T1837" i="16"/>
  <c r="R1837" i="16"/>
  <c r="U1832" i="16"/>
  <c r="U1824" i="16"/>
  <c r="U1818" i="16"/>
  <c r="U1804" i="16"/>
  <c r="U1772" i="16"/>
  <c r="R1772" i="16"/>
  <c r="U1763" i="16"/>
  <c r="U1753" i="16"/>
  <c r="U1746" i="16"/>
  <c r="U1741" i="16"/>
  <c r="U1731" i="16"/>
  <c r="U1729" i="16"/>
  <c r="U1726" i="16"/>
  <c r="U1721" i="16"/>
  <c r="U1709" i="16"/>
  <c r="U1650" i="16"/>
  <c r="U1642" i="16"/>
  <c r="S1643" i="16"/>
  <c r="S1730" i="16"/>
  <c r="S1732" i="16"/>
  <c r="S130" i="86"/>
  <c r="AC18" i="86" l="1"/>
  <c r="AG3" i="86"/>
  <c r="S143" i="86"/>
  <c r="S136" i="86"/>
  <c r="S1852" i="16"/>
  <c r="S1850" i="16"/>
  <c r="T1850" i="16" s="1"/>
  <c r="S1860" i="16"/>
  <c r="S1848" i="16"/>
  <c r="T1848" i="16" s="1"/>
  <c r="S1857" i="16"/>
  <c r="S1862" i="16"/>
  <c r="S1846" i="16"/>
  <c r="S1840" i="16"/>
  <c r="S1832" i="16"/>
  <c r="S1818" i="16"/>
  <c r="S1824" i="16"/>
  <c r="S1821" i="16"/>
  <c r="S1804" i="16"/>
  <c r="S1820" i="16"/>
  <c r="T1820" i="16" s="1"/>
  <c r="S1800" i="16"/>
  <c r="S1793" i="16"/>
  <c r="S1798" i="16"/>
  <c r="S1797" i="16"/>
  <c r="S1795" i="16"/>
  <c r="S1778" i="16"/>
  <c r="S1785" i="16"/>
  <c r="S1774" i="16"/>
  <c r="S1780" i="16"/>
  <c r="S1779" i="16"/>
  <c r="S1760" i="16"/>
  <c r="T1760" i="16" s="1"/>
  <c r="S1753" i="16"/>
  <c r="S1731" i="16"/>
  <c r="T1731" i="16" s="1"/>
  <c r="S1746" i="16"/>
  <c r="S1741" i="16"/>
  <c r="S1729" i="16"/>
  <c r="T1729" i="16" s="1"/>
  <c r="S1726" i="16"/>
  <c r="S1709" i="16"/>
  <c r="S1721" i="16"/>
  <c r="S1685" i="16"/>
  <c r="T1685" i="16" s="1"/>
  <c r="S1684" i="16"/>
  <c r="T2104" i="16"/>
  <c r="AD2104" i="16" s="1"/>
  <c r="AQ2156" i="16"/>
  <c r="AP2156" i="16"/>
  <c r="S2156" i="16"/>
  <c r="AQ290" i="28"/>
  <c r="AP290" i="28"/>
  <c r="T238" i="28"/>
  <c r="AD238" i="28" s="1"/>
  <c r="S290" i="28"/>
  <c r="R2156" i="16" l="1"/>
  <c r="AE2156" i="16" s="1"/>
  <c r="O2176" i="16"/>
  <c r="T290" i="28"/>
  <c r="AD290" i="28" s="1"/>
  <c r="O310" i="28"/>
  <c r="T1774" i="16"/>
  <c r="O1774" i="16"/>
  <c r="T1684" i="16"/>
  <c r="O1684" i="16"/>
  <c r="T1741" i="16"/>
  <c r="T1746" i="16"/>
  <c r="T1778" i="16"/>
  <c r="O1778" i="16"/>
  <c r="T1821" i="16"/>
  <c r="O1821" i="16"/>
  <c r="T1795" i="16"/>
  <c r="O1795" i="16"/>
  <c r="T1824" i="16"/>
  <c r="T1860" i="16"/>
  <c r="O1860" i="16"/>
  <c r="T1797" i="16"/>
  <c r="O1797" i="16"/>
  <c r="T1785" i="16"/>
  <c r="O1785" i="16"/>
  <c r="F124" i="89" s="1"/>
  <c r="T1804" i="16"/>
  <c r="T1857" i="16"/>
  <c r="O1857" i="16"/>
  <c r="T1753" i="16"/>
  <c r="T1818" i="16"/>
  <c r="T1721" i="16"/>
  <c r="T1798" i="16"/>
  <c r="O1798" i="16"/>
  <c r="T1832" i="16"/>
  <c r="T1852" i="16"/>
  <c r="O1852" i="16"/>
  <c r="E127" i="89" s="1"/>
  <c r="T1709" i="16"/>
  <c r="T1779" i="16"/>
  <c r="O1779" i="16"/>
  <c r="T1793" i="16"/>
  <c r="O1793" i="16"/>
  <c r="T1840" i="16"/>
  <c r="O1840" i="16"/>
  <c r="T1726" i="16"/>
  <c r="T1780" i="16"/>
  <c r="O1780" i="16"/>
  <c r="T1800" i="16"/>
  <c r="O1800" i="16"/>
  <c r="T1846" i="16"/>
  <c r="T1862" i="16"/>
  <c r="O1862" i="16"/>
  <c r="E129" i="89" s="1"/>
  <c r="S1769" i="16"/>
  <c r="S1763" i="16"/>
  <c r="S1767" i="16"/>
  <c r="T2156" i="16"/>
  <c r="AD2156" i="16" s="1"/>
  <c r="AC2156" i="16" s="1"/>
  <c r="R290" i="28"/>
  <c r="AE290" i="28" s="1"/>
  <c r="AQ1478" i="16"/>
  <c r="AP1478" i="16"/>
  <c r="AQ1476" i="16"/>
  <c r="AP1476" i="16"/>
  <c r="AQ608" i="25"/>
  <c r="AP608" i="25"/>
  <c r="AQ606" i="25"/>
  <c r="AP606" i="25"/>
  <c r="O1815" i="16"/>
  <c r="O1753" i="16"/>
  <c r="O1804" i="16"/>
  <c r="O1842" i="16"/>
  <c r="O1824" i="16"/>
  <c r="O1729" i="16"/>
  <c r="O1709" i="16"/>
  <c r="O1721" i="16"/>
  <c r="O1832" i="16"/>
  <c r="O1726" i="16"/>
  <c r="O1746" i="16"/>
  <c r="O1741" i="16"/>
  <c r="E124" i="89" l="1"/>
  <c r="C124" i="89" s="1"/>
  <c r="A124" i="89" s="1"/>
  <c r="E123" i="89"/>
  <c r="C123" i="89" s="1"/>
  <c r="A123" i="89" s="1"/>
  <c r="E169" i="89"/>
  <c r="F130" i="89"/>
  <c r="E130" i="89"/>
  <c r="E128" i="89"/>
  <c r="AC290" i="28"/>
  <c r="T1767" i="16"/>
  <c r="O1767" i="16"/>
  <c r="T1769" i="16"/>
  <c r="O1769" i="16"/>
  <c r="T1763" i="16"/>
  <c r="O1763" i="16"/>
  <c r="AD256" i="84" l="1"/>
  <c r="AD204" i="84"/>
  <c r="AD203" i="84"/>
  <c r="R256" i="84"/>
  <c r="AE256" i="84" s="1"/>
  <c r="AF256" i="84" s="1"/>
  <c r="AD256" i="85"/>
  <c r="AD204" i="85"/>
  <c r="AD203" i="85"/>
  <c r="R256" i="85"/>
  <c r="AE256" i="85" s="1"/>
  <c r="AQ256" i="84"/>
  <c r="AQ204" i="84"/>
  <c r="AQ203" i="84"/>
  <c r="AQ256" i="85"/>
  <c r="AQ204" i="85"/>
  <c r="AQ203" i="85"/>
  <c r="AC256" i="84" l="1"/>
  <c r="R204" i="84"/>
  <c r="AE204" i="84" s="1"/>
  <c r="AE203" i="84"/>
  <c r="AF203" i="84" s="1"/>
  <c r="AF256" i="85"/>
  <c r="AC256" i="85"/>
  <c r="R203" i="85"/>
  <c r="R204" i="85"/>
  <c r="AE204" i="85" s="1"/>
  <c r="AF204" i="84" l="1"/>
  <c r="AC204" i="84"/>
  <c r="AC203" i="84"/>
  <c r="AE203" i="85"/>
  <c r="AC203" i="85" s="1"/>
  <c r="AC204" i="85"/>
  <c r="AF204" i="85"/>
  <c r="AQ194" i="16"/>
  <c r="AP194" i="16"/>
  <c r="AN194" i="16"/>
  <c r="AM194" i="16"/>
  <c r="AL194" i="16"/>
  <c r="U194" i="16"/>
  <c r="O194" i="16"/>
  <c r="AO194" i="16" s="1"/>
  <c r="AQ195" i="8"/>
  <c r="AP195" i="8"/>
  <c r="AN195" i="8"/>
  <c r="AM195" i="8"/>
  <c r="AL195" i="8"/>
  <c r="AO195" i="8"/>
  <c r="U195" i="8"/>
  <c r="AL4" i="2" s="1"/>
  <c r="N194" i="16" l="1"/>
  <c r="AF203" i="85"/>
  <c r="AS239" i="27"/>
  <c r="AR239" i="27"/>
  <c r="AQ239" i="27"/>
  <c r="AP239" i="27"/>
  <c r="AS1868" i="16"/>
  <c r="AR1868" i="16"/>
  <c r="AQ1868" i="16"/>
  <c r="AP1868" i="16"/>
  <c r="AN1870" i="16"/>
  <c r="M1870" i="16" l="1"/>
  <c r="T1869" i="16"/>
  <c r="M1866" i="16" s="1"/>
  <c r="Y1868" i="16"/>
  <c r="W311" i="84"/>
  <c r="G307" i="84" s="1"/>
  <c r="W311" i="85" l="1"/>
  <c r="G307" i="85" s="1"/>
  <c r="M237" i="27" l="1"/>
  <c r="B885" i="80" l="1"/>
  <c r="C885" i="80" s="1"/>
  <c r="B883" i="80"/>
  <c r="C883" i="80" s="1"/>
  <c r="AS884" i="16"/>
  <c r="AR884" i="16"/>
  <c r="AQ884" i="16"/>
  <c r="AP884" i="16"/>
  <c r="Y884" i="16"/>
  <c r="U884" i="16"/>
  <c r="AS14" i="25"/>
  <c r="AR14" i="25"/>
  <c r="AQ14" i="25"/>
  <c r="AP14" i="25"/>
  <c r="U14" i="25"/>
  <c r="CG4" i="2" s="1"/>
  <c r="B2088" i="80" l="1"/>
  <c r="K180" i="17" l="1"/>
  <c r="X5" i="85" l="1"/>
  <c r="X4" i="85"/>
  <c r="G10" i="84" l="1"/>
  <c r="G10" i="85"/>
  <c r="Y298" i="84" l="1"/>
  <c r="Y287" i="84"/>
  <c r="Y280" i="84"/>
  <c r="Y272" i="84"/>
  <c r="Y264" i="84"/>
  <c r="Y256" i="84"/>
  <c r="Y246" i="84"/>
  <c r="Y222" i="84"/>
  <c r="Y203" i="84"/>
  <c r="Y166" i="84"/>
  <c r="Y162" i="84"/>
  <c r="Y152" i="84"/>
  <c r="Y139" i="84"/>
  <c r="Y125" i="84"/>
  <c r="Y110" i="84"/>
  <c r="Y106" i="84"/>
  <c r="Y97" i="84"/>
  <c r="Y77" i="84"/>
  <c r="Y74" i="84"/>
  <c r="Y66" i="84"/>
  <c r="Y58" i="84"/>
  <c r="Y55" i="84"/>
  <c r="Y54" i="84"/>
  <c r="Y50" i="84"/>
  <c r="Y49" i="84"/>
  <c r="Y48" i="84"/>
  <c r="Y47" i="84"/>
  <c r="Y46" i="84"/>
  <c r="Y45" i="84"/>
  <c r="Y44" i="84"/>
  <c r="Y43" i="84"/>
  <c r="Y42" i="84"/>
  <c r="Y41" i="84"/>
  <c r="Y40" i="84"/>
  <c r="Y39" i="84"/>
  <c r="Y36" i="84"/>
  <c r="Y35" i="84"/>
  <c r="Y34" i="84"/>
  <c r="Y33" i="84"/>
  <c r="Y29" i="84"/>
  <c r="Y28" i="84"/>
  <c r="Y27" i="84"/>
  <c r="Y24" i="84"/>
  <c r="Y23" i="84"/>
  <c r="Y22" i="84"/>
  <c r="Y21" i="84"/>
  <c r="Y18" i="84"/>
  <c r="Y17" i="84"/>
  <c r="Y16" i="84"/>
  <c r="Y15" i="84"/>
  <c r="AY18" i="85" l="1"/>
  <c r="W300" i="85"/>
  <c r="W299" i="85"/>
  <c r="W298" i="85"/>
  <c r="W273" i="85"/>
  <c r="S226" i="85"/>
  <c r="S225" i="85"/>
  <c r="W189" i="85"/>
  <c r="W188" i="85"/>
  <c r="W187" i="85"/>
  <c r="W186" i="85"/>
  <c r="W185" i="85"/>
  <c r="W184" i="85"/>
  <c r="W183" i="85"/>
  <c r="W182" i="85"/>
  <c r="W181" i="85"/>
  <c r="W139" i="85"/>
  <c r="W125" i="85"/>
  <c r="AS298" i="85"/>
  <c r="AS287" i="85"/>
  <c r="AS280" i="85"/>
  <c r="AS272" i="85"/>
  <c r="AS264" i="85"/>
  <c r="AS256" i="85"/>
  <c r="AS246" i="85"/>
  <c r="AS222" i="85"/>
  <c r="AS203" i="85"/>
  <c r="AS166" i="85"/>
  <c r="AQ166" i="85"/>
  <c r="AS162" i="85"/>
  <c r="AQ155" i="85"/>
  <c r="AQ154" i="85"/>
  <c r="AQ153" i="85"/>
  <c r="AS152" i="85"/>
  <c r="AQ152" i="85"/>
  <c r="AS139" i="85"/>
  <c r="AQ126" i="85"/>
  <c r="AS125" i="85"/>
  <c r="AS110" i="85"/>
  <c r="AQ110" i="85"/>
  <c r="AS106" i="85"/>
  <c r="AS97" i="85"/>
  <c r="AS77" i="85"/>
  <c r="AS74" i="85"/>
  <c r="AS66" i="85"/>
  <c r="AS58" i="85"/>
  <c r="AS55" i="85"/>
  <c r="AQ55" i="85"/>
  <c r="AD55" i="85"/>
  <c r="S55" i="85"/>
  <c r="AS54" i="85"/>
  <c r="AQ54" i="85"/>
  <c r="AD54" i="85"/>
  <c r="S54" i="85"/>
  <c r="AS50" i="85"/>
  <c r="AS49" i="85"/>
  <c r="AQ49" i="85"/>
  <c r="AS48" i="85"/>
  <c r="AQ48" i="85"/>
  <c r="AS47" i="85"/>
  <c r="AQ47" i="85"/>
  <c r="AS46" i="85"/>
  <c r="AQ46" i="85"/>
  <c r="AS45" i="85"/>
  <c r="AQ45" i="85"/>
  <c r="AS44" i="85"/>
  <c r="AQ44" i="85"/>
  <c r="AS43" i="85"/>
  <c r="AQ43" i="85"/>
  <c r="AS42" i="85"/>
  <c r="AQ42" i="85"/>
  <c r="AS41" i="85"/>
  <c r="AQ41" i="85"/>
  <c r="AS40" i="85"/>
  <c r="AQ40" i="85"/>
  <c r="AS39" i="85"/>
  <c r="AQ39" i="85"/>
  <c r="AS36" i="85"/>
  <c r="AS35" i="85"/>
  <c r="AS34" i="85"/>
  <c r="AS33" i="85"/>
  <c r="AS29" i="85"/>
  <c r="AS28" i="85"/>
  <c r="AS27" i="85"/>
  <c r="AS24" i="85"/>
  <c r="AS23" i="85"/>
  <c r="AQ23" i="85"/>
  <c r="AD23" i="85"/>
  <c r="AS22" i="85"/>
  <c r="AQ22" i="85"/>
  <c r="AD22" i="85"/>
  <c r="AS21" i="85"/>
  <c r="AQ21" i="85"/>
  <c r="AD21" i="85"/>
  <c r="AX18" i="85"/>
  <c r="AS18" i="85"/>
  <c r="AS17" i="85"/>
  <c r="AQ17" i="85"/>
  <c r="AD17" i="85"/>
  <c r="AS16" i="85"/>
  <c r="AQ16" i="85"/>
  <c r="AD16" i="85"/>
  <c r="AS15" i="85"/>
  <c r="AQ15" i="85"/>
  <c r="AD15" i="85"/>
  <c r="R14" i="85"/>
  <c r="AQ155" i="84"/>
  <c r="AQ154" i="84"/>
  <c r="AQ153" i="84"/>
  <c r="AQ126" i="84"/>
  <c r="AS298" i="84"/>
  <c r="AS287" i="84"/>
  <c r="AS280" i="84"/>
  <c r="AS272" i="84"/>
  <c r="AS264" i="84"/>
  <c r="AS256" i="84"/>
  <c r="AS246" i="84"/>
  <c r="AS222" i="84"/>
  <c r="AS203" i="84"/>
  <c r="AS162" i="84"/>
  <c r="AS139" i="84"/>
  <c r="AS125" i="84"/>
  <c r="AS106" i="84"/>
  <c r="AS97" i="84"/>
  <c r="AS77" i="84"/>
  <c r="AS74" i="84"/>
  <c r="AS66" i="84"/>
  <c r="AS58" i="84"/>
  <c r="AS50" i="84"/>
  <c r="AS36" i="84"/>
  <c r="AS35" i="84"/>
  <c r="AS34" i="84"/>
  <c r="AS33" i="84"/>
  <c r="AS29" i="84"/>
  <c r="AS28" i="84"/>
  <c r="AS27" i="84"/>
  <c r="AS24" i="84"/>
  <c r="AS18" i="84"/>
  <c r="AS166" i="84"/>
  <c r="AQ166" i="84"/>
  <c r="AS152" i="84"/>
  <c r="AQ152" i="84"/>
  <c r="AS110" i="84"/>
  <c r="AQ110" i="84"/>
  <c r="AS55" i="84"/>
  <c r="AQ55" i="84"/>
  <c r="AS54" i="84"/>
  <c r="AQ54" i="84"/>
  <c r="AS49" i="84"/>
  <c r="AQ49" i="84"/>
  <c r="AS48" i="84"/>
  <c r="AQ48" i="84"/>
  <c r="AS47" i="84"/>
  <c r="AQ47" i="84"/>
  <c r="AS46" i="84"/>
  <c r="AQ46" i="84"/>
  <c r="AS45" i="84"/>
  <c r="AQ45" i="84"/>
  <c r="AS44" i="84"/>
  <c r="AQ44" i="84"/>
  <c r="AS43" i="84"/>
  <c r="AQ43" i="84"/>
  <c r="AS42" i="84"/>
  <c r="AQ42" i="84"/>
  <c r="AS41" i="84"/>
  <c r="AQ41" i="84"/>
  <c r="AS40" i="84"/>
  <c r="AQ40" i="84"/>
  <c r="AS39" i="84"/>
  <c r="AQ39" i="84"/>
  <c r="AS23" i="84"/>
  <c r="AQ23" i="84"/>
  <c r="AS22" i="84"/>
  <c r="AQ22" i="84"/>
  <c r="AS21" i="84"/>
  <c r="AQ21" i="84"/>
  <c r="AS17" i="84"/>
  <c r="AQ17" i="84"/>
  <c r="AS16" i="84"/>
  <c r="AQ16" i="84"/>
  <c r="AQ15" i="84"/>
  <c r="AS15" i="84"/>
  <c r="S235" i="85"/>
  <c r="S264" i="85"/>
  <c r="S265" i="85"/>
  <c r="S227" i="85"/>
  <c r="S208" i="85"/>
  <c r="T227" i="85" l="1"/>
  <c r="AD227" i="85" s="1"/>
  <c r="AC227" i="85" s="1"/>
  <c r="R16" i="85"/>
  <c r="AE16" i="85" s="1"/>
  <c r="AF16" i="85" s="1"/>
  <c r="R15" i="85"/>
  <c r="AE15" i="85" s="1"/>
  <c r="AC15" i="85" s="1"/>
  <c r="R18" i="85"/>
  <c r="AE18" i="85" s="1"/>
  <c r="AC18" i="85" s="1"/>
  <c r="R54" i="85"/>
  <c r="AE54" i="85" s="1"/>
  <c r="AF54" i="85" s="1"/>
  <c r="AC16" i="85"/>
  <c r="R21" i="85"/>
  <c r="AE21" i="85" s="1"/>
  <c r="AC21" i="85" s="1"/>
  <c r="R23" i="85"/>
  <c r="AE23" i="85" s="1"/>
  <c r="AF23" i="85" s="1"/>
  <c r="R27" i="85"/>
  <c r="AE27" i="85" s="1"/>
  <c r="AC27" i="85" s="1"/>
  <c r="R17" i="85"/>
  <c r="AE17" i="85" s="1"/>
  <c r="AF17" i="85" s="1"/>
  <c r="G173" i="85"/>
  <c r="D5" i="85" s="1"/>
  <c r="R22" i="85"/>
  <c r="AE22" i="85" s="1"/>
  <c r="AF22" i="85" s="1"/>
  <c r="R28" i="85"/>
  <c r="AE28" i="85" s="1"/>
  <c r="AF28" i="85" s="1"/>
  <c r="R34" i="85"/>
  <c r="AE34" i="85" s="1"/>
  <c r="AC34" i="85" s="1"/>
  <c r="R35" i="85"/>
  <c r="AE35" i="85" s="1"/>
  <c r="R24" i="85"/>
  <c r="AE24" i="85" s="1"/>
  <c r="R33" i="85"/>
  <c r="AE33" i="85" s="1"/>
  <c r="R50" i="85"/>
  <c r="AE50" i="85" s="1"/>
  <c r="R55" i="85"/>
  <c r="AE55" i="85" s="1"/>
  <c r="AF55" i="85" s="1"/>
  <c r="R29" i="85"/>
  <c r="AE29" i="85" s="1"/>
  <c r="R36" i="85"/>
  <c r="AE36" i="85" s="1"/>
  <c r="R58" i="85"/>
  <c r="AE58" i="85" s="1"/>
  <c r="AI3" i="85"/>
  <c r="S154" i="85"/>
  <c r="S130" i="85"/>
  <c r="S247" i="85"/>
  <c r="S131" i="85"/>
  <c r="S291" i="85"/>
  <c r="S238" i="85"/>
  <c r="AF21" i="85" l="1"/>
  <c r="AF15" i="85"/>
  <c r="AF27" i="85"/>
  <c r="AC54" i="85"/>
  <c r="AC22" i="85"/>
  <c r="AF18" i="85"/>
  <c r="AF34" i="85"/>
  <c r="AG3" i="85"/>
  <c r="AC23" i="85"/>
  <c r="AC55" i="85"/>
  <c r="AC28" i="85"/>
  <c r="AC17" i="85"/>
  <c r="AC58" i="85"/>
  <c r="AF58" i="85"/>
  <c r="AC29" i="85"/>
  <c r="AF29" i="85"/>
  <c r="AF24" i="85"/>
  <c r="AC24" i="85"/>
  <c r="AF50" i="85"/>
  <c r="AC50" i="85"/>
  <c r="AF35" i="85"/>
  <c r="AC35" i="85"/>
  <c r="AC36" i="85"/>
  <c r="AF36" i="85"/>
  <c r="AF33" i="85"/>
  <c r="AC33" i="85"/>
  <c r="AX18" i="84" l="1"/>
  <c r="AD23" i="84"/>
  <c r="AD22" i="84"/>
  <c r="AD21" i="84"/>
  <c r="AD17" i="84"/>
  <c r="AD16" i="84"/>
  <c r="AD55" i="84"/>
  <c r="AD54" i="84"/>
  <c r="AD49" i="84"/>
  <c r="AD48" i="84"/>
  <c r="AD47" i="84"/>
  <c r="AD46" i="84"/>
  <c r="AD45" i="84"/>
  <c r="AD44" i="84"/>
  <c r="AD43" i="84"/>
  <c r="AD42" i="84"/>
  <c r="AD41" i="84"/>
  <c r="AD40" i="84"/>
  <c r="AD39" i="84"/>
  <c r="AE49" i="84"/>
  <c r="AF49" i="84" s="1"/>
  <c r="AE48" i="84"/>
  <c r="AE47" i="84"/>
  <c r="AF47" i="84" s="1"/>
  <c r="AE46" i="84"/>
  <c r="AF46" i="84" s="1"/>
  <c r="AE45" i="84"/>
  <c r="AF45" i="84" s="1"/>
  <c r="AE44" i="84"/>
  <c r="AF44" i="84" s="1"/>
  <c r="AE43" i="84"/>
  <c r="AF43" i="84" s="1"/>
  <c r="AE42" i="84"/>
  <c r="AF42" i="84" s="1"/>
  <c r="AE41" i="84"/>
  <c r="AF41" i="84" s="1"/>
  <c r="AE40" i="84"/>
  <c r="AF40" i="84" s="1"/>
  <c r="AE39" i="84"/>
  <c r="AF39" i="84" s="1"/>
  <c r="AD15" i="84"/>
  <c r="R14" i="84"/>
  <c r="S55" i="84"/>
  <c r="S54" i="84"/>
  <c r="AC42" i="84" l="1"/>
  <c r="AC43" i="84"/>
  <c r="AC44" i="84"/>
  <c r="R58" i="84"/>
  <c r="AE58" i="84" s="1"/>
  <c r="AF58" i="84" s="1"/>
  <c r="R15" i="84"/>
  <c r="AE15" i="84" s="1"/>
  <c r="AF15" i="84" s="1"/>
  <c r="AC48" i="84"/>
  <c r="AC45" i="84"/>
  <c r="AC40" i="84"/>
  <c r="AF48" i="84"/>
  <c r="AC41" i="84"/>
  <c r="AI3" i="84"/>
  <c r="AC46" i="84"/>
  <c r="AC47" i="84"/>
  <c r="AC49" i="84"/>
  <c r="AC58" i="84"/>
  <c r="AC39" i="84"/>
  <c r="R18" i="84"/>
  <c r="AE18" i="84" s="1"/>
  <c r="AF18" i="84" s="1"/>
  <c r="R21" i="84"/>
  <c r="AE21" i="84" s="1"/>
  <c r="R33" i="84"/>
  <c r="AE33" i="84" s="1"/>
  <c r="R22" i="84"/>
  <c r="AE22" i="84" s="1"/>
  <c r="R34" i="84"/>
  <c r="AE34" i="84" s="1"/>
  <c r="R23" i="84"/>
  <c r="AE23" i="84" s="1"/>
  <c r="R35" i="84"/>
  <c r="AE35" i="84" s="1"/>
  <c r="R36" i="84"/>
  <c r="AE36" i="84" s="1"/>
  <c r="R24" i="84"/>
  <c r="AE24" i="84" s="1"/>
  <c r="R50" i="84"/>
  <c r="AE50" i="84" s="1"/>
  <c r="R55" i="84"/>
  <c r="AE55" i="84" s="1"/>
  <c r="R27" i="84"/>
  <c r="AE27" i="84" s="1"/>
  <c r="R54" i="84"/>
  <c r="AE54" i="84" s="1"/>
  <c r="R16" i="84"/>
  <c r="AE16" i="84" s="1"/>
  <c r="R28" i="84"/>
  <c r="AE28" i="84" s="1"/>
  <c r="R17" i="84"/>
  <c r="AE17" i="84" s="1"/>
  <c r="AF17" i="84" s="1"/>
  <c r="R29" i="84"/>
  <c r="AE29" i="84" s="1"/>
  <c r="AC15" i="84" l="1"/>
  <c r="AC18" i="84"/>
  <c r="AF28" i="84"/>
  <c r="AC28" i="84"/>
  <c r="AC54" i="84"/>
  <c r="AF54" i="84"/>
  <c r="AF34" i="84"/>
  <c r="AC34" i="84"/>
  <c r="AC17" i="84"/>
  <c r="AF24" i="84"/>
  <c r="AC24" i="84"/>
  <c r="AF27" i="84"/>
  <c r="AC27" i="84"/>
  <c r="AF22" i="84"/>
  <c r="AC22" i="84"/>
  <c r="AC23" i="84"/>
  <c r="AF23" i="84"/>
  <c r="AF55" i="84"/>
  <c r="AC55" i="84"/>
  <c r="AF33" i="84"/>
  <c r="AC33" i="84"/>
  <c r="AC29" i="84"/>
  <c r="AF29" i="84"/>
  <c r="AF36" i="84"/>
  <c r="AC36" i="84"/>
  <c r="AF35" i="84"/>
  <c r="AC35" i="84"/>
  <c r="AC16" i="84"/>
  <c r="AF16" i="84"/>
  <c r="AC50" i="84"/>
  <c r="AF50" i="84"/>
  <c r="AC21" i="84"/>
  <c r="AF21" i="84"/>
  <c r="S226" i="84"/>
  <c r="S225" i="84"/>
  <c r="S223" i="84"/>
  <c r="W139" i="84"/>
  <c r="W125" i="84"/>
  <c r="W299" i="84" l="1"/>
  <c r="W300" i="84"/>
  <c r="W298" i="84"/>
  <c r="W273" i="84"/>
  <c r="W189" i="84" l="1"/>
  <c r="W188" i="84"/>
  <c r="W187" i="84"/>
  <c r="W186" i="84"/>
  <c r="W185" i="84"/>
  <c r="W184" i="84"/>
  <c r="W183" i="84"/>
  <c r="W182" i="84"/>
  <c r="W181" i="84"/>
  <c r="G173" i="84" l="1"/>
  <c r="D5" i="84" s="1"/>
  <c r="R3" i="84"/>
  <c r="AG3" i="84" s="1"/>
  <c r="E14" i="23" l="1"/>
  <c r="E15" i="23"/>
  <c r="AN241" i="27"/>
  <c r="AQ1419" i="16" l="1"/>
  <c r="AP1419" i="16"/>
  <c r="F1418" i="81"/>
  <c r="O1411" i="16"/>
  <c r="H1418" i="80"/>
  <c r="AQ549" i="25"/>
  <c r="AP549" i="25"/>
  <c r="O541" i="25" l="1"/>
  <c r="F1836" i="81" l="1"/>
  <c r="AS1837" i="16"/>
  <c r="AR1837" i="16"/>
  <c r="AQ1837" i="16"/>
  <c r="AP1837" i="16"/>
  <c r="AL1837" i="16"/>
  <c r="Y1837" i="16"/>
  <c r="H1838" i="80"/>
  <c r="AS208" i="27"/>
  <c r="AR208" i="27"/>
  <c r="AQ208" i="27"/>
  <c r="AP208" i="27"/>
  <c r="AL208" i="27"/>
  <c r="U208" i="27"/>
  <c r="EL4" i="2" s="1"/>
  <c r="L180" i="18" l="1"/>
  <c r="F2462" i="81" l="1"/>
  <c r="F2459" i="81"/>
  <c r="F2455" i="81"/>
  <c r="F2453" i="81"/>
  <c r="F2440" i="81"/>
  <c r="F2437" i="81"/>
  <c r="F2435" i="81"/>
  <c r="F2429" i="81"/>
  <c r="F2428" i="81"/>
  <c r="F2427" i="81"/>
  <c r="F2426" i="81"/>
  <c r="F2425" i="81"/>
  <c r="F2424" i="81"/>
  <c r="F2423" i="81"/>
  <c r="F2418" i="81"/>
  <c r="F2417" i="81"/>
  <c r="F2416" i="81"/>
  <c r="F2415" i="81"/>
  <c r="F2414" i="81"/>
  <c r="F2413" i="81"/>
  <c r="F2410" i="81"/>
  <c r="F2411" i="81"/>
  <c r="F2409" i="81"/>
  <c r="F2394" i="81"/>
  <c r="F2392" i="81"/>
  <c r="F2391" i="81"/>
  <c r="F2390" i="81"/>
  <c r="F2389" i="81"/>
  <c r="F2388" i="81"/>
  <c r="F2386" i="81"/>
  <c r="F2385" i="81"/>
  <c r="F2383" i="81"/>
  <c r="F2376" i="81"/>
  <c r="F2372" i="81"/>
  <c r="F2370" i="81"/>
  <c r="F2364" i="81"/>
  <c r="F2361" i="81"/>
  <c r="F2360" i="81"/>
  <c r="F2358" i="81"/>
  <c r="F2356" i="81"/>
  <c r="F2355" i="81"/>
  <c r="F2353" i="81"/>
  <c r="F2350" i="81"/>
  <c r="F2348" i="81"/>
  <c r="F2345" i="81"/>
  <c r="F2343" i="81"/>
  <c r="F2336" i="81"/>
  <c r="F2337" i="81"/>
  <c r="F2335" i="81"/>
  <c r="F2333" i="81"/>
  <c r="F2332" i="81"/>
  <c r="F2330" i="81"/>
  <c r="F2327" i="81"/>
  <c r="F2324" i="81"/>
  <c r="F2301" i="81"/>
  <c r="F2302" i="81"/>
  <c r="F2300" i="81"/>
  <c r="F2298" i="81"/>
  <c r="F2296" i="81"/>
  <c r="F2294" i="81"/>
  <c r="F2293" i="81"/>
  <c r="F2291" i="81"/>
  <c r="F2289" i="81"/>
  <c r="F2288" i="81"/>
  <c r="F2286" i="81"/>
  <c r="F2284" i="81"/>
  <c r="F2280" i="81"/>
  <c r="F2273" i="81"/>
  <c r="F2274" i="81"/>
  <c r="F2272" i="81"/>
  <c r="F2270" i="81"/>
  <c r="F2269" i="81"/>
  <c r="F2267" i="81"/>
  <c r="F2265" i="81"/>
  <c r="F2264" i="81"/>
  <c r="F2263" i="81"/>
  <c r="F2259" i="81"/>
  <c r="F2258" i="81"/>
  <c r="F2257" i="81"/>
  <c r="F2247" i="81"/>
  <c r="F2242" i="81"/>
  <c r="F2240" i="81"/>
  <c r="F2239" i="81"/>
  <c r="F2236" i="81"/>
  <c r="F2231" i="81"/>
  <c r="F2227" i="81"/>
  <c r="F2219" i="81"/>
  <c r="F2214" i="81"/>
  <c r="F2209" i="81"/>
  <c r="F2204" i="81"/>
  <c r="F2203" i="81"/>
  <c r="F2197" i="81"/>
  <c r="F2193" i="81"/>
  <c r="F2189" i="81"/>
  <c r="F2187" i="81"/>
  <c r="F2184" i="81"/>
  <c r="F2181" i="81"/>
  <c r="F2179" i="81"/>
  <c r="F2175" i="81"/>
  <c r="F2153" i="81"/>
  <c r="F2151" i="81"/>
  <c r="F2103" i="81"/>
  <c r="F2100" i="81"/>
  <c r="F2097" i="81"/>
  <c r="F2095" i="81"/>
  <c r="F2084" i="81"/>
  <c r="F2080" i="81"/>
  <c r="F2077" i="81"/>
  <c r="F2075" i="81"/>
  <c r="F2073" i="81"/>
  <c r="F2070" i="81"/>
  <c r="F2068" i="81"/>
  <c r="F2062" i="81"/>
  <c r="F2061" i="81"/>
  <c r="F2059" i="81"/>
  <c r="F2055" i="81"/>
  <c r="F2053" i="81"/>
  <c r="F2051" i="81"/>
  <c r="F2049" i="81"/>
  <c r="F2043" i="81"/>
  <c r="F2041" i="81"/>
  <c r="F2038" i="81"/>
  <c r="F2037" i="81"/>
  <c r="F2033" i="81"/>
  <c r="F2029" i="81"/>
  <c r="F2024" i="81"/>
  <c r="F2020" i="81"/>
  <c r="F2019" i="81"/>
  <c r="F2014" i="81"/>
  <c r="F2005" i="81"/>
  <c r="F2000" i="81"/>
  <c r="F1998" i="81"/>
  <c r="F1997" i="81"/>
  <c r="F1995" i="81"/>
  <c r="F1984" i="81"/>
  <c r="F1981" i="81"/>
  <c r="F1980" i="81"/>
  <c r="F1970" i="81"/>
  <c r="F1961" i="81"/>
  <c r="F1958" i="81"/>
  <c r="F1956" i="81"/>
  <c r="F1945" i="81"/>
  <c r="F1944" i="81"/>
  <c r="F1943" i="81"/>
  <c r="F1942" i="81"/>
  <c r="F1937" i="81"/>
  <c r="F1933" i="81"/>
  <c r="F1927" i="81"/>
  <c r="F1925" i="81"/>
  <c r="F1923" i="81"/>
  <c r="F1920" i="81"/>
  <c r="F1918" i="81"/>
  <c r="F1916" i="81"/>
  <c r="F1913" i="81"/>
  <c r="F1911" i="81"/>
  <c r="F1908" i="81"/>
  <c r="F1902" i="81"/>
  <c r="F1899" i="81"/>
  <c r="F1894" i="81"/>
  <c r="F1891" i="81"/>
  <c r="F1888" i="81"/>
  <c r="F1883" i="81"/>
  <c r="F1877" i="81"/>
  <c r="F1861" i="81"/>
  <c r="F1859" i="81"/>
  <c r="F1856" i="81"/>
  <c r="F1851" i="81"/>
  <c r="F1849" i="81"/>
  <c r="F1847" i="81"/>
  <c r="F1845" i="81"/>
  <c r="F1839" i="81"/>
  <c r="F1831" i="81"/>
  <c r="F1823" i="81"/>
  <c r="F1820" i="81"/>
  <c r="F1819" i="81"/>
  <c r="F1817" i="81"/>
  <c r="F1803" i="81"/>
  <c r="F1799" i="81"/>
  <c r="F1797" i="81"/>
  <c r="F1796" i="81"/>
  <c r="F1794" i="81"/>
  <c r="F1792" i="81"/>
  <c r="F1786" i="81"/>
  <c r="F1784" i="81"/>
  <c r="F1778" i="81"/>
  <c r="F1779" i="81"/>
  <c r="F1777" i="81"/>
  <c r="F1773" i="81"/>
  <c r="F1771" i="81"/>
  <c r="F1768" i="81"/>
  <c r="F1766" i="81"/>
  <c r="F1762" i="81"/>
  <c r="F1759" i="81"/>
  <c r="F1752" i="81"/>
  <c r="F1745" i="81"/>
  <c r="F1740" i="81"/>
  <c r="F1730" i="81"/>
  <c r="F1728" i="81"/>
  <c r="F1725" i="81"/>
  <c r="F1720" i="81"/>
  <c r="F1708" i="81"/>
  <c r="F1703" i="81"/>
  <c r="F1701" i="81"/>
  <c r="F1694" i="81"/>
  <c r="F1692" i="81"/>
  <c r="F1684" i="81"/>
  <c r="F1683" i="81"/>
  <c r="F1678" i="81"/>
  <c r="F1649" i="81"/>
  <c r="F1641" i="81"/>
  <c r="F1636" i="81"/>
  <c r="F1635" i="81"/>
  <c r="F1630" i="81"/>
  <c r="F1626" i="81"/>
  <c r="F1621" i="81"/>
  <c r="F1617" i="81"/>
  <c r="F1615" i="81"/>
  <c r="F1610" i="81"/>
  <c r="F1605" i="81"/>
  <c r="F1602" i="81"/>
  <c r="F1599" i="81"/>
  <c r="F1598" i="81"/>
  <c r="F1594" i="81"/>
  <c r="F1584" i="81"/>
  <c r="F1582" i="81"/>
  <c r="F1580" i="81"/>
  <c r="F1577" i="81"/>
  <c r="F1575" i="81"/>
  <c r="F1573" i="81"/>
  <c r="F1570" i="81"/>
  <c r="F1569" i="81"/>
  <c r="F1568" i="81"/>
  <c r="F1567" i="81"/>
  <c r="F1566" i="81"/>
  <c r="F1565" i="81"/>
  <c r="F1564" i="81"/>
  <c r="F1563" i="81"/>
  <c r="F1548" i="81"/>
  <c r="F1543" i="81"/>
  <c r="F1540" i="81"/>
  <c r="F1538" i="81"/>
  <c r="F1537" i="81"/>
  <c r="F1536" i="81"/>
  <c r="F1535" i="81"/>
  <c r="F1528" i="81"/>
  <c r="F1526" i="81"/>
  <c r="F1524" i="81"/>
  <c r="F1514" i="81"/>
  <c r="F1512" i="81"/>
  <c r="F1506" i="81"/>
  <c r="F1503" i="81"/>
  <c r="F1501" i="81"/>
  <c r="F1495" i="81"/>
  <c r="F1494" i="81"/>
  <c r="F1492" i="81"/>
  <c r="F1477" i="81"/>
  <c r="F1475" i="81"/>
  <c r="F1466" i="81"/>
  <c r="F1464" i="81"/>
  <c r="F1461" i="81"/>
  <c r="F1456" i="81"/>
  <c r="F1455" i="81"/>
  <c r="F1453" i="81"/>
  <c r="F1450" i="81"/>
  <c r="F1447" i="81"/>
  <c r="F1442" i="81"/>
  <c r="F1437" i="81"/>
  <c r="F1433" i="81"/>
  <c r="F1430" i="81"/>
  <c r="F1426" i="81"/>
  <c r="F1416" i="81"/>
  <c r="F1386" i="81"/>
  <c r="F1384" i="81"/>
  <c r="F1382" i="81"/>
  <c r="F1380" i="81"/>
  <c r="F1375" i="81"/>
  <c r="F1373" i="81"/>
  <c r="F1370" i="81"/>
  <c r="G1370" i="81" s="1"/>
  <c r="F1368" i="81"/>
  <c r="G1368" i="81" s="1"/>
  <c r="F1367" i="81"/>
  <c r="G1367" i="81" s="1"/>
  <c r="F1366" i="81"/>
  <c r="G1366" i="81" s="1"/>
  <c r="F1364" i="81"/>
  <c r="G1364" i="81" s="1"/>
  <c r="F1356" i="81"/>
  <c r="F1329" i="81"/>
  <c r="F1325" i="81"/>
  <c r="F1326" i="81"/>
  <c r="F1324" i="81"/>
  <c r="F1321" i="81"/>
  <c r="F1319" i="81"/>
  <c r="F1317" i="81"/>
  <c r="F1300" i="81"/>
  <c r="F1298" i="81"/>
  <c r="F1296" i="81"/>
  <c r="F1294" i="81"/>
  <c r="F1292" i="81"/>
  <c r="F1291" i="81"/>
  <c r="F1271" i="81"/>
  <c r="F1269" i="81"/>
  <c r="F1252" i="81"/>
  <c r="F1250" i="81"/>
  <c r="F1244" i="81"/>
  <c r="F1233" i="81"/>
  <c r="F1231" i="81"/>
  <c r="F1229" i="81"/>
  <c r="F1228" i="81"/>
  <c r="F1225" i="81"/>
  <c r="F1223" i="81"/>
  <c r="F1217" i="81"/>
  <c r="F1212" i="81"/>
  <c r="F1210" i="81"/>
  <c r="F1205" i="81"/>
  <c r="F1200" i="81"/>
  <c r="F1199" i="81"/>
  <c r="F1197" i="81"/>
  <c r="F1192" i="81"/>
  <c r="F1187" i="81"/>
  <c r="F1185" i="81"/>
  <c r="F1180" i="81"/>
  <c r="F1174" i="81"/>
  <c r="F1169" i="81"/>
  <c r="F1166" i="81"/>
  <c r="F1160" i="81"/>
  <c r="F1153" i="81"/>
  <c r="F1147" i="81"/>
  <c r="F1140" i="81"/>
  <c r="F1129" i="81"/>
  <c r="F1121" i="81"/>
  <c r="F1113" i="81"/>
  <c r="F1105" i="81"/>
  <c r="F1098" i="81"/>
  <c r="F1097" i="81"/>
  <c r="F1091" i="81"/>
  <c r="F1089" i="81"/>
  <c r="F1083" i="81"/>
  <c r="F1080" i="81"/>
  <c r="F1065" i="81"/>
  <c r="F1054" i="81"/>
  <c r="F1048" i="81"/>
  <c r="F1042" i="81"/>
  <c r="F1041" i="81"/>
  <c r="F1039" i="81"/>
  <c r="F1029" i="81"/>
  <c r="F1019" i="81"/>
  <c r="F993" i="81"/>
  <c r="F990" i="81"/>
  <c r="F977" i="81"/>
  <c r="F974" i="81"/>
  <c r="F969" i="81"/>
  <c r="F968" i="81"/>
  <c r="F967" i="81"/>
  <c r="F966" i="81"/>
  <c r="F965" i="81"/>
  <c r="F964" i="81"/>
  <c r="F963" i="81"/>
  <c r="F962" i="81"/>
  <c r="F961" i="81"/>
  <c r="F960" i="81"/>
  <c r="F959" i="81"/>
  <c r="F958" i="81"/>
  <c r="F957" i="81"/>
  <c r="F954" i="81"/>
  <c r="F950" i="81"/>
  <c r="F949" i="81"/>
  <c r="F946" i="81"/>
  <c r="F940" i="81"/>
  <c r="F937" i="81"/>
  <c r="F932" i="81"/>
  <c r="F928" i="81"/>
  <c r="F926" i="81"/>
  <c r="F925" i="81"/>
  <c r="F924" i="81"/>
  <c r="F923" i="81"/>
  <c r="F920" i="81"/>
  <c r="F921" i="81"/>
  <c r="F919" i="81"/>
  <c r="F916" i="81"/>
  <c r="F914" i="81"/>
  <c r="F913" i="81"/>
  <c r="F911" i="81"/>
  <c r="F910" i="81"/>
  <c r="F897" i="81"/>
  <c r="F881" i="81"/>
  <c r="F863" i="81"/>
  <c r="F859" i="81"/>
  <c r="F857" i="81"/>
  <c r="F853" i="81"/>
  <c r="F852" i="81"/>
  <c r="F851" i="81"/>
  <c r="F849" i="81"/>
  <c r="F847" i="81"/>
  <c r="F843" i="81"/>
  <c r="F838" i="81"/>
  <c r="G838" i="81" s="1"/>
  <c r="F834" i="81"/>
  <c r="F832" i="81"/>
  <c r="F830" i="81"/>
  <c r="F828" i="81"/>
  <c r="F826" i="81"/>
  <c r="F824" i="81"/>
  <c r="F823" i="81"/>
  <c r="F812" i="81"/>
  <c r="F806" i="81"/>
  <c r="F795" i="81"/>
  <c r="F783" i="81"/>
  <c r="F777" i="81"/>
  <c r="F771" i="81"/>
  <c r="F764" i="81"/>
  <c r="F758" i="81"/>
  <c r="F751" i="81"/>
  <c r="F743" i="81"/>
  <c r="F735" i="81"/>
  <c r="F726" i="81"/>
  <c r="F709" i="81"/>
  <c r="F707" i="81"/>
  <c r="F696" i="81"/>
  <c r="F693" i="81"/>
  <c r="F687" i="81"/>
  <c r="F682" i="81"/>
  <c r="F673" i="81"/>
  <c r="F671" i="81"/>
  <c r="F670" i="81"/>
  <c r="F668" i="81"/>
  <c r="F667" i="81"/>
  <c r="F643" i="81"/>
  <c r="F642" i="81"/>
  <c r="F641" i="81"/>
  <c r="F640" i="81"/>
  <c r="F639" i="81"/>
  <c r="F638" i="81"/>
  <c r="F637" i="81"/>
  <c r="F636" i="81"/>
  <c r="F631" i="81"/>
  <c r="F630" i="81"/>
  <c r="F629" i="81"/>
  <c r="F628" i="81"/>
  <c r="F627" i="81"/>
  <c r="F626" i="81"/>
  <c r="F625" i="81"/>
  <c r="F624" i="81"/>
  <c r="F623" i="81"/>
  <c r="F610" i="81"/>
  <c r="F608" i="81"/>
  <c r="F595" i="81"/>
  <c r="F592" i="81"/>
  <c r="F589" i="81"/>
  <c r="F587" i="81"/>
  <c r="F585" i="81"/>
  <c r="F583" i="81"/>
  <c r="F578" i="81"/>
  <c r="F571" i="81"/>
  <c r="F565" i="81"/>
  <c r="F561" i="81"/>
  <c r="F559" i="81"/>
  <c r="F554" i="81"/>
  <c r="G554" i="81" s="1"/>
  <c r="F550" i="81"/>
  <c r="F547" i="81"/>
  <c r="F546" i="81"/>
  <c r="G546" i="81" s="1"/>
  <c r="F544" i="81"/>
  <c r="F536" i="81"/>
  <c r="F537" i="81"/>
  <c r="F535" i="81"/>
  <c r="F533" i="81"/>
  <c r="G531" i="81" s="1"/>
  <c r="F527" i="81"/>
  <c r="F524" i="81"/>
  <c r="F522" i="81"/>
  <c r="F510" i="81"/>
  <c r="F508" i="81"/>
  <c r="F506" i="81"/>
  <c r="F500" i="81"/>
  <c r="F496" i="81"/>
  <c r="F495" i="81"/>
  <c r="F492" i="81"/>
  <c r="F482" i="81"/>
  <c r="G477" i="81" s="1"/>
  <c r="F474" i="81"/>
  <c r="G474" i="81" s="1"/>
  <c r="F470" i="81"/>
  <c r="F468" i="81"/>
  <c r="F466" i="81"/>
  <c r="F463" i="81"/>
  <c r="F461" i="81"/>
  <c r="F456" i="81"/>
  <c r="F452" i="81"/>
  <c r="F448" i="81"/>
  <c r="F442" i="81"/>
  <c r="F440" i="81"/>
  <c r="F439" i="81"/>
  <c r="F436" i="81"/>
  <c r="F434" i="81"/>
  <c r="F430" i="81"/>
  <c r="F428" i="81"/>
  <c r="F422" i="81"/>
  <c r="F420" i="81"/>
  <c r="F418" i="81"/>
  <c r="F417" i="81"/>
  <c r="F413" i="81"/>
  <c r="F410" i="81"/>
  <c r="F397" i="81"/>
  <c r="F390" i="81"/>
  <c r="F388" i="81"/>
  <c r="F384" i="81"/>
  <c r="F383" i="81"/>
  <c r="F382" i="81"/>
  <c r="F373" i="81"/>
  <c r="F372" i="81"/>
  <c r="F371" i="81"/>
  <c r="F370" i="81"/>
  <c r="F369" i="81"/>
  <c r="F363" i="81"/>
  <c r="F362" i="81"/>
  <c r="F361" i="81"/>
  <c r="F360" i="81"/>
  <c r="F359" i="81"/>
  <c r="F358" i="81"/>
  <c r="F354" i="81"/>
  <c r="F351" i="81"/>
  <c r="F348" i="81"/>
  <c r="F324" i="81"/>
  <c r="F322" i="81"/>
  <c r="F320" i="81"/>
  <c r="F315" i="81"/>
  <c r="F314" i="81"/>
  <c r="F311" i="81"/>
  <c r="F308" i="81"/>
  <c r="F304" i="81"/>
  <c r="F293" i="81"/>
  <c r="F291" i="81"/>
  <c r="F290" i="81"/>
  <c r="F287" i="81"/>
  <c r="F285" i="81"/>
  <c r="F281" i="81"/>
  <c r="F275" i="81"/>
  <c r="F271" i="81"/>
  <c r="F270" i="81"/>
  <c r="F266" i="81"/>
  <c r="G266" i="81" s="1"/>
  <c r="F263" i="81"/>
  <c r="G263" i="81" s="1"/>
  <c r="F256" i="81"/>
  <c r="F254" i="81"/>
  <c r="F252" i="81"/>
  <c r="F245" i="81"/>
  <c r="F243" i="81"/>
  <c r="F242" i="81"/>
  <c r="F241" i="81"/>
  <c r="F240" i="81"/>
  <c r="F239" i="81"/>
  <c r="F238" i="81"/>
  <c r="F236" i="81"/>
  <c r="F233" i="81"/>
  <c r="F229" i="81"/>
  <c r="F227" i="81"/>
  <c r="F225" i="81"/>
  <c r="F224" i="81"/>
  <c r="F222" i="81"/>
  <c r="F217" i="81"/>
  <c r="F215" i="81"/>
  <c r="F214" i="81"/>
  <c r="F207" i="81"/>
  <c r="F200" i="81"/>
  <c r="F197" i="81"/>
  <c r="F195" i="81"/>
  <c r="F192" i="81"/>
  <c r="G192" i="81" s="1"/>
  <c r="F189" i="81"/>
  <c r="G189" i="81" s="1"/>
  <c r="F190" i="81"/>
  <c r="G190" i="81" s="1"/>
  <c r="F188" i="81"/>
  <c r="G188" i="81" s="1"/>
  <c r="F184" i="81"/>
  <c r="F182" i="81"/>
  <c r="F180" i="81"/>
  <c r="F177" i="81"/>
  <c r="F175" i="81"/>
  <c r="F170" i="81"/>
  <c r="F169" i="81"/>
  <c r="F164" i="81"/>
  <c r="F161" i="81"/>
  <c r="F159" i="81"/>
  <c r="F156" i="81"/>
  <c r="F154" i="81"/>
  <c r="F148" i="81"/>
  <c r="F146" i="81"/>
  <c r="F141" i="81"/>
  <c r="F139" i="81"/>
  <c r="F134" i="81"/>
  <c r="F127" i="81"/>
  <c r="F123" i="81"/>
  <c r="F120" i="81"/>
  <c r="F112" i="81"/>
  <c r="F111" i="81"/>
  <c r="F110" i="81"/>
  <c r="F108" i="81"/>
  <c r="F107" i="81"/>
  <c r="F103" i="81"/>
  <c r="F99" i="81"/>
  <c r="F97" i="81"/>
  <c r="F92" i="81"/>
  <c r="F90" i="81"/>
  <c r="F89" i="81"/>
  <c r="F88" i="81"/>
  <c r="G88" i="81" s="1"/>
  <c r="F82" i="81"/>
  <c r="F80" i="81"/>
  <c r="F78" i="81"/>
  <c r="F76" i="81"/>
  <c r="F74" i="81"/>
  <c r="F72" i="81"/>
  <c r="F70" i="81"/>
  <c r="F68" i="81"/>
  <c r="F57" i="81"/>
  <c r="F54" i="81"/>
  <c r="F51" i="81"/>
  <c r="F49" i="81"/>
  <c r="F44" i="81"/>
  <c r="F41" i="81"/>
  <c r="F36" i="81"/>
  <c r="F26" i="81"/>
  <c r="F24" i="81"/>
  <c r="F22" i="81"/>
  <c r="F20" i="81"/>
  <c r="F17" i="81"/>
  <c r="G17" i="81" s="1"/>
  <c r="F16" i="81"/>
  <c r="G16" i="81" s="1"/>
  <c r="F15" i="81"/>
  <c r="G15" i="81" s="1"/>
  <c r="G14" i="81" s="1"/>
  <c r="F13" i="81"/>
  <c r="B891" i="80" l="1"/>
  <c r="B887" i="80"/>
  <c r="B877" i="80"/>
  <c r="B876" i="80"/>
  <c r="B875" i="80"/>
  <c r="B874" i="80"/>
  <c r="B873" i="80"/>
  <c r="B872" i="80"/>
  <c r="B871" i="80"/>
  <c r="B870" i="80"/>
  <c r="B869" i="80"/>
  <c r="B868" i="80"/>
  <c r="B867" i="80"/>
  <c r="B866" i="80"/>
  <c r="B865" i="80"/>
  <c r="B864" i="80"/>
  <c r="B863" i="80"/>
  <c r="B862" i="80"/>
  <c r="B861" i="80"/>
  <c r="B860" i="80"/>
  <c r="B859" i="80"/>
  <c r="B858" i="80"/>
  <c r="B857" i="80"/>
  <c r="B856" i="80"/>
  <c r="B855" i="80"/>
  <c r="B854" i="80"/>
  <c r="B853" i="80"/>
  <c r="B852" i="80"/>
  <c r="B851" i="80"/>
  <c r="B850" i="80"/>
  <c r="B849" i="80"/>
  <c r="B848" i="80"/>
  <c r="B847" i="80"/>
  <c r="B846" i="80"/>
  <c r="B845" i="80"/>
  <c r="B844" i="80"/>
  <c r="B843" i="80"/>
  <c r="B842" i="80"/>
  <c r="B841" i="80"/>
  <c r="B840" i="80"/>
  <c r="B839" i="80"/>
  <c r="B838" i="80"/>
  <c r="B837" i="80"/>
  <c r="B836" i="80"/>
  <c r="B835" i="80"/>
  <c r="B834" i="80"/>
  <c r="B833" i="80"/>
  <c r="B832" i="80"/>
  <c r="B831" i="80"/>
  <c r="B830" i="80"/>
  <c r="B829" i="80"/>
  <c r="B828" i="80"/>
  <c r="B827" i="80"/>
  <c r="B826" i="80"/>
  <c r="B825" i="80"/>
  <c r="B824" i="80"/>
  <c r="B823" i="80"/>
  <c r="B822" i="80"/>
  <c r="B821" i="80"/>
  <c r="B820" i="80"/>
  <c r="B819" i="80"/>
  <c r="B818" i="80"/>
  <c r="B817" i="80"/>
  <c r="B816" i="80"/>
  <c r="B815" i="80"/>
  <c r="B814" i="80"/>
  <c r="B813" i="80"/>
  <c r="B812" i="80"/>
  <c r="B811" i="80"/>
  <c r="B810" i="80"/>
  <c r="B809" i="80"/>
  <c r="B808" i="80"/>
  <c r="B807" i="80"/>
  <c r="B806" i="80"/>
  <c r="B805" i="80"/>
  <c r="B804" i="80"/>
  <c r="B803" i="80"/>
  <c r="B802" i="80"/>
  <c r="B801" i="80"/>
  <c r="B800" i="80"/>
  <c r="B799" i="80"/>
  <c r="B798" i="80"/>
  <c r="B797" i="80"/>
  <c r="B796" i="80"/>
  <c r="B795" i="80"/>
  <c r="B794" i="80"/>
  <c r="B793" i="80"/>
  <c r="B792" i="80"/>
  <c r="B791" i="80"/>
  <c r="B790" i="80"/>
  <c r="B789" i="80"/>
  <c r="B788" i="80"/>
  <c r="B787" i="80"/>
  <c r="B786" i="80"/>
  <c r="B785" i="80"/>
  <c r="B784" i="80"/>
  <c r="B783" i="80"/>
  <c r="B782" i="80"/>
  <c r="B781" i="80"/>
  <c r="B780" i="80"/>
  <c r="B779" i="80"/>
  <c r="B778" i="80"/>
  <c r="B777" i="80"/>
  <c r="B776" i="80"/>
  <c r="B775" i="80"/>
  <c r="B774" i="80"/>
  <c r="B773" i="80"/>
  <c r="B772" i="80"/>
  <c r="B771" i="80"/>
  <c r="B770" i="80"/>
  <c r="B769" i="80"/>
  <c r="B768" i="80"/>
  <c r="B767" i="80"/>
  <c r="B766" i="80"/>
  <c r="B765" i="80"/>
  <c r="B764" i="80"/>
  <c r="B763" i="80"/>
  <c r="B762" i="80"/>
  <c r="B761" i="80"/>
  <c r="B760" i="80"/>
  <c r="B759" i="80"/>
  <c r="B758" i="80"/>
  <c r="B757" i="80"/>
  <c r="B756" i="80"/>
  <c r="B755" i="80"/>
  <c r="B754" i="80"/>
  <c r="B753" i="80"/>
  <c r="B752" i="80"/>
  <c r="B751" i="80"/>
  <c r="B750" i="80"/>
  <c r="B749" i="80"/>
  <c r="B748" i="80"/>
  <c r="B747" i="80"/>
  <c r="B746" i="80"/>
  <c r="B745" i="80"/>
  <c r="B744" i="80"/>
  <c r="B743" i="80"/>
  <c r="B742" i="80"/>
  <c r="B741" i="80"/>
  <c r="B740" i="80"/>
  <c r="B739" i="80"/>
  <c r="B738" i="80"/>
  <c r="B737" i="80"/>
  <c r="B736" i="80"/>
  <c r="B735" i="80"/>
  <c r="B734" i="80"/>
  <c r="B733" i="80"/>
  <c r="B732" i="80"/>
  <c r="B731" i="80"/>
  <c r="B730" i="80"/>
  <c r="B729" i="80"/>
  <c r="B728" i="80"/>
  <c r="B727" i="80"/>
  <c r="B726" i="80"/>
  <c r="B725" i="80"/>
  <c r="B724" i="80"/>
  <c r="B723" i="80"/>
  <c r="B722" i="80"/>
  <c r="B721" i="80"/>
  <c r="B720" i="80"/>
  <c r="B719" i="80"/>
  <c r="B718" i="80"/>
  <c r="B717" i="80"/>
  <c r="B716" i="80"/>
  <c r="B715" i="80"/>
  <c r="B714" i="80"/>
  <c r="B713" i="80"/>
  <c r="B712" i="80"/>
  <c r="B711" i="80"/>
  <c r="B710" i="80"/>
  <c r="B709" i="80"/>
  <c r="B708" i="80"/>
  <c r="B707" i="80"/>
  <c r="B706" i="80"/>
  <c r="B705" i="80"/>
  <c r="B704" i="80"/>
  <c r="B703" i="80"/>
  <c r="B702" i="80"/>
  <c r="B701" i="80"/>
  <c r="B700" i="80"/>
  <c r="B699" i="80"/>
  <c r="B698" i="80"/>
  <c r="B697" i="80"/>
  <c r="B696" i="80"/>
  <c r="B695" i="80"/>
  <c r="B694" i="80"/>
  <c r="B693" i="80"/>
  <c r="B692" i="80"/>
  <c r="B691" i="80"/>
  <c r="B690" i="80"/>
  <c r="B689" i="80"/>
  <c r="B688" i="80"/>
  <c r="B687" i="80"/>
  <c r="B686" i="80"/>
  <c r="B685" i="80"/>
  <c r="B684" i="80"/>
  <c r="B683" i="80"/>
  <c r="B682" i="80"/>
  <c r="B681" i="80"/>
  <c r="B680" i="80"/>
  <c r="B679" i="80"/>
  <c r="B678" i="80"/>
  <c r="B677" i="80"/>
  <c r="B676" i="80"/>
  <c r="B675" i="80"/>
  <c r="B674" i="80"/>
  <c r="B673" i="80"/>
  <c r="B672" i="80"/>
  <c r="B671" i="80"/>
  <c r="B670" i="80"/>
  <c r="B669" i="80"/>
  <c r="B668" i="80"/>
  <c r="B667" i="80"/>
  <c r="B666" i="80"/>
  <c r="B665" i="80"/>
  <c r="B664" i="80"/>
  <c r="B663" i="80"/>
  <c r="B662" i="80"/>
  <c r="B661" i="80"/>
  <c r="B660" i="80"/>
  <c r="B659" i="80"/>
  <c r="B658" i="80"/>
  <c r="B657" i="80"/>
  <c r="B656" i="80"/>
  <c r="B655" i="80"/>
  <c r="B654" i="80"/>
  <c r="B653" i="80"/>
  <c r="B652" i="80"/>
  <c r="B651" i="80"/>
  <c r="B650" i="80"/>
  <c r="B649" i="80"/>
  <c r="B648" i="80"/>
  <c r="B647" i="80"/>
  <c r="B646" i="80"/>
  <c r="B645" i="80"/>
  <c r="B644" i="80"/>
  <c r="B643" i="80"/>
  <c r="B642" i="80"/>
  <c r="B641" i="80"/>
  <c r="B640" i="80"/>
  <c r="B639" i="80"/>
  <c r="B638" i="80"/>
  <c r="B637" i="80"/>
  <c r="B636" i="80"/>
  <c r="B635" i="80"/>
  <c r="B634" i="80"/>
  <c r="B633" i="80"/>
  <c r="B632" i="80"/>
  <c r="B631" i="80"/>
  <c r="B630" i="80"/>
  <c r="B629" i="80"/>
  <c r="B628" i="80"/>
  <c r="B627" i="80"/>
  <c r="B626" i="80"/>
  <c r="B625" i="80"/>
  <c r="B624" i="80"/>
  <c r="B623" i="80"/>
  <c r="B622" i="80"/>
  <c r="B621" i="80"/>
  <c r="B620" i="80"/>
  <c r="B619" i="80"/>
  <c r="B618" i="80"/>
  <c r="B617" i="80"/>
  <c r="B616" i="80"/>
  <c r="B615" i="80"/>
  <c r="B614" i="80"/>
  <c r="B613" i="80"/>
  <c r="B612" i="80"/>
  <c r="B611" i="80"/>
  <c r="B610" i="80"/>
  <c r="B609" i="80"/>
  <c r="B608" i="80"/>
  <c r="B607" i="80"/>
  <c r="B606" i="80"/>
  <c r="B605" i="80"/>
  <c r="B604" i="80"/>
  <c r="B603" i="80"/>
  <c r="B602" i="80"/>
  <c r="B601" i="80"/>
  <c r="B600" i="80"/>
  <c r="B599" i="80"/>
  <c r="B598" i="80"/>
  <c r="B597" i="80"/>
  <c r="B596" i="80"/>
  <c r="B595" i="80"/>
  <c r="B594" i="80"/>
  <c r="B593" i="80"/>
  <c r="B592" i="80"/>
  <c r="B591" i="80"/>
  <c r="B590" i="80"/>
  <c r="B589" i="80"/>
  <c r="B588" i="80"/>
  <c r="B587" i="80"/>
  <c r="B586" i="80"/>
  <c r="B585" i="80"/>
  <c r="B584" i="80"/>
  <c r="B583" i="80"/>
  <c r="B582" i="80"/>
  <c r="B581" i="80"/>
  <c r="B580" i="80"/>
  <c r="B579" i="80"/>
  <c r="B578" i="80"/>
  <c r="B577" i="80"/>
  <c r="B576" i="80"/>
  <c r="B575" i="80"/>
  <c r="B574" i="80"/>
  <c r="B573" i="80"/>
  <c r="B572" i="80"/>
  <c r="B571" i="80"/>
  <c r="B570" i="80"/>
  <c r="B569" i="80"/>
  <c r="B568" i="80"/>
  <c r="B567" i="80"/>
  <c r="B566" i="80"/>
  <c r="B565" i="80"/>
  <c r="B564" i="80"/>
  <c r="B563" i="80"/>
  <c r="B562" i="80"/>
  <c r="B561" i="80"/>
  <c r="B560" i="80"/>
  <c r="B559" i="80"/>
  <c r="B558" i="80"/>
  <c r="B557" i="80"/>
  <c r="B556" i="80"/>
  <c r="B555" i="80"/>
  <c r="B554" i="80"/>
  <c r="B553" i="80"/>
  <c r="B552" i="80"/>
  <c r="B551" i="80"/>
  <c r="B550" i="80"/>
  <c r="B549" i="80"/>
  <c r="B548" i="80"/>
  <c r="B547" i="80"/>
  <c r="B546" i="80"/>
  <c r="B545" i="80"/>
  <c r="B544" i="80"/>
  <c r="B543" i="80"/>
  <c r="B542" i="80"/>
  <c r="B541" i="80"/>
  <c r="B540" i="80"/>
  <c r="B539" i="80"/>
  <c r="B538" i="80"/>
  <c r="B537" i="80"/>
  <c r="B536" i="80"/>
  <c r="B535" i="80"/>
  <c r="B534" i="80"/>
  <c r="B533" i="80"/>
  <c r="B532" i="80"/>
  <c r="B531" i="80"/>
  <c r="B530" i="80"/>
  <c r="B529" i="80"/>
  <c r="B528" i="80"/>
  <c r="B527" i="80"/>
  <c r="B526" i="80"/>
  <c r="B525" i="80"/>
  <c r="B524" i="80"/>
  <c r="B523" i="80"/>
  <c r="B522" i="80"/>
  <c r="B521" i="80"/>
  <c r="B520" i="80"/>
  <c r="B519" i="80"/>
  <c r="B518" i="80"/>
  <c r="B517" i="80"/>
  <c r="B516" i="80"/>
  <c r="B515" i="80"/>
  <c r="B514" i="80"/>
  <c r="B513" i="80"/>
  <c r="B512" i="80"/>
  <c r="B511" i="80"/>
  <c r="B510" i="80"/>
  <c r="B509" i="80"/>
  <c r="B508" i="80"/>
  <c r="B507" i="80"/>
  <c r="B506" i="80"/>
  <c r="B505" i="80"/>
  <c r="B504" i="80"/>
  <c r="B503" i="80"/>
  <c r="B502" i="80"/>
  <c r="B501" i="80"/>
  <c r="B500" i="80"/>
  <c r="B499" i="80"/>
  <c r="B498" i="80"/>
  <c r="B497" i="80"/>
  <c r="B496" i="80"/>
  <c r="B495" i="80"/>
  <c r="B494" i="80"/>
  <c r="B493" i="80"/>
  <c r="B492" i="80"/>
  <c r="B491" i="80"/>
  <c r="B490" i="80"/>
  <c r="B489" i="80"/>
  <c r="B488" i="80"/>
  <c r="B487" i="80"/>
  <c r="B486" i="80"/>
  <c r="B485" i="80"/>
  <c r="B484" i="80"/>
  <c r="B483" i="80"/>
  <c r="B482" i="80"/>
  <c r="B481" i="80"/>
  <c r="B480" i="80"/>
  <c r="B479" i="80"/>
  <c r="B478" i="80"/>
  <c r="B477" i="80"/>
  <c r="B476" i="80"/>
  <c r="B475" i="80"/>
  <c r="B474" i="80"/>
  <c r="B473" i="80"/>
  <c r="B472" i="80"/>
  <c r="B471" i="80"/>
  <c r="B470" i="80"/>
  <c r="B469" i="80"/>
  <c r="B468" i="80"/>
  <c r="B467" i="80"/>
  <c r="B466" i="80"/>
  <c r="B465" i="80"/>
  <c r="B464" i="80"/>
  <c r="B463" i="80"/>
  <c r="B462" i="80"/>
  <c r="B461" i="80"/>
  <c r="B460" i="80"/>
  <c r="B459" i="80"/>
  <c r="B458" i="80"/>
  <c r="B457" i="80"/>
  <c r="B456" i="80"/>
  <c r="B455" i="80"/>
  <c r="B454" i="80"/>
  <c r="B453" i="80"/>
  <c r="B452" i="80"/>
  <c r="B451" i="80"/>
  <c r="B450" i="80"/>
  <c r="B449" i="80"/>
  <c r="B448" i="80"/>
  <c r="B447" i="80"/>
  <c r="B446" i="80"/>
  <c r="B445" i="80"/>
  <c r="B444" i="80"/>
  <c r="B443" i="80"/>
  <c r="B442" i="80"/>
  <c r="B441" i="80"/>
  <c r="B440" i="80"/>
  <c r="B439" i="80"/>
  <c r="B438" i="80"/>
  <c r="B437" i="80"/>
  <c r="B436" i="80"/>
  <c r="B435" i="80"/>
  <c r="B434" i="80"/>
  <c r="B433" i="80"/>
  <c r="B432" i="80"/>
  <c r="B431" i="80"/>
  <c r="B430" i="80"/>
  <c r="B429" i="80"/>
  <c r="B428" i="80"/>
  <c r="B427" i="80"/>
  <c r="B426" i="80"/>
  <c r="B425" i="80"/>
  <c r="B424" i="80"/>
  <c r="B423" i="80"/>
  <c r="B422" i="80"/>
  <c r="B421" i="80"/>
  <c r="B420" i="80"/>
  <c r="B419" i="80"/>
  <c r="B418" i="80"/>
  <c r="B417" i="80"/>
  <c r="B416" i="80"/>
  <c r="B415" i="80"/>
  <c r="B414" i="80"/>
  <c r="B413" i="80"/>
  <c r="B412" i="80"/>
  <c r="B411" i="80"/>
  <c r="B410" i="80"/>
  <c r="B409" i="80"/>
  <c r="B408" i="80"/>
  <c r="B407" i="80"/>
  <c r="B406" i="80"/>
  <c r="B405" i="80"/>
  <c r="B404" i="80"/>
  <c r="B403" i="80"/>
  <c r="B402" i="80"/>
  <c r="B401" i="80"/>
  <c r="B400" i="80"/>
  <c r="B399" i="80"/>
  <c r="B398" i="80"/>
  <c r="B397" i="80"/>
  <c r="B396" i="80"/>
  <c r="B395" i="80"/>
  <c r="B394" i="80"/>
  <c r="B393" i="80"/>
  <c r="B392" i="80"/>
  <c r="B391" i="80"/>
  <c r="B390" i="80"/>
  <c r="B389" i="80"/>
  <c r="B388" i="80"/>
  <c r="B387" i="80"/>
  <c r="B386" i="80"/>
  <c r="B385" i="80"/>
  <c r="B384" i="80"/>
  <c r="B383" i="80"/>
  <c r="B382" i="80"/>
  <c r="B381" i="80"/>
  <c r="B380" i="80"/>
  <c r="B379" i="80"/>
  <c r="B378" i="80"/>
  <c r="B377" i="80"/>
  <c r="B376" i="80"/>
  <c r="B375" i="80"/>
  <c r="B374" i="80"/>
  <c r="B373" i="80"/>
  <c r="B372" i="80"/>
  <c r="B371" i="80"/>
  <c r="B370" i="80"/>
  <c r="B369" i="80"/>
  <c r="B368" i="80"/>
  <c r="B367" i="80"/>
  <c r="B366" i="80"/>
  <c r="B365" i="80"/>
  <c r="B364" i="80"/>
  <c r="B363" i="80"/>
  <c r="B362" i="80"/>
  <c r="B361" i="80"/>
  <c r="B360" i="80"/>
  <c r="B359" i="80"/>
  <c r="B358" i="80"/>
  <c r="B357" i="80"/>
  <c r="B356" i="80"/>
  <c r="B355" i="80"/>
  <c r="B354" i="80"/>
  <c r="B353" i="80"/>
  <c r="B352" i="80"/>
  <c r="B351" i="80"/>
  <c r="B350" i="80"/>
  <c r="B349" i="80"/>
  <c r="B348" i="80"/>
  <c r="B347" i="80"/>
  <c r="B346" i="80"/>
  <c r="B345" i="80"/>
  <c r="B344" i="80"/>
  <c r="B343" i="80"/>
  <c r="B342" i="80"/>
  <c r="B341" i="80"/>
  <c r="B340" i="80"/>
  <c r="B339" i="80"/>
  <c r="B338" i="80"/>
  <c r="B337" i="80"/>
  <c r="B336" i="80"/>
  <c r="B335" i="80"/>
  <c r="B334" i="80"/>
  <c r="B333" i="80"/>
  <c r="B332" i="80"/>
  <c r="B331" i="80"/>
  <c r="B330" i="80"/>
  <c r="B329" i="80"/>
  <c r="B328" i="80"/>
  <c r="B327" i="80"/>
  <c r="C3105" i="80" l="1"/>
  <c r="C2471" i="80"/>
  <c r="C2483" i="80" l="1"/>
  <c r="C2521" i="80"/>
  <c r="C2561" i="80"/>
  <c r="C2619" i="80"/>
  <c r="C2657" i="80"/>
  <c r="C2700" i="80"/>
  <c r="C2738" i="80"/>
  <c r="C2776" i="80"/>
  <c r="C2821" i="80"/>
  <c r="C2872" i="80"/>
  <c r="C2920" i="80"/>
  <c r="C2993" i="80"/>
  <c r="C3091" i="80"/>
  <c r="C2484" i="80"/>
  <c r="C2545" i="80"/>
  <c r="C2583" i="80"/>
  <c r="C2643" i="80"/>
  <c r="C2664" i="80"/>
  <c r="C2719" i="80"/>
  <c r="C2762" i="80"/>
  <c r="C2823" i="80"/>
  <c r="C2873" i="80"/>
  <c r="C2946" i="80"/>
  <c r="C2994" i="80"/>
  <c r="C3092" i="80"/>
  <c r="C2488" i="80"/>
  <c r="C2546" i="80"/>
  <c r="C2584" i="80"/>
  <c r="C2644" i="80"/>
  <c r="C2703" i="80"/>
  <c r="C2763" i="80"/>
  <c r="C2826" i="80"/>
  <c r="C2922" i="80"/>
  <c r="C2506" i="80"/>
  <c r="C2544" i="80"/>
  <c r="C2581" i="80"/>
  <c r="C2602" i="80"/>
  <c r="C2640" i="80"/>
  <c r="C2680" i="80"/>
  <c r="C2717" i="80"/>
  <c r="C2755" i="80"/>
  <c r="C2800" i="80"/>
  <c r="C2847" i="80"/>
  <c r="C2895" i="80"/>
  <c r="C2945" i="80"/>
  <c r="C2968" i="80"/>
  <c r="C3018" i="80"/>
  <c r="C3041" i="80"/>
  <c r="C3066" i="80"/>
  <c r="C2507" i="80"/>
  <c r="C2603" i="80"/>
  <c r="C2701" i="80"/>
  <c r="C2801" i="80"/>
  <c r="C2921" i="80"/>
  <c r="C3042" i="80"/>
  <c r="C2508" i="80"/>
  <c r="C2607" i="80"/>
  <c r="C2682" i="80"/>
  <c r="C2740" i="80"/>
  <c r="C2802" i="80"/>
  <c r="C2849" i="80"/>
  <c r="C2899" i="80"/>
  <c r="C2947" i="80"/>
  <c r="C2972" i="80"/>
  <c r="C2995" i="80"/>
  <c r="C3020" i="80"/>
  <c r="C3045" i="80"/>
  <c r="C3068" i="80"/>
  <c r="C3093" i="80"/>
  <c r="C2472" i="80"/>
  <c r="C2492" i="80"/>
  <c r="C2509" i="80"/>
  <c r="C2530" i="80"/>
  <c r="C2547" i="80"/>
  <c r="C2570" i="80"/>
  <c r="C2591" i="80"/>
  <c r="C2608" i="80"/>
  <c r="C2628" i="80"/>
  <c r="C2645" i="80"/>
  <c r="C2666" i="80"/>
  <c r="C2689" i="80"/>
  <c r="C2704" i="80"/>
  <c r="C2727" i="80"/>
  <c r="C2744" i="80"/>
  <c r="C2764" i="80"/>
  <c r="C2785" i="80"/>
  <c r="C2810" i="80"/>
  <c r="C2827" i="80"/>
  <c r="C2850" i="80"/>
  <c r="C2875" i="80"/>
  <c r="C2900" i="80"/>
  <c r="C2923" i="80"/>
  <c r="C2948" i="80"/>
  <c r="C2973" i="80"/>
  <c r="C2996" i="80"/>
  <c r="C3021" i="80"/>
  <c r="C3047" i="80"/>
  <c r="C3069" i="80"/>
  <c r="C3095" i="80"/>
  <c r="C2473" i="80"/>
  <c r="C2493" i="80"/>
  <c r="C2511" i="80"/>
  <c r="C2533" i="80"/>
  <c r="C2554" i="80"/>
  <c r="C2571" i="80"/>
  <c r="C2592" i="80"/>
  <c r="C2609" i="80"/>
  <c r="C2629" i="80"/>
  <c r="C2652" i="80"/>
  <c r="C2667" i="80"/>
  <c r="C2690" i="80"/>
  <c r="C2707" i="80"/>
  <c r="C2728" i="80"/>
  <c r="C2748" i="80"/>
  <c r="C2765" i="80"/>
  <c r="C2786" i="80"/>
  <c r="C2811" i="80"/>
  <c r="C2835" i="80"/>
  <c r="C2858" i="80"/>
  <c r="C2883" i="80"/>
  <c r="C2908" i="80"/>
  <c r="C2931" i="80"/>
  <c r="C2956" i="80"/>
  <c r="C2981" i="80"/>
  <c r="C3004" i="80"/>
  <c r="C3029" i="80"/>
  <c r="C3055" i="80"/>
  <c r="C3077" i="80"/>
  <c r="C3103" i="80"/>
  <c r="C2474" i="80"/>
  <c r="C2497" i="80"/>
  <c r="C2517" i="80"/>
  <c r="C2535" i="80"/>
  <c r="C2555" i="80"/>
  <c r="C2572" i="80"/>
  <c r="C2593" i="80"/>
  <c r="C2616" i="80"/>
  <c r="C2631" i="80"/>
  <c r="C2653" i="80"/>
  <c r="C2671" i="80"/>
  <c r="C2691" i="80"/>
  <c r="C2712" i="80"/>
  <c r="C2729" i="80"/>
  <c r="C2749" i="80"/>
  <c r="C2767" i="80"/>
  <c r="C2789" i="80"/>
  <c r="C2812" i="80"/>
  <c r="C2836" i="80"/>
  <c r="C2859" i="80"/>
  <c r="C2884" i="80"/>
  <c r="C2909" i="80"/>
  <c r="C2932" i="80"/>
  <c r="C2957" i="80"/>
  <c r="C2983" i="80"/>
  <c r="C3005" i="80"/>
  <c r="C3031" i="80"/>
  <c r="C3056" i="80"/>
  <c r="C3079" i="80"/>
  <c r="C3104" i="80"/>
  <c r="C2481" i="80"/>
  <c r="C2498" i="80"/>
  <c r="C2519" i="80"/>
  <c r="C2536" i="80"/>
  <c r="C2556" i="80"/>
  <c r="C2579" i="80"/>
  <c r="C2594" i="80"/>
  <c r="C2617" i="80"/>
  <c r="C2634" i="80"/>
  <c r="C2655" i="80"/>
  <c r="C2675" i="80"/>
  <c r="C2692" i="80"/>
  <c r="C2713" i="80"/>
  <c r="C2730" i="80"/>
  <c r="C2753" i="80"/>
  <c r="C2773" i="80"/>
  <c r="C2791" i="80"/>
  <c r="C2813" i="80"/>
  <c r="C2837" i="80"/>
  <c r="C2863" i="80"/>
  <c r="C2885" i="80"/>
  <c r="C2911" i="80"/>
  <c r="C2936" i="80"/>
  <c r="C2959" i="80"/>
  <c r="C2984" i="80"/>
  <c r="C3009" i="80"/>
  <c r="C3032" i="80"/>
  <c r="C3057" i="80"/>
  <c r="C3082" i="80"/>
  <c r="C3118" i="80"/>
  <c r="C3117" i="80"/>
  <c r="C3108" i="80"/>
  <c r="C3099" i="80"/>
  <c r="C3090" i="80"/>
  <c r="C3081" i="80"/>
  <c r="C3072" i="80"/>
  <c r="C3063" i="80"/>
  <c r="C3053" i="80"/>
  <c r="C3044" i="80"/>
  <c r="C3035" i="80"/>
  <c r="C3026" i="80"/>
  <c r="C3017" i="80"/>
  <c r="C3008" i="80"/>
  <c r="C2999" i="80"/>
  <c r="C2989" i="80"/>
  <c r="C2980" i="80"/>
  <c r="C2971" i="80"/>
  <c r="C2962" i="80"/>
  <c r="C2953" i="80"/>
  <c r="C2944" i="80"/>
  <c r="C2935" i="80"/>
  <c r="C2925" i="80"/>
  <c r="C2916" i="80"/>
  <c r="C2907" i="80"/>
  <c r="C2898" i="80"/>
  <c r="C2889" i="80"/>
  <c r="C2880" i="80"/>
  <c r="C2871" i="80"/>
  <c r="C2861" i="80"/>
  <c r="C2852" i="80"/>
  <c r="C2843" i="80"/>
  <c r="C2834" i="80"/>
  <c r="C2825" i="80"/>
  <c r="C2816" i="80"/>
  <c r="C2807" i="80"/>
  <c r="C2797" i="80"/>
  <c r="C2788" i="80"/>
  <c r="C2779" i="80"/>
  <c r="C2770" i="80"/>
  <c r="C2761" i="80"/>
  <c r="C2752" i="80"/>
  <c r="C2743" i="80"/>
  <c r="C2733" i="80"/>
  <c r="C2724" i="80"/>
  <c r="C2715" i="80"/>
  <c r="C2706" i="80"/>
  <c r="C2697" i="80"/>
  <c r="C2688" i="80"/>
  <c r="C2679" i="80"/>
  <c r="C2669" i="80"/>
  <c r="C2660" i="80"/>
  <c r="C2651" i="80"/>
  <c r="C2642" i="80"/>
  <c r="C2633" i="80"/>
  <c r="C2624" i="80"/>
  <c r="C2615" i="80"/>
  <c r="C2605" i="80"/>
  <c r="C2596" i="80"/>
  <c r="C2587" i="80"/>
  <c r="C2578" i="80"/>
  <c r="C2569" i="80"/>
  <c r="C2560" i="80"/>
  <c r="C2551" i="80"/>
  <c r="C2541" i="80"/>
  <c r="C2532" i="80"/>
  <c r="C2523" i="80"/>
  <c r="C2514" i="80"/>
  <c r="C2505" i="80"/>
  <c r="C2496" i="80"/>
  <c r="C2487" i="80"/>
  <c r="C2477" i="80"/>
  <c r="C2577" i="80"/>
  <c r="C2568" i="80"/>
  <c r="C2559" i="80"/>
  <c r="C2549" i="80"/>
  <c r="C2540" i="80"/>
  <c r="C2531" i="80"/>
  <c r="C2522" i="80"/>
  <c r="C2513" i="80"/>
  <c r="C2504" i="80"/>
  <c r="C2495" i="80"/>
  <c r="C2485" i="80"/>
  <c r="C2476" i="80"/>
  <c r="C3115" i="80"/>
  <c r="C3106" i="80"/>
  <c r="C3116" i="80"/>
  <c r="C3107" i="80"/>
  <c r="C3098" i="80"/>
  <c r="C3089" i="80"/>
  <c r="C3080" i="80"/>
  <c r="C3071" i="80"/>
  <c r="C3061" i="80"/>
  <c r="C3052" i="80"/>
  <c r="C3043" i="80"/>
  <c r="C3034" i="80"/>
  <c r="C3025" i="80"/>
  <c r="C3016" i="80"/>
  <c r="C3007" i="80"/>
  <c r="C2997" i="80"/>
  <c r="C2988" i="80"/>
  <c r="C2979" i="80"/>
  <c r="C2970" i="80"/>
  <c r="C2961" i="80"/>
  <c r="C2952" i="80"/>
  <c r="C2943" i="80"/>
  <c r="C2933" i="80"/>
  <c r="C2924" i="80"/>
  <c r="C2915" i="80"/>
  <c r="C2906" i="80"/>
  <c r="C2897" i="80"/>
  <c r="C2888" i="80"/>
  <c r="C2879" i="80"/>
  <c r="C2869" i="80"/>
  <c r="C2860" i="80"/>
  <c r="C2851" i="80"/>
  <c r="C2842" i="80"/>
  <c r="C2833" i="80"/>
  <c r="C2824" i="80"/>
  <c r="C2815" i="80"/>
  <c r="C2805" i="80"/>
  <c r="C2796" i="80"/>
  <c r="C2787" i="80"/>
  <c r="C2778" i="80"/>
  <c r="C2769" i="80"/>
  <c r="C2760" i="80"/>
  <c r="C2751" i="80"/>
  <c r="C2741" i="80"/>
  <c r="C2732" i="80"/>
  <c r="C2723" i="80"/>
  <c r="C2714" i="80"/>
  <c r="C2705" i="80"/>
  <c r="C2696" i="80"/>
  <c r="C2687" i="80"/>
  <c r="C2677" i="80"/>
  <c r="C2668" i="80"/>
  <c r="C2659" i="80"/>
  <c r="C2650" i="80"/>
  <c r="C2641" i="80"/>
  <c r="C2632" i="80"/>
  <c r="C2623" i="80"/>
  <c r="C2613" i="80"/>
  <c r="C2604" i="80"/>
  <c r="C2595" i="80"/>
  <c r="C2586" i="80"/>
  <c r="C3114" i="80"/>
  <c r="C3101" i="80"/>
  <c r="C3088" i="80"/>
  <c r="C3076" i="80"/>
  <c r="C3065" i="80"/>
  <c r="C3051" i="80"/>
  <c r="C3040" i="80"/>
  <c r="C3028" i="80"/>
  <c r="C3015" i="80"/>
  <c r="C3003" i="80"/>
  <c r="C2992" i="80"/>
  <c r="C2978" i="80"/>
  <c r="C2967" i="80"/>
  <c r="C2955" i="80"/>
  <c r="C2941" i="80"/>
  <c r="C2930" i="80"/>
  <c r="C2919" i="80"/>
  <c r="C2905" i="80"/>
  <c r="C2893" i="80"/>
  <c r="C2882" i="80"/>
  <c r="C2868" i="80"/>
  <c r="C2857" i="80"/>
  <c r="C2845" i="80"/>
  <c r="C2832" i="80"/>
  <c r="C2820" i="80"/>
  <c r="C2809" i="80"/>
  <c r="C2795" i="80"/>
  <c r="C2784" i="80"/>
  <c r="C2772" i="80"/>
  <c r="C2759" i="80"/>
  <c r="C2747" i="80"/>
  <c r="C2736" i="80"/>
  <c r="C2722" i="80"/>
  <c r="C2711" i="80"/>
  <c r="C2699" i="80"/>
  <c r="C2685" i="80"/>
  <c r="C2674" i="80"/>
  <c r="C2663" i="80"/>
  <c r="C2649" i="80"/>
  <c r="C2637" i="80"/>
  <c r="C2626" i="80"/>
  <c r="C2612" i="80"/>
  <c r="C2601" i="80"/>
  <c r="C2589" i="80"/>
  <c r="C2576" i="80"/>
  <c r="C2564" i="80"/>
  <c r="C2553" i="80"/>
  <c r="C2539" i="80"/>
  <c r="C2528" i="80"/>
  <c r="C2516" i="80"/>
  <c r="C2503" i="80"/>
  <c r="C2491" i="80"/>
  <c r="C2480" i="80"/>
  <c r="C3074" i="80"/>
  <c r="C3001" i="80"/>
  <c r="C2964" i="80"/>
  <c r="C2939" i="80"/>
  <c r="C2891" i="80"/>
  <c r="C2866" i="80"/>
  <c r="C2841" i="80"/>
  <c r="C2804" i="80"/>
  <c r="C2768" i="80"/>
  <c r="C2745" i="80"/>
  <c r="C2720" i="80"/>
  <c r="C2683" i="80"/>
  <c r="C2658" i="80"/>
  <c r="C2635" i="80"/>
  <c r="C2610" i="80"/>
  <c r="C2585" i="80"/>
  <c r="C2548" i="80"/>
  <c r="C2525" i="80"/>
  <c r="C2500" i="80"/>
  <c r="C2475" i="80"/>
  <c r="C3096" i="80"/>
  <c r="C3073" i="80"/>
  <c r="C3048" i="80"/>
  <c r="C3023" i="80"/>
  <c r="C3000" i="80"/>
  <c r="C2963" i="80"/>
  <c r="C2938" i="80"/>
  <c r="C2913" i="80"/>
  <c r="C2876" i="80"/>
  <c r="C2853" i="80"/>
  <c r="C2828" i="80"/>
  <c r="C2792" i="80"/>
  <c r="C3113" i="80"/>
  <c r="C3100" i="80"/>
  <c r="C3087" i="80"/>
  <c r="C3075" i="80"/>
  <c r="C3064" i="80"/>
  <c r="C3050" i="80"/>
  <c r="C3039" i="80"/>
  <c r="C3027" i="80"/>
  <c r="C3013" i="80"/>
  <c r="C3002" i="80"/>
  <c r="C2991" i="80"/>
  <c r="C2977" i="80"/>
  <c r="C2965" i="80"/>
  <c r="C2954" i="80"/>
  <c r="C2940" i="80"/>
  <c r="C2929" i="80"/>
  <c r="C2917" i="80"/>
  <c r="C2904" i="80"/>
  <c r="C2892" i="80"/>
  <c r="C2881" i="80"/>
  <c r="C2867" i="80"/>
  <c r="C2856" i="80"/>
  <c r="C2844" i="80"/>
  <c r="C2831" i="80"/>
  <c r="C2819" i="80"/>
  <c r="C2808" i="80"/>
  <c r="C2794" i="80"/>
  <c r="C2783" i="80"/>
  <c r="C2771" i="80"/>
  <c r="C2757" i="80"/>
  <c r="C2746" i="80"/>
  <c r="C2735" i="80"/>
  <c r="C2721" i="80"/>
  <c r="C2709" i="80"/>
  <c r="C2698" i="80"/>
  <c r="C2684" i="80"/>
  <c r="C2673" i="80"/>
  <c r="C2661" i="80"/>
  <c r="C2648" i="80"/>
  <c r="C2636" i="80"/>
  <c r="C2625" i="80"/>
  <c r="C2611" i="80"/>
  <c r="C2600" i="80"/>
  <c r="C2588" i="80"/>
  <c r="C2575" i="80"/>
  <c r="C2563" i="80"/>
  <c r="C2552" i="80"/>
  <c r="C2538" i="80"/>
  <c r="C2527" i="80"/>
  <c r="C2515" i="80"/>
  <c r="C2501" i="80"/>
  <c r="C2490" i="80"/>
  <c r="C2479" i="80"/>
  <c r="C3060" i="80"/>
  <c r="C2987" i="80"/>
  <c r="C2951" i="80"/>
  <c r="C2928" i="80"/>
  <c r="C2903" i="80"/>
  <c r="C2877" i="80"/>
  <c r="C2855" i="80"/>
  <c r="C2829" i="80"/>
  <c r="C2793" i="80"/>
  <c r="C2781" i="80"/>
  <c r="C2756" i="80"/>
  <c r="C2731" i="80"/>
  <c r="C2695" i="80"/>
  <c r="C2672" i="80"/>
  <c r="C2647" i="80"/>
  <c r="C2621" i="80"/>
  <c r="C2599" i="80"/>
  <c r="C2562" i="80"/>
  <c r="C2537" i="80"/>
  <c r="C2512" i="80"/>
  <c r="C2489" i="80"/>
  <c r="C3111" i="80"/>
  <c r="C3059" i="80"/>
  <c r="C3036" i="80"/>
  <c r="C3011" i="80"/>
  <c r="C2975" i="80"/>
  <c r="C2949" i="80"/>
  <c r="C2927" i="80"/>
  <c r="C2890" i="80"/>
  <c r="C2865" i="80"/>
  <c r="C2840" i="80"/>
  <c r="C2803" i="80"/>
  <c r="C3112" i="80"/>
  <c r="C3097" i="80"/>
  <c r="C3085" i="80"/>
  <c r="C3049" i="80"/>
  <c r="C3037" i="80"/>
  <c r="C3024" i="80"/>
  <c r="C3012" i="80"/>
  <c r="C2976" i="80"/>
  <c r="C2914" i="80"/>
  <c r="C2818" i="80"/>
  <c r="C2708" i="80"/>
  <c r="C2573" i="80"/>
  <c r="C3084" i="80"/>
  <c r="C2986" i="80"/>
  <c r="C2901" i="80"/>
  <c r="C2524" i="80"/>
  <c r="C2565" i="80"/>
  <c r="C2620" i="80"/>
  <c r="C2681" i="80"/>
  <c r="C2739" i="80"/>
  <c r="C2777" i="80"/>
  <c r="C2848" i="80"/>
  <c r="C2896" i="80"/>
  <c r="C2969" i="80"/>
  <c r="C3019" i="80"/>
  <c r="C3067" i="80"/>
  <c r="C2529" i="80"/>
  <c r="C2567" i="80"/>
  <c r="C2627" i="80"/>
  <c r="C2665" i="80"/>
  <c r="C2725" i="80"/>
  <c r="C2780" i="80"/>
  <c r="C2874" i="80"/>
  <c r="C2482" i="80"/>
  <c r="C2499" i="80"/>
  <c r="C2520" i="80"/>
  <c r="C2543" i="80"/>
  <c r="C2557" i="80"/>
  <c r="C2580" i="80"/>
  <c r="C2597" i="80"/>
  <c r="C2618" i="80"/>
  <c r="C2639" i="80"/>
  <c r="C2656" i="80"/>
  <c r="C2676" i="80"/>
  <c r="C2693" i="80"/>
  <c r="C2716" i="80"/>
  <c r="C2737" i="80"/>
  <c r="C2754" i="80"/>
  <c r="C2775" i="80"/>
  <c r="C2799" i="80"/>
  <c r="C2817" i="80"/>
  <c r="C2839" i="80"/>
  <c r="C2864" i="80"/>
  <c r="C2887" i="80"/>
  <c r="C2912" i="80"/>
  <c r="C2937" i="80"/>
  <c r="C2960" i="80"/>
  <c r="C2985" i="80"/>
  <c r="C3010" i="80"/>
  <c r="C3033" i="80"/>
  <c r="C3058" i="80"/>
  <c r="C3083" i="80"/>
  <c r="C3109" i="80"/>
  <c r="C2478" i="80"/>
  <c r="C2486" i="80"/>
  <c r="C2494" i="80"/>
  <c r="C2502" i="80"/>
  <c r="C2510" i="80"/>
  <c r="C2518" i="80"/>
  <c r="C2526" i="80"/>
  <c r="C2534" i="80"/>
  <c r="C2542" i="80"/>
  <c r="C2550" i="80"/>
  <c r="C2558" i="80"/>
  <c r="C2566" i="80"/>
  <c r="C2574" i="80"/>
  <c r="C2582" i="80"/>
  <c r="C2590" i="80"/>
  <c r="C2598" i="80"/>
  <c r="C2606" i="80"/>
  <c r="C2614" i="80"/>
  <c r="C2622" i="80"/>
  <c r="C2630" i="80"/>
  <c r="C2638" i="80"/>
  <c r="C2646" i="80"/>
  <c r="C2654" i="80"/>
  <c r="C2662" i="80"/>
  <c r="C2670" i="80"/>
  <c r="C2678" i="80"/>
  <c r="C2686" i="80"/>
  <c r="C2694" i="80"/>
  <c r="C2702" i="80"/>
  <c r="C2710" i="80"/>
  <c r="C2718" i="80"/>
  <c r="C2726" i="80"/>
  <c r="C2734" i="80"/>
  <c r="C2742" i="80"/>
  <c r="C2750" i="80"/>
  <c r="C2758" i="80"/>
  <c r="C2766" i="80"/>
  <c r="C2774" i="80"/>
  <c r="C2782" i="80"/>
  <c r="C2790" i="80"/>
  <c r="C2798" i="80"/>
  <c r="C2806" i="80"/>
  <c r="C2814" i="80"/>
  <c r="C2822" i="80"/>
  <c r="C2830" i="80"/>
  <c r="C2838" i="80"/>
  <c r="C2846" i="80"/>
  <c r="C2854" i="80"/>
  <c r="C2862" i="80"/>
  <c r="C2870" i="80"/>
  <c r="C2878" i="80"/>
  <c r="C2886" i="80"/>
  <c r="C2894" i="80"/>
  <c r="C2902" i="80"/>
  <c r="C2910" i="80"/>
  <c r="C2918" i="80"/>
  <c r="C2926" i="80"/>
  <c r="C2934" i="80"/>
  <c r="C2942" i="80"/>
  <c r="C2950" i="80"/>
  <c r="C2958" i="80"/>
  <c r="C2966" i="80"/>
  <c r="C2974" i="80"/>
  <c r="C2982" i="80"/>
  <c r="C2990" i="80"/>
  <c r="C2998" i="80"/>
  <c r="C3006" i="80"/>
  <c r="C3014" i="80"/>
  <c r="C3022" i="80"/>
  <c r="C3030" i="80"/>
  <c r="C3038" i="80"/>
  <c r="C3046" i="80"/>
  <c r="C3054" i="80"/>
  <c r="C3062" i="80"/>
  <c r="C3070" i="80"/>
  <c r="C3078" i="80"/>
  <c r="C3086" i="80"/>
  <c r="C3094" i="80"/>
  <c r="C3102" i="80"/>
  <c r="C3110" i="80"/>
  <c r="U1106" i="16" l="1"/>
  <c r="U236" i="25"/>
  <c r="DC4" i="2" s="1"/>
  <c r="HJ4" i="2" l="1"/>
  <c r="AR2463" i="16" l="1"/>
  <c r="AR2460" i="16"/>
  <c r="AR2456" i="16"/>
  <c r="AR2454" i="16"/>
  <c r="AR2441" i="16"/>
  <c r="AR2438" i="16"/>
  <c r="AR2436" i="16"/>
  <c r="AR2430" i="16"/>
  <c r="AR2429" i="16"/>
  <c r="AR2428" i="16"/>
  <c r="AR2427" i="16"/>
  <c r="AR2426" i="16"/>
  <c r="AR2425" i="16"/>
  <c r="AR2424" i="16"/>
  <c r="AR2419" i="16"/>
  <c r="AR2418" i="16"/>
  <c r="AR2417" i="16"/>
  <c r="AR2416" i="16"/>
  <c r="AR2415" i="16"/>
  <c r="AR2414" i="16"/>
  <c r="AR2412" i="16"/>
  <c r="AR2411" i="16"/>
  <c r="AR2410" i="16"/>
  <c r="AR2395" i="16"/>
  <c r="AR2393" i="16"/>
  <c r="AR2392" i="16"/>
  <c r="AR2391" i="16"/>
  <c r="AR2390" i="16"/>
  <c r="AR2389" i="16"/>
  <c r="AR2387" i="16"/>
  <c r="AR2386" i="16"/>
  <c r="AR2384" i="16"/>
  <c r="AR2377" i="16"/>
  <c r="AR2373" i="16"/>
  <c r="AR2371" i="16"/>
  <c r="AR2365" i="16"/>
  <c r="AR2362" i="16"/>
  <c r="AR2361" i="16"/>
  <c r="AR2359" i="16"/>
  <c r="AR2357" i="16"/>
  <c r="AR2356" i="16"/>
  <c r="AR2354" i="16"/>
  <c r="AR2351" i="16"/>
  <c r="AR2349" i="16"/>
  <c r="AR2346" i="16"/>
  <c r="AR2344" i="16"/>
  <c r="AR2338" i="16"/>
  <c r="AR2337" i="16"/>
  <c r="AR2336" i="16"/>
  <c r="AR2334" i="16"/>
  <c r="AR2333" i="16"/>
  <c r="AR2331" i="16"/>
  <c r="AR2328" i="16"/>
  <c r="AR2325" i="16"/>
  <c r="AR2303" i="16"/>
  <c r="AR2302" i="16"/>
  <c r="AR2301" i="16"/>
  <c r="AR2299" i="16"/>
  <c r="AR2297" i="16"/>
  <c r="AR2295" i="16"/>
  <c r="AR2294" i="16"/>
  <c r="AR2292" i="16"/>
  <c r="AR2290" i="16"/>
  <c r="AR2289" i="16"/>
  <c r="AR2287" i="16"/>
  <c r="AR2285" i="16"/>
  <c r="AR2281" i="16"/>
  <c r="AR2275" i="16"/>
  <c r="AR2274" i="16"/>
  <c r="AR2273" i="16"/>
  <c r="AR2271" i="16"/>
  <c r="AR2270" i="16"/>
  <c r="AR2268" i="16"/>
  <c r="AR2266" i="16"/>
  <c r="AR2265" i="16"/>
  <c r="AR2264" i="16"/>
  <c r="AR2260" i="16"/>
  <c r="AR2259" i="16"/>
  <c r="AR2258" i="16"/>
  <c r="AR2248" i="16"/>
  <c r="AR2243" i="16"/>
  <c r="AR2241" i="16"/>
  <c r="AR2240" i="16"/>
  <c r="AR2237" i="16"/>
  <c r="AR2232" i="16"/>
  <c r="AR2228" i="16"/>
  <c r="AR2220" i="16"/>
  <c r="AR2215" i="16"/>
  <c r="AR2210" i="16"/>
  <c r="AR2202" i="16"/>
  <c r="AR2198" i="16"/>
  <c r="AR2194" i="16"/>
  <c r="AR2190" i="16"/>
  <c r="AR2188" i="16"/>
  <c r="AR2185" i="16"/>
  <c r="AR2182" i="16"/>
  <c r="AR2180" i="16"/>
  <c r="AR2176" i="16"/>
  <c r="AR2154" i="16"/>
  <c r="AR2113" i="16"/>
  <c r="AR2104" i="16"/>
  <c r="AR2101" i="16"/>
  <c r="AR2098" i="16"/>
  <c r="AR2096" i="16"/>
  <c r="AR2085" i="16"/>
  <c r="AR2081" i="16"/>
  <c r="AR2078" i="16"/>
  <c r="AR2076" i="16"/>
  <c r="AR2074" i="16"/>
  <c r="AR2067" i="16"/>
  <c r="AR2063" i="16"/>
  <c r="AR2059" i="16"/>
  <c r="AR2056" i="16"/>
  <c r="AR2054" i="16"/>
  <c r="AR2052" i="16"/>
  <c r="AR2050" i="16"/>
  <c r="AR2044" i="16"/>
  <c r="AR2042" i="16"/>
  <c r="AR2036" i="16"/>
  <c r="AR2034" i="16"/>
  <c r="AR2030" i="16"/>
  <c r="AR2025" i="16"/>
  <c r="AR2021" i="16"/>
  <c r="AR2020" i="16"/>
  <c r="AR2015" i="16"/>
  <c r="AR2006" i="16"/>
  <c r="AR2001" i="16"/>
  <c r="AR1999" i="16"/>
  <c r="AR1998" i="16"/>
  <c r="AR1996" i="16"/>
  <c r="AR1991" i="16"/>
  <c r="AR1985" i="16"/>
  <c r="AR1981" i="16"/>
  <c r="AR1971" i="16"/>
  <c r="AR1962" i="16"/>
  <c r="AR1959" i="16"/>
  <c r="AR1957" i="16"/>
  <c r="AR1943" i="16"/>
  <c r="AR1938" i="16"/>
  <c r="AR1934" i="16"/>
  <c r="AR1928" i="16"/>
  <c r="AR1926" i="16"/>
  <c r="AR1924" i="16"/>
  <c r="AR1921" i="16"/>
  <c r="AR1919" i="16"/>
  <c r="AR1917" i="16"/>
  <c r="AR1914" i="16"/>
  <c r="AR1912" i="16"/>
  <c r="AR1909" i="16"/>
  <c r="AR1903" i="16"/>
  <c r="AR1900" i="16"/>
  <c r="AR1895" i="16"/>
  <c r="AR1892" i="16"/>
  <c r="AR1889" i="16"/>
  <c r="AR1884" i="16"/>
  <c r="AR1878" i="16"/>
  <c r="AR1862" i="16"/>
  <c r="AR1860" i="16"/>
  <c r="AR1857" i="16"/>
  <c r="AR1852" i="16"/>
  <c r="AR1849" i="16"/>
  <c r="AR1848" i="16"/>
  <c r="AR1846" i="16"/>
  <c r="AR1840" i="16"/>
  <c r="AR1832" i="16"/>
  <c r="AR1824" i="16"/>
  <c r="AR1821" i="16"/>
  <c r="AR1820" i="16"/>
  <c r="AR1818" i="16"/>
  <c r="AR1804" i="16"/>
  <c r="AR1800" i="16"/>
  <c r="AR1798" i="16"/>
  <c r="AR1797" i="16"/>
  <c r="AR1795" i="16"/>
  <c r="AR1793" i="16"/>
  <c r="AR1787" i="16"/>
  <c r="AR1785" i="16"/>
  <c r="AR1780" i="16"/>
  <c r="AR1779" i="16"/>
  <c r="AR1778" i="16"/>
  <c r="AR1774" i="16"/>
  <c r="AR1772" i="16"/>
  <c r="AR1769" i="16"/>
  <c r="AR1767" i="16"/>
  <c r="AR1763" i="16"/>
  <c r="AR1760" i="16"/>
  <c r="AR1753" i="16"/>
  <c r="AR1751" i="16"/>
  <c r="AR1746" i="16"/>
  <c r="AR1741" i="16"/>
  <c r="AR1729" i="16"/>
  <c r="AR1726" i="16"/>
  <c r="AR1721" i="16"/>
  <c r="AR1709" i="16"/>
  <c r="AR1704" i="16"/>
  <c r="AR1702" i="16"/>
  <c r="AR1695" i="16"/>
  <c r="AR1693" i="16"/>
  <c r="AR1685" i="16"/>
  <c r="AR1684" i="16"/>
  <c r="AR1679" i="16"/>
  <c r="AR1674" i="16"/>
  <c r="AR1663" i="16"/>
  <c r="AR1642" i="16"/>
  <c r="AR1637" i="16"/>
  <c r="AR1636" i="16"/>
  <c r="AR1631" i="16"/>
  <c r="AR1627" i="16"/>
  <c r="AR1622" i="16"/>
  <c r="AR1618" i="16"/>
  <c r="AR1616" i="16"/>
  <c r="AR1611" i="16"/>
  <c r="AR1606" i="16"/>
  <c r="AR1603" i="16"/>
  <c r="AR1600" i="16"/>
  <c r="AR1599" i="16"/>
  <c r="AR1595" i="16"/>
  <c r="AR1580" i="16"/>
  <c r="AR1578" i="16"/>
  <c r="AR1576" i="16"/>
  <c r="AR1574" i="16"/>
  <c r="AR1571" i="16"/>
  <c r="AR1570" i="16"/>
  <c r="AR1569" i="16"/>
  <c r="AR1568" i="16"/>
  <c r="AR1567" i="16"/>
  <c r="AR1566" i="16"/>
  <c r="AR1565" i="16"/>
  <c r="AR1564" i="16"/>
  <c r="AR1556" i="16"/>
  <c r="AR1549" i="16"/>
  <c r="AR1544" i="16"/>
  <c r="AR1541" i="16"/>
  <c r="AR1539" i="16"/>
  <c r="AR1538" i="16"/>
  <c r="AR1537" i="16"/>
  <c r="AR1536" i="16"/>
  <c r="AR1529" i="16"/>
  <c r="AR1527" i="16"/>
  <c r="AR1525" i="16"/>
  <c r="AR1522" i="16"/>
  <c r="AR1521" i="16"/>
  <c r="AR1520" i="16"/>
  <c r="AR1519" i="16"/>
  <c r="AR1518" i="16"/>
  <c r="AR1517" i="16"/>
  <c r="AR1516" i="16"/>
  <c r="AR1507" i="16"/>
  <c r="AR1504" i="16"/>
  <c r="AR1502" i="16"/>
  <c r="AR1496" i="16"/>
  <c r="AR1493" i="16"/>
  <c r="AR1480" i="16"/>
  <c r="AR1478" i="16"/>
  <c r="AR1476" i="16"/>
  <c r="AR1474" i="16"/>
  <c r="AR1473" i="16"/>
  <c r="AR1472" i="16"/>
  <c r="AR1471" i="16"/>
  <c r="AR1470" i="16"/>
  <c r="AR1469" i="16"/>
  <c r="AR1467" i="16"/>
  <c r="AR1465" i="16"/>
  <c r="AR1462" i="16"/>
  <c r="AR1457" i="16"/>
  <c r="AR1456" i="16"/>
  <c r="AR1453" i="16"/>
  <c r="AR1451" i="16"/>
  <c r="AR1448" i="16"/>
  <c r="AR1443" i="16"/>
  <c r="AR1438" i="16"/>
  <c r="AR1434" i="16"/>
  <c r="AR1431" i="16"/>
  <c r="AR1427" i="16"/>
  <c r="AR1411" i="16"/>
  <c r="AR1408" i="16"/>
  <c r="AR1405" i="16"/>
  <c r="AR1397" i="16"/>
  <c r="AR1394" i="16"/>
  <c r="AR1390" i="16"/>
  <c r="AR1385" i="16"/>
  <c r="AR1383" i="16"/>
  <c r="AR1381" i="16"/>
  <c r="AR1376" i="16"/>
  <c r="AR1374" i="16"/>
  <c r="AR1371" i="16"/>
  <c r="AR1369" i="16"/>
  <c r="AR1368" i="16"/>
  <c r="AR1367" i="16"/>
  <c r="AR1365" i="16"/>
  <c r="AR1357" i="16"/>
  <c r="AR1352" i="16"/>
  <c r="AR1351" i="16"/>
  <c r="AR1350" i="16"/>
  <c r="AR1347" i="16"/>
  <c r="AR1345" i="16"/>
  <c r="AR1344" i="16"/>
  <c r="AR1343" i="16"/>
  <c r="AR1340" i="16"/>
  <c r="AR1338" i="16"/>
  <c r="AR1336" i="16"/>
  <c r="AR1334" i="16"/>
  <c r="AR1332" i="16"/>
  <c r="AR1327" i="16"/>
  <c r="AR1326" i="16"/>
  <c r="AR1325" i="16"/>
  <c r="AR1322" i="16"/>
  <c r="AR1320" i="16"/>
  <c r="AR1318" i="16"/>
  <c r="AR1298" i="16"/>
  <c r="AR1297" i="16"/>
  <c r="AR1295" i="16"/>
  <c r="AR1293" i="16"/>
  <c r="AR1244" i="16"/>
  <c r="AR1234" i="16"/>
  <c r="AR1232" i="16"/>
  <c r="AR1230" i="16"/>
  <c r="AR1229" i="16"/>
  <c r="AR1226" i="16"/>
  <c r="AR1224" i="16"/>
  <c r="AR1218" i="16"/>
  <c r="AR1211" i="16"/>
  <c r="AR1205" i="16"/>
  <c r="AR1201" i="16"/>
  <c r="AR1200" i="16"/>
  <c r="AR1198" i="16"/>
  <c r="AR1192" i="16"/>
  <c r="AR1188" i="16"/>
  <c r="AR1186" i="16"/>
  <c r="AR1180" i="16"/>
  <c r="AR1174" i="16"/>
  <c r="AR1169" i="16"/>
  <c r="AR1166" i="16"/>
  <c r="AR1160" i="16"/>
  <c r="AR1154" i="16"/>
  <c r="AR1147" i="16"/>
  <c r="AR1140" i="16"/>
  <c r="AR1130" i="16"/>
  <c r="AR1122" i="16"/>
  <c r="AR1114" i="16"/>
  <c r="AR1106" i="16"/>
  <c r="AR1102" i="16"/>
  <c r="AR1099" i="16"/>
  <c r="AR1097" i="16"/>
  <c r="AR1090" i="16"/>
  <c r="AR1084" i="16"/>
  <c r="AR1081" i="16"/>
  <c r="AR1066" i="16"/>
  <c r="AR1062" i="16"/>
  <c r="AR1059" i="16"/>
  <c r="AR1053" i="16"/>
  <c r="AR1049" i="16"/>
  <c r="AR1043" i="16"/>
  <c r="AR1042" i="16"/>
  <c r="AR1040" i="16"/>
  <c r="AR1030" i="16"/>
  <c r="AR1020" i="16"/>
  <c r="AR1017" i="16"/>
  <c r="AR1015" i="16"/>
  <c r="AR1012" i="16"/>
  <c r="AR1011" i="16"/>
  <c r="AR1010" i="16"/>
  <c r="AR1008" i="16"/>
  <c r="AR1005" i="16"/>
  <c r="AR1003" i="16"/>
  <c r="AR999" i="16"/>
  <c r="AR998" i="16"/>
  <c r="AR991" i="16"/>
  <c r="AR989" i="16"/>
  <c r="AR988" i="16"/>
  <c r="AR987" i="16"/>
  <c r="AR986" i="16"/>
  <c r="AR984" i="16"/>
  <c r="AR983" i="16"/>
  <c r="AR981" i="16"/>
  <c r="AR980" i="16"/>
  <c r="AR978" i="16"/>
  <c r="AR975" i="16"/>
  <c r="AR970" i="16"/>
  <c r="AR969" i="16"/>
  <c r="AR968" i="16"/>
  <c r="AR967" i="16"/>
  <c r="AR966" i="16"/>
  <c r="AR965" i="16"/>
  <c r="AR964" i="16"/>
  <c r="AR963" i="16"/>
  <c r="AR962" i="16"/>
  <c r="AR961" i="16"/>
  <c r="AR960" i="16"/>
  <c r="AR959" i="16"/>
  <c r="AR958" i="16"/>
  <c r="AR954" i="16"/>
  <c r="AR951" i="16"/>
  <c r="AR950" i="16"/>
  <c r="AR947" i="16"/>
  <c r="AR941" i="16"/>
  <c r="AR938" i="16"/>
  <c r="AR933" i="16"/>
  <c r="AR929" i="16"/>
  <c r="AR927" i="16"/>
  <c r="AR926" i="16"/>
  <c r="AR925" i="16"/>
  <c r="AR924" i="16"/>
  <c r="AR922" i="16"/>
  <c r="AR921" i="16"/>
  <c r="AR920" i="16"/>
  <c r="AR917" i="16"/>
  <c r="AR915" i="16"/>
  <c r="AR914" i="16"/>
  <c r="AR912" i="16"/>
  <c r="AR911" i="16"/>
  <c r="AR897" i="16"/>
  <c r="AR894" i="16"/>
  <c r="AR890" i="16"/>
  <c r="AR887" i="16"/>
  <c r="AR864" i="16"/>
  <c r="AR860" i="16"/>
  <c r="AR858" i="16"/>
  <c r="AR854" i="16"/>
  <c r="AR853" i="16"/>
  <c r="AR852" i="16"/>
  <c r="AR850" i="16"/>
  <c r="AR848" i="16"/>
  <c r="AR844" i="16"/>
  <c r="AR839" i="16"/>
  <c r="AR835" i="16"/>
  <c r="AR833" i="16"/>
  <c r="AR831" i="16"/>
  <c r="AR829" i="16"/>
  <c r="AR827" i="16"/>
  <c r="AR825" i="16"/>
  <c r="AR824" i="16"/>
  <c r="AR813" i="16"/>
  <c r="AR805" i="16"/>
  <c r="AR795" i="16"/>
  <c r="AR783" i="16"/>
  <c r="AR777" i="16"/>
  <c r="AR771" i="16"/>
  <c r="AR764" i="16"/>
  <c r="AR757" i="16"/>
  <c r="AR750" i="16"/>
  <c r="AR744" i="16"/>
  <c r="AR736" i="16"/>
  <c r="AR727" i="16"/>
  <c r="AR718" i="16"/>
  <c r="AR710" i="16"/>
  <c r="AR708" i="16"/>
  <c r="AR697" i="16"/>
  <c r="AR694" i="16"/>
  <c r="AR688" i="16"/>
  <c r="AR683" i="16"/>
  <c r="AR674" i="16"/>
  <c r="AR672" i="16"/>
  <c r="AR671" i="16"/>
  <c r="AR669" i="16"/>
  <c r="AR668" i="16"/>
  <c r="AR637" i="16"/>
  <c r="AR632" i="16"/>
  <c r="AR631" i="16"/>
  <c r="AR624" i="16"/>
  <c r="AR611" i="16"/>
  <c r="AR596" i="16"/>
  <c r="AR593" i="16"/>
  <c r="AR589" i="16"/>
  <c r="AR587" i="16"/>
  <c r="AR585" i="16"/>
  <c r="AR583" i="16"/>
  <c r="AR579" i="16"/>
  <c r="AR572" i="16"/>
  <c r="AR566" i="16"/>
  <c r="AR562" i="16"/>
  <c r="AR560" i="16"/>
  <c r="AR555" i="16"/>
  <c r="AR551" i="16"/>
  <c r="AR548" i="16"/>
  <c r="AR547" i="16"/>
  <c r="AR545" i="16"/>
  <c r="AR538" i="16"/>
  <c r="AR537" i="16"/>
  <c r="AR536" i="16"/>
  <c r="AR534" i="16"/>
  <c r="AR528" i="16"/>
  <c r="AR525" i="16"/>
  <c r="AR523" i="16"/>
  <c r="AR511" i="16"/>
  <c r="AR509" i="16"/>
  <c r="AR507" i="16"/>
  <c r="AR501" i="16"/>
  <c r="AR497" i="16"/>
  <c r="AR496" i="16"/>
  <c r="AR493" i="16"/>
  <c r="AR483" i="16"/>
  <c r="AR475" i="16"/>
  <c r="AR471" i="16"/>
  <c r="AR469" i="16"/>
  <c r="AR467" i="16"/>
  <c r="AR464" i="16"/>
  <c r="AR462" i="16"/>
  <c r="AR449" i="16"/>
  <c r="AR440" i="16"/>
  <c r="AR437" i="16"/>
  <c r="AR435" i="16"/>
  <c r="AR431" i="16"/>
  <c r="AR429" i="16"/>
  <c r="AR423" i="16"/>
  <c r="AR421" i="16"/>
  <c r="AR416" i="16"/>
  <c r="AR414" i="16"/>
  <c r="AR411" i="16"/>
  <c r="AR398" i="16"/>
  <c r="AR380" i="16"/>
  <c r="AR375" i="16"/>
  <c r="AR374" i="16"/>
  <c r="AR373" i="16"/>
  <c r="AR372" i="16"/>
  <c r="AR371" i="16"/>
  <c r="AR370" i="16"/>
  <c r="AR364" i="16"/>
  <c r="AR363" i="16"/>
  <c r="AR362" i="16"/>
  <c r="AR361" i="16"/>
  <c r="AR360" i="16"/>
  <c r="AR359" i="16"/>
  <c r="AR355" i="16"/>
  <c r="AR352" i="16"/>
  <c r="AR349" i="16"/>
  <c r="AR331" i="16"/>
  <c r="AR325" i="16"/>
  <c r="AR323" i="16"/>
  <c r="AR321" i="16"/>
  <c r="AR316" i="16"/>
  <c r="AR315" i="16"/>
  <c r="AR312" i="16"/>
  <c r="AR309" i="16"/>
  <c r="AR305" i="16"/>
  <c r="AR293" i="16"/>
  <c r="AR292" i="16"/>
  <c r="AR291" i="16"/>
  <c r="AR288" i="16"/>
  <c r="AR286" i="16"/>
  <c r="AR282" i="16"/>
  <c r="AR275" i="16"/>
  <c r="AR272" i="16"/>
  <c r="AR262" i="16"/>
  <c r="AR257" i="16"/>
  <c r="AR255" i="16"/>
  <c r="AR253" i="16"/>
  <c r="AR246" i="16"/>
  <c r="AR238" i="16"/>
  <c r="AR237" i="16"/>
  <c r="AR234" i="16"/>
  <c r="AR230" i="16"/>
  <c r="AR228" i="16"/>
  <c r="AR226" i="16"/>
  <c r="AR225" i="16"/>
  <c r="AR223" i="16"/>
  <c r="AR220" i="16"/>
  <c r="AR213" i="16"/>
  <c r="AR208" i="16"/>
  <c r="AR200" i="16"/>
  <c r="AR194" i="16"/>
  <c r="AR187" i="16"/>
  <c r="AR185" i="16"/>
  <c r="AR183" i="16"/>
  <c r="AR181" i="16"/>
  <c r="AR178" i="16"/>
  <c r="AR176" i="16"/>
  <c r="AR171" i="16"/>
  <c r="AR170" i="16"/>
  <c r="AR165" i="16"/>
  <c r="AR162" i="16"/>
  <c r="AR160" i="16"/>
  <c r="AR157" i="16"/>
  <c r="AR155" i="16"/>
  <c r="AR149" i="16"/>
  <c r="AR145" i="16"/>
  <c r="AR142" i="16"/>
  <c r="AR140" i="16"/>
  <c r="AR135" i="16"/>
  <c r="AR128" i="16"/>
  <c r="AR124" i="16"/>
  <c r="AR121" i="16"/>
  <c r="AR114" i="16"/>
  <c r="AR101" i="16"/>
  <c r="AR88" i="16"/>
  <c r="AR68" i="16"/>
  <c r="AR63" i="16"/>
  <c r="AR58" i="16"/>
  <c r="AR55" i="16"/>
  <c r="AR52" i="16"/>
  <c r="AR50" i="16"/>
  <c r="AR45" i="16"/>
  <c r="AR42" i="16"/>
  <c r="AR37" i="16"/>
  <c r="AR27" i="16"/>
  <c r="AR25" i="16"/>
  <c r="AR23" i="16"/>
  <c r="AR21" i="16"/>
  <c r="AR19" i="16"/>
  <c r="AR13" i="16"/>
  <c r="AP2463" i="16"/>
  <c r="AP2460" i="16"/>
  <c r="AP2456" i="16"/>
  <c r="AP2454" i="16"/>
  <c r="AP2441" i="16"/>
  <c r="AP2438" i="16"/>
  <c r="AP2436" i="16"/>
  <c r="AP2430" i="16"/>
  <c r="AP2429" i="16"/>
  <c r="AP2428" i="16"/>
  <c r="AP2427" i="16"/>
  <c r="AP2426" i="16"/>
  <c r="AP2425" i="16"/>
  <c r="AP2424" i="16"/>
  <c r="AP2419" i="16"/>
  <c r="AP2418" i="16"/>
  <c r="AP2417" i="16"/>
  <c r="AP2416" i="16"/>
  <c r="AP2415" i="16"/>
  <c r="AP2414" i="16"/>
  <c r="AP2412" i="16"/>
  <c r="AP2411" i="16"/>
  <c r="AP2410" i="16"/>
  <c r="AP2395" i="16"/>
  <c r="AP2393" i="16"/>
  <c r="AP2392" i="16"/>
  <c r="AP2391" i="16"/>
  <c r="AP2390" i="16"/>
  <c r="AP2389" i="16"/>
  <c r="AP2387" i="16"/>
  <c r="AP2386" i="16"/>
  <c r="AP2384" i="16"/>
  <c r="AP2377" i="16"/>
  <c r="AP2373" i="16"/>
  <c r="AP2371" i="16"/>
  <c r="AP2365" i="16"/>
  <c r="AP2362" i="16"/>
  <c r="AP2361" i="16"/>
  <c r="AP2359" i="16"/>
  <c r="AP2357" i="16"/>
  <c r="AP2356" i="16"/>
  <c r="AP2354" i="16"/>
  <c r="AP2351" i="16"/>
  <c r="AP2349" i="16"/>
  <c r="AP2346" i="16"/>
  <c r="AP2344" i="16"/>
  <c r="AP2338" i="16"/>
  <c r="AP2337" i="16"/>
  <c r="AP2336" i="16"/>
  <c r="AP2334" i="16"/>
  <c r="AP2333" i="16"/>
  <c r="AP2331" i="16"/>
  <c r="AP2328" i="16"/>
  <c r="AP2325" i="16"/>
  <c r="AP2303" i="16"/>
  <c r="AP2302" i="16"/>
  <c r="AP2301" i="16"/>
  <c r="AP2299" i="16"/>
  <c r="AP2297" i="16"/>
  <c r="AP2295" i="16"/>
  <c r="AP2294" i="16"/>
  <c r="AP2292" i="16"/>
  <c r="AP2290" i="16"/>
  <c r="AP2289" i="16"/>
  <c r="AP2287" i="16"/>
  <c r="AP2285" i="16"/>
  <c r="AP2281" i="16"/>
  <c r="AP2275" i="16"/>
  <c r="AP2274" i="16"/>
  <c r="AP2273" i="16"/>
  <c r="AP2271" i="16"/>
  <c r="AP2270" i="16"/>
  <c r="AP2268" i="16"/>
  <c r="AP2266" i="16"/>
  <c r="AP2265" i="16"/>
  <c r="AP2264" i="16"/>
  <c r="AP2260" i="16"/>
  <c r="AP2259" i="16"/>
  <c r="AP2258" i="16"/>
  <c r="AP2248" i="16"/>
  <c r="AP2243" i="16"/>
  <c r="AP2241" i="16"/>
  <c r="AP2240" i="16"/>
  <c r="AP2237" i="16"/>
  <c r="AP2232" i="16"/>
  <c r="AP2228" i="16"/>
  <c r="AP2220" i="16"/>
  <c r="AP2215" i="16"/>
  <c r="AP2210" i="16"/>
  <c r="AP2205" i="16"/>
  <c r="AP2204" i="16"/>
  <c r="AP2198" i="16"/>
  <c r="AP2194" i="16"/>
  <c r="AP2190" i="16"/>
  <c r="AP2188" i="16"/>
  <c r="AP2185" i="16"/>
  <c r="AP2182" i="16"/>
  <c r="AP2180" i="16"/>
  <c r="AP2154" i="16"/>
  <c r="AP2152" i="16"/>
  <c r="AP2104" i="16"/>
  <c r="AP2101" i="16"/>
  <c r="AP2098" i="16"/>
  <c r="AP2096" i="16"/>
  <c r="AP2085" i="16"/>
  <c r="AP2081" i="16"/>
  <c r="AP2078" i="16"/>
  <c r="AP2076" i="16"/>
  <c r="AP2074" i="16"/>
  <c r="AP2071" i="16"/>
  <c r="AP2069" i="16"/>
  <c r="AP2063" i="16"/>
  <c r="AP2062" i="16"/>
  <c r="AP2060" i="16"/>
  <c r="AP2056" i="16"/>
  <c r="AP2054" i="16"/>
  <c r="AP2052" i="16"/>
  <c r="AP2050" i="16"/>
  <c r="AP2044" i="16"/>
  <c r="AP2042" i="16"/>
  <c r="AP2039" i="16"/>
  <c r="AP2038" i="16"/>
  <c r="AP2034" i="16"/>
  <c r="AP2030" i="16"/>
  <c r="AP2025" i="16"/>
  <c r="AP2021" i="16"/>
  <c r="AP2020" i="16"/>
  <c r="AP2015" i="16"/>
  <c r="AP2006" i="16"/>
  <c r="AP2001" i="16"/>
  <c r="AP1999" i="16"/>
  <c r="AP1998" i="16"/>
  <c r="AP1996" i="16"/>
  <c r="AP1985" i="16"/>
  <c r="AP1982" i="16"/>
  <c r="AP1981" i="16"/>
  <c r="AP1971" i="16"/>
  <c r="AP1962" i="16"/>
  <c r="AP1959" i="16"/>
  <c r="AP1957" i="16"/>
  <c r="AP1946" i="16"/>
  <c r="AP1945" i="16"/>
  <c r="AP1944" i="16"/>
  <c r="AP1943" i="16"/>
  <c r="AP1938" i="16"/>
  <c r="AP1934" i="16"/>
  <c r="AP1928" i="16"/>
  <c r="AP1926" i="16"/>
  <c r="AP1924" i="16"/>
  <c r="AP1921" i="16"/>
  <c r="AP1919" i="16"/>
  <c r="AP1917" i="16"/>
  <c r="AP1914" i="16"/>
  <c r="AP1912" i="16"/>
  <c r="AP1909" i="16"/>
  <c r="AP1903" i="16"/>
  <c r="AP1900" i="16"/>
  <c r="AP1895" i="16"/>
  <c r="AP1892" i="16"/>
  <c r="AP1889" i="16"/>
  <c r="AP1884" i="16"/>
  <c r="AP1878" i="16"/>
  <c r="AP1862" i="16"/>
  <c r="AP1860" i="16"/>
  <c r="AP1857" i="16"/>
  <c r="AP1852" i="16"/>
  <c r="AP1850" i="16"/>
  <c r="AP1848" i="16"/>
  <c r="AP1846" i="16"/>
  <c r="AP1840" i="16"/>
  <c r="AP1832" i="16"/>
  <c r="AP1824" i="16"/>
  <c r="AP1821" i="16"/>
  <c r="AP1820" i="16"/>
  <c r="AP1818" i="16"/>
  <c r="AP1804" i="16"/>
  <c r="AP1800" i="16"/>
  <c r="AP1798" i="16"/>
  <c r="AP1797" i="16"/>
  <c r="AP1795" i="16"/>
  <c r="AP1793" i="16"/>
  <c r="AP1787" i="16"/>
  <c r="AP1785" i="16"/>
  <c r="AP1780" i="16"/>
  <c r="AP1779" i="16"/>
  <c r="AP1778" i="16"/>
  <c r="AP1774" i="16"/>
  <c r="AP1772" i="16"/>
  <c r="AP1769" i="16"/>
  <c r="AP1767" i="16"/>
  <c r="AP1763" i="16"/>
  <c r="AP1760" i="16"/>
  <c r="AP1753" i="16"/>
  <c r="AP1746" i="16"/>
  <c r="AP1741" i="16"/>
  <c r="AP1731" i="16"/>
  <c r="AP1729" i="16"/>
  <c r="AP1726" i="16"/>
  <c r="AP1721" i="16"/>
  <c r="AP1709" i="16"/>
  <c r="AP1704" i="16"/>
  <c r="AP1702" i="16"/>
  <c r="AP1695" i="16"/>
  <c r="AP1693" i="16"/>
  <c r="AP1685" i="16"/>
  <c r="AP1684" i="16"/>
  <c r="AP1679" i="16"/>
  <c r="AP1650" i="16"/>
  <c r="AP1642" i="16"/>
  <c r="AP1637" i="16"/>
  <c r="AP1636" i="16"/>
  <c r="AP1631" i="16"/>
  <c r="AP1627" i="16"/>
  <c r="AP1622" i="16"/>
  <c r="AP1618" i="16"/>
  <c r="AP1616" i="16"/>
  <c r="AP1611" i="16"/>
  <c r="AP1606" i="16"/>
  <c r="AP1603" i="16"/>
  <c r="AP1600" i="16"/>
  <c r="AP1599" i="16"/>
  <c r="AP1595" i="16"/>
  <c r="AP1585" i="16"/>
  <c r="AP1583" i="16"/>
  <c r="AP1581" i="16"/>
  <c r="AP1578" i="16"/>
  <c r="AP1576" i="16"/>
  <c r="AP1574" i="16"/>
  <c r="AP1571" i="16"/>
  <c r="AP1570" i="16"/>
  <c r="AP1569" i="16"/>
  <c r="AP1568" i="16"/>
  <c r="AP1567" i="16"/>
  <c r="AP1566" i="16"/>
  <c r="AP1565" i="16"/>
  <c r="AP1564" i="16"/>
  <c r="AP1549" i="16"/>
  <c r="AP1544" i="16"/>
  <c r="AP1541" i="16"/>
  <c r="AP1539" i="16"/>
  <c r="AP1538" i="16"/>
  <c r="AP1537" i="16"/>
  <c r="AP1536" i="16"/>
  <c r="AP1529" i="16"/>
  <c r="AP1527" i="16"/>
  <c r="AP1525" i="16"/>
  <c r="AP1515" i="16"/>
  <c r="AP1513" i="16"/>
  <c r="AP1507" i="16"/>
  <c r="AP1504" i="16"/>
  <c r="AP1502" i="16"/>
  <c r="AP1496" i="16"/>
  <c r="AP1495" i="16"/>
  <c r="AP1493" i="16"/>
  <c r="AP1467" i="16"/>
  <c r="AP1465" i="16"/>
  <c r="AP1462" i="16"/>
  <c r="AP1457" i="16"/>
  <c r="AP1456" i="16"/>
  <c r="AP1454" i="16"/>
  <c r="AP1451" i="16"/>
  <c r="AP1448" i="16"/>
  <c r="AP1443" i="16"/>
  <c r="AP1438" i="16"/>
  <c r="AP1434" i="16"/>
  <c r="AP1431" i="16"/>
  <c r="AP1427" i="16"/>
  <c r="AP1417" i="16"/>
  <c r="AP1387" i="16"/>
  <c r="AP1385" i="16"/>
  <c r="AP1383" i="16"/>
  <c r="AP1381" i="16"/>
  <c r="AP1376" i="16"/>
  <c r="AP1374" i="16"/>
  <c r="AP1371" i="16"/>
  <c r="AP1369" i="16"/>
  <c r="AP1368" i="16"/>
  <c r="AP1367" i="16"/>
  <c r="AP1365" i="16"/>
  <c r="AP1357" i="16"/>
  <c r="AP1330" i="16"/>
  <c r="AP1327" i="16"/>
  <c r="AP1326" i="16"/>
  <c r="AP1325" i="16"/>
  <c r="AP1322" i="16"/>
  <c r="AP1320" i="16"/>
  <c r="AP1318" i="16"/>
  <c r="AP1301" i="16"/>
  <c r="AP1299" i="16"/>
  <c r="AP1297" i="16"/>
  <c r="AP1295" i="16"/>
  <c r="AP1293" i="16"/>
  <c r="AP1292" i="16"/>
  <c r="AP1272" i="16"/>
  <c r="AP1270" i="16"/>
  <c r="AP1253" i="16"/>
  <c r="AP1251" i="16"/>
  <c r="AP1245" i="16"/>
  <c r="AP1234" i="16"/>
  <c r="AP1232" i="16"/>
  <c r="AP1230" i="16"/>
  <c r="AP1229" i="16"/>
  <c r="AP1226" i="16"/>
  <c r="AP1224" i="16"/>
  <c r="AP1218" i="16"/>
  <c r="AP1213" i="16"/>
  <c r="AP1211" i="16"/>
  <c r="AP1206" i="16"/>
  <c r="AP1201" i="16"/>
  <c r="AP1200" i="16"/>
  <c r="AP1198" i="16"/>
  <c r="AP1193" i="16"/>
  <c r="AP1188" i="16"/>
  <c r="AP1186" i="16"/>
  <c r="AP1181" i="16"/>
  <c r="AP1175" i="16"/>
  <c r="AP1170" i="16"/>
  <c r="AP1167" i="16"/>
  <c r="AP1161" i="16"/>
  <c r="AP1154" i="16"/>
  <c r="AP1148" i="16"/>
  <c r="AP1141" i="16"/>
  <c r="AP1130" i="16"/>
  <c r="AP1122" i="16"/>
  <c r="AP1114" i="16"/>
  <c r="AP1106" i="16"/>
  <c r="AP1099" i="16"/>
  <c r="AP1098" i="16"/>
  <c r="AP1092" i="16"/>
  <c r="AP1090" i="16"/>
  <c r="AP1084" i="16"/>
  <c r="AP1081" i="16"/>
  <c r="AP1066" i="16"/>
  <c r="AP1055" i="16"/>
  <c r="AP1049" i="16"/>
  <c r="AP1043" i="16"/>
  <c r="AP1042" i="16"/>
  <c r="AP1040" i="16"/>
  <c r="AP1030" i="16"/>
  <c r="AP1020" i="16"/>
  <c r="AP994" i="16"/>
  <c r="AP991" i="16"/>
  <c r="AP978" i="16"/>
  <c r="AP975" i="16"/>
  <c r="AP970" i="16"/>
  <c r="AP969" i="16"/>
  <c r="AP968" i="16"/>
  <c r="AP967" i="16"/>
  <c r="AP966" i="16"/>
  <c r="AP965" i="16"/>
  <c r="AP964" i="16"/>
  <c r="AP963" i="16"/>
  <c r="AP962" i="16"/>
  <c r="AP961" i="16"/>
  <c r="AP960" i="16"/>
  <c r="AP959" i="16"/>
  <c r="AP958" i="16"/>
  <c r="AP955" i="16"/>
  <c r="AP951" i="16"/>
  <c r="AP950" i="16"/>
  <c r="AP947" i="16"/>
  <c r="AP941" i="16"/>
  <c r="AP938" i="16"/>
  <c r="AP933" i="16"/>
  <c r="AP929" i="16"/>
  <c r="AP927" i="16"/>
  <c r="AP926" i="16"/>
  <c r="AP925" i="16"/>
  <c r="AP924" i="16"/>
  <c r="AP922" i="16"/>
  <c r="AP921" i="16"/>
  <c r="AP920" i="16"/>
  <c r="AP917" i="16"/>
  <c r="AP915" i="16"/>
  <c r="AP914" i="16"/>
  <c r="AP912" i="16"/>
  <c r="AP911" i="16"/>
  <c r="AP898" i="16"/>
  <c r="AP882" i="16"/>
  <c r="AP864" i="16"/>
  <c r="AP860" i="16"/>
  <c r="AP858" i="16"/>
  <c r="AP854" i="16"/>
  <c r="AP853" i="16"/>
  <c r="AP852" i="16"/>
  <c r="AP850" i="16"/>
  <c r="AP848" i="16"/>
  <c r="AP844" i="16"/>
  <c r="AP839" i="16"/>
  <c r="AP835" i="16"/>
  <c r="AP833" i="16"/>
  <c r="AP831" i="16"/>
  <c r="AP829" i="16"/>
  <c r="AP827" i="16"/>
  <c r="AP825" i="16"/>
  <c r="AP824" i="16"/>
  <c r="AP813" i="16"/>
  <c r="AP807" i="16"/>
  <c r="AP796" i="16"/>
  <c r="AP784" i="16"/>
  <c r="AP778" i="16"/>
  <c r="AP772" i="16"/>
  <c r="AP765" i="16"/>
  <c r="AP759" i="16"/>
  <c r="AP752" i="16"/>
  <c r="AP744" i="16"/>
  <c r="AP736" i="16"/>
  <c r="AP727" i="16"/>
  <c r="AP710" i="16"/>
  <c r="AP708" i="16"/>
  <c r="AP697" i="16"/>
  <c r="AP694" i="16"/>
  <c r="AP688" i="16"/>
  <c r="AP683" i="16"/>
  <c r="AP674" i="16"/>
  <c r="AP672" i="16"/>
  <c r="AP671" i="16"/>
  <c r="AP669" i="16"/>
  <c r="AP668" i="16"/>
  <c r="AP644" i="16"/>
  <c r="AP643" i="16"/>
  <c r="AP642" i="16"/>
  <c r="AP641" i="16"/>
  <c r="AP640" i="16"/>
  <c r="AP639" i="16"/>
  <c r="AP638" i="16"/>
  <c r="AP637" i="16"/>
  <c r="AP632" i="16"/>
  <c r="AP631" i="16"/>
  <c r="AP630" i="16"/>
  <c r="AP629" i="16"/>
  <c r="AP628" i="16"/>
  <c r="AP627" i="16"/>
  <c r="AP626" i="16"/>
  <c r="AP625" i="16"/>
  <c r="AP624" i="16"/>
  <c r="AP611" i="16"/>
  <c r="AP609" i="16"/>
  <c r="AP596" i="16"/>
  <c r="AP593" i="16"/>
  <c r="AP590" i="16"/>
  <c r="AP588" i="16"/>
  <c r="AP586" i="16"/>
  <c r="AP584" i="16"/>
  <c r="AP579" i="16"/>
  <c r="AP572" i="16"/>
  <c r="AP566" i="16"/>
  <c r="AP562" i="16"/>
  <c r="AP560" i="16"/>
  <c r="AP555" i="16"/>
  <c r="AP551" i="16"/>
  <c r="AP548" i="16"/>
  <c r="AP547" i="16"/>
  <c r="AP545" i="16"/>
  <c r="AP538" i="16"/>
  <c r="AP537" i="16"/>
  <c r="AP536" i="16"/>
  <c r="AP534" i="16"/>
  <c r="AP528" i="16"/>
  <c r="AP525" i="16"/>
  <c r="AP523" i="16"/>
  <c r="AP511" i="16"/>
  <c r="AP509" i="16"/>
  <c r="AP507" i="16"/>
  <c r="AP501" i="16"/>
  <c r="AP497" i="16"/>
  <c r="AP496" i="16"/>
  <c r="AP493" i="16"/>
  <c r="AP483" i="16"/>
  <c r="AP475" i="16"/>
  <c r="AP471" i="16"/>
  <c r="AP469" i="16"/>
  <c r="AP467" i="16"/>
  <c r="AP464" i="16"/>
  <c r="AP462" i="16"/>
  <c r="AP457" i="16"/>
  <c r="AP453" i="16"/>
  <c r="AP449" i="16"/>
  <c r="AP443" i="16"/>
  <c r="AP441" i="16"/>
  <c r="AP440" i="16"/>
  <c r="AP437" i="16"/>
  <c r="AP435" i="16"/>
  <c r="AP431" i="16"/>
  <c r="AP429" i="16"/>
  <c r="AP423" i="16"/>
  <c r="AP421" i="16"/>
  <c r="AP419" i="16"/>
  <c r="AP418" i="16"/>
  <c r="AP414" i="16"/>
  <c r="AP411" i="16"/>
  <c r="AP398" i="16"/>
  <c r="AP391" i="16"/>
  <c r="AP389" i="16"/>
  <c r="AP385" i="16"/>
  <c r="AP384" i="16"/>
  <c r="AP383" i="16"/>
  <c r="AP374" i="16"/>
  <c r="AP373" i="16"/>
  <c r="AP372" i="16"/>
  <c r="AP371" i="16"/>
  <c r="AP370" i="16"/>
  <c r="AP364" i="16"/>
  <c r="AP363" i="16"/>
  <c r="AP362" i="16"/>
  <c r="AP361" i="16"/>
  <c r="AP360" i="16"/>
  <c r="AP359" i="16"/>
  <c r="AP355" i="16"/>
  <c r="AP352" i="16"/>
  <c r="AP349" i="16"/>
  <c r="AP325" i="16"/>
  <c r="AP323" i="16"/>
  <c r="AP321" i="16"/>
  <c r="AP316" i="16"/>
  <c r="AP315" i="16"/>
  <c r="AP312" i="16"/>
  <c r="AP309" i="16"/>
  <c r="AP305" i="16"/>
  <c r="AP294" i="16"/>
  <c r="AP292" i="16"/>
  <c r="AP291" i="16"/>
  <c r="AP288" i="16"/>
  <c r="AP286" i="16"/>
  <c r="AP282" i="16"/>
  <c r="AP276" i="16"/>
  <c r="AP272" i="16"/>
  <c r="AP271" i="16"/>
  <c r="AP267" i="16"/>
  <c r="AP264" i="16"/>
  <c r="AP257" i="16"/>
  <c r="AP255" i="16"/>
  <c r="AP253" i="16"/>
  <c r="AP246" i="16"/>
  <c r="AP244" i="16"/>
  <c r="AP243" i="16"/>
  <c r="AP242" i="16"/>
  <c r="AP241" i="16"/>
  <c r="AP240" i="16"/>
  <c r="AP239" i="16"/>
  <c r="AP237" i="16"/>
  <c r="AP234" i="16"/>
  <c r="AP230" i="16"/>
  <c r="AP228" i="16"/>
  <c r="AP226" i="16"/>
  <c r="AP225" i="16"/>
  <c r="AP223" i="16"/>
  <c r="AP218" i="16"/>
  <c r="AP216" i="16"/>
  <c r="AP215" i="16"/>
  <c r="AP208" i="16"/>
  <c r="AP201" i="16"/>
  <c r="AP193" i="16"/>
  <c r="AP191" i="16"/>
  <c r="AP190" i="16"/>
  <c r="AP189" i="16"/>
  <c r="AP185" i="16"/>
  <c r="AP183" i="16"/>
  <c r="AP181" i="16"/>
  <c r="AP178" i="16"/>
  <c r="AP176" i="16"/>
  <c r="AP171" i="16"/>
  <c r="AP170" i="16"/>
  <c r="AP165" i="16"/>
  <c r="AP162" i="16"/>
  <c r="AP160" i="16"/>
  <c r="AP157" i="16"/>
  <c r="AP155" i="16"/>
  <c r="AP149" i="16"/>
  <c r="AP147" i="16"/>
  <c r="AP142" i="16"/>
  <c r="AP140" i="16"/>
  <c r="AP135" i="16"/>
  <c r="AP128" i="16"/>
  <c r="AP124" i="16"/>
  <c r="AP121" i="16"/>
  <c r="AP113" i="16"/>
  <c r="AP112" i="16"/>
  <c r="AP111" i="16"/>
  <c r="AP109" i="16"/>
  <c r="AP108" i="16"/>
  <c r="AP104" i="16"/>
  <c r="AP100" i="16"/>
  <c r="AP98" i="16"/>
  <c r="AP93" i="16"/>
  <c r="AP91" i="16"/>
  <c r="AP90" i="16"/>
  <c r="AP89" i="16"/>
  <c r="AP83" i="16"/>
  <c r="AP81" i="16"/>
  <c r="AP79" i="16"/>
  <c r="AP77" i="16"/>
  <c r="AP75" i="16"/>
  <c r="AP73" i="16"/>
  <c r="AP71" i="16"/>
  <c r="AP69" i="16"/>
  <c r="AP58" i="16"/>
  <c r="AP55" i="16"/>
  <c r="AP52" i="16"/>
  <c r="AP50" i="16"/>
  <c r="AP45" i="16"/>
  <c r="AP42" i="16"/>
  <c r="AP37" i="16"/>
  <c r="AP27" i="16"/>
  <c r="AP25" i="16"/>
  <c r="AP23" i="16"/>
  <c r="AP21" i="16"/>
  <c r="AP18" i="16"/>
  <c r="AP17" i="16"/>
  <c r="AP16" i="16"/>
  <c r="AP14" i="16"/>
  <c r="AN2467" i="16"/>
  <c r="AN2463" i="16"/>
  <c r="AN2460" i="16"/>
  <c r="AN2456" i="16"/>
  <c r="AN2454" i="16"/>
  <c r="AN2435" i="16"/>
  <c r="AN2420" i="16"/>
  <c r="AN2408" i="16"/>
  <c r="AN2395" i="16"/>
  <c r="AN2367" i="16"/>
  <c r="AN2340" i="16"/>
  <c r="AN2322" i="16"/>
  <c r="AN2303" i="16"/>
  <c r="AN2255" i="16"/>
  <c r="AN2248" i="16"/>
  <c r="AN2243" i="16"/>
  <c r="AN2239" i="16"/>
  <c r="AN2237" i="16"/>
  <c r="AN2232" i="16"/>
  <c r="AN2215" i="16"/>
  <c r="AN2210" i="16"/>
  <c r="AN2202" i="16"/>
  <c r="AN2198" i="16"/>
  <c r="AN2194" i="16"/>
  <c r="AN2188" i="16"/>
  <c r="AN2178" i="16"/>
  <c r="AN2176" i="16"/>
  <c r="AN2154" i="16"/>
  <c r="AN2110" i="16"/>
  <c r="AN2107" i="16"/>
  <c r="AN2101" i="16"/>
  <c r="AN2098" i="16"/>
  <c r="AN2096" i="16"/>
  <c r="AN2085" i="16"/>
  <c r="AN2081" i="16"/>
  <c r="AN2072" i="16"/>
  <c r="AN2067" i="16"/>
  <c r="AN2063" i="16"/>
  <c r="AN2059" i="16"/>
  <c r="AN2056" i="16"/>
  <c r="AN2052" i="16"/>
  <c r="AN2044" i="16"/>
  <c r="AN2042" i="16"/>
  <c r="AN2036" i="16"/>
  <c r="AN2030" i="16"/>
  <c r="AN2025" i="16"/>
  <c r="AN2012" i="16"/>
  <c r="AN2006" i="16"/>
  <c r="AN2001" i="16"/>
  <c r="AN1994" i="16"/>
  <c r="AN1985" i="16"/>
  <c r="AN1964" i="16"/>
  <c r="AN1959" i="16"/>
  <c r="AN1957" i="16"/>
  <c r="AN1935" i="16"/>
  <c r="AN1934" i="16"/>
  <c r="AN1928" i="16"/>
  <c r="AN1926" i="16"/>
  <c r="AN1924" i="16"/>
  <c r="AN1921" i="16"/>
  <c r="AN1919" i="16"/>
  <c r="AN1917" i="16"/>
  <c r="AN1914" i="16"/>
  <c r="AN1912" i="16"/>
  <c r="AN1909" i="16"/>
  <c r="AN1903" i="16"/>
  <c r="AN1900" i="16"/>
  <c r="AN1892" i="16"/>
  <c r="AN1889" i="16"/>
  <c r="AN1884" i="16"/>
  <c r="AN1878" i="16"/>
  <c r="AN1862" i="16"/>
  <c r="AN1860" i="16"/>
  <c r="AN1857" i="16"/>
  <c r="AN1852" i="16"/>
  <c r="AN1849" i="16"/>
  <c r="AN1842" i="16"/>
  <c r="AN1840" i="16"/>
  <c r="AN1832" i="16"/>
  <c r="AN1824" i="16"/>
  <c r="AN1821" i="16"/>
  <c r="AN1815" i="16"/>
  <c r="AN1804" i="16"/>
  <c r="AN1800" i="16"/>
  <c r="AN1798" i="16"/>
  <c r="AN1797" i="16"/>
  <c r="AN1795" i="16"/>
  <c r="AN1793" i="16"/>
  <c r="AN1787" i="16"/>
  <c r="AN1785" i="16"/>
  <c r="AN1780" i="16"/>
  <c r="AN1779" i="16"/>
  <c r="AN1778" i="16"/>
  <c r="AN1774" i="16"/>
  <c r="AN1769" i="16"/>
  <c r="AN1767" i="16"/>
  <c r="AN1763" i="16"/>
  <c r="AN1760" i="16"/>
  <c r="AN1753" i="16"/>
  <c r="AN1746" i="16"/>
  <c r="AN1741" i="16"/>
  <c r="AN1729" i="16"/>
  <c r="AN1726" i="16"/>
  <c r="AN1721" i="16"/>
  <c r="AN1709" i="16"/>
  <c r="AN1704" i="16"/>
  <c r="AN1702" i="16"/>
  <c r="AN1695" i="16"/>
  <c r="AN1693" i="16"/>
  <c r="AN1685" i="16"/>
  <c r="AN1684" i="16"/>
  <c r="AN1679" i="16"/>
  <c r="AN1649" i="16"/>
  <c r="AN1637" i="16"/>
  <c r="AN1636" i="16"/>
  <c r="AN1631" i="16"/>
  <c r="AN1627" i="16"/>
  <c r="AN1622" i="16"/>
  <c r="AN1618" i="16"/>
  <c r="AN1616" i="16"/>
  <c r="AN1611" i="16"/>
  <c r="AN1606" i="16"/>
  <c r="AN1603" i="16"/>
  <c r="AN1600" i="16"/>
  <c r="AN1599" i="16"/>
  <c r="AN1595" i="16"/>
  <c r="AN1585" i="16"/>
  <c r="AN1583" i="16"/>
  <c r="AN1581" i="16"/>
  <c r="AN1578" i="16"/>
  <c r="AN1576" i="16"/>
  <c r="AN1574" i="16"/>
  <c r="AN1556" i="16"/>
  <c r="AN1549" i="16"/>
  <c r="AN1544" i="16"/>
  <c r="AN1534" i="16"/>
  <c r="AN1529" i="16"/>
  <c r="AN1527" i="16"/>
  <c r="AN1525" i="16"/>
  <c r="AN1513" i="16"/>
  <c r="AN1507" i="16"/>
  <c r="AN1504" i="16"/>
  <c r="AN1502" i="16"/>
  <c r="AN1496" i="16"/>
  <c r="AN1493" i="16"/>
  <c r="AN1480" i="16"/>
  <c r="AN1478" i="16"/>
  <c r="AN1476" i="16"/>
  <c r="AN1467" i="16"/>
  <c r="AN1465" i="16"/>
  <c r="AN1462" i="16"/>
  <c r="AN1457" i="16"/>
  <c r="AN1456" i="16"/>
  <c r="AN1453" i="16"/>
  <c r="AN1451" i="16"/>
  <c r="AN1448" i="16"/>
  <c r="AN1443" i="16"/>
  <c r="AN1438" i="16"/>
  <c r="AN1434" i="16"/>
  <c r="AN1431" i="16"/>
  <c r="AN1427" i="16"/>
  <c r="AN1411" i="16"/>
  <c r="AN1387" i="16"/>
  <c r="AN1359" i="16"/>
  <c r="AN1357" i="16"/>
  <c r="AN1330" i="16"/>
  <c r="AN1327" i="16"/>
  <c r="AN1326" i="16"/>
  <c r="AN1325" i="16"/>
  <c r="AN1322" i="16"/>
  <c r="AN1320" i="16"/>
  <c r="AN1318" i="16"/>
  <c r="AN1308" i="16"/>
  <c r="AN1301" i="16"/>
  <c r="AN1297" i="16"/>
  <c r="AN1295" i="16"/>
  <c r="AN1293" i="16"/>
  <c r="AN1292" i="16"/>
  <c r="AN1290" i="16"/>
  <c r="AN1288" i="16"/>
  <c r="AN1286" i="16"/>
  <c r="AN1280" i="16"/>
  <c r="AN1271" i="16"/>
  <c r="AN1266" i="16"/>
  <c r="AN1261" i="16"/>
  <c r="AN1256" i="16"/>
  <c r="AN1252" i="16"/>
  <c r="AN1234" i="16"/>
  <c r="AN1228" i="16"/>
  <c r="AN1226" i="16"/>
  <c r="AN1224" i="16"/>
  <c r="AN1218" i="16"/>
  <c r="AN1211" i="16"/>
  <c r="AN1205" i="16"/>
  <c r="AN1201" i="16"/>
  <c r="AN1200" i="16"/>
  <c r="AN1198" i="16"/>
  <c r="AN1192" i="16"/>
  <c r="AN1188" i="16"/>
  <c r="AN1186" i="16"/>
  <c r="AN1180" i="16"/>
  <c r="AN1174" i="16"/>
  <c r="AN1169" i="16"/>
  <c r="AN1166" i="16"/>
  <c r="AN1160" i="16"/>
  <c r="AN1154" i="16"/>
  <c r="AN1122" i="16"/>
  <c r="AN1102" i="16"/>
  <c r="AN1099" i="16"/>
  <c r="AN1097" i="16"/>
  <c r="AN1090" i="16"/>
  <c r="AN1065" i="16"/>
  <c r="AN1053" i="16"/>
  <c r="AN897" i="16"/>
  <c r="AN864" i="16"/>
  <c r="AN837" i="16"/>
  <c r="AN821" i="16"/>
  <c r="AN813" i="16"/>
  <c r="AN790" i="16"/>
  <c r="AN746" i="16"/>
  <c r="AN744" i="16"/>
  <c r="AN736" i="16"/>
  <c r="AN727" i="16"/>
  <c r="AN706" i="16"/>
  <c r="AN697" i="16"/>
  <c r="AN694" i="16"/>
  <c r="AN688" i="16"/>
  <c r="AN683" i="16"/>
  <c r="AN674" i="16"/>
  <c r="AN671" i="16"/>
  <c r="AN668" i="16"/>
  <c r="AN636" i="16"/>
  <c r="AN620" i="16"/>
  <c r="AN611" i="16"/>
  <c r="AN596" i="16"/>
  <c r="AN583" i="16"/>
  <c r="AN579" i="16"/>
  <c r="AN572" i="16"/>
  <c r="AN566" i="16"/>
  <c r="AN562" i="16"/>
  <c r="AN560" i="16"/>
  <c r="AN551" i="16"/>
  <c r="AN541" i="16"/>
  <c r="AN538" i="16"/>
  <c r="AN537" i="16"/>
  <c r="AN536" i="16"/>
  <c r="AN534" i="16"/>
  <c r="AN525" i="16"/>
  <c r="AN510" i="16"/>
  <c r="AN509" i="16"/>
  <c r="AN507" i="16"/>
  <c r="AN501" i="16"/>
  <c r="AN497" i="16"/>
  <c r="AN496" i="16"/>
  <c r="AN493" i="16"/>
  <c r="AN471" i="16"/>
  <c r="AN469" i="16"/>
  <c r="AN467" i="16"/>
  <c r="AN464" i="16"/>
  <c r="AN462" i="16"/>
  <c r="AN457" i="16"/>
  <c r="AN453" i="16"/>
  <c r="AN449" i="16"/>
  <c r="AN443" i="16"/>
  <c r="AN441" i="16"/>
  <c r="AN435" i="16"/>
  <c r="AN429" i="16"/>
  <c r="AN423" i="16"/>
  <c r="AN416" i="16"/>
  <c r="AN414" i="16"/>
  <c r="AN398" i="16"/>
  <c r="AN380" i="16"/>
  <c r="AN375" i="16"/>
  <c r="AN374" i="16"/>
  <c r="AN373" i="16"/>
  <c r="AN372" i="16"/>
  <c r="AN371" i="16"/>
  <c r="AN370" i="16"/>
  <c r="AN364" i="16"/>
  <c r="AN363" i="16"/>
  <c r="AN362" i="16"/>
  <c r="AN361" i="16"/>
  <c r="AN360" i="16"/>
  <c r="AN359" i="16"/>
  <c r="AN355" i="16"/>
  <c r="AN352" i="16"/>
  <c r="AN349" i="16"/>
  <c r="AN331" i="16"/>
  <c r="AN325" i="16"/>
  <c r="AN323" i="16"/>
  <c r="AN321" i="16"/>
  <c r="AN316" i="16"/>
  <c r="AN315" i="16"/>
  <c r="AN312" i="16"/>
  <c r="AN309" i="16"/>
  <c r="AN305" i="16"/>
  <c r="AN293" i="16"/>
  <c r="AN292" i="16"/>
  <c r="AN291" i="16"/>
  <c r="AN288" i="16"/>
  <c r="AN286" i="16"/>
  <c r="AN282" i="16"/>
  <c r="AN275" i="16"/>
  <c r="AN272" i="16"/>
  <c r="AN262" i="16"/>
  <c r="AN257" i="16"/>
  <c r="AN255" i="16"/>
  <c r="AN253" i="16"/>
  <c r="AN246" i="16"/>
  <c r="AN238" i="16"/>
  <c r="AN237" i="16"/>
  <c r="AN234" i="16"/>
  <c r="AN230" i="16"/>
  <c r="AN228" i="16"/>
  <c r="AN226" i="16"/>
  <c r="AN225" i="16"/>
  <c r="AN223" i="16"/>
  <c r="AN218" i="16"/>
  <c r="AN216" i="16"/>
  <c r="AN215" i="16"/>
  <c r="AN208" i="16"/>
  <c r="AN200" i="16"/>
  <c r="AN187" i="16"/>
  <c r="AN185" i="16"/>
  <c r="AN183" i="16"/>
  <c r="AN181" i="16"/>
  <c r="AN178" i="16"/>
  <c r="AN176" i="16"/>
  <c r="AN171" i="16"/>
  <c r="AN170" i="16"/>
  <c r="AN165" i="16"/>
  <c r="AN162" i="16"/>
  <c r="AN160" i="16"/>
  <c r="AN157" i="16"/>
  <c r="AN155" i="16"/>
  <c r="AN149" i="16"/>
  <c r="AN142" i="16"/>
  <c r="AN140" i="16"/>
  <c r="AN135" i="16"/>
  <c r="AN128" i="16"/>
  <c r="AN124" i="16"/>
  <c r="AN121" i="16"/>
  <c r="AN113" i="16"/>
  <c r="AN106" i="16"/>
  <c r="AN104" i="16"/>
  <c r="AN100" i="16"/>
  <c r="AN98" i="16"/>
  <c r="AN93" i="16"/>
  <c r="AN91" i="16"/>
  <c r="AN90" i="16"/>
  <c r="AN83" i="16"/>
  <c r="AN81" i="16"/>
  <c r="AN79" i="16"/>
  <c r="AN77" i="16"/>
  <c r="AN75" i="16"/>
  <c r="AN73" i="16"/>
  <c r="AN71" i="16"/>
  <c r="AN69" i="16"/>
  <c r="AN58" i="16"/>
  <c r="AN55" i="16"/>
  <c r="AN52" i="16"/>
  <c r="AN50" i="16"/>
  <c r="AN45" i="16"/>
  <c r="AN42" i="16"/>
  <c r="AN37" i="16"/>
  <c r="AN27" i="16"/>
  <c r="AN25" i="16"/>
  <c r="AN23" i="16"/>
  <c r="AN21" i="16"/>
  <c r="AN13" i="16"/>
  <c r="AL2467" i="16"/>
  <c r="AL2463" i="16"/>
  <c r="AL2460" i="16"/>
  <c r="AL2456" i="16"/>
  <c r="AL2454" i="16"/>
  <c r="AL2441" i="16"/>
  <c r="AL2438" i="16"/>
  <c r="AL2436" i="16"/>
  <c r="AL2435" i="16"/>
  <c r="AL2420" i="16"/>
  <c r="AL2412" i="16"/>
  <c r="AL2411" i="16"/>
  <c r="AL2410" i="16"/>
  <c r="AL2408" i="16"/>
  <c r="AL2397" i="16"/>
  <c r="AL2395" i="16"/>
  <c r="AL2371" i="16"/>
  <c r="AL2367" i="16"/>
  <c r="AL2365" i="16"/>
  <c r="AL2346" i="16"/>
  <c r="AL2344" i="16"/>
  <c r="AL2340" i="16"/>
  <c r="AL2331" i="16"/>
  <c r="AL2328" i="16"/>
  <c r="AL2325" i="16"/>
  <c r="AL2322" i="16"/>
  <c r="AL2305" i="16"/>
  <c r="AL2303" i="16"/>
  <c r="AL2271" i="16"/>
  <c r="AL2260" i="16"/>
  <c r="AL2259" i="16"/>
  <c r="AL2258" i="16"/>
  <c r="AL2255" i="16"/>
  <c r="AL2248" i="16"/>
  <c r="AL2243" i="16"/>
  <c r="AL2239" i="16"/>
  <c r="AL2237" i="16"/>
  <c r="AL2232" i="16"/>
  <c r="AL2228" i="16"/>
  <c r="AL2220" i="16"/>
  <c r="AL2215" i="16"/>
  <c r="AL2210" i="16"/>
  <c r="AL2202" i="16"/>
  <c r="AL2200" i="16"/>
  <c r="AL2199" i="16"/>
  <c r="AL2197" i="16"/>
  <c r="AL2195" i="16"/>
  <c r="AL2190" i="16"/>
  <c r="AL2188" i="16"/>
  <c r="AL2178" i="16"/>
  <c r="AL2176" i="16"/>
  <c r="AL2154" i="16"/>
  <c r="AL2150" i="16"/>
  <c r="AL2112" i="16"/>
  <c r="AL2111" i="16"/>
  <c r="AL2109" i="16"/>
  <c r="AL2108" i="16"/>
  <c r="AL2104" i="16"/>
  <c r="AL2101" i="16"/>
  <c r="AL2098" i="16"/>
  <c r="AL2096" i="16"/>
  <c r="AL2095" i="16"/>
  <c r="AL2094" i="16"/>
  <c r="AL2093" i="16"/>
  <c r="AL2091" i="16"/>
  <c r="AL2089" i="16"/>
  <c r="AL2085" i="16"/>
  <c r="AL2081" i="16"/>
  <c r="AL2072" i="16"/>
  <c r="AL2070" i="16"/>
  <c r="AL2068" i="16"/>
  <c r="AL2067" i="16"/>
  <c r="AL2063" i="16"/>
  <c r="AL2062" i="16"/>
  <c r="AL2061" i="16"/>
  <c r="AL2059" i="16"/>
  <c r="AL2056" i="16"/>
  <c r="AL2054" i="16"/>
  <c r="AL2052" i="16"/>
  <c r="AL2050" i="16"/>
  <c r="AL2044" i="16"/>
  <c r="AL2042" i="16"/>
  <c r="AL2039" i="16"/>
  <c r="AL2038" i="16"/>
  <c r="AL2034" i="16"/>
  <c r="AL2030" i="16"/>
  <c r="AL2025" i="16"/>
  <c r="AL2021" i="16"/>
  <c r="AL2020" i="16"/>
  <c r="AL2015" i="16"/>
  <c r="AL2006" i="16"/>
  <c r="AL2001" i="16"/>
  <c r="AL1994" i="16"/>
  <c r="AL1985" i="16"/>
  <c r="AL1964" i="16"/>
  <c r="AL1962" i="16"/>
  <c r="AL1959" i="16"/>
  <c r="AL1957" i="16"/>
  <c r="AL1953" i="16"/>
  <c r="AL1951" i="16"/>
  <c r="AL1950" i="16"/>
  <c r="AL1949" i="16"/>
  <c r="AL1947" i="16"/>
  <c r="AL1938" i="16"/>
  <c r="AL1935" i="16"/>
  <c r="AL1934" i="16"/>
  <c r="AL1928" i="16"/>
  <c r="AL1927" i="16"/>
  <c r="AL1926" i="16"/>
  <c r="AL1925" i="16"/>
  <c r="AL1924" i="16"/>
  <c r="AL1921" i="16"/>
  <c r="AL1920" i="16"/>
  <c r="AL1919" i="16"/>
  <c r="AL1918" i="16"/>
  <c r="AL1917" i="16"/>
  <c r="AL1915" i="16"/>
  <c r="AL1914" i="16"/>
  <c r="AL1913" i="16"/>
  <c r="AL1912" i="16"/>
  <c r="AL1910" i="16"/>
  <c r="AL1909" i="16"/>
  <c r="AL1905" i="16"/>
  <c r="AL1904" i="16"/>
  <c r="AL1900" i="16"/>
  <c r="AL1895" i="16"/>
  <c r="AL1894" i="16"/>
  <c r="AL1893" i="16"/>
  <c r="AL1891" i="16"/>
  <c r="AL1890" i="16"/>
  <c r="AL1884" i="16"/>
  <c r="AL1878" i="16"/>
  <c r="AL1862" i="16"/>
  <c r="AL1860" i="16"/>
  <c r="AL1857" i="16"/>
  <c r="AL1852" i="16"/>
  <c r="AL1849" i="16"/>
  <c r="AL1848" i="16"/>
  <c r="AL1846" i="16"/>
  <c r="AL1840" i="16"/>
  <c r="AL1835" i="16"/>
  <c r="AL1834" i="16"/>
  <c r="AL1831" i="16"/>
  <c r="AL1830" i="16"/>
  <c r="AL1821" i="16"/>
  <c r="AL1820" i="16"/>
  <c r="AL1818" i="16"/>
  <c r="AL1812" i="16"/>
  <c r="AL1810" i="16"/>
  <c r="AL1809" i="16"/>
  <c r="AL1808" i="16"/>
  <c r="AL1805" i="16"/>
  <c r="AL1800" i="16"/>
  <c r="AL1798" i="16"/>
  <c r="AL1797" i="16"/>
  <c r="AL1795" i="16"/>
  <c r="AL1793" i="16"/>
  <c r="AL1787" i="16"/>
  <c r="AL1785" i="16"/>
  <c r="AL1780" i="16"/>
  <c r="AL1779" i="16"/>
  <c r="AL1778" i="16"/>
  <c r="AL1774" i="16"/>
  <c r="AL1772" i="16"/>
  <c r="AL1769" i="16"/>
  <c r="AL1767" i="16"/>
  <c r="AL1763" i="16"/>
  <c r="AL1760" i="16"/>
  <c r="AL1753" i="16"/>
  <c r="AL1746" i="16"/>
  <c r="AL1745" i="16"/>
  <c r="AL1744" i="16"/>
  <c r="AL1740" i="16"/>
  <c r="AL1738" i="16"/>
  <c r="AL1737" i="16"/>
  <c r="AL1736" i="16"/>
  <c r="AL1732" i="16"/>
  <c r="AL1726" i="16"/>
  <c r="AL1725" i="16"/>
  <c r="AL1724" i="16"/>
  <c r="AL1718" i="16"/>
  <c r="AL1711" i="16"/>
  <c r="AL1709" i="16"/>
  <c r="AL1704" i="16"/>
  <c r="AL1702" i="16"/>
  <c r="AL1695" i="16"/>
  <c r="AL1693" i="16"/>
  <c r="AL1686" i="16"/>
  <c r="AL1685" i="16"/>
  <c r="AL1684" i="16"/>
  <c r="AL1679" i="16"/>
  <c r="AL1674" i="16"/>
  <c r="AL1672" i="16"/>
  <c r="AL1669" i="16"/>
  <c r="AL1667" i="16"/>
  <c r="AL1665" i="16"/>
  <c r="AL1663" i="16"/>
  <c r="AL1637" i="16"/>
  <c r="AL1636" i="16"/>
  <c r="AL1631" i="16"/>
  <c r="AL1627" i="16"/>
  <c r="AL1625" i="16"/>
  <c r="AL1624" i="16"/>
  <c r="AL1618" i="16"/>
  <c r="AL1616" i="16"/>
  <c r="AL1611" i="16"/>
  <c r="AL1606" i="16"/>
  <c r="AL1603" i="16"/>
  <c r="AL1600" i="16"/>
  <c r="AL1599" i="16"/>
  <c r="AL1595" i="16"/>
  <c r="AL1585" i="16"/>
  <c r="AL1583" i="16"/>
  <c r="AL1581" i="16"/>
  <c r="AL1578" i="16"/>
  <c r="AL1576" i="16"/>
  <c r="AL1574" i="16"/>
  <c r="AL1559" i="16"/>
  <c r="AL1558" i="16"/>
  <c r="AL1554" i="16"/>
  <c r="AL1552" i="16"/>
  <c r="AL1544" i="16"/>
  <c r="AL1541" i="16"/>
  <c r="AL1539" i="16"/>
  <c r="AL1538" i="16"/>
  <c r="AL1537" i="16"/>
  <c r="AL1536" i="16"/>
  <c r="AL1534" i="16"/>
  <c r="AL1529" i="16"/>
  <c r="AL1527" i="16"/>
  <c r="AL1525" i="16"/>
  <c r="AL1513" i="16"/>
  <c r="AL1511" i="16"/>
  <c r="AL1510" i="16"/>
  <c r="AL1504" i="16"/>
  <c r="AL1502" i="16"/>
  <c r="AL1496" i="16"/>
  <c r="AL1493" i="16"/>
  <c r="AL1480" i="16"/>
  <c r="AL1478" i="16"/>
  <c r="AL1476" i="16"/>
  <c r="AL1467" i="16"/>
  <c r="AL1465" i="16"/>
  <c r="AL1462" i="16"/>
  <c r="AL1457" i="16"/>
  <c r="AL1456" i="16"/>
  <c r="AL1453" i="16"/>
  <c r="AL1451" i="16"/>
  <c r="AL1448" i="16"/>
  <c r="AL1447" i="16"/>
  <c r="AL1446" i="16"/>
  <c r="AL1442" i="16"/>
  <c r="AL1441" i="16"/>
  <c r="AL1437" i="16"/>
  <c r="AL1436" i="16"/>
  <c r="AL1431" i="16"/>
  <c r="AL1430" i="16"/>
  <c r="AL1429" i="16"/>
  <c r="AL1387" i="16"/>
  <c r="AL1362" i="16"/>
  <c r="AL1361" i="16"/>
  <c r="AL1357" i="16"/>
  <c r="AL1330" i="16"/>
  <c r="AL1327" i="16"/>
  <c r="AL1326" i="16"/>
  <c r="AL1325" i="16"/>
  <c r="AL1322" i="16"/>
  <c r="AL1320" i="16"/>
  <c r="AL1318" i="16"/>
  <c r="AL1314" i="16"/>
  <c r="AL1313" i="16"/>
  <c r="AL1312" i="16"/>
  <c r="AL1311" i="16"/>
  <c r="AL1310" i="16"/>
  <c r="AL1307" i="16"/>
  <c r="AL1306" i="16"/>
  <c r="AL1305" i="16"/>
  <c r="AL1304" i="16"/>
  <c r="AL1303" i="16"/>
  <c r="AL1297" i="16"/>
  <c r="AL1295" i="16"/>
  <c r="AL1293" i="16"/>
  <c r="AL1292" i="16"/>
  <c r="AL1290" i="16"/>
  <c r="AL1288" i="16"/>
  <c r="AL1286" i="16"/>
  <c r="AL1285" i="16"/>
  <c r="AL1284" i="16"/>
  <c r="AL1283" i="16"/>
  <c r="AL1282" i="16"/>
  <c r="AL1279" i="16"/>
  <c r="AL1278" i="16"/>
  <c r="AL1277" i="16"/>
  <c r="AL1276" i="16"/>
  <c r="AL1275" i="16"/>
  <c r="AL1274" i="16"/>
  <c r="AL1273" i="16"/>
  <c r="AL1269" i="16"/>
  <c r="AL1268" i="16"/>
  <c r="AL1265" i="16"/>
  <c r="AL1264" i="16"/>
  <c r="AL1260" i="16"/>
  <c r="AL1259" i="16"/>
  <c r="AL1256" i="16"/>
  <c r="AL1255" i="16"/>
  <c r="AL1254" i="16"/>
  <c r="AL1242" i="16"/>
  <c r="AL1241" i="16"/>
  <c r="AL1240" i="16"/>
  <c r="AL1228" i="16"/>
  <c r="AL1226" i="16"/>
  <c r="AL1224" i="16"/>
  <c r="AL1218" i="16"/>
  <c r="AL1211" i="16"/>
  <c r="AL1210" i="16"/>
  <c r="AL1209" i="16"/>
  <c r="AL1208" i="16"/>
  <c r="AL1201" i="16"/>
  <c r="AL1200" i="16"/>
  <c r="AL1198" i="16"/>
  <c r="AL1197" i="16"/>
  <c r="AL1196" i="16"/>
  <c r="AL1195" i="16"/>
  <c r="AL1194" i="16"/>
  <c r="AL1193" i="16"/>
  <c r="AL1188" i="16"/>
  <c r="AL1186" i="16"/>
  <c r="AL1185" i="16"/>
  <c r="AL1184" i="16"/>
  <c r="AL1183" i="16"/>
  <c r="AL1182" i="16"/>
  <c r="AL1181" i="16"/>
  <c r="AL1176" i="16"/>
  <c r="AL1175" i="16"/>
  <c r="AL1173" i="16"/>
  <c r="AL1172" i="16"/>
  <c r="AL1171" i="16"/>
  <c r="AL1170" i="16"/>
  <c r="AL1168" i="16"/>
  <c r="AL1167" i="16"/>
  <c r="AL1165" i="16"/>
  <c r="AL1164" i="16"/>
  <c r="AL1163" i="16"/>
  <c r="AL1162" i="16"/>
  <c r="AL1161" i="16"/>
  <c r="AL1154" i="16"/>
  <c r="AL1129" i="16"/>
  <c r="AL1128" i="16"/>
  <c r="AL1127" i="16"/>
  <c r="AL1122" i="16"/>
  <c r="AL1106" i="16"/>
  <c r="AL1102" i="16"/>
  <c r="AL1099" i="16"/>
  <c r="AL1097" i="16"/>
  <c r="AL1090" i="16"/>
  <c r="AL1084" i="16"/>
  <c r="AL1081" i="16"/>
  <c r="AL1066" i="16"/>
  <c r="AL1065" i="16"/>
  <c r="AL1053" i="16"/>
  <c r="AL1049" i="16"/>
  <c r="AL1043" i="16"/>
  <c r="AL1038" i="16"/>
  <c r="AL1030" i="16"/>
  <c r="AL1020" i="16"/>
  <c r="AL994" i="16"/>
  <c r="AL971" i="16"/>
  <c r="AL954" i="16"/>
  <c r="AL951" i="16"/>
  <c r="AL950" i="16"/>
  <c r="AL947" i="16"/>
  <c r="AL941" i="16"/>
  <c r="AL938" i="16"/>
  <c r="AL929" i="16"/>
  <c r="AL927" i="16"/>
  <c r="AL926" i="16"/>
  <c r="AL925" i="16"/>
  <c r="AL924" i="16"/>
  <c r="AL922" i="16"/>
  <c r="AL921" i="16"/>
  <c r="AL920" i="16"/>
  <c r="AL917" i="16"/>
  <c r="AL915" i="16"/>
  <c r="AL914" i="16"/>
  <c r="AL912" i="16"/>
  <c r="AL911" i="16"/>
  <c r="AL878" i="16"/>
  <c r="AL877" i="16"/>
  <c r="AL876" i="16"/>
  <c r="AL875" i="16"/>
  <c r="AL871" i="16"/>
  <c r="AL869" i="16"/>
  <c r="AL860" i="16"/>
  <c r="AL858" i="16"/>
  <c r="AL854" i="16"/>
  <c r="AL853" i="16"/>
  <c r="AL852" i="16"/>
  <c r="AL850" i="16"/>
  <c r="AL848" i="16"/>
  <c r="AL844" i="16"/>
  <c r="AL839" i="16"/>
  <c r="AL837" i="16"/>
  <c r="AL835" i="16"/>
  <c r="AL833" i="16"/>
  <c r="AL831" i="16"/>
  <c r="AL829" i="16"/>
  <c r="AL827" i="16"/>
  <c r="AL825" i="16"/>
  <c r="AL824" i="16"/>
  <c r="AL821" i="16"/>
  <c r="AL813" i="16"/>
  <c r="AL790" i="16"/>
  <c r="AL764" i="16"/>
  <c r="AL750" i="16"/>
  <c r="AL746" i="16"/>
  <c r="AL744" i="16"/>
  <c r="AL736" i="16"/>
  <c r="AL727" i="16"/>
  <c r="AL710" i="16"/>
  <c r="AL708" i="16"/>
  <c r="AL706" i="16"/>
  <c r="AL697" i="16"/>
  <c r="AL694" i="16"/>
  <c r="AL688" i="16"/>
  <c r="AL683" i="16"/>
  <c r="AL674" i="16"/>
  <c r="AL671" i="16"/>
  <c r="AL668" i="16"/>
  <c r="AL651" i="16"/>
  <c r="AL649" i="16"/>
  <c r="AL647" i="16"/>
  <c r="AL623" i="16"/>
  <c r="AL622" i="16"/>
  <c r="AL620" i="16"/>
  <c r="AL611" i="16"/>
  <c r="AL596" i="16"/>
  <c r="AL593" i="16"/>
  <c r="AL583" i="16"/>
  <c r="AL579" i="16"/>
  <c r="AL572" i="16"/>
  <c r="AL566" i="16"/>
  <c r="AL562" i="16"/>
  <c r="AL560" i="16"/>
  <c r="AL555" i="16"/>
  <c r="AL551" i="16"/>
  <c r="AL541" i="16"/>
  <c r="AL538" i="16"/>
  <c r="AL537" i="16"/>
  <c r="AL536" i="16"/>
  <c r="AL534" i="16"/>
  <c r="AL528" i="16"/>
  <c r="AL525" i="16"/>
  <c r="AL523" i="16"/>
  <c r="AL510" i="16"/>
  <c r="AL509" i="16"/>
  <c r="AL507" i="16"/>
  <c r="AL505" i="16"/>
  <c r="AL502" i="16"/>
  <c r="AL497" i="16"/>
  <c r="AL496" i="16"/>
  <c r="AL493" i="16"/>
  <c r="AL483" i="16"/>
  <c r="AL475" i="16"/>
  <c r="AL471" i="16"/>
  <c r="AL469" i="16"/>
  <c r="AL467" i="16"/>
  <c r="AL464" i="16"/>
  <c r="AL462" i="16"/>
  <c r="AL457" i="16"/>
  <c r="AL453" i="16"/>
  <c r="AL449" i="16"/>
  <c r="AL443" i="16"/>
  <c r="AL441" i="16"/>
  <c r="AL437" i="16"/>
  <c r="AL435" i="16"/>
  <c r="AL431" i="16"/>
  <c r="AL429" i="16"/>
  <c r="AL423" i="16"/>
  <c r="AL421" i="16"/>
  <c r="AL416" i="16"/>
  <c r="AL414" i="16"/>
  <c r="AL411" i="16"/>
  <c r="AL398" i="16"/>
  <c r="AL396" i="16"/>
  <c r="AL394" i="16"/>
  <c r="AL393" i="16"/>
  <c r="AL380" i="16"/>
  <c r="AL379" i="16"/>
  <c r="AL378" i="16"/>
  <c r="AL375" i="16"/>
  <c r="AL374" i="16"/>
  <c r="AL373" i="16"/>
  <c r="AL372" i="16"/>
  <c r="AL371" i="16"/>
  <c r="AL370" i="16"/>
  <c r="AL367" i="16"/>
  <c r="AL364" i="16"/>
  <c r="AL363" i="16"/>
  <c r="AL362" i="16"/>
  <c r="AL361" i="16"/>
  <c r="AL360" i="16"/>
  <c r="AL359" i="16"/>
  <c r="AL355" i="16"/>
  <c r="AL352" i="16"/>
  <c r="AL349" i="16"/>
  <c r="AL341" i="16"/>
  <c r="AL340" i="16"/>
  <c r="AL339" i="16"/>
  <c r="AL338" i="16"/>
  <c r="AL337" i="16"/>
  <c r="AL325" i="16"/>
  <c r="AL323" i="16"/>
  <c r="AL321" i="16"/>
  <c r="AL316" i="16"/>
  <c r="AL315" i="16"/>
  <c r="AL312" i="16"/>
  <c r="AL309" i="16"/>
  <c r="AL305" i="16"/>
  <c r="AL293" i="16"/>
  <c r="AL292" i="16"/>
  <c r="AL291" i="16"/>
  <c r="AL288" i="16"/>
  <c r="AL286" i="16"/>
  <c r="AL282" i="16"/>
  <c r="AL280" i="16"/>
  <c r="AL279" i="16"/>
  <c r="AL278" i="16"/>
  <c r="AL277" i="16"/>
  <c r="AL276" i="16"/>
  <c r="AL272" i="16"/>
  <c r="AL262" i="16"/>
  <c r="AL260" i="16"/>
  <c r="AL259" i="16"/>
  <c r="AL258" i="16"/>
  <c r="AL255" i="16"/>
  <c r="AL253" i="16"/>
  <c r="AL246" i="16"/>
  <c r="AL238" i="16"/>
  <c r="AL237" i="16"/>
  <c r="AL234" i="16"/>
  <c r="AL230" i="16"/>
  <c r="AL228" i="16"/>
  <c r="AL226" i="16"/>
  <c r="AL225" i="16"/>
  <c r="AL223" i="16"/>
  <c r="AL218" i="16"/>
  <c r="AL216" i="16"/>
  <c r="AL215" i="16"/>
  <c r="AL208" i="16"/>
  <c r="AL203" i="16"/>
  <c r="AL200" i="16"/>
  <c r="AL193" i="16"/>
  <c r="AL191" i="16"/>
  <c r="AL190" i="16"/>
  <c r="AL189" i="16"/>
  <c r="AL185" i="16"/>
  <c r="AL183" i="16"/>
  <c r="AL181" i="16"/>
  <c r="AL178" i="16"/>
  <c r="AL176" i="16"/>
  <c r="AL171" i="16"/>
  <c r="AL170" i="16"/>
  <c r="AL169" i="16"/>
  <c r="AL168" i="16"/>
  <c r="AL167" i="16"/>
  <c r="AL166" i="16"/>
  <c r="AL162" i="16"/>
  <c r="AL160" i="16"/>
  <c r="AL157" i="16"/>
  <c r="AL155" i="16"/>
  <c r="AL154" i="16"/>
  <c r="AL153" i="16"/>
  <c r="AL152" i="16"/>
  <c r="AL151" i="16"/>
  <c r="AL142" i="16"/>
  <c r="AL140" i="16"/>
  <c r="AL139" i="16"/>
  <c r="AL138" i="16"/>
  <c r="AL137" i="16"/>
  <c r="AL134" i="16"/>
  <c r="AL133" i="16"/>
  <c r="AL132" i="16"/>
  <c r="AL124" i="16"/>
  <c r="AL121" i="16"/>
  <c r="AL113" i="16"/>
  <c r="AL106" i="16"/>
  <c r="AL104" i="16"/>
  <c r="AL100" i="16"/>
  <c r="AL98" i="16"/>
  <c r="AL97" i="16"/>
  <c r="AL96" i="16"/>
  <c r="AL95" i="16"/>
  <c r="AL91" i="16"/>
  <c r="AL90" i="16"/>
  <c r="AL83" i="16"/>
  <c r="AL81" i="16"/>
  <c r="AL79" i="16"/>
  <c r="AL77" i="16"/>
  <c r="AL75" i="16"/>
  <c r="AL73" i="16"/>
  <c r="AL71" i="16"/>
  <c r="AL69" i="16"/>
  <c r="AL58" i="16"/>
  <c r="AL55" i="16"/>
  <c r="AL52" i="16"/>
  <c r="AL50" i="16"/>
  <c r="AL49" i="16"/>
  <c r="AL48" i="16"/>
  <c r="AL47" i="16"/>
  <c r="AL42" i="16"/>
  <c r="AL41" i="16"/>
  <c r="AL40" i="16"/>
  <c r="AL27" i="16"/>
  <c r="AL25" i="16"/>
  <c r="AL23" i="16"/>
  <c r="AL21" i="16"/>
  <c r="AL18" i="16"/>
  <c r="AL17" i="16"/>
  <c r="AL16" i="16"/>
  <c r="AL13" i="16"/>
  <c r="AM2467" i="16"/>
  <c r="AM2463" i="16"/>
  <c r="AM2460" i="16"/>
  <c r="AM2456" i="16"/>
  <c r="AM2454" i="16"/>
  <c r="AM2441" i="16"/>
  <c r="AM2438" i="16"/>
  <c r="AM2436" i="16"/>
  <c r="AM2435" i="16"/>
  <c r="AM2420" i="16"/>
  <c r="AM2408" i="16"/>
  <c r="AM2397" i="16"/>
  <c r="AM2367" i="16"/>
  <c r="AM2340" i="16"/>
  <c r="AM2322" i="16"/>
  <c r="AM2305" i="16"/>
  <c r="AM2255" i="16"/>
  <c r="AM2248" i="16"/>
  <c r="AM2243" i="16"/>
  <c r="AM2239" i="16"/>
  <c r="AM2237" i="16"/>
  <c r="AM2232" i="16"/>
  <c r="AM2215" i="16"/>
  <c r="AM2210" i="16"/>
  <c r="AM2202" i="16"/>
  <c r="AM2200" i="16"/>
  <c r="AM2199" i="16"/>
  <c r="AM2197" i="16"/>
  <c r="AM2195" i="16"/>
  <c r="AM2188" i="16"/>
  <c r="AM2178" i="16"/>
  <c r="AM2176" i="16"/>
  <c r="AM2154" i="16"/>
  <c r="AM2112" i="16"/>
  <c r="AM2111" i="16"/>
  <c r="AM2109" i="16"/>
  <c r="AM2101" i="16"/>
  <c r="AM2098" i="16"/>
  <c r="AM2096" i="16"/>
  <c r="AM2095" i="16"/>
  <c r="AM2094" i="16"/>
  <c r="AM2093" i="16"/>
  <c r="AM2091" i="16"/>
  <c r="AM2089" i="16"/>
  <c r="AM2081" i="16"/>
  <c r="AM2072" i="16"/>
  <c r="AM2070" i="16"/>
  <c r="AM2068" i="16"/>
  <c r="AM2067" i="16"/>
  <c r="AM2063" i="16"/>
  <c r="AM2062" i="16"/>
  <c r="AM2061" i="16"/>
  <c r="AM2059" i="16"/>
  <c r="AM2056" i="16"/>
  <c r="AM2052" i="16"/>
  <c r="AM2044" i="16"/>
  <c r="AM2042" i="16"/>
  <c r="AM2039" i="16"/>
  <c r="AM2038" i="16"/>
  <c r="AM2030" i="16"/>
  <c r="AM2025" i="16"/>
  <c r="AM2021" i="16"/>
  <c r="AM2020" i="16"/>
  <c r="AM2015" i="16"/>
  <c r="AM2006" i="16"/>
  <c r="AM2001" i="16"/>
  <c r="AM1994" i="16"/>
  <c r="AM1985" i="16"/>
  <c r="AM1964" i="16"/>
  <c r="AM1959" i="16"/>
  <c r="AM1957" i="16"/>
  <c r="AM1953" i="16"/>
  <c r="AM1951" i="16"/>
  <c r="AM1950" i="16"/>
  <c r="AM1949" i="16"/>
  <c r="AM1947" i="16"/>
  <c r="AM1935" i="16"/>
  <c r="AM1934" i="16"/>
  <c r="AM1928" i="16"/>
  <c r="AM1927" i="16"/>
  <c r="AM1925" i="16"/>
  <c r="AM1921" i="16"/>
  <c r="AM1920" i="16"/>
  <c r="AM1918" i="16"/>
  <c r="AM1915" i="16"/>
  <c r="AM1913" i="16"/>
  <c r="AM1910" i="16"/>
  <c r="AM1905" i="16"/>
  <c r="AM1904" i="16"/>
  <c r="AM1900" i="16"/>
  <c r="AM1894" i="16"/>
  <c r="AM1893" i="16"/>
  <c r="AM1891" i="16"/>
  <c r="AM1890" i="16"/>
  <c r="AM1884" i="16"/>
  <c r="AM1878" i="16"/>
  <c r="AM1862" i="16"/>
  <c r="AM1860" i="16"/>
  <c r="AM1857" i="16"/>
  <c r="AM1852" i="16"/>
  <c r="AM1849" i="16"/>
  <c r="AM1848" i="16"/>
  <c r="AM1846" i="16"/>
  <c r="AM1840" i="16"/>
  <c r="AM1835" i="16"/>
  <c r="AM1834" i="16"/>
  <c r="AM1831" i="16"/>
  <c r="AM1830" i="16"/>
  <c r="AM1821" i="16"/>
  <c r="AM1820" i="16"/>
  <c r="AM1818" i="16"/>
  <c r="AM1812" i="16"/>
  <c r="AM1810" i="16"/>
  <c r="AM1809" i="16"/>
  <c r="AM1808" i="16"/>
  <c r="AM1805" i="16"/>
  <c r="AM1800" i="16"/>
  <c r="AM1798" i="16"/>
  <c r="AM1797" i="16"/>
  <c r="AM1795" i="16"/>
  <c r="AM1793" i="16"/>
  <c r="AM1787" i="16"/>
  <c r="AM1785" i="16"/>
  <c r="AM1780" i="16"/>
  <c r="AM1779" i="16"/>
  <c r="AM1778" i="16"/>
  <c r="AM1774" i="16"/>
  <c r="AM1769" i="16"/>
  <c r="AM1767" i="16"/>
  <c r="AM1763" i="16"/>
  <c r="AM1753" i="16"/>
  <c r="AM1746" i="16"/>
  <c r="AM1745" i="16"/>
  <c r="AM1744" i="16"/>
  <c r="AM1740" i="16"/>
  <c r="AM1738" i="16"/>
  <c r="AM1737" i="16"/>
  <c r="AM1736" i="16"/>
  <c r="AM1732" i="16"/>
  <c r="AM1726" i="16"/>
  <c r="AM1725" i="16"/>
  <c r="AM1724" i="16"/>
  <c r="AM1718" i="16"/>
  <c r="AM1711" i="16"/>
  <c r="AM1709" i="16"/>
  <c r="AM1704" i="16"/>
  <c r="AM1702" i="16"/>
  <c r="AM1695" i="16"/>
  <c r="AM1693" i="16"/>
  <c r="AM1686" i="16"/>
  <c r="AM1685" i="16"/>
  <c r="AM1684" i="16"/>
  <c r="AM1679" i="16"/>
  <c r="AM1674" i="16"/>
  <c r="AM1672" i="16"/>
  <c r="AM1669" i="16"/>
  <c r="AM1667" i="16"/>
  <c r="AM1665" i="16"/>
  <c r="AM1663" i="16"/>
  <c r="AM1637" i="16"/>
  <c r="AM1636" i="16"/>
  <c r="AM1631" i="16"/>
  <c r="AM1627" i="16"/>
  <c r="AM1625" i="16"/>
  <c r="AM1624" i="16"/>
  <c r="AM1618" i="16"/>
  <c r="AM1616" i="16"/>
  <c r="AM1611" i="16"/>
  <c r="AM1606" i="16"/>
  <c r="AM1603" i="16"/>
  <c r="AM1600" i="16"/>
  <c r="AM1599" i="16"/>
  <c r="AM1595" i="16"/>
  <c r="AM1585" i="16"/>
  <c r="AM1583" i="16"/>
  <c r="AM1581" i="16"/>
  <c r="AM1578" i="16"/>
  <c r="AM1576" i="16"/>
  <c r="AM1574" i="16"/>
  <c r="AM1559" i="16"/>
  <c r="AM1558" i="16"/>
  <c r="AM1554" i="16"/>
  <c r="AM1552" i="16"/>
  <c r="AM1544" i="16"/>
  <c r="AM1541" i="16"/>
  <c r="AM1539" i="16"/>
  <c r="AM1538" i="16"/>
  <c r="AM1537" i="16"/>
  <c r="AM1536" i="16"/>
  <c r="AM1534" i="16"/>
  <c r="AM1529" i="16"/>
  <c r="AM1527" i="16"/>
  <c r="AM1525" i="16"/>
  <c r="AM1513" i="16"/>
  <c r="AM1511" i="16"/>
  <c r="AM1510" i="16"/>
  <c r="AM1504" i="16"/>
  <c r="AM1502" i="16"/>
  <c r="AM1496" i="16"/>
  <c r="AM1493" i="16"/>
  <c r="AM1480" i="16"/>
  <c r="AM1478" i="16"/>
  <c r="AM1476" i="16"/>
  <c r="AM1467" i="16"/>
  <c r="AM1465" i="16"/>
  <c r="AM1462" i="16"/>
  <c r="AM1457" i="16"/>
  <c r="AM1456" i="16"/>
  <c r="AM1453" i="16"/>
  <c r="AM1451" i="16"/>
  <c r="AM1448" i="16"/>
  <c r="AM1447" i="16"/>
  <c r="AM1446" i="16"/>
  <c r="AM1442" i="16"/>
  <c r="AM1441" i="16"/>
  <c r="AM1437" i="16"/>
  <c r="AM1436" i="16"/>
  <c r="AM1431" i="16"/>
  <c r="AM1430" i="16"/>
  <c r="AM1429" i="16"/>
  <c r="AQ1417" i="16"/>
  <c r="AM1387" i="16"/>
  <c r="AM1362" i="16"/>
  <c r="AM1361" i="16"/>
  <c r="AM1357" i="16"/>
  <c r="AM1330" i="16"/>
  <c r="AM1327" i="16"/>
  <c r="AM1326" i="16"/>
  <c r="AM1325" i="16"/>
  <c r="AM1322" i="16"/>
  <c r="AM1320" i="16"/>
  <c r="AM1297" i="16"/>
  <c r="AM1295" i="16"/>
  <c r="AM1292" i="16"/>
  <c r="AM1290" i="16"/>
  <c r="AM1288" i="16"/>
  <c r="AM1286" i="16"/>
  <c r="AM1273" i="16"/>
  <c r="AM1264" i="16"/>
  <c r="AM1256" i="16"/>
  <c r="AM1211" i="16"/>
  <c r="AM1198" i="16"/>
  <c r="AM1154" i="16"/>
  <c r="AM1122" i="16"/>
  <c r="AM1102" i="16"/>
  <c r="AM1097" i="16"/>
  <c r="AM1090" i="16"/>
  <c r="AM1065" i="16"/>
  <c r="AM1053" i="16"/>
  <c r="AM878" i="16"/>
  <c r="AM877" i="16"/>
  <c r="AM876" i="16"/>
  <c r="AM875" i="16"/>
  <c r="AM871" i="16"/>
  <c r="AM869" i="16"/>
  <c r="AM860" i="16"/>
  <c r="AM858" i="16"/>
  <c r="AM854" i="16"/>
  <c r="AM853" i="16"/>
  <c r="AM852" i="16"/>
  <c r="AM850" i="16"/>
  <c r="AM848" i="16"/>
  <c r="AM844" i="16"/>
  <c r="AM839" i="16"/>
  <c r="AM837" i="16"/>
  <c r="AM835" i="16"/>
  <c r="AM833" i="16"/>
  <c r="AM831" i="16"/>
  <c r="AM829" i="16"/>
  <c r="AM827" i="16"/>
  <c r="AM825" i="16"/>
  <c r="AM824" i="16"/>
  <c r="AM821" i="16"/>
  <c r="AM813" i="16"/>
  <c r="AM790" i="16"/>
  <c r="AM764" i="16"/>
  <c r="AM750" i="16"/>
  <c r="AM746" i="16"/>
  <c r="AM744" i="16"/>
  <c r="AM736" i="16"/>
  <c r="AM727" i="16"/>
  <c r="AM710" i="16"/>
  <c r="AM708" i="16"/>
  <c r="AM706" i="16"/>
  <c r="AM697" i="16"/>
  <c r="AM694" i="16"/>
  <c r="AM688" i="16"/>
  <c r="AM683" i="16"/>
  <c r="AM674" i="16"/>
  <c r="AM671" i="16"/>
  <c r="AM668" i="16"/>
  <c r="AM651" i="16"/>
  <c r="AM649" i="16"/>
  <c r="AM647" i="16"/>
  <c r="AM623" i="16"/>
  <c r="AM622" i="16"/>
  <c r="AM620" i="16"/>
  <c r="AM611" i="16"/>
  <c r="AM596" i="16"/>
  <c r="AM583" i="16"/>
  <c r="AM579" i="16"/>
  <c r="AM572" i="16"/>
  <c r="AM566" i="16"/>
  <c r="AM562" i="16"/>
  <c r="AM560" i="16"/>
  <c r="AM551" i="16"/>
  <c r="AM541" i="16"/>
  <c r="AM538" i="16"/>
  <c r="AM537" i="16"/>
  <c r="AM536" i="16"/>
  <c r="AM525" i="16"/>
  <c r="AM510" i="16"/>
  <c r="AM509" i="16"/>
  <c r="AM507" i="16"/>
  <c r="AM505" i="16"/>
  <c r="AM502" i="16"/>
  <c r="AM497" i="16"/>
  <c r="AM496" i="16"/>
  <c r="AM493" i="16"/>
  <c r="AM471" i="16"/>
  <c r="AM469" i="16"/>
  <c r="AM467" i="16"/>
  <c r="AM462" i="16"/>
  <c r="AM457" i="16"/>
  <c r="AM453" i="16"/>
  <c r="AM449" i="16"/>
  <c r="AM443" i="16"/>
  <c r="AM441" i="16"/>
  <c r="AM435" i="16"/>
  <c r="AM429" i="16"/>
  <c r="AM423" i="16"/>
  <c r="AM416" i="16"/>
  <c r="AM414" i="16"/>
  <c r="AM398" i="16"/>
  <c r="AM396" i="16"/>
  <c r="AM394" i="16"/>
  <c r="AM393" i="16"/>
  <c r="AM380" i="16"/>
  <c r="AM379" i="16"/>
  <c r="AM378" i="16"/>
  <c r="AM375" i="16"/>
  <c r="AM374" i="16"/>
  <c r="AM373" i="16"/>
  <c r="AM372" i="16"/>
  <c r="AM371" i="16"/>
  <c r="AM370" i="16"/>
  <c r="AM367" i="16"/>
  <c r="AM364" i="16"/>
  <c r="AM363" i="16"/>
  <c r="AM362" i="16"/>
  <c r="AM361" i="16"/>
  <c r="AM360" i="16"/>
  <c r="AM359" i="16"/>
  <c r="AM355" i="16"/>
  <c r="AM352" i="16"/>
  <c r="AM349" i="16"/>
  <c r="AM341" i="16"/>
  <c r="AM340" i="16"/>
  <c r="AM339" i="16"/>
  <c r="AM338" i="16"/>
  <c r="AM337" i="16"/>
  <c r="AM325" i="16"/>
  <c r="AM323" i="16"/>
  <c r="AM321" i="16"/>
  <c r="AM316" i="16"/>
  <c r="AM315" i="16"/>
  <c r="AM312" i="16"/>
  <c r="AM309" i="16"/>
  <c r="AM305" i="16"/>
  <c r="AO293" i="16"/>
  <c r="AM293" i="16"/>
  <c r="AM292" i="16"/>
  <c r="AM291" i="16"/>
  <c r="AM288" i="16"/>
  <c r="AM286" i="16"/>
  <c r="AM282" i="16"/>
  <c r="AM280" i="16"/>
  <c r="AM279" i="16"/>
  <c r="AM278" i="16"/>
  <c r="AM277" i="16"/>
  <c r="AM276" i="16"/>
  <c r="AM272" i="16"/>
  <c r="AM262" i="16"/>
  <c r="AM260" i="16"/>
  <c r="AM259" i="16"/>
  <c r="AM258" i="16"/>
  <c r="AM255" i="16"/>
  <c r="AM253" i="16"/>
  <c r="AM246" i="16"/>
  <c r="AM238" i="16"/>
  <c r="AM237" i="16"/>
  <c r="AM234" i="16"/>
  <c r="AM230" i="16"/>
  <c r="AM228" i="16"/>
  <c r="AM226" i="16"/>
  <c r="AM225" i="16"/>
  <c r="AM223" i="16"/>
  <c r="AM218" i="16"/>
  <c r="AM216" i="16"/>
  <c r="AM215" i="16"/>
  <c r="AM208" i="16"/>
  <c r="AM203" i="16"/>
  <c r="AM200" i="16"/>
  <c r="AM193" i="16"/>
  <c r="AM191" i="16"/>
  <c r="AM190" i="16"/>
  <c r="AM189" i="16"/>
  <c r="AM185" i="16"/>
  <c r="AM183" i="16"/>
  <c r="AM181" i="16"/>
  <c r="AM178" i="16"/>
  <c r="AM142" i="16"/>
  <c r="AM139" i="16"/>
  <c r="AM138" i="16"/>
  <c r="AM137" i="16"/>
  <c r="AM134" i="16"/>
  <c r="AM133" i="16"/>
  <c r="AM132" i="16"/>
  <c r="AM124" i="16"/>
  <c r="AM121" i="16"/>
  <c r="AM113" i="16"/>
  <c r="AM106" i="16"/>
  <c r="AM104" i="16"/>
  <c r="AM100" i="16"/>
  <c r="AM98" i="16"/>
  <c r="AM97" i="16"/>
  <c r="AM96" i="16"/>
  <c r="AM95" i="16"/>
  <c r="AM91" i="16"/>
  <c r="AM90" i="16"/>
  <c r="AM83" i="16"/>
  <c r="AM81" i="16"/>
  <c r="AM79" i="16"/>
  <c r="AM77" i="16"/>
  <c r="AM75" i="16"/>
  <c r="AM73" i="16"/>
  <c r="AM71" i="16"/>
  <c r="AM69" i="16"/>
  <c r="AM58" i="16"/>
  <c r="AM55" i="16"/>
  <c r="AM52" i="16"/>
  <c r="AM50" i="16"/>
  <c r="AM49" i="16"/>
  <c r="AM48" i="16"/>
  <c r="AM47" i="16"/>
  <c r="AM42" i="16"/>
  <c r="AM41" i="16"/>
  <c r="AM40" i="16"/>
  <c r="AM27" i="16"/>
  <c r="AM25" i="16"/>
  <c r="AM23" i="16"/>
  <c r="AM21" i="16"/>
  <c r="AM18" i="16"/>
  <c r="AM17" i="16"/>
  <c r="AM16" i="16"/>
  <c r="AM13" i="16"/>
  <c r="G1371" i="81" l="1"/>
  <c r="G1369" i="81"/>
  <c r="G839" i="81"/>
  <c r="G840" i="81" s="1"/>
  <c r="G841" i="81" s="1"/>
  <c r="G842" i="81" s="1"/>
  <c r="G555" i="81"/>
  <c r="G556" i="81" s="1"/>
  <c r="G557" i="81" s="1"/>
  <c r="G558" i="81" s="1"/>
  <c r="G478" i="81"/>
  <c r="G479" i="81" s="1"/>
  <c r="G480" i="81" s="1"/>
  <c r="G481" i="81" s="1"/>
  <c r="G475" i="81"/>
  <c r="G267" i="81"/>
  <c r="G268" i="81" s="1"/>
  <c r="G269" i="81" s="1"/>
  <c r="G264" i="81"/>
  <c r="G265" i="81" s="1"/>
  <c r="G191" i="81"/>
  <c r="G1365" i="81" l="1"/>
  <c r="G532" i="81"/>
  <c r="I1871" i="80"/>
  <c r="G1362" i="81" l="1"/>
  <c r="G1363" i="81" s="1"/>
  <c r="A1872" i="80"/>
  <c r="A1873" i="80" s="1"/>
  <c r="H2464" i="80"/>
  <c r="H2461" i="80"/>
  <c r="H2457" i="80"/>
  <c r="H2455" i="80"/>
  <c r="H2442" i="80"/>
  <c r="H2439" i="80"/>
  <c r="H2437" i="80"/>
  <c r="A2437" i="80" s="1"/>
  <c r="H2431" i="80"/>
  <c r="H2430" i="80"/>
  <c r="H2429" i="80"/>
  <c r="H2428" i="80"/>
  <c r="H2427" i="80"/>
  <c r="H2426" i="80"/>
  <c r="H2425" i="80"/>
  <c r="H2420" i="80"/>
  <c r="H2419" i="80"/>
  <c r="H2418" i="80"/>
  <c r="H2417" i="80"/>
  <c r="H2416" i="80"/>
  <c r="H2415" i="80"/>
  <c r="H2413" i="80"/>
  <c r="H2412" i="80"/>
  <c r="H2411" i="80"/>
  <c r="H2396" i="80"/>
  <c r="H2394" i="80"/>
  <c r="H2393" i="80"/>
  <c r="H2392" i="80"/>
  <c r="H2391" i="80"/>
  <c r="H2390" i="80"/>
  <c r="H2388" i="80"/>
  <c r="H2387" i="80"/>
  <c r="H2385" i="80"/>
  <c r="H2378" i="80"/>
  <c r="H2374" i="80"/>
  <c r="H2372" i="80"/>
  <c r="H2366" i="80"/>
  <c r="H2363" i="80"/>
  <c r="H2362" i="80"/>
  <c r="H2360" i="80"/>
  <c r="H2358" i="80"/>
  <c r="H2357" i="80"/>
  <c r="H2355" i="80"/>
  <c r="H2352" i="80"/>
  <c r="H2350" i="80"/>
  <c r="H2347" i="80"/>
  <c r="H2345" i="80"/>
  <c r="H2339" i="80"/>
  <c r="H2338" i="80"/>
  <c r="H2337" i="80"/>
  <c r="H2335" i="80"/>
  <c r="H2334" i="80"/>
  <c r="H2332" i="80"/>
  <c r="H2329" i="80"/>
  <c r="H2326" i="80"/>
  <c r="H2304" i="80"/>
  <c r="H2303" i="80"/>
  <c r="H2302" i="80"/>
  <c r="H2300" i="80"/>
  <c r="H2298" i="80"/>
  <c r="H2296" i="80"/>
  <c r="H2295" i="80"/>
  <c r="H2293" i="80"/>
  <c r="H2291" i="80"/>
  <c r="H2290" i="80"/>
  <c r="H2288" i="80"/>
  <c r="H2286" i="80"/>
  <c r="H2282" i="80"/>
  <c r="H2275" i="80"/>
  <c r="H2276" i="80"/>
  <c r="H2274" i="80"/>
  <c r="H2272" i="80"/>
  <c r="H2271" i="80"/>
  <c r="H2269" i="80"/>
  <c r="H2266" i="80"/>
  <c r="H2267" i="80"/>
  <c r="H2265" i="80"/>
  <c r="H2261" i="80"/>
  <c r="H2260" i="80"/>
  <c r="H2259" i="80"/>
  <c r="H2249" i="80"/>
  <c r="H2244" i="80"/>
  <c r="H2242" i="80"/>
  <c r="H2241" i="80"/>
  <c r="H2238" i="80"/>
  <c r="H2233" i="80"/>
  <c r="H2229" i="80"/>
  <c r="H2221" i="80"/>
  <c r="H2216" i="80"/>
  <c r="H2211" i="80"/>
  <c r="H2206" i="80"/>
  <c r="H2205" i="80"/>
  <c r="H2199" i="80"/>
  <c r="H2195" i="80"/>
  <c r="H2191" i="80"/>
  <c r="H2189" i="80"/>
  <c r="H2186" i="80"/>
  <c r="A2186" i="80" s="1"/>
  <c r="H2183" i="80"/>
  <c r="H2181" i="80"/>
  <c r="H2177" i="80"/>
  <c r="H2155" i="80"/>
  <c r="H2153" i="80"/>
  <c r="H2105" i="80"/>
  <c r="H2102" i="80"/>
  <c r="H2099" i="80"/>
  <c r="H2097" i="80"/>
  <c r="H2086" i="80"/>
  <c r="H2082" i="80"/>
  <c r="H2079" i="80"/>
  <c r="H2077" i="80"/>
  <c r="H2075" i="80"/>
  <c r="H2072" i="80"/>
  <c r="H2070" i="80"/>
  <c r="H2064" i="80"/>
  <c r="H2063" i="80"/>
  <c r="H2061" i="80"/>
  <c r="H2057" i="80"/>
  <c r="H2055" i="80"/>
  <c r="H2053" i="80"/>
  <c r="H2051" i="80"/>
  <c r="A2051" i="80" s="1"/>
  <c r="H2045" i="80"/>
  <c r="H2043" i="80"/>
  <c r="H2040" i="80"/>
  <c r="H2039" i="80"/>
  <c r="H2035" i="80"/>
  <c r="A2035" i="80" s="1"/>
  <c r="H2031" i="80"/>
  <c r="H2026" i="80"/>
  <c r="H2022" i="80"/>
  <c r="H2021" i="80"/>
  <c r="H2016" i="80"/>
  <c r="H2007" i="80"/>
  <c r="H2002" i="80"/>
  <c r="H2000" i="80"/>
  <c r="H1999" i="80"/>
  <c r="H1997" i="80"/>
  <c r="H1986" i="80"/>
  <c r="A1986" i="80" s="1"/>
  <c r="H1983" i="80"/>
  <c r="A1983" i="80" s="1"/>
  <c r="H1982" i="80"/>
  <c r="A1982" i="80" s="1"/>
  <c r="H1972" i="80"/>
  <c r="A1972" i="80" s="1"/>
  <c r="H1963" i="80"/>
  <c r="H1960" i="80"/>
  <c r="H1958" i="80"/>
  <c r="H1946" i="80"/>
  <c r="H1945" i="80"/>
  <c r="H1947" i="80"/>
  <c r="H1944" i="80"/>
  <c r="H1939" i="80"/>
  <c r="H1935" i="80"/>
  <c r="H1929" i="80"/>
  <c r="H1927" i="80"/>
  <c r="H1925" i="80"/>
  <c r="H1922" i="80"/>
  <c r="H1920" i="80"/>
  <c r="H1918" i="80"/>
  <c r="H1915" i="80"/>
  <c r="H1913" i="80"/>
  <c r="H1910" i="80"/>
  <c r="H1904" i="80"/>
  <c r="H1901" i="80"/>
  <c r="H1896" i="80"/>
  <c r="H1893" i="80"/>
  <c r="H1890" i="80"/>
  <c r="H1885" i="80"/>
  <c r="H1879" i="80"/>
  <c r="H1863" i="80"/>
  <c r="H1861" i="80"/>
  <c r="H1858" i="80"/>
  <c r="H1853" i="80"/>
  <c r="H1851" i="80"/>
  <c r="H1849" i="80"/>
  <c r="A1849" i="80" s="1"/>
  <c r="H1847" i="80"/>
  <c r="A1847" i="80" s="1"/>
  <c r="H1841" i="80"/>
  <c r="H1833" i="80"/>
  <c r="H1825" i="80"/>
  <c r="H1822" i="80"/>
  <c r="H1821" i="80"/>
  <c r="H1819" i="80"/>
  <c r="H1805" i="80"/>
  <c r="H1801" i="80"/>
  <c r="H1799" i="80"/>
  <c r="H1798" i="80"/>
  <c r="H1796" i="80"/>
  <c r="H1794" i="80"/>
  <c r="H1788" i="80"/>
  <c r="H1786" i="80"/>
  <c r="H1780" i="80"/>
  <c r="H1781" i="80"/>
  <c r="H1779" i="80"/>
  <c r="H1775" i="80"/>
  <c r="H1773" i="80"/>
  <c r="H1770" i="80"/>
  <c r="H1768" i="80"/>
  <c r="H1764" i="80"/>
  <c r="H1761" i="80"/>
  <c r="H1754" i="80"/>
  <c r="H1747" i="80"/>
  <c r="H1742" i="80"/>
  <c r="H1732" i="80"/>
  <c r="H1730" i="80"/>
  <c r="H1727" i="80"/>
  <c r="H1722" i="80"/>
  <c r="H1710" i="80"/>
  <c r="H1705" i="80"/>
  <c r="H1703" i="80"/>
  <c r="H1696" i="80"/>
  <c r="H1694" i="80"/>
  <c r="H1686" i="80"/>
  <c r="H1685" i="80"/>
  <c r="H1680" i="80"/>
  <c r="H1651" i="80"/>
  <c r="H1643" i="80"/>
  <c r="H1638" i="80"/>
  <c r="H1637" i="80"/>
  <c r="H1632" i="80"/>
  <c r="H1628" i="80"/>
  <c r="H1623" i="80"/>
  <c r="H1619" i="80"/>
  <c r="H1617" i="80"/>
  <c r="H1612" i="80"/>
  <c r="H1607" i="80"/>
  <c r="H1604" i="80"/>
  <c r="H1601" i="80"/>
  <c r="H1600" i="80"/>
  <c r="H1596" i="80"/>
  <c r="H1584" i="80"/>
  <c r="H1582" i="80"/>
  <c r="H1580" i="80"/>
  <c r="H1577" i="80"/>
  <c r="H1575" i="80"/>
  <c r="H1573" i="80"/>
  <c r="H1569" i="80"/>
  <c r="H1568" i="80"/>
  <c r="H1567" i="80"/>
  <c r="H1566" i="80"/>
  <c r="H1565" i="80"/>
  <c r="H1564" i="80"/>
  <c r="H1570" i="80"/>
  <c r="H1563" i="80"/>
  <c r="H1548" i="80"/>
  <c r="H1543" i="80"/>
  <c r="H1540" i="80"/>
  <c r="H1537" i="80"/>
  <c r="H1536" i="80"/>
  <c r="H1538" i="80"/>
  <c r="H1535" i="80"/>
  <c r="H1528" i="80"/>
  <c r="H1526" i="80"/>
  <c r="H1524" i="80"/>
  <c r="H1514" i="80"/>
  <c r="H1512" i="80"/>
  <c r="H1506" i="80"/>
  <c r="H1503" i="80"/>
  <c r="H1501" i="80"/>
  <c r="H1495" i="80"/>
  <c r="H1494" i="80"/>
  <c r="H1492" i="80"/>
  <c r="H1477" i="80"/>
  <c r="H1475" i="80"/>
  <c r="H1466" i="80"/>
  <c r="H1464" i="80"/>
  <c r="H1461" i="80"/>
  <c r="H1456" i="80"/>
  <c r="H1455" i="80"/>
  <c r="H1453" i="80"/>
  <c r="H1450" i="80"/>
  <c r="H1447" i="80"/>
  <c r="H1442" i="80"/>
  <c r="H1437" i="80"/>
  <c r="H1433" i="80"/>
  <c r="H1430" i="80"/>
  <c r="H1426" i="80"/>
  <c r="H1416" i="80"/>
  <c r="A1417" i="80" s="1"/>
  <c r="H1386" i="80"/>
  <c r="H1384" i="80"/>
  <c r="H1382" i="80"/>
  <c r="H1380" i="80"/>
  <c r="H1375" i="80"/>
  <c r="H1373" i="80"/>
  <c r="H1370" i="80"/>
  <c r="H1367" i="80"/>
  <c r="H1368" i="80"/>
  <c r="H1366" i="80"/>
  <c r="H1364" i="80"/>
  <c r="H1356" i="80"/>
  <c r="H1329" i="80"/>
  <c r="H1325" i="80"/>
  <c r="H1326" i="80"/>
  <c r="H1324" i="80"/>
  <c r="H1321" i="80"/>
  <c r="H1319" i="80"/>
  <c r="H1317" i="80"/>
  <c r="H1300" i="80"/>
  <c r="H1298" i="80"/>
  <c r="H1296" i="80"/>
  <c r="H1294" i="80"/>
  <c r="H1292" i="80"/>
  <c r="H1291" i="80"/>
  <c r="H1271" i="80"/>
  <c r="H1269" i="80"/>
  <c r="H1252" i="80"/>
  <c r="H1250" i="80"/>
  <c r="H1244" i="80"/>
  <c r="H1233" i="80"/>
  <c r="H1231" i="80"/>
  <c r="H1229" i="80"/>
  <c r="H1228" i="80"/>
  <c r="H1225" i="80"/>
  <c r="H1223" i="80"/>
  <c r="H1217" i="80"/>
  <c r="H1212" i="80"/>
  <c r="H1210" i="80"/>
  <c r="H1205" i="80"/>
  <c r="H1200" i="80"/>
  <c r="H1199" i="80"/>
  <c r="H1197" i="80"/>
  <c r="H1192" i="80"/>
  <c r="H1187" i="80"/>
  <c r="H1185" i="80"/>
  <c r="H1180" i="80"/>
  <c r="H1174" i="80"/>
  <c r="H1169" i="80"/>
  <c r="H1166" i="80"/>
  <c r="H1160" i="80"/>
  <c r="H1153" i="80"/>
  <c r="H1147" i="80"/>
  <c r="H1140" i="80"/>
  <c r="H1129" i="80"/>
  <c r="A1129" i="80" s="1"/>
  <c r="H1121" i="80"/>
  <c r="H1113" i="80"/>
  <c r="A1113" i="80" s="1"/>
  <c r="H1105" i="80"/>
  <c r="H1098" i="80"/>
  <c r="H1097" i="80"/>
  <c r="A1097" i="80" s="1"/>
  <c r="H1091" i="80"/>
  <c r="H1089" i="80"/>
  <c r="H1083" i="80"/>
  <c r="H1080" i="80"/>
  <c r="A1080" i="80" s="1"/>
  <c r="H1065" i="80"/>
  <c r="A1065" i="80" s="1"/>
  <c r="H1054" i="80"/>
  <c r="H1048" i="80"/>
  <c r="A1048" i="80" s="1"/>
  <c r="H1042" i="80"/>
  <c r="A1042" i="80" s="1"/>
  <c r="H1041" i="80"/>
  <c r="H1039" i="80"/>
  <c r="A1037" i="80" s="1"/>
  <c r="H1029" i="80"/>
  <c r="H1019" i="80"/>
  <c r="H993" i="80"/>
  <c r="A993" i="80" s="1"/>
  <c r="H990" i="80"/>
  <c r="H977" i="80"/>
  <c r="H974" i="80"/>
  <c r="A974" i="80" s="1"/>
  <c r="H969" i="80"/>
  <c r="H968" i="80"/>
  <c r="H967" i="80"/>
  <c r="H966" i="80"/>
  <c r="H965" i="80"/>
  <c r="H964" i="80"/>
  <c r="H963" i="80"/>
  <c r="H962" i="80"/>
  <c r="H961" i="80"/>
  <c r="H960" i="80"/>
  <c r="H959" i="80"/>
  <c r="H958" i="80"/>
  <c r="H957" i="80"/>
  <c r="H954" i="80"/>
  <c r="A954" i="80" s="1"/>
  <c r="A953" i="80" s="1"/>
  <c r="H950" i="80"/>
  <c r="H949" i="80"/>
  <c r="A949" i="80" s="1"/>
  <c r="H946" i="80"/>
  <c r="A946" i="80" s="1"/>
  <c r="H940" i="80"/>
  <c r="H937" i="80"/>
  <c r="A937" i="80" s="1"/>
  <c r="H932" i="80"/>
  <c r="H928" i="80"/>
  <c r="H925" i="80"/>
  <c r="H924" i="80"/>
  <c r="H926" i="80"/>
  <c r="H923" i="80"/>
  <c r="H920" i="80"/>
  <c r="H921" i="80"/>
  <c r="H919" i="80"/>
  <c r="H916" i="80"/>
  <c r="H914" i="80"/>
  <c r="H913" i="80"/>
  <c r="H911" i="80"/>
  <c r="H910" i="80"/>
  <c r="H897" i="80"/>
  <c r="H881" i="80"/>
  <c r="H863" i="80"/>
  <c r="H859" i="80"/>
  <c r="H857" i="80"/>
  <c r="H852" i="80"/>
  <c r="H853" i="80"/>
  <c r="H851" i="80"/>
  <c r="H849" i="80"/>
  <c r="H847" i="80"/>
  <c r="H843" i="80"/>
  <c r="H838" i="80"/>
  <c r="H834" i="80"/>
  <c r="H832" i="80"/>
  <c r="H830" i="80"/>
  <c r="H828" i="80"/>
  <c r="H826" i="80"/>
  <c r="H824" i="80"/>
  <c r="H823" i="80"/>
  <c r="H812" i="80"/>
  <c r="H806" i="80"/>
  <c r="A806" i="80" s="1"/>
  <c r="A804" i="80" s="1"/>
  <c r="H795" i="80"/>
  <c r="A795" i="80" s="1"/>
  <c r="A794" i="80" s="1"/>
  <c r="H783" i="80"/>
  <c r="H777" i="80"/>
  <c r="H771" i="80"/>
  <c r="H764" i="80"/>
  <c r="H758" i="80"/>
  <c r="H751" i="80"/>
  <c r="A749" i="80" s="1"/>
  <c r="H743" i="80"/>
  <c r="H735" i="80"/>
  <c r="H726" i="80"/>
  <c r="H709" i="80"/>
  <c r="H707" i="80"/>
  <c r="H696" i="80"/>
  <c r="H693" i="80"/>
  <c r="H687" i="80"/>
  <c r="H682" i="80"/>
  <c r="H673" i="80"/>
  <c r="H671" i="80"/>
  <c r="H670" i="80"/>
  <c r="H668" i="80"/>
  <c r="H667" i="80"/>
  <c r="H642" i="80"/>
  <c r="H641" i="80"/>
  <c r="H640" i="80"/>
  <c r="H639" i="80"/>
  <c r="H638" i="80"/>
  <c r="H637" i="80"/>
  <c r="H643" i="80"/>
  <c r="H636" i="80"/>
  <c r="H631" i="80"/>
  <c r="H630" i="80"/>
  <c r="H629" i="80"/>
  <c r="H628" i="80"/>
  <c r="H627" i="80"/>
  <c r="H626" i="80"/>
  <c r="H625" i="80"/>
  <c r="H624" i="80"/>
  <c r="H623" i="80"/>
  <c r="H610" i="80"/>
  <c r="H608" i="80"/>
  <c r="H595" i="80"/>
  <c r="H592" i="80"/>
  <c r="H589" i="80"/>
  <c r="H587" i="80"/>
  <c r="H585" i="80"/>
  <c r="H583" i="80"/>
  <c r="H578" i="80"/>
  <c r="H571" i="80"/>
  <c r="H565" i="80"/>
  <c r="H561" i="80"/>
  <c r="A561" i="80" s="1"/>
  <c r="H559" i="80"/>
  <c r="H554" i="80"/>
  <c r="H550" i="80"/>
  <c r="H547" i="80"/>
  <c r="H546" i="80"/>
  <c r="A546" i="80" s="1"/>
  <c r="H544" i="80"/>
  <c r="A544" i="80" s="1"/>
  <c r="H536" i="80"/>
  <c r="H537" i="80"/>
  <c r="H535" i="80"/>
  <c r="H533" i="80"/>
  <c r="H527" i="80"/>
  <c r="H524" i="80"/>
  <c r="H522" i="80"/>
  <c r="H510" i="80"/>
  <c r="H508" i="80"/>
  <c r="H506" i="80"/>
  <c r="H500" i="80"/>
  <c r="H496" i="80"/>
  <c r="H495" i="80"/>
  <c r="H492" i="80"/>
  <c r="H482" i="80"/>
  <c r="H474" i="80"/>
  <c r="H470" i="80"/>
  <c r="H468" i="80"/>
  <c r="H466" i="80"/>
  <c r="H463" i="80"/>
  <c r="H461" i="80"/>
  <c r="H456" i="80"/>
  <c r="H452" i="80"/>
  <c r="H448" i="80"/>
  <c r="H442" i="80"/>
  <c r="H440" i="80"/>
  <c r="H439" i="80"/>
  <c r="H436" i="80"/>
  <c r="H434" i="80"/>
  <c r="H430" i="80"/>
  <c r="H428" i="80"/>
  <c r="H422" i="80"/>
  <c r="H420" i="80"/>
  <c r="H418" i="80"/>
  <c r="H417" i="80"/>
  <c r="H413" i="80"/>
  <c r="H410" i="80"/>
  <c r="A410" i="80" s="1"/>
  <c r="H397" i="80"/>
  <c r="H390" i="80"/>
  <c r="H388" i="80"/>
  <c r="H383" i="80"/>
  <c r="H384" i="80"/>
  <c r="H382" i="80"/>
  <c r="H370" i="80"/>
  <c r="H371" i="80"/>
  <c r="H372" i="80"/>
  <c r="H373" i="80"/>
  <c r="H369" i="80"/>
  <c r="H362" i="80"/>
  <c r="H361" i="80"/>
  <c r="H360" i="80"/>
  <c r="H359" i="80"/>
  <c r="H363" i="80"/>
  <c r="H358" i="80"/>
  <c r="H354" i="80"/>
  <c r="H351" i="80"/>
  <c r="H348" i="80"/>
  <c r="H324" i="80"/>
  <c r="H322" i="80"/>
  <c r="H320" i="80"/>
  <c r="H315" i="80"/>
  <c r="H314" i="80"/>
  <c r="H311" i="80"/>
  <c r="H308" i="80"/>
  <c r="H304" i="80"/>
  <c r="H293" i="80"/>
  <c r="H291" i="80"/>
  <c r="H290" i="80"/>
  <c r="H287" i="80"/>
  <c r="H285" i="80"/>
  <c r="H281" i="80"/>
  <c r="H275" i="80"/>
  <c r="H271" i="80"/>
  <c r="H270" i="80"/>
  <c r="H266" i="80"/>
  <c r="H263" i="80"/>
  <c r="H256" i="80"/>
  <c r="H254" i="80"/>
  <c r="H252" i="80"/>
  <c r="H245" i="80"/>
  <c r="H242" i="80"/>
  <c r="H241" i="80"/>
  <c r="H240" i="80"/>
  <c r="H239" i="80"/>
  <c r="H243" i="80"/>
  <c r="H238" i="80"/>
  <c r="H236" i="80"/>
  <c r="H233" i="80"/>
  <c r="H229" i="80"/>
  <c r="H227" i="80"/>
  <c r="H225" i="80"/>
  <c r="H224" i="80"/>
  <c r="H222" i="80"/>
  <c r="H217" i="80"/>
  <c r="H215" i="80"/>
  <c r="H214" i="80"/>
  <c r="H207" i="80"/>
  <c r="H200" i="80"/>
  <c r="H197" i="80"/>
  <c r="H195" i="80"/>
  <c r="H192" i="80"/>
  <c r="H189" i="80"/>
  <c r="H190" i="80"/>
  <c r="H188" i="80"/>
  <c r="H184" i="80"/>
  <c r="H182" i="80"/>
  <c r="H180" i="80"/>
  <c r="H177" i="80"/>
  <c r="H175" i="80"/>
  <c r="H170" i="80"/>
  <c r="H169" i="80"/>
  <c r="H164" i="80"/>
  <c r="H161" i="80"/>
  <c r="H159" i="80"/>
  <c r="H156" i="80"/>
  <c r="H154" i="80"/>
  <c r="H148" i="80"/>
  <c r="H146" i="80"/>
  <c r="H141" i="80"/>
  <c r="H139" i="80"/>
  <c r="H134" i="80"/>
  <c r="H127" i="80"/>
  <c r="H123" i="80"/>
  <c r="H120" i="80"/>
  <c r="H111" i="80"/>
  <c r="H112" i="80"/>
  <c r="H110" i="80"/>
  <c r="H108" i="80"/>
  <c r="H107" i="80"/>
  <c r="H103" i="80"/>
  <c r="H99" i="80"/>
  <c r="H97" i="80"/>
  <c r="H92" i="80"/>
  <c r="H89" i="80"/>
  <c r="H90" i="80"/>
  <c r="H88" i="80"/>
  <c r="H82" i="80"/>
  <c r="H80" i="80"/>
  <c r="H78" i="80"/>
  <c r="H76" i="80"/>
  <c r="H74" i="80"/>
  <c r="H72" i="80"/>
  <c r="H70" i="80"/>
  <c r="H68" i="80"/>
  <c r="H57" i="80"/>
  <c r="H54" i="80"/>
  <c r="H51" i="80"/>
  <c r="H49" i="80"/>
  <c r="H44" i="80"/>
  <c r="H41" i="80"/>
  <c r="H36" i="80"/>
  <c r="H26" i="80"/>
  <c r="H24" i="80"/>
  <c r="H22" i="80"/>
  <c r="H20" i="80"/>
  <c r="H17" i="80"/>
  <c r="A17" i="80" s="1"/>
  <c r="H16" i="80"/>
  <c r="A16" i="80" s="1"/>
  <c r="H15" i="80"/>
  <c r="A15" i="80" s="1"/>
  <c r="A14" i="80" s="1"/>
  <c r="H13" i="80"/>
  <c r="B2470" i="80"/>
  <c r="B2469" i="80"/>
  <c r="B2468" i="80"/>
  <c r="B2467" i="80"/>
  <c r="C2467" i="80" s="1"/>
  <c r="B2466" i="80"/>
  <c r="B2465" i="80"/>
  <c r="C2465" i="80" s="1"/>
  <c r="B2464" i="80"/>
  <c r="C2464" i="80" s="1"/>
  <c r="B2463" i="80"/>
  <c r="C2463" i="80" s="1"/>
  <c r="B2462" i="80"/>
  <c r="B2461" i="80"/>
  <c r="B2460" i="80"/>
  <c r="C2460" i="80" s="1"/>
  <c r="B2459" i="80"/>
  <c r="C2459" i="80" s="1"/>
  <c r="B2458" i="80"/>
  <c r="B2457" i="80"/>
  <c r="B2456" i="80"/>
  <c r="B2455" i="80"/>
  <c r="B2454" i="80"/>
  <c r="B2453" i="80"/>
  <c r="B2452" i="80"/>
  <c r="B2451" i="80"/>
  <c r="B2450" i="80"/>
  <c r="B2449" i="80"/>
  <c r="C2449" i="80" s="1"/>
  <c r="B2448" i="80"/>
  <c r="C2448" i="80" s="1"/>
  <c r="B2447" i="80"/>
  <c r="C2447" i="80" s="1"/>
  <c r="B2446" i="80"/>
  <c r="B2445" i="80"/>
  <c r="B2444" i="80"/>
  <c r="B2443" i="80"/>
  <c r="B2442" i="80"/>
  <c r="B2441" i="80"/>
  <c r="B2440" i="80"/>
  <c r="B2439" i="80"/>
  <c r="B2438" i="80"/>
  <c r="B2437" i="80"/>
  <c r="B2436" i="80"/>
  <c r="B2435" i="80"/>
  <c r="C2435" i="80" s="1"/>
  <c r="B2434" i="80"/>
  <c r="C2434" i="80" s="1"/>
  <c r="B2433" i="80"/>
  <c r="C2433" i="80" s="1"/>
  <c r="B2432" i="80"/>
  <c r="C2432" i="80" s="1"/>
  <c r="B2431" i="80"/>
  <c r="C2431" i="80" s="1"/>
  <c r="B2430" i="80"/>
  <c r="B2429" i="80"/>
  <c r="B2428" i="80"/>
  <c r="B2427" i="80"/>
  <c r="C2427" i="80" s="1"/>
  <c r="B2426" i="80"/>
  <c r="C2426" i="80" s="1"/>
  <c r="B2425" i="80"/>
  <c r="C2425" i="80" s="1"/>
  <c r="B2424" i="80"/>
  <c r="B2423" i="80"/>
  <c r="B2422" i="80"/>
  <c r="B2421" i="80"/>
  <c r="B2420" i="80"/>
  <c r="B2419" i="80"/>
  <c r="B2418" i="80"/>
  <c r="C2418" i="80" s="1"/>
  <c r="B2417" i="80"/>
  <c r="C2417" i="80" s="1"/>
  <c r="B2416" i="80"/>
  <c r="C2416" i="80" s="1"/>
  <c r="B2415" i="80"/>
  <c r="C2415" i="80" s="1"/>
  <c r="B2414" i="80"/>
  <c r="B2413" i="80"/>
  <c r="B2412" i="80"/>
  <c r="B2411" i="80"/>
  <c r="C2411" i="80" s="1"/>
  <c r="B2410" i="80"/>
  <c r="B2409" i="80"/>
  <c r="B2408" i="80"/>
  <c r="C2408" i="80" s="1"/>
  <c r="B2407" i="80"/>
  <c r="C2407" i="80" s="1"/>
  <c r="B2406" i="80"/>
  <c r="B2405" i="80"/>
  <c r="B2404" i="80"/>
  <c r="B2403" i="80"/>
  <c r="C2403" i="80" s="1"/>
  <c r="B2402" i="80"/>
  <c r="C2402" i="80" s="1"/>
  <c r="B2401" i="80"/>
  <c r="C2401" i="80" s="1"/>
  <c r="B2400" i="80"/>
  <c r="B2399" i="80"/>
  <c r="B2398" i="80"/>
  <c r="B2397" i="80"/>
  <c r="B2396" i="80"/>
  <c r="B2395" i="80"/>
  <c r="B2394" i="80"/>
  <c r="C2394" i="80" s="1"/>
  <c r="B2393" i="80"/>
  <c r="C2393" i="80" s="1"/>
  <c r="B2392" i="80"/>
  <c r="C2392" i="80" s="1"/>
  <c r="B2391" i="80"/>
  <c r="C2391" i="80" s="1"/>
  <c r="B2390" i="80"/>
  <c r="B2389" i="80"/>
  <c r="B2388" i="80"/>
  <c r="B2387" i="80"/>
  <c r="C2387" i="80" s="1"/>
  <c r="B2386" i="80"/>
  <c r="C2386" i="80" s="1"/>
  <c r="B2385" i="80"/>
  <c r="C2385" i="80" s="1"/>
  <c r="B2384" i="80"/>
  <c r="C2384" i="80" s="1"/>
  <c r="B2383" i="80"/>
  <c r="C2383" i="80" s="1"/>
  <c r="B2382" i="80"/>
  <c r="B2381" i="80"/>
  <c r="B2380" i="80"/>
  <c r="B2379" i="80"/>
  <c r="C2379" i="80" s="1"/>
  <c r="B2378" i="80"/>
  <c r="C2378" i="80" s="1"/>
  <c r="B2377" i="80"/>
  <c r="C2377" i="80" s="1"/>
  <c r="B2376" i="80"/>
  <c r="C2376" i="80" s="1"/>
  <c r="B2375" i="80"/>
  <c r="C2375" i="80" s="1"/>
  <c r="B2374" i="80"/>
  <c r="B2373" i="80"/>
  <c r="B2372" i="80"/>
  <c r="B2371" i="80"/>
  <c r="C2371" i="80" s="1"/>
  <c r="B2370" i="80"/>
  <c r="B2369" i="80"/>
  <c r="B2368" i="80"/>
  <c r="B2367" i="80"/>
  <c r="C2367" i="80" s="1"/>
  <c r="B2366" i="80"/>
  <c r="B2365" i="80"/>
  <c r="B2364" i="80"/>
  <c r="B2363" i="80"/>
  <c r="C2363" i="80" s="1"/>
  <c r="B2362" i="80"/>
  <c r="C2362" i="80" s="1"/>
  <c r="B2361" i="80"/>
  <c r="C2361" i="80" s="1"/>
  <c r="B2360" i="80"/>
  <c r="C2360" i="80" s="1"/>
  <c r="B2359" i="80"/>
  <c r="C2359" i="80" s="1"/>
  <c r="B2358" i="80"/>
  <c r="B2357" i="80"/>
  <c r="B2356" i="80"/>
  <c r="B2355" i="80"/>
  <c r="C2355" i="80" s="1"/>
  <c r="B2354" i="80"/>
  <c r="C2354" i="80" s="1"/>
  <c r="B2353" i="80"/>
  <c r="C2353" i="80" s="1"/>
  <c r="B2352" i="80"/>
  <c r="C2352" i="80" s="1"/>
  <c r="B2351" i="80"/>
  <c r="C2351" i="80" s="1"/>
  <c r="B2350" i="80"/>
  <c r="B2349" i="80"/>
  <c r="B2348" i="80"/>
  <c r="B2347" i="80"/>
  <c r="C2347" i="80" s="1"/>
  <c r="B2346" i="80"/>
  <c r="C2346" i="80" s="1"/>
  <c r="B2345" i="80"/>
  <c r="C2345" i="80" s="1"/>
  <c r="B2344" i="80"/>
  <c r="C2344" i="80" s="1"/>
  <c r="B2343" i="80"/>
  <c r="B2342" i="80"/>
  <c r="B2341" i="80"/>
  <c r="B2340" i="80"/>
  <c r="B2339" i="80"/>
  <c r="C2339" i="80" s="1"/>
  <c r="B2338" i="80"/>
  <c r="C2338" i="80" s="1"/>
  <c r="B2337" i="80"/>
  <c r="C2337" i="80" s="1"/>
  <c r="B2336" i="80"/>
  <c r="C2336" i="80" s="1"/>
  <c r="B2335" i="80"/>
  <c r="C2335" i="80" s="1"/>
  <c r="B2334" i="80"/>
  <c r="B2333" i="80"/>
  <c r="B2332" i="80"/>
  <c r="B2331" i="80"/>
  <c r="C2331" i="80" s="1"/>
  <c r="B2330" i="80"/>
  <c r="C2330" i="80" s="1"/>
  <c r="B2329" i="80"/>
  <c r="C2329" i="80" s="1"/>
  <c r="B2328" i="80"/>
  <c r="C2328" i="80" s="1"/>
  <c r="B2327" i="80"/>
  <c r="C2327" i="80" s="1"/>
  <c r="B2326" i="80"/>
  <c r="B2325" i="80"/>
  <c r="B2324" i="80"/>
  <c r="B2323" i="80"/>
  <c r="B2322" i="80"/>
  <c r="C2322" i="80" s="1"/>
  <c r="B2321" i="80"/>
  <c r="C2321" i="80" s="1"/>
  <c r="B2320" i="80"/>
  <c r="C2320" i="80" s="1"/>
  <c r="B2319" i="80"/>
  <c r="C2319" i="80" s="1"/>
  <c r="B2318" i="80"/>
  <c r="B2317" i="80"/>
  <c r="B2316" i="80"/>
  <c r="B2315" i="80"/>
  <c r="C2315" i="80" s="1"/>
  <c r="B2314" i="80"/>
  <c r="C2314" i="80" s="1"/>
  <c r="B2313" i="80"/>
  <c r="C2313" i="80" s="1"/>
  <c r="B2312" i="80"/>
  <c r="C2312" i="80" s="1"/>
  <c r="B2311" i="80"/>
  <c r="C2311" i="80" s="1"/>
  <c r="B2310" i="80"/>
  <c r="B2309" i="80"/>
  <c r="B2308" i="80"/>
  <c r="B2307" i="80"/>
  <c r="B2306" i="80"/>
  <c r="B2305" i="80"/>
  <c r="B2304" i="80"/>
  <c r="B2303" i="80"/>
  <c r="C2303" i="80" s="1"/>
  <c r="B2302" i="80"/>
  <c r="B2301" i="80"/>
  <c r="B2300" i="80"/>
  <c r="C2300" i="80" s="1"/>
  <c r="B2299" i="80"/>
  <c r="C2299" i="80" s="1"/>
  <c r="B2298" i="80"/>
  <c r="C2298" i="80" s="1"/>
  <c r="B2297" i="80"/>
  <c r="C2297" i="80" s="1"/>
  <c r="B2296" i="80"/>
  <c r="C2296" i="80" s="1"/>
  <c r="B2295" i="80"/>
  <c r="C2295" i="80" s="1"/>
  <c r="B2294" i="80"/>
  <c r="B2293" i="80"/>
  <c r="B2292" i="80"/>
  <c r="B2291" i="80"/>
  <c r="C2291" i="80" s="1"/>
  <c r="B2290" i="80"/>
  <c r="C2290" i="80" s="1"/>
  <c r="B2289" i="80"/>
  <c r="C2289" i="80" s="1"/>
  <c r="B2288" i="80"/>
  <c r="C2288" i="80" s="1"/>
  <c r="B2287" i="80"/>
  <c r="C2287" i="80" s="1"/>
  <c r="B2286" i="80"/>
  <c r="B2285" i="80"/>
  <c r="B2284" i="80"/>
  <c r="B2283" i="80"/>
  <c r="C2283" i="80" s="1"/>
  <c r="B2282" i="80"/>
  <c r="C2282" i="80" s="1"/>
  <c r="B2281" i="80"/>
  <c r="C2281" i="80" s="1"/>
  <c r="B2280" i="80"/>
  <c r="C2280" i="80" s="1"/>
  <c r="B2279" i="80"/>
  <c r="C2279" i="80" s="1"/>
  <c r="B2278" i="80"/>
  <c r="B2277" i="80"/>
  <c r="B2276" i="80"/>
  <c r="B2275" i="80"/>
  <c r="C2275" i="80" s="1"/>
  <c r="B2274" i="80"/>
  <c r="C2274" i="80" s="1"/>
  <c r="B2273" i="80"/>
  <c r="C2273" i="80" s="1"/>
  <c r="B2272" i="80"/>
  <c r="C2272" i="80" s="1"/>
  <c r="B2271" i="80"/>
  <c r="C2271" i="80" s="1"/>
  <c r="B2270" i="80"/>
  <c r="B2269" i="80"/>
  <c r="B2268" i="80"/>
  <c r="B2267" i="80"/>
  <c r="C2267" i="80" s="1"/>
  <c r="B2266" i="80"/>
  <c r="C2266" i="80" s="1"/>
  <c r="B2265" i="80"/>
  <c r="C2265" i="80" s="1"/>
  <c r="B2264" i="80"/>
  <c r="C2264" i="80" s="1"/>
  <c r="B2263" i="80"/>
  <c r="C2263" i="80" s="1"/>
  <c r="B2262" i="80"/>
  <c r="B2261" i="80"/>
  <c r="B2260" i="80"/>
  <c r="B2259" i="80"/>
  <c r="C2259" i="80" s="1"/>
  <c r="B2258" i="80"/>
  <c r="C2258" i="80" s="1"/>
  <c r="B2257" i="80"/>
  <c r="B2256" i="80"/>
  <c r="B2255" i="80"/>
  <c r="C2255" i="80" s="1"/>
  <c r="B2254" i="80"/>
  <c r="B2253" i="80"/>
  <c r="C2253" i="80" s="1"/>
  <c r="B2252" i="80"/>
  <c r="B2251" i="80"/>
  <c r="B2250" i="80"/>
  <c r="B2249" i="80"/>
  <c r="B2248" i="80"/>
  <c r="B2247" i="80"/>
  <c r="B2246" i="80"/>
  <c r="B2245" i="80"/>
  <c r="B2244" i="80"/>
  <c r="B2243" i="80"/>
  <c r="C2243" i="80" s="1"/>
  <c r="B2242" i="80"/>
  <c r="C2242" i="80" s="1"/>
  <c r="B2241" i="80"/>
  <c r="C2241" i="80" s="1"/>
  <c r="B2240" i="80"/>
  <c r="B2239" i="80"/>
  <c r="B2238" i="80"/>
  <c r="B2237" i="80"/>
  <c r="B2236" i="80"/>
  <c r="B2235" i="80"/>
  <c r="B2234" i="80"/>
  <c r="B2233" i="80"/>
  <c r="B2232" i="80"/>
  <c r="C2232" i="80" s="1"/>
  <c r="B2231" i="80"/>
  <c r="C2231" i="80" s="1"/>
  <c r="B2230" i="80"/>
  <c r="C2230" i="80" s="1"/>
  <c r="B2229" i="80"/>
  <c r="B2228" i="80"/>
  <c r="B2227" i="80"/>
  <c r="C2227" i="80" s="1"/>
  <c r="B2226" i="80"/>
  <c r="C2226" i="80" s="1"/>
  <c r="B2225" i="80"/>
  <c r="C2225" i="80" s="1"/>
  <c r="B2224" i="80"/>
  <c r="C2224" i="80" s="1"/>
  <c r="B2223" i="80"/>
  <c r="C2223" i="80" s="1"/>
  <c r="B2222" i="80"/>
  <c r="C2222" i="80" s="1"/>
  <c r="B2221" i="80"/>
  <c r="C2221" i="80" s="1"/>
  <c r="B2220" i="80"/>
  <c r="C2220" i="80" s="1"/>
  <c r="B2219" i="80"/>
  <c r="C2219" i="80" s="1"/>
  <c r="B2218" i="80"/>
  <c r="B2217" i="80"/>
  <c r="B2216" i="80"/>
  <c r="B2215" i="80"/>
  <c r="C2215" i="80" s="1"/>
  <c r="B2214" i="80"/>
  <c r="C2214" i="80" s="1"/>
  <c r="B2213" i="80"/>
  <c r="C2213" i="80" s="1"/>
  <c r="B2212" i="80"/>
  <c r="C2212" i="80" s="1"/>
  <c r="B2211" i="80"/>
  <c r="C2211" i="80" s="1"/>
  <c r="B2210" i="80"/>
  <c r="C2210" i="80" s="1"/>
  <c r="B2209" i="80"/>
  <c r="C2209" i="80" s="1"/>
  <c r="B2208" i="80"/>
  <c r="C2208" i="80" s="1"/>
  <c r="B2207" i="80"/>
  <c r="C2207" i="80" s="1"/>
  <c r="B2206" i="80"/>
  <c r="C2206" i="80" s="1"/>
  <c r="B2205" i="80"/>
  <c r="B2204" i="80"/>
  <c r="B2203" i="80"/>
  <c r="B2202" i="80"/>
  <c r="C2202" i="80" s="1"/>
  <c r="B2201" i="80"/>
  <c r="C2201" i="80" s="1"/>
  <c r="B2200" i="80"/>
  <c r="C2200" i="80" s="1"/>
  <c r="B2199" i="80"/>
  <c r="B2198" i="80"/>
  <c r="B2197" i="80"/>
  <c r="B2196" i="80"/>
  <c r="B2195" i="80"/>
  <c r="B2194" i="80"/>
  <c r="B2193" i="80"/>
  <c r="C2193" i="80" s="1"/>
  <c r="B2192" i="80"/>
  <c r="B2191" i="80"/>
  <c r="B2190" i="80"/>
  <c r="B2189" i="80"/>
  <c r="B2188" i="80"/>
  <c r="B2187" i="80"/>
  <c r="B2186" i="80"/>
  <c r="B2185" i="80"/>
  <c r="B2184" i="80"/>
  <c r="B2183" i="80"/>
  <c r="B2182" i="80"/>
  <c r="B2181" i="80"/>
  <c r="B2180" i="80"/>
  <c r="B2179" i="80"/>
  <c r="B2178" i="80"/>
  <c r="C2178" i="80" s="1"/>
  <c r="B2177" i="80"/>
  <c r="C2177" i="80" s="1"/>
  <c r="B2176" i="80"/>
  <c r="C2176" i="80" s="1"/>
  <c r="B2175" i="80"/>
  <c r="C2175" i="80" s="1"/>
  <c r="B2174" i="80"/>
  <c r="C2174" i="80" s="1"/>
  <c r="B2173" i="80"/>
  <c r="B2172" i="80"/>
  <c r="C2172" i="80" s="1"/>
  <c r="B2171" i="80"/>
  <c r="C2171" i="80" s="1"/>
  <c r="B2170" i="80"/>
  <c r="C2170" i="80" s="1"/>
  <c r="B2169" i="80"/>
  <c r="C2169" i="80" s="1"/>
  <c r="B2168" i="80"/>
  <c r="C2168" i="80" s="1"/>
  <c r="B2167" i="80"/>
  <c r="C2167" i="80" s="1"/>
  <c r="B2166" i="80"/>
  <c r="C2166" i="80" s="1"/>
  <c r="B2165" i="80"/>
  <c r="B2164" i="80"/>
  <c r="B2163" i="80"/>
  <c r="C2163" i="80" s="1"/>
  <c r="B2162" i="80"/>
  <c r="C2162" i="80" s="1"/>
  <c r="B2161" i="80"/>
  <c r="C2161" i="80" s="1"/>
  <c r="B2160" i="80"/>
  <c r="C2160" i="80" s="1"/>
  <c r="B2159" i="80"/>
  <c r="C2159" i="80" s="1"/>
  <c r="B2158" i="80"/>
  <c r="C2158" i="80" s="1"/>
  <c r="B2157" i="80"/>
  <c r="B2156" i="80"/>
  <c r="B2155" i="80"/>
  <c r="C2155" i="80" s="1"/>
  <c r="B2154" i="80"/>
  <c r="B2153" i="80"/>
  <c r="B2152" i="80"/>
  <c r="B2151" i="80"/>
  <c r="B2150" i="80"/>
  <c r="C2150" i="80" s="1"/>
  <c r="B2149" i="80"/>
  <c r="C2149" i="80" s="1"/>
  <c r="B2148" i="80"/>
  <c r="C2148" i="80" s="1"/>
  <c r="B2147" i="80"/>
  <c r="C2147" i="80" s="1"/>
  <c r="B2146" i="80"/>
  <c r="C2146" i="80" s="1"/>
  <c r="B2145" i="80"/>
  <c r="C2145" i="80" s="1"/>
  <c r="B2144" i="80"/>
  <c r="C2144" i="80" s="1"/>
  <c r="B2143" i="80"/>
  <c r="C2143" i="80" s="1"/>
  <c r="B2142" i="80"/>
  <c r="C2142" i="80" s="1"/>
  <c r="B2141" i="80"/>
  <c r="B2140" i="80"/>
  <c r="B2139" i="80"/>
  <c r="C2139" i="80" s="1"/>
  <c r="B2138" i="80"/>
  <c r="C2138" i="80" s="1"/>
  <c r="B2137" i="80"/>
  <c r="C2137" i="80" s="1"/>
  <c r="B2136" i="80"/>
  <c r="C2136" i="80" s="1"/>
  <c r="B2135" i="80"/>
  <c r="C2135" i="80" s="1"/>
  <c r="B2134" i="80"/>
  <c r="C2134" i="80" s="1"/>
  <c r="B2133" i="80"/>
  <c r="B2132" i="80"/>
  <c r="B2131" i="80"/>
  <c r="C2131" i="80" s="1"/>
  <c r="B2130" i="80"/>
  <c r="C2130" i="80" s="1"/>
  <c r="B2129" i="80"/>
  <c r="C2129" i="80" s="1"/>
  <c r="B2128" i="80"/>
  <c r="C2128" i="80" s="1"/>
  <c r="B2127" i="80"/>
  <c r="C2127" i="80" s="1"/>
  <c r="B2126" i="80"/>
  <c r="C2126" i="80" s="1"/>
  <c r="B2125" i="80"/>
  <c r="C2125" i="80" s="1"/>
  <c r="B2124" i="80"/>
  <c r="C2124" i="80" s="1"/>
  <c r="B2123" i="80"/>
  <c r="C2123" i="80" s="1"/>
  <c r="B2122" i="80"/>
  <c r="C2122" i="80" s="1"/>
  <c r="B2121" i="80"/>
  <c r="C2121" i="80" s="1"/>
  <c r="B2120" i="80"/>
  <c r="C2120" i="80" s="1"/>
  <c r="B2119" i="80"/>
  <c r="C2119" i="80" s="1"/>
  <c r="B2118" i="80"/>
  <c r="C2118" i="80" s="1"/>
  <c r="B2117" i="80"/>
  <c r="B2116" i="80"/>
  <c r="B2115" i="80"/>
  <c r="C2115" i="80" s="1"/>
  <c r="B2114" i="80"/>
  <c r="C2114" i="80" s="1"/>
  <c r="B2113" i="80"/>
  <c r="C2113" i="80" s="1"/>
  <c r="B2112" i="80"/>
  <c r="C2112" i="80" s="1"/>
  <c r="B2111" i="80"/>
  <c r="C2111" i="80" s="1"/>
  <c r="B2110" i="80"/>
  <c r="C2110" i="80" s="1"/>
  <c r="B2109" i="80"/>
  <c r="B2108" i="80"/>
  <c r="C2108" i="80" s="1"/>
  <c r="B2107" i="80"/>
  <c r="B2106" i="80"/>
  <c r="B2105" i="80"/>
  <c r="B2104" i="80"/>
  <c r="B2103" i="80"/>
  <c r="B2102" i="80"/>
  <c r="B2101" i="80"/>
  <c r="B2100" i="80"/>
  <c r="B2099" i="80"/>
  <c r="B2098" i="80"/>
  <c r="B2097" i="80"/>
  <c r="B2096" i="80"/>
  <c r="C2096" i="80" s="1"/>
  <c r="B2095" i="80"/>
  <c r="C2095" i="80" s="1"/>
  <c r="B2094" i="80"/>
  <c r="C2094" i="80" s="1"/>
  <c r="B2093" i="80"/>
  <c r="C2093" i="80" s="1"/>
  <c r="B2092" i="80"/>
  <c r="C2092" i="80" s="1"/>
  <c r="B2091" i="80"/>
  <c r="C2091" i="80" s="1"/>
  <c r="B2090" i="80"/>
  <c r="C2090" i="80" s="1"/>
  <c r="B2089" i="80"/>
  <c r="B2087" i="80"/>
  <c r="B2086" i="80"/>
  <c r="B2085" i="80"/>
  <c r="B2084" i="80"/>
  <c r="B2083" i="80"/>
  <c r="B2082" i="80"/>
  <c r="B2081" i="80"/>
  <c r="C2081" i="80" s="1"/>
  <c r="B2080" i="80"/>
  <c r="C2080" i="80" s="1"/>
  <c r="B2079" i="80"/>
  <c r="C2079" i="80" s="1"/>
  <c r="B2078" i="80"/>
  <c r="C2078" i="80" s="1"/>
  <c r="B2077" i="80"/>
  <c r="C2077" i="80" s="1"/>
  <c r="B2076" i="80"/>
  <c r="B2075" i="80"/>
  <c r="B2074" i="80"/>
  <c r="B2073" i="80"/>
  <c r="B2072" i="80"/>
  <c r="C2072" i="80" s="1"/>
  <c r="B2071" i="80"/>
  <c r="C2071" i="80" s="1"/>
  <c r="B2070" i="80"/>
  <c r="C2070" i="80" s="1"/>
  <c r="B2069" i="80"/>
  <c r="C2069" i="80" s="1"/>
  <c r="B2068" i="80"/>
  <c r="B2067" i="80"/>
  <c r="C2067" i="80" s="1"/>
  <c r="B2066" i="80"/>
  <c r="C2066" i="80" s="1"/>
  <c r="B2065" i="80"/>
  <c r="B2064" i="80"/>
  <c r="B2063" i="80"/>
  <c r="C2063" i="80" s="1"/>
  <c r="B2062" i="80"/>
  <c r="C2062" i="80" s="1"/>
  <c r="B2061" i="80"/>
  <c r="B2060" i="80"/>
  <c r="B2059" i="80"/>
  <c r="B2058" i="80"/>
  <c r="B2057" i="80"/>
  <c r="B2056" i="80"/>
  <c r="B2055" i="80"/>
  <c r="B2054" i="80"/>
  <c r="C2054" i="80" s="1"/>
  <c r="B2053" i="80"/>
  <c r="C2053" i="80" s="1"/>
  <c r="B2052" i="80"/>
  <c r="B2051" i="80"/>
  <c r="B2050" i="80"/>
  <c r="B2049" i="80"/>
  <c r="B2048" i="80"/>
  <c r="C2048" i="80" s="1"/>
  <c r="B2047" i="80"/>
  <c r="C2047" i="80" s="1"/>
  <c r="B2046" i="80"/>
  <c r="C2046" i="80" s="1"/>
  <c r="B2045" i="80"/>
  <c r="B2044" i="80"/>
  <c r="C2044" i="80" s="1"/>
  <c r="B2043" i="80"/>
  <c r="C2043" i="80" s="1"/>
  <c r="B2042" i="80"/>
  <c r="B2041" i="80"/>
  <c r="B2040" i="80"/>
  <c r="C2040" i="80" s="1"/>
  <c r="B2039" i="80"/>
  <c r="C2039" i="80" s="1"/>
  <c r="B2038" i="80"/>
  <c r="B2037" i="80"/>
  <c r="B2036" i="80"/>
  <c r="B2035" i="80"/>
  <c r="B2034" i="80"/>
  <c r="B2033" i="80"/>
  <c r="B2032" i="80"/>
  <c r="B2031" i="80"/>
  <c r="B2030" i="80"/>
  <c r="B2029" i="80"/>
  <c r="B2028" i="80"/>
  <c r="B2027" i="80"/>
  <c r="B2026" i="80"/>
  <c r="B2025" i="80"/>
  <c r="C2025" i="80" s="1"/>
  <c r="B2024" i="80"/>
  <c r="C2024" i="80" s="1"/>
  <c r="B2023" i="80"/>
  <c r="C2023" i="80" s="1"/>
  <c r="B2022" i="80"/>
  <c r="C2022" i="80" s="1"/>
  <c r="B2021" i="80"/>
  <c r="C2021" i="80" s="1"/>
  <c r="B2020" i="80"/>
  <c r="B2019" i="80"/>
  <c r="B2018" i="80"/>
  <c r="C2018" i="80" s="1"/>
  <c r="B2017" i="80"/>
  <c r="C2017" i="80" s="1"/>
  <c r="B2016" i="80"/>
  <c r="C2016" i="80" s="1"/>
  <c r="B2015" i="80"/>
  <c r="B2014" i="80"/>
  <c r="B2013" i="80"/>
  <c r="B2012" i="80"/>
  <c r="B2011" i="80"/>
  <c r="B2010" i="80"/>
  <c r="B2009" i="80"/>
  <c r="B2008" i="80"/>
  <c r="B2007" i="80"/>
  <c r="B2006" i="80"/>
  <c r="C2006" i="80" s="1"/>
  <c r="B2005" i="80"/>
  <c r="C2005" i="80" s="1"/>
  <c r="B2004" i="80"/>
  <c r="B2003" i="80"/>
  <c r="B2002" i="80"/>
  <c r="B2001" i="80"/>
  <c r="C2001" i="80" s="1"/>
  <c r="B2000" i="80"/>
  <c r="C2000" i="80" s="1"/>
  <c r="B1999" i="80"/>
  <c r="C1999" i="80" s="1"/>
  <c r="B1998" i="80"/>
  <c r="C1998" i="80" s="1"/>
  <c r="B1997" i="80"/>
  <c r="C1997" i="80" s="1"/>
  <c r="B1996" i="80"/>
  <c r="B1995" i="80"/>
  <c r="B1994" i="80"/>
  <c r="B1993" i="80"/>
  <c r="B1992" i="80"/>
  <c r="B1991" i="80"/>
  <c r="B1990" i="80"/>
  <c r="B1989" i="80"/>
  <c r="B1988" i="80"/>
  <c r="B1987" i="80"/>
  <c r="B1986" i="80"/>
  <c r="B1985" i="80"/>
  <c r="C1985" i="80" s="1"/>
  <c r="B1984" i="80"/>
  <c r="C1984" i="80" s="1"/>
  <c r="B1983" i="80"/>
  <c r="B1982" i="80"/>
  <c r="B1981" i="80"/>
  <c r="C1981" i="80" s="1"/>
  <c r="B1980" i="80"/>
  <c r="C1980" i="80" s="1"/>
  <c r="B1979" i="80"/>
  <c r="C1979" i="80" s="1"/>
  <c r="B1978" i="80"/>
  <c r="C1978" i="80" s="1"/>
  <c r="B1977" i="80"/>
  <c r="C1977" i="80" s="1"/>
  <c r="B1976" i="80"/>
  <c r="C1976" i="80" s="1"/>
  <c r="B1975" i="80"/>
  <c r="B1974" i="80"/>
  <c r="B1973" i="80"/>
  <c r="B1972" i="80"/>
  <c r="B1971" i="80"/>
  <c r="C1971" i="80" s="1"/>
  <c r="B1970" i="80"/>
  <c r="C1970" i="80" s="1"/>
  <c r="B1969" i="80"/>
  <c r="B1968" i="80"/>
  <c r="B1967" i="80"/>
  <c r="B1966" i="80"/>
  <c r="B1965" i="80"/>
  <c r="B1964" i="80"/>
  <c r="B1963" i="80"/>
  <c r="B1962" i="80"/>
  <c r="B1961" i="80"/>
  <c r="B1960" i="80"/>
  <c r="B1959" i="80"/>
  <c r="B1958" i="80"/>
  <c r="B1957" i="80"/>
  <c r="C1957" i="80" s="1"/>
  <c r="B1956" i="80"/>
  <c r="B1955" i="80"/>
  <c r="B1954" i="80"/>
  <c r="B1953" i="80"/>
  <c r="B1952" i="80"/>
  <c r="B1951" i="80"/>
  <c r="B1950" i="80"/>
  <c r="B1949" i="80"/>
  <c r="B1948" i="80"/>
  <c r="B1947" i="80"/>
  <c r="B1946" i="80"/>
  <c r="B1945" i="80"/>
  <c r="B1944" i="80"/>
  <c r="B1943" i="80"/>
  <c r="C1943" i="80" s="1"/>
  <c r="B1942" i="80"/>
  <c r="B1941" i="80"/>
  <c r="B1940" i="80"/>
  <c r="B1939" i="80"/>
  <c r="B1938" i="80"/>
  <c r="B1937" i="80"/>
  <c r="B1936" i="80"/>
  <c r="B1935" i="80"/>
  <c r="B1934" i="80"/>
  <c r="B1933" i="80"/>
  <c r="B1932" i="80"/>
  <c r="B1931" i="80"/>
  <c r="B1930" i="80"/>
  <c r="B1929" i="80"/>
  <c r="B1928" i="80"/>
  <c r="B1927" i="80"/>
  <c r="B1926" i="80"/>
  <c r="B1925" i="80"/>
  <c r="B1924" i="80"/>
  <c r="B1923" i="80"/>
  <c r="B1922" i="80"/>
  <c r="B1921" i="80"/>
  <c r="B1920" i="80"/>
  <c r="B1919" i="80"/>
  <c r="B1918" i="80"/>
  <c r="B1917" i="80"/>
  <c r="B1916" i="80"/>
  <c r="B1915" i="80"/>
  <c r="B1914" i="80"/>
  <c r="B1913" i="80"/>
  <c r="B1912" i="80"/>
  <c r="B1911" i="80"/>
  <c r="B1910" i="80"/>
  <c r="B1909" i="80"/>
  <c r="B1908" i="80"/>
  <c r="B1907" i="80"/>
  <c r="B1906" i="80"/>
  <c r="C1906" i="80" s="1"/>
  <c r="B1905" i="80"/>
  <c r="C1905" i="80" s="1"/>
  <c r="B1904" i="80"/>
  <c r="B1903" i="80"/>
  <c r="B1902" i="80"/>
  <c r="B1901" i="80"/>
  <c r="B1900" i="80"/>
  <c r="B1899" i="80"/>
  <c r="B1898" i="80"/>
  <c r="B1897" i="80"/>
  <c r="B1896" i="80"/>
  <c r="B1895" i="80"/>
  <c r="C1895" i="80" s="1"/>
  <c r="B1894" i="80"/>
  <c r="C1894" i="80" s="1"/>
  <c r="B1893" i="80"/>
  <c r="C1893" i="80" s="1"/>
  <c r="B1892" i="80"/>
  <c r="C1892" i="80" s="1"/>
  <c r="B1891" i="80"/>
  <c r="B1890" i="80"/>
  <c r="C1890" i="80" s="1"/>
  <c r="B1889" i="80"/>
  <c r="B1888" i="80"/>
  <c r="B1887" i="80"/>
  <c r="C1887" i="80" s="1"/>
  <c r="B1886" i="80"/>
  <c r="B1885" i="80"/>
  <c r="B1884" i="80"/>
  <c r="C1884" i="80" s="1"/>
  <c r="B1883" i="80"/>
  <c r="C1883" i="80" s="1"/>
  <c r="B1882" i="80"/>
  <c r="B1881" i="80"/>
  <c r="B1880" i="80"/>
  <c r="B1879" i="80"/>
  <c r="B1878" i="80"/>
  <c r="B1877" i="80"/>
  <c r="C1877" i="80" s="1"/>
  <c r="B1876" i="80"/>
  <c r="C1876" i="80" s="1"/>
  <c r="B1875" i="80"/>
  <c r="B1874" i="80"/>
  <c r="C1874" i="80" s="1"/>
  <c r="B1873" i="80"/>
  <c r="C1873" i="80" s="1"/>
  <c r="B1872" i="80"/>
  <c r="C1872" i="80" s="1"/>
  <c r="B1871" i="80"/>
  <c r="C1871" i="80" s="1"/>
  <c r="B1870" i="80"/>
  <c r="C1870" i="80" s="1"/>
  <c r="B1869" i="80"/>
  <c r="C1869" i="80" s="1"/>
  <c r="B1868" i="80"/>
  <c r="B1867" i="80"/>
  <c r="B1866" i="80"/>
  <c r="C1866" i="80" s="1"/>
  <c r="B1865" i="80"/>
  <c r="C1865" i="80" s="1"/>
  <c r="B1864" i="80"/>
  <c r="B1863" i="80"/>
  <c r="B1862" i="80"/>
  <c r="B1861" i="80"/>
  <c r="B1860" i="80"/>
  <c r="B1859" i="80"/>
  <c r="B1858" i="80"/>
  <c r="B1857" i="80"/>
  <c r="C1857" i="80" s="1"/>
  <c r="B1856" i="80"/>
  <c r="C1856" i="80" s="1"/>
  <c r="B1855" i="80"/>
  <c r="B1854" i="80"/>
  <c r="B1853" i="80"/>
  <c r="B1852" i="80"/>
  <c r="B1851" i="80"/>
  <c r="B1850" i="80"/>
  <c r="B1849" i="80"/>
  <c r="B1848" i="80"/>
  <c r="B1847" i="80"/>
  <c r="B1846" i="80"/>
  <c r="C1846" i="80" s="1"/>
  <c r="B1845" i="80"/>
  <c r="C1845" i="80" s="1"/>
  <c r="B1844" i="80"/>
  <c r="B1843" i="80"/>
  <c r="B1842" i="80"/>
  <c r="C1842" i="80" s="1"/>
  <c r="B1841" i="80"/>
  <c r="C1841" i="80" s="1"/>
  <c r="B1840" i="80"/>
  <c r="B1839" i="80"/>
  <c r="B1838" i="80"/>
  <c r="B1837" i="80"/>
  <c r="B1836" i="80"/>
  <c r="B1835" i="80"/>
  <c r="B1834" i="80"/>
  <c r="B1833" i="80"/>
  <c r="B1832" i="80"/>
  <c r="C1832" i="80" s="1"/>
  <c r="B1831" i="80"/>
  <c r="C1831" i="80" s="1"/>
  <c r="B1830" i="80"/>
  <c r="B1829" i="80"/>
  <c r="B1828" i="80"/>
  <c r="B1827" i="80"/>
  <c r="B1826" i="80"/>
  <c r="B1825" i="80"/>
  <c r="B1824" i="80"/>
  <c r="B1823" i="80"/>
  <c r="B1822" i="80"/>
  <c r="B1821" i="80"/>
  <c r="C1821" i="80" s="1"/>
  <c r="B1820" i="80"/>
  <c r="B1819" i="80"/>
  <c r="B1818" i="80"/>
  <c r="B1817" i="80"/>
  <c r="B1816" i="80"/>
  <c r="B1815" i="80"/>
  <c r="C1815" i="80" s="1"/>
  <c r="B1814" i="80"/>
  <c r="C1814" i="80" s="1"/>
  <c r="B1813" i="80"/>
  <c r="C1813" i="80" s="1"/>
  <c r="B1812" i="80"/>
  <c r="B1811" i="80"/>
  <c r="B1810" i="80"/>
  <c r="C1810" i="80" s="1"/>
  <c r="B1809" i="80"/>
  <c r="C1809" i="80" s="1"/>
  <c r="B1808" i="80"/>
  <c r="C1808" i="80" s="1"/>
  <c r="B1807" i="80"/>
  <c r="C1807" i="80" s="1"/>
  <c r="B1806" i="80"/>
  <c r="C1806" i="80" s="1"/>
  <c r="B1805" i="80"/>
  <c r="B1804" i="80"/>
  <c r="B1803" i="80"/>
  <c r="B1802" i="80"/>
  <c r="C1802" i="80" s="1"/>
  <c r="B1801" i="80"/>
  <c r="C1801" i="80" s="1"/>
  <c r="B1800" i="80"/>
  <c r="C1800" i="80" s="1"/>
  <c r="B1799" i="80"/>
  <c r="C1799" i="80" s="1"/>
  <c r="B1798" i="80"/>
  <c r="C1798" i="80" s="1"/>
  <c r="B1797" i="80"/>
  <c r="B1796" i="80"/>
  <c r="B1795" i="80"/>
  <c r="B1794" i="80"/>
  <c r="C1794" i="80" s="1"/>
  <c r="B1793" i="80"/>
  <c r="B1792" i="80"/>
  <c r="B1791" i="80"/>
  <c r="C1791" i="80" s="1"/>
  <c r="B1790" i="80"/>
  <c r="C1790" i="80" s="1"/>
  <c r="B1789" i="80"/>
  <c r="C1789" i="80" s="1"/>
  <c r="B1788" i="80"/>
  <c r="B1787" i="80"/>
  <c r="B1786" i="80"/>
  <c r="C1786" i="80" s="1"/>
  <c r="B1785" i="80"/>
  <c r="C1785" i="80" s="1"/>
  <c r="B1784" i="80"/>
  <c r="B1783" i="80"/>
  <c r="B1782" i="80"/>
  <c r="C1782" i="80" s="1"/>
  <c r="B1781" i="80"/>
  <c r="C1781" i="80" s="1"/>
  <c r="B1780" i="80"/>
  <c r="C1780" i="80" s="1"/>
  <c r="B1779" i="80"/>
  <c r="B1778" i="80"/>
  <c r="B1777" i="80"/>
  <c r="B1776" i="80"/>
  <c r="B1775" i="80"/>
  <c r="B1774" i="80"/>
  <c r="B1773" i="80"/>
  <c r="B1772" i="80"/>
  <c r="B1771" i="80"/>
  <c r="B1770" i="80"/>
  <c r="C1770" i="80" s="1"/>
  <c r="B1769" i="80"/>
  <c r="C1769" i="80" s="1"/>
  <c r="B1768" i="80"/>
  <c r="C1768" i="80" s="1"/>
  <c r="B1767" i="80"/>
  <c r="C1767" i="80" s="1"/>
  <c r="B1766" i="80"/>
  <c r="C1766" i="80" s="1"/>
  <c r="B1765" i="80"/>
  <c r="C1765" i="80" s="1"/>
  <c r="B1764" i="80"/>
  <c r="B1763" i="80"/>
  <c r="B1762" i="80"/>
  <c r="C1762" i="80" s="1"/>
  <c r="B1761" i="80"/>
  <c r="C1761" i="80" s="1"/>
  <c r="B1760" i="80"/>
  <c r="C1760" i="80" s="1"/>
  <c r="B1759" i="80"/>
  <c r="C1759" i="80" s="1"/>
  <c r="B1758" i="80"/>
  <c r="C1758" i="80" s="1"/>
  <c r="B1757" i="80"/>
  <c r="B1756" i="80"/>
  <c r="B1755" i="80"/>
  <c r="B1754" i="80"/>
  <c r="C1754" i="80" s="1"/>
  <c r="B1753" i="80"/>
  <c r="C1753" i="80" s="1"/>
  <c r="B1752" i="80"/>
  <c r="C1752" i="80" s="1"/>
  <c r="B1751" i="80"/>
  <c r="B1750" i="80"/>
  <c r="B1749" i="80"/>
  <c r="C1749" i="80" s="1"/>
  <c r="B1748" i="80"/>
  <c r="B1747" i="80"/>
  <c r="B1746" i="80"/>
  <c r="C1746" i="80" s="1"/>
  <c r="B1745" i="80"/>
  <c r="C1745" i="80" s="1"/>
  <c r="B1744" i="80"/>
  <c r="B1743" i="80"/>
  <c r="B1742" i="80"/>
  <c r="B1741" i="80"/>
  <c r="C1741" i="80" s="1"/>
  <c r="B1740" i="80"/>
  <c r="B1739" i="80"/>
  <c r="B1738" i="80"/>
  <c r="C1738" i="80" s="1"/>
  <c r="B1737" i="80"/>
  <c r="C1737" i="80" s="1"/>
  <c r="B1736" i="80"/>
  <c r="C1736" i="80" s="1"/>
  <c r="B1735" i="80"/>
  <c r="C1735" i="80" s="1"/>
  <c r="B1734" i="80"/>
  <c r="C1734" i="80" s="1"/>
  <c r="B1733" i="80"/>
  <c r="C1733" i="80" s="1"/>
  <c r="B1732" i="80"/>
  <c r="B1731" i="80"/>
  <c r="B1730" i="80"/>
  <c r="B1729" i="80"/>
  <c r="B1728" i="80"/>
  <c r="C1728" i="80" s="1"/>
  <c r="B1727" i="80"/>
  <c r="C1727" i="80" s="1"/>
  <c r="B1726" i="80"/>
  <c r="C1726" i="80" s="1"/>
  <c r="B1725" i="80"/>
  <c r="C1725" i="80" s="1"/>
  <c r="B1724" i="80"/>
  <c r="B1723" i="80"/>
  <c r="B1722" i="80"/>
  <c r="C1722" i="80" s="1"/>
  <c r="B1721" i="80"/>
  <c r="C1721" i="80" s="1"/>
  <c r="B1720" i="80"/>
  <c r="C1720" i="80" s="1"/>
  <c r="B1719" i="80"/>
  <c r="C1719" i="80" s="1"/>
  <c r="B1718" i="80"/>
  <c r="B1717" i="80"/>
  <c r="B1716" i="80"/>
  <c r="B1715" i="80"/>
  <c r="B1714" i="80"/>
  <c r="B1713" i="80"/>
  <c r="B1712" i="80"/>
  <c r="B1711" i="80"/>
  <c r="C1711" i="80" s="1"/>
  <c r="B1710" i="80"/>
  <c r="C1710" i="80" s="1"/>
  <c r="B1709" i="80"/>
  <c r="B1708" i="80"/>
  <c r="B1707" i="80"/>
  <c r="B1706" i="80"/>
  <c r="C1706" i="80" s="1"/>
  <c r="B1705" i="80"/>
  <c r="C1705" i="80" s="1"/>
  <c r="B1704" i="80"/>
  <c r="C1704" i="80" s="1"/>
  <c r="B1703" i="80"/>
  <c r="C1703" i="80" s="1"/>
  <c r="B1702" i="80"/>
  <c r="C1702" i="80" s="1"/>
  <c r="B1701" i="80"/>
  <c r="C1701" i="80" s="1"/>
  <c r="B1700" i="80"/>
  <c r="B1699" i="80"/>
  <c r="B1698" i="80"/>
  <c r="C1698" i="80" s="1"/>
  <c r="B1697" i="80"/>
  <c r="C1697" i="80" s="1"/>
  <c r="B1696" i="80"/>
  <c r="C1696" i="80" s="1"/>
  <c r="B1695" i="80"/>
  <c r="C1695" i="80" s="1"/>
  <c r="B1694" i="80"/>
  <c r="C1694" i="80" s="1"/>
  <c r="B1693" i="80"/>
  <c r="C1693" i="80" s="1"/>
  <c r="B1692" i="80"/>
  <c r="B1691" i="80"/>
  <c r="B1690" i="80"/>
  <c r="C1690" i="80" s="1"/>
  <c r="B1689" i="80"/>
  <c r="C1689" i="80" s="1"/>
  <c r="B1688" i="80"/>
  <c r="C1688" i="80" s="1"/>
  <c r="B1687" i="80"/>
  <c r="C1687" i="80" s="1"/>
  <c r="B1686" i="80"/>
  <c r="C1686" i="80" s="1"/>
  <c r="B1685" i="80"/>
  <c r="C1685" i="80" s="1"/>
  <c r="B1684" i="80"/>
  <c r="B1683" i="80"/>
  <c r="B1682" i="80"/>
  <c r="C1682" i="80" s="1"/>
  <c r="B1681" i="80"/>
  <c r="C1681" i="80" s="1"/>
  <c r="B1680" i="80"/>
  <c r="C1680" i="80" s="1"/>
  <c r="B1679" i="80"/>
  <c r="C1679" i="80" s="1"/>
  <c r="B1678" i="80"/>
  <c r="C1678" i="80" s="1"/>
  <c r="B1677" i="80"/>
  <c r="C1677" i="80" s="1"/>
  <c r="B1676" i="80"/>
  <c r="B1675" i="80"/>
  <c r="B1674" i="80"/>
  <c r="C1674" i="80" s="1"/>
  <c r="B1673" i="80"/>
  <c r="C1673" i="80" s="1"/>
  <c r="B1672" i="80"/>
  <c r="C1672" i="80" s="1"/>
  <c r="B1671" i="80"/>
  <c r="C1671" i="80" s="1"/>
  <c r="B1670" i="80"/>
  <c r="C1670" i="80" s="1"/>
  <c r="B1669" i="80"/>
  <c r="C1669" i="80" s="1"/>
  <c r="B1668" i="80"/>
  <c r="B1667" i="80"/>
  <c r="B1666" i="80"/>
  <c r="C1666" i="80" s="1"/>
  <c r="B1665" i="80"/>
  <c r="C1665" i="80" s="1"/>
  <c r="B1664" i="80"/>
  <c r="C1664" i="80" s="1"/>
  <c r="B1663" i="80"/>
  <c r="C1663" i="80" s="1"/>
  <c r="B1662" i="80"/>
  <c r="C1662" i="80" s="1"/>
  <c r="B1661" i="80"/>
  <c r="C1661" i="80" s="1"/>
  <c r="B1660" i="80"/>
  <c r="B1659" i="80"/>
  <c r="B1658" i="80"/>
  <c r="C1658" i="80" s="1"/>
  <c r="B1657" i="80"/>
  <c r="C1657" i="80" s="1"/>
  <c r="B1656" i="80"/>
  <c r="C1656" i="80" s="1"/>
  <c r="B1655" i="80"/>
  <c r="C1655" i="80" s="1"/>
  <c r="B1654" i="80"/>
  <c r="B1653" i="80"/>
  <c r="B1652" i="80"/>
  <c r="B1651" i="80"/>
  <c r="B1650" i="80"/>
  <c r="B1649" i="80"/>
  <c r="C1649" i="80" s="1"/>
  <c r="B1648" i="80"/>
  <c r="B1647" i="80"/>
  <c r="B1646" i="80"/>
  <c r="B1645" i="80"/>
  <c r="B1644" i="80"/>
  <c r="B1643" i="80"/>
  <c r="B1642" i="80"/>
  <c r="C1642" i="80" s="1"/>
  <c r="B1641" i="80"/>
  <c r="C1641" i="80" s="1"/>
  <c r="B1640" i="80"/>
  <c r="C1640" i="80" s="1"/>
  <c r="B1639" i="80"/>
  <c r="C1639" i="80" s="1"/>
  <c r="B1638" i="80"/>
  <c r="B1637" i="80"/>
  <c r="B1636" i="80"/>
  <c r="B1635" i="80"/>
  <c r="B1634" i="80"/>
  <c r="B1633" i="80"/>
  <c r="B1632" i="80"/>
  <c r="B1631" i="80"/>
  <c r="B1630" i="80"/>
  <c r="B1629" i="80"/>
  <c r="B1628" i="80"/>
  <c r="B1627" i="80"/>
  <c r="B1626" i="80"/>
  <c r="C1626" i="80" s="1"/>
  <c r="B1625" i="80"/>
  <c r="C1625" i="80" s="1"/>
  <c r="B1624" i="80"/>
  <c r="B1623" i="80"/>
  <c r="B1622" i="80"/>
  <c r="B1621" i="80"/>
  <c r="B1620" i="80"/>
  <c r="B1619" i="80"/>
  <c r="B1618" i="80"/>
  <c r="B1617" i="80"/>
  <c r="B1616" i="80"/>
  <c r="C1616" i="80" s="1"/>
  <c r="B1615" i="80"/>
  <c r="C1615" i="80" s="1"/>
  <c r="B1614" i="80"/>
  <c r="B1613" i="80"/>
  <c r="B1612" i="80"/>
  <c r="B1611" i="80"/>
  <c r="B1610" i="80"/>
  <c r="B1609" i="80"/>
  <c r="B1608" i="80"/>
  <c r="B1607" i="80"/>
  <c r="B1606" i="80"/>
  <c r="B1605" i="80"/>
  <c r="B1604" i="80"/>
  <c r="B1603" i="80"/>
  <c r="B1602" i="80"/>
  <c r="C1602" i="80" s="1"/>
  <c r="B1601" i="80"/>
  <c r="C1601" i="80" s="1"/>
  <c r="B1600" i="80"/>
  <c r="C1600" i="80" s="1"/>
  <c r="B1599" i="80"/>
  <c r="B1598" i="80"/>
  <c r="B1597" i="80"/>
  <c r="B1596" i="80"/>
  <c r="B1595" i="80"/>
  <c r="B1594" i="80"/>
  <c r="C1594" i="80" s="1"/>
  <c r="B1593" i="80"/>
  <c r="C1593" i="80" s="1"/>
  <c r="B1592" i="80"/>
  <c r="C1592" i="80" s="1"/>
  <c r="B1591" i="80"/>
  <c r="C1591" i="80" s="1"/>
  <c r="B1590" i="80"/>
  <c r="C1590" i="80" s="1"/>
  <c r="B1589" i="80"/>
  <c r="B1588" i="80"/>
  <c r="C1588" i="80" s="1"/>
  <c r="B1587" i="80"/>
  <c r="C1587" i="80" s="1"/>
  <c r="B1586" i="80"/>
  <c r="C1586" i="80" s="1"/>
  <c r="B1585" i="80"/>
  <c r="C1585" i="80" s="1"/>
  <c r="B1584" i="80"/>
  <c r="C1584" i="80" s="1"/>
  <c r="B1583" i="80"/>
  <c r="C1583" i="80" s="1"/>
  <c r="B1582" i="80"/>
  <c r="C1582" i="80" s="1"/>
  <c r="B1581" i="80"/>
  <c r="B1580" i="80"/>
  <c r="C1580" i="80" s="1"/>
  <c r="B1579" i="80"/>
  <c r="B1578" i="80"/>
  <c r="B1577" i="80"/>
  <c r="B1576" i="80"/>
  <c r="C1576" i="80" s="1"/>
  <c r="B1575" i="80"/>
  <c r="C1575" i="80" s="1"/>
  <c r="B1574" i="80"/>
  <c r="C1574" i="80" s="1"/>
  <c r="B1573" i="80"/>
  <c r="C1573" i="80" s="1"/>
  <c r="B1572" i="80"/>
  <c r="B1571" i="80"/>
  <c r="B1570" i="80"/>
  <c r="C1570" i="80" s="1"/>
  <c r="B1569" i="80"/>
  <c r="C1569" i="80" s="1"/>
  <c r="B1568" i="80"/>
  <c r="C1568" i="80" s="1"/>
  <c r="B1567" i="80"/>
  <c r="C1567" i="80" s="1"/>
  <c r="B1566" i="80"/>
  <c r="C1566" i="80" s="1"/>
  <c r="B1565" i="80"/>
  <c r="C1565" i="80" s="1"/>
  <c r="B1564" i="80"/>
  <c r="C1564" i="80" s="1"/>
  <c r="B1563" i="80"/>
  <c r="C1563" i="80" s="1"/>
  <c r="B1562" i="80"/>
  <c r="C1562" i="80" s="1"/>
  <c r="B1561" i="80"/>
  <c r="C1561" i="80" s="1"/>
  <c r="B1560" i="80"/>
  <c r="C1560" i="80" s="1"/>
  <c r="B1559" i="80"/>
  <c r="C1559" i="80" s="1"/>
  <c r="B1558" i="80"/>
  <c r="C1558" i="80" s="1"/>
  <c r="B1557" i="80"/>
  <c r="B1556" i="80"/>
  <c r="B1555" i="80"/>
  <c r="B1554" i="80"/>
  <c r="C1554" i="80" s="1"/>
  <c r="B1553" i="80"/>
  <c r="C1553" i="80" s="1"/>
  <c r="B1552" i="80"/>
  <c r="C1552" i="80" s="1"/>
  <c r="B1551" i="80"/>
  <c r="C1551" i="80" s="1"/>
  <c r="B1550" i="80"/>
  <c r="B1549" i="80"/>
  <c r="B1548" i="80"/>
  <c r="B1547" i="80"/>
  <c r="B1546" i="80"/>
  <c r="B1545" i="80"/>
  <c r="B1544" i="80"/>
  <c r="B1543" i="80"/>
  <c r="B1542" i="80"/>
  <c r="B1541" i="80"/>
  <c r="B1540" i="80"/>
  <c r="C1540" i="80" s="1"/>
  <c r="B1539" i="80"/>
  <c r="C1539" i="80" s="1"/>
  <c r="B1538" i="80"/>
  <c r="C1538" i="80" s="1"/>
  <c r="B1537" i="80"/>
  <c r="C1537" i="80" s="1"/>
  <c r="B1536" i="80"/>
  <c r="C1536" i="80" s="1"/>
  <c r="B1535" i="80"/>
  <c r="C1535" i="80" s="1"/>
  <c r="B1534" i="80"/>
  <c r="B1533" i="80"/>
  <c r="B1532" i="80"/>
  <c r="C1532" i="80" s="1"/>
  <c r="B1531" i="80"/>
  <c r="B1530" i="80"/>
  <c r="B1529" i="80"/>
  <c r="B1528" i="80"/>
  <c r="B1527" i="80"/>
  <c r="B1526" i="80"/>
  <c r="B1525" i="80"/>
  <c r="B1524" i="80"/>
  <c r="B1523" i="80"/>
  <c r="B1522" i="80"/>
  <c r="C1522" i="80" s="1"/>
  <c r="B1521" i="80"/>
  <c r="C1521" i="80" s="1"/>
  <c r="B1520" i="80"/>
  <c r="C1520" i="80" s="1"/>
  <c r="B1519" i="80"/>
  <c r="C1519" i="80" s="1"/>
  <c r="B1518" i="80"/>
  <c r="C1518" i="80" s="1"/>
  <c r="B1517" i="80"/>
  <c r="B1516" i="80"/>
  <c r="B1515" i="80"/>
  <c r="B1514" i="80"/>
  <c r="C1514" i="80" s="1"/>
  <c r="B1513" i="80"/>
  <c r="B1512" i="80"/>
  <c r="B1511" i="80"/>
  <c r="C1511" i="80" s="1"/>
  <c r="B1510" i="80"/>
  <c r="C1510" i="80" s="1"/>
  <c r="B1509" i="80"/>
  <c r="B1508" i="80"/>
  <c r="B1507" i="80"/>
  <c r="C1507" i="80" s="1"/>
  <c r="B1506" i="80"/>
  <c r="B1505" i="80"/>
  <c r="C1505" i="80" s="1"/>
  <c r="B1504" i="80"/>
  <c r="C1504" i="80" s="1"/>
  <c r="B1503" i="80"/>
  <c r="C1503" i="80" s="1"/>
  <c r="B1502" i="80"/>
  <c r="C1502" i="80" s="1"/>
  <c r="B1501" i="80"/>
  <c r="B1500" i="80"/>
  <c r="B1499" i="80"/>
  <c r="B1498" i="80"/>
  <c r="B1497" i="80"/>
  <c r="C1497" i="80" s="1"/>
  <c r="B1496" i="80"/>
  <c r="C1496" i="80" s="1"/>
  <c r="B1495" i="80"/>
  <c r="C1495" i="80" s="1"/>
  <c r="B1494" i="80"/>
  <c r="C1494" i="80" s="1"/>
  <c r="B1493" i="80"/>
  <c r="C1493" i="80" s="1"/>
  <c r="B1492" i="80"/>
  <c r="C1492" i="80" s="1"/>
  <c r="B1491" i="80"/>
  <c r="C1491" i="80" s="1"/>
  <c r="B1490" i="80"/>
  <c r="C1490" i="80" s="1"/>
  <c r="B1489" i="80"/>
  <c r="C1489" i="80" s="1"/>
  <c r="B1488" i="80"/>
  <c r="B1487" i="80"/>
  <c r="B1486" i="80"/>
  <c r="B1485" i="80"/>
  <c r="B1484" i="80"/>
  <c r="B1483" i="80"/>
  <c r="B1482" i="80"/>
  <c r="B1481" i="80"/>
  <c r="B1480" i="80"/>
  <c r="B1479" i="80"/>
  <c r="B1478" i="80"/>
  <c r="B1477" i="80"/>
  <c r="B1476" i="80"/>
  <c r="B1475" i="80"/>
  <c r="B1474" i="80"/>
  <c r="B1473" i="80"/>
  <c r="C1473" i="80" s="1"/>
  <c r="B1472" i="80"/>
  <c r="C1472" i="80" s="1"/>
  <c r="B1471" i="80"/>
  <c r="C1471" i="80" s="1"/>
  <c r="B1470" i="80"/>
  <c r="C1470" i="80" s="1"/>
  <c r="B1469" i="80"/>
  <c r="C1469" i="80" s="1"/>
  <c r="B1468" i="80"/>
  <c r="C1468" i="80" s="1"/>
  <c r="B1467" i="80"/>
  <c r="B1466" i="80"/>
  <c r="B1465" i="80"/>
  <c r="C1465" i="80" s="1"/>
  <c r="B1464" i="80"/>
  <c r="C1464" i="80" s="1"/>
  <c r="B1463" i="80"/>
  <c r="C1463" i="80" s="1"/>
  <c r="B1462" i="80"/>
  <c r="C1462" i="80" s="1"/>
  <c r="B1461" i="80"/>
  <c r="C1461" i="80" s="1"/>
  <c r="B1460" i="80"/>
  <c r="B1459" i="80"/>
  <c r="B1458" i="80"/>
  <c r="B1457" i="80"/>
  <c r="B1456" i="80"/>
  <c r="B1455" i="80"/>
  <c r="B1454" i="80"/>
  <c r="B1453" i="80"/>
  <c r="B1452" i="80"/>
  <c r="B1451" i="80"/>
  <c r="B1450" i="80"/>
  <c r="B1449" i="80"/>
  <c r="C1449" i="80" s="1"/>
  <c r="B1448" i="80"/>
  <c r="B1447" i="80"/>
  <c r="B1446" i="80"/>
  <c r="C1446" i="80" s="1"/>
  <c r="B1445" i="80"/>
  <c r="C1445" i="80" s="1"/>
  <c r="B1444" i="80"/>
  <c r="B1443" i="80"/>
  <c r="B1442" i="80"/>
  <c r="B1441" i="80"/>
  <c r="C1441" i="80" s="1"/>
  <c r="B1440" i="80"/>
  <c r="C1440" i="80" s="1"/>
  <c r="B1439" i="80"/>
  <c r="C1439" i="80" s="1"/>
  <c r="B1438" i="80"/>
  <c r="C1438" i="80" s="1"/>
  <c r="B1437" i="80"/>
  <c r="C1437" i="80" s="1"/>
  <c r="B1436" i="80"/>
  <c r="C1436" i="80" s="1"/>
  <c r="B1435" i="80"/>
  <c r="C1435" i="80" s="1"/>
  <c r="B1434" i="80"/>
  <c r="C1434" i="80" s="1"/>
  <c r="B1433" i="80"/>
  <c r="C1433" i="80" s="1"/>
  <c r="B1432" i="80"/>
  <c r="B1431" i="80"/>
  <c r="B1430" i="80"/>
  <c r="B1429" i="80"/>
  <c r="C1429" i="80" s="1"/>
  <c r="B1428" i="80"/>
  <c r="B1427" i="80"/>
  <c r="B1426" i="80"/>
  <c r="B1425" i="80"/>
  <c r="C1425" i="80" s="1"/>
  <c r="B1424" i="80"/>
  <c r="C1424" i="80" s="1"/>
  <c r="B1423" i="80"/>
  <c r="B1422" i="80"/>
  <c r="B1421" i="80"/>
  <c r="C1421" i="80" s="1"/>
  <c r="B1420" i="80"/>
  <c r="B1419" i="80"/>
  <c r="B1418" i="80"/>
  <c r="B1417" i="80"/>
  <c r="B1416" i="80"/>
  <c r="B1415" i="80"/>
  <c r="C1415" i="80" s="1"/>
  <c r="B1414" i="80"/>
  <c r="C1414" i="80" s="1"/>
  <c r="B1413" i="80"/>
  <c r="B1412" i="80"/>
  <c r="B1411" i="80"/>
  <c r="B1410" i="80"/>
  <c r="B1409" i="80"/>
  <c r="C1409" i="80" s="1"/>
  <c r="B1408" i="80"/>
  <c r="C1408" i="80" s="1"/>
  <c r="B1407" i="80"/>
  <c r="C1407" i="80" s="1"/>
  <c r="B1406" i="80"/>
  <c r="C1406" i="80" s="1"/>
  <c r="B1405" i="80"/>
  <c r="C1405" i="80" s="1"/>
  <c r="B1404" i="80"/>
  <c r="B1403" i="80"/>
  <c r="C1403" i="80" s="1"/>
  <c r="B1402" i="80"/>
  <c r="C1402" i="80" s="1"/>
  <c r="B1401" i="80"/>
  <c r="C1401" i="80" s="1"/>
  <c r="B1400" i="80"/>
  <c r="C1400" i="80" s="1"/>
  <c r="B1399" i="80"/>
  <c r="C1399" i="80" s="1"/>
  <c r="B1398" i="80"/>
  <c r="C1398" i="80" s="1"/>
  <c r="B1397" i="80"/>
  <c r="C1397" i="80" s="1"/>
  <c r="B1396" i="80"/>
  <c r="B1395" i="80"/>
  <c r="B1394" i="80"/>
  <c r="C1394" i="80" s="1"/>
  <c r="B1393" i="80"/>
  <c r="C1393" i="80" s="1"/>
  <c r="B1392" i="80"/>
  <c r="C1392" i="80" s="1"/>
  <c r="B1391" i="80"/>
  <c r="C1391" i="80" s="1"/>
  <c r="B1390" i="80"/>
  <c r="C1390" i="80" s="1"/>
  <c r="B1389" i="80"/>
  <c r="B1388" i="80"/>
  <c r="B1387" i="80"/>
  <c r="B1386" i="80"/>
  <c r="B1385" i="80"/>
  <c r="C1385" i="80" s="1"/>
  <c r="B1384" i="80"/>
  <c r="C1384" i="80" s="1"/>
  <c r="B1383" i="80"/>
  <c r="C1383" i="80" s="1"/>
  <c r="B1382" i="80"/>
  <c r="C1382" i="80" s="1"/>
  <c r="B1381" i="80"/>
  <c r="C1381" i="80" s="1"/>
  <c r="B1380" i="80"/>
  <c r="B1379" i="80"/>
  <c r="C1379" i="80" s="1"/>
  <c r="B1378" i="80"/>
  <c r="C1378" i="80" s="1"/>
  <c r="B1377" i="80"/>
  <c r="C1377" i="80" s="1"/>
  <c r="B1376" i="80"/>
  <c r="C1376" i="80" s="1"/>
  <c r="B1375" i="80"/>
  <c r="C1375" i="80" s="1"/>
  <c r="B1374" i="80"/>
  <c r="C1374" i="80" s="1"/>
  <c r="B1373" i="80"/>
  <c r="C1373" i="80" s="1"/>
  <c r="B1372" i="80"/>
  <c r="C1372" i="80" s="1"/>
  <c r="B1371" i="80"/>
  <c r="C1371" i="80" s="1"/>
  <c r="B1370" i="80"/>
  <c r="C1370" i="80" s="1"/>
  <c r="B1369" i="80"/>
  <c r="C1369" i="80" s="1"/>
  <c r="B1368" i="80"/>
  <c r="C1368" i="80" s="1"/>
  <c r="B1367" i="80"/>
  <c r="C1367" i="80" s="1"/>
  <c r="B1366" i="80"/>
  <c r="C1366" i="80" s="1"/>
  <c r="B1365" i="80"/>
  <c r="C1365" i="80" s="1"/>
  <c r="B1364" i="80"/>
  <c r="C1364" i="80" s="1"/>
  <c r="B1363" i="80"/>
  <c r="C1363" i="80" s="1"/>
  <c r="B1362" i="80"/>
  <c r="C1362" i="80" s="1"/>
  <c r="B1361" i="80"/>
  <c r="C1361" i="80" s="1"/>
  <c r="B1360" i="80"/>
  <c r="C1360" i="80" s="1"/>
  <c r="B1359" i="80"/>
  <c r="B1358" i="80"/>
  <c r="B1357" i="80"/>
  <c r="B1356" i="80"/>
  <c r="B1355" i="80"/>
  <c r="C1355" i="80" s="1"/>
  <c r="B1354" i="80"/>
  <c r="C1354" i="80" s="1"/>
  <c r="B1353" i="80"/>
  <c r="C1353" i="80" s="1"/>
  <c r="B1352" i="80"/>
  <c r="C1352" i="80" s="1"/>
  <c r="B1351" i="80"/>
  <c r="C1351" i="80" s="1"/>
  <c r="B1350" i="80"/>
  <c r="C1350" i="80" s="1"/>
  <c r="B1349" i="80"/>
  <c r="C1349" i="80" s="1"/>
  <c r="B1348" i="80"/>
  <c r="C1348" i="80" s="1"/>
  <c r="B1347" i="80"/>
  <c r="B1346" i="80"/>
  <c r="C1346" i="80" s="1"/>
  <c r="B1345" i="80"/>
  <c r="C1345" i="80" s="1"/>
  <c r="B1344" i="80"/>
  <c r="C1344" i="80" s="1"/>
  <c r="B1343" i="80"/>
  <c r="C1343" i="80" s="1"/>
  <c r="B1342" i="80"/>
  <c r="C1342" i="80" s="1"/>
  <c r="B1341" i="80"/>
  <c r="B1340" i="80"/>
  <c r="C1340" i="80" s="1"/>
  <c r="B1339" i="80"/>
  <c r="C1339" i="80" s="1"/>
  <c r="B1338" i="80"/>
  <c r="C1338" i="80" s="1"/>
  <c r="B1337" i="80"/>
  <c r="C1337" i="80" s="1"/>
  <c r="B1336" i="80"/>
  <c r="C1336" i="80" s="1"/>
  <c r="B1335" i="80"/>
  <c r="C1335" i="80" s="1"/>
  <c r="B1334" i="80"/>
  <c r="C1334" i="80" s="1"/>
  <c r="B1333" i="80"/>
  <c r="C1333" i="80" s="1"/>
  <c r="B1332" i="80"/>
  <c r="B1331" i="80"/>
  <c r="C1331" i="80" s="1"/>
  <c r="B1330" i="80"/>
  <c r="B1329" i="80"/>
  <c r="B1328" i="80"/>
  <c r="B1327" i="80"/>
  <c r="C1327" i="80" s="1"/>
  <c r="B1326" i="80"/>
  <c r="C1326" i="80" s="1"/>
  <c r="B1325" i="80"/>
  <c r="C1325" i="80" s="1"/>
  <c r="B1324" i="80"/>
  <c r="C1324" i="80" s="1"/>
  <c r="B1323" i="80"/>
  <c r="B1322" i="80"/>
  <c r="C1322" i="80" s="1"/>
  <c r="B1321" i="80"/>
  <c r="C1321" i="80" s="1"/>
  <c r="B1320" i="80"/>
  <c r="C1320" i="80" s="1"/>
  <c r="B1319" i="80"/>
  <c r="C1319" i="80" s="1"/>
  <c r="B1318" i="80"/>
  <c r="C1318" i="80" s="1"/>
  <c r="B1317" i="80"/>
  <c r="C1317" i="80" s="1"/>
  <c r="B1316" i="80"/>
  <c r="B1315" i="80"/>
  <c r="B1314" i="80"/>
  <c r="B1313" i="80"/>
  <c r="C1313" i="80" s="1"/>
  <c r="B1312" i="80"/>
  <c r="C1312" i="80" s="1"/>
  <c r="B1311" i="80"/>
  <c r="C1311" i="80" s="1"/>
  <c r="B1310" i="80"/>
  <c r="C1310" i="80" s="1"/>
  <c r="B1309" i="80"/>
  <c r="C1309" i="80" s="1"/>
  <c r="B1308" i="80"/>
  <c r="B1307" i="80"/>
  <c r="C1307" i="80" s="1"/>
  <c r="B1306" i="80"/>
  <c r="C1306" i="80" s="1"/>
  <c r="B1305" i="80"/>
  <c r="C1305" i="80" s="1"/>
  <c r="B1304" i="80"/>
  <c r="C1304" i="80" s="1"/>
  <c r="B1303" i="80"/>
  <c r="C1303" i="80" s="1"/>
  <c r="B1302" i="80"/>
  <c r="C1302" i="80" s="1"/>
  <c r="B1301" i="80"/>
  <c r="C1301" i="80" s="1"/>
  <c r="B1300" i="80"/>
  <c r="C1300" i="80" s="1"/>
  <c r="B1299" i="80"/>
  <c r="B1298" i="80"/>
  <c r="B1297" i="80"/>
  <c r="B1296" i="80"/>
  <c r="B1295" i="80"/>
  <c r="C1295" i="80" s="1"/>
  <c r="B1294" i="80"/>
  <c r="B1293" i="80"/>
  <c r="B1292" i="80"/>
  <c r="B1291" i="80"/>
  <c r="C1291" i="80" s="1"/>
  <c r="B1290" i="80"/>
  <c r="C1290" i="80" s="1"/>
  <c r="B1289" i="80"/>
  <c r="C1289" i="80" s="1"/>
  <c r="B1288" i="80"/>
  <c r="C1288" i="80" s="1"/>
  <c r="B1287" i="80"/>
  <c r="C1287" i="80" s="1"/>
  <c r="B1286" i="80"/>
  <c r="C1286" i="80" s="1"/>
  <c r="B1285" i="80"/>
  <c r="C1285" i="80" s="1"/>
  <c r="B1284" i="80"/>
  <c r="B1283" i="80"/>
  <c r="C1283" i="80" s="1"/>
  <c r="B1282" i="80"/>
  <c r="C1282" i="80" s="1"/>
  <c r="B1281" i="80"/>
  <c r="C1281" i="80" s="1"/>
  <c r="B1280" i="80"/>
  <c r="C1280" i="80" s="1"/>
  <c r="B1279" i="80"/>
  <c r="C1279" i="80" s="1"/>
  <c r="B1278" i="80"/>
  <c r="C1278" i="80" s="1"/>
  <c r="B1277" i="80"/>
  <c r="C1277" i="80" s="1"/>
  <c r="B1276" i="80"/>
  <c r="C1276" i="80" s="1"/>
  <c r="B1275" i="80"/>
  <c r="C1275" i="80" s="1"/>
  <c r="B1274" i="80"/>
  <c r="C1274" i="80" s="1"/>
  <c r="B1273" i="80"/>
  <c r="C1273" i="80" s="1"/>
  <c r="B1272" i="80"/>
  <c r="C1272" i="80" s="1"/>
  <c r="B1271" i="80"/>
  <c r="C1271" i="80" s="1"/>
  <c r="B1270" i="80"/>
  <c r="C1270" i="80" s="1"/>
  <c r="B1269" i="80"/>
  <c r="C1269" i="80" s="1"/>
  <c r="B1268" i="80"/>
  <c r="C1268" i="80" s="1"/>
  <c r="B1267" i="80"/>
  <c r="C1267" i="80" s="1"/>
  <c r="B1266" i="80"/>
  <c r="C1266" i="80" s="1"/>
  <c r="B1265" i="80"/>
  <c r="C1265" i="80" s="1"/>
  <c r="B1264" i="80"/>
  <c r="C1264" i="80" s="1"/>
  <c r="B1263" i="80"/>
  <c r="C1263" i="80" s="1"/>
  <c r="B1262" i="80"/>
  <c r="C1262" i="80" s="1"/>
  <c r="B1261" i="80"/>
  <c r="C1261" i="80" s="1"/>
  <c r="B1260" i="80"/>
  <c r="C1260" i="80" s="1"/>
  <c r="B1259" i="80"/>
  <c r="B1258" i="80"/>
  <c r="C1258" i="80" s="1"/>
  <c r="B1257" i="80"/>
  <c r="C1257" i="80" s="1"/>
  <c r="B1256" i="80"/>
  <c r="C1256" i="80" s="1"/>
  <c r="B1255" i="80"/>
  <c r="C1255" i="80" s="1"/>
  <c r="B1254" i="80"/>
  <c r="C1254" i="80" s="1"/>
  <c r="B1253" i="80"/>
  <c r="C1253" i="80" s="1"/>
  <c r="B1252" i="80"/>
  <c r="B1251" i="80"/>
  <c r="C1251" i="80" s="1"/>
  <c r="B1250" i="80"/>
  <c r="C1250" i="80" s="1"/>
  <c r="B1249" i="80"/>
  <c r="C1249" i="80" s="1"/>
  <c r="B1248" i="80"/>
  <c r="C1248" i="80" s="1"/>
  <c r="B1247" i="80"/>
  <c r="C1247" i="80" s="1"/>
  <c r="B1246" i="80"/>
  <c r="C1246" i="80" s="1"/>
  <c r="B1245" i="80"/>
  <c r="C1245" i="80" s="1"/>
  <c r="B1244" i="80"/>
  <c r="C1244" i="80" s="1"/>
  <c r="B1243" i="80"/>
  <c r="B1242" i="80"/>
  <c r="B1241" i="80"/>
  <c r="C1241" i="80" s="1"/>
  <c r="B1240" i="80"/>
  <c r="C1240" i="80" s="1"/>
  <c r="B1239" i="80"/>
  <c r="C1239" i="80" s="1"/>
  <c r="B1238" i="80"/>
  <c r="C1238" i="80" s="1"/>
  <c r="B1237" i="80"/>
  <c r="B1236" i="80"/>
  <c r="B1235" i="80"/>
  <c r="B1234" i="80"/>
  <c r="B1233" i="80"/>
  <c r="B1232" i="80"/>
  <c r="C1232" i="80" s="1"/>
  <c r="B1231" i="80"/>
  <c r="C1231" i="80" s="1"/>
  <c r="B1230" i="80"/>
  <c r="C1230" i="80" s="1"/>
  <c r="B1229" i="80"/>
  <c r="C1229" i="80" s="1"/>
  <c r="B1228" i="80"/>
  <c r="C1228" i="80" s="1"/>
  <c r="B1227" i="80"/>
  <c r="B1226" i="80"/>
  <c r="C1226" i="80" s="1"/>
  <c r="B1225" i="80"/>
  <c r="B1224" i="80"/>
  <c r="C1224" i="80" s="1"/>
  <c r="B1223" i="80"/>
  <c r="B1222" i="80"/>
  <c r="B1221" i="80"/>
  <c r="C1221" i="80" s="1"/>
  <c r="B1220" i="80"/>
  <c r="C1220" i="80" s="1"/>
  <c r="B1219" i="80"/>
  <c r="C1219" i="80" s="1"/>
  <c r="B1218" i="80"/>
  <c r="B1217" i="80"/>
  <c r="B1216" i="80"/>
  <c r="C1216" i="80" s="1"/>
  <c r="B1215" i="80"/>
  <c r="B1214" i="80"/>
  <c r="B1213" i="80"/>
  <c r="B1212" i="80"/>
  <c r="B1211" i="80"/>
  <c r="B1210" i="80"/>
  <c r="B1209" i="80"/>
  <c r="C1209" i="80" s="1"/>
  <c r="B1208" i="80"/>
  <c r="C1208" i="80" s="1"/>
  <c r="B1207" i="80"/>
  <c r="C1207" i="80" s="1"/>
  <c r="B1206" i="80"/>
  <c r="B1205" i="80"/>
  <c r="B1204" i="80"/>
  <c r="B1203" i="80"/>
  <c r="C1203" i="80" s="1"/>
  <c r="B1202" i="80"/>
  <c r="B1201" i="80"/>
  <c r="B1200" i="80"/>
  <c r="B1199" i="80"/>
  <c r="C1199" i="80" s="1"/>
  <c r="B1198" i="80"/>
  <c r="C1198" i="80" s="1"/>
  <c r="B1197" i="80"/>
  <c r="C1197" i="80" s="1"/>
  <c r="B1196" i="80"/>
  <c r="C1196" i="80" s="1"/>
  <c r="B1195" i="80"/>
  <c r="C1195" i="80" s="1"/>
  <c r="B1194" i="80"/>
  <c r="C1194" i="80" s="1"/>
  <c r="B1193" i="80"/>
  <c r="C1193" i="80" s="1"/>
  <c r="B1192" i="80"/>
  <c r="C1192" i="80" s="1"/>
  <c r="B1191" i="80"/>
  <c r="C1191" i="80" s="1"/>
  <c r="B1190" i="80"/>
  <c r="B1189" i="80"/>
  <c r="B1188" i="80"/>
  <c r="B1187" i="80"/>
  <c r="C1187" i="80" s="1"/>
  <c r="B1186" i="80"/>
  <c r="C1186" i="80" s="1"/>
  <c r="B1185" i="80"/>
  <c r="C1185" i="80" s="1"/>
  <c r="B1184" i="80"/>
  <c r="C1184" i="80" s="1"/>
  <c r="B1183" i="80"/>
  <c r="C1183" i="80" s="1"/>
  <c r="B1182" i="80"/>
  <c r="C1182" i="80" s="1"/>
  <c r="B1181" i="80"/>
  <c r="C1181" i="80" s="1"/>
  <c r="B1180" i="80"/>
  <c r="C1180" i="80" s="1"/>
  <c r="B1179" i="80"/>
  <c r="C1179" i="80" s="1"/>
  <c r="B1178" i="80"/>
  <c r="B1177" i="80"/>
  <c r="B1176" i="80"/>
  <c r="B1175" i="80"/>
  <c r="C1175" i="80" s="1"/>
  <c r="B1174" i="80"/>
  <c r="C1174" i="80" s="1"/>
  <c r="B1173" i="80"/>
  <c r="C1173" i="80" s="1"/>
  <c r="B1172" i="80"/>
  <c r="C1172" i="80" s="1"/>
  <c r="B1171" i="80"/>
  <c r="C1171" i="80" s="1"/>
  <c r="B1170" i="80"/>
  <c r="C1170" i="80" s="1"/>
  <c r="B1169" i="80"/>
  <c r="C1169" i="80" s="1"/>
  <c r="B1168" i="80"/>
  <c r="C1168" i="80" s="1"/>
  <c r="B1167" i="80"/>
  <c r="C1167" i="80" s="1"/>
  <c r="B1166" i="80"/>
  <c r="C1166" i="80" s="1"/>
  <c r="B1165" i="80"/>
  <c r="C1165" i="80" s="1"/>
  <c r="B1164" i="80"/>
  <c r="C1164" i="80" s="1"/>
  <c r="B1163" i="80"/>
  <c r="C1163" i="80" s="1"/>
  <c r="B1162" i="80"/>
  <c r="C1162" i="80" s="1"/>
  <c r="B1161" i="80"/>
  <c r="C1161" i="80" s="1"/>
  <c r="B1160" i="80"/>
  <c r="C1160" i="80" s="1"/>
  <c r="B1159" i="80"/>
  <c r="C1159" i="80" s="1"/>
  <c r="B1158" i="80"/>
  <c r="B1157" i="80"/>
  <c r="B1156" i="80"/>
  <c r="B1155" i="80"/>
  <c r="B1154" i="80"/>
  <c r="B1153" i="80"/>
  <c r="B1152" i="80"/>
  <c r="C1152" i="80" s="1"/>
  <c r="B1151" i="80"/>
  <c r="C1151" i="80" s="1"/>
  <c r="B1150" i="80"/>
  <c r="C1150" i="80" s="1"/>
  <c r="B1149" i="80"/>
  <c r="C1149" i="80" s="1"/>
  <c r="B1148" i="80"/>
  <c r="B1147" i="80"/>
  <c r="C1147" i="80" s="1"/>
  <c r="B1146" i="80"/>
  <c r="C1146" i="80" s="1"/>
  <c r="B1145" i="80"/>
  <c r="C1145" i="80" s="1"/>
  <c r="B1144" i="80"/>
  <c r="C1144" i="80" s="1"/>
  <c r="B1143" i="80"/>
  <c r="C1143" i="80" s="1"/>
  <c r="B1142" i="80"/>
  <c r="C1142" i="80" s="1"/>
  <c r="B1141" i="80"/>
  <c r="C1141" i="80" s="1"/>
  <c r="B1140" i="80"/>
  <c r="C1140" i="80" s="1"/>
  <c r="B1139" i="80"/>
  <c r="C1139" i="80" s="1"/>
  <c r="B1138" i="80"/>
  <c r="B1137" i="80"/>
  <c r="B1136" i="80"/>
  <c r="B1135" i="80"/>
  <c r="B1134" i="80"/>
  <c r="B1133" i="80"/>
  <c r="B1132" i="80"/>
  <c r="B1131" i="80"/>
  <c r="B1130" i="80"/>
  <c r="B1129" i="80"/>
  <c r="B1128" i="80"/>
  <c r="C1128" i="80" s="1"/>
  <c r="B1127" i="80"/>
  <c r="C1127" i="80" s="1"/>
  <c r="B1126" i="80"/>
  <c r="C1126" i="80" s="1"/>
  <c r="B1125" i="80"/>
  <c r="B1124" i="80"/>
  <c r="B1123" i="80"/>
  <c r="B1122" i="80"/>
  <c r="B1121" i="80"/>
  <c r="B1120" i="80"/>
  <c r="B1119" i="80"/>
  <c r="B1118" i="80"/>
  <c r="B1117" i="80"/>
  <c r="B1116" i="80"/>
  <c r="B1115" i="80"/>
  <c r="B1114" i="80"/>
  <c r="B1113" i="80"/>
  <c r="B1112" i="80"/>
  <c r="C1112" i="80" s="1"/>
  <c r="B1111" i="80"/>
  <c r="B1110" i="80"/>
  <c r="B1109" i="80"/>
  <c r="B1108" i="80"/>
  <c r="B1107" i="80"/>
  <c r="B1106" i="80"/>
  <c r="B1105" i="80"/>
  <c r="B1104" i="80"/>
  <c r="B1103" i="80"/>
  <c r="B1102" i="80"/>
  <c r="B1101" i="80"/>
  <c r="B1100" i="80"/>
  <c r="B1099" i="80"/>
  <c r="B1098" i="80"/>
  <c r="B1097" i="80"/>
  <c r="B1096" i="80"/>
  <c r="B1095" i="80"/>
  <c r="C1095" i="80" s="1"/>
  <c r="B1094" i="80"/>
  <c r="B1093" i="80"/>
  <c r="B1092" i="80"/>
  <c r="B1091" i="80"/>
  <c r="B1090" i="80"/>
  <c r="B1089" i="80"/>
  <c r="B1088" i="80"/>
  <c r="B1083" i="80"/>
  <c r="B1082" i="80"/>
  <c r="C1082" i="80" s="1"/>
  <c r="B1081" i="80"/>
  <c r="B1080" i="80"/>
  <c r="B1079" i="80"/>
  <c r="B1078" i="80"/>
  <c r="B1077" i="80"/>
  <c r="B1076" i="80"/>
  <c r="B1075" i="80"/>
  <c r="B1074" i="80"/>
  <c r="B1073" i="80"/>
  <c r="B1072" i="80"/>
  <c r="B1071" i="80"/>
  <c r="B1070" i="80"/>
  <c r="B1069" i="80"/>
  <c r="B1068" i="80"/>
  <c r="B1067" i="80"/>
  <c r="B1066" i="80"/>
  <c r="B1065" i="80"/>
  <c r="B1064" i="80"/>
  <c r="B1063" i="80"/>
  <c r="C1063" i="80" s="1"/>
  <c r="B1062" i="80"/>
  <c r="B1061" i="80"/>
  <c r="B1060" i="80"/>
  <c r="B1059" i="80"/>
  <c r="B1058" i="80"/>
  <c r="B1057" i="80"/>
  <c r="B1056" i="80"/>
  <c r="B1055" i="80"/>
  <c r="B1054" i="80"/>
  <c r="B1053" i="80"/>
  <c r="B1052" i="80"/>
  <c r="B1051" i="80"/>
  <c r="B1050" i="80"/>
  <c r="B1049" i="80"/>
  <c r="B1048" i="80"/>
  <c r="B1047" i="80"/>
  <c r="B1046" i="80"/>
  <c r="C1046" i="80" s="1"/>
  <c r="B1045" i="80"/>
  <c r="C1045" i="80" s="1"/>
  <c r="B1044" i="80"/>
  <c r="C1044" i="80" s="1"/>
  <c r="B1043" i="80"/>
  <c r="B1042" i="80"/>
  <c r="B1041" i="80"/>
  <c r="C1041" i="80" s="1"/>
  <c r="B1040" i="80"/>
  <c r="C1040" i="80" s="1"/>
  <c r="B1039" i="80"/>
  <c r="C1039" i="80" s="1"/>
  <c r="B1038" i="80"/>
  <c r="B1037" i="80"/>
  <c r="B1036" i="80"/>
  <c r="B1035" i="80"/>
  <c r="B1034" i="80"/>
  <c r="B1033" i="80"/>
  <c r="B1032" i="80"/>
  <c r="B1031" i="80"/>
  <c r="B1030" i="80"/>
  <c r="B1029" i="80"/>
  <c r="B1028" i="80"/>
  <c r="C1028" i="80" s="1"/>
  <c r="B1027" i="80"/>
  <c r="C1027" i="80" s="1"/>
  <c r="B1026" i="80"/>
  <c r="C1026" i="80" s="1"/>
  <c r="B1025" i="80"/>
  <c r="B1024" i="80"/>
  <c r="B1023" i="80"/>
  <c r="B1022" i="80"/>
  <c r="B1021" i="80"/>
  <c r="B1020" i="80"/>
  <c r="B1019" i="80"/>
  <c r="B1018" i="80"/>
  <c r="B1017" i="80"/>
  <c r="C1017" i="80" s="1"/>
  <c r="B1016" i="80"/>
  <c r="C1016" i="80" s="1"/>
  <c r="B1015" i="80"/>
  <c r="C1015" i="80" s="1"/>
  <c r="B1014" i="80"/>
  <c r="C1014" i="80" s="1"/>
  <c r="B1013" i="80"/>
  <c r="C1013" i="80" s="1"/>
  <c r="B1012" i="80"/>
  <c r="C1012" i="80" s="1"/>
  <c r="B1011" i="80"/>
  <c r="C1011" i="80" s="1"/>
  <c r="B1010" i="80"/>
  <c r="C1010" i="80" s="1"/>
  <c r="B1009" i="80"/>
  <c r="C1009" i="80" s="1"/>
  <c r="B1008" i="80"/>
  <c r="C1008" i="80" s="1"/>
  <c r="B1007" i="80"/>
  <c r="C1007" i="80" s="1"/>
  <c r="B1006" i="80"/>
  <c r="C1006" i="80" s="1"/>
  <c r="B1005" i="80"/>
  <c r="C1005" i="80" s="1"/>
  <c r="B1004" i="80"/>
  <c r="C1004" i="80" s="1"/>
  <c r="B1003" i="80"/>
  <c r="C1003" i="80" s="1"/>
  <c r="B1002" i="80"/>
  <c r="C1002" i="80" s="1"/>
  <c r="B1001" i="80"/>
  <c r="B1000" i="80"/>
  <c r="C1000" i="80" s="1"/>
  <c r="B999" i="80"/>
  <c r="C999" i="80" s="1"/>
  <c r="B998" i="80"/>
  <c r="C998" i="80" s="1"/>
  <c r="B997" i="80"/>
  <c r="C997" i="80" s="1"/>
  <c r="B996" i="80"/>
  <c r="B995" i="80"/>
  <c r="B994" i="80"/>
  <c r="B993" i="80"/>
  <c r="B992" i="80"/>
  <c r="C992" i="80" s="1"/>
  <c r="B991" i="80"/>
  <c r="B990" i="80"/>
  <c r="B989" i="80"/>
  <c r="C989" i="80" s="1"/>
  <c r="B988" i="80"/>
  <c r="C988" i="80" s="1"/>
  <c r="B987" i="80"/>
  <c r="C987" i="80" s="1"/>
  <c r="B986" i="80"/>
  <c r="C986" i="80" s="1"/>
  <c r="B985" i="80"/>
  <c r="C985" i="80" s="1"/>
  <c r="B984" i="80"/>
  <c r="C984" i="80" s="1"/>
  <c r="B983" i="80"/>
  <c r="C983" i="80" s="1"/>
  <c r="B982" i="80"/>
  <c r="C982" i="80" s="1"/>
  <c r="B981" i="80"/>
  <c r="C981" i="80" s="1"/>
  <c r="B980" i="80"/>
  <c r="C980" i="80" s="1"/>
  <c r="B979" i="80"/>
  <c r="C979" i="80" s="1"/>
  <c r="B978" i="80"/>
  <c r="B977" i="80"/>
  <c r="B976" i="80"/>
  <c r="B975" i="80"/>
  <c r="B974" i="80"/>
  <c r="B973" i="80"/>
  <c r="B972" i="80"/>
  <c r="B971" i="80"/>
  <c r="B970" i="80"/>
  <c r="B969" i="80"/>
  <c r="B968" i="80"/>
  <c r="C968" i="80" s="1"/>
  <c r="B967" i="80"/>
  <c r="C967" i="80" s="1"/>
  <c r="B966" i="80"/>
  <c r="C966" i="80" s="1"/>
  <c r="B965" i="80"/>
  <c r="C965" i="80" s="1"/>
  <c r="B964" i="80"/>
  <c r="C964" i="80" s="1"/>
  <c r="B963" i="80"/>
  <c r="C963" i="80" s="1"/>
  <c r="B962" i="80"/>
  <c r="C962" i="80" s="1"/>
  <c r="B961" i="80"/>
  <c r="C961" i="80" s="1"/>
  <c r="B960" i="80"/>
  <c r="C960" i="80" s="1"/>
  <c r="B959" i="80"/>
  <c r="C959" i="80" s="1"/>
  <c r="B958" i="80"/>
  <c r="C958" i="80" s="1"/>
  <c r="B957" i="80"/>
  <c r="C957" i="80" s="1"/>
  <c r="B956" i="80"/>
  <c r="B955" i="80"/>
  <c r="B954" i="80"/>
  <c r="B953" i="80"/>
  <c r="B952" i="80"/>
  <c r="C952" i="80" s="1"/>
  <c r="B951" i="80"/>
  <c r="B950" i="80"/>
  <c r="B949" i="80"/>
  <c r="B948" i="80"/>
  <c r="B947" i="80"/>
  <c r="B946" i="80"/>
  <c r="B945" i="80"/>
  <c r="B944" i="80"/>
  <c r="B943" i="80"/>
  <c r="B942" i="80"/>
  <c r="B941" i="80"/>
  <c r="B940" i="80"/>
  <c r="B939" i="80"/>
  <c r="B938" i="80"/>
  <c r="B937" i="80"/>
  <c r="B936" i="80"/>
  <c r="B935" i="80"/>
  <c r="B934" i="80"/>
  <c r="C934" i="80" s="1"/>
  <c r="B933" i="80"/>
  <c r="C933" i="80" s="1"/>
  <c r="B932" i="80"/>
  <c r="C932" i="80" s="1"/>
  <c r="B931" i="80"/>
  <c r="C931" i="80" s="1"/>
  <c r="B930" i="80"/>
  <c r="C930" i="80" s="1"/>
  <c r="B929" i="80"/>
  <c r="C929" i="80" s="1"/>
  <c r="B928" i="80"/>
  <c r="C928" i="80" s="1"/>
  <c r="B927" i="80"/>
  <c r="C927" i="80" s="1"/>
  <c r="B926" i="80"/>
  <c r="C926" i="80" s="1"/>
  <c r="B925" i="80"/>
  <c r="C925" i="80" s="1"/>
  <c r="B924" i="80"/>
  <c r="C924" i="80" s="1"/>
  <c r="B923" i="80"/>
  <c r="C923" i="80" s="1"/>
  <c r="B922" i="80"/>
  <c r="C922" i="80" s="1"/>
  <c r="B921" i="80"/>
  <c r="C921" i="80" s="1"/>
  <c r="B920" i="80"/>
  <c r="C920" i="80" s="1"/>
  <c r="B919" i="80"/>
  <c r="C919" i="80" s="1"/>
  <c r="B918" i="80"/>
  <c r="C918" i="80" s="1"/>
  <c r="B917" i="80"/>
  <c r="C917" i="80" s="1"/>
  <c r="B916" i="80"/>
  <c r="C916" i="80" s="1"/>
  <c r="B915" i="80"/>
  <c r="C915" i="80" s="1"/>
  <c r="B914" i="80"/>
  <c r="C914" i="80" s="1"/>
  <c r="B913" i="80"/>
  <c r="C913" i="80" s="1"/>
  <c r="B912" i="80"/>
  <c r="C912" i="80" s="1"/>
  <c r="B911" i="80"/>
  <c r="C911" i="80" s="1"/>
  <c r="B910" i="80"/>
  <c r="C910" i="80" s="1"/>
  <c r="B908" i="80"/>
  <c r="C908" i="80" s="1"/>
  <c r="B907" i="80"/>
  <c r="C907" i="80" s="1"/>
  <c r="B906" i="80"/>
  <c r="C906" i="80" s="1"/>
  <c r="B904" i="80"/>
  <c r="B903" i="80"/>
  <c r="B902" i="80"/>
  <c r="B901" i="80"/>
  <c r="B900" i="80"/>
  <c r="B899" i="80"/>
  <c r="B898" i="80"/>
  <c r="B897" i="80"/>
  <c r="B896" i="80"/>
  <c r="B895" i="80"/>
  <c r="B894" i="80"/>
  <c r="B893" i="80"/>
  <c r="B892" i="80"/>
  <c r="B890" i="80"/>
  <c r="B889" i="80"/>
  <c r="B888" i="80"/>
  <c r="B886" i="80"/>
  <c r="B882" i="80"/>
  <c r="B881" i="80"/>
  <c r="B880" i="80"/>
  <c r="C880" i="80" s="1"/>
  <c r="B879" i="80"/>
  <c r="C879" i="80" s="1"/>
  <c r="B878" i="80"/>
  <c r="C878" i="80" s="1"/>
  <c r="C877" i="80"/>
  <c r="C871" i="80"/>
  <c r="C870" i="80"/>
  <c r="C869" i="80"/>
  <c r="C862" i="80"/>
  <c r="C861" i="80"/>
  <c r="C856" i="80"/>
  <c r="C854" i="80"/>
  <c r="C853" i="80"/>
  <c r="C847" i="80"/>
  <c r="C844" i="80"/>
  <c r="C838" i="80"/>
  <c r="C831" i="80"/>
  <c r="C829" i="80"/>
  <c r="C823" i="80"/>
  <c r="C783" i="80"/>
  <c r="C782" i="80"/>
  <c r="C781" i="80"/>
  <c r="C775" i="80"/>
  <c r="C774" i="80"/>
  <c r="C773" i="80"/>
  <c r="C759" i="80"/>
  <c r="C758" i="80"/>
  <c r="C757" i="80"/>
  <c r="C756" i="80"/>
  <c r="C743" i="80"/>
  <c r="C735" i="80"/>
  <c r="C734" i="80"/>
  <c r="C733" i="80"/>
  <c r="C732" i="80"/>
  <c r="C727" i="80"/>
  <c r="C726" i="80"/>
  <c r="C716" i="80"/>
  <c r="C711" i="80"/>
  <c r="C709" i="80"/>
  <c r="C703" i="80"/>
  <c r="C702" i="80"/>
  <c r="C701" i="80"/>
  <c r="C700" i="80"/>
  <c r="C695" i="80"/>
  <c r="C688" i="80"/>
  <c r="C687" i="80"/>
  <c r="C679" i="80"/>
  <c r="C677" i="80"/>
  <c r="C671" i="80"/>
  <c r="C670" i="80"/>
  <c r="C669" i="80"/>
  <c r="C663" i="80"/>
  <c r="C662" i="80"/>
  <c r="C661" i="80"/>
  <c r="C655" i="80"/>
  <c r="C647" i="80"/>
  <c r="C646" i="80"/>
  <c r="C645" i="80"/>
  <c r="C644" i="80"/>
  <c r="C637" i="80"/>
  <c r="C631" i="80"/>
  <c r="C630" i="80"/>
  <c r="C629" i="80"/>
  <c r="C628" i="80"/>
  <c r="C627" i="80"/>
  <c r="C626" i="80"/>
  <c r="C625" i="80"/>
  <c r="C624" i="80"/>
  <c r="C623" i="80"/>
  <c r="C622" i="80"/>
  <c r="C621" i="80"/>
  <c r="C615" i="80"/>
  <c r="C614" i="80"/>
  <c r="C613" i="80"/>
  <c r="C607" i="80"/>
  <c r="C606" i="80"/>
  <c r="C605" i="80"/>
  <c r="C591" i="80"/>
  <c r="C590" i="80"/>
  <c r="C589" i="80"/>
  <c r="C588" i="80"/>
  <c r="C581" i="80"/>
  <c r="C575" i="80"/>
  <c r="C574" i="80"/>
  <c r="C564" i="80"/>
  <c r="C535" i="80"/>
  <c r="C534" i="80"/>
  <c r="C533" i="80"/>
  <c r="C526" i="80"/>
  <c r="C519" i="80"/>
  <c r="C518" i="80"/>
  <c r="C517" i="80"/>
  <c r="C503" i="80"/>
  <c r="C502" i="80"/>
  <c r="C501" i="80"/>
  <c r="C495" i="80"/>
  <c r="C493" i="80"/>
  <c r="C455" i="80"/>
  <c r="C453" i="80"/>
  <c r="C447" i="80"/>
  <c r="C444" i="80"/>
  <c r="C439" i="80"/>
  <c r="C430" i="80"/>
  <c r="C429" i="80"/>
  <c r="C407" i="80"/>
  <c r="C406" i="80"/>
  <c r="C405" i="80"/>
  <c r="C396" i="80"/>
  <c r="C391" i="80"/>
  <c r="C390" i="80"/>
  <c r="C389" i="80"/>
  <c r="C383" i="80"/>
  <c r="C382" i="80"/>
  <c r="C381" i="80"/>
  <c r="C359" i="80"/>
  <c r="C358" i="80"/>
  <c r="C343" i="80"/>
  <c r="C342" i="80"/>
  <c r="C341" i="80"/>
  <c r="C327" i="80"/>
  <c r="B326" i="80"/>
  <c r="C326" i="80" s="1"/>
  <c r="B325" i="80"/>
  <c r="C325" i="80" s="1"/>
  <c r="B324" i="80"/>
  <c r="C324" i="80" s="1"/>
  <c r="B323" i="80"/>
  <c r="C323" i="80" s="1"/>
  <c r="B322" i="80"/>
  <c r="C322" i="80" s="1"/>
  <c r="B321" i="80"/>
  <c r="B320" i="80"/>
  <c r="C320" i="80" s="1"/>
  <c r="B319" i="80"/>
  <c r="B318" i="80"/>
  <c r="B317" i="80"/>
  <c r="B316" i="80"/>
  <c r="C316" i="80" s="1"/>
  <c r="B315" i="80"/>
  <c r="C315" i="80" s="1"/>
  <c r="B314" i="80"/>
  <c r="C314" i="80" s="1"/>
  <c r="B313" i="80"/>
  <c r="C313" i="80" s="1"/>
  <c r="B312" i="80"/>
  <c r="C312" i="80" s="1"/>
  <c r="B311" i="80"/>
  <c r="B310" i="80"/>
  <c r="B309" i="80"/>
  <c r="B308" i="80"/>
  <c r="B307" i="80"/>
  <c r="B306" i="80"/>
  <c r="B305" i="80"/>
  <c r="B304" i="80"/>
  <c r="B303" i="80"/>
  <c r="B302" i="80"/>
  <c r="C302" i="80" s="1"/>
  <c r="B301" i="80"/>
  <c r="C301" i="80" s="1"/>
  <c r="B300" i="80"/>
  <c r="C300" i="80" s="1"/>
  <c r="B299" i="80"/>
  <c r="C299" i="80" s="1"/>
  <c r="B298" i="80"/>
  <c r="C298" i="80" s="1"/>
  <c r="B297" i="80"/>
  <c r="B296" i="80"/>
  <c r="C296" i="80" s="1"/>
  <c r="B295" i="80"/>
  <c r="B294" i="80"/>
  <c r="B293" i="80"/>
  <c r="B292" i="80"/>
  <c r="B291" i="80"/>
  <c r="B290" i="80"/>
  <c r="B289" i="80"/>
  <c r="B288" i="80"/>
  <c r="B287" i="80"/>
  <c r="B286" i="80"/>
  <c r="B285" i="80"/>
  <c r="B284" i="80"/>
  <c r="B283" i="80"/>
  <c r="B282" i="80"/>
  <c r="B281" i="80"/>
  <c r="B280" i="80"/>
  <c r="B279" i="80"/>
  <c r="B278" i="80"/>
  <c r="B277" i="80"/>
  <c r="B276" i="80"/>
  <c r="C276" i="80" s="1"/>
  <c r="B275" i="80"/>
  <c r="C275" i="80" s="1"/>
  <c r="B274" i="80"/>
  <c r="B273" i="80"/>
  <c r="B272" i="80"/>
  <c r="B271" i="80"/>
  <c r="B270" i="80"/>
  <c r="C270" i="80" s="1"/>
  <c r="B269" i="80"/>
  <c r="B268" i="80"/>
  <c r="B267" i="80"/>
  <c r="C267" i="80" s="1"/>
  <c r="B266" i="80"/>
  <c r="C266" i="80" s="1"/>
  <c r="B265" i="80"/>
  <c r="C265" i="80" s="1"/>
  <c r="B264" i="80"/>
  <c r="C264" i="80" s="1"/>
  <c r="B263" i="80"/>
  <c r="B262" i="80"/>
  <c r="B261" i="80"/>
  <c r="B260" i="80"/>
  <c r="B259" i="80"/>
  <c r="C259" i="80" s="1"/>
  <c r="B258" i="80"/>
  <c r="C258" i="80" s="1"/>
  <c r="B257" i="80"/>
  <c r="B256" i="80"/>
  <c r="B255" i="80"/>
  <c r="B254" i="80"/>
  <c r="B253" i="80"/>
  <c r="B252" i="80"/>
  <c r="B251" i="80"/>
  <c r="B250" i="80"/>
  <c r="B249" i="80"/>
  <c r="B248" i="80"/>
  <c r="C248" i="80" s="1"/>
  <c r="B247" i="80"/>
  <c r="B246" i="80"/>
  <c r="C246" i="80" s="1"/>
  <c r="B245" i="80"/>
  <c r="B244" i="80"/>
  <c r="C244" i="80" s="1"/>
  <c r="B243" i="80"/>
  <c r="C243" i="80" s="1"/>
  <c r="B242" i="80"/>
  <c r="C242" i="80" s="1"/>
  <c r="B241" i="80"/>
  <c r="C241" i="80" s="1"/>
  <c r="B240" i="80"/>
  <c r="C240" i="80" s="1"/>
  <c r="B239" i="80"/>
  <c r="B238" i="80"/>
  <c r="C238" i="80" s="1"/>
  <c r="B237" i="80"/>
  <c r="B236" i="80"/>
  <c r="B235" i="80"/>
  <c r="B234" i="80"/>
  <c r="B233" i="80"/>
  <c r="B232" i="80"/>
  <c r="B231" i="80"/>
  <c r="B230" i="80"/>
  <c r="B229" i="80"/>
  <c r="B228" i="80"/>
  <c r="B227" i="80"/>
  <c r="B226" i="80"/>
  <c r="B225" i="80"/>
  <c r="B224" i="80"/>
  <c r="B223" i="80"/>
  <c r="B222" i="80"/>
  <c r="B221" i="80"/>
  <c r="B220" i="80"/>
  <c r="B219" i="80"/>
  <c r="B218" i="80"/>
  <c r="B217" i="80"/>
  <c r="B216" i="80"/>
  <c r="B215" i="80"/>
  <c r="B214" i="80"/>
  <c r="B213" i="80"/>
  <c r="B212" i="80"/>
  <c r="B211" i="80"/>
  <c r="C211" i="80" s="1"/>
  <c r="B210" i="80"/>
  <c r="B209" i="80"/>
  <c r="B208" i="80"/>
  <c r="B207" i="80"/>
  <c r="B206" i="80"/>
  <c r="C206" i="80" s="1"/>
  <c r="B205" i="80"/>
  <c r="C205" i="80" s="1"/>
  <c r="B204" i="80"/>
  <c r="C204" i="80" s="1"/>
  <c r="B203" i="80"/>
  <c r="C203" i="80" s="1"/>
  <c r="B202" i="80"/>
  <c r="C202" i="80" s="1"/>
  <c r="B201" i="80"/>
  <c r="B200" i="80"/>
  <c r="B199" i="80"/>
  <c r="B198" i="80"/>
  <c r="B197" i="80"/>
  <c r="B196" i="80"/>
  <c r="B195" i="80"/>
  <c r="B194" i="80"/>
  <c r="B193" i="80"/>
  <c r="B192" i="80"/>
  <c r="B191" i="80"/>
  <c r="B190" i="80"/>
  <c r="B189" i="80"/>
  <c r="B188" i="80"/>
  <c r="C188" i="80" s="1"/>
  <c r="B187" i="80"/>
  <c r="B186" i="80"/>
  <c r="B185" i="80"/>
  <c r="B184" i="80"/>
  <c r="B183" i="80"/>
  <c r="B182" i="80"/>
  <c r="B181" i="80"/>
  <c r="B180" i="80"/>
  <c r="B179" i="80"/>
  <c r="B178" i="80"/>
  <c r="B177" i="80"/>
  <c r="B176" i="80"/>
  <c r="B175" i="80"/>
  <c r="B174" i="80"/>
  <c r="B173" i="80"/>
  <c r="B172" i="80"/>
  <c r="B171" i="80"/>
  <c r="B170" i="80"/>
  <c r="B169" i="80"/>
  <c r="B168" i="80"/>
  <c r="C168" i="80" s="1"/>
  <c r="B167" i="80"/>
  <c r="B166" i="80"/>
  <c r="C166" i="80" s="1"/>
  <c r="B165" i="80"/>
  <c r="C165" i="80" s="1"/>
  <c r="B164" i="80"/>
  <c r="B163" i="80"/>
  <c r="B162" i="80"/>
  <c r="B161" i="80"/>
  <c r="B160" i="80"/>
  <c r="B159" i="80"/>
  <c r="B158" i="80"/>
  <c r="B157" i="80"/>
  <c r="B156" i="80"/>
  <c r="B155" i="80"/>
  <c r="B154" i="80"/>
  <c r="B153" i="80"/>
  <c r="C153" i="80" s="1"/>
  <c r="B152" i="80"/>
  <c r="C152" i="80" s="1"/>
  <c r="B151" i="80"/>
  <c r="B150" i="80"/>
  <c r="C150" i="80" s="1"/>
  <c r="B149" i="80"/>
  <c r="B148" i="80"/>
  <c r="B147" i="80"/>
  <c r="C147" i="80" s="1"/>
  <c r="B146" i="80"/>
  <c r="C146" i="80" s="1"/>
  <c r="B145" i="80"/>
  <c r="B144" i="80"/>
  <c r="B143" i="80"/>
  <c r="B142" i="80"/>
  <c r="B141" i="80"/>
  <c r="B140" i="80"/>
  <c r="C140" i="80" s="1"/>
  <c r="B139" i="80"/>
  <c r="C139" i="80" s="1"/>
  <c r="B138" i="80"/>
  <c r="C138" i="80" s="1"/>
  <c r="B137" i="80"/>
  <c r="B136" i="80"/>
  <c r="C136" i="80" s="1"/>
  <c r="B135" i="80"/>
  <c r="B134" i="80"/>
  <c r="B133" i="80"/>
  <c r="C133" i="80" s="1"/>
  <c r="B132" i="80"/>
  <c r="C132" i="80" s="1"/>
  <c r="B131" i="80"/>
  <c r="C131" i="80" s="1"/>
  <c r="B130" i="80"/>
  <c r="B129" i="80"/>
  <c r="B128" i="80"/>
  <c r="B127" i="80"/>
  <c r="B126" i="80"/>
  <c r="B125" i="80"/>
  <c r="B124" i="80"/>
  <c r="B123" i="80"/>
  <c r="B122" i="80"/>
  <c r="B121" i="80"/>
  <c r="B120" i="80"/>
  <c r="B119" i="80"/>
  <c r="B118" i="80"/>
  <c r="C118" i="80" s="1"/>
  <c r="B117" i="80"/>
  <c r="C117" i="80" s="1"/>
  <c r="B116" i="80"/>
  <c r="B115" i="80"/>
  <c r="B114" i="80"/>
  <c r="B113" i="80"/>
  <c r="B112" i="80"/>
  <c r="B111" i="80"/>
  <c r="B110" i="80"/>
  <c r="C110" i="80" s="1"/>
  <c r="B109" i="80"/>
  <c r="C109" i="80" s="1"/>
  <c r="B108" i="80"/>
  <c r="C108" i="80" s="1"/>
  <c r="B107" i="80"/>
  <c r="C107" i="80" s="1"/>
  <c r="B106" i="80"/>
  <c r="B105" i="80"/>
  <c r="B104" i="80"/>
  <c r="B103" i="80"/>
  <c r="B102" i="80"/>
  <c r="C102" i="80" s="1"/>
  <c r="B101" i="80"/>
  <c r="B100" i="80"/>
  <c r="B99" i="80"/>
  <c r="B98" i="80"/>
  <c r="B97" i="80"/>
  <c r="B96" i="80"/>
  <c r="C96" i="80" s="1"/>
  <c r="B95" i="80"/>
  <c r="B94" i="80"/>
  <c r="C94" i="80" s="1"/>
  <c r="B93" i="80"/>
  <c r="B92" i="80"/>
  <c r="B91" i="80"/>
  <c r="B90" i="80"/>
  <c r="B89" i="80"/>
  <c r="B88" i="80"/>
  <c r="B87" i="80"/>
  <c r="B86" i="80"/>
  <c r="B85" i="80"/>
  <c r="B84" i="80"/>
  <c r="B83" i="80"/>
  <c r="B82" i="80"/>
  <c r="B81" i="80"/>
  <c r="B80" i="80"/>
  <c r="B79" i="80"/>
  <c r="B78" i="80"/>
  <c r="B77" i="80"/>
  <c r="B76" i="80"/>
  <c r="B75" i="80"/>
  <c r="B74" i="80"/>
  <c r="B73" i="80"/>
  <c r="B72" i="80"/>
  <c r="B71" i="80"/>
  <c r="B70" i="80"/>
  <c r="B69" i="80"/>
  <c r="B68" i="80"/>
  <c r="B67" i="80"/>
  <c r="B66" i="80"/>
  <c r="C66" i="80" s="1"/>
  <c r="B65" i="80"/>
  <c r="C65" i="80" s="1"/>
  <c r="B64" i="80"/>
  <c r="C64" i="80" s="1"/>
  <c r="B63" i="80"/>
  <c r="B62" i="80"/>
  <c r="C62" i="80" s="1"/>
  <c r="B61" i="80"/>
  <c r="C61" i="80" s="1"/>
  <c r="B60" i="80"/>
  <c r="B59" i="80"/>
  <c r="B58" i="80"/>
  <c r="B57" i="80"/>
  <c r="B56" i="80"/>
  <c r="C56" i="80" s="1"/>
  <c r="B55" i="80"/>
  <c r="B54" i="80"/>
  <c r="B53" i="80"/>
  <c r="C53" i="80" s="1"/>
  <c r="B52" i="80"/>
  <c r="B51" i="80"/>
  <c r="B50" i="80"/>
  <c r="C50" i="80" s="1"/>
  <c r="B49" i="80"/>
  <c r="C49" i="80" s="1"/>
  <c r="B48" i="80"/>
  <c r="C48" i="80" s="1"/>
  <c r="B47" i="80"/>
  <c r="C47" i="80" s="1"/>
  <c r="B46" i="80"/>
  <c r="C46" i="80" s="1"/>
  <c r="B45" i="80"/>
  <c r="B44" i="80"/>
  <c r="B43" i="80"/>
  <c r="B42" i="80"/>
  <c r="B41" i="80"/>
  <c r="B40" i="80"/>
  <c r="B39" i="80"/>
  <c r="B38" i="80"/>
  <c r="B37" i="80"/>
  <c r="B36" i="80"/>
  <c r="B35" i="80"/>
  <c r="B34" i="80"/>
  <c r="C34" i="80" s="1"/>
  <c r="B33" i="80"/>
  <c r="C33" i="80" s="1"/>
  <c r="B32" i="80"/>
  <c r="C32" i="80" s="1"/>
  <c r="B31" i="80"/>
  <c r="C31" i="80" s="1"/>
  <c r="B30" i="80"/>
  <c r="C30" i="80" s="1"/>
  <c r="B29" i="80"/>
  <c r="B28" i="80"/>
  <c r="B27" i="80"/>
  <c r="B26" i="80"/>
  <c r="B25" i="80"/>
  <c r="B24" i="80"/>
  <c r="B23" i="80"/>
  <c r="B22" i="80"/>
  <c r="B21" i="80"/>
  <c r="B20" i="80"/>
  <c r="B19" i="80"/>
  <c r="B18" i="80"/>
  <c r="B17" i="80"/>
  <c r="B16" i="80"/>
  <c r="B15" i="80"/>
  <c r="B14" i="80"/>
  <c r="B13" i="80"/>
  <c r="B12" i="80"/>
  <c r="B11" i="80"/>
  <c r="C11" i="80" s="1"/>
  <c r="B10" i="80"/>
  <c r="C10" i="80" s="1"/>
  <c r="B9" i="80"/>
  <c r="C9" i="80" s="1"/>
  <c r="B8" i="80"/>
  <c r="C8" i="80" s="1"/>
  <c r="C2470" i="80"/>
  <c r="C2469" i="80"/>
  <c r="C2468" i="80"/>
  <c r="C2466" i="80"/>
  <c r="C2462" i="80"/>
  <c r="C2461" i="80"/>
  <c r="C2446" i="80"/>
  <c r="C2445" i="80"/>
  <c r="C2430" i="80"/>
  <c r="C2429" i="80"/>
  <c r="C2428" i="80"/>
  <c r="C2420" i="80"/>
  <c r="C2419" i="80"/>
  <c r="C2414" i="80"/>
  <c r="C2413" i="80"/>
  <c r="C2412" i="80"/>
  <c r="C2406" i="80"/>
  <c r="C2405" i="80"/>
  <c r="C2404" i="80"/>
  <c r="C2395" i="80"/>
  <c r="C2390" i="80"/>
  <c r="C2389" i="80"/>
  <c r="C2388" i="80"/>
  <c r="C2382" i="80"/>
  <c r="C2381" i="80"/>
  <c r="C2380" i="80"/>
  <c r="C2374" i="80"/>
  <c r="C2373" i="80"/>
  <c r="C2372" i="80"/>
  <c r="C2366" i="80"/>
  <c r="C2365" i="80"/>
  <c r="C2364" i="80"/>
  <c r="C2358" i="80"/>
  <c r="C2357" i="80"/>
  <c r="C2356" i="80"/>
  <c r="C2350" i="80"/>
  <c r="C2349" i="80"/>
  <c r="C2348" i="80"/>
  <c r="C2340" i="80"/>
  <c r="C2334" i="80"/>
  <c r="C2333" i="80"/>
  <c r="C2332" i="80"/>
  <c r="C2326" i="80"/>
  <c r="C2318" i="80"/>
  <c r="C2317" i="80"/>
  <c r="C2316" i="80"/>
  <c r="C2310" i="80"/>
  <c r="C2309" i="80"/>
  <c r="C2308" i="80"/>
  <c r="C2302" i="80"/>
  <c r="C2301" i="80"/>
  <c r="C2294" i="80"/>
  <c r="C2293" i="80"/>
  <c r="C2292" i="80"/>
  <c r="C2286" i="80"/>
  <c r="C2285" i="80"/>
  <c r="C2284" i="80"/>
  <c r="C2278" i="80"/>
  <c r="C2277" i="80"/>
  <c r="C2276" i="80"/>
  <c r="C2270" i="80"/>
  <c r="C2269" i="80"/>
  <c r="C2268" i="80"/>
  <c r="C2262" i="80"/>
  <c r="C2261" i="80"/>
  <c r="C2260" i="80"/>
  <c r="C2254" i="80"/>
  <c r="C2229" i="80"/>
  <c r="C2228" i="80"/>
  <c r="C2205" i="80"/>
  <c r="C2173" i="80"/>
  <c r="C2165" i="80"/>
  <c r="C2164" i="80"/>
  <c r="C2157" i="80"/>
  <c r="C2156" i="80"/>
  <c r="C2141" i="80"/>
  <c r="C2140" i="80"/>
  <c r="C2133" i="80"/>
  <c r="C2132" i="80"/>
  <c r="C2117" i="80"/>
  <c r="C2116" i="80"/>
  <c r="C2109" i="80"/>
  <c r="C2076" i="80"/>
  <c r="C2075" i="80"/>
  <c r="C2020" i="80"/>
  <c r="C2019" i="80"/>
  <c r="C2004" i="80"/>
  <c r="C1891" i="80"/>
  <c r="C1875" i="80"/>
  <c r="C1868" i="80"/>
  <c r="C1867" i="80"/>
  <c r="C1836" i="80"/>
  <c r="C1835" i="80"/>
  <c r="C1820" i="80"/>
  <c r="C1819" i="80"/>
  <c r="C1812" i="80"/>
  <c r="C1811" i="80"/>
  <c r="C1796" i="80"/>
  <c r="C1795" i="80"/>
  <c r="C1788" i="80"/>
  <c r="C1787" i="80"/>
  <c r="C1779" i="80"/>
  <c r="C1771" i="80"/>
  <c r="C1764" i="80"/>
  <c r="C1763" i="80"/>
  <c r="C1755" i="80"/>
  <c r="C1740" i="80"/>
  <c r="C1739" i="80"/>
  <c r="C1724" i="80"/>
  <c r="C1723" i="80"/>
  <c r="C1708" i="80"/>
  <c r="C1707" i="80"/>
  <c r="C1700" i="80"/>
  <c r="C1699" i="80"/>
  <c r="C1691" i="80"/>
  <c r="C1676" i="80"/>
  <c r="C1675" i="80"/>
  <c r="C1668" i="80"/>
  <c r="C1667" i="80"/>
  <c r="C1660" i="80"/>
  <c r="C1659" i="80"/>
  <c r="C1644" i="80"/>
  <c r="C1643" i="80"/>
  <c r="C1638" i="80"/>
  <c r="C1637" i="80"/>
  <c r="C1603" i="80"/>
  <c r="C1595" i="80"/>
  <c r="C1589" i="80"/>
  <c r="C1581" i="80"/>
  <c r="C1557" i="80"/>
  <c r="C1517" i="80"/>
  <c r="C1516" i="80"/>
  <c r="C1515" i="80"/>
  <c r="C1509" i="80"/>
  <c r="C1508" i="80"/>
  <c r="C1501" i="80"/>
  <c r="C1428" i="80"/>
  <c r="C1404" i="80"/>
  <c r="C1396" i="80"/>
  <c r="C1395" i="80"/>
  <c r="C1389" i="80"/>
  <c r="C1388" i="80"/>
  <c r="C1380" i="80"/>
  <c r="C1347" i="80"/>
  <c r="C1341" i="80"/>
  <c r="C1332" i="80"/>
  <c r="C1308" i="80"/>
  <c r="C1284" i="80"/>
  <c r="C1259" i="80"/>
  <c r="C1252" i="80"/>
  <c r="C1148" i="80"/>
  <c r="C1001" i="80"/>
  <c r="C969" i="80"/>
  <c r="C876" i="80"/>
  <c r="C875" i="80"/>
  <c r="C874" i="80"/>
  <c r="C873" i="80"/>
  <c r="C872" i="80"/>
  <c r="C868" i="80"/>
  <c r="C860" i="80"/>
  <c r="C859" i="80"/>
  <c r="C858" i="80"/>
  <c r="C857" i="80"/>
  <c r="C852" i="80"/>
  <c r="C851" i="80"/>
  <c r="C850" i="80"/>
  <c r="C849" i="80"/>
  <c r="C848" i="80"/>
  <c r="C843" i="80"/>
  <c r="C835" i="80"/>
  <c r="C834" i="80"/>
  <c r="C833" i="80"/>
  <c r="C832" i="80"/>
  <c r="C830" i="80"/>
  <c r="C828" i="80"/>
  <c r="C827" i="80"/>
  <c r="C826" i="80"/>
  <c r="C825" i="80"/>
  <c r="C824" i="80"/>
  <c r="C819" i="80"/>
  <c r="C818" i="80"/>
  <c r="C817" i="80"/>
  <c r="C811" i="80"/>
  <c r="C810" i="80"/>
  <c r="C788" i="80"/>
  <c r="C787" i="80"/>
  <c r="C786" i="80"/>
  <c r="C785" i="80"/>
  <c r="C784" i="80"/>
  <c r="C780" i="80"/>
  <c r="C779" i="80"/>
  <c r="C778" i="80"/>
  <c r="C777" i="80"/>
  <c r="C776" i="80"/>
  <c r="C772" i="80"/>
  <c r="C762" i="80"/>
  <c r="C761" i="80"/>
  <c r="C760" i="80"/>
  <c r="C755" i="80"/>
  <c r="C754" i="80"/>
  <c r="C753" i="80"/>
  <c r="C752" i="80"/>
  <c r="C744" i="80"/>
  <c r="C739" i="80"/>
  <c r="C738" i="80"/>
  <c r="C737" i="80"/>
  <c r="C736" i="80"/>
  <c r="C731" i="80"/>
  <c r="C730" i="80"/>
  <c r="C729" i="80"/>
  <c r="C728" i="80"/>
  <c r="C723" i="80"/>
  <c r="C715" i="80"/>
  <c r="C714" i="80"/>
  <c r="C713" i="80"/>
  <c r="C712" i="80"/>
  <c r="C710" i="80"/>
  <c r="C708" i="80"/>
  <c r="C707" i="80"/>
  <c r="C704" i="80"/>
  <c r="C699" i="80"/>
  <c r="C683" i="80"/>
  <c r="C682" i="80"/>
  <c r="C678" i="80"/>
  <c r="C672" i="80"/>
  <c r="C668" i="80"/>
  <c r="C667" i="80"/>
  <c r="C666" i="80"/>
  <c r="C665" i="80"/>
  <c r="C664" i="80"/>
  <c r="C660" i="80"/>
  <c r="C659" i="80"/>
  <c r="C658" i="80"/>
  <c r="C657" i="80"/>
  <c r="C656" i="80"/>
  <c r="C654" i="80"/>
  <c r="C651" i="80"/>
  <c r="C650" i="80"/>
  <c r="C649" i="80"/>
  <c r="C648" i="80"/>
  <c r="C643" i="80"/>
  <c r="C642" i="80"/>
  <c r="C641" i="80"/>
  <c r="C640" i="80"/>
  <c r="C638" i="80"/>
  <c r="C634" i="80"/>
  <c r="C633" i="80"/>
  <c r="C632" i="80"/>
  <c r="C618" i="80"/>
  <c r="C617" i="80"/>
  <c r="C616" i="80"/>
  <c r="C612" i="80"/>
  <c r="C609" i="80"/>
  <c r="C608" i="80"/>
  <c r="C604" i="80"/>
  <c r="C603" i="80"/>
  <c r="C602" i="80"/>
  <c r="C601" i="80"/>
  <c r="C594" i="80"/>
  <c r="C593" i="80"/>
  <c r="C592" i="80"/>
  <c r="C587" i="80"/>
  <c r="C586" i="80"/>
  <c r="C585" i="80"/>
  <c r="C584" i="80"/>
  <c r="C580" i="80"/>
  <c r="C577" i="80"/>
  <c r="C576" i="80"/>
  <c r="C570" i="80"/>
  <c r="C569" i="80"/>
  <c r="C568" i="80"/>
  <c r="C563" i="80"/>
  <c r="C562" i="80"/>
  <c r="C561" i="80"/>
  <c r="C539" i="80"/>
  <c r="C536" i="80"/>
  <c r="C521" i="80"/>
  <c r="C520" i="80"/>
  <c r="C516" i="80"/>
  <c r="C515" i="80"/>
  <c r="C508" i="80"/>
  <c r="C507" i="80"/>
  <c r="C506" i="80"/>
  <c r="C505" i="80"/>
  <c r="C504" i="80"/>
  <c r="C500" i="80"/>
  <c r="C499" i="80"/>
  <c r="C498" i="80"/>
  <c r="C497" i="80"/>
  <c r="C496" i="80"/>
  <c r="C494" i="80"/>
  <c r="C492" i="80"/>
  <c r="C476" i="80"/>
  <c r="C465" i="80"/>
  <c r="C458" i="80"/>
  <c r="C457" i="80"/>
  <c r="C456" i="80"/>
  <c r="C454" i="80"/>
  <c r="C452" i="80"/>
  <c r="C451" i="80"/>
  <c r="C450" i="80"/>
  <c r="C449" i="80"/>
  <c r="C448" i="80"/>
  <c r="C443" i="80"/>
  <c r="C442" i="80"/>
  <c r="C441" i="80"/>
  <c r="C440" i="80"/>
  <c r="C428" i="80"/>
  <c r="C418" i="80"/>
  <c r="C417" i="80"/>
  <c r="C404" i="80"/>
  <c r="C403" i="80"/>
  <c r="C402" i="80"/>
  <c r="C395" i="80"/>
  <c r="C394" i="80"/>
  <c r="C393" i="80"/>
  <c r="C392" i="80"/>
  <c r="C388" i="80"/>
  <c r="C387" i="80"/>
  <c r="C386" i="80"/>
  <c r="C385" i="80"/>
  <c r="C384" i="80"/>
  <c r="C378" i="80"/>
  <c r="C377" i="80"/>
  <c r="C362" i="80"/>
  <c r="C361" i="80"/>
  <c r="C360" i="80"/>
  <c r="C345" i="80"/>
  <c r="C344" i="80"/>
  <c r="C340" i="80"/>
  <c r="C339" i="80"/>
  <c r="C338" i="80"/>
  <c r="C337" i="80"/>
  <c r="C336" i="80"/>
  <c r="C329" i="80"/>
  <c r="C328" i="80"/>
  <c r="C321" i="80"/>
  <c r="C311" i="80"/>
  <c r="C303" i="80"/>
  <c r="C297" i="80"/>
  <c r="C263" i="80"/>
  <c r="C257" i="80"/>
  <c r="C249" i="80"/>
  <c r="C247" i="80"/>
  <c r="C239" i="80"/>
  <c r="C167" i="80"/>
  <c r="C151" i="80"/>
  <c r="C137" i="80"/>
  <c r="C119" i="80"/>
  <c r="C111" i="80"/>
  <c r="C95" i="80"/>
  <c r="C63" i="80"/>
  <c r="C55" i="80"/>
  <c r="A2191" i="80" l="1"/>
  <c r="A2192" i="80" s="1"/>
  <c r="C2192" i="80" s="1"/>
  <c r="A2183" i="80"/>
  <c r="A2184" i="80" s="1"/>
  <c r="A2185" i="80" s="1"/>
  <c r="A2181" i="80"/>
  <c r="A2055" i="80"/>
  <c r="A2056" i="80" s="1"/>
  <c r="A1963" i="80"/>
  <c r="A1939" i="80"/>
  <c r="A1940" i="80" s="1"/>
  <c r="A1896" i="80"/>
  <c r="A1897" i="80" s="1"/>
  <c r="A1898" i="80" s="1"/>
  <c r="A1899" i="80" s="1"/>
  <c r="A1773" i="80"/>
  <c r="A1774" i="80" s="1"/>
  <c r="A1747" i="80"/>
  <c r="A1742" i="80"/>
  <c r="A1743" i="80" s="1"/>
  <c r="A1744" i="80" s="1"/>
  <c r="A1105" i="80"/>
  <c r="A1106" i="80" s="1"/>
  <c r="A1089" i="80"/>
  <c r="A1083" i="80"/>
  <c r="A1084" i="80" s="1"/>
  <c r="A1085" i="80" s="1"/>
  <c r="A1029" i="80"/>
  <c r="A1030" i="80" s="1"/>
  <c r="A1031" i="80" s="1"/>
  <c r="A1019" i="80"/>
  <c r="A1020" i="80" s="1"/>
  <c r="A1021" i="80" s="1"/>
  <c r="A1022" i="80" s="1"/>
  <c r="A990" i="80"/>
  <c r="A991" i="80" s="1"/>
  <c r="A950" i="80"/>
  <c r="A951" i="80" s="1"/>
  <c r="A940" i="80"/>
  <c r="A941" i="80" s="1"/>
  <c r="A763" i="80"/>
  <c r="A764" i="80" s="1"/>
  <c r="A765" i="80" s="1"/>
  <c r="A559" i="80"/>
  <c r="A560" i="80" s="1"/>
  <c r="A554" i="80"/>
  <c r="C554" i="80" s="1"/>
  <c r="A550" i="80"/>
  <c r="A551" i="80" s="1"/>
  <c r="A552" i="80" s="1"/>
  <c r="C552" i="80" s="1"/>
  <c r="A547" i="80"/>
  <c r="A548" i="80" s="1"/>
  <c r="A549" i="80" s="1"/>
  <c r="C549" i="80" s="1"/>
  <c r="A482" i="80"/>
  <c r="A474" i="80"/>
  <c r="A436" i="80"/>
  <c r="A437" i="80" s="1"/>
  <c r="A434" i="80"/>
  <c r="C434" i="80" s="1"/>
  <c r="A420" i="80"/>
  <c r="C420" i="80" s="1"/>
  <c r="A527" i="80"/>
  <c r="A528" i="80" s="1"/>
  <c r="A522" i="80"/>
  <c r="A523" i="80" s="1"/>
  <c r="A363" i="80"/>
  <c r="A364" i="80" s="1"/>
  <c r="A365" i="80" s="1"/>
  <c r="C365" i="80" s="1"/>
  <c r="A2442" i="80"/>
  <c r="A2443" i="80" s="1"/>
  <c r="A2444" i="80" s="1"/>
  <c r="A2439" i="80"/>
  <c r="A2440" i="80" s="1"/>
  <c r="A2441" i="80" s="1"/>
  <c r="C2442" i="80"/>
  <c r="C2443" i="80"/>
  <c r="C436" i="80"/>
  <c r="C974" i="80"/>
  <c r="C806" i="80"/>
  <c r="C1849" i="80"/>
  <c r="C550" i="80"/>
  <c r="A1973" i="80"/>
  <c r="A1974" i="80" s="1"/>
  <c r="A1975" i="80" s="1"/>
  <c r="C1975" i="80" s="1"/>
  <c r="C1972" i="80"/>
  <c r="C1986" i="80"/>
  <c r="C2444" i="80"/>
  <c r="C522" i="80"/>
  <c r="C990" i="80"/>
  <c r="C1983" i="80"/>
  <c r="C1982" i="80"/>
  <c r="C763" i="80"/>
  <c r="A545" i="80"/>
  <c r="C545" i="80" s="1"/>
  <c r="C544" i="80"/>
  <c r="A529" i="80"/>
  <c r="A530" i="80" s="1"/>
  <c r="C530" i="80" s="1"/>
  <c r="C528" i="80"/>
  <c r="A2036" i="80"/>
  <c r="C2036" i="80" s="1"/>
  <c r="C2035" i="80"/>
  <c r="C1896" i="80"/>
  <c r="C2184" i="80"/>
  <c r="C14" i="80"/>
  <c r="C547" i="80"/>
  <c r="C2185" i="80"/>
  <c r="C560" i="80"/>
  <c r="C1744" i="80"/>
  <c r="C437" i="80"/>
  <c r="C1939" i="80"/>
  <c r="C17" i="80"/>
  <c r="C2055" i="80"/>
  <c r="C548" i="80"/>
  <c r="C1897" i="80"/>
  <c r="C1774" i="80"/>
  <c r="C2183" i="80"/>
  <c r="C2191" i="80"/>
  <c r="C523" i="80"/>
  <c r="C546" i="80"/>
  <c r="A421" i="80"/>
  <c r="A1941" i="80"/>
  <c r="A1942" i="80" s="1"/>
  <c r="A1944" i="80" s="1"/>
  <c r="C1940" i="80"/>
  <c r="A2438" i="80"/>
  <c r="C2438" i="80" s="1"/>
  <c r="C2437" i="80"/>
  <c r="A1848" i="80"/>
  <c r="C1848" i="80" s="1"/>
  <c r="C1847" i="80"/>
  <c r="A2052" i="80"/>
  <c r="C2051" i="80"/>
  <c r="A411" i="80"/>
  <c r="C15" i="80"/>
  <c r="C410" i="80"/>
  <c r="C1742" i="80"/>
  <c r="C2439" i="80"/>
  <c r="C13" i="80"/>
  <c r="A483" i="80"/>
  <c r="A2187" i="80"/>
  <c r="C2186" i="80"/>
  <c r="C1743" i="80"/>
  <c r="C2440" i="80"/>
  <c r="C2441" i="80"/>
  <c r="A435" i="80"/>
  <c r="C2056" i="80"/>
  <c r="C527" i="80"/>
  <c r="C551" i="80"/>
  <c r="C559" i="80"/>
  <c r="A555" i="80"/>
  <c r="A1987" i="80"/>
  <c r="A1038" i="80"/>
  <c r="C1038" i="80" s="1"/>
  <c r="C16" i="80"/>
  <c r="C1773" i="80"/>
  <c r="C951" i="80"/>
  <c r="A1049" i="80"/>
  <c r="C1048" i="80"/>
  <c r="C953" i="80"/>
  <c r="C954" i="80"/>
  <c r="A1130" i="80"/>
  <c r="C1130" i="80" s="1"/>
  <c r="C1129" i="80"/>
  <c r="C1105" i="80"/>
  <c r="C949" i="80"/>
  <c r="C991" i="80"/>
  <c r="C1019" i="80"/>
  <c r="C950" i="80"/>
  <c r="C1030" i="80"/>
  <c r="C1097" i="80"/>
  <c r="C1020" i="80"/>
  <c r="C941" i="80"/>
  <c r="A942" i="80"/>
  <c r="A943" i="80" s="1"/>
  <c r="A947" i="80"/>
  <c r="C946" i="80"/>
  <c r="C1042" i="80"/>
  <c r="A1043" i="80"/>
  <c r="C1043" i="80" s="1"/>
  <c r="C937" i="80"/>
  <c r="A938" i="80"/>
  <c r="A1107" i="80"/>
  <c r="C1107" i="80" s="1"/>
  <c r="C1106" i="80"/>
  <c r="A994" i="80"/>
  <c r="C993" i="80"/>
  <c r="C1065" i="80"/>
  <c r="A1066" i="80"/>
  <c r="A1114" i="80"/>
  <c r="A1115" i="80" s="1"/>
  <c r="A1116" i="80" s="1"/>
  <c r="C1113" i="80"/>
  <c r="C940" i="80"/>
  <c r="C1080" i="80"/>
  <c r="A1081" i="80"/>
  <c r="C1081" i="80" s="1"/>
  <c r="A1418" i="80"/>
  <c r="C1417" i="80"/>
  <c r="C1029" i="80"/>
  <c r="C1416" i="80"/>
  <c r="A955" i="80"/>
  <c r="A956" i="80" s="1"/>
  <c r="C956" i="80" s="1"/>
  <c r="C1018" i="80"/>
  <c r="C764" i="80"/>
  <c r="C1899" i="80"/>
  <c r="A1900" i="80"/>
  <c r="C1900" i="80" s="1"/>
  <c r="C1898" i="80"/>
  <c r="C882" i="80"/>
  <c r="C881" i="80"/>
  <c r="C765" i="80"/>
  <c r="A766" i="80"/>
  <c r="C286" i="80"/>
  <c r="C285" i="80"/>
  <c r="C189" i="80"/>
  <c r="C88" i="80"/>
  <c r="C1797" i="80"/>
  <c r="C1756" i="80"/>
  <c r="C1757" i="80"/>
  <c r="C1712" i="80"/>
  <c r="C1648" i="80"/>
  <c r="C1647" i="80"/>
  <c r="C1645" i="80"/>
  <c r="C1646" i="80"/>
  <c r="A1032" i="80"/>
  <c r="C1031" i="80"/>
  <c r="C1022" i="80"/>
  <c r="A1023" i="80"/>
  <c r="C1021" i="80"/>
  <c r="C855" i="80"/>
  <c r="C846" i="80"/>
  <c r="C845" i="80"/>
  <c r="C840" i="80"/>
  <c r="C839" i="80"/>
  <c r="C740" i="80"/>
  <c r="C684" i="80"/>
  <c r="C279" i="80"/>
  <c r="C278" i="80"/>
  <c r="C277" i="80"/>
  <c r="C269" i="80"/>
  <c r="C268" i="80"/>
  <c r="C2045" i="80"/>
  <c r="C639" i="80"/>
  <c r="I1638" i="80"/>
  <c r="I1637" i="80"/>
  <c r="I1632" i="80"/>
  <c r="A1633" i="80" s="1"/>
  <c r="C1633" i="80" s="1"/>
  <c r="I1628" i="80"/>
  <c r="I1623" i="80"/>
  <c r="I1619" i="80"/>
  <c r="I1612" i="80"/>
  <c r="I1607" i="80"/>
  <c r="I1604" i="80"/>
  <c r="I1601" i="80"/>
  <c r="I1600" i="80"/>
  <c r="I1596" i="80"/>
  <c r="G515" i="80"/>
  <c r="B7" i="80"/>
  <c r="C7" i="80" s="1"/>
  <c r="C1083" i="80" l="1"/>
  <c r="C1084" i="80"/>
  <c r="C364" i="80"/>
  <c r="C363" i="80"/>
  <c r="C2181" i="80"/>
  <c r="A2182" i="80"/>
  <c r="C2182" i="80" s="1"/>
  <c r="C1963" i="80"/>
  <c r="A1964" i="80"/>
  <c r="C1964" i="80" s="1"/>
  <c r="C1747" i="80"/>
  <c r="A1748" i="80"/>
  <c r="C1748" i="80" s="1"/>
  <c r="C1089" i="80"/>
  <c r="A1090" i="80"/>
  <c r="A477" i="80"/>
  <c r="A478" i="80" s="1"/>
  <c r="C482" i="80"/>
  <c r="C474" i="80"/>
  <c r="A475" i="80"/>
  <c r="C475" i="80" s="1"/>
  <c r="C2052" i="80"/>
  <c r="C435" i="80"/>
  <c r="A431" i="80"/>
  <c r="A948" i="80"/>
  <c r="C948" i="80" s="1"/>
  <c r="A945" i="80"/>
  <c r="A1050" i="80"/>
  <c r="A1051" i="80" s="1"/>
  <c r="C1051" i="80" s="1"/>
  <c r="C421" i="80"/>
  <c r="A1086" i="80"/>
  <c r="C1085" i="80"/>
  <c r="A975" i="80"/>
  <c r="C1974" i="80"/>
  <c r="C1973" i="80"/>
  <c r="C1942" i="80"/>
  <c r="C1941" i="80"/>
  <c r="A807" i="80"/>
  <c r="A808" i="80" s="1"/>
  <c r="A809" i="80" s="1"/>
  <c r="C809" i="80" s="1"/>
  <c r="C1037" i="80"/>
  <c r="C529" i="80"/>
  <c r="C477" i="80"/>
  <c r="A479" i="80"/>
  <c r="C478" i="80"/>
  <c r="A484" i="80"/>
  <c r="C483" i="80"/>
  <c r="C1049" i="80"/>
  <c r="C947" i="80"/>
  <c r="C555" i="80"/>
  <c r="A556" i="80"/>
  <c r="A412" i="80"/>
  <c r="C411" i="80"/>
  <c r="A1988" i="80"/>
  <c r="C1987" i="80"/>
  <c r="C2187" i="80"/>
  <c r="A2188" i="80"/>
  <c r="C2188" i="80" s="1"/>
  <c r="I1634" i="80"/>
  <c r="C1634" i="80" s="1"/>
  <c r="C1050" i="80"/>
  <c r="A1108" i="80"/>
  <c r="A1109" i="80" s="1"/>
  <c r="A1131" i="80"/>
  <c r="A1132" i="80" s="1"/>
  <c r="C1607" i="80"/>
  <c r="A1608" i="80"/>
  <c r="C1115" i="80"/>
  <c r="A1067" i="80"/>
  <c r="C1067" i="80" s="1"/>
  <c r="C1066" i="80"/>
  <c r="A1613" i="80"/>
  <c r="C1612" i="80"/>
  <c r="C955" i="80"/>
  <c r="C1604" i="80"/>
  <c r="A1605" i="80"/>
  <c r="C1418" i="80"/>
  <c r="A1419" i="80"/>
  <c r="C994" i="80"/>
  <c r="A995" i="80"/>
  <c r="C945" i="80"/>
  <c r="C938" i="80"/>
  <c r="A939" i="80"/>
  <c r="C939" i="80" s="1"/>
  <c r="A1620" i="80"/>
  <c r="C1619" i="80"/>
  <c r="C1632" i="80"/>
  <c r="C943" i="80"/>
  <c r="A944" i="80"/>
  <c r="C944" i="80" s="1"/>
  <c r="C1114" i="80"/>
  <c r="A1624" i="80"/>
  <c r="C1624" i="80" s="1"/>
  <c r="C1623" i="80"/>
  <c r="A1597" i="80"/>
  <c r="C1597" i="80" s="1"/>
  <c r="C1596" i="80"/>
  <c r="I1598" i="80"/>
  <c r="I1627" i="80"/>
  <c r="C1627" i="80" s="1"/>
  <c r="C942" i="80"/>
  <c r="A767" i="80"/>
  <c r="C766" i="80"/>
  <c r="C287" i="80"/>
  <c r="C190" i="80"/>
  <c r="C1713" i="80"/>
  <c r="A1117" i="80"/>
  <c r="C1116" i="80"/>
  <c r="A1033" i="80"/>
  <c r="C1032" i="80"/>
  <c r="A1024" i="80"/>
  <c r="C1023" i="80"/>
  <c r="C842" i="80"/>
  <c r="C841" i="80"/>
  <c r="C742" i="80"/>
  <c r="C741" i="80"/>
  <c r="C689" i="80"/>
  <c r="C686" i="80"/>
  <c r="C685" i="80"/>
  <c r="T2154" i="16"/>
  <c r="T2152" i="16"/>
  <c r="A1091" i="80" l="1"/>
  <c r="C1090" i="80"/>
  <c r="C975" i="80"/>
  <c r="A1087" i="80"/>
  <c r="C1087" i="80" s="1"/>
  <c r="C1086" i="80"/>
  <c r="A976" i="80"/>
  <c r="C976" i="80" s="1"/>
  <c r="C807" i="80"/>
  <c r="C808" i="80"/>
  <c r="C412" i="80"/>
  <c r="A480" i="80"/>
  <c r="C479" i="80"/>
  <c r="A1989" i="80"/>
  <c r="C1988" i="80"/>
  <c r="C556" i="80"/>
  <c r="A557" i="80"/>
  <c r="A485" i="80"/>
  <c r="C484" i="80"/>
  <c r="C1108" i="80"/>
  <c r="C1131" i="80"/>
  <c r="A1635" i="80"/>
  <c r="C1605" i="80"/>
  <c r="A1606" i="80"/>
  <c r="C1606" i="80" s="1"/>
  <c r="A996" i="80"/>
  <c r="C996" i="80" s="1"/>
  <c r="C995" i="80"/>
  <c r="C1628" i="80"/>
  <c r="A1629" i="80"/>
  <c r="C1620" i="80"/>
  <c r="A1621" i="80"/>
  <c r="A1420" i="80"/>
  <c r="C1420" i="80" s="1"/>
  <c r="C1419" i="80"/>
  <c r="A1614" i="80"/>
  <c r="C1614" i="80" s="1"/>
  <c r="C1613" i="80"/>
  <c r="A1609" i="80"/>
  <c r="C1608" i="80"/>
  <c r="A1599" i="80"/>
  <c r="C1599" i="80" s="1"/>
  <c r="C1598" i="80"/>
  <c r="A768" i="80"/>
  <c r="C767" i="80"/>
  <c r="C288" i="80"/>
  <c r="C192" i="80"/>
  <c r="C191" i="80"/>
  <c r="C1714" i="80"/>
  <c r="C1132" i="80"/>
  <c r="A1133" i="80"/>
  <c r="A1118" i="80"/>
  <c r="C1117" i="80"/>
  <c r="A1110" i="80"/>
  <c r="C1109" i="80"/>
  <c r="A1034" i="80"/>
  <c r="C1033" i="80"/>
  <c r="A1025" i="80"/>
  <c r="C1025" i="80" s="1"/>
  <c r="C1024" i="80"/>
  <c r="C690" i="80"/>
  <c r="AL310" i="28"/>
  <c r="AN310" i="28"/>
  <c r="C1091" i="80" l="1"/>
  <c r="A1092" i="80"/>
  <c r="A977" i="80"/>
  <c r="C977" i="80" s="1"/>
  <c r="A481" i="80"/>
  <c r="C481" i="80" s="1"/>
  <c r="C480" i="80"/>
  <c r="A558" i="80"/>
  <c r="A553" i="80" s="1"/>
  <c r="C557" i="80"/>
  <c r="A1990" i="80"/>
  <c r="C1989" i="80"/>
  <c r="A486" i="80"/>
  <c r="C485" i="80"/>
  <c r="A1636" i="80"/>
  <c r="C1636" i="80" s="1"/>
  <c r="C1635" i="80"/>
  <c r="A1610" i="80"/>
  <c r="C1609" i="80"/>
  <c r="A1630" i="80"/>
  <c r="C1629" i="80"/>
  <c r="C1110" i="80"/>
  <c r="A1111" i="80"/>
  <c r="C1111" i="80" s="1"/>
  <c r="A1622" i="80"/>
  <c r="C1622" i="80" s="1"/>
  <c r="C1621" i="80"/>
  <c r="C768" i="80"/>
  <c r="A769" i="80"/>
  <c r="C289" i="80"/>
  <c r="C1715" i="80"/>
  <c r="A1134" i="80"/>
  <c r="C1133" i="80"/>
  <c r="A1119" i="80"/>
  <c r="C1118" i="80"/>
  <c r="A1035" i="80"/>
  <c r="C1034" i="80"/>
  <c r="C692" i="80"/>
  <c r="C691" i="80"/>
  <c r="A1093" i="80" l="1"/>
  <c r="C1092" i="80"/>
  <c r="A978" i="80"/>
  <c r="A487" i="80"/>
  <c r="C486" i="80"/>
  <c r="A1991" i="80"/>
  <c r="C1991" i="80" s="1"/>
  <c r="C1990" i="80"/>
  <c r="C558" i="80"/>
  <c r="C553" i="80"/>
  <c r="C1630" i="80"/>
  <c r="A1631" i="80"/>
  <c r="C1631" i="80" s="1"/>
  <c r="C1610" i="80"/>
  <c r="A1611" i="80"/>
  <c r="C1611" i="80" s="1"/>
  <c r="C769" i="80"/>
  <c r="A770" i="80"/>
  <c r="C291" i="80"/>
  <c r="C290" i="80"/>
  <c r="C1716" i="80"/>
  <c r="A1135" i="80"/>
  <c r="C1134" i="80"/>
  <c r="A1120" i="80"/>
  <c r="C1120" i="80" s="1"/>
  <c r="C1119" i="80"/>
  <c r="A1036" i="80"/>
  <c r="C1036" i="80" s="1"/>
  <c r="C1035" i="80"/>
  <c r="AQ547" i="25"/>
  <c r="A1094" i="80" l="1"/>
  <c r="C1094" i="80" s="1"/>
  <c r="C1093" i="80"/>
  <c r="C978" i="80"/>
  <c r="A970" i="80"/>
  <c r="A488" i="80"/>
  <c r="C487" i="80"/>
  <c r="A771" i="80"/>
  <c r="C771" i="80" s="1"/>
  <c r="C770" i="80"/>
  <c r="C1718" i="80"/>
  <c r="C1717" i="80"/>
  <c r="A1136" i="80"/>
  <c r="C1135" i="80"/>
  <c r="Y718" i="16"/>
  <c r="AR400" i="24"/>
  <c r="A489" i="80" l="1"/>
  <c r="C488" i="80"/>
  <c r="A1137" i="80"/>
  <c r="C1137" i="80" s="1"/>
  <c r="C1136" i="80"/>
  <c r="AR220" i="29"/>
  <c r="AR217" i="29"/>
  <c r="AR213" i="29"/>
  <c r="AR211" i="29"/>
  <c r="AR198" i="29"/>
  <c r="AR195" i="29"/>
  <c r="AR193" i="29"/>
  <c r="AR187" i="29"/>
  <c r="AR186" i="29"/>
  <c r="AR185" i="29"/>
  <c r="AR184" i="29"/>
  <c r="AR183" i="29"/>
  <c r="AR182" i="29"/>
  <c r="AR181" i="29"/>
  <c r="AR176" i="29"/>
  <c r="AR175" i="29"/>
  <c r="AR174" i="29"/>
  <c r="AR173" i="29"/>
  <c r="AR172" i="29"/>
  <c r="AR171" i="29"/>
  <c r="AR169" i="29"/>
  <c r="AR168" i="29"/>
  <c r="AR167" i="29"/>
  <c r="AR152" i="29"/>
  <c r="AR150" i="29"/>
  <c r="AR149" i="29"/>
  <c r="AR148" i="29"/>
  <c r="AR147" i="29"/>
  <c r="AR146" i="29"/>
  <c r="AR144" i="29"/>
  <c r="AR143" i="29"/>
  <c r="AR141" i="29"/>
  <c r="AR134" i="29"/>
  <c r="AR130" i="29"/>
  <c r="AR128" i="29"/>
  <c r="AR122" i="29"/>
  <c r="AR119" i="29"/>
  <c r="AR118" i="29"/>
  <c r="AR116" i="29"/>
  <c r="AR114" i="29"/>
  <c r="AR113" i="29"/>
  <c r="AR111" i="29"/>
  <c r="AR108" i="29"/>
  <c r="AR106" i="29"/>
  <c r="AR103" i="29"/>
  <c r="AR101" i="29"/>
  <c r="AR94" i="29"/>
  <c r="AR95" i="29"/>
  <c r="AR93" i="29"/>
  <c r="AR91" i="29"/>
  <c r="AR90" i="29"/>
  <c r="AR88" i="29"/>
  <c r="AR85" i="29"/>
  <c r="AR82" i="29"/>
  <c r="AR59" i="29"/>
  <c r="AR60" i="29"/>
  <c r="AR58" i="29"/>
  <c r="AR56" i="29"/>
  <c r="AR54" i="29"/>
  <c r="AR52" i="29"/>
  <c r="AR51" i="29"/>
  <c r="AR49" i="29"/>
  <c r="AR47" i="29"/>
  <c r="AR46" i="29"/>
  <c r="AR44" i="29"/>
  <c r="AR42" i="29"/>
  <c r="AR38" i="29"/>
  <c r="AR32" i="29"/>
  <c r="AR31" i="29"/>
  <c r="AR30" i="29"/>
  <c r="AR28" i="29"/>
  <c r="AR27" i="29"/>
  <c r="AR25" i="29"/>
  <c r="AR23" i="29"/>
  <c r="AR22" i="29"/>
  <c r="AR21" i="29"/>
  <c r="AR16" i="29"/>
  <c r="AR17" i="29"/>
  <c r="AR15" i="29"/>
  <c r="AP220" i="29"/>
  <c r="AP217" i="29"/>
  <c r="AP213" i="29"/>
  <c r="AP211" i="29"/>
  <c r="AP198" i="29"/>
  <c r="AP195" i="29"/>
  <c r="AP193" i="29"/>
  <c r="AP187" i="29"/>
  <c r="AP186" i="29"/>
  <c r="AP185" i="29"/>
  <c r="AP184" i="29"/>
  <c r="AP183" i="29"/>
  <c r="AP182" i="29"/>
  <c r="AP181" i="29"/>
  <c r="AP176" i="29"/>
  <c r="AP175" i="29"/>
  <c r="AP174" i="29"/>
  <c r="AP173" i="29"/>
  <c r="AP172" i="29"/>
  <c r="AP171" i="29"/>
  <c r="AP168" i="29"/>
  <c r="AP169" i="29"/>
  <c r="AP167" i="29"/>
  <c r="AP152" i="29"/>
  <c r="AP150" i="29"/>
  <c r="AP149" i="29"/>
  <c r="AP148" i="29"/>
  <c r="AP147" i="29"/>
  <c r="AP146" i="29"/>
  <c r="AP144" i="29"/>
  <c r="AP143" i="29"/>
  <c r="AP141" i="29"/>
  <c r="AP134" i="29"/>
  <c r="AP130" i="29"/>
  <c r="AP128" i="29"/>
  <c r="AP122" i="29"/>
  <c r="AP119" i="29"/>
  <c r="AP118" i="29"/>
  <c r="AP116" i="29"/>
  <c r="AP114" i="29"/>
  <c r="AP113" i="29"/>
  <c r="AP111" i="29"/>
  <c r="AP108" i="29"/>
  <c r="AP106" i="29"/>
  <c r="AP103" i="29"/>
  <c r="AP101" i="29"/>
  <c r="AP94" i="29"/>
  <c r="AP95" i="29"/>
  <c r="AP93" i="29"/>
  <c r="AP91" i="29"/>
  <c r="AP90" i="29"/>
  <c r="AP88" i="29"/>
  <c r="AP85" i="29"/>
  <c r="AP82" i="29"/>
  <c r="AP60" i="29"/>
  <c r="AP59" i="29"/>
  <c r="AP58" i="29"/>
  <c r="AP56" i="29"/>
  <c r="AP54" i="29"/>
  <c r="AP52" i="29"/>
  <c r="AP51" i="29"/>
  <c r="AP49" i="29"/>
  <c r="AP47" i="29"/>
  <c r="AP46" i="29"/>
  <c r="AP44" i="29"/>
  <c r="AP42" i="29"/>
  <c r="AP38" i="29"/>
  <c r="AP32" i="29"/>
  <c r="AP31" i="29"/>
  <c r="AP30" i="29"/>
  <c r="AP28" i="29"/>
  <c r="AP27" i="29"/>
  <c r="AP25" i="29"/>
  <c r="AP23" i="29"/>
  <c r="AP22" i="29"/>
  <c r="AP21" i="29"/>
  <c r="AP17" i="29"/>
  <c r="AP16" i="29"/>
  <c r="AP15" i="29"/>
  <c r="AN224" i="29"/>
  <c r="AN220" i="29"/>
  <c r="AN217" i="29"/>
  <c r="AN213" i="29"/>
  <c r="AN211" i="29"/>
  <c r="AN192" i="29"/>
  <c r="AN177" i="29"/>
  <c r="AN165" i="29"/>
  <c r="AN152" i="29"/>
  <c r="AN124" i="29"/>
  <c r="AN97" i="29"/>
  <c r="AN79" i="29"/>
  <c r="AN60" i="29"/>
  <c r="AN12" i="29"/>
  <c r="AL224" i="29"/>
  <c r="AL220" i="29"/>
  <c r="AL217" i="29"/>
  <c r="AL213" i="29"/>
  <c r="AL211" i="29"/>
  <c r="AL198" i="29"/>
  <c r="AL195" i="29"/>
  <c r="AL193" i="29"/>
  <c r="AL192" i="29"/>
  <c r="AL177" i="29"/>
  <c r="AL168" i="29"/>
  <c r="AL169" i="29"/>
  <c r="AL167" i="29"/>
  <c r="AL165" i="29"/>
  <c r="AL154" i="29"/>
  <c r="AL128" i="29"/>
  <c r="AL124" i="29"/>
  <c r="AL122" i="29"/>
  <c r="AL103" i="29"/>
  <c r="AL101" i="29"/>
  <c r="AL97" i="29"/>
  <c r="AL88" i="29"/>
  <c r="AL85" i="29"/>
  <c r="AL82" i="29"/>
  <c r="AL79" i="29"/>
  <c r="AL62" i="29"/>
  <c r="AL28" i="29"/>
  <c r="AL17" i="29"/>
  <c r="AL16" i="29"/>
  <c r="AL15" i="29"/>
  <c r="AL12" i="29"/>
  <c r="AL152" i="29"/>
  <c r="AL60" i="29"/>
  <c r="AR382" i="28"/>
  <c r="AR377" i="28"/>
  <c r="AR375" i="28"/>
  <c r="AR374" i="28"/>
  <c r="AR371" i="28"/>
  <c r="AR366" i="28"/>
  <c r="AR362" i="28"/>
  <c r="AR354" i="28"/>
  <c r="AR349" i="28"/>
  <c r="AR344" i="28"/>
  <c r="AR336" i="28"/>
  <c r="AR332" i="28"/>
  <c r="AR328" i="28"/>
  <c r="AR324" i="28"/>
  <c r="AR322" i="28"/>
  <c r="AR319" i="28"/>
  <c r="AR316" i="28"/>
  <c r="AR314" i="28"/>
  <c r="AR310" i="28"/>
  <c r="AR288" i="28"/>
  <c r="AR247" i="28"/>
  <c r="AR238" i="28"/>
  <c r="AR235" i="28"/>
  <c r="AR232" i="28"/>
  <c r="AR230" i="28"/>
  <c r="AR219" i="28"/>
  <c r="AR215" i="28"/>
  <c r="AR212" i="28"/>
  <c r="AR210" i="28"/>
  <c r="AR208" i="28"/>
  <c r="AR201" i="28"/>
  <c r="AR197" i="28"/>
  <c r="AR193" i="28"/>
  <c r="AR190" i="28"/>
  <c r="AR188" i="28"/>
  <c r="AR186" i="28"/>
  <c r="AR184" i="28"/>
  <c r="AR178" i="28"/>
  <c r="AR176" i="28"/>
  <c r="AR170" i="28"/>
  <c r="AR168" i="28"/>
  <c r="AR164" i="28"/>
  <c r="AR159" i="28"/>
  <c r="AR155" i="28"/>
  <c r="AR154" i="28"/>
  <c r="AR149" i="28"/>
  <c r="AR140" i="28"/>
  <c r="AR135" i="28"/>
  <c r="AR133" i="28"/>
  <c r="AR132" i="28"/>
  <c r="AR130" i="28"/>
  <c r="AR125" i="28"/>
  <c r="AR119" i="28"/>
  <c r="AR115" i="28"/>
  <c r="AR105" i="28"/>
  <c r="AR96" i="28"/>
  <c r="AR93" i="28"/>
  <c r="AR91" i="28"/>
  <c r="AR77" i="28"/>
  <c r="AR72" i="28"/>
  <c r="AR68" i="28"/>
  <c r="AR62" i="28"/>
  <c r="AR60" i="28"/>
  <c r="AR58" i="28"/>
  <c r="AR55" i="28"/>
  <c r="AR53" i="28"/>
  <c r="AR51" i="28"/>
  <c r="AR48" i="28"/>
  <c r="AR46" i="28"/>
  <c r="AR43" i="28"/>
  <c r="AR37" i="28"/>
  <c r="AR34" i="28"/>
  <c r="AR29" i="28"/>
  <c r="AR26" i="28"/>
  <c r="AR23" i="28"/>
  <c r="AR18" i="28"/>
  <c r="AR12" i="28"/>
  <c r="AP382" i="28"/>
  <c r="AP377" i="28"/>
  <c r="AP375" i="28"/>
  <c r="AP374" i="28"/>
  <c r="AP371" i="28"/>
  <c r="AP366" i="28"/>
  <c r="AP362" i="28"/>
  <c r="AP354" i="28"/>
  <c r="AP349" i="28"/>
  <c r="AP344" i="28"/>
  <c r="AP339" i="28"/>
  <c r="AP338" i="28"/>
  <c r="AP332" i="28"/>
  <c r="AP328" i="28"/>
  <c r="AP324" i="28"/>
  <c r="AP322" i="28"/>
  <c r="AP319" i="28"/>
  <c r="AP316" i="28"/>
  <c r="AP314" i="28"/>
  <c r="AP288" i="28"/>
  <c r="AP286" i="28"/>
  <c r="AP238" i="28"/>
  <c r="AP235" i="28"/>
  <c r="AP232" i="28"/>
  <c r="AP230" i="28"/>
  <c r="AP219" i="28"/>
  <c r="AP215" i="28"/>
  <c r="AP212" i="28"/>
  <c r="AP210" i="28"/>
  <c r="AP208" i="28"/>
  <c r="AP205" i="28"/>
  <c r="AP203" i="28"/>
  <c r="AP197" i="28"/>
  <c r="AP196" i="28"/>
  <c r="AP194" i="28"/>
  <c r="AP190" i="28"/>
  <c r="AP188" i="28"/>
  <c r="AP186" i="28"/>
  <c r="AP184" i="28"/>
  <c r="AP178" i="28"/>
  <c r="AP176" i="28"/>
  <c r="AP173" i="28"/>
  <c r="AP172" i="28"/>
  <c r="AP168" i="28"/>
  <c r="AP164" i="28"/>
  <c r="AP159" i="28"/>
  <c r="AP155" i="28"/>
  <c r="AP154" i="28"/>
  <c r="AP149" i="28"/>
  <c r="AP140" i="28"/>
  <c r="AP135" i="28"/>
  <c r="AP133" i="28"/>
  <c r="AP132" i="28"/>
  <c r="AP130" i="28"/>
  <c r="AP119" i="28"/>
  <c r="AP116" i="28"/>
  <c r="AP115" i="28"/>
  <c r="AP105" i="28"/>
  <c r="AP96" i="28"/>
  <c r="AP93" i="28"/>
  <c r="AP91" i="28"/>
  <c r="AP80" i="28"/>
  <c r="AP79" i="28"/>
  <c r="AP78" i="28"/>
  <c r="AP77" i="28"/>
  <c r="AP72" i="28"/>
  <c r="AP68" i="28"/>
  <c r="AP62" i="28"/>
  <c r="AP60" i="28"/>
  <c r="AP58" i="28"/>
  <c r="AP55" i="28"/>
  <c r="AP53" i="28"/>
  <c r="AP51" i="28"/>
  <c r="AP48" i="28"/>
  <c r="AP46" i="28"/>
  <c r="AP43" i="28"/>
  <c r="AP37" i="28"/>
  <c r="AP34" i="28"/>
  <c r="AP29" i="28"/>
  <c r="AP26" i="28"/>
  <c r="AP23" i="28"/>
  <c r="AP18" i="28"/>
  <c r="AP12" i="28"/>
  <c r="AN382" i="28"/>
  <c r="AN377" i="28"/>
  <c r="AN373" i="28"/>
  <c r="AN371" i="28"/>
  <c r="AN366" i="28"/>
  <c r="AN349" i="28"/>
  <c r="AN344" i="28"/>
  <c r="AN336" i="28"/>
  <c r="AN332" i="28"/>
  <c r="AN328" i="28"/>
  <c r="AN322" i="28"/>
  <c r="AN312" i="28"/>
  <c r="AN288" i="28"/>
  <c r="AN244" i="28"/>
  <c r="AN241" i="28"/>
  <c r="AN235" i="28"/>
  <c r="AN232" i="28"/>
  <c r="AN230" i="28"/>
  <c r="AN219" i="28"/>
  <c r="AN215" i="28"/>
  <c r="AN206" i="28"/>
  <c r="AN201" i="28"/>
  <c r="AN197" i="28"/>
  <c r="AN193" i="28"/>
  <c r="AN190" i="28"/>
  <c r="AN186" i="28"/>
  <c r="AN178" i="28"/>
  <c r="AN176" i="28"/>
  <c r="AN170" i="28"/>
  <c r="AN164" i="28"/>
  <c r="AN159" i="28"/>
  <c r="AN146" i="28"/>
  <c r="AN140" i="28"/>
  <c r="AN135" i="28"/>
  <c r="AN128" i="28"/>
  <c r="AN119" i="28"/>
  <c r="AN98" i="28"/>
  <c r="AN93" i="28"/>
  <c r="AN91" i="28"/>
  <c r="AN69" i="28"/>
  <c r="AN68" i="28"/>
  <c r="AN62" i="28"/>
  <c r="AN60" i="28"/>
  <c r="AN58" i="28"/>
  <c r="AN55" i="28"/>
  <c r="AN53" i="28"/>
  <c r="AN51" i="28"/>
  <c r="AN48" i="28"/>
  <c r="AN46" i="28"/>
  <c r="AN43" i="28"/>
  <c r="AN37" i="28"/>
  <c r="AN34" i="28"/>
  <c r="AN26" i="28"/>
  <c r="AN23" i="28"/>
  <c r="AN18" i="28"/>
  <c r="AN12" i="28"/>
  <c r="AL382" i="28"/>
  <c r="AL377" i="28"/>
  <c r="AL373" i="28"/>
  <c r="AL371" i="28"/>
  <c r="AL366" i="28"/>
  <c r="AL362" i="28"/>
  <c r="AL354" i="28"/>
  <c r="AL349" i="28"/>
  <c r="AL344" i="28"/>
  <c r="AL336" i="28"/>
  <c r="AL334" i="28"/>
  <c r="AL333" i="28"/>
  <c r="AL331" i="28"/>
  <c r="AL329" i="28"/>
  <c r="AL324" i="28"/>
  <c r="AL322" i="28"/>
  <c r="AL312" i="28"/>
  <c r="AL288" i="28"/>
  <c r="AL284" i="28"/>
  <c r="AL246" i="28"/>
  <c r="AL245" i="28"/>
  <c r="AL243" i="28"/>
  <c r="AL242" i="28"/>
  <c r="AL238" i="28"/>
  <c r="AL235" i="28"/>
  <c r="AL232" i="28"/>
  <c r="AL230" i="28"/>
  <c r="AL229" i="28"/>
  <c r="AL228" i="28"/>
  <c r="AL227" i="28"/>
  <c r="AL225" i="28"/>
  <c r="AL223" i="28"/>
  <c r="AL219" i="28"/>
  <c r="AL215" i="28"/>
  <c r="AL206" i="28"/>
  <c r="AL204" i="28"/>
  <c r="AL202" i="28"/>
  <c r="AL201" i="28"/>
  <c r="AL196" i="28"/>
  <c r="AL197" i="28"/>
  <c r="AL195" i="28"/>
  <c r="AL193" i="28"/>
  <c r="AL190" i="28"/>
  <c r="AL188" i="28"/>
  <c r="AL186" i="28"/>
  <c r="AL184" i="28"/>
  <c r="AL178" i="28"/>
  <c r="AL176" i="28"/>
  <c r="AL173" i="28"/>
  <c r="AL172" i="28"/>
  <c r="AL168" i="28"/>
  <c r="AL164" i="28"/>
  <c r="AL159" i="28"/>
  <c r="AL155" i="28"/>
  <c r="AL154" i="28"/>
  <c r="AL149" i="28"/>
  <c r="AL140" i="28"/>
  <c r="AL135" i="28"/>
  <c r="AL128" i="28"/>
  <c r="AL119" i="28"/>
  <c r="AL98" i="28"/>
  <c r="AL96" i="28"/>
  <c r="AL93" i="28"/>
  <c r="AL91" i="28"/>
  <c r="AL87" i="28"/>
  <c r="AL84" i="28"/>
  <c r="AL85" i="28"/>
  <c r="AL83" i="28"/>
  <c r="AL81" i="28"/>
  <c r="AL72" i="28"/>
  <c r="AL69" i="28"/>
  <c r="AL68" i="28"/>
  <c r="AL62" i="28"/>
  <c r="AL61" i="28"/>
  <c r="AL59" i="28"/>
  <c r="AL55" i="28"/>
  <c r="AL54" i="28"/>
  <c r="AL52" i="28"/>
  <c r="AL49" i="28"/>
  <c r="AL47" i="28"/>
  <c r="AL44" i="28"/>
  <c r="AL39" i="28"/>
  <c r="AL38" i="28"/>
  <c r="AL34" i="28"/>
  <c r="AL28" i="28"/>
  <c r="AL29" i="28"/>
  <c r="AL27" i="28"/>
  <c r="AL25" i="28"/>
  <c r="AL24" i="28"/>
  <c r="AL18" i="28"/>
  <c r="AL12" i="28"/>
  <c r="AL60" i="28"/>
  <c r="AL58" i="28"/>
  <c r="AL53" i="28"/>
  <c r="AL51" i="28"/>
  <c r="AL48" i="28"/>
  <c r="AL46" i="28"/>
  <c r="AL43" i="28"/>
  <c r="AR233" i="27"/>
  <c r="AR231" i="27"/>
  <c r="AR228" i="27"/>
  <c r="AR223" i="27"/>
  <c r="AR220" i="27"/>
  <c r="AR219" i="27"/>
  <c r="AR217" i="27"/>
  <c r="AR211" i="27"/>
  <c r="AR203" i="27"/>
  <c r="AR195" i="27"/>
  <c r="AR192" i="27"/>
  <c r="AR191" i="27"/>
  <c r="AR189" i="27"/>
  <c r="AR175" i="27"/>
  <c r="AR171" i="27"/>
  <c r="AR169" i="27"/>
  <c r="AR168" i="27"/>
  <c r="AR166" i="27"/>
  <c r="AR164" i="27"/>
  <c r="AR158" i="27"/>
  <c r="AR156" i="27"/>
  <c r="AR150" i="27"/>
  <c r="AR151" i="27"/>
  <c r="AR149" i="27"/>
  <c r="AR145" i="27"/>
  <c r="AR143" i="27"/>
  <c r="AR140" i="27"/>
  <c r="AR138" i="27"/>
  <c r="AR134" i="27"/>
  <c r="AR131" i="27"/>
  <c r="AR124" i="27"/>
  <c r="AR122" i="27"/>
  <c r="AR117" i="27"/>
  <c r="AR112" i="27"/>
  <c r="AR100" i="27"/>
  <c r="AR97" i="27"/>
  <c r="AR92" i="27"/>
  <c r="AR80" i="27"/>
  <c r="AR75" i="27"/>
  <c r="AR73" i="27"/>
  <c r="AR66" i="27"/>
  <c r="AR64" i="27"/>
  <c r="AR56" i="27"/>
  <c r="AR55" i="27"/>
  <c r="AR50" i="27"/>
  <c r="AR45" i="27"/>
  <c r="AR34" i="27"/>
  <c r="AR13" i="27"/>
  <c r="AP233" i="27"/>
  <c r="AP231" i="27"/>
  <c r="AP228" i="27"/>
  <c r="AP223" i="27"/>
  <c r="AP221" i="27"/>
  <c r="AP219" i="27"/>
  <c r="AP217" i="27"/>
  <c r="AP211" i="27"/>
  <c r="AP203" i="27"/>
  <c r="AP195" i="27"/>
  <c r="AP192" i="27"/>
  <c r="AP191" i="27"/>
  <c r="AP189" i="27"/>
  <c r="AP175" i="27"/>
  <c r="AP171" i="27"/>
  <c r="AP169" i="27"/>
  <c r="AP168" i="27"/>
  <c r="AP166" i="27"/>
  <c r="AP164" i="27"/>
  <c r="AP158" i="27"/>
  <c r="AP156" i="27"/>
  <c r="AP150" i="27"/>
  <c r="AP151" i="27"/>
  <c r="AP149" i="27"/>
  <c r="AP145" i="27"/>
  <c r="AP143" i="27"/>
  <c r="AP140" i="27"/>
  <c r="AP138" i="27"/>
  <c r="AP134" i="27"/>
  <c r="AP131" i="27"/>
  <c r="AP124" i="27"/>
  <c r="AP117" i="27"/>
  <c r="AP112" i="27"/>
  <c r="AP102" i="27"/>
  <c r="AP100" i="27"/>
  <c r="AP97" i="27"/>
  <c r="AP92" i="27"/>
  <c r="AP80" i="27"/>
  <c r="AP75" i="27"/>
  <c r="AP73" i="27"/>
  <c r="AP66" i="27"/>
  <c r="AP64" i="27"/>
  <c r="AP56" i="27"/>
  <c r="AP55" i="27"/>
  <c r="AP50" i="27"/>
  <c r="AP21" i="27"/>
  <c r="AP13" i="27"/>
  <c r="AN233" i="27"/>
  <c r="AN231" i="27"/>
  <c r="AN228" i="27"/>
  <c r="AN223" i="27"/>
  <c r="AN220" i="27"/>
  <c r="AN213" i="27"/>
  <c r="AN211" i="27"/>
  <c r="AN203" i="27"/>
  <c r="AN195" i="27"/>
  <c r="AN192" i="27"/>
  <c r="AN186" i="27"/>
  <c r="AN175" i="27"/>
  <c r="AN171" i="27"/>
  <c r="AN169" i="27"/>
  <c r="AN168" i="27"/>
  <c r="AN166" i="27"/>
  <c r="AN164" i="27"/>
  <c r="AN158" i="27"/>
  <c r="AN156" i="27"/>
  <c r="AN150" i="27"/>
  <c r="AN151" i="27"/>
  <c r="AN149" i="27"/>
  <c r="AN145" i="27"/>
  <c r="AN140" i="27"/>
  <c r="AN138" i="27"/>
  <c r="AN134" i="27"/>
  <c r="AN131" i="27"/>
  <c r="AN124" i="27"/>
  <c r="AN117" i="27"/>
  <c r="AN112" i="27"/>
  <c r="AN100" i="27"/>
  <c r="AN97" i="27"/>
  <c r="AN92" i="27"/>
  <c r="AN80" i="27"/>
  <c r="AN75" i="27"/>
  <c r="AN73" i="27"/>
  <c r="AN66" i="27"/>
  <c r="AN64" i="27"/>
  <c r="AN56" i="27"/>
  <c r="AN55" i="27"/>
  <c r="AN50" i="27"/>
  <c r="AN20" i="27"/>
  <c r="AL233" i="27"/>
  <c r="AL231" i="27"/>
  <c r="AL228" i="27"/>
  <c r="AL223" i="27"/>
  <c r="AL220" i="27"/>
  <c r="AL219" i="27"/>
  <c r="AL217" i="27"/>
  <c r="AL211" i="27"/>
  <c r="AL206" i="27"/>
  <c r="AL205" i="27"/>
  <c r="AL202" i="27"/>
  <c r="AL201" i="27"/>
  <c r="AL192" i="27"/>
  <c r="AL191" i="27"/>
  <c r="AL189" i="27"/>
  <c r="AL183" i="27"/>
  <c r="AL180" i="27"/>
  <c r="AL181" i="27"/>
  <c r="AL179" i="27"/>
  <c r="AL176" i="27"/>
  <c r="AL171" i="27"/>
  <c r="AL169" i="27"/>
  <c r="AL168" i="27"/>
  <c r="AL166" i="27"/>
  <c r="AL164" i="27"/>
  <c r="AL158" i="27"/>
  <c r="AL156" i="27"/>
  <c r="AL151" i="27"/>
  <c r="AL150" i="27"/>
  <c r="AL149" i="27"/>
  <c r="AL145" i="27"/>
  <c r="AL143" i="27"/>
  <c r="AL140" i="27"/>
  <c r="AL138" i="27"/>
  <c r="AL134" i="27"/>
  <c r="AL131" i="27"/>
  <c r="AL124" i="27"/>
  <c r="AL116" i="27"/>
  <c r="AL117" i="27"/>
  <c r="AL115" i="27"/>
  <c r="AL111" i="27"/>
  <c r="AL108" i="27"/>
  <c r="AL109" i="27"/>
  <c r="AL107" i="27"/>
  <c r="AL103" i="27"/>
  <c r="AL97" i="27"/>
  <c r="AL96" i="27"/>
  <c r="AL95" i="27"/>
  <c r="AL89" i="27"/>
  <c r="AL82" i="27"/>
  <c r="AL80" i="27"/>
  <c r="AL75" i="27"/>
  <c r="AL73" i="27"/>
  <c r="AL66" i="27"/>
  <c r="AL64" i="27"/>
  <c r="AL56" i="27"/>
  <c r="AL57" i="27"/>
  <c r="AL55" i="27"/>
  <c r="AL50" i="27"/>
  <c r="AL45" i="27"/>
  <c r="AL43" i="27"/>
  <c r="AL40" i="27"/>
  <c r="AL38" i="27"/>
  <c r="AL36" i="27"/>
  <c r="AL34" i="27"/>
  <c r="AR767" i="25"/>
  <c r="AR766" i="25"/>
  <c r="AR761" i="25"/>
  <c r="AR757" i="25"/>
  <c r="AR752" i="25"/>
  <c r="AR748" i="25"/>
  <c r="AR746" i="25"/>
  <c r="AR741" i="25"/>
  <c r="AR736" i="25"/>
  <c r="AR733" i="25"/>
  <c r="AR730" i="25"/>
  <c r="AR729" i="25"/>
  <c r="AR725" i="25"/>
  <c r="AR710" i="25"/>
  <c r="AR708" i="25"/>
  <c r="AR706" i="25"/>
  <c r="AR704" i="25"/>
  <c r="AR701" i="25"/>
  <c r="AR700" i="25"/>
  <c r="AR699" i="25"/>
  <c r="AR698" i="25"/>
  <c r="AR697" i="25"/>
  <c r="AR696" i="25"/>
  <c r="AR695" i="25"/>
  <c r="AR694" i="25"/>
  <c r="AR686" i="25"/>
  <c r="AR679" i="25"/>
  <c r="AR674" i="25"/>
  <c r="AR671" i="25"/>
  <c r="AR669" i="25"/>
  <c r="AR668" i="25"/>
  <c r="AR667" i="25"/>
  <c r="AR666" i="25"/>
  <c r="AR659" i="25"/>
  <c r="AR657" i="25"/>
  <c r="AR655" i="25"/>
  <c r="AR652" i="25"/>
  <c r="AR651" i="25"/>
  <c r="AR650" i="25"/>
  <c r="AR649" i="25"/>
  <c r="AR648" i="25"/>
  <c r="AR647" i="25"/>
  <c r="AR646" i="25"/>
  <c r="AR637" i="25"/>
  <c r="AR634" i="25"/>
  <c r="AR632" i="25"/>
  <c r="AR626" i="25"/>
  <c r="AR623" i="25"/>
  <c r="AR610" i="25"/>
  <c r="AR608" i="25"/>
  <c r="AR606" i="25"/>
  <c r="AR604" i="25"/>
  <c r="AR603" i="25"/>
  <c r="AR602" i="25"/>
  <c r="AR601" i="25"/>
  <c r="AR600" i="25"/>
  <c r="AR599" i="25"/>
  <c r="AR597" i="25"/>
  <c r="AR595" i="25"/>
  <c r="AR592" i="25"/>
  <c r="AR587" i="25"/>
  <c r="AR586" i="25"/>
  <c r="AR583" i="25"/>
  <c r="AR581" i="25"/>
  <c r="AR578" i="25"/>
  <c r="AR573" i="25"/>
  <c r="AR568" i="25"/>
  <c r="AR564" i="25"/>
  <c r="AR561" i="25"/>
  <c r="AR557" i="25"/>
  <c r="AR541" i="25"/>
  <c r="AR538" i="25"/>
  <c r="AR535" i="25"/>
  <c r="AR527" i="25"/>
  <c r="AR524" i="25"/>
  <c r="AR520" i="25"/>
  <c r="AR515" i="25"/>
  <c r="AR513" i="25"/>
  <c r="AR511" i="25"/>
  <c r="AR506" i="25"/>
  <c r="AR504" i="25"/>
  <c r="AR501" i="25"/>
  <c r="AR498" i="25"/>
  <c r="AR499" i="25"/>
  <c r="AR497" i="25"/>
  <c r="AR495" i="25"/>
  <c r="AR487" i="25"/>
  <c r="AR481" i="25"/>
  <c r="AR482" i="25"/>
  <c r="AR480" i="25"/>
  <c r="AR477" i="25"/>
  <c r="AR474" i="25"/>
  <c r="AR475" i="25"/>
  <c r="AR473" i="25"/>
  <c r="AR470" i="25"/>
  <c r="AR468" i="25"/>
  <c r="AR466" i="25"/>
  <c r="AR464" i="25"/>
  <c r="AR462" i="25"/>
  <c r="AR456" i="25"/>
  <c r="AR457" i="25"/>
  <c r="AR455" i="25"/>
  <c r="AR452" i="25"/>
  <c r="AR450" i="25"/>
  <c r="AR448" i="25"/>
  <c r="AR428" i="25"/>
  <c r="AR427" i="25"/>
  <c r="AR425" i="25"/>
  <c r="AR423" i="25"/>
  <c r="AR374" i="25"/>
  <c r="AR364" i="25"/>
  <c r="AR362" i="25"/>
  <c r="AR360" i="25"/>
  <c r="AR359" i="25"/>
  <c r="AR356" i="25"/>
  <c r="AR354" i="25"/>
  <c r="AR348" i="25"/>
  <c r="AR341" i="25"/>
  <c r="AR335" i="25"/>
  <c r="AR331" i="25"/>
  <c r="AR330" i="25"/>
  <c r="AR328" i="25"/>
  <c r="AR322" i="25"/>
  <c r="AR318" i="25"/>
  <c r="AR316" i="25"/>
  <c r="AR310" i="25"/>
  <c r="AR304" i="25"/>
  <c r="AR299" i="25"/>
  <c r="AR296" i="25"/>
  <c r="AR290" i="25"/>
  <c r="AR284" i="25"/>
  <c r="AR277" i="25"/>
  <c r="AR270" i="25"/>
  <c r="AR260" i="25"/>
  <c r="AR252" i="25"/>
  <c r="AR244" i="25"/>
  <c r="AR236" i="25"/>
  <c r="AR232" i="25"/>
  <c r="AR229" i="25"/>
  <c r="AR227" i="25"/>
  <c r="AR220" i="25"/>
  <c r="AR214" i="25"/>
  <c r="AR211" i="25"/>
  <c r="AR196" i="25"/>
  <c r="AR192" i="25"/>
  <c r="AR189" i="25"/>
  <c r="AR183" i="25"/>
  <c r="AR179" i="25"/>
  <c r="AR173" i="25"/>
  <c r="AR172" i="25"/>
  <c r="AR170" i="25"/>
  <c r="AR160" i="25"/>
  <c r="AR150" i="25"/>
  <c r="AR147" i="25"/>
  <c r="AR145" i="25"/>
  <c r="AR141" i="25"/>
  <c r="AR142" i="25"/>
  <c r="AR140" i="25"/>
  <c r="AR138" i="25"/>
  <c r="AR135" i="25"/>
  <c r="AR133" i="25"/>
  <c r="AR129" i="25"/>
  <c r="AR128" i="25"/>
  <c r="AR121" i="25"/>
  <c r="AR119" i="25"/>
  <c r="AR118" i="25"/>
  <c r="AR117" i="25"/>
  <c r="AR116" i="25"/>
  <c r="AR114" i="25"/>
  <c r="AR113" i="25"/>
  <c r="AR111" i="25"/>
  <c r="AR110" i="25"/>
  <c r="AR108" i="25"/>
  <c r="AR105" i="25"/>
  <c r="AR100" i="25"/>
  <c r="AR99" i="25"/>
  <c r="AR98" i="25"/>
  <c r="AR97" i="25"/>
  <c r="AR96" i="25"/>
  <c r="AR95" i="25"/>
  <c r="AR94" i="25"/>
  <c r="AR93" i="25"/>
  <c r="AR92" i="25"/>
  <c r="AR91" i="25"/>
  <c r="AR90" i="25"/>
  <c r="AR89" i="25"/>
  <c r="AR88" i="25"/>
  <c r="AR84" i="25"/>
  <c r="AR81" i="25"/>
  <c r="AR80" i="25"/>
  <c r="AR77" i="25"/>
  <c r="AR71" i="25"/>
  <c r="AR68" i="25"/>
  <c r="AR63" i="25"/>
  <c r="AR59" i="25"/>
  <c r="AR55" i="25"/>
  <c r="AR56" i="25"/>
  <c r="AR57" i="25"/>
  <c r="AR54" i="25"/>
  <c r="AR51" i="25"/>
  <c r="AR52" i="25"/>
  <c r="AR50" i="25"/>
  <c r="AR47" i="25"/>
  <c r="AR45" i="25"/>
  <c r="AR44" i="25"/>
  <c r="AR42" i="25"/>
  <c r="AR41" i="25"/>
  <c r="AR27" i="25"/>
  <c r="AR24" i="25"/>
  <c r="AR20" i="25"/>
  <c r="AR17" i="25"/>
  <c r="AP767" i="25"/>
  <c r="AP766" i="25"/>
  <c r="AP761" i="25"/>
  <c r="AP757" i="25"/>
  <c r="AP752" i="25"/>
  <c r="AP748" i="25"/>
  <c r="AP746" i="25"/>
  <c r="AP741" i="25"/>
  <c r="AP736" i="25"/>
  <c r="AP733" i="25"/>
  <c r="AP730" i="25"/>
  <c r="AP729" i="25"/>
  <c r="AP725" i="25"/>
  <c r="AP715" i="25"/>
  <c r="AP713" i="25"/>
  <c r="AP711" i="25"/>
  <c r="AP708" i="25"/>
  <c r="AP706" i="25"/>
  <c r="AP704" i="25"/>
  <c r="AP701" i="25"/>
  <c r="AP700" i="25"/>
  <c r="AP699" i="25"/>
  <c r="AP698" i="25"/>
  <c r="AP697" i="25"/>
  <c r="AP696" i="25"/>
  <c r="AP695" i="25"/>
  <c r="AP694" i="25"/>
  <c r="AP679" i="25"/>
  <c r="AP674" i="25"/>
  <c r="AP671" i="25"/>
  <c r="AP669" i="25"/>
  <c r="AP668" i="25"/>
  <c r="AP667" i="25"/>
  <c r="AP666" i="25"/>
  <c r="AP659" i="25"/>
  <c r="AP657" i="25"/>
  <c r="AP655" i="25"/>
  <c r="AP645" i="25"/>
  <c r="AP643" i="25"/>
  <c r="AP637" i="25"/>
  <c r="AP634" i="25"/>
  <c r="AP632" i="25"/>
  <c r="AP626" i="25"/>
  <c r="AP625" i="25"/>
  <c r="AP623" i="25"/>
  <c r="AP597" i="25"/>
  <c r="AP595" i="25"/>
  <c r="AP592" i="25"/>
  <c r="AP587" i="25"/>
  <c r="AP586" i="25"/>
  <c r="AP584" i="25"/>
  <c r="AP581" i="25"/>
  <c r="AP578" i="25"/>
  <c r="AP573" i="25"/>
  <c r="AP568" i="25"/>
  <c r="AP564" i="25"/>
  <c r="AP557" i="25"/>
  <c r="AP547" i="25"/>
  <c r="AP517" i="25"/>
  <c r="AP515" i="25"/>
  <c r="AP513" i="25"/>
  <c r="AP511" i="25"/>
  <c r="AP506" i="25"/>
  <c r="AP504" i="25"/>
  <c r="AP501" i="25"/>
  <c r="AP498" i="25"/>
  <c r="AP499" i="25"/>
  <c r="AP497" i="25"/>
  <c r="AP495" i="25"/>
  <c r="AP487" i="25"/>
  <c r="AP460" i="25"/>
  <c r="AP456" i="25"/>
  <c r="AP457" i="25"/>
  <c r="AP455" i="25"/>
  <c r="AP452" i="25"/>
  <c r="AP450" i="25"/>
  <c r="AP448" i="25"/>
  <c r="AP431" i="25"/>
  <c r="AP429" i="25"/>
  <c r="AP427" i="25"/>
  <c r="AP425" i="25"/>
  <c r="AP423" i="25"/>
  <c r="AP422" i="25"/>
  <c r="AP402" i="25"/>
  <c r="AP400" i="25"/>
  <c r="AP383" i="25"/>
  <c r="AP381" i="25"/>
  <c r="AP375" i="25"/>
  <c r="AP364" i="25"/>
  <c r="AP362" i="25"/>
  <c r="AP360" i="25"/>
  <c r="AP359" i="25"/>
  <c r="AP356" i="25"/>
  <c r="AP354" i="25"/>
  <c r="AP348" i="25"/>
  <c r="AP343" i="25"/>
  <c r="AP341" i="25"/>
  <c r="AP336" i="25"/>
  <c r="AP331" i="25"/>
  <c r="AP330" i="25"/>
  <c r="AP328" i="25"/>
  <c r="AP323" i="25"/>
  <c r="AP318" i="25"/>
  <c r="AP316" i="25"/>
  <c r="AP311" i="25"/>
  <c r="AP305" i="25"/>
  <c r="AP300" i="25"/>
  <c r="AP297" i="25"/>
  <c r="AP291" i="25"/>
  <c r="AP284" i="25"/>
  <c r="AP278" i="25"/>
  <c r="AP271" i="25"/>
  <c r="AP260" i="25"/>
  <c r="AP252" i="25"/>
  <c r="AP244" i="25"/>
  <c r="AP236" i="25"/>
  <c r="AP229" i="25"/>
  <c r="AP228" i="25"/>
  <c r="AP222" i="25"/>
  <c r="AP220" i="25"/>
  <c r="AP214" i="25"/>
  <c r="AP211" i="25"/>
  <c r="AP196" i="25"/>
  <c r="AP185" i="25"/>
  <c r="AP179" i="25"/>
  <c r="AP173" i="25"/>
  <c r="AP172" i="25"/>
  <c r="AP170" i="25"/>
  <c r="AP160" i="25"/>
  <c r="AP150" i="25"/>
  <c r="AP124" i="25"/>
  <c r="AP121" i="25"/>
  <c r="AP108" i="25"/>
  <c r="AP105" i="25"/>
  <c r="AP100" i="25"/>
  <c r="AP99" i="25"/>
  <c r="AP98" i="25"/>
  <c r="AP97" i="25"/>
  <c r="AP96" i="25"/>
  <c r="AP95" i="25"/>
  <c r="AP94" i="25"/>
  <c r="AP93" i="25"/>
  <c r="AP92" i="25"/>
  <c r="AP91" i="25"/>
  <c r="AP90" i="25"/>
  <c r="AP89" i="25"/>
  <c r="AP88" i="25"/>
  <c r="AP85" i="25"/>
  <c r="AP81" i="25"/>
  <c r="AP80" i="25"/>
  <c r="AP77" i="25"/>
  <c r="AP71" i="25"/>
  <c r="AP68" i="25"/>
  <c r="AP63" i="25"/>
  <c r="AP59" i="25"/>
  <c r="AP56" i="25"/>
  <c r="AP55" i="25"/>
  <c r="AP57" i="25"/>
  <c r="AP54" i="25"/>
  <c r="AP51" i="25"/>
  <c r="AP52" i="25"/>
  <c r="AP50" i="25"/>
  <c r="AP47" i="25"/>
  <c r="AP45" i="25"/>
  <c r="AP44" i="25"/>
  <c r="AP42" i="25"/>
  <c r="AP41" i="25"/>
  <c r="AP28" i="25"/>
  <c r="AP12" i="25"/>
  <c r="AN767" i="25"/>
  <c r="AN766" i="25"/>
  <c r="AN761" i="25"/>
  <c r="AN757" i="25"/>
  <c r="AN752" i="25"/>
  <c r="AN748" i="25"/>
  <c r="AN746" i="25"/>
  <c r="AN741" i="25"/>
  <c r="AN736" i="25"/>
  <c r="AN733" i="25"/>
  <c r="AN730" i="25"/>
  <c r="AN729" i="25"/>
  <c r="AN725" i="25"/>
  <c r="AN715" i="25"/>
  <c r="AN713" i="25"/>
  <c r="AN711" i="25"/>
  <c r="AN708" i="25"/>
  <c r="AN706" i="25"/>
  <c r="AN704" i="25"/>
  <c r="AN686" i="25"/>
  <c r="AN679" i="25"/>
  <c r="AN674" i="25"/>
  <c r="AN664" i="25"/>
  <c r="AN659" i="25"/>
  <c r="AN657" i="25"/>
  <c r="AN655" i="25"/>
  <c r="AN643" i="25"/>
  <c r="AN637" i="25"/>
  <c r="AN634" i="25"/>
  <c r="AN632" i="25"/>
  <c r="AN626" i="25"/>
  <c r="AN623" i="25"/>
  <c r="AN610" i="25"/>
  <c r="AN608" i="25"/>
  <c r="AN606" i="25"/>
  <c r="AN597" i="25"/>
  <c r="AN595" i="25"/>
  <c r="AN592" i="25"/>
  <c r="AN587" i="25"/>
  <c r="AN586" i="25"/>
  <c r="AN583" i="25"/>
  <c r="AN581" i="25"/>
  <c r="AN578" i="25"/>
  <c r="AN573" i="25"/>
  <c r="AN568" i="25"/>
  <c r="AN564" i="25"/>
  <c r="AN561" i="25"/>
  <c r="AN557" i="25"/>
  <c r="AN541" i="25"/>
  <c r="AN517" i="25"/>
  <c r="AN487" i="25"/>
  <c r="AN489" i="25"/>
  <c r="AN460" i="25"/>
  <c r="AN456" i="25"/>
  <c r="AN457" i="25"/>
  <c r="AN455" i="25"/>
  <c r="AN452" i="25"/>
  <c r="AN450" i="25"/>
  <c r="AN448" i="25"/>
  <c r="AN438" i="25"/>
  <c r="AN431" i="25"/>
  <c r="AN427" i="25"/>
  <c r="AN425" i="25"/>
  <c r="AN423" i="25"/>
  <c r="AN422" i="25"/>
  <c r="AN420" i="25"/>
  <c r="AN418" i="25"/>
  <c r="AN416" i="25"/>
  <c r="AN410" i="25"/>
  <c r="AN401" i="25"/>
  <c r="AN396" i="25"/>
  <c r="AN391" i="25"/>
  <c r="AN386" i="25"/>
  <c r="AN382" i="25"/>
  <c r="AN364" i="25"/>
  <c r="AN358" i="25"/>
  <c r="AN356" i="25"/>
  <c r="AN354" i="25"/>
  <c r="AN348" i="25"/>
  <c r="AN341" i="25"/>
  <c r="AN335" i="25"/>
  <c r="AN331" i="25"/>
  <c r="AN330" i="25"/>
  <c r="AN328" i="25"/>
  <c r="AN322" i="25"/>
  <c r="AN318" i="25"/>
  <c r="AN316" i="25"/>
  <c r="AN310" i="25"/>
  <c r="AN304" i="25"/>
  <c r="AN299" i="25"/>
  <c r="AN296" i="25"/>
  <c r="AN290" i="25"/>
  <c r="AN284" i="25"/>
  <c r="AN252" i="25"/>
  <c r="AN232" i="25"/>
  <c r="AN229" i="25"/>
  <c r="AN227" i="25"/>
  <c r="AN220" i="25"/>
  <c r="AN195" i="25"/>
  <c r="AN183" i="25"/>
  <c r="AN27" i="25"/>
  <c r="AL767" i="25"/>
  <c r="AL766" i="25"/>
  <c r="AL761" i="25"/>
  <c r="AL757" i="25"/>
  <c r="AL755" i="25"/>
  <c r="AL754" i="25"/>
  <c r="AL748" i="25"/>
  <c r="AL746" i="25"/>
  <c r="AL741" i="25"/>
  <c r="AL736" i="25"/>
  <c r="AL733" i="25"/>
  <c r="AL730" i="25"/>
  <c r="AL729" i="25"/>
  <c r="AL725" i="25"/>
  <c r="AL715" i="25"/>
  <c r="AL713" i="25"/>
  <c r="AL711" i="25"/>
  <c r="AL708" i="25"/>
  <c r="AL706" i="25"/>
  <c r="AL704" i="25"/>
  <c r="AL689" i="25"/>
  <c r="AL688" i="25"/>
  <c r="AL684" i="25"/>
  <c r="AL682" i="25"/>
  <c r="AL674" i="25"/>
  <c r="AL671" i="25"/>
  <c r="AL668" i="25"/>
  <c r="AL667" i="25"/>
  <c r="AL669" i="25"/>
  <c r="AL666" i="25"/>
  <c r="AL664" i="25"/>
  <c r="AL659" i="25"/>
  <c r="AL657" i="25"/>
  <c r="AL655" i="25"/>
  <c r="AL643" i="25"/>
  <c r="AL641" i="25"/>
  <c r="AL640" i="25"/>
  <c r="AL634" i="25"/>
  <c r="AL632" i="25"/>
  <c r="AL626" i="25"/>
  <c r="AL623" i="25"/>
  <c r="AL610" i="25"/>
  <c r="AL608" i="25"/>
  <c r="AL606" i="25"/>
  <c r="AL597" i="25"/>
  <c r="AL595" i="25"/>
  <c r="AL592" i="25"/>
  <c r="AL587" i="25"/>
  <c r="AL586" i="25"/>
  <c r="AL583" i="25"/>
  <c r="AL581" i="25"/>
  <c r="AL577" i="25"/>
  <c r="AL578" i="25"/>
  <c r="AL576" i="25"/>
  <c r="AL572" i="25"/>
  <c r="AL571" i="25"/>
  <c r="AL567" i="25"/>
  <c r="AL566" i="25"/>
  <c r="AL561" i="25"/>
  <c r="AL560" i="25"/>
  <c r="AL559" i="25"/>
  <c r="AL517" i="25"/>
  <c r="AL492" i="25"/>
  <c r="AL491" i="25"/>
  <c r="AL487" i="25"/>
  <c r="AL460" i="25"/>
  <c r="AL456" i="25"/>
  <c r="AL457" i="25"/>
  <c r="AL455" i="25"/>
  <c r="AL452" i="25"/>
  <c r="AL450" i="25"/>
  <c r="AL448" i="25"/>
  <c r="AL444" i="25"/>
  <c r="AL443" i="25"/>
  <c r="AL442" i="25"/>
  <c r="AL441" i="25"/>
  <c r="AL440" i="25"/>
  <c r="AL437" i="25"/>
  <c r="AL436" i="25"/>
  <c r="AL435" i="25"/>
  <c r="AL434" i="25"/>
  <c r="AL433" i="25"/>
  <c r="AL427" i="25"/>
  <c r="AL425" i="25"/>
  <c r="AL423" i="25"/>
  <c r="AL422" i="25"/>
  <c r="AL420" i="25"/>
  <c r="AL418" i="25"/>
  <c r="AL416" i="25"/>
  <c r="AL415" i="25"/>
  <c r="AL414" i="25"/>
  <c r="AL413" i="25"/>
  <c r="AL412" i="25"/>
  <c r="AL409" i="25"/>
  <c r="AL408" i="25"/>
  <c r="AL407" i="25"/>
  <c r="AL406" i="25"/>
  <c r="AL405" i="25"/>
  <c r="AL404" i="25"/>
  <c r="AL403" i="25"/>
  <c r="AL399" i="25"/>
  <c r="AL398" i="25"/>
  <c r="AL395" i="25"/>
  <c r="AL394" i="25"/>
  <c r="AL390" i="25"/>
  <c r="AL389" i="25"/>
  <c r="AL386" i="25"/>
  <c r="AL385" i="25"/>
  <c r="AL384" i="25"/>
  <c r="AL372" i="25"/>
  <c r="AL371" i="25"/>
  <c r="AL370" i="25"/>
  <c r="AL358" i="25"/>
  <c r="AL356" i="25"/>
  <c r="AL354" i="25"/>
  <c r="AL348" i="25"/>
  <c r="AL341" i="25"/>
  <c r="AL340" i="25"/>
  <c r="AL339" i="25"/>
  <c r="AL338" i="25"/>
  <c r="AL331" i="25"/>
  <c r="AL330" i="25"/>
  <c r="AL328" i="25"/>
  <c r="AL327" i="25"/>
  <c r="AL326" i="25"/>
  <c r="AL325" i="25"/>
  <c r="AL324" i="25"/>
  <c r="AL323" i="25"/>
  <c r="AL318" i="25"/>
  <c r="AL316" i="25"/>
  <c r="AL315" i="25"/>
  <c r="AL314" i="25"/>
  <c r="AL313" i="25"/>
  <c r="AL312" i="25"/>
  <c r="AL311" i="25"/>
  <c r="AL306" i="25"/>
  <c r="AL305" i="25"/>
  <c r="AL303" i="25"/>
  <c r="AL302" i="25"/>
  <c r="AL301" i="25"/>
  <c r="AL300" i="25"/>
  <c r="AL298" i="25"/>
  <c r="AL297" i="25"/>
  <c r="AL295" i="25"/>
  <c r="AL294" i="25"/>
  <c r="AL293" i="25"/>
  <c r="AL292" i="25"/>
  <c r="AL291" i="25"/>
  <c r="AL284" i="25"/>
  <c r="AL258" i="25"/>
  <c r="AL259" i="25"/>
  <c r="AL257" i="25"/>
  <c r="AL252" i="25"/>
  <c r="AL236" i="25"/>
  <c r="AL232" i="25"/>
  <c r="AL229" i="25"/>
  <c r="AL227" i="25"/>
  <c r="AL220" i="25"/>
  <c r="AL214" i="25"/>
  <c r="AL211" i="25"/>
  <c r="AL196" i="25"/>
  <c r="AL195" i="25"/>
  <c r="AL183" i="25"/>
  <c r="AL179" i="25"/>
  <c r="AL173" i="25"/>
  <c r="AL168" i="25"/>
  <c r="AL160" i="25"/>
  <c r="AL150" i="25"/>
  <c r="AL124" i="25"/>
  <c r="AL101" i="25"/>
  <c r="AL84" i="25"/>
  <c r="AL81" i="25"/>
  <c r="AL80" i="25"/>
  <c r="AL77" i="25"/>
  <c r="AL71" i="25"/>
  <c r="AL68" i="25"/>
  <c r="AL59" i="25"/>
  <c r="AL57" i="25"/>
  <c r="AL56" i="25"/>
  <c r="AL55" i="25"/>
  <c r="AL54" i="25"/>
  <c r="AL51" i="25"/>
  <c r="AL52" i="25"/>
  <c r="AL50" i="25"/>
  <c r="AL47" i="25"/>
  <c r="AL45" i="25"/>
  <c r="AL44" i="25"/>
  <c r="AL42" i="25"/>
  <c r="AL41" i="25"/>
  <c r="AR546" i="24"/>
  <c r="AR542" i="24"/>
  <c r="AR540" i="24"/>
  <c r="AR535" i="24"/>
  <c r="AR536" i="24"/>
  <c r="AR534" i="24"/>
  <c r="AR532" i="24"/>
  <c r="AR530" i="24"/>
  <c r="AR526" i="24"/>
  <c r="AR521" i="24"/>
  <c r="AR517" i="24"/>
  <c r="AR515" i="24"/>
  <c r="AR513" i="24"/>
  <c r="AR511" i="24"/>
  <c r="AR509" i="24"/>
  <c r="AR507" i="24"/>
  <c r="AR506" i="24"/>
  <c r="AR495" i="24"/>
  <c r="AR487" i="24"/>
  <c r="AR477" i="24"/>
  <c r="AR465" i="24"/>
  <c r="AR459" i="24"/>
  <c r="AR453" i="24"/>
  <c r="AR446" i="24"/>
  <c r="AR439" i="24"/>
  <c r="AR432" i="24"/>
  <c r="AR426" i="24"/>
  <c r="AR418" i="24"/>
  <c r="AR409" i="24"/>
  <c r="AR392" i="24"/>
  <c r="AR390" i="24"/>
  <c r="AR379" i="24"/>
  <c r="AR376" i="24"/>
  <c r="AR370" i="24"/>
  <c r="AR365" i="24"/>
  <c r="AR356" i="24"/>
  <c r="AR354" i="24"/>
  <c r="AR353" i="24"/>
  <c r="AR351" i="24"/>
  <c r="AR350" i="24"/>
  <c r="AR319" i="24"/>
  <c r="AR314" i="24"/>
  <c r="AR313" i="24"/>
  <c r="AR306" i="24"/>
  <c r="AR293" i="24"/>
  <c r="AR278" i="24"/>
  <c r="AR275" i="24"/>
  <c r="AR271" i="24"/>
  <c r="AR269" i="24"/>
  <c r="AR267" i="24"/>
  <c r="AR265" i="24"/>
  <c r="AR261" i="24"/>
  <c r="AR254" i="24"/>
  <c r="AR248" i="24"/>
  <c r="AR244" i="24"/>
  <c r="AR242" i="24"/>
  <c r="AR237" i="24"/>
  <c r="AR233" i="24"/>
  <c r="AR230" i="24"/>
  <c r="AR229" i="24"/>
  <c r="AR227" i="24"/>
  <c r="AR219" i="24"/>
  <c r="AR220" i="24"/>
  <c r="AR218" i="24"/>
  <c r="AR216" i="24"/>
  <c r="AR210" i="24"/>
  <c r="AR207" i="24"/>
  <c r="AR205" i="24"/>
  <c r="AR193" i="24"/>
  <c r="AR191" i="24"/>
  <c r="AR189" i="24"/>
  <c r="AR183" i="24"/>
  <c r="AR179" i="24"/>
  <c r="AR178" i="24"/>
  <c r="AR175" i="24"/>
  <c r="AR165" i="24"/>
  <c r="AR157" i="24"/>
  <c r="AR153" i="24"/>
  <c r="AR151" i="24"/>
  <c r="AR149" i="24"/>
  <c r="AR146" i="24"/>
  <c r="AR144" i="24"/>
  <c r="AR131" i="24"/>
  <c r="AR122" i="24"/>
  <c r="AR119" i="24"/>
  <c r="AR117" i="24"/>
  <c r="AR113" i="24"/>
  <c r="AR111" i="24"/>
  <c r="AR105" i="24"/>
  <c r="AR103" i="24"/>
  <c r="AR98" i="24"/>
  <c r="AR96" i="24"/>
  <c r="AR93" i="24"/>
  <c r="AR80" i="24"/>
  <c r="AR62" i="24"/>
  <c r="AR57" i="24"/>
  <c r="AR56" i="24"/>
  <c r="AR55" i="24"/>
  <c r="AR54" i="24"/>
  <c r="AR53" i="24"/>
  <c r="AR52" i="24"/>
  <c r="AR46" i="24"/>
  <c r="AR45" i="24"/>
  <c r="AR44" i="24"/>
  <c r="AR43" i="24"/>
  <c r="AR42" i="24"/>
  <c r="AR41" i="24"/>
  <c r="AR37" i="24"/>
  <c r="AR34" i="24"/>
  <c r="AR31" i="24"/>
  <c r="AR13" i="24"/>
  <c r="AP546" i="24"/>
  <c r="AP542" i="24"/>
  <c r="AP540" i="24"/>
  <c r="AP535" i="24"/>
  <c r="AP536" i="24"/>
  <c r="AP534" i="24"/>
  <c r="AP532" i="24"/>
  <c r="AP530" i="24"/>
  <c r="AP526" i="24"/>
  <c r="AP521" i="24"/>
  <c r="AP517" i="24"/>
  <c r="AP515" i="24"/>
  <c r="AP513" i="24"/>
  <c r="AP511" i="24"/>
  <c r="AP509" i="24"/>
  <c r="AP507" i="24"/>
  <c r="AP506" i="24"/>
  <c r="AP495" i="24"/>
  <c r="AP489" i="24"/>
  <c r="AP478" i="24"/>
  <c r="AP466" i="24"/>
  <c r="AP460" i="24"/>
  <c r="AP454" i="24"/>
  <c r="AP447" i="24"/>
  <c r="AP441" i="24"/>
  <c r="AP434" i="24"/>
  <c r="AP426" i="24"/>
  <c r="AP418" i="24"/>
  <c r="AP409" i="24"/>
  <c r="AP392" i="24"/>
  <c r="AP390" i="24"/>
  <c r="AP379" i="24"/>
  <c r="AP376" i="24"/>
  <c r="AP370" i="24"/>
  <c r="AP365" i="24"/>
  <c r="AP356" i="24"/>
  <c r="AP354" i="24"/>
  <c r="AP353" i="24"/>
  <c r="AP351" i="24"/>
  <c r="AP350" i="24"/>
  <c r="AP326" i="24"/>
  <c r="AP325" i="24"/>
  <c r="AP324" i="24"/>
  <c r="AP323" i="24"/>
  <c r="AP322" i="24"/>
  <c r="AP321" i="24"/>
  <c r="AP320" i="24"/>
  <c r="AP319" i="24"/>
  <c r="AP314" i="24"/>
  <c r="AP313" i="24"/>
  <c r="AP312" i="24"/>
  <c r="AP311" i="24"/>
  <c r="AP310" i="24"/>
  <c r="AP309" i="24"/>
  <c r="AP308" i="24"/>
  <c r="AP307" i="24"/>
  <c r="AP306" i="24"/>
  <c r="AP293" i="24"/>
  <c r="AP291" i="24"/>
  <c r="AP278" i="24"/>
  <c r="AP275" i="24"/>
  <c r="AP272" i="24"/>
  <c r="AP270" i="24"/>
  <c r="AP268" i="24"/>
  <c r="AP266" i="24"/>
  <c r="AP261" i="24"/>
  <c r="AP254" i="24"/>
  <c r="AP248" i="24"/>
  <c r="AP244" i="24"/>
  <c r="AP242" i="24"/>
  <c r="AP237" i="24"/>
  <c r="AP233" i="24"/>
  <c r="AP230" i="24"/>
  <c r="AP229" i="24"/>
  <c r="AP227" i="24"/>
  <c r="AP219" i="24"/>
  <c r="AP220" i="24"/>
  <c r="AP218" i="24"/>
  <c r="AP216" i="24"/>
  <c r="AP210" i="24"/>
  <c r="AP207" i="24"/>
  <c r="AP205" i="24"/>
  <c r="AP193" i="24"/>
  <c r="AP191" i="24"/>
  <c r="AP189" i="24"/>
  <c r="AP183" i="24"/>
  <c r="AP179" i="24"/>
  <c r="AP178" i="24"/>
  <c r="AP175" i="24"/>
  <c r="AP165" i="24"/>
  <c r="AP157" i="24"/>
  <c r="AP153" i="24"/>
  <c r="AP151" i="24"/>
  <c r="AP149" i="24"/>
  <c r="AP146" i="24"/>
  <c r="AP144" i="24"/>
  <c r="AP139" i="24"/>
  <c r="AP135" i="24"/>
  <c r="AP131" i="24"/>
  <c r="AP125" i="24"/>
  <c r="AP123" i="24"/>
  <c r="AP122" i="24"/>
  <c r="AP119" i="24"/>
  <c r="AP117" i="24"/>
  <c r="AP113" i="24"/>
  <c r="AP111" i="24"/>
  <c r="AP105" i="24"/>
  <c r="AP103" i="24"/>
  <c r="AP101" i="24"/>
  <c r="AP100" i="24"/>
  <c r="AP96" i="24"/>
  <c r="AP93" i="24"/>
  <c r="AP80" i="24"/>
  <c r="AP73" i="24"/>
  <c r="AP71" i="24"/>
  <c r="AP67" i="24"/>
  <c r="AP66" i="24"/>
  <c r="AP65" i="24"/>
  <c r="AP56" i="24"/>
  <c r="AP55" i="24"/>
  <c r="AP54" i="24"/>
  <c r="AP53" i="24"/>
  <c r="AP52" i="24"/>
  <c r="AP46" i="24"/>
  <c r="AP45" i="24"/>
  <c r="AP44" i="24"/>
  <c r="AP43" i="24"/>
  <c r="AP42" i="24"/>
  <c r="AP41" i="24"/>
  <c r="AP37" i="24"/>
  <c r="AP34" i="24"/>
  <c r="AP31" i="24"/>
  <c r="AN546" i="24"/>
  <c r="AN519" i="24"/>
  <c r="AN503" i="24"/>
  <c r="AN495" i="24"/>
  <c r="AN472" i="24"/>
  <c r="AN428" i="24"/>
  <c r="AN426" i="24"/>
  <c r="AN418" i="24"/>
  <c r="AN409" i="24"/>
  <c r="AN388" i="24"/>
  <c r="AN379" i="24"/>
  <c r="AN376" i="24"/>
  <c r="AN370" i="24"/>
  <c r="AN365" i="24"/>
  <c r="AN356" i="24"/>
  <c r="AN353" i="24"/>
  <c r="AN350" i="24"/>
  <c r="AN318" i="24"/>
  <c r="AN302" i="24"/>
  <c r="AN293" i="24"/>
  <c r="AN278" i="24"/>
  <c r="AN265" i="24"/>
  <c r="AN261" i="24"/>
  <c r="AN254" i="24"/>
  <c r="AN248" i="24"/>
  <c r="AN244" i="24"/>
  <c r="AN242" i="24"/>
  <c r="AN233" i="24"/>
  <c r="AN223" i="24"/>
  <c r="AN220" i="24"/>
  <c r="AN219" i="24"/>
  <c r="AN218" i="24"/>
  <c r="AN216" i="24"/>
  <c r="AN207" i="24"/>
  <c r="AN192" i="24"/>
  <c r="AN191" i="24"/>
  <c r="AN189" i="24"/>
  <c r="AN183" i="24"/>
  <c r="AN179" i="24"/>
  <c r="AN178" i="24"/>
  <c r="AN175" i="24"/>
  <c r="AN153" i="24"/>
  <c r="AN151" i="24"/>
  <c r="AN149" i="24"/>
  <c r="AN146" i="24"/>
  <c r="AN144" i="24"/>
  <c r="AN139" i="24"/>
  <c r="AN135" i="24"/>
  <c r="AN131" i="24"/>
  <c r="AN125" i="24"/>
  <c r="AN123" i="24"/>
  <c r="AN117" i="24"/>
  <c r="AN111" i="24"/>
  <c r="AN105" i="24"/>
  <c r="AN98" i="24"/>
  <c r="AN96" i="24"/>
  <c r="AN80" i="24"/>
  <c r="AN62" i="24"/>
  <c r="AN57" i="24"/>
  <c r="AN56" i="24"/>
  <c r="AN55" i="24"/>
  <c r="AN54" i="24"/>
  <c r="AN53" i="24"/>
  <c r="AN52" i="24"/>
  <c r="AN46" i="24"/>
  <c r="AN45" i="24"/>
  <c r="AN44" i="24"/>
  <c r="AN43" i="24"/>
  <c r="AN42" i="24"/>
  <c r="AN41" i="24"/>
  <c r="AN37" i="24"/>
  <c r="AN34" i="24"/>
  <c r="AN31" i="24"/>
  <c r="AN13" i="24"/>
  <c r="AL559" i="24"/>
  <c r="AL558" i="24"/>
  <c r="AL560" i="24"/>
  <c r="AL557" i="24"/>
  <c r="AL553" i="24"/>
  <c r="AL551" i="24"/>
  <c r="AL542" i="24"/>
  <c r="AL540" i="24"/>
  <c r="AL535" i="24"/>
  <c r="AL536" i="24"/>
  <c r="AL534" i="24"/>
  <c r="AL532" i="24"/>
  <c r="AL530" i="24"/>
  <c r="AL526" i="24"/>
  <c r="AL521" i="24"/>
  <c r="AL519" i="24"/>
  <c r="AL517" i="24"/>
  <c r="AL515" i="24"/>
  <c r="AL513" i="24"/>
  <c r="AL511" i="24"/>
  <c r="AL509" i="24"/>
  <c r="AL507" i="24"/>
  <c r="AL506" i="24"/>
  <c r="AL503" i="24"/>
  <c r="AL495" i="24"/>
  <c r="AL472" i="24"/>
  <c r="AL446" i="24"/>
  <c r="AL432" i="24"/>
  <c r="AL428" i="24"/>
  <c r="AL426" i="24"/>
  <c r="AL418" i="24"/>
  <c r="AL409" i="24"/>
  <c r="AL392" i="24"/>
  <c r="AL390" i="24"/>
  <c r="AL388" i="24"/>
  <c r="AL379" i="24"/>
  <c r="AL376" i="24"/>
  <c r="AL370" i="24"/>
  <c r="AL365" i="24"/>
  <c r="AL356" i="24"/>
  <c r="AL353" i="24"/>
  <c r="AL350" i="24"/>
  <c r="AL333" i="24"/>
  <c r="AL331" i="24"/>
  <c r="AL329" i="24"/>
  <c r="AL305" i="24"/>
  <c r="AL304" i="24"/>
  <c r="AL302" i="24"/>
  <c r="AL293" i="24"/>
  <c r="AL278" i="24"/>
  <c r="AL275" i="24"/>
  <c r="AL265" i="24"/>
  <c r="AL261" i="24"/>
  <c r="AL254" i="24"/>
  <c r="AL248" i="24"/>
  <c r="AL244" i="24"/>
  <c r="AL242" i="24"/>
  <c r="AL237" i="24"/>
  <c r="AL233" i="24"/>
  <c r="AL223" i="24"/>
  <c r="AL219" i="24"/>
  <c r="AL220" i="24"/>
  <c r="AL218" i="24"/>
  <c r="AL216" i="24"/>
  <c r="AL210" i="24"/>
  <c r="AL207" i="24"/>
  <c r="AL205" i="24"/>
  <c r="AL192" i="24"/>
  <c r="AL191" i="24"/>
  <c r="AL189" i="24"/>
  <c r="AL187" i="24"/>
  <c r="AL184" i="24"/>
  <c r="AL179" i="24"/>
  <c r="AL178" i="24"/>
  <c r="AL175" i="24"/>
  <c r="AL165" i="24"/>
  <c r="AL157" i="24"/>
  <c r="AL153" i="24"/>
  <c r="AL151" i="24"/>
  <c r="AL149" i="24"/>
  <c r="AL146" i="24"/>
  <c r="AL144" i="24"/>
  <c r="AL139" i="24"/>
  <c r="AL135" i="24"/>
  <c r="AL131" i="24"/>
  <c r="AL125" i="24"/>
  <c r="AL123" i="24"/>
  <c r="AL119" i="24"/>
  <c r="AL117" i="24"/>
  <c r="AL113" i="24"/>
  <c r="AL111" i="24"/>
  <c r="AL105" i="24"/>
  <c r="AL103" i="24"/>
  <c r="AL98" i="24"/>
  <c r="AL96" i="24"/>
  <c r="AL93" i="24"/>
  <c r="AL80" i="24"/>
  <c r="AL78" i="24"/>
  <c r="AL76" i="24"/>
  <c r="AL75" i="24"/>
  <c r="AL61" i="24"/>
  <c r="AL62" i="24"/>
  <c r="AL60" i="24"/>
  <c r="AL57" i="24"/>
  <c r="AL56" i="24"/>
  <c r="AL55" i="24"/>
  <c r="AL54" i="24"/>
  <c r="AL53" i="24"/>
  <c r="AL52" i="24"/>
  <c r="AL49" i="24"/>
  <c r="AL46" i="24"/>
  <c r="AL45" i="24"/>
  <c r="AL44" i="24"/>
  <c r="AL43" i="24"/>
  <c r="AL42" i="24"/>
  <c r="AL41" i="24"/>
  <c r="AL37" i="24"/>
  <c r="AL34" i="24"/>
  <c r="AL31" i="24"/>
  <c r="AL23" i="24"/>
  <c r="AL22" i="24"/>
  <c r="AL21" i="24"/>
  <c r="AL20" i="24"/>
  <c r="AL19" i="24"/>
  <c r="AR326" i="8"/>
  <c r="AR324" i="8"/>
  <c r="AR322" i="8"/>
  <c r="AR317" i="8"/>
  <c r="AR316" i="8"/>
  <c r="AR313" i="8"/>
  <c r="AR310" i="8"/>
  <c r="AR306" i="8"/>
  <c r="AR293" i="8"/>
  <c r="AR294" i="8"/>
  <c r="AR292" i="8"/>
  <c r="AR289" i="8"/>
  <c r="AR287" i="8"/>
  <c r="AR283" i="8"/>
  <c r="AR276" i="8"/>
  <c r="AR273" i="8"/>
  <c r="AR263" i="8"/>
  <c r="AR258" i="8"/>
  <c r="AR256" i="8"/>
  <c r="AR254" i="8"/>
  <c r="AR247" i="8"/>
  <c r="AR239" i="8"/>
  <c r="AR238" i="8"/>
  <c r="AR235" i="8"/>
  <c r="AR231" i="8"/>
  <c r="AR229" i="8"/>
  <c r="AR227" i="8"/>
  <c r="AR226" i="8"/>
  <c r="AR224" i="8"/>
  <c r="AR221" i="8"/>
  <c r="AR214" i="8"/>
  <c r="AR209" i="8"/>
  <c r="AR201" i="8"/>
  <c r="AR195" i="8"/>
  <c r="AR188" i="8"/>
  <c r="AR186" i="8"/>
  <c r="AR184" i="8"/>
  <c r="AR182" i="8"/>
  <c r="AR179" i="8"/>
  <c r="AR177" i="8"/>
  <c r="AR172" i="8"/>
  <c r="AR171" i="8"/>
  <c r="AR166" i="8"/>
  <c r="AR163" i="8"/>
  <c r="AR161" i="8"/>
  <c r="AR158" i="8"/>
  <c r="AR156" i="8"/>
  <c r="AR150" i="8"/>
  <c r="AR146" i="8"/>
  <c r="AR143" i="8"/>
  <c r="AR141" i="8"/>
  <c r="AR136" i="8"/>
  <c r="AR129" i="8"/>
  <c r="AR125" i="8"/>
  <c r="AR122" i="8"/>
  <c r="AR115" i="8"/>
  <c r="AR102" i="8"/>
  <c r="AR89" i="8"/>
  <c r="AR69" i="8"/>
  <c r="AR64" i="8"/>
  <c r="AR59" i="8"/>
  <c r="AR56" i="8"/>
  <c r="AR53" i="8"/>
  <c r="AR51" i="8"/>
  <c r="AR46" i="8"/>
  <c r="AR43" i="8"/>
  <c r="AR38" i="8"/>
  <c r="AR28" i="8"/>
  <c r="AR26" i="8"/>
  <c r="AR24" i="8"/>
  <c r="AR22" i="8"/>
  <c r="AR20" i="8"/>
  <c r="A490" i="80" l="1"/>
  <c r="C489" i="80"/>
  <c r="AR14" i="8"/>
  <c r="AP326" i="8"/>
  <c r="AP324" i="8"/>
  <c r="AP322" i="8"/>
  <c r="AP317" i="8"/>
  <c r="AP316" i="8"/>
  <c r="AP313" i="8"/>
  <c r="AP310" i="8"/>
  <c r="AP306" i="8"/>
  <c r="AP295" i="8"/>
  <c r="AP293" i="8"/>
  <c r="AP292" i="8"/>
  <c r="AP289" i="8"/>
  <c r="AP287" i="8"/>
  <c r="AP283" i="8"/>
  <c r="AP277" i="8"/>
  <c r="AP273" i="8"/>
  <c r="AP272" i="8"/>
  <c r="AP268" i="8"/>
  <c r="AP265" i="8"/>
  <c r="AP258" i="8"/>
  <c r="AP256" i="8"/>
  <c r="AP254" i="8"/>
  <c r="AP247" i="8"/>
  <c r="AP245" i="8"/>
  <c r="AP244" i="8"/>
  <c r="AP243" i="8"/>
  <c r="AP242" i="8"/>
  <c r="AP241" i="8"/>
  <c r="AP240" i="8"/>
  <c r="AP238" i="8"/>
  <c r="AP235" i="8"/>
  <c r="AP231" i="8"/>
  <c r="AP229" i="8"/>
  <c r="AP227" i="8"/>
  <c r="AP226" i="8"/>
  <c r="AP224" i="8"/>
  <c r="AP219" i="8"/>
  <c r="AP217" i="8"/>
  <c r="AP216" i="8"/>
  <c r="AP209" i="8"/>
  <c r="AP202" i="8"/>
  <c r="AP194" i="8"/>
  <c r="AP191" i="8"/>
  <c r="AP192" i="8"/>
  <c r="AP190" i="8"/>
  <c r="AP186" i="8"/>
  <c r="AP184" i="8"/>
  <c r="AP182" i="8"/>
  <c r="AP179" i="8"/>
  <c r="AP177" i="8"/>
  <c r="AP172" i="8"/>
  <c r="AP171" i="8"/>
  <c r="AP166" i="8"/>
  <c r="AP163" i="8"/>
  <c r="AP161" i="8"/>
  <c r="AP158" i="8"/>
  <c r="AP156" i="8"/>
  <c r="AP150" i="8"/>
  <c r="AP148" i="8"/>
  <c r="AP143" i="8"/>
  <c r="AP141" i="8"/>
  <c r="AP136" i="8"/>
  <c r="AP129" i="8"/>
  <c r="AP125" i="8"/>
  <c r="AP122" i="8"/>
  <c r="AP113" i="8"/>
  <c r="AP114" i="8"/>
  <c r="AP112" i="8"/>
  <c r="AP110" i="8"/>
  <c r="AP109" i="8"/>
  <c r="AP105" i="8"/>
  <c r="AP101" i="8"/>
  <c r="AP99" i="8"/>
  <c r="AP94" i="8"/>
  <c r="AP92" i="8"/>
  <c r="AP91" i="8"/>
  <c r="AP90" i="8"/>
  <c r="AP84" i="8"/>
  <c r="AP82" i="8"/>
  <c r="AP78" i="8"/>
  <c r="AP80" i="8"/>
  <c r="AP76" i="8"/>
  <c r="AP74" i="8"/>
  <c r="AP72" i="8"/>
  <c r="AP70" i="8"/>
  <c r="AP59" i="8"/>
  <c r="AP56" i="8"/>
  <c r="AP53" i="8"/>
  <c r="AP51" i="8"/>
  <c r="AP46" i="8"/>
  <c r="AP43" i="8"/>
  <c r="AP38" i="8"/>
  <c r="AP28" i="8"/>
  <c r="AP26" i="8"/>
  <c r="AP24" i="8"/>
  <c r="AP22" i="8"/>
  <c r="AP19" i="8"/>
  <c r="AP18" i="8"/>
  <c r="AP17" i="8"/>
  <c r="AP15" i="8"/>
  <c r="AN326" i="8"/>
  <c r="AN324" i="8"/>
  <c r="AN322" i="8"/>
  <c r="AN317" i="8"/>
  <c r="AN316" i="8"/>
  <c r="AN313" i="8"/>
  <c r="AN310" i="8"/>
  <c r="AN306" i="8"/>
  <c r="AN293" i="8"/>
  <c r="AN294" i="8"/>
  <c r="AN292" i="8"/>
  <c r="AN289" i="8"/>
  <c r="AN287" i="8"/>
  <c r="AN283" i="8"/>
  <c r="AN276" i="8"/>
  <c r="AN273" i="8"/>
  <c r="AN263" i="8"/>
  <c r="AN258" i="8"/>
  <c r="AN256" i="8"/>
  <c r="AN254" i="8"/>
  <c r="AN247" i="8"/>
  <c r="AN239" i="8"/>
  <c r="AN238" i="8"/>
  <c r="AN235" i="8"/>
  <c r="AN231" i="8"/>
  <c r="AN229" i="8"/>
  <c r="AN227" i="8"/>
  <c r="AN226" i="8"/>
  <c r="AN224" i="8"/>
  <c r="AN219" i="8"/>
  <c r="AN217" i="8"/>
  <c r="AN216" i="8"/>
  <c r="AN209" i="8"/>
  <c r="AN201" i="8"/>
  <c r="AN188" i="8"/>
  <c r="AN186" i="8"/>
  <c r="AN184" i="8"/>
  <c r="AN182" i="8"/>
  <c r="AN179" i="8"/>
  <c r="AN177" i="8"/>
  <c r="AN172" i="8"/>
  <c r="AN171" i="8"/>
  <c r="AN166" i="8"/>
  <c r="AN163" i="8"/>
  <c r="AN161" i="8"/>
  <c r="AN158" i="8"/>
  <c r="AN156" i="8"/>
  <c r="AN150" i="8"/>
  <c r="AN143" i="8"/>
  <c r="AN141" i="8"/>
  <c r="AN136" i="8"/>
  <c r="AN129" i="8"/>
  <c r="AN125" i="8"/>
  <c r="AN122" i="8"/>
  <c r="AN114" i="8"/>
  <c r="AN107" i="8"/>
  <c r="AN105" i="8"/>
  <c r="AN101" i="8"/>
  <c r="AN99" i="8"/>
  <c r="AN94" i="8"/>
  <c r="AN92" i="8"/>
  <c r="AN91" i="8"/>
  <c r="AN84" i="8"/>
  <c r="AN82" i="8"/>
  <c r="AN78" i="8"/>
  <c r="AN80" i="8"/>
  <c r="AN76" i="8"/>
  <c r="AN74" i="8"/>
  <c r="AN72" i="8"/>
  <c r="AN70" i="8"/>
  <c r="AN59" i="8"/>
  <c r="AN56" i="8"/>
  <c r="AN53" i="8"/>
  <c r="AN51" i="8"/>
  <c r="AN46" i="8"/>
  <c r="AN43" i="8"/>
  <c r="AN38" i="8"/>
  <c r="AN28" i="8"/>
  <c r="AN26" i="8"/>
  <c r="AN24" i="8"/>
  <c r="AN22" i="8"/>
  <c r="AN14" i="8"/>
  <c r="AL326" i="8"/>
  <c r="AL324" i="8"/>
  <c r="AL322" i="8"/>
  <c r="AL317" i="8"/>
  <c r="AL316" i="8"/>
  <c r="AL313" i="8"/>
  <c r="AL310" i="8"/>
  <c r="AL306" i="8"/>
  <c r="AL293" i="8"/>
  <c r="AL294" i="8"/>
  <c r="AL292" i="8"/>
  <c r="AL289" i="8"/>
  <c r="AL287" i="8"/>
  <c r="AL283" i="8"/>
  <c r="AL281" i="8"/>
  <c r="AL280" i="8"/>
  <c r="AL279" i="8"/>
  <c r="AL278" i="8"/>
  <c r="AL277" i="8"/>
  <c r="AL273" i="8"/>
  <c r="AL263" i="8"/>
  <c r="AL261" i="8"/>
  <c r="AL260" i="8"/>
  <c r="AL259" i="8"/>
  <c r="AL256" i="8"/>
  <c r="AL254" i="8"/>
  <c r="AL247" i="8"/>
  <c r="AL239" i="8"/>
  <c r="AL238" i="8"/>
  <c r="AL235" i="8"/>
  <c r="AL231" i="8"/>
  <c r="AL229" i="8"/>
  <c r="AL227" i="8"/>
  <c r="AL226" i="8"/>
  <c r="AL224" i="8"/>
  <c r="AL219" i="8"/>
  <c r="AL217" i="8"/>
  <c r="AL216" i="8"/>
  <c r="AL209" i="8"/>
  <c r="AL204" i="8"/>
  <c r="AL201" i="8"/>
  <c r="AL194" i="8"/>
  <c r="AL192" i="8"/>
  <c r="AL191" i="8"/>
  <c r="AL190" i="8"/>
  <c r="AL186" i="8"/>
  <c r="AL184" i="8"/>
  <c r="AL182" i="8"/>
  <c r="AL179" i="8"/>
  <c r="AL177" i="8"/>
  <c r="AL172" i="8"/>
  <c r="AL171" i="8"/>
  <c r="AL170" i="8"/>
  <c r="AL169" i="8"/>
  <c r="AL168" i="8"/>
  <c r="AL167" i="8"/>
  <c r="AL163" i="8"/>
  <c r="AL161" i="8"/>
  <c r="AL158" i="8"/>
  <c r="AL156" i="8"/>
  <c r="AL155" i="8"/>
  <c r="AL154" i="8"/>
  <c r="AL153" i="8"/>
  <c r="AL152" i="8"/>
  <c r="AL143" i="8"/>
  <c r="AL141" i="8"/>
  <c r="AL140" i="8"/>
  <c r="AL139" i="8"/>
  <c r="AL138" i="8"/>
  <c r="AL135" i="8"/>
  <c r="AL134" i="8"/>
  <c r="AL133" i="8"/>
  <c r="AL125" i="8"/>
  <c r="AL122" i="8"/>
  <c r="AL114" i="8"/>
  <c r="AL107" i="8"/>
  <c r="AL105" i="8"/>
  <c r="AL101" i="8"/>
  <c r="AL99" i="8"/>
  <c r="AL98" i="8"/>
  <c r="AL97" i="8"/>
  <c r="AL96" i="8"/>
  <c r="AL92" i="8"/>
  <c r="AL91" i="8"/>
  <c r="AL84" i="8"/>
  <c r="AL82" i="8"/>
  <c r="AL80" i="8"/>
  <c r="AL78" i="8"/>
  <c r="AL76" i="8"/>
  <c r="AL74" i="8"/>
  <c r="AL72" i="8"/>
  <c r="AL70" i="8"/>
  <c r="AL59" i="8"/>
  <c r="AL56" i="8"/>
  <c r="AL53" i="8"/>
  <c r="AL51" i="8"/>
  <c r="AL50" i="8"/>
  <c r="AL49" i="8"/>
  <c r="AL48" i="8"/>
  <c r="AL42" i="8"/>
  <c r="AL43" i="8"/>
  <c r="AL41" i="8"/>
  <c r="AL28" i="8"/>
  <c r="AL26" i="8"/>
  <c r="AL24" i="8"/>
  <c r="AL22" i="8"/>
  <c r="AL19" i="8"/>
  <c r="AL18" i="8"/>
  <c r="AL17" i="8"/>
  <c r="AL14" i="8"/>
  <c r="AM224" i="29"/>
  <c r="AM220" i="29"/>
  <c r="AM217" i="29"/>
  <c r="AM213" i="29"/>
  <c r="AM211" i="29"/>
  <c r="AM198" i="29"/>
  <c r="AM195" i="29"/>
  <c r="AM193" i="29"/>
  <c r="AM192" i="29"/>
  <c r="AM177" i="29"/>
  <c r="AM165" i="29"/>
  <c r="AM154" i="29"/>
  <c r="AM124" i="29"/>
  <c r="AM97" i="29"/>
  <c r="AM79" i="29"/>
  <c r="AM62" i="29"/>
  <c r="AM382" i="28"/>
  <c r="AM377" i="28"/>
  <c r="AM373" i="28"/>
  <c r="AM310" i="28"/>
  <c r="AM288" i="28"/>
  <c r="AM246" i="28"/>
  <c r="AM245" i="28"/>
  <c r="AM243" i="28"/>
  <c r="AM229" i="28"/>
  <c r="AM215" i="28"/>
  <c r="AM164" i="28"/>
  <c r="A491" i="80" l="1"/>
  <c r="C491" i="80" s="1"/>
  <c r="C490" i="80"/>
  <c r="AM211" i="27"/>
  <c r="AM206" i="27"/>
  <c r="AM205" i="27"/>
  <c r="AM202" i="27"/>
  <c r="AM201" i="27"/>
  <c r="AM171" i="27"/>
  <c r="AM169" i="27"/>
  <c r="AM168" i="27"/>
  <c r="AM166" i="27"/>
  <c r="AM116" i="27"/>
  <c r="AM115" i="27"/>
  <c r="AM111" i="27"/>
  <c r="AM109" i="27"/>
  <c r="AM108" i="27"/>
  <c r="AM107" i="27"/>
  <c r="AM103" i="27"/>
  <c r="AM89" i="27"/>
  <c r="AM82" i="27"/>
  <c r="AM75" i="27"/>
  <c r="AM73" i="27"/>
  <c r="AM66" i="27"/>
  <c r="AM64" i="27"/>
  <c r="AM767" i="25"/>
  <c r="AM766" i="25"/>
  <c r="AM761" i="25"/>
  <c r="AM757" i="25"/>
  <c r="AM755" i="25"/>
  <c r="AM754" i="25"/>
  <c r="AM748" i="25"/>
  <c r="AM746" i="25"/>
  <c r="AM736" i="25"/>
  <c r="AM715" i="25"/>
  <c r="AM713" i="25"/>
  <c r="AM711" i="25"/>
  <c r="AM634" i="25"/>
  <c r="AM632" i="25"/>
  <c r="AM608" i="25"/>
  <c r="AM606" i="25"/>
  <c r="AM416" i="25"/>
  <c r="AM403" i="25"/>
  <c r="AM394" i="25"/>
  <c r="AM386" i="25"/>
  <c r="AM560" i="24"/>
  <c r="AM559" i="24"/>
  <c r="AM558" i="24"/>
  <c r="AM557" i="24"/>
  <c r="AM553" i="24"/>
  <c r="AM551" i="24"/>
  <c r="AM392" i="24"/>
  <c r="AM390" i="24"/>
  <c r="AM220" i="24"/>
  <c r="AM326" i="8"/>
  <c r="AM324" i="8"/>
  <c r="AM322" i="8"/>
  <c r="AM317" i="8"/>
  <c r="AM316" i="8"/>
  <c r="AM313" i="8"/>
  <c r="AM310" i="8"/>
  <c r="AM306" i="8"/>
  <c r="AM293" i="8"/>
  <c r="AM292" i="8"/>
  <c r="AM289" i="8"/>
  <c r="AM287" i="8"/>
  <c r="AM204" i="8"/>
  <c r="AM143" i="8"/>
  <c r="AM84" i="8"/>
  <c r="AM56" i="8"/>
  <c r="AM53" i="8"/>
  <c r="AM51" i="8"/>
  <c r="AM42" i="8"/>
  <c r="AM41" i="8"/>
  <c r="U710" i="16" l="1"/>
  <c r="U708" i="16"/>
  <c r="U392" i="24"/>
  <c r="BV4" i="2" s="1"/>
  <c r="U390" i="24"/>
  <c r="BU4" i="2" s="1"/>
  <c r="O706" i="16"/>
  <c r="E62" i="89" l="1"/>
  <c r="F27" i="89"/>
  <c r="AO706" i="16"/>
  <c r="E705" i="81"/>
  <c r="O388" i="24"/>
  <c r="C62" i="89" l="1"/>
  <c r="A62" i="89" s="1"/>
  <c r="E62" i="88"/>
  <c r="C62" i="88" s="1"/>
  <c r="A62" i="88" s="1"/>
  <c r="F27" i="88"/>
  <c r="I705" i="80"/>
  <c r="U2104" i="16"/>
  <c r="M2104" i="16"/>
  <c r="AM2104" i="16" s="1"/>
  <c r="A705" i="80" l="1"/>
  <c r="C705" i="80" s="1"/>
  <c r="Y1852" i="16"/>
  <c r="U223" i="27"/>
  <c r="EN4" i="2" s="1"/>
  <c r="E180" i="18"/>
  <c r="D180" i="18"/>
  <c r="Y1186" i="16"/>
  <c r="A706" i="80" l="1"/>
  <c r="C706" i="80" s="1"/>
  <c r="U155" i="84"/>
  <c r="U155" i="85"/>
  <c r="O25" i="10"/>
  <c r="T1104" i="16" s="1"/>
  <c r="N25" i="10"/>
  <c r="S1104" i="16" s="1"/>
  <c r="O6" i="10"/>
  <c r="T234" i="25" s="1"/>
  <c r="N6" i="10"/>
  <c r="S234" i="25" s="1"/>
  <c r="U970" i="16"/>
  <c r="U969" i="16"/>
  <c r="U968" i="16"/>
  <c r="U967" i="16"/>
  <c r="U966" i="16"/>
  <c r="U965" i="16"/>
  <c r="U964" i="16"/>
  <c r="U963" i="16"/>
  <c r="U962" i="16"/>
  <c r="U961" i="16"/>
  <c r="U960" i="16"/>
  <c r="U959" i="16"/>
  <c r="U958" i="16"/>
  <c r="U92" i="25"/>
  <c r="CR4" i="2" s="1"/>
  <c r="U93" i="25"/>
  <c r="CS4" i="2" s="1"/>
  <c r="U94" i="25"/>
  <c r="CT4" i="2" s="1"/>
  <c r="U95" i="25"/>
  <c r="CU4" i="2" s="1"/>
  <c r="U96" i="25"/>
  <c r="CV4" i="2" s="1"/>
  <c r="U97" i="25"/>
  <c r="CW4" i="2" s="1"/>
  <c r="U98" i="25"/>
  <c r="CX4" i="2" s="1"/>
  <c r="U99" i="25"/>
  <c r="CY4" i="2" s="1"/>
  <c r="U100" i="25"/>
  <c r="CZ4" i="2" s="1"/>
  <c r="U91" i="25"/>
  <c r="CQ4" i="2" s="1"/>
  <c r="U90" i="25"/>
  <c r="CP4" i="2" s="1"/>
  <c r="U89" i="25"/>
  <c r="CO4" i="2" s="1"/>
  <c r="U88" i="25"/>
  <c r="CN4" i="2" s="1"/>
  <c r="GS4" i="2" l="1"/>
  <c r="E62" i="7"/>
  <c r="F4" i="2"/>
  <c r="AX2264" i="16"/>
  <c r="AX1887" i="16"/>
  <c r="AX1650" i="16"/>
  <c r="AX891" i="16"/>
  <c r="AX339" i="16"/>
  <c r="AX20" i="16"/>
  <c r="AX21" i="29"/>
  <c r="AY21" i="29"/>
  <c r="AX21" i="28"/>
  <c r="AY21" i="28"/>
  <c r="AX21" i="27"/>
  <c r="AY21" i="27"/>
  <c r="AX21" i="25"/>
  <c r="AY21" i="25"/>
  <c r="AX21" i="24"/>
  <c r="AY21" i="24"/>
  <c r="AX21" i="8"/>
  <c r="AY21" i="8"/>
  <c r="P20" i="23"/>
  <c r="E20" i="23"/>
  <c r="AY20" i="16" l="1"/>
  <c r="AY1650" i="16"/>
  <c r="AY339" i="16"/>
  <c r="AY1887" i="16"/>
  <c r="AY2264" i="16"/>
  <c r="AY891" i="16"/>
  <c r="U1270" i="16"/>
  <c r="U1251" i="16"/>
  <c r="U1245" i="16"/>
  <c r="O1271" i="16"/>
  <c r="S1246" i="16"/>
  <c r="O1256" i="16"/>
  <c r="AO1256" i="16" l="1"/>
  <c r="AO1271" i="16"/>
  <c r="E1270" i="81"/>
  <c r="E1255" i="81"/>
  <c r="U400" i="25"/>
  <c r="DL4" i="2" s="1"/>
  <c r="U381" i="25"/>
  <c r="DK4" i="2" s="1"/>
  <c r="O1280" i="16"/>
  <c r="O1252" i="16"/>
  <c r="O1288" i="16"/>
  <c r="O1258" i="16"/>
  <c r="O1286" i="16"/>
  <c r="O1266" i="16"/>
  <c r="O1290" i="16"/>
  <c r="O1261" i="16"/>
  <c r="E1257" i="81" l="1"/>
  <c r="E1265" i="81"/>
  <c r="AO1266" i="16"/>
  <c r="AO1252" i="16"/>
  <c r="E1251" i="81"/>
  <c r="E1285" i="81"/>
  <c r="AO1286" i="16"/>
  <c r="AO1280" i="16"/>
  <c r="E1279" i="81"/>
  <c r="AO1261" i="16"/>
  <c r="E1260" i="81"/>
  <c r="E1287" i="81"/>
  <c r="AO1288" i="16"/>
  <c r="AO1290" i="16"/>
  <c r="E1289" i="81"/>
  <c r="E20" i="18"/>
  <c r="D180" i="17"/>
  <c r="E180" i="17"/>
  <c r="U376" i="16"/>
  <c r="S2087" i="16" l="1"/>
  <c r="S221" i="28"/>
  <c r="O1493" i="16"/>
  <c r="O623" i="25"/>
  <c r="N1493" i="16" l="1"/>
  <c r="G1493" i="16" s="1"/>
  <c r="I1492" i="80"/>
  <c r="E1492" i="81"/>
  <c r="AO1493" i="16"/>
  <c r="FM4" i="2" l="1"/>
  <c r="HU4" i="2"/>
  <c r="HT4" i="2"/>
  <c r="HS4" i="2"/>
  <c r="HR4" i="2"/>
  <c r="HQ4" i="2"/>
  <c r="HP4" i="2"/>
  <c r="HO4" i="2"/>
  <c r="HN4" i="2"/>
  <c r="HM4" i="2"/>
  <c r="HL4" i="2"/>
  <c r="HK4" i="2"/>
  <c r="HE4" i="2"/>
  <c r="HF4" i="2"/>
  <c r="HG4" i="2"/>
  <c r="HH4" i="2"/>
  <c r="HI4" i="2"/>
  <c r="HD4" i="2"/>
  <c r="HC4" i="2"/>
  <c r="HB4" i="2"/>
  <c r="HA4" i="2"/>
  <c r="GZ4" i="2"/>
  <c r="GY4" i="2"/>
  <c r="GX4" i="2"/>
  <c r="GW4" i="2"/>
  <c r="GV4" i="2"/>
  <c r="GU4" i="2"/>
  <c r="GT4" i="2"/>
  <c r="GR4" i="2"/>
  <c r="GQ4" i="2"/>
  <c r="GP4" i="2"/>
  <c r="GO4" i="2"/>
  <c r="GN4" i="2"/>
  <c r="GM4" i="2"/>
  <c r="GL4" i="2"/>
  <c r="GK4" i="2"/>
  <c r="GJ4" i="2"/>
  <c r="GI4" i="2"/>
  <c r="GH4" i="2"/>
  <c r="GG4" i="2"/>
  <c r="GF4" i="2"/>
  <c r="GE4" i="2"/>
  <c r="GD4" i="2"/>
  <c r="GC4" i="2"/>
  <c r="GB4" i="2"/>
  <c r="GA4" i="2"/>
  <c r="FZ4" i="2"/>
  <c r="FY4" i="2"/>
  <c r="FX4" i="2"/>
  <c r="FW4" i="2"/>
  <c r="FV4" i="2"/>
  <c r="FU4" i="2"/>
  <c r="FT4" i="2"/>
  <c r="FS4" i="2"/>
  <c r="FR4" i="2"/>
  <c r="FP4" i="2"/>
  <c r="FO4" i="2"/>
  <c r="FN4" i="2"/>
  <c r="FQ4" i="2" l="1"/>
  <c r="O2467" i="16"/>
  <c r="O2463" i="16"/>
  <c r="O2460" i="16"/>
  <c r="O2456" i="16"/>
  <c r="O2454" i="16"/>
  <c r="O2435" i="16"/>
  <c r="O2420" i="16"/>
  <c r="F171" i="89" s="1"/>
  <c r="M2372" i="16"/>
  <c r="M2348" i="16"/>
  <c r="M2347" i="16"/>
  <c r="M2345" i="16"/>
  <c r="M2332" i="16"/>
  <c r="M2330" i="16"/>
  <c r="M2329" i="16"/>
  <c r="M2327" i="16"/>
  <c r="M2326" i="16"/>
  <c r="M2263" i="16"/>
  <c r="M2262" i="16"/>
  <c r="M2261" i="16"/>
  <c r="O2248" i="16"/>
  <c r="O2239" i="16"/>
  <c r="E164" i="89" s="1"/>
  <c r="C164" i="89" s="1"/>
  <c r="A164" i="89" s="1"/>
  <c r="O2237" i="16"/>
  <c r="O2232" i="16"/>
  <c r="E161" i="89" s="1"/>
  <c r="O2188" i="16"/>
  <c r="O2178" i="16"/>
  <c r="W210" i="84" s="1"/>
  <c r="O2072" i="16"/>
  <c r="O2067" i="16"/>
  <c r="O2063" i="16"/>
  <c r="O2059" i="16"/>
  <c r="O2056" i="16"/>
  <c r="O2025" i="16"/>
  <c r="O2012" i="16"/>
  <c r="O1985" i="16"/>
  <c r="W290" i="84" s="1"/>
  <c r="O1964" i="16"/>
  <c r="W289" i="84" s="1"/>
  <c r="O1959" i="16"/>
  <c r="O1957" i="16"/>
  <c r="O1884" i="16"/>
  <c r="O1878" i="16"/>
  <c r="M2228" i="16"/>
  <c r="AM2228" i="16" s="1"/>
  <c r="M2220" i="16"/>
  <c r="AM2220" i="16" s="1"/>
  <c r="O1631" i="16"/>
  <c r="O1618" i="16"/>
  <c r="O1616" i="16"/>
  <c r="W141" i="84" s="1"/>
  <c r="O1606" i="16"/>
  <c r="O1603" i="16"/>
  <c r="O1581" i="16"/>
  <c r="O1578" i="16"/>
  <c r="O1576" i="16"/>
  <c r="O1574" i="16"/>
  <c r="O1544" i="16"/>
  <c r="O1534" i="16"/>
  <c r="O1513" i="16"/>
  <c r="O1504" i="16"/>
  <c r="O1502" i="16"/>
  <c r="O1478" i="16"/>
  <c r="O1476" i="16"/>
  <c r="O1467" i="16"/>
  <c r="O1465" i="16"/>
  <c r="O1462" i="16"/>
  <c r="O1457" i="16"/>
  <c r="O1456" i="16"/>
  <c r="O1451" i="16"/>
  <c r="W129" i="84" s="1"/>
  <c r="O1448" i="16"/>
  <c r="G159" i="89" s="1"/>
  <c r="O1431" i="16"/>
  <c r="O1097" i="16"/>
  <c r="O821" i="16"/>
  <c r="O790" i="16"/>
  <c r="E59" i="89" s="1"/>
  <c r="C59" i="89" s="1"/>
  <c r="A59" i="89" s="1"/>
  <c r="O694" i="16"/>
  <c r="O688" i="16"/>
  <c r="O683" i="16"/>
  <c r="E144" i="89" s="1"/>
  <c r="C144" i="89" s="1"/>
  <c r="A144" i="89" s="1"/>
  <c r="O671" i="16"/>
  <c r="O668" i="16"/>
  <c r="E70" i="89" s="1"/>
  <c r="C70" i="89" s="1"/>
  <c r="A70" i="89" s="1"/>
  <c r="O620" i="16"/>
  <c r="E65" i="89" s="1"/>
  <c r="O611" i="16"/>
  <c r="E49" i="89" s="1"/>
  <c r="C49" i="89" s="1"/>
  <c r="A49" i="89" s="1"/>
  <c r="O596" i="16"/>
  <c r="O583" i="16"/>
  <c r="E68" i="89" s="1"/>
  <c r="C68" i="89" s="1"/>
  <c r="A68" i="89" s="1"/>
  <c r="O579" i="16"/>
  <c r="O572" i="16"/>
  <c r="O566" i="16"/>
  <c r="O562" i="16"/>
  <c r="O560" i="16"/>
  <c r="O551" i="16"/>
  <c r="O541" i="16"/>
  <c r="O538" i="16"/>
  <c r="O537" i="16"/>
  <c r="O536" i="16"/>
  <c r="O534" i="16"/>
  <c r="O509" i="16"/>
  <c r="O507" i="16"/>
  <c r="O497" i="16"/>
  <c r="O496" i="16"/>
  <c r="O493" i="16"/>
  <c r="O471" i="16"/>
  <c r="O469" i="16"/>
  <c r="O467" i="16"/>
  <c r="O464" i="16"/>
  <c r="O462" i="16"/>
  <c r="O423" i="16"/>
  <c r="O414" i="16"/>
  <c r="O364" i="16"/>
  <c r="O363" i="16"/>
  <c r="O362" i="16"/>
  <c r="O361" i="16"/>
  <c r="O360" i="16"/>
  <c r="O359" i="16"/>
  <c r="O355" i="16"/>
  <c r="O352" i="16"/>
  <c r="O349" i="16"/>
  <c r="O309" i="16"/>
  <c r="O272" i="16"/>
  <c r="O262" i="16"/>
  <c r="F157" i="89" s="1"/>
  <c r="O253" i="16"/>
  <c r="O246" i="16"/>
  <c r="O238" i="16"/>
  <c r="O237" i="16"/>
  <c r="O234" i="16"/>
  <c r="O230" i="16"/>
  <c r="O228" i="16"/>
  <c r="O226" i="16"/>
  <c r="O225" i="16"/>
  <c r="O223" i="16"/>
  <c r="O218" i="16"/>
  <c r="O216" i="16"/>
  <c r="O215" i="16"/>
  <c r="O187" i="16"/>
  <c r="O142" i="16"/>
  <c r="O124" i="16"/>
  <c r="O121" i="16"/>
  <c r="O113" i="16"/>
  <c r="O106" i="16"/>
  <c r="O104" i="16"/>
  <c r="O83" i="16"/>
  <c r="O81" i="16"/>
  <c r="O79" i="16"/>
  <c r="O77" i="16"/>
  <c r="O75" i="16"/>
  <c r="O69" i="16"/>
  <c r="O58" i="16"/>
  <c r="O55" i="16"/>
  <c r="W237" i="84" s="1"/>
  <c r="O52" i="16"/>
  <c r="O42" i="16"/>
  <c r="W234" i="84" s="1"/>
  <c r="O27" i="16"/>
  <c r="O25" i="16"/>
  <c r="O23" i="16"/>
  <c r="O21" i="16"/>
  <c r="W236" i="84" s="1"/>
  <c r="G1833" i="16"/>
  <c r="G1834" i="16" s="1"/>
  <c r="G1835" i="16" s="1"/>
  <c r="G1825" i="16"/>
  <c r="O608" i="25"/>
  <c r="O606" i="25"/>
  <c r="AE2228" i="16"/>
  <c r="AC2228" i="16" s="1"/>
  <c r="AE2220" i="16"/>
  <c r="AC2220" i="16" s="1"/>
  <c r="AE2104" i="16"/>
  <c r="AF2104" i="16" s="1"/>
  <c r="AD2054" i="16"/>
  <c r="AD2050" i="16"/>
  <c r="AD1938" i="16"/>
  <c r="AE1934" i="16"/>
  <c r="AD1895" i="16"/>
  <c r="AD1637" i="16"/>
  <c r="AC1637" i="16" s="1"/>
  <c r="AD1636" i="16"/>
  <c r="AC1636" i="16" s="1"/>
  <c r="AD1627" i="16"/>
  <c r="AC1627" i="16" s="1"/>
  <c r="AE1549" i="16"/>
  <c r="AD1549" i="16"/>
  <c r="AE1544" i="16"/>
  <c r="AD1544" i="16"/>
  <c r="AE1504" i="16"/>
  <c r="AC1504" i="16" s="1"/>
  <c r="AE1496" i="16"/>
  <c r="AE882" i="16"/>
  <c r="AE813" i="16"/>
  <c r="AC813" i="16" s="1"/>
  <c r="AE807" i="16"/>
  <c r="AC807" i="16" s="1"/>
  <c r="AE796" i="16"/>
  <c r="AC796" i="16" s="1"/>
  <c r="AE784" i="16"/>
  <c r="AE778" i="16"/>
  <c r="AE772" i="16"/>
  <c r="AE765" i="16"/>
  <c r="AE759" i="16"/>
  <c r="AE752" i="16"/>
  <c r="AE710" i="16"/>
  <c r="AC710" i="16" s="1"/>
  <c r="AE708" i="16"/>
  <c r="AC708" i="16" s="1"/>
  <c r="AE697" i="16"/>
  <c r="AC697" i="16" s="1"/>
  <c r="AE674" i="16"/>
  <c r="AC674" i="16" s="1"/>
  <c r="AE672" i="16"/>
  <c r="AC672" i="16" s="1"/>
  <c r="AE671" i="16"/>
  <c r="AC671" i="16" s="1"/>
  <c r="AE669" i="16"/>
  <c r="AC669" i="16" s="1"/>
  <c r="AE668" i="16"/>
  <c r="AC668" i="16" s="1"/>
  <c r="AE644" i="16"/>
  <c r="AC644" i="16" s="1"/>
  <c r="AE632" i="16"/>
  <c r="AC632" i="16" s="1"/>
  <c r="AE631" i="16"/>
  <c r="AC631" i="16" s="1"/>
  <c r="AE590" i="16"/>
  <c r="AC590" i="16" s="1"/>
  <c r="AE588" i="16"/>
  <c r="AC588" i="16" s="1"/>
  <c r="AE586" i="16"/>
  <c r="AC586" i="16" s="1"/>
  <c r="AE584" i="16"/>
  <c r="AC584" i="16" s="1"/>
  <c r="AE579" i="16"/>
  <c r="AC579" i="16" s="1"/>
  <c r="AE572" i="16"/>
  <c r="AC572" i="16" s="1"/>
  <c r="AE566" i="16"/>
  <c r="AC566" i="16" s="1"/>
  <c r="AD555" i="16"/>
  <c r="AE538" i="16"/>
  <c r="AC538" i="16" s="1"/>
  <c r="AE398" i="16"/>
  <c r="AC398" i="16" s="1"/>
  <c r="AE244" i="16"/>
  <c r="AC244" i="16" s="1"/>
  <c r="AE55" i="16"/>
  <c r="AC55" i="16" s="1"/>
  <c r="AE52" i="16"/>
  <c r="AC52" i="16" s="1"/>
  <c r="AE27" i="16"/>
  <c r="AC27" i="16" s="1"/>
  <c r="AE354" i="28"/>
  <c r="AC354" i="28" s="1"/>
  <c r="AD674" i="25"/>
  <c r="AE674" i="25"/>
  <c r="AD679" i="25"/>
  <c r="AE679" i="25"/>
  <c r="AE634" i="25"/>
  <c r="AC634" i="25" s="1"/>
  <c r="W143" i="84" l="1"/>
  <c r="E168" i="89"/>
  <c r="C168" i="89" s="1"/>
  <c r="A168" i="89" s="1"/>
  <c r="E93" i="89"/>
  <c r="C93" i="89" s="1"/>
  <c r="A93" i="89" s="1"/>
  <c r="F87" i="89"/>
  <c r="E20" i="89"/>
  <c r="C20" i="89" s="1"/>
  <c r="A20" i="89" s="1"/>
  <c r="E158" i="89"/>
  <c r="G82" i="89"/>
  <c r="W128" i="84"/>
  <c r="F162" i="89"/>
  <c r="W287" i="84"/>
  <c r="E33" i="89"/>
  <c r="C33" i="89" s="1"/>
  <c r="A33" i="89" s="1"/>
  <c r="E147" i="89"/>
  <c r="C147" i="89" s="1"/>
  <c r="A147" i="89" s="1"/>
  <c r="E143" i="89"/>
  <c r="C143" i="89" s="1"/>
  <c r="A143" i="89" s="1"/>
  <c r="E139" i="89"/>
  <c r="C139" i="89" s="1"/>
  <c r="A139" i="89" s="1"/>
  <c r="F48" i="89"/>
  <c r="E34" i="89"/>
  <c r="C34" i="89" s="1"/>
  <c r="A34" i="89" s="1"/>
  <c r="E55" i="89"/>
  <c r="C55" i="89" s="1"/>
  <c r="A55" i="89" s="1"/>
  <c r="E54" i="89"/>
  <c r="C54" i="89" s="1"/>
  <c r="A54" i="89" s="1"/>
  <c r="E43" i="89"/>
  <c r="C43" i="89" s="1"/>
  <c r="A43" i="89" s="1"/>
  <c r="F17" i="89"/>
  <c r="W142" i="84"/>
  <c r="E95" i="89"/>
  <c r="C95" i="89" s="1"/>
  <c r="A95" i="89" s="1"/>
  <c r="G1826" i="16"/>
  <c r="G1827" i="16" s="1"/>
  <c r="G1828" i="16" s="1"/>
  <c r="G1829" i="16" s="1"/>
  <c r="G1830" i="16" s="1"/>
  <c r="G1831" i="16" s="1"/>
  <c r="G1823" i="16"/>
  <c r="W246" i="84"/>
  <c r="AC1549" i="16"/>
  <c r="AC1544" i="16"/>
  <c r="AC2104" i="16"/>
  <c r="W257" i="84"/>
  <c r="W163" i="84"/>
  <c r="W162" i="84"/>
  <c r="W213" i="84"/>
  <c r="W288" i="84"/>
  <c r="E470" i="81"/>
  <c r="AO471" i="16"/>
  <c r="E1501" i="81"/>
  <c r="AO1502" i="16"/>
  <c r="E2459" i="81"/>
  <c r="AO2460" i="16"/>
  <c r="E105" i="81"/>
  <c r="AO106" i="16"/>
  <c r="E233" i="81"/>
  <c r="AO234" i="16"/>
  <c r="E536" i="81"/>
  <c r="AO537" i="16"/>
  <c r="E1450" i="81"/>
  <c r="AO1451" i="16"/>
  <c r="E20" i="81"/>
  <c r="AO21" i="16"/>
  <c r="E68" i="81"/>
  <c r="AO69" i="16"/>
  <c r="E112" i="81"/>
  <c r="AO113" i="16"/>
  <c r="E236" i="81"/>
  <c r="AO237" i="16"/>
  <c r="E348" i="81"/>
  <c r="AO349" i="16"/>
  <c r="E492" i="81"/>
  <c r="AO493" i="16"/>
  <c r="E537" i="81"/>
  <c r="AO538" i="16"/>
  <c r="E582" i="81"/>
  <c r="AO583" i="16"/>
  <c r="E693" i="81"/>
  <c r="AO694" i="16"/>
  <c r="E1455" i="81"/>
  <c r="AO1456" i="16"/>
  <c r="E1503" i="81"/>
  <c r="AO1504" i="16"/>
  <c r="E1602" i="81"/>
  <c r="AO1603" i="16"/>
  <c r="E1859" i="81"/>
  <c r="AO1860" i="16"/>
  <c r="E1984" i="81"/>
  <c r="AO1985" i="16"/>
  <c r="E2177" i="81"/>
  <c r="AO2178" i="16"/>
  <c r="E2462" i="81"/>
  <c r="AO2463" i="16"/>
  <c r="E215" i="81"/>
  <c r="AO216" i="16"/>
  <c r="E22" i="81"/>
  <c r="AO23" i="16"/>
  <c r="E74" i="81"/>
  <c r="AO75" i="16"/>
  <c r="E120" i="81"/>
  <c r="AO121" i="16"/>
  <c r="E217" i="81"/>
  <c r="AO218" i="16"/>
  <c r="E237" i="81"/>
  <c r="AO238" i="16"/>
  <c r="E351" i="81"/>
  <c r="AO352" i="16"/>
  <c r="E413" i="81"/>
  <c r="AO414" i="16"/>
  <c r="E495" i="81"/>
  <c r="AO496" i="16"/>
  <c r="E540" i="81"/>
  <c r="AO541" i="16"/>
  <c r="E595" i="81"/>
  <c r="AO596" i="16"/>
  <c r="E789" i="81"/>
  <c r="AO790" i="16"/>
  <c r="E1456" i="81"/>
  <c r="AO1457" i="16"/>
  <c r="E1512" i="81"/>
  <c r="AO1513" i="16"/>
  <c r="E1605" i="81"/>
  <c r="AO1606" i="16"/>
  <c r="E2011" i="81"/>
  <c r="AO2012" i="16"/>
  <c r="E2187" i="81"/>
  <c r="AO2188" i="16"/>
  <c r="E2466" i="81"/>
  <c r="AO2467" i="16"/>
  <c r="E57" i="81"/>
  <c r="AO58" i="16"/>
  <c r="E214" i="81"/>
  <c r="AO215" i="16"/>
  <c r="E578" i="81"/>
  <c r="AO579" i="16"/>
  <c r="E687" i="81"/>
  <c r="AO688" i="16"/>
  <c r="E76" i="81"/>
  <c r="AO77" i="16"/>
  <c r="E222" i="81"/>
  <c r="AO223" i="16"/>
  <c r="E354" i="81"/>
  <c r="AO355" i="16"/>
  <c r="E422" i="81"/>
  <c r="AO423" i="16"/>
  <c r="E496" i="81"/>
  <c r="AO497" i="16"/>
  <c r="E550" i="81"/>
  <c r="AO551" i="16"/>
  <c r="E610" i="81"/>
  <c r="AO611" i="16"/>
  <c r="E820" i="81"/>
  <c r="AO821" i="16"/>
  <c r="E1461" i="81"/>
  <c r="AO1462" i="16"/>
  <c r="E1533" i="81"/>
  <c r="AO1534" i="16"/>
  <c r="E1615" i="81"/>
  <c r="AO1616" i="16"/>
  <c r="E2024" i="81"/>
  <c r="AO2025" i="16"/>
  <c r="E2231" i="81"/>
  <c r="AO2232" i="16"/>
  <c r="E1580" i="81"/>
  <c r="AO1581" i="16"/>
  <c r="E24" i="81"/>
  <c r="AO25" i="16"/>
  <c r="E123" i="81"/>
  <c r="AO124" i="16"/>
  <c r="AF2228" i="16"/>
  <c r="E26" i="81"/>
  <c r="AO27" i="16"/>
  <c r="E78" i="81"/>
  <c r="AO79" i="16"/>
  <c r="E141" i="81"/>
  <c r="G141" i="81" s="1"/>
  <c r="G113" i="81" s="1"/>
  <c r="AO142" i="16"/>
  <c r="E224" i="81"/>
  <c r="G224" i="81" s="1"/>
  <c r="AO225" i="16"/>
  <c r="E252" i="81"/>
  <c r="AO253" i="16"/>
  <c r="E461" i="81"/>
  <c r="AO462" i="16"/>
  <c r="E506" i="81"/>
  <c r="AO507" i="16"/>
  <c r="E559" i="81"/>
  <c r="AO560" i="16"/>
  <c r="E619" i="81"/>
  <c r="AO620" i="16"/>
  <c r="E1464" i="81"/>
  <c r="AO1465" i="16"/>
  <c r="E1543" i="81"/>
  <c r="AO1544" i="16"/>
  <c r="E1617" i="81"/>
  <c r="AO1618" i="16"/>
  <c r="E1877" i="81"/>
  <c r="AO1878" i="16"/>
  <c r="E2055" i="81"/>
  <c r="AO2056" i="16"/>
  <c r="E2236" i="81"/>
  <c r="AO2237" i="16"/>
  <c r="E2419" i="81"/>
  <c r="AO2420" i="16"/>
  <c r="E1856" i="81"/>
  <c r="AO1857" i="16"/>
  <c r="E245" i="81"/>
  <c r="AO246" i="16"/>
  <c r="I1475" i="80"/>
  <c r="AO606" i="25"/>
  <c r="E41" i="81"/>
  <c r="AO42" i="16"/>
  <c r="E80" i="81"/>
  <c r="AO81" i="16"/>
  <c r="E186" i="81"/>
  <c r="AO187" i="16"/>
  <c r="E225" i="81"/>
  <c r="AO226" i="16"/>
  <c r="E261" i="81"/>
  <c r="AO262" i="16"/>
  <c r="E463" i="81"/>
  <c r="AO464" i="16"/>
  <c r="E508" i="81"/>
  <c r="AO509" i="16"/>
  <c r="E561" i="81"/>
  <c r="G561" i="81" s="1"/>
  <c r="AO562" i="16"/>
  <c r="E667" i="81"/>
  <c r="AO668" i="16"/>
  <c r="E1410" i="81"/>
  <c r="AO1411" i="16"/>
  <c r="E1466" i="81"/>
  <c r="AO1467" i="16"/>
  <c r="E1573" i="81"/>
  <c r="AO1574" i="16"/>
  <c r="E1630" i="81"/>
  <c r="AO1631" i="16"/>
  <c r="E1883" i="81"/>
  <c r="AO1884" i="16"/>
  <c r="E2058" i="81"/>
  <c r="AO2059" i="16"/>
  <c r="E2238" i="81"/>
  <c r="AO2239" i="16"/>
  <c r="E2434" i="81"/>
  <c r="AO2435" i="16"/>
  <c r="E2071" i="81"/>
  <c r="AO2072" i="16"/>
  <c r="N1478" i="16"/>
  <c r="I1477" i="80"/>
  <c r="C1477" i="80" s="1"/>
  <c r="AO608" i="25"/>
  <c r="E51" i="81"/>
  <c r="AO52" i="16"/>
  <c r="E82" i="81"/>
  <c r="AO83" i="16"/>
  <c r="E195" i="81"/>
  <c r="G196" i="81" s="1"/>
  <c r="G193" i="81" s="1"/>
  <c r="E227" i="81"/>
  <c r="AO228" i="16"/>
  <c r="E271" i="81"/>
  <c r="AO272" i="16"/>
  <c r="E466" i="81"/>
  <c r="AO467" i="16"/>
  <c r="E533" i="81"/>
  <c r="AO534" i="16"/>
  <c r="E565" i="81"/>
  <c r="AO566" i="16"/>
  <c r="E670" i="81"/>
  <c r="AO671" i="16"/>
  <c r="E1430" i="81"/>
  <c r="AO1431" i="16"/>
  <c r="E1475" i="81"/>
  <c r="AO1476" i="16"/>
  <c r="E1575" i="81"/>
  <c r="AO1576" i="16"/>
  <c r="E1683" i="81"/>
  <c r="AO1684" i="16"/>
  <c r="E1956" i="81"/>
  <c r="AO1957" i="16"/>
  <c r="E2062" i="81"/>
  <c r="AO2063" i="16"/>
  <c r="E2247" i="81"/>
  <c r="AO2248" i="16"/>
  <c r="E2453" i="81"/>
  <c r="AO2454" i="16"/>
  <c r="E1963" i="81"/>
  <c r="AO1964" i="16"/>
  <c r="E54" i="81"/>
  <c r="AO55" i="16"/>
  <c r="E103" i="81"/>
  <c r="AO104" i="16"/>
  <c r="E197" i="81"/>
  <c r="G198" i="81" s="1"/>
  <c r="E229" i="81"/>
  <c r="AO230" i="16"/>
  <c r="E468" i="81"/>
  <c r="AO469" i="16"/>
  <c r="E535" i="81"/>
  <c r="AO536" i="16"/>
  <c r="E571" i="81"/>
  <c r="AO572" i="16"/>
  <c r="E682" i="81"/>
  <c r="AO683" i="16"/>
  <c r="E1447" i="81"/>
  <c r="AO1448" i="16"/>
  <c r="E1477" i="81"/>
  <c r="AO1478" i="16"/>
  <c r="E1577" i="81"/>
  <c r="AO1578" i="16"/>
  <c r="E1848" i="81"/>
  <c r="AO1849" i="16"/>
  <c r="E1958" i="81"/>
  <c r="AO1959" i="16"/>
  <c r="E2066" i="81"/>
  <c r="AO2067" i="16"/>
  <c r="E2455" i="81"/>
  <c r="AO2456" i="16"/>
  <c r="E308" i="81"/>
  <c r="AO309" i="16"/>
  <c r="E363" i="81"/>
  <c r="AO364" i="16"/>
  <c r="E362" i="81"/>
  <c r="AO363" i="16"/>
  <c r="E360" i="81"/>
  <c r="AO361" i="16"/>
  <c r="E361" i="81"/>
  <c r="AO362" i="16"/>
  <c r="E358" i="81"/>
  <c r="AO359" i="16"/>
  <c r="E1096" i="81"/>
  <c r="AO1097" i="16"/>
  <c r="E359" i="81"/>
  <c r="AO360" i="16"/>
  <c r="AC674" i="25"/>
  <c r="AC679" i="25"/>
  <c r="AF2220" i="16"/>
  <c r="Y2463" i="16"/>
  <c r="Y2460" i="16"/>
  <c r="Y2430" i="16"/>
  <c r="Y2429" i="16"/>
  <c r="Y2428" i="16"/>
  <c r="Y2427" i="16"/>
  <c r="Y2426" i="16"/>
  <c r="Y2425" i="16"/>
  <c r="Y2424" i="16"/>
  <c r="Y2419" i="16"/>
  <c r="Y2418" i="16"/>
  <c r="Y2417" i="16"/>
  <c r="Y2416" i="16"/>
  <c r="Y2415" i="16"/>
  <c r="Y2414" i="16"/>
  <c r="Y2412" i="16"/>
  <c r="Y2411" i="16"/>
  <c r="Y2410" i="16"/>
  <c r="Y2393" i="16"/>
  <c r="Y2248" i="16"/>
  <c r="Y2243" i="16"/>
  <c r="Y2241" i="16"/>
  <c r="Y2240" i="16"/>
  <c r="Y2228" i="16"/>
  <c r="Y2220" i="16"/>
  <c r="Y2185" i="16"/>
  <c r="Y2154" i="16"/>
  <c r="Y2176" i="16"/>
  <c r="Y2081" i="16"/>
  <c r="Y2030" i="16"/>
  <c r="G1430" i="81" l="1"/>
  <c r="G1431" i="81" s="1"/>
  <c r="G559" i="81"/>
  <c r="G560" i="81" s="1"/>
  <c r="G550" i="81"/>
  <c r="G551" i="81" s="1"/>
  <c r="G552" i="81" s="1"/>
  <c r="G540" i="81"/>
  <c r="G541" i="81" s="1"/>
  <c r="G542" i="81" s="1"/>
  <c r="G543" i="81" s="1"/>
  <c r="G271" i="81"/>
  <c r="G272" i="81" s="1"/>
  <c r="G273" i="81" s="1"/>
  <c r="G261" i="81"/>
  <c r="G262" i="81" s="1"/>
  <c r="G260" i="81" s="1"/>
  <c r="G252" i="81"/>
  <c r="G253" i="81" s="1"/>
  <c r="G227" i="81"/>
  <c r="G228" i="81" s="1"/>
  <c r="G225" i="81"/>
  <c r="G226" i="81" s="1"/>
  <c r="G222" i="81"/>
  <c r="G223" i="81" s="1"/>
  <c r="G219" i="81" s="1"/>
  <c r="G214" i="81"/>
  <c r="G212" i="81" s="1"/>
  <c r="G213" i="81" s="1"/>
  <c r="G186" i="81"/>
  <c r="G187" i="81" s="1"/>
  <c r="G24" i="81"/>
  <c r="G142" i="81"/>
  <c r="G143" i="81" s="1"/>
  <c r="G194" i="81"/>
  <c r="I1474" i="80"/>
  <c r="C1474" i="80" s="1"/>
  <c r="O2154" i="16"/>
  <c r="AO2154" i="16" s="1"/>
  <c r="AD2154" i="16"/>
  <c r="AD2152" i="16"/>
  <c r="AC2152" i="16" s="1"/>
  <c r="Y1840" i="16"/>
  <c r="Y1832" i="16"/>
  <c r="Y1824" i="16"/>
  <c r="Y1800" i="16"/>
  <c r="Y1798" i="16"/>
  <c r="Y1797" i="16"/>
  <c r="Y1795" i="16"/>
  <c r="Y1793" i="16"/>
  <c r="Y1774" i="16"/>
  <c r="Y1772" i="16"/>
  <c r="Y1741" i="16"/>
  <c r="Y1729" i="16"/>
  <c r="Y1704" i="16"/>
  <c r="Y1702" i="16"/>
  <c r="Y1695" i="16"/>
  <c r="Y1693" i="16"/>
  <c r="AD1772" i="16"/>
  <c r="Y1642" i="16"/>
  <c r="Y325" i="16"/>
  <c r="Y323" i="16"/>
  <c r="Y321" i="16"/>
  <c r="Y316" i="16"/>
  <c r="Y315" i="16"/>
  <c r="Y312" i="16"/>
  <c r="Y309" i="16"/>
  <c r="Y305" i="16"/>
  <c r="Y292" i="16"/>
  <c r="Y291" i="16"/>
  <c r="Y288" i="16"/>
  <c r="Y286" i="16"/>
  <c r="Y162" i="16"/>
  <c r="Y142" i="16"/>
  <c r="Y140" i="16"/>
  <c r="Y55" i="16"/>
  <c r="Y52" i="16"/>
  <c r="Y50" i="16"/>
  <c r="Y37" i="16"/>
  <c r="Y864" i="16"/>
  <c r="Y593" i="16"/>
  <c r="Y538" i="16"/>
  <c r="Y1637" i="16"/>
  <c r="Y1636" i="16"/>
  <c r="Y1631" i="16"/>
  <c r="Y1627" i="16"/>
  <c r="Y1622" i="16"/>
  <c r="Y1618" i="16"/>
  <c r="Y1616" i="16"/>
  <c r="Y1606" i="16"/>
  <c r="Y1504" i="16"/>
  <c r="Y1502" i="16"/>
  <c r="Y1478" i="16"/>
  <c r="Y1476" i="16"/>
  <c r="Y1465" i="16"/>
  <c r="Y1462" i="16"/>
  <c r="Y969" i="16"/>
  <c r="Y929" i="16"/>
  <c r="Y927" i="16"/>
  <c r="Y926" i="16"/>
  <c r="Y925" i="16"/>
  <c r="Y924" i="16"/>
  <c r="Y922" i="16"/>
  <c r="Y921" i="16"/>
  <c r="Y920" i="16"/>
  <c r="Y917" i="16"/>
  <c r="Y915" i="16"/>
  <c r="Y914" i="16"/>
  <c r="Y912" i="16"/>
  <c r="Y911" i="16"/>
  <c r="U1622" i="16"/>
  <c r="O736" i="25"/>
  <c r="AO736" i="25" s="1"/>
  <c r="S1611" i="16"/>
  <c r="S1585" i="16"/>
  <c r="T1585" i="16" s="1"/>
  <c r="AD1585" i="16" s="1"/>
  <c r="AC1585" i="16" s="1"/>
  <c r="O1622" i="16"/>
  <c r="G18" i="81" l="1"/>
  <c r="G25" i="81"/>
  <c r="N1606" i="16"/>
  <c r="S1868" i="16"/>
  <c r="Y11" i="3"/>
  <c r="C1475" i="80"/>
  <c r="A1476" i="80"/>
  <c r="C1476" i="80" s="1"/>
  <c r="AO1622" i="16"/>
  <c r="E2153" i="81"/>
  <c r="E1621" i="81"/>
  <c r="N85" i="18"/>
  <c r="M1772" i="16"/>
  <c r="AM1772" i="16" s="1"/>
  <c r="AE1772" i="16"/>
  <c r="AC1772" i="16" s="1"/>
  <c r="T1611" i="16"/>
  <c r="AD1611" i="16" s="1"/>
  <c r="AC1611" i="16" s="1"/>
  <c r="O1611" i="16"/>
  <c r="W140" i="84" s="1"/>
  <c r="AD1820" i="16"/>
  <c r="AC1820" i="16" s="1"/>
  <c r="AD1731" i="16"/>
  <c r="AC1731" i="16" s="1"/>
  <c r="G1606" i="16" l="1"/>
  <c r="G1607" i="16" s="1"/>
  <c r="G1608" i="16" s="1"/>
  <c r="G1609" i="16" s="1"/>
  <c r="G1610" i="16" s="1"/>
  <c r="L87" i="18"/>
  <c r="L88" i="18"/>
  <c r="L96" i="18"/>
  <c r="L104" i="18"/>
  <c r="L112" i="18"/>
  <c r="L120" i="18"/>
  <c r="L128" i="18"/>
  <c r="L136" i="18"/>
  <c r="L99" i="18"/>
  <c r="L115" i="18"/>
  <c r="L92" i="18"/>
  <c r="L124" i="18"/>
  <c r="L109" i="18"/>
  <c r="L117" i="18"/>
  <c r="L110" i="18"/>
  <c r="L126" i="18"/>
  <c r="L103" i="18"/>
  <c r="L119" i="18"/>
  <c r="L89" i="18"/>
  <c r="L97" i="18"/>
  <c r="L105" i="18"/>
  <c r="L113" i="18"/>
  <c r="L121" i="18"/>
  <c r="L129" i="18"/>
  <c r="L91" i="18"/>
  <c r="L131" i="18"/>
  <c r="L108" i="18"/>
  <c r="L132" i="18"/>
  <c r="L93" i="18"/>
  <c r="L125" i="18"/>
  <c r="L94" i="18"/>
  <c r="L118" i="18"/>
  <c r="L111" i="18"/>
  <c r="L135" i="18"/>
  <c r="L90" i="18"/>
  <c r="L98" i="18"/>
  <c r="L106" i="18"/>
  <c r="L114" i="18"/>
  <c r="L122" i="18"/>
  <c r="L130" i="18"/>
  <c r="L107" i="18"/>
  <c r="L123" i="18"/>
  <c r="L100" i="18"/>
  <c r="L116" i="18"/>
  <c r="L101" i="18"/>
  <c r="L133" i="18"/>
  <c r="L102" i="18"/>
  <c r="L134" i="18"/>
  <c r="L95" i="18"/>
  <c r="L127" i="18"/>
  <c r="O1870" i="16"/>
  <c r="AO1870" i="16" s="1"/>
  <c r="T1868" i="16"/>
  <c r="AD1868" i="16" s="1"/>
  <c r="AC1868" i="16" s="1"/>
  <c r="E1784" i="81"/>
  <c r="S152" i="84"/>
  <c r="R152" i="84" s="1"/>
  <c r="R1868" i="16"/>
  <c r="AD1837" i="16"/>
  <c r="E2175" i="81"/>
  <c r="AO2176" i="16"/>
  <c r="E1610" i="81"/>
  <c r="AO1611" i="16"/>
  <c r="AO1729" i="16"/>
  <c r="AO1726" i="16"/>
  <c r="AO1832" i="16"/>
  <c r="AO1741" i="16"/>
  <c r="AO1709" i="16"/>
  <c r="AO1721" i="16"/>
  <c r="AO1824" i="16"/>
  <c r="E1794" i="81"/>
  <c r="AO1795" i="16"/>
  <c r="E1839" i="81"/>
  <c r="AO1840" i="16"/>
  <c r="E1773" i="81"/>
  <c r="AO1774" i="16"/>
  <c r="E1778" i="81"/>
  <c r="AO1779" i="16"/>
  <c r="E1792" i="81"/>
  <c r="AO1793" i="16"/>
  <c r="E1777" i="81"/>
  <c r="AO1778" i="16"/>
  <c r="E1796" i="81"/>
  <c r="AO1797" i="16"/>
  <c r="E1820" i="81"/>
  <c r="AO1821" i="16"/>
  <c r="E1797" i="81"/>
  <c r="AO1798" i="16"/>
  <c r="E1799" i="81"/>
  <c r="AO1800" i="16"/>
  <c r="E1779" i="81"/>
  <c r="AO1780" i="16"/>
  <c r="E1831" i="81"/>
  <c r="E1823" i="81"/>
  <c r="E1740" i="81"/>
  <c r="E1728" i="81"/>
  <c r="E1725" i="81"/>
  <c r="E1720" i="81"/>
  <c r="E1708" i="81"/>
  <c r="AD1852" i="16"/>
  <c r="AC1852" i="16" s="1"/>
  <c r="AD1746" i="16"/>
  <c r="AC1746" i="16" s="1"/>
  <c r="AD1818" i="16"/>
  <c r="AC1818" i="16" s="1"/>
  <c r="AD1821" i="16"/>
  <c r="AC1821" i="16" s="1"/>
  <c r="AD1832" i="16"/>
  <c r="AC1832" i="16" s="1"/>
  <c r="AD1824" i="16"/>
  <c r="AC1824" i="16" s="1"/>
  <c r="AD1840" i="16"/>
  <c r="AC1840" i="16" s="1"/>
  <c r="AD1795" i="16"/>
  <c r="AC1795" i="16" s="1"/>
  <c r="AD1798" i="16"/>
  <c r="AC1798" i="16" s="1"/>
  <c r="AD1797" i="16"/>
  <c r="AC1797" i="16" s="1"/>
  <c r="AD1793" i="16"/>
  <c r="AC1793" i="16" s="1"/>
  <c r="AD1800" i="16"/>
  <c r="AC1800" i="16" s="1"/>
  <c r="AD1774" i="16"/>
  <c r="AC1774" i="16" s="1"/>
  <c r="AD1785" i="16"/>
  <c r="AC1785" i="16" s="1"/>
  <c r="AD1778" i="16"/>
  <c r="AC1778" i="16" s="1"/>
  <c r="AD1780" i="16"/>
  <c r="AC1780" i="16" s="1"/>
  <c r="AD1779" i="16"/>
  <c r="AC1779" i="16" s="1"/>
  <c r="AD1729" i="16"/>
  <c r="AC1729" i="16" s="1"/>
  <c r="AD1741" i="16"/>
  <c r="AC1741" i="16" s="1"/>
  <c r="AD1709" i="16"/>
  <c r="AC1709" i="16" s="1"/>
  <c r="AD1721" i="16"/>
  <c r="AC1721" i="16" s="1"/>
  <c r="AD1726" i="16"/>
  <c r="AC1726" i="16" s="1"/>
  <c r="AO1785" i="16" l="1"/>
  <c r="M1837" i="16"/>
  <c r="AM1837" i="16" s="1"/>
  <c r="AE1837" i="16"/>
  <c r="AC1837" i="16" s="1"/>
  <c r="AO1746" i="16"/>
  <c r="E1851" i="81"/>
  <c r="AO1852" i="16"/>
  <c r="E1745" i="81"/>
  <c r="U1299" i="16"/>
  <c r="N1252" i="16"/>
  <c r="N1256" i="16"/>
  <c r="G1257" i="16" s="1"/>
  <c r="N1258" i="16"/>
  <c r="G1259" i="16" s="1"/>
  <c r="G1260" i="16" s="1"/>
  <c r="N1261" i="16"/>
  <c r="G1262" i="16" s="1"/>
  <c r="G1263" i="16" s="1"/>
  <c r="G1264" i="16" s="1"/>
  <c r="G1265" i="16" s="1"/>
  <c r="N1266" i="16"/>
  <c r="U47" i="25"/>
  <c r="U44" i="25"/>
  <c r="U917" i="16"/>
  <c r="U914" i="16"/>
  <c r="S1302" i="16"/>
  <c r="G1253" i="16" l="1"/>
  <c r="O1301" i="16"/>
  <c r="U864" i="16"/>
  <c r="U860" i="16"/>
  <c r="R593" i="16"/>
  <c r="S162" i="16"/>
  <c r="T140" i="16"/>
  <c r="AD140" i="16" s="1"/>
  <c r="AC140" i="16" s="1"/>
  <c r="S140" i="16"/>
  <c r="U37" i="16"/>
  <c r="S37" i="16"/>
  <c r="T37" i="16" s="1"/>
  <c r="AD37" i="16" s="1"/>
  <c r="AC37" i="16" s="1"/>
  <c r="O37" i="16"/>
  <c r="S1308" i="16"/>
  <c r="O864" i="16"/>
  <c r="G1254" i="16" l="1"/>
  <c r="E31" i="89"/>
  <c r="O1308" i="16"/>
  <c r="E1307" i="81" s="1"/>
  <c r="S224" i="84"/>
  <c r="W223" i="84" s="1"/>
  <c r="W97" i="84"/>
  <c r="E1300" i="81"/>
  <c r="AO1301" i="16"/>
  <c r="AO864" i="16"/>
  <c r="AO37" i="16"/>
  <c r="E863" i="81"/>
  <c r="E36" i="81"/>
  <c r="AE593" i="16"/>
  <c r="M593" i="16"/>
  <c r="AM593" i="16" s="1"/>
  <c r="T162" i="16"/>
  <c r="AD162" i="16" s="1"/>
  <c r="AC162" i="16" s="1"/>
  <c r="AX364" i="16"/>
  <c r="AX365" i="16"/>
  <c r="AX366" i="16"/>
  <c r="AX357" i="16"/>
  <c r="AX358" i="16"/>
  <c r="AX359" i="16"/>
  <c r="AX360" i="16"/>
  <c r="AX361" i="16"/>
  <c r="AX363" i="16"/>
  <c r="AX346" i="16"/>
  <c r="AO1308" i="16" l="1"/>
  <c r="AC593" i="16"/>
  <c r="AF593" i="16"/>
  <c r="O224" i="29"/>
  <c r="O220" i="29"/>
  <c r="O217" i="29"/>
  <c r="O177" i="29"/>
  <c r="F171" i="88" s="1"/>
  <c r="O382" i="28"/>
  <c r="O373" i="28"/>
  <c r="E164" i="88" s="1"/>
  <c r="C164" i="88" s="1"/>
  <c r="A164" i="88" s="1"/>
  <c r="AE362" i="28"/>
  <c r="M362" i="28"/>
  <c r="AM362" i="28" s="1"/>
  <c r="M354" i="28"/>
  <c r="AM354" i="28" s="1"/>
  <c r="O312" i="28"/>
  <c r="AE238" i="28"/>
  <c r="W210" i="85" l="1"/>
  <c r="I2179" i="80"/>
  <c r="A2179" i="80" s="1"/>
  <c r="AO312" i="28"/>
  <c r="I2464" i="80"/>
  <c r="AO220" i="29"/>
  <c r="N2463" i="16"/>
  <c r="I2468" i="80"/>
  <c r="AO224" i="29"/>
  <c r="N2467" i="16"/>
  <c r="I2240" i="80"/>
  <c r="AO373" i="28"/>
  <c r="N2239" i="16"/>
  <c r="I2421" i="80"/>
  <c r="A2421" i="80" s="1"/>
  <c r="AO177" i="29"/>
  <c r="N2420" i="16"/>
  <c r="I2461" i="80"/>
  <c r="AO217" i="29"/>
  <c r="N2460" i="16"/>
  <c r="I2249" i="80"/>
  <c r="A2249" i="80" s="1"/>
  <c r="AO382" i="28"/>
  <c r="N2248" i="16"/>
  <c r="AC238" i="28"/>
  <c r="AC362" i="28"/>
  <c r="U238" i="28"/>
  <c r="FH4" i="2" s="1"/>
  <c r="M238" i="28"/>
  <c r="AM238" i="28" s="1"/>
  <c r="U203" i="27"/>
  <c r="EK4" i="2" s="1"/>
  <c r="U195" i="27"/>
  <c r="EJ4" i="2" s="1"/>
  <c r="U102" i="27"/>
  <c r="EB4" i="2" s="1"/>
  <c r="U100" i="27"/>
  <c r="EA4" i="2" s="1"/>
  <c r="U112" i="27"/>
  <c r="EC4" i="2" s="1"/>
  <c r="AM96" i="27"/>
  <c r="G2248" i="16" l="1"/>
  <c r="G2249" i="16" s="1"/>
  <c r="G2250" i="16" s="1"/>
  <c r="G2251" i="16" s="1"/>
  <c r="G2239" i="16"/>
  <c r="G2240" i="16" s="1"/>
  <c r="G2241" i="16" s="1"/>
  <c r="G2242" i="16" s="1"/>
  <c r="A2240" i="80"/>
  <c r="C2240" i="80" s="1"/>
  <c r="G2463" i="16"/>
  <c r="G2464" i="16" s="1"/>
  <c r="G2465" i="16" s="1"/>
  <c r="G2466" i="16" s="1"/>
  <c r="G2460" i="16"/>
  <c r="G2461" i="16" s="1"/>
  <c r="G2462" i="16" s="1"/>
  <c r="G2420" i="16"/>
  <c r="G2421" i="16" s="1"/>
  <c r="G2422" i="16" s="1"/>
  <c r="G2423" i="16" s="1"/>
  <c r="G2424" i="16" s="1"/>
  <c r="G2425" i="16" s="1"/>
  <c r="G2426" i="16" s="1"/>
  <c r="G2427" i="16" s="1"/>
  <c r="G2428" i="16" s="1"/>
  <c r="G2429" i="16" s="1"/>
  <c r="G2430" i="16" s="1"/>
  <c r="A2422" i="80"/>
  <c r="C2421" i="80"/>
  <c r="A2250" i="80"/>
  <c r="C2249" i="80"/>
  <c r="A2180" i="80"/>
  <c r="C2180" i="80" s="1"/>
  <c r="C2179" i="80"/>
  <c r="T288" i="28"/>
  <c r="AD288" i="28" s="1"/>
  <c r="T286" i="28"/>
  <c r="AD286" i="28" s="1"/>
  <c r="AC286" i="28" s="1"/>
  <c r="O288" i="28"/>
  <c r="I2155" i="80" s="1"/>
  <c r="S101" i="27"/>
  <c r="A2423" i="80" l="1"/>
  <c r="C2422" i="80"/>
  <c r="A2251" i="80"/>
  <c r="C2250" i="80"/>
  <c r="AO288" i="28"/>
  <c r="N2154" i="16"/>
  <c r="U13" i="27"/>
  <c r="DU4" i="2" s="1"/>
  <c r="A2252" i="80" l="1"/>
  <c r="C2252" i="80" s="1"/>
  <c r="C2251" i="80"/>
  <c r="A2424" i="80"/>
  <c r="C2424" i="80" s="1"/>
  <c r="C2423" i="80"/>
  <c r="S14" i="27"/>
  <c r="S164" i="27" l="1"/>
  <c r="S131" i="27"/>
  <c r="S134" i="27" s="1"/>
  <c r="N11" i="3"/>
  <c r="S211" i="27"/>
  <c r="O211" i="27" s="1"/>
  <c r="S100" i="27"/>
  <c r="T100" i="27" s="1"/>
  <c r="AD100" i="27" s="1"/>
  <c r="AC100" i="27" s="1"/>
  <c r="S221" i="27"/>
  <c r="S150" i="27"/>
  <c r="S56" i="27"/>
  <c r="S203" i="27"/>
  <c r="T203" i="27" s="1"/>
  <c r="AD203" i="27" s="1"/>
  <c r="AC203" i="27" s="1"/>
  <c r="S97" i="27"/>
  <c r="S192" i="27"/>
  <c r="T192" i="27" s="1"/>
  <c r="S149" i="27"/>
  <c r="S55" i="27"/>
  <c r="S195" i="27"/>
  <c r="S191" i="27"/>
  <c r="T191" i="27" s="1"/>
  <c r="S145" i="27"/>
  <c r="S171" i="27"/>
  <c r="O171" i="27" s="1"/>
  <c r="S219" i="27"/>
  <c r="S175" i="27"/>
  <c r="S166" i="27"/>
  <c r="T166" i="27" s="1"/>
  <c r="AD166" i="27" s="1"/>
  <c r="AC166" i="27" s="1"/>
  <c r="S156" i="27"/>
  <c r="S92" i="27"/>
  <c r="S102" i="27"/>
  <c r="T102" i="27" s="1"/>
  <c r="AD102" i="27" s="1"/>
  <c r="AC102" i="27" s="1"/>
  <c r="S80" i="27"/>
  <c r="S112" i="27"/>
  <c r="T112" i="27" s="1"/>
  <c r="AD112" i="27" s="1"/>
  <c r="AC112" i="27" s="1"/>
  <c r="S169" i="27"/>
  <c r="O169" i="27" s="1"/>
  <c r="S217" i="27"/>
  <c r="S124" i="27"/>
  <c r="S239" i="27"/>
  <c r="O241" i="27" s="1"/>
  <c r="S189" i="27"/>
  <c r="S223" i="27"/>
  <c r="O223" i="27" s="1"/>
  <c r="C127" i="89" s="1"/>
  <c r="A127" i="89" s="1"/>
  <c r="S151" i="27"/>
  <c r="S168" i="27"/>
  <c r="O168" i="27" s="1"/>
  <c r="S233" i="27"/>
  <c r="S117" i="27"/>
  <c r="T117" i="27" s="1"/>
  <c r="S231" i="27"/>
  <c r="S228" i="27"/>
  <c r="I2177" i="80"/>
  <c r="I2151" i="80" s="1"/>
  <c r="A2151" i="80" s="1"/>
  <c r="N2176" i="16"/>
  <c r="AO310" i="28"/>
  <c r="O195" i="27"/>
  <c r="I1853" i="80" l="1"/>
  <c r="E127" i="88"/>
  <c r="C127" i="88" s="1"/>
  <c r="A127" i="88" s="1"/>
  <c r="T239" i="27"/>
  <c r="AD239" i="27" s="1"/>
  <c r="AC239" i="27" s="1"/>
  <c r="O156" i="27"/>
  <c r="S152" i="85"/>
  <c r="R152" i="85" s="1"/>
  <c r="T208" i="27"/>
  <c r="AD208" i="27" s="1"/>
  <c r="R208" i="27"/>
  <c r="T223" i="27"/>
  <c r="AD223" i="27" s="1"/>
  <c r="AC223" i="27" s="1"/>
  <c r="T211" i="27"/>
  <c r="AD211" i="27" s="1"/>
  <c r="AC211" i="27" s="1"/>
  <c r="O166" i="27"/>
  <c r="N1795" i="16" s="1"/>
  <c r="T168" i="27"/>
  <c r="AD168" i="27" s="1"/>
  <c r="AC168" i="27" s="1"/>
  <c r="R239" i="27"/>
  <c r="AO195" i="27"/>
  <c r="I1825" i="80"/>
  <c r="T169" i="27"/>
  <c r="AD169" i="27" s="1"/>
  <c r="AC169" i="27" s="1"/>
  <c r="S138" i="27"/>
  <c r="O138" i="27" s="1"/>
  <c r="I1768" i="80" s="1"/>
  <c r="S140" i="27"/>
  <c r="O140" i="27" s="1"/>
  <c r="I1770" i="80" s="1"/>
  <c r="T171" i="27"/>
  <c r="AD171" i="27" s="1"/>
  <c r="AC171" i="27" s="1"/>
  <c r="T195" i="27"/>
  <c r="AD195" i="27" s="1"/>
  <c r="AC195" i="27" s="1"/>
  <c r="AO211" i="27"/>
  <c r="I1841" i="80"/>
  <c r="I1837" i="80" s="1"/>
  <c r="A1837" i="80" s="1"/>
  <c r="AO171" i="27"/>
  <c r="I1801" i="80"/>
  <c r="AO169" i="27"/>
  <c r="I1799" i="80"/>
  <c r="AO168" i="27"/>
  <c r="I1798" i="80"/>
  <c r="N1798" i="16"/>
  <c r="N1800" i="16"/>
  <c r="N1840" i="16"/>
  <c r="G1840" i="16" s="1"/>
  <c r="N1797" i="16"/>
  <c r="G1797" i="16" s="1"/>
  <c r="AD767" i="25"/>
  <c r="AC767" i="25" s="1"/>
  <c r="AD766" i="25"/>
  <c r="AC766" i="25" s="1"/>
  <c r="AD757" i="25"/>
  <c r="AC757" i="25" s="1"/>
  <c r="U752" i="25"/>
  <c r="DT4" i="2" s="1"/>
  <c r="O203" i="27"/>
  <c r="O100" i="27"/>
  <c r="O112" i="27"/>
  <c r="G1800" i="16" l="1"/>
  <c r="G1801" i="16" s="1"/>
  <c r="G1795" i="16"/>
  <c r="G1796" i="16" s="1"/>
  <c r="G1798" i="16"/>
  <c r="G1799" i="16" s="1"/>
  <c r="A1825" i="80"/>
  <c r="A1826" i="80" s="1"/>
  <c r="A1853" i="80"/>
  <c r="A1854" i="80" s="1"/>
  <c r="C169" i="89"/>
  <c r="A169" i="89" s="1"/>
  <c r="F124" i="88"/>
  <c r="E169" i="88"/>
  <c r="C169" i="88" s="1"/>
  <c r="A169" i="88" s="1"/>
  <c r="AO156" i="27"/>
  <c r="W74" i="86"/>
  <c r="W105" i="86"/>
  <c r="I1786" i="80"/>
  <c r="N1785" i="16"/>
  <c r="AE208" i="27"/>
  <c r="AC208" i="27" s="1"/>
  <c r="M208" i="27"/>
  <c r="AM208" i="27" s="1"/>
  <c r="I1730" i="80"/>
  <c r="N1729" i="16"/>
  <c r="G1729" i="16" s="1"/>
  <c r="AO100" i="27"/>
  <c r="AO112" i="27"/>
  <c r="N1741" i="16"/>
  <c r="I1742" i="80"/>
  <c r="I1833" i="80"/>
  <c r="AO203" i="27"/>
  <c r="I1796" i="80"/>
  <c r="AO166" i="27"/>
  <c r="S715" i="25"/>
  <c r="T715" i="25" s="1"/>
  <c r="AD715" i="25" s="1"/>
  <c r="AC715" i="25" s="1"/>
  <c r="O752" i="25"/>
  <c r="C1825" i="80" l="1"/>
  <c r="G1785" i="16"/>
  <c r="G1741" i="16"/>
  <c r="G1742" i="16" s="1"/>
  <c r="G1743" i="16" s="1"/>
  <c r="G1744" i="16" s="1"/>
  <c r="G1745" i="16" s="1"/>
  <c r="C1853" i="80"/>
  <c r="A1855" i="80"/>
  <c r="C1855" i="80" s="1"/>
  <c r="C1854" i="80"/>
  <c r="A1827" i="80"/>
  <c r="C1827" i="80" s="1"/>
  <c r="C1826" i="80"/>
  <c r="A1730" i="80"/>
  <c r="A1731" i="80" s="1"/>
  <c r="A1833" i="80"/>
  <c r="C1833" i="80" s="1"/>
  <c r="I1824" i="80"/>
  <c r="N1622" i="16"/>
  <c r="AO752" i="25"/>
  <c r="O634" i="25"/>
  <c r="I1503" i="80" s="1"/>
  <c r="O632" i="25"/>
  <c r="I1501" i="80" s="1"/>
  <c r="A1828" i="80" l="1"/>
  <c r="C1828" i="80" s="1"/>
  <c r="G1622" i="16"/>
  <c r="G1623" i="16" s="1"/>
  <c r="G1624" i="16" s="1"/>
  <c r="G1625" i="16" s="1"/>
  <c r="G1786" i="16"/>
  <c r="A1834" i="80"/>
  <c r="C1834" i="80" s="1"/>
  <c r="A1732" i="80"/>
  <c r="C1732" i="80" s="1"/>
  <c r="C1731" i="80"/>
  <c r="A1824" i="80"/>
  <c r="C1824" i="80" s="1"/>
  <c r="C1730" i="80"/>
  <c r="I1498" i="80"/>
  <c r="N1504" i="16"/>
  <c r="AO634" i="25"/>
  <c r="N1502" i="16"/>
  <c r="AO632" i="25"/>
  <c r="N1476" i="16"/>
  <c r="AM595" i="25"/>
  <c r="AM592" i="25"/>
  <c r="O595" i="25"/>
  <c r="I1464" i="80" s="1"/>
  <c r="O592" i="25"/>
  <c r="U429" i="25"/>
  <c r="DM4" i="2" s="1"/>
  <c r="A1829" i="80" l="1"/>
  <c r="A1830" i="80" s="1"/>
  <c r="C1830" i="80" s="1"/>
  <c r="G1504" i="16"/>
  <c r="G1505" i="16" s="1"/>
  <c r="G1502" i="16"/>
  <c r="G1503" i="16" s="1"/>
  <c r="G1499" i="16" s="1"/>
  <c r="A1498" i="80"/>
  <c r="A1499" i="80" s="1"/>
  <c r="I1461" i="80"/>
  <c r="I1460" i="80" s="1"/>
  <c r="A1460" i="80" s="1"/>
  <c r="E158" i="88"/>
  <c r="C1498" i="80"/>
  <c r="A1500" i="80"/>
  <c r="C1500" i="80" s="1"/>
  <c r="C1499" i="80"/>
  <c r="C1460" i="80"/>
  <c r="AO592" i="25"/>
  <c r="N1462" i="16"/>
  <c r="G1462" i="16" s="1"/>
  <c r="AO595" i="25"/>
  <c r="N1465" i="16"/>
  <c r="G1465" i="16" s="1"/>
  <c r="G1477" i="16"/>
  <c r="G1475" i="16" s="1"/>
  <c r="S438" i="25"/>
  <c r="S432" i="25"/>
  <c r="C1829" i="80" l="1"/>
  <c r="O438" i="25"/>
  <c r="AO438" i="25" s="1"/>
  <c r="O431" i="25"/>
  <c r="I1300" i="80" s="1"/>
  <c r="CL4" i="2"/>
  <c r="CK4" i="2"/>
  <c r="U546" i="24"/>
  <c r="CE4" i="2" s="1"/>
  <c r="U542" i="24"/>
  <c r="CD4" i="2" s="1"/>
  <c r="R275" i="24"/>
  <c r="AE220" i="24"/>
  <c r="AC220" i="24" s="1"/>
  <c r="O220" i="24"/>
  <c r="O310" i="8"/>
  <c r="S163" i="8"/>
  <c r="T163" i="8" s="1"/>
  <c r="AD163" i="8" s="1"/>
  <c r="AC163" i="8" s="1"/>
  <c r="O143" i="8"/>
  <c r="T141" i="8"/>
  <c r="AD141" i="8" s="1"/>
  <c r="AC141" i="8" s="1"/>
  <c r="S141" i="8"/>
  <c r="O546" i="24"/>
  <c r="E31" i="88" l="1"/>
  <c r="W97" i="85"/>
  <c r="N1301" i="16"/>
  <c r="AO431" i="25"/>
  <c r="I1307" i="80"/>
  <c r="I1297" i="80" s="1"/>
  <c r="A1297" i="80" s="1"/>
  <c r="N538" i="16"/>
  <c r="I537" i="80"/>
  <c r="A537" i="80" s="1"/>
  <c r="AO220" i="24"/>
  <c r="N1308" i="16"/>
  <c r="I141" i="80"/>
  <c r="A141" i="80" s="1"/>
  <c r="AO143" i="8"/>
  <c r="N142" i="16"/>
  <c r="I308" i="80"/>
  <c r="AO310" i="8"/>
  <c r="N309" i="16"/>
  <c r="G309" i="16" s="1"/>
  <c r="I863" i="80"/>
  <c r="A863" i="80" s="1"/>
  <c r="AO546" i="24"/>
  <c r="M275" i="24"/>
  <c r="AM275" i="24" s="1"/>
  <c r="AE275" i="24"/>
  <c r="N864" i="16"/>
  <c r="AC275" i="24"/>
  <c r="G538" i="16" l="1"/>
  <c r="G539" i="16" s="1"/>
  <c r="G540" i="16" s="1"/>
  <c r="A308" i="80"/>
  <c r="C308" i="80" s="1"/>
  <c r="G142" i="16"/>
  <c r="G143" i="16" s="1"/>
  <c r="G144" i="16" s="1"/>
  <c r="G1301" i="16"/>
  <c r="G1308" i="16"/>
  <c r="G1309" i="16" s="1"/>
  <c r="G1310" i="16" s="1"/>
  <c r="G1311" i="16" s="1"/>
  <c r="G1312" i="16" s="1"/>
  <c r="G1313" i="16" s="1"/>
  <c r="G1314" i="16" s="1"/>
  <c r="G864" i="16"/>
  <c r="G865" i="16" s="1"/>
  <c r="G866" i="16" s="1"/>
  <c r="G867" i="16" s="1"/>
  <c r="G868" i="16" s="1"/>
  <c r="G869" i="16" s="1"/>
  <c r="G870" i="16" s="1"/>
  <c r="G871" i="16" s="1"/>
  <c r="G872" i="16" s="1"/>
  <c r="G873" i="16" s="1"/>
  <c r="G874" i="16" s="1"/>
  <c r="G875" i="16" s="1"/>
  <c r="G876" i="16" s="1"/>
  <c r="G877" i="16" s="1"/>
  <c r="G878" i="16" s="1"/>
  <c r="A538" i="80"/>
  <c r="C538" i="80" s="1"/>
  <c r="C537" i="80"/>
  <c r="A142" i="80"/>
  <c r="C141" i="80"/>
  <c r="A864" i="80"/>
  <c r="C863" i="80"/>
  <c r="O84" i="8"/>
  <c r="O56" i="8"/>
  <c r="W237" i="85" s="1"/>
  <c r="O53" i="8"/>
  <c r="AE56" i="8"/>
  <c r="AC56" i="8" s="1"/>
  <c r="AE53" i="8"/>
  <c r="AC53" i="8" s="1"/>
  <c r="S28" i="8"/>
  <c r="T28" i="8" s="1"/>
  <c r="U38" i="8"/>
  <c r="AD4" i="2" s="1"/>
  <c r="S38" i="8"/>
  <c r="T38" i="8" l="1"/>
  <c r="AD38" i="8" s="1"/>
  <c r="AC38" i="8" s="1"/>
  <c r="G1302" i="16"/>
  <c r="G1303" i="16" s="1"/>
  <c r="I51" i="80"/>
  <c r="A51" i="80" s="1"/>
  <c r="AO53" i="8"/>
  <c r="N52" i="16"/>
  <c r="C142" i="80"/>
  <c r="A143" i="80"/>
  <c r="C143" i="80" s="1"/>
  <c r="I54" i="80"/>
  <c r="AO56" i="8"/>
  <c r="N55" i="16"/>
  <c r="I82" i="80"/>
  <c r="A82" i="80" s="1"/>
  <c r="AO84" i="8"/>
  <c r="N83" i="16"/>
  <c r="A865" i="80"/>
  <c r="C864" i="80"/>
  <c r="O28" i="8"/>
  <c r="I26" i="80" s="1"/>
  <c r="A26" i="80" s="1"/>
  <c r="O38" i="8"/>
  <c r="G83" i="16" l="1"/>
  <c r="G84" i="16" s="1"/>
  <c r="G85" i="16" s="1"/>
  <c r="G86" i="16" s="1"/>
  <c r="G87" i="16" s="1"/>
  <c r="G55" i="16"/>
  <c r="G56" i="16" s="1"/>
  <c r="A54" i="80"/>
  <c r="C54" i="80" s="1"/>
  <c r="G52" i="16"/>
  <c r="G53" i="16" s="1"/>
  <c r="G54" i="16" s="1"/>
  <c r="S224" i="85"/>
  <c r="W223" i="85" s="1"/>
  <c r="I36" i="80"/>
  <c r="AO38" i="8"/>
  <c r="N37" i="16"/>
  <c r="A83" i="80"/>
  <c r="C82" i="80"/>
  <c r="A52" i="80"/>
  <c r="C52" i="80" s="1"/>
  <c r="C51" i="80"/>
  <c r="A27" i="80"/>
  <c r="C26" i="80"/>
  <c r="C865" i="80"/>
  <c r="A866" i="80"/>
  <c r="L57" i="18"/>
  <c r="M76" i="18"/>
  <c r="M77" i="18"/>
  <c r="M78" i="18"/>
  <c r="M79" i="18"/>
  <c r="M75" i="18"/>
  <c r="G37" i="16" l="1"/>
  <c r="G38" i="16" s="1"/>
  <c r="G39" i="16" s="1"/>
  <c r="G40" i="16" s="1"/>
  <c r="G41" i="16" s="1"/>
  <c r="I35" i="80"/>
  <c r="A35" i="80" s="1"/>
  <c r="A36" i="80"/>
  <c r="A37" i="80" s="1"/>
  <c r="C37" i="80" s="1"/>
  <c r="C83" i="80"/>
  <c r="A84" i="80"/>
  <c r="A28" i="80"/>
  <c r="C27" i="80"/>
  <c r="C866" i="80"/>
  <c r="A867" i="80"/>
  <c r="C867" i="80" s="1"/>
  <c r="A38" i="80" l="1"/>
  <c r="C38" i="80" s="1"/>
  <c r="C36" i="80"/>
  <c r="A85" i="80"/>
  <c r="C84" i="80"/>
  <c r="C28" i="80"/>
  <c r="A29" i="80"/>
  <c r="C29" i="80" s="1"/>
  <c r="K57" i="17"/>
  <c r="L75" i="18"/>
  <c r="L76" i="18"/>
  <c r="L77" i="18"/>
  <c r="L78" i="18"/>
  <c r="L79" i="18"/>
  <c r="A39" i="80" l="1"/>
  <c r="C39" i="80" s="1"/>
  <c r="C85" i="80"/>
  <c r="A86" i="80"/>
  <c r="C86" i="80" s="1"/>
  <c r="L76" i="17"/>
  <c r="K76" i="17" s="1"/>
  <c r="L77" i="17"/>
  <c r="K77" i="17" s="1"/>
  <c r="L78" i="17"/>
  <c r="K78" i="17" s="1"/>
  <c r="L79" i="17"/>
  <c r="K79" i="17" s="1"/>
  <c r="L75" i="17"/>
  <c r="K75" i="17" s="1"/>
  <c r="A40" i="80" l="1"/>
  <c r="C40" i="80" s="1"/>
  <c r="AF443" i="16"/>
  <c r="AF441" i="16"/>
  <c r="AF374" i="16"/>
  <c r="AF373" i="16"/>
  <c r="AF372" i="16"/>
  <c r="AF371" i="16"/>
  <c r="AF370" i="16"/>
  <c r="S1653" i="16" l="1"/>
  <c r="S1652" i="16"/>
  <c r="S24" i="27"/>
  <c r="S23" i="27"/>
  <c r="S1650" i="16" l="1"/>
  <c r="S1679" i="16" s="1"/>
  <c r="S21" i="27"/>
  <c r="S50" i="27" s="1"/>
  <c r="O50" i="27" s="1"/>
  <c r="I1680" i="80" s="1"/>
  <c r="S1921" i="16"/>
  <c r="O1921" i="16" s="1"/>
  <c r="W209" i="84" s="1"/>
  <c r="S55" i="28"/>
  <c r="O643" i="25"/>
  <c r="I1512" i="80" s="1"/>
  <c r="A1512" i="80" s="1"/>
  <c r="T1679" i="16" l="1"/>
  <c r="O1679" i="16"/>
  <c r="A1513" i="80"/>
  <c r="C1513" i="80" s="1"/>
  <c r="C1512" i="80"/>
  <c r="E1920" i="81"/>
  <c r="G1920" i="81" s="1"/>
  <c r="AO1921" i="16"/>
  <c r="S1926" i="16"/>
  <c r="R1926" i="16" s="1"/>
  <c r="S1924" i="16"/>
  <c r="E8" i="72"/>
  <c r="F9" i="72"/>
  <c r="K15" i="7"/>
  <c r="L15" i="7"/>
  <c r="F8" i="72"/>
  <c r="N38" i="10"/>
  <c r="C26" i="10"/>
  <c r="O7" i="10"/>
  <c r="Y978" i="16"/>
  <c r="AY26" i="24"/>
  <c r="O13" i="24" s="1"/>
  <c r="I330" i="80" s="1"/>
  <c r="A330" i="80" s="1"/>
  <c r="AY33" i="24"/>
  <c r="AZ33" i="24" s="1"/>
  <c r="S111" i="24" s="1"/>
  <c r="T111" i="24" s="1"/>
  <c r="AD111" i="24" s="1"/>
  <c r="AC111" i="24" s="1"/>
  <c r="AY27" i="25"/>
  <c r="W585" i="25" s="1"/>
  <c r="O583" i="25" s="1"/>
  <c r="I1452" i="80" s="1"/>
  <c r="A1452" i="80" s="1"/>
  <c r="AY19" i="29"/>
  <c r="S31" i="29" s="1"/>
  <c r="T31" i="29" s="1"/>
  <c r="AD31" i="29" s="1"/>
  <c r="AC31" i="29" s="1"/>
  <c r="U143" i="27"/>
  <c r="EG4" i="2" s="1"/>
  <c r="P11" i="23"/>
  <c r="P13" i="23"/>
  <c r="X4" i="87" s="1"/>
  <c r="P16" i="23"/>
  <c r="P19" i="23"/>
  <c r="P23" i="23"/>
  <c r="P25" i="23"/>
  <c r="P26" i="23"/>
  <c r="P27" i="23"/>
  <c r="P32" i="23"/>
  <c r="P34" i="23"/>
  <c r="P38" i="23"/>
  <c r="P39" i="23"/>
  <c r="P42" i="23"/>
  <c r="P44" i="23"/>
  <c r="P46" i="23"/>
  <c r="P50" i="23"/>
  <c r="BD1644" i="16"/>
  <c r="BD1881" i="16"/>
  <c r="BD2258" i="16"/>
  <c r="BC2258" i="16"/>
  <c r="BC1881" i="16"/>
  <c r="BC1644" i="16"/>
  <c r="U45" i="16"/>
  <c r="AP561" i="25"/>
  <c r="U46" i="8"/>
  <c r="AE4" i="2" s="1"/>
  <c r="Y45" i="16"/>
  <c r="Y42" i="16"/>
  <c r="Y27" i="16"/>
  <c r="Y25" i="16"/>
  <c r="Y23" i="16"/>
  <c r="Y21" i="16"/>
  <c r="Y19" i="16"/>
  <c r="Y13" i="16"/>
  <c r="K67" i="17"/>
  <c r="K65" i="17"/>
  <c r="K63" i="17"/>
  <c r="K61" i="17"/>
  <c r="K59" i="17"/>
  <c r="L67" i="18"/>
  <c r="L65" i="18"/>
  <c r="L63" i="18"/>
  <c r="L61" i="18"/>
  <c r="L59" i="18"/>
  <c r="L49" i="18"/>
  <c r="L47" i="18"/>
  <c r="L45" i="18"/>
  <c r="L43" i="18"/>
  <c r="E20" i="17"/>
  <c r="AX2306" i="16"/>
  <c r="AX2305" i="16"/>
  <c r="AX2303" i="16"/>
  <c r="AX2302" i="16"/>
  <c r="AX2301" i="16"/>
  <c r="AX2300" i="16"/>
  <c r="AX2299" i="16"/>
  <c r="AX2298" i="16"/>
  <c r="AX2296" i="16"/>
  <c r="AX2295" i="16"/>
  <c r="AX2294" i="16"/>
  <c r="AX2293" i="16"/>
  <c r="AX2292" i="16"/>
  <c r="AX2291" i="16"/>
  <c r="AX2290" i="16"/>
  <c r="AX2289" i="16"/>
  <c r="AX2288" i="16"/>
  <c r="AX2286" i="16"/>
  <c r="AX2285" i="16"/>
  <c r="AX2284" i="16"/>
  <c r="AX2283" i="16"/>
  <c r="AX2282" i="16"/>
  <c r="AX2281" i="16"/>
  <c r="AX2280" i="16"/>
  <c r="AX2279" i="16"/>
  <c r="AX2278" i="16"/>
  <c r="AX2276" i="16"/>
  <c r="AX2274" i="16"/>
  <c r="AX2271" i="16"/>
  <c r="AX2270" i="16"/>
  <c r="AX2269" i="16"/>
  <c r="AX2267" i="16"/>
  <c r="AX2263" i="16"/>
  <c r="AX2262" i="16"/>
  <c r="AX2260" i="16"/>
  <c r="AX2259" i="16"/>
  <c r="AX2258" i="16"/>
  <c r="AX2257" i="16"/>
  <c r="AX2256" i="16"/>
  <c r="AX2255" i="16"/>
  <c r="AX2254" i="16"/>
  <c r="AX1929" i="16"/>
  <c r="AX1928" i="16"/>
  <c r="AX1926" i="16"/>
  <c r="AX1925" i="16"/>
  <c r="AX1924" i="16"/>
  <c r="AX1923" i="16"/>
  <c r="AX1922" i="16"/>
  <c r="AX1921" i="16"/>
  <c r="AX1919" i="16"/>
  <c r="AX1918" i="16"/>
  <c r="AX1917" i="16"/>
  <c r="AX1916" i="16"/>
  <c r="AX1915" i="16"/>
  <c r="AX1914" i="16"/>
  <c r="AX1913" i="16"/>
  <c r="AX1912" i="16"/>
  <c r="AX1911" i="16"/>
  <c r="AX1909" i="16"/>
  <c r="AX1908" i="16"/>
  <c r="AX1907" i="16"/>
  <c r="AX1906" i="16"/>
  <c r="AX1905" i="16"/>
  <c r="AX1904" i="16"/>
  <c r="AX1903" i="16"/>
  <c r="AX1902" i="16"/>
  <c r="AX1901" i="16"/>
  <c r="AX1899" i="16"/>
  <c r="AX1897" i="16"/>
  <c r="AX1894" i="16"/>
  <c r="AX1893" i="16"/>
  <c r="AX1892" i="16"/>
  <c r="AX1890" i="16"/>
  <c r="AX1886" i="16"/>
  <c r="AX1885" i="16"/>
  <c r="AX1883" i="16"/>
  <c r="AX1882" i="16"/>
  <c r="AX1881" i="16"/>
  <c r="AX1880" i="16"/>
  <c r="AX1879" i="16"/>
  <c r="AX1878" i="16"/>
  <c r="AX1877" i="16"/>
  <c r="AX1692" i="16"/>
  <c r="AX1691" i="16"/>
  <c r="AX1689" i="16"/>
  <c r="AX1688" i="16"/>
  <c r="AX1687" i="16"/>
  <c r="AX1686" i="16"/>
  <c r="AX1685" i="16"/>
  <c r="AX1684" i="16"/>
  <c r="AX1682" i="16"/>
  <c r="AX1681" i="16"/>
  <c r="AX1680" i="16"/>
  <c r="AX1679" i="16"/>
  <c r="AX1678" i="16"/>
  <c r="AX1677" i="16"/>
  <c r="AX1676" i="16"/>
  <c r="AX1675" i="16"/>
  <c r="AX1674" i="16"/>
  <c r="AX1672" i="16"/>
  <c r="AX1671" i="16"/>
  <c r="AX1670" i="16"/>
  <c r="AX1669" i="16"/>
  <c r="AX1668" i="16"/>
  <c r="AX1667" i="16"/>
  <c r="AX1666" i="16"/>
  <c r="AX1665" i="16"/>
  <c r="AX1664" i="16"/>
  <c r="AX1662" i="16"/>
  <c r="AX1660" i="16"/>
  <c r="AX1657" i="16"/>
  <c r="AX1656" i="16"/>
  <c r="AX1655" i="16"/>
  <c r="AX1653" i="16"/>
  <c r="AX1649" i="16"/>
  <c r="AX1648" i="16"/>
  <c r="AX1641" i="16"/>
  <c r="AX1642" i="16"/>
  <c r="AX1643" i="16"/>
  <c r="AX1644" i="16"/>
  <c r="AX1645" i="16"/>
  <c r="AX1646" i="16"/>
  <c r="AX1640" i="16"/>
  <c r="I5" i="29"/>
  <c r="O192" i="27"/>
  <c r="I1822" i="80" s="1"/>
  <c r="A1822" i="80" s="1"/>
  <c r="O674" i="25"/>
  <c r="S2086" i="16"/>
  <c r="R2085" i="16" s="1"/>
  <c r="T2211" i="16"/>
  <c r="Y2456" i="16"/>
  <c r="Y2454" i="16"/>
  <c r="Y2441" i="16"/>
  <c r="Y2438" i="16"/>
  <c r="Y2436" i="16"/>
  <c r="Y2395" i="16"/>
  <c r="Y2392" i="16"/>
  <c r="Y2391" i="16"/>
  <c r="Y2390" i="16"/>
  <c r="Y2389" i="16"/>
  <c r="Y2387" i="16"/>
  <c r="Y2386" i="16"/>
  <c r="Y2384" i="16"/>
  <c r="Y2377" i="16"/>
  <c r="Y2373" i="16"/>
  <c r="Y2371" i="16"/>
  <c r="Y2365" i="16"/>
  <c r="Y2362" i="16"/>
  <c r="Y2361" i="16"/>
  <c r="Y2359" i="16"/>
  <c r="Y2357" i="16"/>
  <c r="Y2356" i="16"/>
  <c r="Y2354" i="16"/>
  <c r="Y2351" i="16"/>
  <c r="Y2349" i="16"/>
  <c r="Y2346" i="16"/>
  <c r="Y2344" i="16"/>
  <c r="Y2338" i="16"/>
  <c r="Y2337" i="16"/>
  <c r="Y2336" i="16"/>
  <c r="Y2334" i="16"/>
  <c r="Y2333" i="16"/>
  <c r="Y2331" i="16"/>
  <c r="Y2328" i="16"/>
  <c r="Y2325" i="16"/>
  <c r="Y2303" i="16"/>
  <c r="Y2302" i="16"/>
  <c r="Y2301" i="16"/>
  <c r="Y2299" i="16"/>
  <c r="Y2297" i="16"/>
  <c r="Y2295" i="16"/>
  <c r="Y2294" i="16"/>
  <c r="Y2292" i="16"/>
  <c r="Y2290" i="16"/>
  <c r="Y2289" i="16"/>
  <c r="Y2287" i="16"/>
  <c r="Y2285" i="16"/>
  <c r="Y2281" i="16"/>
  <c r="Y2275" i="16"/>
  <c r="Y2274" i="16"/>
  <c r="Y2273" i="16"/>
  <c r="Y2271" i="16"/>
  <c r="Y2270" i="16"/>
  <c r="Y2268" i="16"/>
  <c r="Y2266" i="16"/>
  <c r="Y2265" i="16"/>
  <c r="Y2264" i="16"/>
  <c r="Y2260" i="16"/>
  <c r="Y2259" i="16"/>
  <c r="Y2258" i="16"/>
  <c r="Y2237" i="16"/>
  <c r="Y2232" i="16"/>
  <c r="Y2215" i="16"/>
  <c r="Y2210" i="16"/>
  <c r="Y2202" i="16"/>
  <c r="Y2198" i="16"/>
  <c r="Y2194" i="16"/>
  <c r="Y2190" i="16"/>
  <c r="Y2188" i="16"/>
  <c r="Y2182" i="16"/>
  <c r="Y2180" i="16"/>
  <c r="Y2104" i="16"/>
  <c r="Y2101" i="16"/>
  <c r="Y2098" i="16"/>
  <c r="Y2096" i="16"/>
  <c r="Y2085" i="16"/>
  <c r="Y2078" i="16"/>
  <c r="Y2076" i="16"/>
  <c r="Y2074" i="16"/>
  <c r="Y2067" i="16"/>
  <c r="Y2063" i="16"/>
  <c r="Y2059" i="16"/>
  <c r="Y2056" i="16"/>
  <c r="Y2054" i="16"/>
  <c r="Y2052" i="16"/>
  <c r="Y2050" i="16"/>
  <c r="Y2044" i="16"/>
  <c r="Y2042" i="16"/>
  <c r="Y2036" i="16"/>
  <c r="Y2034" i="16"/>
  <c r="Y2025" i="16"/>
  <c r="Y2021" i="16"/>
  <c r="Y2020" i="16"/>
  <c r="Y2015" i="16"/>
  <c r="Y2006" i="16"/>
  <c r="Y2001" i="16"/>
  <c r="Y1999" i="16"/>
  <c r="Y1998" i="16"/>
  <c r="Y1996" i="16"/>
  <c r="Y1991" i="16"/>
  <c r="Y1985" i="16"/>
  <c r="Y1981" i="16"/>
  <c r="Y1971" i="16"/>
  <c r="Y1962" i="16"/>
  <c r="Y1959" i="16"/>
  <c r="Y1957" i="16"/>
  <c r="Y1943" i="16"/>
  <c r="Y1938" i="16"/>
  <c r="Y1934" i="16"/>
  <c r="Y1928" i="16"/>
  <c r="Y1926" i="16"/>
  <c r="Y1924" i="16"/>
  <c r="Y1921" i="16"/>
  <c r="Y1919" i="16"/>
  <c r="Y1917" i="16"/>
  <c r="Y1914" i="16"/>
  <c r="Y1912" i="16"/>
  <c r="Y1909" i="16"/>
  <c r="Y1903" i="16"/>
  <c r="Y1900" i="16"/>
  <c r="Y1895" i="16"/>
  <c r="Y1892" i="16"/>
  <c r="Y1889" i="16"/>
  <c r="Y1884" i="16"/>
  <c r="Y1878" i="16"/>
  <c r="Y1862" i="16"/>
  <c r="Y1860" i="16"/>
  <c r="Y1857" i="16"/>
  <c r="Y1849" i="16"/>
  <c r="Y1848" i="16"/>
  <c r="Y1846" i="16"/>
  <c r="Y1821" i="16"/>
  <c r="Y1820" i="16"/>
  <c r="Y1818" i="16"/>
  <c r="Y1804" i="16"/>
  <c r="Y1787" i="16"/>
  <c r="Y1785" i="16"/>
  <c r="Y1780" i="16"/>
  <c r="Y1779" i="16"/>
  <c r="Y1778" i="16"/>
  <c r="Y1769" i="16"/>
  <c r="Y1767" i="16"/>
  <c r="Y1763" i="16"/>
  <c r="Y1760" i="16"/>
  <c r="Y1753" i="16"/>
  <c r="Y1751" i="16"/>
  <c r="Y1746" i="16"/>
  <c r="Y1726" i="16"/>
  <c r="Y1721" i="16"/>
  <c r="Y1709" i="16"/>
  <c r="Y1685" i="16"/>
  <c r="Y1684" i="16"/>
  <c r="Y1679" i="16"/>
  <c r="Y1674" i="16"/>
  <c r="Y1663" i="16"/>
  <c r="U2198" i="16"/>
  <c r="U2194" i="16"/>
  <c r="R2190" i="16"/>
  <c r="U2085" i="16"/>
  <c r="U2054" i="16"/>
  <c r="R2054" i="16"/>
  <c r="S2052" i="16"/>
  <c r="R2050" i="16"/>
  <c r="U2034" i="16"/>
  <c r="R2034" i="16"/>
  <c r="S2006" i="16"/>
  <c r="O2006" i="16" s="1"/>
  <c r="S2001" i="16"/>
  <c r="O2001" i="16" s="1"/>
  <c r="S1999" i="16"/>
  <c r="T1999" i="16" s="1"/>
  <c r="AD1999" i="16" s="1"/>
  <c r="AC1999" i="16" s="1"/>
  <c r="S1998" i="16"/>
  <c r="T1998" i="16" s="1"/>
  <c r="AD1998" i="16" s="1"/>
  <c r="AC1998" i="16" s="1"/>
  <c r="S1996" i="16"/>
  <c r="T1982" i="16"/>
  <c r="AD1982" i="16" s="1"/>
  <c r="AC1982" i="16" s="1"/>
  <c r="T1981" i="16"/>
  <c r="AD1981" i="16" s="1"/>
  <c r="AC1981" i="16" s="1"/>
  <c r="T1971" i="16"/>
  <c r="AD1971" i="16" s="1"/>
  <c r="AC1971" i="16" s="1"/>
  <c r="R1962" i="16"/>
  <c r="U1946" i="16"/>
  <c r="U1945" i="16"/>
  <c r="U1944" i="16"/>
  <c r="U1943" i="16"/>
  <c r="U1938" i="16"/>
  <c r="R1938" i="16"/>
  <c r="S1934" i="16"/>
  <c r="U1926" i="16"/>
  <c r="U1924" i="16"/>
  <c r="T1921" i="16"/>
  <c r="AD1921" i="16" s="1"/>
  <c r="AC1921" i="16" s="1"/>
  <c r="U1919" i="16"/>
  <c r="S1919" i="16"/>
  <c r="U1917" i="16"/>
  <c r="S1917" i="16"/>
  <c r="O1917" i="16" s="1"/>
  <c r="U1914" i="16"/>
  <c r="S1914" i="16"/>
  <c r="O1914" i="16" s="1"/>
  <c r="U1912" i="16"/>
  <c r="S1912" i="16"/>
  <c r="O1912" i="16" s="1"/>
  <c r="U1909" i="16"/>
  <c r="S1909" i="16"/>
  <c r="O1909" i="16" s="1"/>
  <c r="U1903" i="16"/>
  <c r="S1900" i="16"/>
  <c r="U1895" i="16"/>
  <c r="R1895" i="16"/>
  <c r="U1892" i="16"/>
  <c r="U1889" i="16"/>
  <c r="AD1860" i="16"/>
  <c r="AC1860" i="16" s="1"/>
  <c r="AD1857" i="16"/>
  <c r="AC1857" i="16" s="1"/>
  <c r="AD1850" i="16"/>
  <c r="AC1850" i="16" s="1"/>
  <c r="AD1848" i="16"/>
  <c r="AC1848" i="16" s="1"/>
  <c r="AD1846" i="16"/>
  <c r="AC1846" i="16" s="1"/>
  <c r="AD1804" i="16"/>
  <c r="AC1804" i="16" s="1"/>
  <c r="AD1753" i="16"/>
  <c r="AC1753" i="16" s="1"/>
  <c r="U1685" i="16"/>
  <c r="AD1685" i="16"/>
  <c r="AC1685" i="16" s="1"/>
  <c r="AD1684" i="16"/>
  <c r="AC1684" i="16" s="1"/>
  <c r="T2085" i="16"/>
  <c r="AD2085" i="16" s="1"/>
  <c r="Y1201" i="16"/>
  <c r="Y1611" i="16"/>
  <c r="Y1603" i="16"/>
  <c r="Y1600" i="16"/>
  <c r="Y1599" i="16"/>
  <c r="Y1595" i="16"/>
  <c r="Y1580" i="16"/>
  <c r="Y1578" i="16"/>
  <c r="Y1576" i="16"/>
  <c r="Y1574" i="16"/>
  <c r="Y1571" i="16"/>
  <c r="Y1570" i="16"/>
  <c r="Y1569" i="16"/>
  <c r="Y1568" i="16"/>
  <c r="Y1567" i="16"/>
  <c r="Y1566" i="16"/>
  <c r="Y1565" i="16"/>
  <c r="Y1564" i="16"/>
  <c r="Y1556" i="16"/>
  <c r="Y1549" i="16"/>
  <c r="Y1544" i="16"/>
  <c r="Y1541" i="16"/>
  <c r="Y1539" i="16"/>
  <c r="Y1538" i="16"/>
  <c r="Y1537" i="16"/>
  <c r="Y1536" i="16"/>
  <c r="Y1529" i="16"/>
  <c r="Y1527" i="16"/>
  <c r="Y1525" i="16"/>
  <c r="Y1522" i="16"/>
  <c r="Y1521" i="16"/>
  <c r="Y1520" i="16"/>
  <c r="Y1519" i="16"/>
  <c r="Y1518" i="16"/>
  <c r="Y1517" i="16"/>
  <c r="Y1516" i="16"/>
  <c r="Y1507" i="16"/>
  <c r="Y1496" i="16"/>
  <c r="Y1493" i="16"/>
  <c r="Y1480" i="16"/>
  <c r="Y1474" i="16"/>
  <c r="Y1473" i="16"/>
  <c r="Y1472" i="16"/>
  <c r="Y1471" i="16"/>
  <c r="Y1470" i="16"/>
  <c r="Y1469" i="16"/>
  <c r="Y1467" i="16"/>
  <c r="Y1457" i="16"/>
  <c r="Y1456" i="16"/>
  <c r="Y1453" i="16"/>
  <c r="Y1451" i="16"/>
  <c r="Y1448" i="16"/>
  <c r="Y1443" i="16"/>
  <c r="Y1438" i="16"/>
  <c r="Y1434" i="16"/>
  <c r="Y1431" i="16"/>
  <c r="Y1427" i="16"/>
  <c r="Y1411" i="16"/>
  <c r="Y1408" i="16"/>
  <c r="Y1405" i="16"/>
  <c r="Y1397" i="16"/>
  <c r="Y1394" i="16"/>
  <c r="Y1390" i="16"/>
  <c r="Y1385" i="16"/>
  <c r="Y1383" i="16"/>
  <c r="Y1381" i="16"/>
  <c r="Y1376" i="16"/>
  <c r="Y1374" i="16"/>
  <c r="Y1371" i="16"/>
  <c r="Y1369" i="16"/>
  <c r="Y1368" i="16"/>
  <c r="Y1367" i="16"/>
  <c r="Y1365" i="16"/>
  <c r="Y1357" i="16"/>
  <c r="Y1352" i="16"/>
  <c r="Y1351" i="16"/>
  <c r="Y1350" i="16"/>
  <c r="Y1347" i="16"/>
  <c r="Y1345" i="16"/>
  <c r="Y1344" i="16"/>
  <c r="Y1343" i="16"/>
  <c r="Y1340" i="16"/>
  <c r="Y1338" i="16"/>
  <c r="Y1336" i="16"/>
  <c r="Y1334" i="16"/>
  <c r="Y1332" i="16"/>
  <c r="Y1327" i="16"/>
  <c r="Y1326" i="16"/>
  <c r="Y1325" i="16"/>
  <c r="Y1322" i="16"/>
  <c r="Y1320" i="16"/>
  <c r="Y1318" i="16"/>
  <c r="Y1298" i="16"/>
  <c r="Y1297" i="16"/>
  <c r="Y1295" i="16"/>
  <c r="Y1293" i="16"/>
  <c r="Y1244" i="16"/>
  <c r="Y1234" i="16"/>
  <c r="Y1232" i="16"/>
  <c r="Y1230" i="16"/>
  <c r="Y1229" i="16"/>
  <c r="Y1226" i="16"/>
  <c r="Y1224" i="16"/>
  <c r="Y1218" i="16"/>
  <c r="Y1211" i="16"/>
  <c r="Y1205" i="16"/>
  <c r="Y1200" i="16"/>
  <c r="Y1198" i="16"/>
  <c r="Y1192" i="16"/>
  <c r="Y1188" i="16"/>
  <c r="Y1180" i="16"/>
  <c r="Y1174" i="16"/>
  <c r="Y1169" i="16"/>
  <c r="Y1166" i="16"/>
  <c r="Y1160" i="16"/>
  <c r="Y1154" i="16"/>
  <c r="Y1147" i="16"/>
  <c r="Y1140" i="16"/>
  <c r="Y1130" i="16"/>
  <c r="Y1122" i="16"/>
  <c r="Y1114" i="16"/>
  <c r="Y1106" i="16"/>
  <c r="Y1102" i="16"/>
  <c r="Y1099" i="16"/>
  <c r="Y1097" i="16"/>
  <c r="Y1090" i="16"/>
  <c r="Y1084" i="16"/>
  <c r="Y1081" i="16"/>
  <c r="Y1066" i="16"/>
  <c r="Y1062" i="16"/>
  <c r="Y1059" i="16"/>
  <c r="Y1053" i="16"/>
  <c r="Y1049" i="16"/>
  <c r="Y1043" i="16"/>
  <c r="Y1042" i="16"/>
  <c r="Y1040" i="16"/>
  <c r="Y1030" i="16"/>
  <c r="Y1020" i="16"/>
  <c r="Y1017" i="16"/>
  <c r="Y1015" i="16"/>
  <c r="Y1012" i="16"/>
  <c r="Y1011" i="16"/>
  <c r="Y1010" i="16"/>
  <c r="Y1008" i="16"/>
  <c r="Y1005" i="16"/>
  <c r="Y1003" i="16"/>
  <c r="Y999" i="16"/>
  <c r="Y998" i="16"/>
  <c r="Y991" i="16"/>
  <c r="Y989" i="16"/>
  <c r="Y988" i="16"/>
  <c r="Y987" i="16"/>
  <c r="Y986" i="16"/>
  <c r="Y984" i="16"/>
  <c r="Y983" i="16"/>
  <c r="Y981" i="16"/>
  <c r="Y980" i="16"/>
  <c r="Y975" i="16"/>
  <c r="Y970" i="16"/>
  <c r="Y968" i="16"/>
  <c r="Y967" i="16"/>
  <c r="Y966" i="16"/>
  <c r="Y965" i="16"/>
  <c r="Y964" i="16"/>
  <c r="Y963" i="16"/>
  <c r="Y962" i="16"/>
  <c r="Y961" i="16"/>
  <c r="Y960" i="16"/>
  <c r="Y959" i="16"/>
  <c r="Y958" i="16"/>
  <c r="Y954" i="16"/>
  <c r="Y951" i="16"/>
  <c r="Y950" i="16"/>
  <c r="Y947" i="16"/>
  <c r="Y941" i="16"/>
  <c r="Y938" i="16"/>
  <c r="Y933" i="16"/>
  <c r="Y897" i="16"/>
  <c r="Y894" i="16"/>
  <c r="Y890" i="16"/>
  <c r="Y887" i="16"/>
  <c r="BD885" i="16"/>
  <c r="BC885" i="16"/>
  <c r="AX889" i="16"/>
  <c r="AX890" i="16"/>
  <c r="AX894" i="16"/>
  <c r="AX896" i="16"/>
  <c r="AX897" i="16"/>
  <c r="AX898" i="16"/>
  <c r="AX901" i="16"/>
  <c r="AX903" i="16"/>
  <c r="AX905" i="16"/>
  <c r="AX906" i="16"/>
  <c r="AX907" i="16"/>
  <c r="AX908" i="16"/>
  <c r="AX909" i="16"/>
  <c r="AX910" i="16"/>
  <c r="AX911" i="16"/>
  <c r="AX912" i="16"/>
  <c r="AX913" i="16"/>
  <c r="AX915" i="16"/>
  <c r="AX916" i="16"/>
  <c r="AX917" i="16"/>
  <c r="AX918" i="16"/>
  <c r="AX919" i="16"/>
  <c r="AX920" i="16"/>
  <c r="AX921" i="16"/>
  <c r="AX922" i="16"/>
  <c r="AX923" i="16"/>
  <c r="AX926" i="16"/>
  <c r="AX927" i="16"/>
  <c r="AX928" i="16"/>
  <c r="AX929" i="16"/>
  <c r="AX930" i="16"/>
  <c r="AX932" i="16"/>
  <c r="AX933" i="16"/>
  <c r="AX882" i="16"/>
  <c r="AX883" i="16"/>
  <c r="AX884" i="16"/>
  <c r="AX885" i="16"/>
  <c r="AX886" i="16"/>
  <c r="AX887" i="16"/>
  <c r="AX881" i="16"/>
  <c r="S1600" i="16"/>
  <c r="O1600" i="16" s="1"/>
  <c r="S1599" i="16"/>
  <c r="O1599" i="16" s="1"/>
  <c r="S1571" i="16"/>
  <c r="T1571" i="16" s="1"/>
  <c r="AD1571" i="16" s="1"/>
  <c r="AC1571" i="16" s="1"/>
  <c r="S1570" i="16"/>
  <c r="T1570" i="16" s="1"/>
  <c r="AD1570" i="16" s="1"/>
  <c r="AC1570" i="16" s="1"/>
  <c r="S1569" i="16"/>
  <c r="T1569" i="16" s="1"/>
  <c r="AD1569" i="16" s="1"/>
  <c r="AC1569" i="16" s="1"/>
  <c r="S1568" i="16"/>
  <c r="T1568" i="16" s="1"/>
  <c r="AD1568" i="16" s="1"/>
  <c r="AC1568" i="16" s="1"/>
  <c r="S1567" i="16"/>
  <c r="T1567" i="16" s="1"/>
  <c r="AD1567" i="16" s="1"/>
  <c r="AC1567" i="16" s="1"/>
  <c r="S1566" i="16"/>
  <c r="T1566" i="16" s="1"/>
  <c r="AD1566" i="16" s="1"/>
  <c r="AC1566" i="16" s="1"/>
  <c r="S1565" i="16"/>
  <c r="T1565" i="16" s="1"/>
  <c r="AD1565" i="16" s="1"/>
  <c r="AC1565" i="16" s="1"/>
  <c r="S1564" i="16"/>
  <c r="U1549" i="16"/>
  <c r="U1507" i="16"/>
  <c r="S1480" i="16"/>
  <c r="O1480" i="16" s="1"/>
  <c r="F158" i="89" s="1"/>
  <c r="C158" i="89" s="1"/>
  <c r="A158" i="89" s="1"/>
  <c r="U1443" i="16"/>
  <c r="U1438" i="16"/>
  <c r="U1434" i="16"/>
  <c r="U1427" i="16"/>
  <c r="U1234" i="16"/>
  <c r="U1148" i="16"/>
  <c r="U1141" i="16"/>
  <c r="U1130" i="16"/>
  <c r="U1122" i="16"/>
  <c r="U1114" i="16"/>
  <c r="U1030" i="16"/>
  <c r="U941" i="16"/>
  <c r="U898" i="16"/>
  <c r="AF882" i="16"/>
  <c r="U882" i="16"/>
  <c r="T882" i="16"/>
  <c r="AD882" i="16" s="1"/>
  <c r="AC882" i="16" s="1"/>
  <c r="AM12" i="29"/>
  <c r="AM371" i="28"/>
  <c r="AM366" i="28"/>
  <c r="AM349" i="28"/>
  <c r="AM344" i="28"/>
  <c r="AM336" i="28"/>
  <c r="AM334" i="28"/>
  <c r="AM333" i="28"/>
  <c r="AM331" i="28"/>
  <c r="AM329" i="28"/>
  <c r="AM322" i="28"/>
  <c r="AM312" i="28"/>
  <c r="AM235" i="28"/>
  <c r="AM232" i="28"/>
  <c r="AM230" i="28"/>
  <c r="AM228" i="28"/>
  <c r="AM227" i="28"/>
  <c r="AM225" i="28"/>
  <c r="AM223" i="28"/>
  <c r="AM206" i="28"/>
  <c r="AM204" i="28"/>
  <c r="AM202" i="28"/>
  <c r="AM201" i="28"/>
  <c r="AM197" i="28"/>
  <c r="AM196" i="28"/>
  <c r="AM195" i="28"/>
  <c r="AM193" i="28"/>
  <c r="AM190" i="28"/>
  <c r="AM186" i="28"/>
  <c r="AM178" i="28"/>
  <c r="AM176" i="28"/>
  <c r="AM173" i="28"/>
  <c r="AM172" i="28"/>
  <c r="AM159" i="28"/>
  <c r="AM155" i="28"/>
  <c r="AM154" i="28"/>
  <c r="AM149" i="28"/>
  <c r="AM140" i="28"/>
  <c r="AM135" i="28"/>
  <c r="AM128" i="28"/>
  <c r="AM119" i="28"/>
  <c r="AM98" i="28"/>
  <c r="AM93" i="28"/>
  <c r="AM91" i="28"/>
  <c r="AM87" i="28"/>
  <c r="AM85" i="28"/>
  <c r="AM84" i="28"/>
  <c r="AM83" i="28"/>
  <c r="AM81" i="28"/>
  <c r="AM69" i="28"/>
  <c r="AM68" i="28"/>
  <c r="AM62" i="28"/>
  <c r="AM61" i="28"/>
  <c r="AM59" i="28"/>
  <c r="AM55" i="28"/>
  <c r="AM54" i="28"/>
  <c r="AM52" i="28"/>
  <c r="AM49" i="28"/>
  <c r="AM47" i="28"/>
  <c r="AM44" i="28"/>
  <c r="AM39" i="28"/>
  <c r="AM38" i="28"/>
  <c r="AM34" i="28"/>
  <c r="AM27" i="28"/>
  <c r="AM28" i="28"/>
  <c r="AM25" i="28"/>
  <c r="AM24" i="28"/>
  <c r="AM18" i="28"/>
  <c r="AM12" i="28"/>
  <c r="U278" i="25"/>
  <c r="DH4" i="2" s="1"/>
  <c r="AM741" i="25"/>
  <c r="AM733" i="25"/>
  <c r="AM730" i="25"/>
  <c r="AM729" i="25"/>
  <c r="AM725" i="25"/>
  <c r="AM708" i="25"/>
  <c r="AM706" i="25"/>
  <c r="AM704" i="25"/>
  <c r="AM689" i="25"/>
  <c r="AM688" i="25"/>
  <c r="AM684" i="25"/>
  <c r="AM682" i="25"/>
  <c r="AM674" i="25"/>
  <c r="AM671" i="25"/>
  <c r="AM669" i="25"/>
  <c r="AM668" i="25"/>
  <c r="AM667" i="25"/>
  <c r="AM666" i="25"/>
  <c r="AM664" i="25"/>
  <c r="AM659" i="25"/>
  <c r="AM657" i="25"/>
  <c r="AM655" i="25"/>
  <c r="AM643" i="25"/>
  <c r="AM641" i="25"/>
  <c r="AM640" i="25"/>
  <c r="AM626" i="25"/>
  <c r="AM623" i="25"/>
  <c r="AM610" i="25"/>
  <c r="AM597" i="25"/>
  <c r="AM587" i="25"/>
  <c r="AM586" i="25"/>
  <c r="AM583" i="25"/>
  <c r="AM581" i="25"/>
  <c r="AM578" i="25"/>
  <c r="AM577" i="25"/>
  <c r="AM576" i="25"/>
  <c r="AM572" i="25"/>
  <c r="AM571" i="25"/>
  <c r="AM567" i="25"/>
  <c r="AM566" i="25"/>
  <c r="AM561" i="25"/>
  <c r="AM560" i="25"/>
  <c r="AM559" i="25"/>
  <c r="AM517" i="25"/>
  <c r="AM492" i="25"/>
  <c r="AM491" i="25"/>
  <c r="AM487" i="25"/>
  <c r="AM460" i="25"/>
  <c r="AM457" i="25"/>
  <c r="AM456" i="25"/>
  <c r="AM455" i="25"/>
  <c r="AM452" i="25"/>
  <c r="AM450" i="25"/>
  <c r="AM427" i="25"/>
  <c r="AM425" i="25"/>
  <c r="AM422" i="25"/>
  <c r="AM420" i="25"/>
  <c r="AM418" i="25"/>
  <c r="AM341" i="25"/>
  <c r="AM328" i="25"/>
  <c r="AM284" i="25"/>
  <c r="AM252" i="25"/>
  <c r="AM232" i="25"/>
  <c r="AM227" i="25"/>
  <c r="AM220" i="25"/>
  <c r="AM195" i="25"/>
  <c r="AM183" i="25"/>
  <c r="U168" i="28"/>
  <c r="FE4" i="2" s="1"/>
  <c r="AE626" i="25"/>
  <c r="P8" i="23"/>
  <c r="AX11" i="29"/>
  <c r="AY11" i="29"/>
  <c r="AX12" i="29"/>
  <c r="AY12" i="29"/>
  <c r="AX13" i="29"/>
  <c r="AY13" i="29"/>
  <c r="AX14" i="29"/>
  <c r="AY14" i="29"/>
  <c r="AX15" i="29"/>
  <c r="AY15" i="29"/>
  <c r="BC15" i="29"/>
  <c r="BD15" i="29"/>
  <c r="AX16" i="29"/>
  <c r="AY16" i="29"/>
  <c r="AX17" i="29"/>
  <c r="AY17" i="29"/>
  <c r="AX19" i="29"/>
  <c r="AX20" i="29"/>
  <c r="AY20" i="29"/>
  <c r="AX24" i="29"/>
  <c r="AY24" i="29"/>
  <c r="AX26" i="29"/>
  <c r="AY26" i="29"/>
  <c r="AX27" i="29"/>
  <c r="AY27" i="29"/>
  <c r="AX28" i="29"/>
  <c r="AY28" i="29"/>
  <c r="AX31" i="29"/>
  <c r="AY31" i="29"/>
  <c r="AX34" i="29"/>
  <c r="AY34" i="29"/>
  <c r="AX36" i="29"/>
  <c r="AY36" i="29"/>
  <c r="AX37" i="29"/>
  <c r="AY37" i="29"/>
  <c r="AX38" i="29"/>
  <c r="AY38" i="29"/>
  <c r="AX39" i="29"/>
  <c r="AY39" i="29"/>
  <c r="AX40" i="29"/>
  <c r="AY40" i="29"/>
  <c r="AX41" i="29"/>
  <c r="AY41" i="29"/>
  <c r="AX42" i="29"/>
  <c r="AY42" i="29"/>
  <c r="AX43" i="29"/>
  <c r="AY43" i="29"/>
  <c r="AX44" i="29"/>
  <c r="AY44" i="29"/>
  <c r="AX46" i="29"/>
  <c r="AY46" i="29"/>
  <c r="AX47" i="29"/>
  <c r="AY47" i="29"/>
  <c r="AX48" i="29"/>
  <c r="AY48" i="29"/>
  <c r="AX49" i="29"/>
  <c r="AY49" i="29"/>
  <c r="AX50" i="29"/>
  <c r="AY50" i="29"/>
  <c r="AX51" i="29"/>
  <c r="AY51" i="29"/>
  <c r="AX52" i="29"/>
  <c r="AY52" i="29"/>
  <c r="AX53" i="29"/>
  <c r="AY53" i="29"/>
  <c r="AX54" i="29"/>
  <c r="AY54" i="29"/>
  <c r="AX56" i="29"/>
  <c r="AY56" i="29"/>
  <c r="AX57" i="29"/>
  <c r="AY57" i="29"/>
  <c r="AX58" i="29"/>
  <c r="AY58" i="29"/>
  <c r="AX59" i="29"/>
  <c r="AY59" i="29"/>
  <c r="AX60" i="29"/>
  <c r="AY60" i="29"/>
  <c r="AX61" i="29"/>
  <c r="AY61" i="29"/>
  <c r="AX63" i="29"/>
  <c r="AY63" i="29"/>
  <c r="AX64" i="29"/>
  <c r="AY64" i="29"/>
  <c r="G20" i="72"/>
  <c r="G21" i="72" s="1"/>
  <c r="F20" i="72"/>
  <c r="F21" i="72" s="1"/>
  <c r="E20" i="72"/>
  <c r="E21" i="72" s="1"/>
  <c r="D20" i="72"/>
  <c r="D21" i="72" s="1"/>
  <c r="A21" i="3"/>
  <c r="D21" i="3" s="1"/>
  <c r="AX62" i="16"/>
  <c r="AX57" i="16"/>
  <c r="AX58" i="16"/>
  <c r="AX59" i="16"/>
  <c r="AX61" i="16"/>
  <c r="AX34" i="16"/>
  <c r="AX35" i="16"/>
  <c r="AX36" i="16"/>
  <c r="AX37" i="16"/>
  <c r="AX38" i="16"/>
  <c r="AX39" i="16"/>
  <c r="AX40" i="16"/>
  <c r="AX41" i="16"/>
  <c r="AX42" i="16"/>
  <c r="AX44" i="16"/>
  <c r="AX45" i="16"/>
  <c r="AX46" i="16"/>
  <c r="AX47" i="16"/>
  <c r="AX48" i="16"/>
  <c r="AX49" i="16"/>
  <c r="AX50" i="16"/>
  <c r="AX51" i="16"/>
  <c r="AX52" i="16"/>
  <c r="AX54" i="16"/>
  <c r="AX55" i="16"/>
  <c r="AX56" i="16"/>
  <c r="AX27" i="16"/>
  <c r="Q38" i="23"/>
  <c r="Q39" i="23"/>
  <c r="P40" i="23"/>
  <c r="Q40" i="23"/>
  <c r="P41" i="23"/>
  <c r="Q41" i="23"/>
  <c r="Q42" i="23"/>
  <c r="P45" i="23"/>
  <c r="P47" i="23"/>
  <c r="E46" i="23"/>
  <c r="E47" i="23"/>
  <c r="E38" i="23"/>
  <c r="E39" i="23"/>
  <c r="E40" i="23"/>
  <c r="E41" i="23"/>
  <c r="E42" i="23"/>
  <c r="E44" i="23"/>
  <c r="E45" i="23"/>
  <c r="E27" i="23"/>
  <c r="AX39" i="27"/>
  <c r="AY39" i="27"/>
  <c r="AX40" i="27"/>
  <c r="AY40" i="27"/>
  <c r="AX41" i="27"/>
  <c r="AY41" i="27"/>
  <c r="AX42" i="27"/>
  <c r="AY42" i="27"/>
  <c r="AX43" i="27"/>
  <c r="AY43" i="27"/>
  <c r="AX44" i="27"/>
  <c r="AY44" i="27"/>
  <c r="AX45" i="27"/>
  <c r="AY45" i="27"/>
  <c r="AX46" i="27"/>
  <c r="AY46" i="27"/>
  <c r="AX47" i="27"/>
  <c r="AY47" i="27"/>
  <c r="AX48" i="27"/>
  <c r="AY48" i="27"/>
  <c r="AX28" i="27"/>
  <c r="AY28" i="27"/>
  <c r="AX39" i="24"/>
  <c r="AY39" i="24"/>
  <c r="AX40" i="24"/>
  <c r="AY40" i="24"/>
  <c r="AX41" i="24"/>
  <c r="AY41" i="24"/>
  <c r="AX42" i="24"/>
  <c r="AY42" i="24"/>
  <c r="AX43" i="24"/>
  <c r="AY43" i="24"/>
  <c r="AX45" i="24"/>
  <c r="AY45" i="24"/>
  <c r="AX46" i="24"/>
  <c r="AY46" i="24"/>
  <c r="AX47" i="24"/>
  <c r="AY47" i="24"/>
  <c r="AX48" i="24"/>
  <c r="AY48" i="24"/>
  <c r="AX28" i="24"/>
  <c r="AY28" i="24"/>
  <c r="S60" i="24" s="1"/>
  <c r="AX39" i="8"/>
  <c r="AY39" i="8"/>
  <c r="AX40" i="8"/>
  <c r="AY40" i="8"/>
  <c r="AX41" i="8"/>
  <c r="AY41" i="8"/>
  <c r="AX42" i="8"/>
  <c r="AY42" i="8"/>
  <c r="AX43" i="8"/>
  <c r="AY43" i="8"/>
  <c r="AX45" i="8"/>
  <c r="AY45" i="8"/>
  <c r="AX46" i="8"/>
  <c r="AY46" i="8"/>
  <c r="AX47" i="8"/>
  <c r="AY47" i="8"/>
  <c r="AX48" i="8"/>
  <c r="AY48" i="8"/>
  <c r="AX28" i="8"/>
  <c r="AY28" i="8"/>
  <c r="O146" i="28"/>
  <c r="U260" i="25"/>
  <c r="DF4" i="2" s="1"/>
  <c r="U252" i="25"/>
  <c r="DE4" i="2" s="1"/>
  <c r="U244" i="25"/>
  <c r="DD4" i="2" s="1"/>
  <c r="U271" i="25"/>
  <c r="DG4" i="2" s="1"/>
  <c r="AD29" i="28"/>
  <c r="AD72" i="28"/>
  <c r="AD188" i="28"/>
  <c r="AD184" i="28"/>
  <c r="AE68" i="28"/>
  <c r="T345" i="28"/>
  <c r="S349" i="28" s="1"/>
  <c r="O371" i="28"/>
  <c r="O366" i="28"/>
  <c r="E161" i="88" s="1"/>
  <c r="O322" i="28"/>
  <c r="S220" i="28"/>
  <c r="R219" i="28" s="1"/>
  <c r="N7" i="10"/>
  <c r="S626" i="25"/>
  <c r="O626" i="25" s="1"/>
  <c r="I1495" i="80" s="1"/>
  <c r="I1486" i="80" s="1"/>
  <c r="A1486" i="80" s="1"/>
  <c r="N26" i="10"/>
  <c r="O206" i="28"/>
  <c r="O201" i="28"/>
  <c r="O197" i="28"/>
  <c r="O193" i="28"/>
  <c r="O190" i="28"/>
  <c r="N2056" i="16" s="1"/>
  <c r="S186" i="28"/>
  <c r="O159" i="28"/>
  <c r="S133" i="28"/>
  <c r="T133" i="28" s="1"/>
  <c r="AD133" i="28" s="1"/>
  <c r="S132" i="28"/>
  <c r="T132" i="28" s="1"/>
  <c r="AD132" i="28" s="1"/>
  <c r="S130" i="28"/>
  <c r="T130" i="28" s="1"/>
  <c r="AD130" i="28" s="1"/>
  <c r="S135" i="28"/>
  <c r="O135" i="28" s="1"/>
  <c r="S140" i="28"/>
  <c r="T140" i="28" s="1"/>
  <c r="AD140" i="28" s="1"/>
  <c r="O119" i="28"/>
  <c r="O98" i="28"/>
  <c r="T116" i="28"/>
  <c r="AD116" i="28" s="1"/>
  <c r="AC116" i="28" s="1"/>
  <c r="T115" i="28"/>
  <c r="AD115" i="28" s="1"/>
  <c r="T105" i="28"/>
  <c r="AD105" i="28" s="1"/>
  <c r="R168" i="28"/>
  <c r="R184" i="28"/>
  <c r="M184" i="28" s="1"/>
  <c r="AM184" i="28" s="1"/>
  <c r="R188" i="28"/>
  <c r="R324" i="28"/>
  <c r="M324" i="28" s="1"/>
  <c r="AM324" i="28" s="1"/>
  <c r="R96" i="28"/>
  <c r="AE96" i="28" s="1"/>
  <c r="O93" i="28"/>
  <c r="O91" i="28"/>
  <c r="R72" i="28"/>
  <c r="M72" i="28" s="1"/>
  <c r="AM72" i="28" s="1"/>
  <c r="S68" i="28"/>
  <c r="S60" i="28"/>
  <c r="S58" i="28"/>
  <c r="R58" i="28" s="1"/>
  <c r="AE58" i="28" s="1"/>
  <c r="O55" i="28"/>
  <c r="S53" i="28"/>
  <c r="T53" i="28" s="1"/>
  <c r="AD53" i="28" s="1"/>
  <c r="S51" i="28"/>
  <c r="T51" i="28" s="1"/>
  <c r="AD51" i="28" s="1"/>
  <c r="S48" i="28"/>
  <c r="S46" i="28"/>
  <c r="T46" i="28" s="1"/>
  <c r="AD46" i="28" s="1"/>
  <c r="S43" i="28"/>
  <c r="T43" i="28" s="1"/>
  <c r="O18" i="28"/>
  <c r="N1884" i="16" s="1"/>
  <c r="O12" i="28"/>
  <c r="I1879" i="80" s="1"/>
  <c r="A1879" i="80" s="1"/>
  <c r="R29" i="28"/>
  <c r="M29" i="28" s="1"/>
  <c r="AM29" i="28" s="1"/>
  <c r="S34" i="28"/>
  <c r="T34" i="28" s="1"/>
  <c r="AD34" i="28" s="1"/>
  <c r="AX46" i="28"/>
  <c r="AY46" i="28"/>
  <c r="AX47" i="28"/>
  <c r="AY47" i="28"/>
  <c r="AX48" i="28"/>
  <c r="AY48" i="28"/>
  <c r="AX39" i="28"/>
  <c r="AY39" i="28"/>
  <c r="AX40" i="28"/>
  <c r="AY40" i="28"/>
  <c r="AX41" i="28"/>
  <c r="AY41" i="28"/>
  <c r="AX42" i="28"/>
  <c r="AY42" i="28"/>
  <c r="AX43" i="28"/>
  <c r="AY43" i="28"/>
  <c r="S235" i="28" s="1"/>
  <c r="T235" i="28" s="1"/>
  <c r="AD235" i="28" s="1"/>
  <c r="AX45" i="28"/>
  <c r="AY45" i="28"/>
  <c r="AX28" i="28"/>
  <c r="AY28" i="28"/>
  <c r="U80" i="28"/>
  <c r="FD4" i="2" s="1"/>
  <c r="U79" i="28"/>
  <c r="FC4" i="2" s="1"/>
  <c r="U78" i="28"/>
  <c r="FB4" i="2" s="1"/>
  <c r="U77" i="28"/>
  <c r="FA4" i="2" s="1"/>
  <c r="U332" i="28"/>
  <c r="FJ4" i="2" s="1"/>
  <c r="U328" i="28"/>
  <c r="FI4" i="2" s="1"/>
  <c r="U219" i="28"/>
  <c r="U188" i="28"/>
  <c r="FF4" i="2" s="1"/>
  <c r="U72" i="28"/>
  <c r="EZ4" i="2" s="1"/>
  <c r="U60" i="28"/>
  <c r="EY4" i="2" s="1"/>
  <c r="U58" i="28"/>
  <c r="EX4" i="2" s="1"/>
  <c r="U53" i="28"/>
  <c r="EW4" i="2" s="1"/>
  <c r="U51" i="28"/>
  <c r="EV4" i="2" s="1"/>
  <c r="U48" i="28"/>
  <c r="EU4" i="2" s="1"/>
  <c r="U46" i="28"/>
  <c r="ET4" i="2" s="1"/>
  <c r="U43" i="28"/>
  <c r="ES4" i="2" s="1"/>
  <c r="U37" i="28"/>
  <c r="ER4" i="2" s="1"/>
  <c r="U29" i="28"/>
  <c r="EQ4" i="2" s="1"/>
  <c r="U26" i="28"/>
  <c r="EP4" i="2" s="1"/>
  <c r="U23" i="28"/>
  <c r="EO4" i="2" s="1"/>
  <c r="U364" i="25"/>
  <c r="DI4" i="2" s="1"/>
  <c r="U375" i="25"/>
  <c r="M129" i="29"/>
  <c r="M105" i="29"/>
  <c r="M104" i="29"/>
  <c r="M102" i="29"/>
  <c r="M89" i="29"/>
  <c r="M87" i="29"/>
  <c r="M86" i="29"/>
  <c r="M84" i="29"/>
  <c r="M83" i="29"/>
  <c r="M20" i="29"/>
  <c r="M19" i="29"/>
  <c r="M18" i="29"/>
  <c r="U71" i="25"/>
  <c r="CM4" i="2" s="1"/>
  <c r="U160" i="25"/>
  <c r="DA4" i="2" s="1"/>
  <c r="U568" i="25"/>
  <c r="DP4" i="2" s="1"/>
  <c r="U679" i="25"/>
  <c r="DS4" i="2" s="1"/>
  <c r="U637" i="25"/>
  <c r="DR4" i="2" s="1"/>
  <c r="S610" i="25"/>
  <c r="O610" i="25" s="1"/>
  <c r="F158" i="88" s="1"/>
  <c r="C158" i="88" s="1"/>
  <c r="A158" i="88" s="1"/>
  <c r="O597" i="25"/>
  <c r="G1463" i="16"/>
  <c r="O587" i="25"/>
  <c r="O586" i="25"/>
  <c r="O581" i="25"/>
  <c r="N1451" i="16" s="1"/>
  <c r="O578" i="25"/>
  <c r="O561" i="25"/>
  <c r="U573" i="25"/>
  <c r="DQ4" i="2" s="1"/>
  <c r="U564" i="25"/>
  <c r="DO4" i="2" s="1"/>
  <c r="U557" i="25"/>
  <c r="DN4" i="2" s="1"/>
  <c r="I1410" i="80"/>
  <c r="S700" i="25"/>
  <c r="T700" i="25" s="1"/>
  <c r="AD700" i="25" s="1"/>
  <c r="S699" i="25"/>
  <c r="T699" i="25" s="1"/>
  <c r="AD699" i="25" s="1"/>
  <c r="S698" i="25"/>
  <c r="T698" i="25" s="1"/>
  <c r="AD698" i="25" s="1"/>
  <c r="S697" i="25"/>
  <c r="T697" i="25" s="1"/>
  <c r="AD697" i="25" s="1"/>
  <c r="S696" i="25"/>
  <c r="T696" i="25" s="1"/>
  <c r="AD696" i="25" s="1"/>
  <c r="S695" i="25"/>
  <c r="T695" i="25" s="1"/>
  <c r="AD695" i="25" s="1"/>
  <c r="S694" i="25"/>
  <c r="T694" i="25" s="1"/>
  <c r="AD694" i="25" s="1"/>
  <c r="S701" i="25"/>
  <c r="T701" i="25" s="1"/>
  <c r="AD701" i="25" s="1"/>
  <c r="S730" i="25"/>
  <c r="S741" i="25"/>
  <c r="T741" i="25" s="1"/>
  <c r="AD741" i="25" s="1"/>
  <c r="AC741" i="25" s="1"/>
  <c r="S729" i="25"/>
  <c r="T729" i="25" s="1"/>
  <c r="AD729" i="25" s="1"/>
  <c r="O733" i="25"/>
  <c r="AO733" i="25" s="1"/>
  <c r="O704" i="25"/>
  <c r="I1573" i="80" s="1"/>
  <c r="O706" i="25"/>
  <c r="I1575" i="80" s="1"/>
  <c r="O708" i="25"/>
  <c r="O664" i="25"/>
  <c r="AM233" i="27"/>
  <c r="AM231" i="27"/>
  <c r="AM228" i="27"/>
  <c r="AM223" i="27"/>
  <c r="AM220" i="27"/>
  <c r="AM219" i="27"/>
  <c r="AM217" i="27"/>
  <c r="AM192" i="27"/>
  <c r="AM191" i="27"/>
  <c r="AM189" i="27"/>
  <c r="AM183" i="27"/>
  <c r="AM181" i="27"/>
  <c r="AM180" i="27"/>
  <c r="AM179" i="27"/>
  <c r="AM176" i="27"/>
  <c r="AM164" i="27"/>
  <c r="AM158" i="27"/>
  <c r="AM156" i="27"/>
  <c r="AM151" i="27"/>
  <c r="AM150" i="27"/>
  <c r="AM149" i="27"/>
  <c r="AM145" i="27"/>
  <c r="AM140" i="27"/>
  <c r="AM138" i="27"/>
  <c r="AM134" i="27"/>
  <c r="AM124" i="27"/>
  <c r="AM117" i="27"/>
  <c r="AM97" i="27"/>
  <c r="AM95" i="27"/>
  <c r="AM80" i="27"/>
  <c r="AM57" i="27"/>
  <c r="AM56" i="27"/>
  <c r="AM55" i="27"/>
  <c r="AM50" i="27"/>
  <c r="AM45" i="27"/>
  <c r="AM43" i="27"/>
  <c r="AM40" i="27"/>
  <c r="AM38" i="27"/>
  <c r="AM36" i="27"/>
  <c r="AM34" i="27"/>
  <c r="T221" i="27"/>
  <c r="AD221" i="27" s="1"/>
  <c r="AC221" i="27" s="1"/>
  <c r="T189" i="27"/>
  <c r="AD189" i="27" s="1"/>
  <c r="AC189" i="27" s="1"/>
  <c r="T175" i="27"/>
  <c r="AD175" i="27" s="1"/>
  <c r="AC175" i="27" s="1"/>
  <c r="AD192" i="27"/>
  <c r="AC192" i="27" s="1"/>
  <c r="AD191" i="27"/>
  <c r="AC191" i="27" s="1"/>
  <c r="T219" i="27"/>
  <c r="AD219" i="27" s="1"/>
  <c r="AC219" i="27" s="1"/>
  <c r="T217" i="27"/>
  <c r="AD217" i="27" s="1"/>
  <c r="AC217" i="27" s="1"/>
  <c r="T228" i="27"/>
  <c r="AD228" i="27" s="1"/>
  <c r="AC228" i="27" s="1"/>
  <c r="T231" i="27"/>
  <c r="AD231" i="27" s="1"/>
  <c r="AC231" i="27" s="1"/>
  <c r="T233" i="27"/>
  <c r="AD233" i="27" s="1"/>
  <c r="AC233" i="27" s="1"/>
  <c r="O220" i="27"/>
  <c r="I1850" i="80" s="1"/>
  <c r="A1850" i="80" s="1"/>
  <c r="U217" i="27"/>
  <c r="EM4" i="2" s="1"/>
  <c r="O231" i="27"/>
  <c r="I1861" i="80" s="1"/>
  <c r="A1861" i="80" s="1"/>
  <c r="O228" i="27"/>
  <c r="I1858" i="80" s="1"/>
  <c r="A1858" i="80" s="1"/>
  <c r="U189" i="27"/>
  <c r="EI4" i="2" s="1"/>
  <c r="O164" i="27"/>
  <c r="T150" i="27"/>
  <c r="AD150" i="27" s="1"/>
  <c r="AC150" i="27" s="1"/>
  <c r="AD117" i="27"/>
  <c r="AC117" i="27" s="1"/>
  <c r="AD143" i="27"/>
  <c r="R143" i="27"/>
  <c r="AE143" i="27" s="1"/>
  <c r="T145" i="27"/>
  <c r="AD145" i="27" s="1"/>
  <c r="AC145" i="27" s="1"/>
  <c r="O145" i="27"/>
  <c r="I1775" i="80" s="1"/>
  <c r="A1775" i="80" s="1"/>
  <c r="T149" i="27"/>
  <c r="AD149" i="27" s="1"/>
  <c r="AC149" i="27" s="1"/>
  <c r="T151" i="27"/>
  <c r="AD151" i="27" s="1"/>
  <c r="AC151" i="27" s="1"/>
  <c r="T156" i="27"/>
  <c r="AD156" i="27" s="1"/>
  <c r="AC156" i="27" s="1"/>
  <c r="T124" i="27"/>
  <c r="AD124" i="27" s="1"/>
  <c r="U134" i="27"/>
  <c r="U124" i="27"/>
  <c r="T131" i="27"/>
  <c r="AD131" i="27" s="1"/>
  <c r="AC131" i="27" s="1"/>
  <c r="T134" i="27"/>
  <c r="AD134" i="27" s="1"/>
  <c r="U117" i="27"/>
  <c r="ED4" i="2" s="1"/>
  <c r="T97" i="27"/>
  <c r="AD97" i="27" s="1"/>
  <c r="T80" i="27"/>
  <c r="AD80" i="27" s="1"/>
  <c r="T56" i="27"/>
  <c r="AD56" i="27" s="1"/>
  <c r="T55" i="27"/>
  <c r="AD55" i="27" s="1"/>
  <c r="AC55" i="27" s="1"/>
  <c r="U97" i="27"/>
  <c r="DZ4" i="2" s="1"/>
  <c r="T92" i="27"/>
  <c r="AD92" i="27" s="1"/>
  <c r="U92" i="27"/>
  <c r="U80" i="27"/>
  <c r="DX4" i="2" s="1"/>
  <c r="O55" i="27"/>
  <c r="O227" i="25"/>
  <c r="I1096" i="80" s="1"/>
  <c r="C7" i="10"/>
  <c r="AX39" i="25"/>
  <c r="AY39" i="25"/>
  <c r="AX40" i="25"/>
  <c r="AY40" i="25"/>
  <c r="AX41" i="25"/>
  <c r="AY41" i="25"/>
  <c r="AX42" i="25"/>
  <c r="AY42" i="25"/>
  <c r="AX43" i="25"/>
  <c r="AY43" i="25"/>
  <c r="AX45" i="25"/>
  <c r="AY45" i="25"/>
  <c r="AX46" i="25"/>
  <c r="AY46" i="25"/>
  <c r="AX47" i="25"/>
  <c r="AY47" i="25"/>
  <c r="AX48" i="25"/>
  <c r="AY48" i="25"/>
  <c r="AX28" i="25"/>
  <c r="AY28" i="25"/>
  <c r="I4" i="8"/>
  <c r="I4" i="24"/>
  <c r="I4" i="28"/>
  <c r="I4" i="29"/>
  <c r="Z14" i="23"/>
  <c r="BI885" i="16" s="1"/>
  <c r="Q14" i="7"/>
  <c r="BI15" i="25" s="1"/>
  <c r="P4" i="2"/>
  <c r="L4" i="2"/>
  <c r="M4" i="2"/>
  <c r="N4" i="2"/>
  <c r="O4" i="2"/>
  <c r="S90" i="16"/>
  <c r="S91" i="8"/>
  <c r="S18" i="16"/>
  <c r="T18" i="16" s="1"/>
  <c r="AD18" i="16" s="1"/>
  <c r="AC18" i="16" s="1"/>
  <c r="S17" i="16"/>
  <c r="O13" i="16" s="1"/>
  <c r="S19" i="8"/>
  <c r="S18" i="8"/>
  <c r="T18" i="8" s="1"/>
  <c r="AD18" i="8" s="1"/>
  <c r="AC18" i="8" s="1"/>
  <c r="Y272" i="16"/>
  <c r="Y262" i="16"/>
  <c r="Y257" i="16"/>
  <c r="Y255" i="16"/>
  <c r="Y253" i="16"/>
  <c r="AE478" i="24"/>
  <c r="AC478" i="24" s="1"/>
  <c r="AX351" i="16"/>
  <c r="AX353" i="16"/>
  <c r="AX354" i="16"/>
  <c r="AX355" i="16"/>
  <c r="AX356" i="16"/>
  <c r="AX367" i="16"/>
  <c r="AX368" i="16"/>
  <c r="AX369" i="16"/>
  <c r="AX370" i="16"/>
  <c r="AX371" i="16"/>
  <c r="AX373" i="16"/>
  <c r="AX374" i="16"/>
  <c r="AX375" i="16"/>
  <c r="AX376" i="16"/>
  <c r="AX377" i="16"/>
  <c r="AX378" i="16"/>
  <c r="AX380" i="16"/>
  <c r="AX381" i="16"/>
  <c r="Y805" i="16"/>
  <c r="Y795" i="16"/>
  <c r="Y860" i="16"/>
  <c r="Y858" i="16"/>
  <c r="Y854" i="16"/>
  <c r="Y853" i="16"/>
  <c r="Y852" i="16"/>
  <c r="Y850" i="16"/>
  <c r="Y848" i="16"/>
  <c r="Y844" i="16"/>
  <c r="Y839" i="16"/>
  <c r="Y835" i="16"/>
  <c r="Y833" i="16"/>
  <c r="Y831" i="16"/>
  <c r="Y829" i="16"/>
  <c r="Y827" i="16"/>
  <c r="Y825" i="16"/>
  <c r="Y824" i="16"/>
  <c r="Y813" i="16"/>
  <c r="Y783" i="16"/>
  <c r="Y777" i="16"/>
  <c r="Y771" i="16"/>
  <c r="Y764" i="16"/>
  <c r="Y757" i="16"/>
  <c r="Y750" i="16"/>
  <c r="Y744" i="16"/>
  <c r="Y736" i="16"/>
  <c r="Y727" i="16"/>
  <c r="Y710" i="16"/>
  <c r="Y708" i="16"/>
  <c r="Y697" i="16"/>
  <c r="Y694" i="16"/>
  <c r="Y688" i="16"/>
  <c r="Y683" i="16"/>
  <c r="Y674" i="16"/>
  <c r="Y672" i="16"/>
  <c r="Y671" i="16"/>
  <c r="Y669" i="16"/>
  <c r="Y668" i="16"/>
  <c r="Y637" i="16"/>
  <c r="Y632" i="16"/>
  <c r="Y631" i="16"/>
  <c r="Y624" i="16"/>
  <c r="Y611" i="16"/>
  <c r="Y596" i="16"/>
  <c r="Y589" i="16"/>
  <c r="Y587" i="16"/>
  <c r="Y585" i="16"/>
  <c r="Y583" i="16"/>
  <c r="Y579" i="16"/>
  <c r="Y572" i="16"/>
  <c r="Y566" i="16"/>
  <c r="Y562" i="16"/>
  <c r="Y560" i="16"/>
  <c r="Y555" i="16"/>
  <c r="Y551" i="16"/>
  <c r="Y548" i="16"/>
  <c r="Y547" i="16"/>
  <c r="Y545" i="16"/>
  <c r="Y537" i="16"/>
  <c r="Y536" i="16"/>
  <c r="Y534" i="16"/>
  <c r="Y528" i="16"/>
  <c r="Y525" i="16"/>
  <c r="Y523" i="16"/>
  <c r="Y511" i="16"/>
  <c r="Y509" i="16"/>
  <c r="Y507" i="16"/>
  <c r="Y501" i="16"/>
  <c r="Y497" i="16"/>
  <c r="Y496" i="16"/>
  <c r="Y493" i="16"/>
  <c r="Y483" i="16"/>
  <c r="Y475" i="16"/>
  <c r="Y471" i="16"/>
  <c r="Y469" i="16"/>
  <c r="Y467" i="16"/>
  <c r="Y464" i="16"/>
  <c r="Y462" i="16"/>
  <c r="Y449" i="16"/>
  <c r="Y440" i="16"/>
  <c r="Y437" i="16"/>
  <c r="Y435" i="16"/>
  <c r="Y431" i="16"/>
  <c r="Y429" i="16"/>
  <c r="Y423" i="16"/>
  <c r="Y421" i="16"/>
  <c r="Y416" i="16"/>
  <c r="Y414" i="16"/>
  <c r="Y411" i="16"/>
  <c r="Y398" i="16"/>
  <c r="Y380" i="16"/>
  <c r="Y375" i="16"/>
  <c r="Y374" i="16"/>
  <c r="Y373" i="16"/>
  <c r="Y372" i="16"/>
  <c r="Y371" i="16"/>
  <c r="Y370" i="16"/>
  <c r="Y364" i="16"/>
  <c r="Y363" i="16"/>
  <c r="Y362" i="16"/>
  <c r="Y361" i="16"/>
  <c r="Y360" i="16"/>
  <c r="Y359" i="16"/>
  <c r="Y355" i="16"/>
  <c r="Y352" i="16"/>
  <c r="Y349" i="16"/>
  <c r="Y293" i="16"/>
  <c r="Y282" i="16"/>
  <c r="Y275" i="16"/>
  <c r="Y246" i="16"/>
  <c r="Y238" i="16"/>
  <c r="Y237" i="16"/>
  <c r="Y234" i="16"/>
  <c r="Y230" i="16"/>
  <c r="Y228" i="16"/>
  <c r="Y226" i="16"/>
  <c r="Y225" i="16"/>
  <c r="Y223" i="16"/>
  <c r="Y220" i="16"/>
  <c r="Y213" i="16"/>
  <c r="Y208" i="16"/>
  <c r="Y200" i="16"/>
  <c r="Y194" i="16"/>
  <c r="Y187" i="16"/>
  <c r="Y185" i="16"/>
  <c r="Y183" i="16"/>
  <c r="Y181" i="16"/>
  <c r="Y178" i="16"/>
  <c r="Y176" i="16"/>
  <c r="Y171" i="16"/>
  <c r="Y170" i="16"/>
  <c r="Y165" i="16"/>
  <c r="Y160" i="16"/>
  <c r="Y157" i="16"/>
  <c r="Y155" i="16"/>
  <c r="Y149" i="16"/>
  <c r="Y145" i="16"/>
  <c r="Y135" i="16"/>
  <c r="Y128" i="16"/>
  <c r="Y124" i="16"/>
  <c r="Y121" i="16"/>
  <c r="Y114" i="16"/>
  <c r="Y101" i="16"/>
  <c r="Y88" i="16"/>
  <c r="Y68" i="16"/>
  <c r="Y63" i="16"/>
  <c r="Y58" i="16"/>
  <c r="Y331" i="16"/>
  <c r="S844" i="16"/>
  <c r="S848" i="16"/>
  <c r="T848" i="16" s="1"/>
  <c r="AD848" i="16" s="1"/>
  <c r="AC848" i="16" s="1"/>
  <c r="BD333" i="16"/>
  <c r="BC333" i="16"/>
  <c r="AX349" i="16"/>
  <c r="AX345" i="16"/>
  <c r="AX344" i="16"/>
  <c r="AX342" i="16"/>
  <c r="AX338" i="16"/>
  <c r="AX337" i="16"/>
  <c r="AX335" i="16"/>
  <c r="AX334" i="16"/>
  <c r="AX333" i="16"/>
  <c r="AX332" i="16"/>
  <c r="AX331" i="16"/>
  <c r="AX330" i="16"/>
  <c r="AX329" i="16"/>
  <c r="AF784" i="16"/>
  <c r="AF778" i="16"/>
  <c r="AF772" i="16"/>
  <c r="AF759" i="16"/>
  <c r="AF752" i="16"/>
  <c r="AF566" i="16"/>
  <c r="AF398" i="16"/>
  <c r="U813" i="16"/>
  <c r="U784" i="16"/>
  <c r="S784" i="16"/>
  <c r="T784" i="16" s="1"/>
  <c r="AD784" i="16" s="1"/>
  <c r="AC784" i="16" s="1"/>
  <c r="U778" i="16"/>
  <c r="S778" i="16"/>
  <c r="T778" i="16" s="1"/>
  <c r="AD778" i="16" s="1"/>
  <c r="AC778" i="16" s="1"/>
  <c r="U772" i="16"/>
  <c r="S772" i="16"/>
  <c r="T772" i="16" s="1"/>
  <c r="AD772" i="16" s="1"/>
  <c r="AC772" i="16" s="1"/>
  <c r="U765" i="16"/>
  <c r="S765" i="16"/>
  <c r="T765" i="16" s="1"/>
  <c r="AD765" i="16" s="1"/>
  <c r="AC765" i="16" s="1"/>
  <c r="U759" i="16"/>
  <c r="S759" i="16"/>
  <c r="T759" i="16" s="1"/>
  <c r="AD759" i="16" s="1"/>
  <c r="AC759" i="16" s="1"/>
  <c r="U752" i="16"/>
  <c r="S752" i="16"/>
  <c r="T752" i="16" s="1"/>
  <c r="AD752" i="16" s="1"/>
  <c r="AC752" i="16" s="1"/>
  <c r="S744" i="16"/>
  <c r="O744" i="16" s="1"/>
  <c r="S736" i="16"/>
  <c r="S727" i="16"/>
  <c r="O727" i="16" s="1"/>
  <c r="U697" i="16"/>
  <c r="U674" i="16"/>
  <c r="U672" i="16"/>
  <c r="U671" i="16"/>
  <c r="U669" i="16"/>
  <c r="U668" i="16"/>
  <c r="U644" i="16"/>
  <c r="U643" i="16"/>
  <c r="U642" i="16"/>
  <c r="U641" i="16"/>
  <c r="U640" i="16"/>
  <c r="U639" i="16"/>
  <c r="U638" i="16"/>
  <c r="U637" i="16"/>
  <c r="S637" i="16"/>
  <c r="T637" i="16" s="1"/>
  <c r="AD637" i="16" s="1"/>
  <c r="AC637" i="16" s="1"/>
  <c r="R555" i="16"/>
  <c r="U534" i="16"/>
  <c r="R534" i="16"/>
  <c r="U528" i="16"/>
  <c r="R528" i="16"/>
  <c r="U523" i="16"/>
  <c r="R523" i="16"/>
  <c r="U511" i="16"/>
  <c r="U501" i="16"/>
  <c r="R483" i="16"/>
  <c r="U475" i="16"/>
  <c r="R475" i="16"/>
  <c r="U464" i="16"/>
  <c r="R464" i="16"/>
  <c r="U440" i="16"/>
  <c r="U437" i="16"/>
  <c r="U431" i="16"/>
  <c r="U391" i="16"/>
  <c r="U389" i="16"/>
  <c r="U385" i="16"/>
  <c r="U384" i="16"/>
  <c r="U383" i="16"/>
  <c r="S374" i="16"/>
  <c r="O374" i="16" s="1"/>
  <c r="S373" i="16"/>
  <c r="S372" i="16"/>
  <c r="S371" i="16"/>
  <c r="S370" i="16"/>
  <c r="AX10" i="16"/>
  <c r="AF27" i="16"/>
  <c r="U257" i="16"/>
  <c r="U201" i="16"/>
  <c r="S185" i="16"/>
  <c r="S183" i="16"/>
  <c r="S181" i="16"/>
  <c r="S178" i="16"/>
  <c r="O178" i="16" s="1"/>
  <c r="S176" i="16"/>
  <c r="S171" i="16"/>
  <c r="S170" i="16"/>
  <c r="U165" i="16"/>
  <c r="S165" i="16"/>
  <c r="S160" i="16"/>
  <c r="S157" i="16"/>
  <c r="S155" i="16"/>
  <c r="U149" i="16"/>
  <c r="S149" i="16"/>
  <c r="U147" i="16"/>
  <c r="U135" i="16"/>
  <c r="U128" i="16"/>
  <c r="U93" i="16"/>
  <c r="S73" i="16"/>
  <c r="S71" i="16"/>
  <c r="O293" i="24"/>
  <c r="AM45" i="24"/>
  <c r="AM472" i="24"/>
  <c r="AM542" i="24"/>
  <c r="AM540" i="24"/>
  <c r="AM536" i="24"/>
  <c r="AM535" i="24"/>
  <c r="AM534" i="24"/>
  <c r="AM532" i="24"/>
  <c r="AM530" i="24"/>
  <c r="AM526" i="24"/>
  <c r="AM521" i="24"/>
  <c r="AM519" i="24"/>
  <c r="AM517" i="24"/>
  <c r="AM515" i="24"/>
  <c r="AM513" i="24"/>
  <c r="AM511" i="24"/>
  <c r="AM509" i="24"/>
  <c r="AM507" i="24"/>
  <c r="AM506" i="24"/>
  <c r="AM503" i="24"/>
  <c r="AM495" i="24"/>
  <c r="AM446" i="24"/>
  <c r="AM432" i="24"/>
  <c r="AM428" i="24"/>
  <c r="AM426" i="24"/>
  <c r="AM418" i="24"/>
  <c r="AM409" i="24"/>
  <c r="AM388" i="24"/>
  <c r="AM379" i="24"/>
  <c r="AM376" i="24"/>
  <c r="AM370" i="24"/>
  <c r="AM365" i="24"/>
  <c r="AM356" i="24"/>
  <c r="AM353" i="24"/>
  <c r="AM350" i="24"/>
  <c r="AM333" i="24"/>
  <c r="AM331" i="24"/>
  <c r="AM329" i="24"/>
  <c r="AM305" i="24"/>
  <c r="AM304" i="24"/>
  <c r="AM302" i="24"/>
  <c r="AM293" i="24"/>
  <c r="AM278" i="24"/>
  <c r="AM265" i="24"/>
  <c r="AM261" i="24"/>
  <c r="AM254" i="24"/>
  <c r="AM248" i="24"/>
  <c r="AM244" i="24"/>
  <c r="AM242" i="24"/>
  <c r="AM233" i="24"/>
  <c r="AM223" i="24"/>
  <c r="AM219" i="24"/>
  <c r="AM218" i="24"/>
  <c r="AM207" i="24"/>
  <c r="AM192" i="24"/>
  <c r="AM191" i="24"/>
  <c r="AM189" i="24"/>
  <c r="AM187" i="24"/>
  <c r="AM184" i="24"/>
  <c r="AM179" i="24"/>
  <c r="AM178" i="24"/>
  <c r="AM175" i="24"/>
  <c r="AM153" i="24"/>
  <c r="AM151" i="24"/>
  <c r="AM149" i="24"/>
  <c r="AM144" i="24"/>
  <c r="AM139" i="24"/>
  <c r="AM135" i="24"/>
  <c r="AM131" i="24"/>
  <c r="AM125" i="24"/>
  <c r="AM123" i="24"/>
  <c r="AM117" i="24"/>
  <c r="AM111" i="24"/>
  <c r="AM105" i="24"/>
  <c r="AM98" i="24"/>
  <c r="AM96" i="24"/>
  <c r="AM80" i="24"/>
  <c r="AM78" i="24"/>
  <c r="AM76" i="24"/>
  <c r="AM75" i="24"/>
  <c r="AM62" i="24"/>
  <c r="AM61" i="24"/>
  <c r="AM60" i="24"/>
  <c r="AM57" i="24"/>
  <c r="AM56" i="24"/>
  <c r="AM55" i="24"/>
  <c r="AM54" i="24"/>
  <c r="AM53" i="24"/>
  <c r="AM52" i="24"/>
  <c r="AM49" i="24"/>
  <c r="AM46" i="24"/>
  <c r="AM44" i="24"/>
  <c r="AM43" i="24"/>
  <c r="AM42" i="24"/>
  <c r="AM41" i="24"/>
  <c r="AM37" i="24"/>
  <c r="AM34" i="24"/>
  <c r="AM23" i="24"/>
  <c r="AM22" i="24"/>
  <c r="AM21" i="24"/>
  <c r="AM20" i="24"/>
  <c r="AM19" i="24"/>
  <c r="AM31" i="24"/>
  <c r="O213" i="29"/>
  <c r="O211" i="29"/>
  <c r="O192" i="29"/>
  <c r="AE489" i="24"/>
  <c r="AC489" i="24" s="1"/>
  <c r="O472" i="24"/>
  <c r="S530" i="24"/>
  <c r="T530" i="24" s="1"/>
  <c r="AD530" i="24" s="1"/>
  <c r="AC530" i="24" s="1"/>
  <c r="S526" i="24"/>
  <c r="AE495" i="24"/>
  <c r="AC495" i="24" s="1"/>
  <c r="U495" i="24"/>
  <c r="S426" i="24"/>
  <c r="T426" i="24" s="1"/>
  <c r="AD426" i="24" s="1"/>
  <c r="AC426" i="24" s="1"/>
  <c r="S418" i="24"/>
  <c r="O418" i="24" s="1"/>
  <c r="I735" i="80" s="1"/>
  <c r="S409" i="24"/>
  <c r="O409" i="24" s="1"/>
  <c r="S466" i="24"/>
  <c r="T466" i="24" s="1"/>
  <c r="AD466" i="24" s="1"/>
  <c r="S460" i="24"/>
  <c r="T460" i="24" s="1"/>
  <c r="AD460" i="24" s="1"/>
  <c r="S454" i="24"/>
  <c r="T454" i="24" s="1"/>
  <c r="AD454" i="24" s="1"/>
  <c r="S447" i="24"/>
  <c r="T447" i="24" s="1"/>
  <c r="AD447" i="24" s="1"/>
  <c r="S441" i="24"/>
  <c r="T441" i="24" s="1"/>
  <c r="AD441" i="24" s="1"/>
  <c r="S434" i="24"/>
  <c r="T434" i="24" s="1"/>
  <c r="AD434" i="24" s="1"/>
  <c r="AE466" i="24"/>
  <c r="AE460" i="24"/>
  <c r="AE454" i="24"/>
  <c r="AE447" i="24"/>
  <c r="U466" i="24"/>
  <c r="CB4" i="2" s="1"/>
  <c r="U460" i="24"/>
  <c r="CA4" i="2" s="1"/>
  <c r="U454" i="24"/>
  <c r="BZ4" i="2" s="1"/>
  <c r="U447" i="24"/>
  <c r="BY4" i="2" s="1"/>
  <c r="AE441" i="24"/>
  <c r="AE434" i="24"/>
  <c r="U441" i="24"/>
  <c r="BX4" i="2" s="1"/>
  <c r="U434" i="24"/>
  <c r="BW4" i="2" s="1"/>
  <c r="AE392" i="24"/>
  <c r="AC392" i="24" s="1"/>
  <c r="AE390" i="24"/>
  <c r="AC390" i="24" s="1"/>
  <c r="AE379" i="24"/>
  <c r="AC379" i="24" s="1"/>
  <c r="U379" i="24"/>
  <c r="BT4" i="2" s="1"/>
  <c r="AE356" i="24"/>
  <c r="AC356" i="24" s="1"/>
  <c r="U356" i="24"/>
  <c r="BS4" i="2" s="1"/>
  <c r="AE354" i="24"/>
  <c r="AC354" i="24" s="1"/>
  <c r="AE353" i="24"/>
  <c r="AC353" i="24" s="1"/>
  <c r="AE351" i="24"/>
  <c r="AC351" i="24" s="1"/>
  <c r="AE350" i="24"/>
  <c r="AC350" i="24" s="1"/>
  <c r="S319" i="24"/>
  <c r="T319" i="24" s="1"/>
  <c r="AD319" i="24" s="1"/>
  <c r="AC319" i="24" s="1"/>
  <c r="O353" i="24"/>
  <c r="O350" i="24"/>
  <c r="E70" i="88" s="1"/>
  <c r="C70" i="88" s="1"/>
  <c r="A70" i="88" s="1"/>
  <c r="U354" i="24"/>
  <c r="BR4" i="2" s="1"/>
  <c r="U353" i="24"/>
  <c r="BQ4" i="2" s="1"/>
  <c r="U351" i="24"/>
  <c r="BP4" i="2" s="1"/>
  <c r="U350" i="24"/>
  <c r="BO4" i="2" s="1"/>
  <c r="AE314" i="24"/>
  <c r="AC314" i="24" s="1"/>
  <c r="AE313" i="24"/>
  <c r="AC313" i="24" s="1"/>
  <c r="O302" i="24"/>
  <c r="O278" i="24"/>
  <c r="O265" i="24"/>
  <c r="E68" i="88" s="1"/>
  <c r="C68" i="88" s="1"/>
  <c r="A68" i="88" s="1"/>
  <c r="AE272" i="24"/>
  <c r="AC272" i="24" s="1"/>
  <c r="AE270" i="24"/>
  <c r="AC270" i="24" s="1"/>
  <c r="AE268" i="24"/>
  <c r="AC268" i="24" s="1"/>
  <c r="AE266" i="24"/>
  <c r="AC266" i="24" s="1"/>
  <c r="AE254" i="24"/>
  <c r="AC254" i="24" s="1"/>
  <c r="O254" i="24"/>
  <c r="O248" i="24"/>
  <c r="AE248" i="24"/>
  <c r="AC248" i="24" s="1"/>
  <c r="AE261" i="24"/>
  <c r="AC261" i="24" s="1"/>
  <c r="O219" i="24"/>
  <c r="I536" i="80" s="1"/>
  <c r="O218" i="24"/>
  <c r="O216" i="24"/>
  <c r="I533" i="80" s="1"/>
  <c r="R210" i="24"/>
  <c r="M210" i="24" s="1"/>
  <c r="AM210" i="24" s="1"/>
  <c r="U210" i="24"/>
  <c r="BE4" i="2" s="1"/>
  <c r="U193" i="24"/>
  <c r="BC4" i="2" s="1"/>
  <c r="R157" i="24"/>
  <c r="O153" i="24"/>
  <c r="I470" i="80" s="1"/>
  <c r="A470" i="80" s="1"/>
  <c r="O151" i="24"/>
  <c r="I468" i="80" s="1"/>
  <c r="A468" i="80" s="1"/>
  <c r="O149" i="24"/>
  <c r="I466" i="80" s="1"/>
  <c r="A466" i="80" s="1"/>
  <c r="O144" i="24"/>
  <c r="O146" i="24"/>
  <c r="O105" i="24"/>
  <c r="U119" i="24"/>
  <c r="AX4" i="2" s="1"/>
  <c r="U113" i="24"/>
  <c r="AW4" i="2" s="1"/>
  <c r="O96" i="24"/>
  <c r="R237" i="24"/>
  <c r="R216" i="24"/>
  <c r="AE216" i="24" s="1"/>
  <c r="R205" i="24"/>
  <c r="R165" i="24"/>
  <c r="R146" i="24"/>
  <c r="AE80" i="24"/>
  <c r="AC80" i="24" s="1"/>
  <c r="AE12" i="25"/>
  <c r="U28" i="25"/>
  <c r="AM239" i="8"/>
  <c r="AE245" i="8"/>
  <c r="AC245" i="8" s="1"/>
  <c r="O239" i="8"/>
  <c r="I237" i="80" s="1"/>
  <c r="U175" i="27"/>
  <c r="EH4" i="2" s="1"/>
  <c r="O150" i="27"/>
  <c r="I1780" i="80" s="1"/>
  <c r="U56" i="27"/>
  <c r="U21" i="27"/>
  <c r="DV4" i="2" s="1"/>
  <c r="U12" i="25"/>
  <c r="O376" i="24"/>
  <c r="O370" i="24"/>
  <c r="I687" i="80" s="1"/>
  <c r="O365" i="24"/>
  <c r="AE326" i="24"/>
  <c r="AC326" i="24" s="1"/>
  <c r="O503" i="24"/>
  <c r="U326" i="24"/>
  <c r="BN4" i="2" s="1"/>
  <c r="U325" i="24"/>
  <c r="BM4" i="2" s="1"/>
  <c r="U324" i="24"/>
  <c r="BL4" i="2" s="1"/>
  <c r="U323" i="24"/>
  <c r="BK4" i="2" s="1"/>
  <c r="U322" i="24"/>
  <c r="BJ4" i="2" s="1"/>
  <c r="U321" i="24"/>
  <c r="BI4" i="2" s="1"/>
  <c r="U320" i="24"/>
  <c r="BH4" i="2" s="1"/>
  <c r="U319" i="24"/>
  <c r="BG4" i="2" s="1"/>
  <c r="O261" i="24"/>
  <c r="I578" i="80" s="1"/>
  <c r="A578" i="80" s="1"/>
  <c r="O244" i="24"/>
  <c r="O242" i="24"/>
  <c r="O233" i="24"/>
  <c r="AD237" i="24"/>
  <c r="O223" i="24"/>
  <c r="U216" i="24"/>
  <c r="BF4" i="2" s="1"/>
  <c r="U205" i="24"/>
  <c r="BD4" i="2" s="1"/>
  <c r="O191" i="24"/>
  <c r="I508" i="80" s="1"/>
  <c r="O189" i="24"/>
  <c r="I506" i="80" s="1"/>
  <c r="O179" i="24"/>
  <c r="O178" i="24"/>
  <c r="I495" i="80" s="1"/>
  <c r="O175" i="24"/>
  <c r="I492" i="80" s="1"/>
  <c r="U183" i="24"/>
  <c r="BB4" i="2" s="1"/>
  <c r="U157" i="24"/>
  <c r="BA4" i="2" s="1"/>
  <c r="U122" i="24"/>
  <c r="AY4" i="2" s="1"/>
  <c r="U146" i="24"/>
  <c r="AZ4" i="2" s="1"/>
  <c r="U73" i="24"/>
  <c r="AU4" i="2" s="1"/>
  <c r="U71" i="24"/>
  <c r="AT4" i="2" s="1"/>
  <c r="U67" i="24"/>
  <c r="AS4" i="2" s="1"/>
  <c r="U66" i="24"/>
  <c r="AR4" i="2" s="1"/>
  <c r="U65" i="24"/>
  <c r="AQ4" i="2" s="1"/>
  <c r="U58" i="24"/>
  <c r="AP4" i="2" s="1"/>
  <c r="S56" i="24"/>
  <c r="O56" i="24" s="1"/>
  <c r="I373" i="80" s="1"/>
  <c r="S55" i="24"/>
  <c r="T55" i="24" s="1"/>
  <c r="AD55" i="24" s="1"/>
  <c r="AC55" i="24" s="1"/>
  <c r="S54" i="24"/>
  <c r="T54" i="24" s="1"/>
  <c r="AD54" i="24" s="1"/>
  <c r="AC54" i="24" s="1"/>
  <c r="S53" i="24"/>
  <c r="O53" i="24" s="1"/>
  <c r="I370" i="80" s="1"/>
  <c r="S52" i="24"/>
  <c r="O52" i="24" s="1"/>
  <c r="I369" i="80" s="1"/>
  <c r="A369" i="80" s="1"/>
  <c r="O46" i="24"/>
  <c r="I363" i="80" s="1"/>
  <c r="O45" i="24"/>
  <c r="O44" i="24"/>
  <c r="I361" i="80" s="1"/>
  <c r="O43" i="24"/>
  <c r="O42" i="24"/>
  <c r="I359" i="80" s="1"/>
  <c r="O41" i="24"/>
  <c r="I358" i="80" s="1"/>
  <c r="O37" i="24"/>
  <c r="I354" i="80" s="1"/>
  <c r="O34" i="24"/>
  <c r="I351" i="80" s="1"/>
  <c r="A351" i="80" s="1"/>
  <c r="O31" i="24"/>
  <c r="I348" i="80" s="1"/>
  <c r="A348" i="80" s="1"/>
  <c r="AM294" i="8"/>
  <c r="AM283" i="8"/>
  <c r="AM281" i="8"/>
  <c r="AM280" i="8"/>
  <c r="AM279" i="8"/>
  <c r="AM278" i="8"/>
  <c r="AM277" i="8"/>
  <c r="AM273" i="8"/>
  <c r="AM263" i="8"/>
  <c r="AM261" i="8"/>
  <c r="AM260" i="8"/>
  <c r="AM259" i="8"/>
  <c r="AM256" i="8"/>
  <c r="AM254" i="8"/>
  <c r="AM247" i="8"/>
  <c r="AM238" i="8"/>
  <c r="AM235" i="8"/>
  <c r="AM231" i="8"/>
  <c r="AM229" i="8"/>
  <c r="AM227" i="8"/>
  <c r="AM226" i="8"/>
  <c r="AM224" i="8"/>
  <c r="AM219" i="8"/>
  <c r="AM217" i="8"/>
  <c r="AM216" i="8"/>
  <c r="AM209" i="8"/>
  <c r="AM201" i="8"/>
  <c r="AM194" i="8"/>
  <c r="AM192" i="8"/>
  <c r="AM191" i="8"/>
  <c r="AM190" i="8"/>
  <c r="AM186" i="8"/>
  <c r="AM184" i="8"/>
  <c r="AM182" i="8"/>
  <c r="AM179" i="8"/>
  <c r="AM140" i="8"/>
  <c r="AM139" i="8"/>
  <c r="AM138" i="8"/>
  <c r="AM135" i="8"/>
  <c r="AM134" i="8"/>
  <c r="AM133" i="8"/>
  <c r="AM125" i="8"/>
  <c r="AM122" i="8"/>
  <c r="O254" i="8"/>
  <c r="I252" i="80" s="1"/>
  <c r="A252" i="80" s="1"/>
  <c r="S186" i="8"/>
  <c r="O186" i="8" s="1"/>
  <c r="I184" i="80" s="1"/>
  <c r="A184" i="80" s="1"/>
  <c r="S184" i="8"/>
  <c r="T184" i="8" s="1"/>
  <c r="AD184" i="8" s="1"/>
  <c r="AC184" i="8" s="1"/>
  <c r="S182" i="8"/>
  <c r="T182" i="8" s="1"/>
  <c r="AD182" i="8" s="1"/>
  <c r="AC182" i="8" s="1"/>
  <c r="S179" i="8"/>
  <c r="O179" i="8" s="1"/>
  <c r="I177" i="80" s="1"/>
  <c r="A177" i="80" s="1"/>
  <c r="S177" i="8"/>
  <c r="T177" i="8" s="1"/>
  <c r="AD177" i="8" s="1"/>
  <c r="AC177" i="8" s="1"/>
  <c r="S172" i="8"/>
  <c r="T172" i="8" s="1"/>
  <c r="AD172" i="8" s="1"/>
  <c r="AC172" i="8" s="1"/>
  <c r="S171" i="8"/>
  <c r="T171" i="8" s="1"/>
  <c r="AD171" i="8" s="1"/>
  <c r="AC171" i="8" s="1"/>
  <c r="S166" i="8"/>
  <c r="T166" i="8" s="1"/>
  <c r="AD166" i="8" s="1"/>
  <c r="AC166" i="8" s="1"/>
  <c r="S161" i="8"/>
  <c r="T161" i="8" s="1"/>
  <c r="AD161" i="8" s="1"/>
  <c r="AC161" i="8" s="1"/>
  <c r="S158" i="8"/>
  <c r="T158" i="8" s="1"/>
  <c r="AD158" i="8" s="1"/>
  <c r="AC158" i="8" s="1"/>
  <c r="S156" i="8"/>
  <c r="T156" i="8" s="1"/>
  <c r="AD156" i="8" s="1"/>
  <c r="AC156" i="8" s="1"/>
  <c r="S150" i="8"/>
  <c r="T150" i="8" s="1"/>
  <c r="AD150" i="8" s="1"/>
  <c r="AC150" i="8" s="1"/>
  <c r="O219" i="8"/>
  <c r="I217" i="80" s="1"/>
  <c r="A217" i="80" s="1"/>
  <c r="O217" i="8"/>
  <c r="I215" i="80" s="1"/>
  <c r="A215" i="80" s="1"/>
  <c r="O216" i="8"/>
  <c r="I214" i="80" s="1"/>
  <c r="A214" i="80" s="1"/>
  <c r="I197" i="80"/>
  <c r="I195" i="80"/>
  <c r="O188" i="8"/>
  <c r="O125" i="8"/>
  <c r="O122" i="8"/>
  <c r="I120" i="80" s="1"/>
  <c r="A120" i="80" s="1"/>
  <c r="O273" i="8"/>
  <c r="I271" i="80" s="1"/>
  <c r="A271" i="80" s="1"/>
  <c r="O263" i="8"/>
  <c r="O226" i="8"/>
  <c r="I224" i="80" s="1"/>
  <c r="O231" i="8"/>
  <c r="I229" i="80" s="1"/>
  <c r="A229" i="80" s="1"/>
  <c r="O235" i="8"/>
  <c r="I233" i="80" s="1"/>
  <c r="A233" i="80" s="1"/>
  <c r="O247" i="8"/>
  <c r="O238" i="8"/>
  <c r="O229" i="8"/>
  <c r="I227" i="80" s="1"/>
  <c r="A227" i="80" s="1"/>
  <c r="O227" i="8"/>
  <c r="N226" i="16" s="1"/>
  <c r="O224" i="8"/>
  <c r="U202" i="8"/>
  <c r="U148" i="8"/>
  <c r="AY63" i="28"/>
  <c r="AX63" i="28"/>
  <c r="AY62" i="28"/>
  <c r="AX62" i="28"/>
  <c r="AY60" i="28"/>
  <c r="AX60" i="28"/>
  <c r="AY59" i="28"/>
  <c r="AX59" i="28"/>
  <c r="AY58" i="28"/>
  <c r="AX58" i="28"/>
  <c r="AY57" i="28"/>
  <c r="AX57" i="28"/>
  <c r="AY56" i="28"/>
  <c r="AX56" i="28"/>
  <c r="AY55" i="28"/>
  <c r="AX55" i="28"/>
  <c r="AY53" i="28"/>
  <c r="AX53" i="28"/>
  <c r="AY52" i="28"/>
  <c r="AX52" i="28"/>
  <c r="AY51" i="28"/>
  <c r="AX51" i="28"/>
  <c r="AY50" i="28"/>
  <c r="AX50" i="28"/>
  <c r="AY49" i="28"/>
  <c r="AX49" i="28"/>
  <c r="AY38" i="28"/>
  <c r="AX38" i="28"/>
  <c r="AY37" i="28"/>
  <c r="AX37" i="28"/>
  <c r="AY36" i="28"/>
  <c r="AX36" i="28"/>
  <c r="AY35" i="28"/>
  <c r="AX35" i="28"/>
  <c r="AY33" i="28"/>
  <c r="AX33" i="28"/>
  <c r="AY31" i="28"/>
  <c r="AX31" i="28"/>
  <c r="AY27" i="28"/>
  <c r="AX27" i="28"/>
  <c r="AY26" i="28"/>
  <c r="AX26" i="28"/>
  <c r="AY24" i="28"/>
  <c r="AX24" i="28"/>
  <c r="AY20" i="28"/>
  <c r="AX20" i="28"/>
  <c r="AY19" i="28"/>
  <c r="AX19" i="28"/>
  <c r="AY17" i="28"/>
  <c r="AX17" i="28"/>
  <c r="AY16" i="28"/>
  <c r="AX16" i="28"/>
  <c r="BD15" i="28"/>
  <c r="BC15" i="28"/>
  <c r="AY15" i="28"/>
  <c r="AX15" i="28"/>
  <c r="AY14" i="28"/>
  <c r="AX14" i="28"/>
  <c r="AY13" i="28"/>
  <c r="AX13" i="28"/>
  <c r="AY12" i="28"/>
  <c r="AX12" i="28"/>
  <c r="AY11" i="28"/>
  <c r="AX11" i="28"/>
  <c r="AY63" i="27"/>
  <c r="AX63" i="27"/>
  <c r="AY62" i="27"/>
  <c r="AX62" i="27"/>
  <c r="AY60" i="27"/>
  <c r="AX60" i="27"/>
  <c r="AY59" i="27"/>
  <c r="AX59" i="27"/>
  <c r="AY58" i="27"/>
  <c r="AX58" i="27"/>
  <c r="AY57" i="27"/>
  <c r="AX57" i="27"/>
  <c r="AY56" i="27"/>
  <c r="AX56" i="27"/>
  <c r="AY55" i="27"/>
  <c r="AX55" i="27"/>
  <c r="AY53" i="27"/>
  <c r="AX53" i="27"/>
  <c r="AY52" i="27"/>
  <c r="AX52" i="27"/>
  <c r="AY51" i="27"/>
  <c r="AX51" i="27"/>
  <c r="AY50" i="27"/>
  <c r="AX50" i="27"/>
  <c r="AY49" i="27"/>
  <c r="AX49" i="27"/>
  <c r="AY38" i="27"/>
  <c r="AX38" i="27"/>
  <c r="AY37" i="27"/>
  <c r="AX37" i="27"/>
  <c r="AY36" i="27"/>
  <c r="AX36" i="27"/>
  <c r="AY35" i="27"/>
  <c r="AX35" i="27"/>
  <c r="AY33" i="27"/>
  <c r="AX33" i="27"/>
  <c r="AY31" i="27"/>
  <c r="AX31" i="27"/>
  <c r="AY27" i="27"/>
  <c r="AX27" i="27"/>
  <c r="AY26" i="27"/>
  <c r="AX26" i="27"/>
  <c r="AY24" i="27"/>
  <c r="AX24" i="27"/>
  <c r="AY20" i="27"/>
  <c r="AX20" i="27"/>
  <c r="AY19" i="27"/>
  <c r="AX19" i="27"/>
  <c r="AY17" i="27"/>
  <c r="AX17" i="27"/>
  <c r="AY16" i="27"/>
  <c r="AX16" i="27"/>
  <c r="BD15" i="27"/>
  <c r="BC15" i="27"/>
  <c r="AY15" i="27"/>
  <c r="AX15" i="27"/>
  <c r="AY14" i="27"/>
  <c r="AX14" i="27"/>
  <c r="AY13" i="27"/>
  <c r="AX13" i="27"/>
  <c r="AY12" i="27"/>
  <c r="AX12" i="27"/>
  <c r="AY11" i="27"/>
  <c r="AX11" i="27"/>
  <c r="AY63" i="25"/>
  <c r="AX63" i="25"/>
  <c r="AY62" i="25"/>
  <c r="AX62" i="25"/>
  <c r="AY60" i="25"/>
  <c r="AX60" i="25"/>
  <c r="AY59" i="25"/>
  <c r="AX59" i="25"/>
  <c r="AY58" i="25"/>
  <c r="AX58" i="25"/>
  <c r="AY57" i="25"/>
  <c r="AX57" i="25"/>
  <c r="AY56" i="25"/>
  <c r="AX56" i="25"/>
  <c r="AY55" i="25"/>
  <c r="AX55" i="25"/>
  <c r="AY53" i="25"/>
  <c r="AX53" i="25"/>
  <c r="AY52" i="25"/>
  <c r="AX52" i="25"/>
  <c r="AY51" i="25"/>
  <c r="AX51" i="25"/>
  <c r="AY50" i="25"/>
  <c r="AX50" i="25"/>
  <c r="AY49" i="25"/>
  <c r="AX49" i="25"/>
  <c r="AY38" i="25"/>
  <c r="AX38" i="25"/>
  <c r="AY37" i="25"/>
  <c r="AX37" i="25"/>
  <c r="AY36" i="25"/>
  <c r="AX36" i="25"/>
  <c r="AY35" i="25"/>
  <c r="AX35" i="25"/>
  <c r="AY33" i="25"/>
  <c r="AX33" i="25"/>
  <c r="AY31" i="25"/>
  <c r="AX31" i="25"/>
  <c r="AX27" i="25"/>
  <c r="AY26" i="25"/>
  <c r="AX26" i="25"/>
  <c r="AY24" i="25"/>
  <c r="AX24" i="25"/>
  <c r="AY20" i="25"/>
  <c r="AX20" i="25"/>
  <c r="AY19" i="25"/>
  <c r="T287" i="25" s="1"/>
  <c r="AX19" i="25"/>
  <c r="AY17" i="25"/>
  <c r="AX17" i="25"/>
  <c r="AY16" i="25"/>
  <c r="AX16" i="25"/>
  <c r="BD15" i="25"/>
  <c r="BC15" i="25"/>
  <c r="AY15" i="25"/>
  <c r="AX15" i="25"/>
  <c r="AY14" i="25"/>
  <c r="AX14" i="25"/>
  <c r="AY13" i="25"/>
  <c r="AX13" i="25"/>
  <c r="AY12" i="25"/>
  <c r="AX12" i="25"/>
  <c r="AY11" i="25"/>
  <c r="AX11" i="25"/>
  <c r="O59" i="8"/>
  <c r="I57" i="80" s="1"/>
  <c r="A57" i="80" s="1"/>
  <c r="AM114" i="8"/>
  <c r="AM107" i="8"/>
  <c r="AM105" i="8"/>
  <c r="AM101" i="8"/>
  <c r="AM99" i="8"/>
  <c r="AM98" i="8"/>
  <c r="AM97" i="8"/>
  <c r="AM96" i="8"/>
  <c r="AM92" i="8"/>
  <c r="AM91" i="8"/>
  <c r="AM82" i="8"/>
  <c r="AM80" i="8"/>
  <c r="AM78" i="8"/>
  <c r="AM76" i="8"/>
  <c r="AM74" i="8"/>
  <c r="AM72" i="8"/>
  <c r="AM70" i="8"/>
  <c r="AM59" i="8"/>
  <c r="S74" i="8"/>
  <c r="O74" i="8" s="1"/>
  <c r="S72" i="8"/>
  <c r="T72" i="8" s="1"/>
  <c r="AD72" i="8" s="1"/>
  <c r="AC72" i="8" s="1"/>
  <c r="O114" i="8"/>
  <c r="I112" i="80" s="1"/>
  <c r="O107" i="8"/>
  <c r="I105" i="80" s="1"/>
  <c r="A105" i="80" s="1"/>
  <c r="O105" i="8"/>
  <c r="O82" i="8"/>
  <c r="I80" i="80" s="1"/>
  <c r="A80" i="80" s="1"/>
  <c r="O80" i="8"/>
  <c r="O78" i="8"/>
  <c r="I76" i="80" s="1"/>
  <c r="A76" i="80" s="1"/>
  <c r="O76" i="8"/>
  <c r="AO76" i="8" s="1"/>
  <c r="O70" i="8"/>
  <c r="AY63" i="24"/>
  <c r="AX63" i="24"/>
  <c r="AY62" i="24"/>
  <c r="AX62" i="24"/>
  <c r="AY60" i="24"/>
  <c r="AX60" i="24"/>
  <c r="AY59" i="24"/>
  <c r="AX59" i="24"/>
  <c r="AY58" i="24"/>
  <c r="AX58" i="24"/>
  <c r="AY57" i="24"/>
  <c r="AX57" i="24"/>
  <c r="AY56" i="24"/>
  <c r="AX56" i="24"/>
  <c r="AY55" i="24"/>
  <c r="AX55" i="24"/>
  <c r="AY53" i="24"/>
  <c r="AX53" i="24"/>
  <c r="AY52" i="24"/>
  <c r="AX52" i="24"/>
  <c r="AY51" i="24"/>
  <c r="AX51" i="24"/>
  <c r="AY50" i="24"/>
  <c r="AX50" i="24"/>
  <c r="AY49" i="24"/>
  <c r="AX49" i="24"/>
  <c r="AY38" i="24"/>
  <c r="AX38" i="24"/>
  <c r="AY37" i="24"/>
  <c r="AX37" i="24"/>
  <c r="AY36" i="24"/>
  <c r="AX36" i="24"/>
  <c r="AY35" i="24"/>
  <c r="AX35" i="24"/>
  <c r="AX33" i="24"/>
  <c r="AY31" i="24"/>
  <c r="AX31" i="24"/>
  <c r="AY27" i="24"/>
  <c r="AX27" i="24"/>
  <c r="AX26" i="24"/>
  <c r="AY24" i="24"/>
  <c r="AX24" i="24"/>
  <c r="AY20" i="24"/>
  <c r="AX20" i="24"/>
  <c r="AY19" i="24"/>
  <c r="AX19" i="24"/>
  <c r="AY17" i="24"/>
  <c r="AX17" i="24"/>
  <c r="AY16" i="24"/>
  <c r="AX16" i="24"/>
  <c r="BD15" i="24"/>
  <c r="BC15" i="24"/>
  <c r="AY15" i="24"/>
  <c r="AX15" i="24"/>
  <c r="AY14" i="24"/>
  <c r="AX14" i="24"/>
  <c r="AY13" i="24"/>
  <c r="AX13" i="24"/>
  <c r="AY12" i="24"/>
  <c r="AX12" i="24"/>
  <c r="AY11" i="24"/>
  <c r="AX11" i="24"/>
  <c r="U258" i="8"/>
  <c r="AN4" i="2" s="1"/>
  <c r="U166" i="8"/>
  <c r="AK4" i="2" s="1"/>
  <c r="U150" i="8"/>
  <c r="AJ4" i="2" s="1"/>
  <c r="U136" i="8"/>
  <c r="U129" i="8"/>
  <c r="AG4" i="2" s="1"/>
  <c r="U94" i="8"/>
  <c r="AF4" i="2" s="1"/>
  <c r="T10" i="3"/>
  <c r="P14" i="23"/>
  <c r="Q62" i="23"/>
  <c r="Q61" i="23"/>
  <c r="Q50" i="23"/>
  <c r="R49" i="23"/>
  <c r="Q49" i="23"/>
  <c r="Q48" i="23"/>
  <c r="Q37" i="23"/>
  <c r="R36" i="23"/>
  <c r="Q36" i="23"/>
  <c r="R35" i="23"/>
  <c r="Q35" i="23"/>
  <c r="R34" i="23"/>
  <c r="Q34" i="23"/>
  <c r="S32" i="23"/>
  <c r="R32" i="23"/>
  <c r="Q32" i="23"/>
  <c r="S31" i="23"/>
  <c r="R31" i="23"/>
  <c r="Q31" i="23"/>
  <c r="P31" i="23"/>
  <c r="S30" i="23"/>
  <c r="R30" i="23"/>
  <c r="Q30" i="23"/>
  <c r="S23" i="23"/>
  <c r="R23" i="23"/>
  <c r="Q23" i="23"/>
  <c r="Q18" i="23"/>
  <c r="S15" i="23"/>
  <c r="R15" i="23"/>
  <c r="Q15" i="23"/>
  <c r="P15" i="23"/>
  <c r="S14" i="23"/>
  <c r="R14" i="23"/>
  <c r="Q14" i="23"/>
  <c r="S13" i="23"/>
  <c r="R13" i="23"/>
  <c r="Q13" i="23"/>
  <c r="S12" i="23"/>
  <c r="R12" i="23"/>
  <c r="Q12" i="23"/>
  <c r="S11" i="23"/>
  <c r="R11" i="23"/>
  <c r="Q11" i="23"/>
  <c r="E62" i="23"/>
  <c r="P62" i="23"/>
  <c r="E61" i="23"/>
  <c r="P61" i="23"/>
  <c r="E59" i="23"/>
  <c r="P59" i="23"/>
  <c r="E58" i="23"/>
  <c r="P58" i="23"/>
  <c r="E57" i="23"/>
  <c r="P57" i="23"/>
  <c r="E56" i="23"/>
  <c r="P56" i="23"/>
  <c r="E55" i="23"/>
  <c r="P55" i="23"/>
  <c r="E52" i="23"/>
  <c r="P52" i="23"/>
  <c r="E51" i="23"/>
  <c r="P51" i="23"/>
  <c r="E50" i="23"/>
  <c r="E49" i="23"/>
  <c r="P49" i="23"/>
  <c r="E48" i="23"/>
  <c r="P48" i="23"/>
  <c r="E37" i="23"/>
  <c r="P37" i="23"/>
  <c r="E36" i="23"/>
  <c r="P36" i="23"/>
  <c r="E35" i="23"/>
  <c r="P35" i="23"/>
  <c r="E34" i="23"/>
  <c r="E32" i="23"/>
  <c r="E30" i="23"/>
  <c r="P30" i="23"/>
  <c r="E26" i="23"/>
  <c r="E25" i="23"/>
  <c r="E23" i="23"/>
  <c r="E19" i="23"/>
  <c r="E18" i="23"/>
  <c r="P18" i="23" s="1"/>
  <c r="AY18" i="84" s="1"/>
  <c r="E16" i="23"/>
  <c r="E13" i="23"/>
  <c r="E12" i="23"/>
  <c r="P12" i="23"/>
  <c r="X5" i="87" s="1"/>
  <c r="E11" i="23"/>
  <c r="E10" i="23"/>
  <c r="P10" i="23"/>
  <c r="W16" i="3"/>
  <c r="W17" i="3"/>
  <c r="W18" i="3"/>
  <c r="W19" i="3"/>
  <c r="W20" i="3"/>
  <c r="W15" i="3"/>
  <c r="U15" i="3"/>
  <c r="Z16" i="3"/>
  <c r="Z17" i="3"/>
  <c r="Z18" i="3"/>
  <c r="Z19" i="3"/>
  <c r="Z20" i="3"/>
  <c r="Z15" i="3"/>
  <c r="BC14" i="16"/>
  <c r="BD14" i="16"/>
  <c r="AY16" i="8"/>
  <c r="BC15" i="8"/>
  <c r="BD15" i="8"/>
  <c r="AX14" i="16"/>
  <c r="AX15" i="16"/>
  <c r="AX16" i="16"/>
  <c r="AX18" i="16"/>
  <c r="AX19" i="16"/>
  <c r="AX23" i="16"/>
  <c r="AX25" i="16"/>
  <c r="AX26" i="16"/>
  <c r="AX30" i="16"/>
  <c r="AX32" i="16"/>
  <c r="AX11" i="16"/>
  <c r="AX12" i="16"/>
  <c r="AX13" i="16"/>
  <c r="AX12" i="8"/>
  <c r="AY12" i="8"/>
  <c r="AX13" i="8"/>
  <c r="AY13" i="8"/>
  <c r="AX14" i="8"/>
  <c r="AY14" i="8"/>
  <c r="AX15" i="8"/>
  <c r="AY15" i="8"/>
  <c r="AX16" i="8"/>
  <c r="AX17" i="8"/>
  <c r="AY17" i="8"/>
  <c r="AX19" i="8"/>
  <c r="AY19" i="8"/>
  <c r="AX20" i="8"/>
  <c r="AY20" i="8"/>
  <c r="AX24" i="8"/>
  <c r="AY24" i="8"/>
  <c r="AX26" i="8"/>
  <c r="AY26" i="8"/>
  <c r="AX27" i="8"/>
  <c r="AY27" i="8"/>
  <c r="AX31" i="8"/>
  <c r="AY31" i="8"/>
  <c r="AX33" i="8"/>
  <c r="AY33" i="8"/>
  <c r="AX35" i="8"/>
  <c r="AY35" i="8"/>
  <c r="AX36" i="8"/>
  <c r="AY36" i="8"/>
  <c r="AX37" i="8"/>
  <c r="AY37" i="8"/>
  <c r="AX38" i="8"/>
  <c r="AY38" i="8"/>
  <c r="AX49" i="8"/>
  <c r="AY49" i="8"/>
  <c r="AX50" i="8"/>
  <c r="AY50" i="8"/>
  <c r="AX51" i="8"/>
  <c r="AY51" i="8"/>
  <c r="AX52" i="8"/>
  <c r="AY52" i="8"/>
  <c r="AX53" i="8"/>
  <c r="AY53" i="8"/>
  <c r="AX55" i="8"/>
  <c r="AY55" i="8"/>
  <c r="AX56" i="8"/>
  <c r="AY56" i="8"/>
  <c r="AX57" i="8"/>
  <c r="AY57" i="8"/>
  <c r="AX58" i="8"/>
  <c r="AY58" i="8"/>
  <c r="AX59" i="8"/>
  <c r="AY59" i="8"/>
  <c r="AX60" i="8"/>
  <c r="AY60" i="8"/>
  <c r="AX62" i="8"/>
  <c r="AY62" i="8"/>
  <c r="AX63" i="8"/>
  <c r="AY63" i="8"/>
  <c r="AY11" i="8"/>
  <c r="AX11" i="8"/>
  <c r="Y14" i="23"/>
  <c r="X14" i="23"/>
  <c r="BG14" i="16" s="1"/>
  <c r="W14" i="23"/>
  <c r="BF333" i="16" s="1"/>
  <c r="V14" i="23"/>
  <c r="BE885" i="16" s="1"/>
  <c r="AM14" i="8"/>
  <c r="Y49" i="16"/>
  <c r="Y48" i="16"/>
  <c r="Y47" i="16"/>
  <c r="Y46" i="16"/>
  <c r="Y44" i="16"/>
  <c r="Y43" i="16"/>
  <c r="Y35" i="16"/>
  <c r="Y34" i="16"/>
  <c r="Y33" i="16"/>
  <c r="Y32" i="16"/>
  <c r="Y31" i="16"/>
  <c r="Y30" i="16"/>
  <c r="Y29" i="16"/>
  <c r="Y28" i="16"/>
  <c r="AB16" i="3"/>
  <c r="AB17" i="3"/>
  <c r="AB18" i="3"/>
  <c r="AB19" i="3"/>
  <c r="AB20" i="3"/>
  <c r="AB15" i="3"/>
  <c r="U16" i="3"/>
  <c r="U17" i="3"/>
  <c r="U18" i="3"/>
  <c r="U19" i="3"/>
  <c r="U20" i="3"/>
  <c r="S16" i="3"/>
  <c r="S17" i="3"/>
  <c r="S18" i="3"/>
  <c r="S19" i="3"/>
  <c r="S20" i="3"/>
  <c r="S15" i="3"/>
  <c r="AE28" i="8"/>
  <c r="AC28" i="8" s="1"/>
  <c r="Q17" i="3"/>
  <c r="Q18" i="3"/>
  <c r="Q19" i="3"/>
  <c r="Q20" i="3"/>
  <c r="Q15" i="3"/>
  <c r="Q16" i="3"/>
  <c r="O17" i="3"/>
  <c r="O18" i="3"/>
  <c r="O19" i="3"/>
  <c r="O20" i="3"/>
  <c r="O15" i="3"/>
  <c r="O16" i="3"/>
  <c r="I17" i="3"/>
  <c r="I18" i="3"/>
  <c r="I19" i="3"/>
  <c r="I20" i="3"/>
  <c r="I15" i="3"/>
  <c r="I16" i="3"/>
  <c r="G16" i="3"/>
  <c r="G17" i="3"/>
  <c r="G18" i="3"/>
  <c r="G19" i="3"/>
  <c r="G20" i="3"/>
  <c r="G15" i="3"/>
  <c r="O43" i="8"/>
  <c r="W234" i="85" s="1"/>
  <c r="O26" i="8"/>
  <c r="I24" i="80" s="1"/>
  <c r="A24" i="80" s="1"/>
  <c r="O24" i="8"/>
  <c r="I22" i="80" s="1"/>
  <c r="A22" i="80" s="1"/>
  <c r="O22" i="8"/>
  <c r="W236" i="85" s="1"/>
  <c r="AM48" i="8"/>
  <c r="AM49" i="8"/>
  <c r="AM50" i="8"/>
  <c r="AM43" i="8"/>
  <c r="AM28" i="8"/>
  <c r="AM26" i="8"/>
  <c r="AM24" i="8"/>
  <c r="AM22" i="8"/>
  <c r="AM19" i="8"/>
  <c r="AM18" i="8"/>
  <c r="AM17" i="8"/>
  <c r="N14" i="7"/>
  <c r="BF15" i="24" s="1"/>
  <c r="O14" i="7"/>
  <c r="BG15" i="25" s="1"/>
  <c r="P14" i="7"/>
  <c r="BH15" i="28" s="1"/>
  <c r="M14" i="7"/>
  <c r="BE15" i="25" s="1"/>
  <c r="X4" i="2"/>
  <c r="Y4" i="2"/>
  <c r="S4" i="2"/>
  <c r="G4" i="2"/>
  <c r="H4" i="2"/>
  <c r="I4" i="2"/>
  <c r="J4" i="2"/>
  <c r="K4" i="2"/>
  <c r="Q4" i="2"/>
  <c r="R4" i="2"/>
  <c r="T4" i="2"/>
  <c r="U4" i="2"/>
  <c r="V4" i="2"/>
  <c r="W4" i="2"/>
  <c r="Z4" i="2"/>
  <c r="AA4" i="2"/>
  <c r="E4" i="2"/>
  <c r="AO28" i="8"/>
  <c r="AO224" i="8"/>
  <c r="R48" i="28"/>
  <c r="AE48" i="28" s="1"/>
  <c r="T48" i="28"/>
  <c r="AD48" i="28" s="1"/>
  <c r="AO80" i="8"/>
  <c r="N2025" i="16"/>
  <c r="AY42" i="16"/>
  <c r="N2454" i="16"/>
  <c r="G2454" i="16" s="1"/>
  <c r="N1513" i="16"/>
  <c r="AO643" i="25"/>
  <c r="G1494" i="16"/>
  <c r="AO623" i="25"/>
  <c r="AY342" i="16"/>
  <c r="O233" i="27"/>
  <c r="C129" i="89" s="1"/>
  <c r="A129" i="89" s="1"/>
  <c r="N106" i="16"/>
  <c r="AY23" i="16"/>
  <c r="O149" i="27"/>
  <c r="S99" i="8"/>
  <c r="T99" i="8" s="1"/>
  <c r="AD99" i="8" s="1"/>
  <c r="AC99" i="8" s="1"/>
  <c r="T91" i="8"/>
  <c r="AD91" i="8" s="1"/>
  <c r="AC91" i="8" s="1"/>
  <c r="S92" i="8"/>
  <c r="O92" i="8" s="1"/>
  <c r="I90" i="80" s="1"/>
  <c r="A90" i="80" s="1"/>
  <c r="S94" i="8"/>
  <c r="T94" i="8" s="1"/>
  <c r="AD94" i="8" s="1"/>
  <c r="AC94" i="8" s="1"/>
  <c r="N262" i="16"/>
  <c r="G262" i="16" s="1"/>
  <c r="AO263" i="8"/>
  <c r="N223" i="16"/>
  <c r="G223" i="16" s="1"/>
  <c r="T164" i="27"/>
  <c r="AD164" i="27" s="1"/>
  <c r="AC164" i="27" s="1"/>
  <c r="N234" i="16"/>
  <c r="O128" i="28"/>
  <c r="AD43" i="28"/>
  <c r="O43" i="28"/>
  <c r="T55" i="28"/>
  <c r="AD55" i="28" s="1"/>
  <c r="O48" i="28"/>
  <c r="T219" i="28"/>
  <c r="AD219" i="28" s="1"/>
  <c r="S453" i="16"/>
  <c r="M140" i="16"/>
  <c r="O165" i="16"/>
  <c r="O501" i="16"/>
  <c r="S73" i="27"/>
  <c r="M152" i="8"/>
  <c r="U30" i="25" a="1"/>
  <c r="S176" i="28"/>
  <c r="O192" i="24"/>
  <c r="M169" i="8"/>
  <c r="S883" i="16"/>
  <c r="S659" i="25"/>
  <c r="M162" i="16"/>
  <c r="M151" i="16"/>
  <c r="M155" i="16"/>
  <c r="O837" i="16"/>
  <c r="W712" i="25"/>
  <c r="O97" i="27"/>
  <c r="S766" i="25"/>
  <c r="S326" i="8"/>
  <c r="S178" i="28"/>
  <c r="M167" i="8"/>
  <c r="M158" i="8"/>
  <c r="O2198" i="16"/>
  <c r="S227" i="84"/>
  <c r="O1549" i="16"/>
  <c r="S173" i="28"/>
  <c r="O1427" i="16"/>
  <c r="O1685" i="16"/>
  <c r="O128" i="16"/>
  <c r="S457" i="16"/>
  <c r="S215" i="28"/>
  <c r="S764" i="16"/>
  <c r="M155" i="8"/>
  <c r="M170" i="16"/>
  <c r="M156" i="8"/>
  <c r="O328" i="28"/>
  <c r="R649" i="16"/>
  <c r="S172" i="28"/>
  <c r="S295" i="8"/>
  <c r="M169" i="16"/>
  <c r="M168" i="8"/>
  <c r="O134" i="27"/>
  <c r="AE1148" i="16"/>
  <c r="S725" i="25"/>
  <c r="S64" i="27"/>
  <c r="S564" i="25"/>
  <c r="M152" i="16"/>
  <c r="O679" i="25"/>
  <c r="O674" i="16"/>
  <c r="O149" i="16"/>
  <c r="S657" i="25"/>
  <c r="O124" i="27"/>
  <c r="S324" i="8"/>
  <c r="M157" i="16"/>
  <c r="O1935" i="16"/>
  <c r="M168" i="16"/>
  <c r="S289" i="8"/>
  <c r="M154" i="8"/>
  <c r="R647" i="16"/>
  <c r="M167" i="16"/>
  <c r="S66" i="27"/>
  <c r="S443" i="16"/>
  <c r="M177" i="8"/>
  <c r="M153" i="16"/>
  <c r="S317" i="8"/>
  <c r="T21" i="27"/>
  <c r="S568" i="25"/>
  <c r="S767" i="25"/>
  <c r="AE271" i="25"/>
  <c r="O380" i="16"/>
  <c r="O1892" i="16"/>
  <c r="M153" i="8"/>
  <c r="S376" i="25"/>
  <c r="S62" i="28"/>
  <c r="O519" i="24"/>
  <c r="S293" i="8"/>
  <c r="O2194" i="16"/>
  <c r="R760" i="16"/>
  <c r="O697" i="16"/>
  <c r="O129" i="8"/>
  <c r="O356" i="24"/>
  <c r="S712" i="25"/>
  <c r="R764" i="16"/>
  <c r="O136" i="8"/>
  <c r="M154" i="16"/>
  <c r="S441" i="16"/>
  <c r="M170" i="8"/>
  <c r="S256" i="8"/>
  <c r="M166" i="16"/>
  <c r="O92" i="27"/>
  <c r="O219" i="28"/>
  <c r="S13" i="25"/>
  <c r="O183" i="24"/>
  <c r="S316" i="8"/>
  <c r="S655" i="25"/>
  <c r="M161" i="8"/>
  <c r="S46" i="8"/>
  <c r="U900" i="16" a="1"/>
  <c r="S164" i="28"/>
  <c r="O2085" i="16"/>
  <c r="AE1141" i="16"/>
  <c r="S322" i="8"/>
  <c r="O377" i="28"/>
  <c r="O510" i="16"/>
  <c r="O135" i="16"/>
  <c r="S313" i="8"/>
  <c r="S283" i="8"/>
  <c r="M171" i="16"/>
  <c r="S287" i="8"/>
  <c r="S306" i="8"/>
  <c r="O94" i="8"/>
  <c r="M171" i="8"/>
  <c r="O332" i="28"/>
  <c r="AE278" i="25"/>
  <c r="S573" i="25"/>
  <c r="M163" i="8"/>
  <c r="O813" i="16"/>
  <c r="M176" i="16"/>
  <c r="W714" i="25"/>
  <c r="M160" i="16"/>
  <c r="O257" i="16"/>
  <c r="S757" i="25"/>
  <c r="O495" i="24"/>
  <c r="T168" i="28"/>
  <c r="S292" i="8"/>
  <c r="O56" i="27"/>
  <c r="S75" i="27"/>
  <c r="M141" i="8"/>
  <c r="R753" i="16"/>
  <c r="M172" i="8"/>
  <c r="S449" i="16"/>
  <c r="O200" i="16"/>
  <c r="E39" i="89" l="1"/>
  <c r="C39" i="89" s="1"/>
  <c r="A39" i="89" s="1"/>
  <c r="E32" i="89"/>
  <c r="C32" i="89" s="1"/>
  <c r="A32" i="89" s="1"/>
  <c r="S584" i="25"/>
  <c r="G2056" i="16"/>
  <c r="G2057" i="16" s="1"/>
  <c r="G2058" i="16" s="1"/>
  <c r="G2025" i="16"/>
  <c r="G2026" i="16" s="1"/>
  <c r="G2027" i="16" s="1"/>
  <c r="G2028" i="16" s="1"/>
  <c r="G2029" i="16" s="1"/>
  <c r="G1884" i="16"/>
  <c r="G1885" i="16" s="1"/>
  <c r="G1886" i="16" s="1"/>
  <c r="E168" i="88"/>
  <c r="C168" i="88" s="1"/>
  <c r="A168" i="88" s="1"/>
  <c r="E93" i="88"/>
  <c r="C93" i="88" s="1"/>
  <c r="A93" i="88" s="1"/>
  <c r="F87" i="88"/>
  <c r="E20" i="88"/>
  <c r="C20" i="88" s="1"/>
  <c r="A20" i="88" s="1"/>
  <c r="G1513" i="16"/>
  <c r="G1514" i="16" s="1"/>
  <c r="G1515" i="16" s="1"/>
  <c r="G1516" i="16" s="1"/>
  <c r="G1517" i="16" s="1"/>
  <c r="G1518" i="16" s="1"/>
  <c r="G1519" i="16" s="1"/>
  <c r="G1520" i="16" s="1"/>
  <c r="G1521" i="16" s="1"/>
  <c r="G1522" i="16" s="1"/>
  <c r="G1523" i="16" s="1"/>
  <c r="I1466" i="80"/>
  <c r="A1466" i="80" s="1"/>
  <c r="G82" i="88"/>
  <c r="G1451" i="16"/>
  <c r="G1452" i="16" s="1"/>
  <c r="I1447" i="80"/>
  <c r="A1447" i="80" s="1"/>
  <c r="G159" i="88"/>
  <c r="W128" i="85"/>
  <c r="F162" i="88"/>
  <c r="A1096" i="80"/>
  <c r="C1096" i="80" s="1"/>
  <c r="W287" i="85"/>
  <c r="E33" i="88"/>
  <c r="C33" i="88" s="1"/>
  <c r="A33" i="88" s="1"/>
  <c r="I789" i="80"/>
  <c r="A789" i="80" s="1"/>
  <c r="E59" i="88"/>
  <c r="C59" i="88" s="1"/>
  <c r="A59" i="88" s="1"/>
  <c r="I682" i="80"/>
  <c r="E144" i="88"/>
  <c r="C144" i="88" s="1"/>
  <c r="A144" i="88" s="1"/>
  <c r="I619" i="80"/>
  <c r="A619" i="80" s="1"/>
  <c r="E65" i="88"/>
  <c r="C65" i="88" s="1"/>
  <c r="A65" i="88" s="1"/>
  <c r="I610" i="80"/>
  <c r="A610" i="80" s="1"/>
  <c r="E49" i="88"/>
  <c r="C49" i="88" s="1"/>
  <c r="A49" i="88" s="1"/>
  <c r="E147" i="88"/>
  <c r="C147" i="88" s="1"/>
  <c r="A147" i="88" s="1"/>
  <c r="E143" i="88"/>
  <c r="C143" i="88" s="1"/>
  <c r="A143" i="88" s="1"/>
  <c r="E139" i="88"/>
  <c r="C139" i="88" s="1"/>
  <c r="A139" i="88" s="1"/>
  <c r="F48" i="88"/>
  <c r="E34" i="88"/>
  <c r="C34" i="88" s="1"/>
  <c r="A34" i="88" s="1"/>
  <c r="A370" i="80"/>
  <c r="C370" i="80" s="1"/>
  <c r="A373" i="80"/>
  <c r="C373" i="80" s="1"/>
  <c r="A354" i="80"/>
  <c r="C354" i="80" s="1"/>
  <c r="I261" i="80"/>
  <c r="A261" i="80" s="1"/>
  <c r="F157" i="88"/>
  <c r="F156" i="88"/>
  <c r="A237" i="80"/>
  <c r="C237" i="80" s="1"/>
  <c r="G234" i="16"/>
  <c r="G235" i="16" s="1"/>
  <c r="G236" i="16" s="1"/>
  <c r="G226" i="16"/>
  <c r="G227" i="16" s="1"/>
  <c r="A224" i="80"/>
  <c r="C224" i="80" s="1"/>
  <c r="I222" i="80"/>
  <c r="A222" i="80" s="1"/>
  <c r="E55" i="88"/>
  <c r="C55" i="88" s="1"/>
  <c r="A55" i="88" s="1"/>
  <c r="E54" i="88"/>
  <c r="C54" i="88" s="1"/>
  <c r="A54" i="88" s="1"/>
  <c r="N187" i="16"/>
  <c r="E43" i="88"/>
  <c r="C43" i="88" s="1"/>
  <c r="A43" i="88" s="1"/>
  <c r="F17" i="88"/>
  <c r="A112" i="80"/>
  <c r="C112" i="80" s="1"/>
  <c r="G106" i="16"/>
  <c r="G107" i="16" s="1"/>
  <c r="G108" i="16" s="1"/>
  <c r="G109" i="16" s="1"/>
  <c r="G110" i="16" s="1"/>
  <c r="G111" i="16" s="1"/>
  <c r="G112" i="16" s="1"/>
  <c r="O91" i="8"/>
  <c r="I89" i="80" s="1"/>
  <c r="S101" i="8"/>
  <c r="T19" i="8"/>
  <c r="AD19" i="8" s="1"/>
  <c r="AC19" i="8" s="1"/>
  <c r="O14" i="8"/>
  <c r="W142" i="85"/>
  <c r="E95" i="88"/>
  <c r="C95" i="88" s="1"/>
  <c r="A95" i="88" s="1"/>
  <c r="G1495" i="16"/>
  <c r="E163" i="89"/>
  <c r="C163" i="89" s="1"/>
  <c r="A163" i="89" s="1"/>
  <c r="E126" i="89"/>
  <c r="C126" i="89" s="1"/>
  <c r="A126" i="89" s="1"/>
  <c r="E125" i="89"/>
  <c r="E63" i="89"/>
  <c r="E48" i="89"/>
  <c r="E30" i="89"/>
  <c r="E27" i="89"/>
  <c r="E123" i="88"/>
  <c r="C123" i="88" s="1"/>
  <c r="A123" i="88" s="1"/>
  <c r="T227" i="84"/>
  <c r="E163" i="88"/>
  <c r="C163" i="88" s="1"/>
  <c r="A163" i="88" s="1"/>
  <c r="E155" i="88"/>
  <c r="C155" i="88" s="1"/>
  <c r="A155" i="88" s="1"/>
  <c r="I1863" i="80"/>
  <c r="E129" i="88"/>
  <c r="C129" i="88" s="1"/>
  <c r="A129" i="88" s="1"/>
  <c r="E126" i="88"/>
  <c r="C126" i="88" s="1"/>
  <c r="A126" i="88" s="1"/>
  <c r="I1779" i="80"/>
  <c r="E63" i="88"/>
  <c r="E30" i="88"/>
  <c r="S1081" i="16"/>
  <c r="S211" i="25"/>
  <c r="S196" i="25"/>
  <c r="O195" i="25" s="1"/>
  <c r="F87" i="17"/>
  <c r="F87" i="18" s="1"/>
  <c r="T584" i="25"/>
  <c r="AD584" i="25" s="1"/>
  <c r="AC584" i="25" s="1"/>
  <c r="W136" i="86"/>
  <c r="I1685" i="80"/>
  <c r="W117" i="86"/>
  <c r="W112" i="86"/>
  <c r="I1794" i="80"/>
  <c r="I1792" i="80" s="1"/>
  <c r="W63" i="86"/>
  <c r="U900" i="16"/>
  <c r="U30" i="25"/>
  <c r="AO216" i="8"/>
  <c r="N215" i="16"/>
  <c r="G215" i="16" s="1"/>
  <c r="AO59" i="8"/>
  <c r="AO254" i="8"/>
  <c r="N58" i="16"/>
  <c r="W246" i="85"/>
  <c r="N1467" i="16"/>
  <c r="N1921" i="16"/>
  <c r="G1921" i="16" s="1"/>
  <c r="W209" i="85"/>
  <c r="T135" i="28"/>
  <c r="AD135" i="28" s="1"/>
  <c r="O295" i="8"/>
  <c r="N294" i="16" s="1"/>
  <c r="G294" i="16" s="1"/>
  <c r="W206" i="85"/>
  <c r="N1985" i="16"/>
  <c r="W290" i="85"/>
  <c r="W163" i="85"/>
  <c r="W257" i="85"/>
  <c r="W289" i="85"/>
  <c r="W288" i="85"/>
  <c r="S23" i="28"/>
  <c r="T23" i="28" s="1"/>
  <c r="AD23" i="28" s="1"/>
  <c r="AC23" i="28" s="1"/>
  <c r="I680" i="80"/>
  <c r="A680" i="80" s="1"/>
  <c r="S452" i="25"/>
  <c r="AM166" i="16"/>
  <c r="AM154" i="16"/>
  <c r="AM167" i="16"/>
  <c r="AM157" i="16"/>
  <c r="AM169" i="16"/>
  <c r="AM152" i="16"/>
  <c r="AM176" i="16"/>
  <c r="AM170" i="16"/>
  <c r="AM171" i="16"/>
  <c r="AM155" i="16"/>
  <c r="AM162" i="16"/>
  <c r="O162" i="16"/>
  <c r="G125" i="89" s="1"/>
  <c r="AM160" i="16"/>
  <c r="AM153" i="16"/>
  <c r="AM168" i="16"/>
  <c r="AM151" i="16"/>
  <c r="AO217" i="8"/>
  <c r="N272" i="16"/>
  <c r="AO273" i="8"/>
  <c r="N216" i="16"/>
  <c r="I1533" i="80"/>
  <c r="W143" i="85"/>
  <c r="I1450" i="80"/>
  <c r="W129" i="85"/>
  <c r="W280" i="85"/>
  <c r="W248" i="85"/>
  <c r="W205" i="85"/>
  <c r="AY1883" i="16"/>
  <c r="AY905" i="16"/>
  <c r="O140" i="28"/>
  <c r="N2006" i="16" s="1"/>
  <c r="AE29" i="28"/>
  <c r="AC29" i="28" s="1"/>
  <c r="AY380" i="16"/>
  <c r="AY1662" i="16"/>
  <c r="AY882" i="16"/>
  <c r="AY48" i="16"/>
  <c r="AY35" i="16"/>
  <c r="AO365" i="24"/>
  <c r="AE324" i="28"/>
  <c r="AC324" i="28" s="1"/>
  <c r="AY355" i="16"/>
  <c r="C369" i="80"/>
  <c r="AY1680" i="16"/>
  <c r="AY890" i="16"/>
  <c r="X4" i="84"/>
  <c r="X5" i="84"/>
  <c r="AY370" i="16"/>
  <c r="AY376" i="16"/>
  <c r="CF4" i="2"/>
  <c r="AY917" i="16"/>
  <c r="AY897" i="16"/>
  <c r="W1455" i="16" s="1"/>
  <c r="O1453" i="16" s="1"/>
  <c r="E1452" i="81" s="1"/>
  <c r="AY44" i="16"/>
  <c r="AY896" i="16"/>
  <c r="AY59" i="16"/>
  <c r="AY364" i="16"/>
  <c r="AY49" i="16"/>
  <c r="AY356" i="16"/>
  <c r="AO107" i="8"/>
  <c r="O58" i="28"/>
  <c r="AO58" i="28" s="1"/>
  <c r="AY371" i="16"/>
  <c r="AY894" i="16"/>
  <c r="W205" i="84"/>
  <c r="W248" i="84"/>
  <c r="W127" i="84"/>
  <c r="AY886" i="16"/>
  <c r="AY1644" i="16"/>
  <c r="BD16" i="25"/>
  <c r="BC16" i="25"/>
  <c r="M15" i="7"/>
  <c r="BE16" i="29" s="1"/>
  <c r="S1419" i="16"/>
  <c r="I1572" i="80"/>
  <c r="S549" i="25"/>
  <c r="BE15" i="24"/>
  <c r="I2244" i="80"/>
  <c r="A2244" i="80" s="1"/>
  <c r="AO377" i="28"/>
  <c r="AO70" i="8"/>
  <c r="I68" i="80"/>
  <c r="A68" i="80" s="1"/>
  <c r="A228" i="80"/>
  <c r="C228" i="80" s="1"/>
  <c r="C227" i="80"/>
  <c r="A121" i="80"/>
  <c r="C120" i="80"/>
  <c r="A218" i="80"/>
  <c r="C218" i="80" s="1"/>
  <c r="C217" i="80"/>
  <c r="N361" i="16"/>
  <c r="G361" i="16" s="1"/>
  <c r="I360" i="80"/>
  <c r="N821" i="16"/>
  <c r="I820" i="80"/>
  <c r="A820" i="80" s="1"/>
  <c r="N423" i="16"/>
  <c r="I422" i="80"/>
  <c r="A422" i="80" s="1"/>
  <c r="A419" i="80" s="1"/>
  <c r="AO254" i="24"/>
  <c r="I571" i="80"/>
  <c r="A571" i="80" s="1"/>
  <c r="C619" i="80"/>
  <c r="A620" i="80"/>
  <c r="C620" i="80" s="1"/>
  <c r="AO353" i="24"/>
  <c r="I670" i="80"/>
  <c r="I2455" i="80"/>
  <c r="A2455" i="80" s="1"/>
  <c r="AO211" i="29"/>
  <c r="AO586" i="25"/>
  <c r="I1455" i="80"/>
  <c r="I1965" i="80"/>
  <c r="A1965" i="80" s="1"/>
  <c r="AO98" i="28"/>
  <c r="E1479" i="81"/>
  <c r="AO1480" i="16"/>
  <c r="E1861" i="81"/>
  <c r="AO1862" i="16"/>
  <c r="C330" i="80"/>
  <c r="A331" i="80"/>
  <c r="N75" i="16"/>
  <c r="I74" i="80"/>
  <c r="A74" i="80" s="1"/>
  <c r="N73" i="16"/>
  <c r="I72" i="80"/>
  <c r="A72" i="80" s="1"/>
  <c r="AO238" i="8"/>
  <c r="I236" i="80"/>
  <c r="AO125" i="8"/>
  <c r="I123" i="80"/>
  <c r="A123" i="80" s="1"/>
  <c r="A178" i="80"/>
  <c r="C177" i="80"/>
  <c r="AO146" i="24"/>
  <c r="I463" i="80"/>
  <c r="A463" i="80" s="1"/>
  <c r="I2457" i="80"/>
  <c r="A2457" i="80" s="1"/>
  <c r="AO213" i="29"/>
  <c r="A611" i="80"/>
  <c r="C611" i="80" s="1"/>
  <c r="C610" i="80"/>
  <c r="C1410" i="80"/>
  <c r="A1411" i="80"/>
  <c r="AO587" i="25"/>
  <c r="I1456" i="80"/>
  <c r="A1456" i="80" s="1"/>
  <c r="I1922" i="80"/>
  <c r="AO55" i="28"/>
  <c r="I1986" i="80"/>
  <c r="AO119" i="28"/>
  <c r="I2057" i="80"/>
  <c r="A2057" i="80" s="1"/>
  <c r="AO190" i="28"/>
  <c r="E1911" i="81"/>
  <c r="AO1912" i="16"/>
  <c r="A77" i="80"/>
  <c r="C77" i="80" s="1"/>
  <c r="C76" i="80"/>
  <c r="N246" i="16"/>
  <c r="G246" i="16" s="1"/>
  <c r="I245" i="80"/>
  <c r="I186" i="80"/>
  <c r="A186" i="80" s="1"/>
  <c r="AO188" i="8"/>
  <c r="AO45" i="24"/>
  <c r="I362" i="80"/>
  <c r="AO223" i="24"/>
  <c r="I540" i="80"/>
  <c r="A540" i="80" s="1"/>
  <c r="N462" i="16"/>
  <c r="I461" i="80"/>
  <c r="A461" i="80" s="1"/>
  <c r="E177" i="81"/>
  <c r="AO178" i="16"/>
  <c r="AO708" i="25"/>
  <c r="I1577" i="80"/>
  <c r="A1577" i="80" s="1"/>
  <c r="A1880" i="80"/>
  <c r="C1879" i="80"/>
  <c r="N2059" i="16"/>
  <c r="I2060" i="80"/>
  <c r="A2060" i="80" s="1"/>
  <c r="AO193" i="28"/>
  <c r="N2188" i="16"/>
  <c r="I2189" i="80"/>
  <c r="A2189" i="80" s="1"/>
  <c r="AO322" i="28"/>
  <c r="E2000" i="81"/>
  <c r="AO2001" i="16"/>
  <c r="N1914" i="16"/>
  <c r="I1915" i="80"/>
  <c r="A1915" i="80" s="1"/>
  <c r="AO48" i="28"/>
  <c r="A91" i="80"/>
  <c r="C91" i="80" s="1"/>
  <c r="C90" i="80"/>
  <c r="N21" i="16"/>
  <c r="I20" i="80"/>
  <c r="A20" i="80" s="1"/>
  <c r="N79" i="16"/>
  <c r="I78" i="80"/>
  <c r="A78" i="80" s="1"/>
  <c r="C233" i="80"/>
  <c r="A234" i="80"/>
  <c r="I193" i="80"/>
  <c r="A467" i="80"/>
  <c r="C467" i="80" s="1"/>
  <c r="C466" i="80"/>
  <c r="N536" i="16"/>
  <c r="G536" i="16" s="1"/>
  <c r="I535" i="80"/>
  <c r="I531" i="80" s="1"/>
  <c r="A531" i="80" s="1"/>
  <c r="A1467" i="80"/>
  <c r="C1466" i="80"/>
  <c r="I1885" i="80"/>
  <c r="A1885" i="80" s="1"/>
  <c r="AO18" i="28"/>
  <c r="I2002" i="80"/>
  <c r="A2002" i="80" s="1"/>
  <c r="AO135" i="28"/>
  <c r="I2064" i="80"/>
  <c r="A2064" i="80" s="1"/>
  <c r="AO197" i="28"/>
  <c r="I2233" i="80"/>
  <c r="A2233" i="80" s="1"/>
  <c r="AO366" i="28"/>
  <c r="E1913" i="81"/>
  <c r="AO1914" i="16"/>
  <c r="E2005" i="81"/>
  <c r="AO2006" i="16"/>
  <c r="N1544" i="16"/>
  <c r="I1543" i="80"/>
  <c r="A1543" i="80" s="1"/>
  <c r="I1910" i="80"/>
  <c r="A1910" i="80" s="1"/>
  <c r="AO43" i="28"/>
  <c r="A23" i="80"/>
  <c r="C23" i="80" s="1"/>
  <c r="C22" i="80"/>
  <c r="A81" i="80"/>
  <c r="C81" i="80" s="1"/>
  <c r="C80" i="80"/>
  <c r="A58" i="80"/>
  <c r="C57" i="80"/>
  <c r="A230" i="80"/>
  <c r="C229" i="80"/>
  <c r="A198" i="80"/>
  <c r="C198" i="80" s="1"/>
  <c r="C197" i="80"/>
  <c r="A185" i="80"/>
  <c r="C185" i="80" s="1"/>
  <c r="C184" i="80"/>
  <c r="A352" i="80"/>
  <c r="C351" i="80"/>
  <c r="N551" i="16"/>
  <c r="I550" i="80"/>
  <c r="N694" i="16"/>
  <c r="I693" i="80"/>
  <c r="A693" i="80" s="1"/>
  <c r="A469" i="80"/>
  <c r="C469" i="80" s="1"/>
  <c r="C468" i="80"/>
  <c r="E726" i="81"/>
  <c r="AO727" i="16"/>
  <c r="M168" i="28"/>
  <c r="AM168" i="28" s="1"/>
  <c r="AE168" i="28"/>
  <c r="I2068" i="80"/>
  <c r="AO201" i="28"/>
  <c r="I2238" i="80"/>
  <c r="A2238" i="80" s="1"/>
  <c r="AO371" i="28"/>
  <c r="A25" i="80"/>
  <c r="C25" i="80" s="1"/>
  <c r="C24" i="80"/>
  <c r="N104" i="16"/>
  <c r="I103" i="80"/>
  <c r="A103" i="80" s="1"/>
  <c r="C252" i="80"/>
  <c r="A253" i="80"/>
  <c r="C253" i="80" s="1"/>
  <c r="AO179" i="24"/>
  <c r="I496" i="80"/>
  <c r="AO242" i="24"/>
  <c r="I559" i="80"/>
  <c r="AO96" i="24"/>
  <c r="I413" i="80"/>
  <c r="A413" i="80" s="1"/>
  <c r="A409" i="80" s="1"/>
  <c r="A471" i="80"/>
  <c r="C470" i="80"/>
  <c r="A790" i="80"/>
  <c r="C789" i="80"/>
  <c r="N1431" i="16"/>
  <c r="I1430" i="80"/>
  <c r="A1430" i="80" s="1"/>
  <c r="N2072" i="16"/>
  <c r="I2073" i="80"/>
  <c r="A2073" i="80" s="1"/>
  <c r="AO206" i="28"/>
  <c r="E1768" i="81"/>
  <c r="AO1769" i="16"/>
  <c r="E1916" i="81"/>
  <c r="AO1917" i="16"/>
  <c r="N1994" i="16"/>
  <c r="I1995" i="80"/>
  <c r="A1995" i="80" s="1"/>
  <c r="AO128" i="28"/>
  <c r="A106" i="80"/>
  <c r="C106" i="80" s="1"/>
  <c r="C105" i="80"/>
  <c r="I260" i="80"/>
  <c r="C214" i="80"/>
  <c r="I212" i="80"/>
  <c r="A212" i="80" s="1"/>
  <c r="N562" i="16"/>
  <c r="G562" i="16" s="1"/>
  <c r="I561" i="80"/>
  <c r="AO265" i="24"/>
  <c r="I582" i="80"/>
  <c r="A582" i="80" s="1"/>
  <c r="AO409" i="24"/>
  <c r="I726" i="80"/>
  <c r="E373" i="81"/>
  <c r="AO374" i="16"/>
  <c r="E743" i="81"/>
  <c r="AO744" i="16"/>
  <c r="A1851" i="80"/>
  <c r="C1850" i="80"/>
  <c r="A1448" i="80"/>
  <c r="C1448" i="80" s="1"/>
  <c r="C1447" i="80"/>
  <c r="I1958" i="80"/>
  <c r="A1958" i="80" s="1"/>
  <c r="AO91" i="28"/>
  <c r="E1678" i="81"/>
  <c r="AO1679" i="16"/>
  <c r="N42" i="16"/>
  <c r="I41" i="80"/>
  <c r="A41" i="80" s="1"/>
  <c r="AO227" i="8"/>
  <c r="I225" i="80"/>
  <c r="A225" i="80" s="1"/>
  <c r="C271" i="80"/>
  <c r="A272" i="80"/>
  <c r="A216" i="80"/>
  <c r="C216" i="80" s="1"/>
  <c r="C215" i="80"/>
  <c r="A579" i="80"/>
  <c r="C579" i="80" s="1"/>
  <c r="C578" i="80"/>
  <c r="AO248" i="24"/>
  <c r="I565" i="80"/>
  <c r="A565" i="80" s="1"/>
  <c r="N596" i="16"/>
  <c r="I595" i="80"/>
  <c r="A595" i="80" s="1"/>
  <c r="AO350" i="24"/>
  <c r="I667" i="80"/>
  <c r="I2436" i="80"/>
  <c r="AO192" i="29"/>
  <c r="N1959" i="16"/>
  <c r="I1960" i="80"/>
  <c r="A1960" i="80" s="1"/>
  <c r="AO93" i="28"/>
  <c r="I2026" i="80"/>
  <c r="A2026" i="80" s="1"/>
  <c r="AO159" i="28"/>
  <c r="I1485" i="80"/>
  <c r="I2013" i="80"/>
  <c r="A2013" i="80" s="1"/>
  <c r="AO146" i="28"/>
  <c r="E1908" i="81"/>
  <c r="AO1909" i="16"/>
  <c r="I346" i="80"/>
  <c r="A346" i="80" s="1"/>
  <c r="C1452" i="80"/>
  <c r="A1453" i="80"/>
  <c r="E1599" i="81"/>
  <c r="AO1600" i="16"/>
  <c r="E1598" i="81"/>
  <c r="AO1599" i="16"/>
  <c r="AO1892" i="16"/>
  <c r="AO1935" i="16"/>
  <c r="AO2198" i="16"/>
  <c r="AO2085" i="16"/>
  <c r="AO2194" i="16"/>
  <c r="AO1753" i="16"/>
  <c r="AO1685" i="16"/>
  <c r="AO1815" i="16"/>
  <c r="AO1804" i="16"/>
  <c r="AO1549" i="16"/>
  <c r="AO1427" i="16"/>
  <c r="AO837" i="16"/>
  <c r="AO813" i="16"/>
  <c r="AO674" i="16"/>
  <c r="AO697" i="16"/>
  <c r="AO510" i="16"/>
  <c r="AO380" i="16"/>
  <c r="AO501" i="16"/>
  <c r="AM140" i="16"/>
  <c r="AO200" i="16"/>
  <c r="AO149" i="16"/>
  <c r="AO165" i="16"/>
  <c r="AO257" i="16"/>
  <c r="AO135" i="16"/>
  <c r="AO128" i="16"/>
  <c r="E2197" i="81"/>
  <c r="E2193" i="81"/>
  <c r="E2084" i="81"/>
  <c r="E1934" i="81"/>
  <c r="E1891" i="81"/>
  <c r="E1814" i="81"/>
  <c r="E1803" i="81"/>
  <c r="E1752" i="81"/>
  <c r="E1684" i="81"/>
  <c r="E1548" i="81"/>
  <c r="E1426" i="81"/>
  <c r="E836" i="81"/>
  <c r="E812" i="81"/>
  <c r="E696" i="81"/>
  <c r="E673" i="81"/>
  <c r="E509" i="81"/>
  <c r="E500" i="81"/>
  <c r="E379" i="81"/>
  <c r="E256" i="81"/>
  <c r="G256" i="81" s="1"/>
  <c r="G250" i="81" s="1"/>
  <c r="E199" i="81"/>
  <c r="E164" i="81"/>
  <c r="E148" i="81"/>
  <c r="E134" i="81"/>
  <c r="E127" i="81"/>
  <c r="H882" i="80"/>
  <c r="I1479" i="80"/>
  <c r="A1479" i="80" s="1"/>
  <c r="A1862" i="80"/>
  <c r="C1862" i="80" s="1"/>
  <c r="C1861" i="80"/>
  <c r="A1859" i="80"/>
  <c r="C1858" i="80"/>
  <c r="A1823" i="80"/>
  <c r="C1823" i="80" s="1"/>
  <c r="C1822" i="80"/>
  <c r="I2199" i="80"/>
  <c r="A2199" i="80" s="1"/>
  <c r="I2195" i="80"/>
  <c r="A2195" i="80" s="1"/>
  <c r="I2086" i="80"/>
  <c r="A2086" i="80" s="1"/>
  <c r="I1764" i="80"/>
  <c r="I1754" i="80"/>
  <c r="I1727" i="80"/>
  <c r="I1722" i="80"/>
  <c r="I1686" i="80"/>
  <c r="I1548" i="80"/>
  <c r="A1548" i="80" s="1"/>
  <c r="I836" i="80"/>
  <c r="A836" i="80" s="1"/>
  <c r="I812" i="80"/>
  <c r="A812" i="80" s="1"/>
  <c r="I673" i="80"/>
  <c r="A673" i="80" s="1"/>
  <c r="I509" i="80"/>
  <c r="A509" i="80" s="1"/>
  <c r="I500" i="80"/>
  <c r="I134" i="80"/>
  <c r="A134" i="80" s="1"/>
  <c r="I127" i="80"/>
  <c r="A127" i="80" s="1"/>
  <c r="I92" i="80"/>
  <c r="A92" i="80" s="1"/>
  <c r="G224" i="16"/>
  <c r="G263" i="16"/>
  <c r="AO332" i="28"/>
  <c r="AO328" i="28"/>
  <c r="AO219" i="28"/>
  <c r="AM163" i="8"/>
  <c r="AM141" i="8"/>
  <c r="AO597" i="25"/>
  <c r="I274" i="80"/>
  <c r="S1201" i="16"/>
  <c r="S1206" i="16"/>
  <c r="O1205" i="16" s="1"/>
  <c r="S1188" i="16"/>
  <c r="O1188" i="16" s="1"/>
  <c r="S1167" i="16"/>
  <c r="O1166" i="16" s="1"/>
  <c r="S1181" i="16"/>
  <c r="O1180" i="16" s="1"/>
  <c r="S1175" i="16"/>
  <c r="O1174" i="16" s="1"/>
  <c r="S1170" i="16"/>
  <c r="O1169" i="16" s="1"/>
  <c r="S1161" i="16"/>
  <c r="O1160" i="16" s="1"/>
  <c r="S297" i="25"/>
  <c r="S300" i="25"/>
  <c r="S305" i="25"/>
  <c r="S311" i="25"/>
  <c r="O310" i="25" s="1"/>
  <c r="I1179" i="80" s="1"/>
  <c r="S318" i="25"/>
  <c r="S331" i="25"/>
  <c r="S336" i="25"/>
  <c r="O164" i="28"/>
  <c r="S970" i="16"/>
  <c r="S969" i="16"/>
  <c r="S968" i="16"/>
  <c r="S967" i="16"/>
  <c r="S966" i="16"/>
  <c r="S965" i="16"/>
  <c r="S964" i="16"/>
  <c r="S963" i="16"/>
  <c r="S962" i="16"/>
  <c r="S961" i="16"/>
  <c r="S960" i="16"/>
  <c r="S959" i="16"/>
  <c r="S958" i="16"/>
  <c r="S100" i="25"/>
  <c r="S99" i="25"/>
  <c r="S98" i="25"/>
  <c r="S97" i="25"/>
  <c r="S96" i="25"/>
  <c r="S95" i="25"/>
  <c r="S94" i="25"/>
  <c r="S93" i="25"/>
  <c r="S92" i="25"/>
  <c r="S91" i="25"/>
  <c r="S90" i="25"/>
  <c r="S89" i="25"/>
  <c r="S88" i="25"/>
  <c r="O1556" i="16"/>
  <c r="W144" i="84" s="1"/>
  <c r="AY1648" i="16"/>
  <c r="N62" i="23"/>
  <c r="E21" i="3"/>
  <c r="A22" i="3"/>
  <c r="D22" i="3" s="1"/>
  <c r="G32" i="18" s="1"/>
  <c r="S44" i="29"/>
  <c r="T44" i="29" s="1"/>
  <c r="AD44" i="29" s="1"/>
  <c r="AC44" i="29" s="1"/>
  <c r="AO13" i="24"/>
  <c r="C21" i="3"/>
  <c r="F21" i="3"/>
  <c r="C10" i="18"/>
  <c r="M24" i="24"/>
  <c r="M26" i="24"/>
  <c r="N331" i="16"/>
  <c r="S1251" i="16"/>
  <c r="S1270" i="16"/>
  <c r="S1245" i="16"/>
  <c r="T1245" i="16" s="1"/>
  <c r="AD1245" i="16" s="1"/>
  <c r="AC1245" i="16" s="1"/>
  <c r="S1292" i="16"/>
  <c r="S422" i="25"/>
  <c r="S400" i="25"/>
  <c r="S381" i="25"/>
  <c r="K18" i="17"/>
  <c r="T626" i="25"/>
  <c r="AD626" i="25" s="1"/>
  <c r="AC626" i="25" s="1"/>
  <c r="S975" i="16"/>
  <c r="S978" i="16"/>
  <c r="S108" i="25"/>
  <c r="S105" i="25"/>
  <c r="R76" i="27"/>
  <c r="R74" i="27"/>
  <c r="AC454" i="24"/>
  <c r="AY345" i="16"/>
  <c r="BF885" i="16"/>
  <c r="C8" i="18"/>
  <c r="C8" i="17"/>
  <c r="AY26" i="16"/>
  <c r="BE14" i="16"/>
  <c r="BF14" i="16"/>
  <c r="BE333" i="16"/>
  <c r="G14" i="17"/>
  <c r="AY2270" i="16"/>
  <c r="G14" i="18"/>
  <c r="AY1893" i="16"/>
  <c r="AY32" i="16"/>
  <c r="AZ32" i="16" s="1"/>
  <c r="S94" i="29"/>
  <c r="T94" i="29" s="1"/>
  <c r="AD94" i="29" s="1"/>
  <c r="AC94" i="29" s="1"/>
  <c r="BE15" i="29"/>
  <c r="AY25" i="16"/>
  <c r="S56" i="29"/>
  <c r="T56" i="29" s="1"/>
  <c r="AD56" i="29" s="1"/>
  <c r="AC56" i="29" s="1"/>
  <c r="AY344" i="16"/>
  <c r="M344" i="16" s="1"/>
  <c r="AY11" i="16"/>
  <c r="BE15" i="28"/>
  <c r="S46" i="29"/>
  <c r="T46" i="29" s="1"/>
  <c r="AD46" i="29" s="1"/>
  <c r="AC46" i="29" s="1"/>
  <c r="AY330" i="16"/>
  <c r="AY51" i="16"/>
  <c r="S117" i="24"/>
  <c r="T117" i="24" s="1"/>
  <c r="AD117" i="24" s="1"/>
  <c r="AC117" i="24" s="1"/>
  <c r="M219" i="28"/>
  <c r="AM219" i="28" s="1"/>
  <c r="AY47" i="16"/>
  <c r="AY366" i="16"/>
  <c r="AY1913" i="16"/>
  <c r="AY365" i="16"/>
  <c r="F22" i="3"/>
  <c r="I32" i="18" s="1"/>
  <c r="C14" i="17"/>
  <c r="AY1911" i="16"/>
  <c r="AY363" i="16"/>
  <c r="AY41" i="16"/>
  <c r="AY360" i="16"/>
  <c r="AY913" i="16"/>
  <c r="AY361" i="16"/>
  <c r="AY1669" i="16"/>
  <c r="AY358" i="16"/>
  <c r="AY45" i="16"/>
  <c r="AY40" i="16"/>
  <c r="AY359" i="16"/>
  <c r="AY2282" i="16"/>
  <c r="AY357" i="16"/>
  <c r="BF15" i="25"/>
  <c r="AY1656" i="16"/>
  <c r="C12" i="18"/>
  <c r="C12" i="17"/>
  <c r="S93" i="24"/>
  <c r="S103" i="24"/>
  <c r="T103" i="24" s="1"/>
  <c r="AD103" i="24" s="1"/>
  <c r="S80" i="24"/>
  <c r="T80" i="24" s="1"/>
  <c r="AO233" i="27"/>
  <c r="N1774" i="16"/>
  <c r="N1860" i="16"/>
  <c r="N1779" i="16"/>
  <c r="G1779" i="16" s="1"/>
  <c r="AO223" i="27"/>
  <c r="N1684" i="16"/>
  <c r="G1684" i="16" s="1"/>
  <c r="N1793" i="16"/>
  <c r="S1102" i="16"/>
  <c r="S228" i="25"/>
  <c r="T228" i="25" s="1"/>
  <c r="AD228" i="25" s="1"/>
  <c r="AC228" i="25" s="1"/>
  <c r="O140" i="16"/>
  <c r="E42" i="89" s="1"/>
  <c r="T157" i="16"/>
  <c r="AD157" i="16" s="1"/>
  <c r="AC157" i="16" s="1"/>
  <c r="O157" i="16"/>
  <c r="T181" i="16"/>
  <c r="AD181" i="16" s="1"/>
  <c r="AC181" i="16" s="1"/>
  <c r="O181" i="16"/>
  <c r="M1895" i="16"/>
  <c r="AM1895" i="16" s="1"/>
  <c r="AE1895" i="16"/>
  <c r="AC1895" i="16" s="1"/>
  <c r="T2052" i="16"/>
  <c r="AD2052" i="16" s="1"/>
  <c r="AC2052" i="16" s="1"/>
  <c r="O2052" i="16"/>
  <c r="T160" i="16"/>
  <c r="AD160" i="16" s="1"/>
  <c r="AC160" i="16" s="1"/>
  <c r="O160" i="16"/>
  <c r="F125" i="89" s="1"/>
  <c r="T183" i="16"/>
  <c r="AD183" i="16" s="1"/>
  <c r="AC183" i="16" s="1"/>
  <c r="O183" i="16"/>
  <c r="AE1926" i="16"/>
  <c r="M1926" i="16"/>
  <c r="AM1926" i="16" s="1"/>
  <c r="R1919" i="16"/>
  <c r="O1919" i="16"/>
  <c r="T736" i="16"/>
  <c r="AD736" i="16" s="1"/>
  <c r="AC736" i="16" s="1"/>
  <c r="O736" i="16"/>
  <c r="S93" i="16"/>
  <c r="O90" i="16"/>
  <c r="AE1938" i="16"/>
  <c r="AC1938" i="16" s="1"/>
  <c r="M1938" i="16"/>
  <c r="AM1938" i="16" s="1"/>
  <c r="O73" i="16"/>
  <c r="M555" i="16"/>
  <c r="AM555" i="16" s="1"/>
  <c r="AE555" i="16"/>
  <c r="AC555" i="16" s="1"/>
  <c r="T373" i="16"/>
  <c r="AD373" i="16" s="1"/>
  <c r="AC373" i="16" s="1"/>
  <c r="O373" i="16"/>
  <c r="T71" i="16"/>
  <c r="AD71" i="16" s="1"/>
  <c r="AC71" i="16" s="1"/>
  <c r="O71" i="16"/>
  <c r="T165" i="16"/>
  <c r="AD165" i="16" s="1"/>
  <c r="AC165" i="16" s="1"/>
  <c r="T185" i="16"/>
  <c r="AD185" i="16" s="1"/>
  <c r="AC185" i="16" s="1"/>
  <c r="O185" i="16"/>
  <c r="T170" i="16"/>
  <c r="AD170" i="16" s="1"/>
  <c r="AC170" i="16" s="1"/>
  <c r="O170" i="16"/>
  <c r="T370" i="16"/>
  <c r="AD370" i="16" s="1"/>
  <c r="AC370" i="16" s="1"/>
  <c r="O370" i="16"/>
  <c r="M483" i="16"/>
  <c r="AM483" i="16" s="1"/>
  <c r="AE483" i="16"/>
  <c r="AE528" i="16"/>
  <c r="AC528" i="16" s="1"/>
  <c r="M528" i="16"/>
  <c r="AM528" i="16" s="1"/>
  <c r="T1900" i="16"/>
  <c r="AD1900" i="16" s="1"/>
  <c r="AC1900" i="16" s="1"/>
  <c r="O1900" i="16"/>
  <c r="M1962" i="16"/>
  <c r="AM1962" i="16" s="1"/>
  <c r="AE1962" i="16"/>
  <c r="AC1962" i="16" s="1"/>
  <c r="AE2054" i="16"/>
  <c r="AC2054" i="16" s="1"/>
  <c r="M2054" i="16"/>
  <c r="AM2054" i="16" s="1"/>
  <c r="M2190" i="16"/>
  <c r="AM2190" i="16" s="1"/>
  <c r="AE2190" i="16"/>
  <c r="AC2190" i="16" s="1"/>
  <c r="M475" i="16"/>
  <c r="AM475" i="16" s="1"/>
  <c r="AE475" i="16"/>
  <c r="AC475" i="16" s="1"/>
  <c r="AE523" i="16"/>
  <c r="AC523" i="16" s="1"/>
  <c r="M523" i="16"/>
  <c r="AM523" i="16" s="1"/>
  <c r="T149" i="16"/>
  <c r="AD149" i="16" s="1"/>
  <c r="AC149" i="16" s="1"/>
  <c r="T171" i="16"/>
  <c r="AD171" i="16" s="1"/>
  <c r="AC171" i="16" s="1"/>
  <c r="O171" i="16"/>
  <c r="T371" i="16"/>
  <c r="AD371" i="16" s="1"/>
  <c r="AC371" i="16" s="1"/>
  <c r="O371" i="16"/>
  <c r="AE464" i="16"/>
  <c r="AC464" i="16" s="1"/>
  <c r="M464" i="16"/>
  <c r="AM464" i="16" s="1"/>
  <c r="T1934" i="16"/>
  <c r="AD1934" i="16" s="1"/>
  <c r="AC1934" i="16" s="1"/>
  <c r="O1934" i="16"/>
  <c r="M2050" i="16"/>
  <c r="AM2050" i="16" s="1"/>
  <c r="AE2050" i="16"/>
  <c r="AC2050" i="16" s="1"/>
  <c r="T1924" i="16"/>
  <c r="AD1924" i="16" s="1"/>
  <c r="O1924" i="16"/>
  <c r="T155" i="16"/>
  <c r="AD155" i="16" s="1"/>
  <c r="AC155" i="16" s="1"/>
  <c r="O155" i="16"/>
  <c r="AE534" i="16"/>
  <c r="AC534" i="16" s="1"/>
  <c r="M534" i="16"/>
  <c r="AM534" i="16" s="1"/>
  <c r="T1996" i="16"/>
  <c r="AD1996" i="16" s="1"/>
  <c r="AC1996" i="16" s="1"/>
  <c r="O1994" i="16"/>
  <c r="T176" i="16"/>
  <c r="AD176" i="16" s="1"/>
  <c r="AC176" i="16" s="1"/>
  <c r="O176" i="16"/>
  <c r="T372" i="16"/>
  <c r="AD372" i="16" s="1"/>
  <c r="AC372" i="16" s="1"/>
  <c r="O372" i="16"/>
  <c r="M2034" i="16"/>
  <c r="AM2034" i="16" s="1"/>
  <c r="AE2034" i="16"/>
  <c r="AC2034" i="16" s="1"/>
  <c r="AE2085" i="16"/>
  <c r="AC2085" i="16" s="1"/>
  <c r="M2085" i="16"/>
  <c r="AM2085" i="16" s="1"/>
  <c r="T1926" i="16"/>
  <c r="AD1926" i="16" s="1"/>
  <c r="O1926" i="16"/>
  <c r="N362" i="16"/>
  <c r="G362" i="16" s="1"/>
  <c r="N671" i="16"/>
  <c r="AE210" i="24"/>
  <c r="N583" i="16"/>
  <c r="M237" i="24"/>
  <c r="AM237" i="24" s="1"/>
  <c r="AE237" i="24"/>
  <c r="AC237" i="24" s="1"/>
  <c r="AO144" i="24"/>
  <c r="T56" i="24"/>
  <c r="AD56" i="24" s="1"/>
  <c r="AC56" i="24" s="1"/>
  <c r="M165" i="24"/>
  <c r="AM165" i="24" s="1"/>
  <c r="AE165" i="24"/>
  <c r="AC165" i="24" s="1"/>
  <c r="AY898" i="16"/>
  <c r="AY346" i="16"/>
  <c r="S378" i="16" s="1"/>
  <c r="M1760" i="16"/>
  <c r="O1760" i="16" s="1"/>
  <c r="O449" i="16"/>
  <c r="O453" i="16"/>
  <c r="O443" i="16"/>
  <c r="O636" i="16"/>
  <c r="E157" i="89" s="1"/>
  <c r="O746" i="16"/>
  <c r="E73" i="89" s="1"/>
  <c r="O441" i="16"/>
  <c r="O457" i="16"/>
  <c r="G1466" i="16"/>
  <c r="G1464" i="16"/>
  <c r="G1461" i="16" s="1"/>
  <c r="N2243" i="16"/>
  <c r="AC130" i="28"/>
  <c r="O51" i="28"/>
  <c r="N1917" i="16" s="1"/>
  <c r="M96" i="28"/>
  <c r="AM96" i="28" s="1"/>
  <c r="AC115" i="28"/>
  <c r="AC235" i="28"/>
  <c r="AC55" i="28"/>
  <c r="N2232" i="16"/>
  <c r="R43" i="28"/>
  <c r="AD1679" i="16"/>
  <c r="AC1679" i="16" s="1"/>
  <c r="T844" i="16"/>
  <c r="AD844" i="16" s="1"/>
  <c r="AC844" i="16" s="1"/>
  <c r="AD1862" i="16"/>
  <c r="AC1862" i="16" s="1"/>
  <c r="R1924" i="16"/>
  <c r="S1299" i="16"/>
  <c r="T1299" i="16" s="1"/>
  <c r="AD1299" i="16" s="1"/>
  <c r="AC1299" i="16" s="1"/>
  <c r="S59" i="25"/>
  <c r="S56" i="25"/>
  <c r="S54" i="25"/>
  <c r="S51" i="25"/>
  <c r="S47" i="25"/>
  <c r="S45" i="25"/>
  <c r="S44" i="25"/>
  <c r="S41" i="25"/>
  <c r="S42" i="25"/>
  <c r="S57" i="25"/>
  <c r="S55" i="25"/>
  <c r="S52" i="25"/>
  <c r="S50" i="25"/>
  <c r="S922" i="16"/>
  <c r="S929" i="16"/>
  <c r="S914" i="16"/>
  <c r="S925" i="16"/>
  <c r="S917" i="16"/>
  <c r="S921" i="16"/>
  <c r="S927" i="16"/>
  <c r="S912" i="16"/>
  <c r="S924" i="16"/>
  <c r="S915" i="16"/>
  <c r="S920" i="16"/>
  <c r="S926" i="16"/>
  <c r="S911" i="16"/>
  <c r="T1912" i="16"/>
  <c r="AD1912" i="16" s="1"/>
  <c r="T73" i="16"/>
  <c r="AD73" i="16" s="1"/>
  <c r="AC73" i="16" s="1"/>
  <c r="S91" i="16"/>
  <c r="R1912" i="16"/>
  <c r="S100" i="16"/>
  <c r="O100" i="16" s="1"/>
  <c r="T90" i="16"/>
  <c r="AD90" i="16" s="1"/>
  <c r="AC90" i="16" s="1"/>
  <c r="T727" i="16"/>
  <c r="AD727" i="16" s="1"/>
  <c r="AC727" i="16" s="1"/>
  <c r="S98" i="16"/>
  <c r="T1917" i="16"/>
  <c r="AD1917" i="16" s="1"/>
  <c r="AD1760" i="16"/>
  <c r="AC1760" i="16" s="1"/>
  <c r="T1909" i="16"/>
  <c r="AD1909" i="16" s="1"/>
  <c r="R1909" i="16"/>
  <c r="R1917" i="16"/>
  <c r="O38" i="10"/>
  <c r="O26" i="10"/>
  <c r="N2456" i="16"/>
  <c r="AC132" i="28"/>
  <c r="T58" i="28"/>
  <c r="AD58" i="28" s="1"/>
  <c r="AC58" i="28" s="1"/>
  <c r="AC96" i="28"/>
  <c r="N2001" i="16"/>
  <c r="AO706" i="25"/>
  <c r="N1576" i="16"/>
  <c r="AO376" i="24"/>
  <c r="T526" i="24"/>
  <c r="AD526" i="24" s="1"/>
  <c r="AC526" i="24" s="1"/>
  <c r="T52" i="24"/>
  <c r="AD52" i="24" s="1"/>
  <c r="AC52" i="24" s="1"/>
  <c r="N560" i="16"/>
  <c r="S150" i="29"/>
  <c r="T150" i="29" s="1"/>
  <c r="S187" i="29"/>
  <c r="T187" i="29" s="1"/>
  <c r="AD187" i="29" s="1"/>
  <c r="AC187" i="29" s="1"/>
  <c r="S175" i="29"/>
  <c r="T175" i="29" s="1"/>
  <c r="AD175" i="29" s="1"/>
  <c r="AC175" i="29" s="1"/>
  <c r="S185" i="29"/>
  <c r="T185" i="29" s="1"/>
  <c r="AD185" i="29" s="1"/>
  <c r="AC185" i="29" s="1"/>
  <c r="S183" i="29"/>
  <c r="T183" i="29" s="1"/>
  <c r="AD183" i="29" s="1"/>
  <c r="AC183" i="29" s="1"/>
  <c r="S181" i="29"/>
  <c r="T181" i="29" s="1"/>
  <c r="AD181" i="29" s="1"/>
  <c r="AC181" i="29" s="1"/>
  <c r="S168" i="29"/>
  <c r="S167" i="29"/>
  <c r="O165" i="29" s="1"/>
  <c r="S186" i="29"/>
  <c r="T186" i="29" s="1"/>
  <c r="AD186" i="29" s="1"/>
  <c r="AC186" i="29" s="1"/>
  <c r="S174" i="29"/>
  <c r="T174" i="29" s="1"/>
  <c r="AD174" i="29" s="1"/>
  <c r="AC174" i="29" s="1"/>
  <c r="S173" i="29"/>
  <c r="T173" i="29" s="1"/>
  <c r="AD173" i="29" s="1"/>
  <c r="AC173" i="29" s="1"/>
  <c r="S184" i="29"/>
  <c r="T184" i="29" s="1"/>
  <c r="AD184" i="29" s="1"/>
  <c r="AC184" i="29" s="1"/>
  <c r="S172" i="29"/>
  <c r="T172" i="29" s="1"/>
  <c r="AD172" i="29" s="1"/>
  <c r="AC172" i="29" s="1"/>
  <c r="S171" i="29"/>
  <c r="T171" i="29" s="1"/>
  <c r="AD171" i="29" s="1"/>
  <c r="AC171" i="29" s="1"/>
  <c r="S182" i="29"/>
  <c r="T182" i="29" s="1"/>
  <c r="AD182" i="29" s="1"/>
  <c r="AC182" i="29" s="1"/>
  <c r="S169" i="29"/>
  <c r="S176" i="29"/>
  <c r="T176" i="29" s="1"/>
  <c r="AD176" i="29" s="1"/>
  <c r="AC176" i="29" s="1"/>
  <c r="S51" i="29"/>
  <c r="T51" i="29" s="1"/>
  <c r="AD51" i="29" s="1"/>
  <c r="AC51" i="29" s="1"/>
  <c r="S59" i="29"/>
  <c r="T59" i="29" s="1"/>
  <c r="AD59" i="29" s="1"/>
  <c r="AC59" i="29" s="1"/>
  <c r="S52" i="29"/>
  <c r="T52" i="29" s="1"/>
  <c r="AD52" i="29" s="1"/>
  <c r="AC52" i="29" s="1"/>
  <c r="S38" i="29"/>
  <c r="T38" i="29" s="1"/>
  <c r="AD38" i="29" s="1"/>
  <c r="AC38" i="29" s="1"/>
  <c r="S108" i="29"/>
  <c r="T108" i="29" s="1"/>
  <c r="AD108" i="29" s="1"/>
  <c r="AC108" i="29" s="1"/>
  <c r="S93" i="29"/>
  <c r="T93" i="29" s="1"/>
  <c r="AD93" i="29" s="1"/>
  <c r="AC93" i="29" s="1"/>
  <c r="S103" i="29"/>
  <c r="T103" i="29" s="1"/>
  <c r="AD103" i="29" s="1"/>
  <c r="S148" i="29"/>
  <c r="T148" i="29" s="1"/>
  <c r="AD148" i="29" s="1"/>
  <c r="AC148" i="29" s="1"/>
  <c r="S113" i="29"/>
  <c r="T113" i="29" s="1"/>
  <c r="AD113" i="29" s="1"/>
  <c r="AC113" i="29" s="1"/>
  <c r="S122" i="29"/>
  <c r="T122" i="29" s="1"/>
  <c r="AD122" i="29" s="1"/>
  <c r="S30" i="29"/>
  <c r="T30" i="29" s="1"/>
  <c r="AD30" i="29" s="1"/>
  <c r="AC30" i="29" s="1"/>
  <c r="S116" i="29"/>
  <c r="T116" i="29" s="1"/>
  <c r="AD116" i="29" s="1"/>
  <c r="AC116" i="29" s="1"/>
  <c r="S149" i="29"/>
  <c r="T149" i="29" s="1"/>
  <c r="AD149" i="29" s="1"/>
  <c r="AC149" i="29" s="1"/>
  <c r="S118" i="29"/>
  <c r="T118" i="29" s="1"/>
  <c r="AD118" i="29" s="1"/>
  <c r="AC118" i="29" s="1"/>
  <c r="S141" i="29"/>
  <c r="T141" i="29" s="1"/>
  <c r="AD141" i="29" s="1"/>
  <c r="AC141" i="29" s="1"/>
  <c r="S146" i="29"/>
  <c r="T146" i="29" s="1"/>
  <c r="AD146" i="29" s="1"/>
  <c r="AC146" i="29" s="1"/>
  <c r="S143" i="29"/>
  <c r="T143" i="29" s="1"/>
  <c r="AD143" i="29" s="1"/>
  <c r="AC143" i="29" s="1"/>
  <c r="S58" i="29"/>
  <c r="T58" i="29" s="1"/>
  <c r="AD58" i="29" s="1"/>
  <c r="AC58" i="29" s="1"/>
  <c r="S60" i="29"/>
  <c r="R60" i="29" s="1"/>
  <c r="AE60" i="29" s="1"/>
  <c r="S27" i="29"/>
  <c r="T27" i="29" s="1"/>
  <c r="AD27" i="29" s="1"/>
  <c r="AC27" i="29" s="1"/>
  <c r="S16" i="29"/>
  <c r="T16" i="29" s="1"/>
  <c r="AD16" i="29" s="1"/>
  <c r="S144" i="29"/>
  <c r="T144" i="29" s="1"/>
  <c r="AD144" i="29" s="1"/>
  <c r="AC144" i="29" s="1"/>
  <c r="S23" i="29"/>
  <c r="T23" i="29" s="1"/>
  <c r="AD23" i="29" s="1"/>
  <c r="AC23" i="29" s="1"/>
  <c r="S134" i="29"/>
  <c r="T134" i="29" s="1"/>
  <c r="AD134" i="29" s="1"/>
  <c r="AC134" i="29" s="1"/>
  <c r="S114" i="29"/>
  <c r="T114" i="29" s="1"/>
  <c r="AD114" i="29" s="1"/>
  <c r="AC114" i="29" s="1"/>
  <c r="S17" i="29"/>
  <c r="T17" i="29" s="1"/>
  <c r="AD17" i="29" s="1"/>
  <c r="S47" i="29"/>
  <c r="T47" i="29" s="1"/>
  <c r="AD47" i="29" s="1"/>
  <c r="AC47" i="29" s="1"/>
  <c r="S119" i="29"/>
  <c r="T119" i="29" s="1"/>
  <c r="AD119" i="29" s="1"/>
  <c r="AC119" i="29" s="1"/>
  <c r="S22" i="29"/>
  <c r="T22" i="29" s="1"/>
  <c r="AD22" i="29" s="1"/>
  <c r="AC22" i="29" s="1"/>
  <c r="S85" i="29"/>
  <c r="R85" i="29" s="1"/>
  <c r="AE85" i="29" s="1"/>
  <c r="S25" i="29"/>
  <c r="T25" i="29" s="1"/>
  <c r="AD25" i="29" s="1"/>
  <c r="AC25" i="29" s="1"/>
  <c r="S32" i="29"/>
  <c r="T32" i="29" s="1"/>
  <c r="AD32" i="29" s="1"/>
  <c r="AC32" i="29" s="1"/>
  <c r="S111" i="29"/>
  <c r="T111" i="29" s="1"/>
  <c r="AD111" i="29" s="1"/>
  <c r="AC111" i="29" s="1"/>
  <c r="S106" i="29"/>
  <c r="T106" i="29" s="1"/>
  <c r="AD106" i="29" s="1"/>
  <c r="AC106" i="29" s="1"/>
  <c r="S95" i="29"/>
  <c r="T95" i="29" s="1"/>
  <c r="AD95" i="29" s="1"/>
  <c r="AC95" i="29" s="1"/>
  <c r="S90" i="29"/>
  <c r="T90" i="29" s="1"/>
  <c r="AD90" i="29" s="1"/>
  <c r="AC90" i="29" s="1"/>
  <c r="S152" i="29"/>
  <c r="S54" i="29"/>
  <c r="T54" i="29" s="1"/>
  <c r="AD54" i="29" s="1"/>
  <c r="AC54" i="29" s="1"/>
  <c r="S42" i="29"/>
  <c r="T42" i="29" s="1"/>
  <c r="AD42" i="29" s="1"/>
  <c r="AC42" i="29" s="1"/>
  <c r="S91" i="29"/>
  <c r="T91" i="29" s="1"/>
  <c r="AD91" i="29" s="1"/>
  <c r="AC91" i="29" s="1"/>
  <c r="S21" i="29"/>
  <c r="T21" i="29" s="1"/>
  <c r="AD21" i="29" s="1"/>
  <c r="AC21" i="29" s="1"/>
  <c r="S28" i="29"/>
  <c r="T28" i="29" s="1"/>
  <c r="AD28" i="29" s="1"/>
  <c r="S88" i="29"/>
  <c r="R88" i="29" s="1"/>
  <c r="AE88" i="29" s="1"/>
  <c r="S130" i="29"/>
  <c r="T130" i="29" s="1"/>
  <c r="AD130" i="29" s="1"/>
  <c r="AC130" i="29" s="1"/>
  <c r="S49" i="29"/>
  <c r="T49" i="29" s="1"/>
  <c r="AD49" i="29" s="1"/>
  <c r="AC49" i="29" s="1"/>
  <c r="S147" i="29"/>
  <c r="T147" i="29" s="1"/>
  <c r="AD147" i="29" s="1"/>
  <c r="AC147" i="29" s="1"/>
  <c r="N2237" i="16"/>
  <c r="N2178" i="16"/>
  <c r="AE72" i="28"/>
  <c r="AC72" i="28" s="1"/>
  <c r="AC133" i="28"/>
  <c r="R51" i="28"/>
  <c r="AE51" i="28" s="1"/>
  <c r="AC51" i="28" s="1"/>
  <c r="AE184" i="28"/>
  <c r="AC184" i="28" s="1"/>
  <c r="O46" i="28"/>
  <c r="O34" i="28"/>
  <c r="N1900" i="16" s="1"/>
  <c r="R46" i="28"/>
  <c r="AE46" i="28" s="1"/>
  <c r="AC46" i="28" s="1"/>
  <c r="AC140" i="28"/>
  <c r="N2012" i="16"/>
  <c r="FG4" i="2"/>
  <c r="N1957" i="16"/>
  <c r="M48" i="28"/>
  <c r="AM48" i="28" s="1"/>
  <c r="M58" i="28"/>
  <c r="AM58" i="28" s="1"/>
  <c r="AC105" i="28"/>
  <c r="AC48" i="28"/>
  <c r="R53" i="28"/>
  <c r="O53" i="28"/>
  <c r="O215" i="28"/>
  <c r="AC92" i="27"/>
  <c r="EF4" i="2"/>
  <c r="M131" i="27"/>
  <c r="EE4" i="2"/>
  <c r="AC134" i="27"/>
  <c r="T75" i="27"/>
  <c r="AD75" i="27" s="1"/>
  <c r="AC75" i="27" s="1"/>
  <c r="T73" i="27"/>
  <c r="AD73" i="27" s="1"/>
  <c r="AC73" i="27" s="1"/>
  <c r="DY4" i="2"/>
  <c r="AC124" i="27"/>
  <c r="AC143" i="27"/>
  <c r="DW4" i="2"/>
  <c r="T66" i="27"/>
  <c r="AD66" i="27" s="1"/>
  <c r="AC66" i="27" s="1"/>
  <c r="O66" i="27"/>
  <c r="T64" i="27"/>
  <c r="AD64" i="27" s="1"/>
  <c r="AC64" i="27" s="1"/>
  <c r="O64" i="27"/>
  <c r="AO231" i="27"/>
  <c r="AO228" i="27"/>
  <c r="N1852" i="16"/>
  <c r="AO192" i="27"/>
  <c r="AC80" i="27"/>
  <c r="AO55" i="27"/>
  <c r="N1849" i="16"/>
  <c r="T140" i="27"/>
  <c r="AD140" i="27" s="1"/>
  <c r="AC140" i="27" s="1"/>
  <c r="AO220" i="27"/>
  <c r="N1857" i="16"/>
  <c r="AC56" i="27"/>
  <c r="O151" i="27"/>
  <c r="I1781" i="80" s="1"/>
  <c r="T138" i="27"/>
  <c r="AD138" i="27" s="1"/>
  <c r="AC138" i="27" s="1"/>
  <c r="AO583" i="25"/>
  <c r="N1453" i="16"/>
  <c r="AO664" i="25"/>
  <c r="AC694" i="25"/>
  <c r="AO541" i="25"/>
  <c r="AO578" i="25"/>
  <c r="N1448" i="16"/>
  <c r="S429" i="25"/>
  <c r="T429" i="25" s="1"/>
  <c r="AD429" i="25" s="1"/>
  <c r="AC429" i="25" s="1"/>
  <c r="AC700" i="25"/>
  <c r="AC696" i="25"/>
  <c r="DJ4" i="2"/>
  <c r="AY334" i="16"/>
  <c r="O741" i="25"/>
  <c r="AC699" i="25"/>
  <c r="AC698" i="25"/>
  <c r="AO674" i="25"/>
  <c r="AC729" i="25"/>
  <c r="G1500" i="16"/>
  <c r="G1501" i="16" s="1"/>
  <c r="G1506" i="16" s="1"/>
  <c r="N1496" i="16"/>
  <c r="AO626" i="25"/>
  <c r="N1534" i="16"/>
  <c r="AC701" i="25"/>
  <c r="N1411" i="16"/>
  <c r="N1578" i="16"/>
  <c r="AC697" i="25"/>
  <c r="AO704" i="25"/>
  <c r="N1574" i="16"/>
  <c r="CH4" i="2"/>
  <c r="AO581" i="25"/>
  <c r="S172" i="25"/>
  <c r="S170" i="25"/>
  <c r="S160" i="25"/>
  <c r="S150" i="25"/>
  <c r="S124" i="25"/>
  <c r="S121" i="25"/>
  <c r="S63" i="25"/>
  <c r="T63" i="25" s="1"/>
  <c r="AD63" i="25" s="1"/>
  <c r="S68" i="25"/>
  <c r="S71" i="25"/>
  <c r="AY333" i="16"/>
  <c r="AO472" i="24"/>
  <c r="N790" i="16"/>
  <c r="O729" i="25"/>
  <c r="AO729" i="25" s="1"/>
  <c r="CC4" i="2"/>
  <c r="AO218" i="24"/>
  <c r="AO189" i="24"/>
  <c r="T53" i="24"/>
  <c r="AD53" i="24" s="1"/>
  <c r="AC53" i="24" s="1"/>
  <c r="N355" i="16"/>
  <c r="G355" i="16" s="1"/>
  <c r="AO37" i="24"/>
  <c r="AO370" i="24"/>
  <c r="N363" i="16"/>
  <c r="G363" i="16" s="1"/>
  <c r="N371" i="16"/>
  <c r="G371" i="16" s="1"/>
  <c r="AC441" i="24"/>
  <c r="M146" i="24"/>
  <c r="AM146" i="24" s="1"/>
  <c r="AO216" i="24"/>
  <c r="AO105" i="24"/>
  <c r="AO219" i="24"/>
  <c r="O55" i="24"/>
  <c r="I372" i="80" s="1"/>
  <c r="O426" i="24"/>
  <c r="AC434" i="24"/>
  <c r="S344" i="28"/>
  <c r="T344" i="28" s="1"/>
  <c r="AD344" i="28" s="1"/>
  <c r="AC344" i="28" s="1"/>
  <c r="AO278" i="24"/>
  <c r="N507" i="16"/>
  <c r="N469" i="16"/>
  <c r="N683" i="16"/>
  <c r="AC460" i="24"/>
  <c r="AO233" i="24"/>
  <c r="AO34" i="24"/>
  <c r="AO244" i="24"/>
  <c r="N534" i="16"/>
  <c r="AC210" i="24"/>
  <c r="AO43" i="24"/>
  <c r="AC466" i="24"/>
  <c r="N467" i="16"/>
  <c r="AO293" i="24"/>
  <c r="N493" i="16"/>
  <c r="T418" i="24"/>
  <c r="AD418" i="24" s="1"/>
  <c r="AC418" i="24" s="1"/>
  <c r="AO519" i="24"/>
  <c r="AC146" i="24"/>
  <c r="N611" i="16"/>
  <c r="AO175" i="24"/>
  <c r="N572" i="16"/>
  <c r="N352" i="16"/>
  <c r="N620" i="16"/>
  <c r="AC447" i="24"/>
  <c r="N414" i="16"/>
  <c r="AC216" i="24"/>
  <c r="N374" i="16"/>
  <c r="G374" i="16" s="1"/>
  <c r="AO56" i="24"/>
  <c r="N736" i="16"/>
  <c r="AO418" i="24"/>
  <c r="AO42" i="24"/>
  <c r="N537" i="16"/>
  <c r="G537" i="16" s="1"/>
  <c r="AO151" i="24"/>
  <c r="N360" i="16"/>
  <c r="G360" i="16" s="1"/>
  <c r="N688" i="16"/>
  <c r="M216" i="24"/>
  <c r="AM216" i="24" s="1"/>
  <c r="AO149" i="24"/>
  <c r="AO191" i="24"/>
  <c r="N668" i="16"/>
  <c r="G668" i="16" s="1"/>
  <c r="N464" i="16"/>
  <c r="AO41" i="24"/>
  <c r="O54" i="24"/>
  <c r="I371" i="80" s="1"/>
  <c r="N566" i="16"/>
  <c r="N509" i="16"/>
  <c r="G509" i="16" s="1"/>
  <c r="AO302" i="24"/>
  <c r="N359" i="16"/>
  <c r="G359" i="16" s="1"/>
  <c r="G356" i="16" s="1"/>
  <c r="N218" i="16"/>
  <c r="N124" i="16"/>
  <c r="AO247" i="8"/>
  <c r="AO219" i="8"/>
  <c r="N237" i="16"/>
  <c r="G237" i="16" s="1"/>
  <c r="AO74" i="8"/>
  <c r="T179" i="8"/>
  <c r="AD179" i="8" s="1"/>
  <c r="AC179" i="8" s="1"/>
  <c r="N238" i="16"/>
  <c r="O72" i="8"/>
  <c r="O99" i="8"/>
  <c r="AO239" i="8"/>
  <c r="AO43" i="8"/>
  <c r="T292" i="8"/>
  <c r="AD292" i="8" s="1"/>
  <c r="AC292" i="8" s="1"/>
  <c r="O292" i="8"/>
  <c r="O163" i="8"/>
  <c r="O141" i="8"/>
  <c r="E42" i="88" s="1"/>
  <c r="C42" i="88" s="1"/>
  <c r="A42" i="88" s="1"/>
  <c r="AI4" i="2"/>
  <c r="AO105" i="8"/>
  <c r="AO235" i="8"/>
  <c r="AH4" i="2"/>
  <c r="G199" i="16"/>
  <c r="N81" i="16"/>
  <c r="T74" i="8"/>
  <c r="AD74" i="8" s="1"/>
  <c r="AC74" i="8" s="1"/>
  <c r="G197" i="16"/>
  <c r="G194" i="16" s="1"/>
  <c r="AO82" i="8"/>
  <c r="AO179" i="8"/>
  <c r="N178" i="16"/>
  <c r="O184" i="8"/>
  <c r="O182" i="8"/>
  <c r="I180" i="80" s="1"/>
  <c r="A180" i="80" s="1"/>
  <c r="AO186" i="8"/>
  <c r="AG3" i="8"/>
  <c r="K13" i="72" s="1"/>
  <c r="N27" i="16"/>
  <c r="AY1880" i="16"/>
  <c r="X4" i="16"/>
  <c r="AY2283" i="16"/>
  <c r="AY39" i="16"/>
  <c r="AY329" i="16"/>
  <c r="BG885" i="16"/>
  <c r="AY38" i="16"/>
  <c r="BG333" i="16"/>
  <c r="AY27" i="16"/>
  <c r="AY2262" i="16"/>
  <c r="BH15" i="27"/>
  <c r="AY57" i="16"/>
  <c r="AY369" i="16"/>
  <c r="AY2271" i="16"/>
  <c r="AY52" i="16"/>
  <c r="AY337" i="16"/>
  <c r="C10" i="17"/>
  <c r="G10" i="18"/>
  <c r="AY335" i="16"/>
  <c r="AY18" i="16"/>
  <c r="AY10" i="16"/>
  <c r="C14" i="18"/>
  <c r="G10" i="17"/>
  <c r="AY889" i="16"/>
  <c r="T1157" i="16" s="1"/>
  <c r="AY50" i="16"/>
  <c r="AY367" i="16"/>
  <c r="E22" i="3"/>
  <c r="H32" i="18" s="1"/>
  <c r="BE15" i="8"/>
  <c r="BE15" i="27"/>
  <c r="AY1885" i="16"/>
  <c r="BH15" i="29"/>
  <c r="AY1674" i="16"/>
  <c r="AY2278" i="16"/>
  <c r="C22" i="3"/>
  <c r="AY37" i="16"/>
  <c r="AY351" i="16"/>
  <c r="AZ351" i="16" s="1"/>
  <c r="S435" i="16" s="1"/>
  <c r="AY378" i="16"/>
  <c r="AY16" i="16"/>
  <c r="AY368" i="16"/>
  <c r="BF15" i="27"/>
  <c r="BF15" i="29"/>
  <c r="AY354" i="16"/>
  <c r="BF15" i="28"/>
  <c r="AY1664" i="16"/>
  <c r="AY34" i="16"/>
  <c r="AY46" i="16"/>
  <c r="BH15" i="24"/>
  <c r="S232" i="28"/>
  <c r="AY61" i="16"/>
  <c r="AY1906" i="16"/>
  <c r="AY1657" i="16"/>
  <c r="AY910" i="16"/>
  <c r="S1454" i="16" s="1"/>
  <c r="T1454" i="16" s="1"/>
  <c r="AD1454" i="16" s="1"/>
  <c r="AC1454" i="16" s="1"/>
  <c r="AY1901" i="16"/>
  <c r="AY14" i="16"/>
  <c r="AY353" i="16"/>
  <c r="AY1643" i="16"/>
  <c r="X5" i="16"/>
  <c r="T15" i="23"/>
  <c r="AY331" i="16"/>
  <c r="AY12" i="16"/>
  <c r="U15" i="23"/>
  <c r="BD334" i="16" s="1"/>
  <c r="AY13" i="16"/>
  <c r="AY332" i="16"/>
  <c r="AY15" i="16"/>
  <c r="BH15" i="25"/>
  <c r="AY2290" i="16"/>
  <c r="AY2259" i="16"/>
  <c r="BD16" i="8"/>
  <c r="BD16" i="28"/>
  <c r="BD16" i="24"/>
  <c r="BD16" i="27"/>
  <c r="BD16" i="29"/>
  <c r="AY1645" i="16"/>
  <c r="AY885" i="16"/>
  <c r="AY1881" i="16"/>
  <c r="AO610" i="25"/>
  <c r="N1480" i="16"/>
  <c r="AY1882" i="16"/>
  <c r="AY2258" i="16"/>
  <c r="BC16" i="8"/>
  <c r="BC16" i="29"/>
  <c r="Q15" i="7"/>
  <c r="BI16" i="25" s="1"/>
  <c r="BC16" i="24"/>
  <c r="P15" i="7"/>
  <c r="BH16" i="27" s="1"/>
  <c r="BC16" i="28"/>
  <c r="BC16" i="27"/>
  <c r="N15" i="7"/>
  <c r="BF16" i="27" s="1"/>
  <c r="N90" i="16"/>
  <c r="G90" i="16" s="1"/>
  <c r="AG3" i="27"/>
  <c r="K16" i="72" s="1"/>
  <c r="AC97" i="27"/>
  <c r="N2067" i="16"/>
  <c r="T92" i="8"/>
  <c r="AD92" i="8" s="1"/>
  <c r="AC92" i="8" s="1"/>
  <c r="AO164" i="27"/>
  <c r="I12" i="80"/>
  <c r="N121" i="16"/>
  <c r="AO44" i="24"/>
  <c r="AF765" i="16"/>
  <c r="O730" i="25"/>
  <c r="T730" i="25"/>
  <c r="AD730" i="25" s="1"/>
  <c r="AC730" i="25" s="1"/>
  <c r="N228" i="16"/>
  <c r="AO229" i="8"/>
  <c r="AO122" i="8"/>
  <c r="N370" i="16"/>
  <c r="G370" i="16" s="1"/>
  <c r="N1964" i="16"/>
  <c r="AO52" i="24"/>
  <c r="N185" i="16"/>
  <c r="AO261" i="24"/>
  <c r="N579" i="16"/>
  <c r="AO150" i="27"/>
  <c r="T1600" i="16"/>
  <c r="AD1600" i="16" s="1"/>
  <c r="AC1600" i="16" s="1"/>
  <c r="AO503" i="24"/>
  <c r="AE205" i="24"/>
  <c r="AC205" i="24" s="1"/>
  <c r="M205" i="24"/>
  <c r="AM205" i="24" s="1"/>
  <c r="AO227" i="25"/>
  <c r="S208" i="16"/>
  <c r="O208" i="16" s="1"/>
  <c r="AO91" i="8"/>
  <c r="AO78" i="8"/>
  <c r="AY375" i="16"/>
  <c r="AY56" i="16"/>
  <c r="N253" i="16"/>
  <c r="N497" i="16"/>
  <c r="N541" i="16"/>
  <c r="N471" i="16"/>
  <c r="AO153" i="24"/>
  <c r="O68" i="28"/>
  <c r="T68" i="28"/>
  <c r="AD68" i="28" s="1"/>
  <c r="AC68" i="28" s="1"/>
  <c r="AE188" i="28"/>
  <c r="AC188" i="28" s="1"/>
  <c r="M188" i="28"/>
  <c r="AM188" i="28" s="1"/>
  <c r="M157" i="24"/>
  <c r="AM157" i="24" s="1"/>
  <c r="AE157" i="24"/>
  <c r="AC157" i="24" s="1"/>
  <c r="N2435" i="16"/>
  <c r="T178" i="16"/>
  <c r="AD178" i="16" s="1"/>
  <c r="AC178" i="16" s="1"/>
  <c r="AO55" i="24"/>
  <c r="N1862" i="16"/>
  <c r="AO31" i="24"/>
  <c r="N1603" i="16"/>
  <c r="N1456" i="16"/>
  <c r="G1456" i="16" s="1"/>
  <c r="S2215" i="16"/>
  <c r="O2215" i="16" s="1"/>
  <c r="W212" i="84" s="1"/>
  <c r="S2210" i="16"/>
  <c r="AO145" i="27"/>
  <c r="N1097" i="16"/>
  <c r="AO46" i="24"/>
  <c r="N364" i="16"/>
  <c r="N1767" i="16"/>
  <c r="AC135" i="28"/>
  <c r="N727" i="16"/>
  <c r="G727" i="16" s="1"/>
  <c r="N349" i="16"/>
  <c r="G349" i="16" s="1"/>
  <c r="N77" i="16"/>
  <c r="AO26" i="8"/>
  <c r="N25" i="16"/>
  <c r="T409" i="24"/>
  <c r="AD409" i="24" s="1"/>
  <c r="AC409" i="24" s="1"/>
  <c r="T744" i="16"/>
  <c r="AD744" i="16" s="1"/>
  <c r="AC744" i="16" s="1"/>
  <c r="N1457" i="16"/>
  <c r="N2063" i="16"/>
  <c r="AY1899" i="16"/>
  <c r="AY1676" i="16"/>
  <c r="AY909" i="16"/>
  <c r="AY2257" i="16"/>
  <c r="AY2288" i="16"/>
  <c r="AY1668" i="16"/>
  <c r="AY915" i="16"/>
  <c r="AC168" i="28"/>
  <c r="BH15" i="8"/>
  <c r="BF15" i="8"/>
  <c r="AY2286" i="16"/>
  <c r="N1821" i="16"/>
  <c r="AY1905" i="16"/>
  <c r="G32" i="17"/>
  <c r="AY1892" i="16"/>
  <c r="AY1917" i="16"/>
  <c r="AY921" i="16"/>
  <c r="AY2267" i="16"/>
  <c r="AY1653" i="16"/>
  <c r="AY1890" i="16"/>
  <c r="G12" i="17"/>
  <c r="AY338" i="16"/>
  <c r="AY19" i="16"/>
  <c r="G12" i="18"/>
  <c r="AY1646" i="16"/>
  <c r="AY2260" i="16"/>
  <c r="AY887" i="16"/>
  <c r="AY1878" i="16"/>
  <c r="AY1641" i="16"/>
  <c r="AY2255" i="16"/>
  <c r="AO149" i="27"/>
  <c r="N1778" i="16"/>
  <c r="G1778" i="16" s="1"/>
  <c r="AM4" i="2"/>
  <c r="AO226" i="8"/>
  <c r="N225" i="16"/>
  <c r="G225" i="16" s="1"/>
  <c r="N91" i="16"/>
  <c r="AO92" i="8"/>
  <c r="N69" i="16"/>
  <c r="N113" i="16"/>
  <c r="G113" i="16" s="1"/>
  <c r="S209" i="8"/>
  <c r="AO114" i="8"/>
  <c r="N1909" i="16"/>
  <c r="BH1644" i="16"/>
  <c r="BH2258" i="16"/>
  <c r="BH1881" i="16"/>
  <c r="BH333" i="16"/>
  <c r="BH14" i="16"/>
  <c r="AY1688" i="16"/>
  <c r="AY929" i="16"/>
  <c r="AY1925" i="16"/>
  <c r="AY2302" i="16"/>
  <c r="AY377" i="16"/>
  <c r="AY58" i="16"/>
  <c r="AY1692" i="16"/>
  <c r="AY933" i="16"/>
  <c r="AY1929" i="16"/>
  <c r="AY2306" i="16"/>
  <c r="AY62" i="16"/>
  <c r="T374" i="16"/>
  <c r="AD374" i="16" s="1"/>
  <c r="AC374" i="16" s="1"/>
  <c r="O60" i="28"/>
  <c r="T60" i="28"/>
  <c r="AD60" i="28" s="1"/>
  <c r="AO22" i="8"/>
  <c r="AY901" i="16"/>
  <c r="AY1897" i="16"/>
  <c r="AY1660" i="16"/>
  <c r="AY2274" i="16"/>
  <c r="AY349" i="16"/>
  <c r="G16" i="18"/>
  <c r="G16" i="17"/>
  <c r="AY30" i="16"/>
  <c r="AY907" i="16"/>
  <c r="AY2280" i="16"/>
  <c r="AY1666" i="16"/>
  <c r="AY1903" i="16"/>
  <c r="AY36" i="16"/>
  <c r="AO24" i="8"/>
  <c r="N23" i="16"/>
  <c r="N1878" i="16"/>
  <c r="AO12" i="28"/>
  <c r="BG15" i="27"/>
  <c r="BG15" i="29"/>
  <c r="N230" i="16"/>
  <c r="AO231" i="8"/>
  <c r="AO561" i="25"/>
  <c r="T2006" i="16"/>
  <c r="AD2006" i="16" s="1"/>
  <c r="AC2006" i="16" s="1"/>
  <c r="AO53" i="24"/>
  <c r="O15" i="7"/>
  <c r="T186" i="8"/>
  <c r="AD186" i="8" s="1"/>
  <c r="AC186" i="8" s="1"/>
  <c r="AO178" i="24"/>
  <c r="N496" i="16"/>
  <c r="G496" i="16" s="1"/>
  <c r="BG15" i="24"/>
  <c r="BG15" i="28"/>
  <c r="BH885" i="16"/>
  <c r="BG15" i="8"/>
  <c r="AY2299" i="16"/>
  <c r="AY1685" i="16"/>
  <c r="AY926" i="16"/>
  <c r="AY1922" i="16"/>
  <c r="AY374" i="16"/>
  <c r="AY55" i="16"/>
  <c r="AY381" i="16"/>
  <c r="R60" i="28"/>
  <c r="AY919" i="16"/>
  <c r="AY1915" i="16"/>
  <c r="AY2292" i="16"/>
  <c r="AY1678" i="16"/>
  <c r="AY1682" i="16"/>
  <c r="AY923" i="16"/>
  <c r="AY1919" i="16"/>
  <c r="AY2296" i="16"/>
  <c r="T353" i="25"/>
  <c r="BG2258" i="16"/>
  <c r="BG1881" i="16"/>
  <c r="BG1644" i="16"/>
  <c r="AY1879" i="16"/>
  <c r="AY883" i="16"/>
  <c r="AY1642" i="16"/>
  <c r="AY2256" i="16"/>
  <c r="AY1691" i="16"/>
  <c r="AY932" i="16"/>
  <c r="AY1928" i="16"/>
  <c r="AY2305" i="16"/>
  <c r="AY1665" i="16"/>
  <c r="AY1902" i="16"/>
  <c r="AY906" i="16"/>
  <c r="AY2279" i="16"/>
  <c r="AY1679" i="16"/>
  <c r="AY920" i="16"/>
  <c r="AY1916" i="16"/>
  <c r="AY2293" i="16"/>
  <c r="AY928" i="16"/>
  <c r="AY1924" i="16"/>
  <c r="AY2301" i="16"/>
  <c r="AY1687" i="16"/>
  <c r="AY1671" i="16"/>
  <c r="AY1908" i="16"/>
  <c r="AY2285" i="16"/>
  <c r="AY912" i="16"/>
  <c r="T1914" i="16"/>
  <c r="AD1914" i="16" s="1"/>
  <c r="R1914" i="16"/>
  <c r="BE1881" i="16"/>
  <c r="BE1644" i="16"/>
  <c r="BE2258" i="16"/>
  <c r="AY2254" i="16"/>
  <c r="AY1877" i="16"/>
  <c r="AY1640" i="16"/>
  <c r="AY881" i="16"/>
  <c r="AY2300" i="16"/>
  <c r="AY1686" i="16"/>
  <c r="AY927" i="16"/>
  <c r="S1098" i="16" s="1"/>
  <c r="T1098" i="16" s="1"/>
  <c r="AD1098" i="16" s="1"/>
  <c r="AC1098" i="16" s="1"/>
  <c r="AY1923" i="16"/>
  <c r="AY908" i="16"/>
  <c r="AY2281" i="16"/>
  <c r="AY1667" i="16"/>
  <c r="AY1904" i="16"/>
  <c r="AY1681" i="16"/>
  <c r="AY922" i="16"/>
  <c r="AY1918" i="16"/>
  <c r="AY2295" i="16"/>
  <c r="AY1689" i="16"/>
  <c r="AY930" i="16"/>
  <c r="AY1926" i="16"/>
  <c r="AY2303" i="16"/>
  <c r="O186" i="28"/>
  <c r="T186" i="28"/>
  <c r="AD186" i="28" s="1"/>
  <c r="AC186" i="28" s="1"/>
  <c r="BF2258" i="16"/>
  <c r="BF1881" i="16"/>
  <c r="BF1644" i="16"/>
  <c r="AY2289" i="16"/>
  <c r="AY916" i="16"/>
  <c r="AY1675" i="16"/>
  <c r="AY1912" i="16"/>
  <c r="T2001" i="16"/>
  <c r="AD2001" i="16" s="1"/>
  <c r="AC2001" i="16" s="1"/>
  <c r="BI15" i="28"/>
  <c r="BI15" i="27"/>
  <c r="BI15" i="8"/>
  <c r="S1496" i="16"/>
  <c r="BI15" i="24"/>
  <c r="M143" i="27"/>
  <c r="AM143" i="27" s="1"/>
  <c r="AC695" i="25"/>
  <c r="AC34" i="28"/>
  <c r="AY1670" i="16"/>
  <c r="AY1907" i="16"/>
  <c r="AY2284" i="16"/>
  <c r="AY1677" i="16"/>
  <c r="BI15" i="29"/>
  <c r="AY1914" i="16"/>
  <c r="AY2291" i="16"/>
  <c r="AY918" i="16"/>
  <c r="S128" i="29"/>
  <c r="O124" i="29" s="1"/>
  <c r="S82" i="29"/>
  <c r="O79" i="29" s="1"/>
  <c r="I2323" i="80" s="1"/>
  <c r="A2323" i="80" s="1"/>
  <c r="S15" i="29"/>
  <c r="AY911" i="16"/>
  <c r="AY2294" i="16"/>
  <c r="AY2276" i="16"/>
  <c r="AY2269" i="16"/>
  <c r="AY1909" i="16"/>
  <c r="AY1886" i="16"/>
  <c r="AY1655" i="16"/>
  <c r="AY903" i="16"/>
  <c r="AY884" i="16"/>
  <c r="AY2263" i="16"/>
  <c r="AY1672" i="16"/>
  <c r="AY1649" i="16"/>
  <c r="AY1894" i="16"/>
  <c r="T349" i="28"/>
  <c r="AD349" i="28" s="1"/>
  <c r="AC349" i="28" s="1"/>
  <c r="O349" i="28"/>
  <c r="S316" i="25"/>
  <c r="O686" i="25"/>
  <c r="W144" i="85" s="1"/>
  <c r="S37" i="28"/>
  <c r="S637" i="25"/>
  <c r="T1599" i="16"/>
  <c r="AD1599" i="16" s="1"/>
  <c r="AC1599" i="16" s="1"/>
  <c r="AD1769" i="16"/>
  <c r="AC1769" i="16" s="1"/>
  <c r="T1919" i="16"/>
  <c r="AD1919" i="16" s="1"/>
  <c r="T17" i="16"/>
  <c r="AD17" i="16" s="1"/>
  <c r="AC17" i="16" s="1"/>
  <c r="G2455" i="16"/>
  <c r="S101" i="29"/>
  <c r="O97" i="29" s="1"/>
  <c r="O235" i="28"/>
  <c r="O19" i="10"/>
  <c r="T232" i="25" s="1"/>
  <c r="S100" i="24"/>
  <c r="S101" i="24"/>
  <c r="T101" i="24" s="1"/>
  <c r="AD101" i="24" s="1"/>
  <c r="AC101" i="24" s="1"/>
  <c r="S119" i="24"/>
  <c r="S113" i="24"/>
  <c r="O111" i="24"/>
  <c r="I428" i="80" s="1"/>
  <c r="I425" i="80" s="1"/>
  <c r="A425" i="80" s="1"/>
  <c r="T1564" i="16"/>
  <c r="AD1564" i="16" s="1"/>
  <c r="AC1564" i="16" s="1"/>
  <c r="I5" i="24"/>
  <c r="I5" i="28"/>
  <c r="I5" i="25"/>
  <c r="I5" i="8"/>
  <c r="I5" i="27"/>
  <c r="T50" i="27"/>
  <c r="AD50" i="27" s="1"/>
  <c r="AC50" i="27" s="1"/>
  <c r="T46" i="8"/>
  <c r="AD46" i="8" s="1"/>
  <c r="N93" i="16"/>
  <c r="G93" i="16" s="1"/>
  <c r="AO94" i="8"/>
  <c r="S330" i="25"/>
  <c r="S455" i="25"/>
  <c r="S456" i="25"/>
  <c r="S511" i="25"/>
  <c r="T511" i="25" s="1"/>
  <c r="AD511" i="25" s="1"/>
  <c r="AC511" i="25" s="1"/>
  <c r="S252" i="25"/>
  <c r="S427" i="25"/>
  <c r="S501" i="25"/>
  <c r="S460" i="25"/>
  <c r="S431" i="25"/>
  <c r="S229" i="25"/>
  <c r="S28" i="25"/>
  <c r="S425" i="25"/>
  <c r="S271" i="25"/>
  <c r="T271" i="25" s="1"/>
  <c r="AD271" i="25" s="1"/>
  <c r="AC271" i="25" s="1"/>
  <c r="S499" i="25"/>
  <c r="T499" i="25" s="1"/>
  <c r="AD499" i="25" s="1"/>
  <c r="AC499" i="25" s="1"/>
  <c r="S348" i="25"/>
  <c r="S457" i="25"/>
  <c r="S450" i="25"/>
  <c r="S515" i="25"/>
  <c r="T515" i="25" s="1"/>
  <c r="AD515" i="25" s="1"/>
  <c r="AC515" i="25" s="1"/>
  <c r="S364" i="25"/>
  <c r="S497" i="25"/>
  <c r="T497" i="25" s="1"/>
  <c r="AD497" i="25" s="1"/>
  <c r="AC497" i="25" s="1"/>
  <c r="S244" i="25"/>
  <c r="S236" i="25"/>
  <c r="S495" i="25"/>
  <c r="T495" i="25" s="1"/>
  <c r="AD495" i="25" s="1"/>
  <c r="AC495" i="25" s="1"/>
  <c r="S185" i="25"/>
  <c r="S375" i="25"/>
  <c r="S323" i="25"/>
  <c r="S260" i="25"/>
  <c r="T260" i="25" s="1"/>
  <c r="AD260" i="25" s="1"/>
  <c r="AC260" i="25" s="1"/>
  <c r="S179" i="25"/>
  <c r="S423" i="25"/>
  <c r="S284" i="25"/>
  <c r="S504" i="25"/>
  <c r="T504" i="25" s="1"/>
  <c r="AD504" i="25" s="1"/>
  <c r="AC504" i="25" s="1"/>
  <c r="S487" i="25"/>
  <c r="S222" i="25"/>
  <c r="T222" i="25" s="1"/>
  <c r="AD222" i="25" s="1"/>
  <c r="AC222" i="25" s="1"/>
  <c r="S498" i="25"/>
  <c r="T498" i="25" s="1"/>
  <c r="AD498" i="25" s="1"/>
  <c r="AC498" i="25" s="1"/>
  <c r="S278" i="25"/>
  <c r="T278" i="25" s="1"/>
  <c r="AD278" i="25" s="1"/>
  <c r="AC278" i="25" s="1"/>
  <c r="S547" i="25"/>
  <c r="S233" i="25"/>
  <c r="R63" i="25"/>
  <c r="AE63" i="25" s="1"/>
  <c r="S448" i="25"/>
  <c r="S220" i="25"/>
  <c r="T220" i="25" s="1"/>
  <c r="AD220" i="25" s="1"/>
  <c r="AC220" i="25" s="1"/>
  <c r="S513" i="25"/>
  <c r="T513" i="25" s="1"/>
  <c r="AD513" i="25" s="1"/>
  <c r="AC513" i="25" s="1"/>
  <c r="S341" i="25"/>
  <c r="T341" i="25" s="1"/>
  <c r="AD341" i="25" s="1"/>
  <c r="AC341" i="25" s="1"/>
  <c r="S291" i="25"/>
  <c r="AM156" i="8"/>
  <c r="O156" i="8"/>
  <c r="T441" i="16"/>
  <c r="AD441" i="16" s="1"/>
  <c r="AC441" i="16" s="1"/>
  <c r="N1726" i="16"/>
  <c r="AO97" i="27"/>
  <c r="S230" i="28"/>
  <c r="N2085" i="16"/>
  <c r="AO92" i="27"/>
  <c r="N1721" i="16"/>
  <c r="AM152" i="8"/>
  <c r="AO183" i="24"/>
  <c r="N501" i="16"/>
  <c r="T725" i="25"/>
  <c r="AD725" i="25" s="1"/>
  <c r="AC725" i="25" s="1"/>
  <c r="O725" i="25"/>
  <c r="S1301" i="16"/>
  <c r="R933" i="16"/>
  <c r="S1381" i="16"/>
  <c r="T1381" i="16" s="1"/>
  <c r="AD1381" i="16" s="1"/>
  <c r="AC1381" i="16" s="1"/>
  <c r="S1374" i="16"/>
  <c r="T1374" i="16" s="1"/>
  <c r="AD1374" i="16" s="1"/>
  <c r="AC1374" i="16" s="1"/>
  <c r="S1103" i="16"/>
  <c r="S1200" i="16"/>
  <c r="O1200" i="16" s="1"/>
  <c r="S1295" i="16"/>
  <c r="O1295" i="16" s="1"/>
  <c r="S1368" i="16"/>
  <c r="T1368" i="16" s="1"/>
  <c r="AD1368" i="16" s="1"/>
  <c r="AC1368" i="16" s="1"/>
  <c r="S1020" i="16"/>
  <c r="S1293" i="16"/>
  <c r="S1130" i="16"/>
  <c r="T1130" i="16" s="1"/>
  <c r="AD1130" i="16" s="1"/>
  <c r="AC1130" i="16" s="1"/>
  <c r="S1042" i="16"/>
  <c r="S1148" i="16"/>
  <c r="T1148" i="16" s="1"/>
  <c r="AD1148" i="16" s="1"/>
  <c r="AC1148" i="16" s="1"/>
  <c r="S1357" i="16"/>
  <c r="O1357" i="16" s="1"/>
  <c r="F159" i="89" s="1"/>
  <c r="S1141" i="16"/>
  <c r="T1141" i="16" s="1"/>
  <c r="AD1141" i="16" s="1"/>
  <c r="AC1141" i="16" s="1"/>
  <c r="S1367" i="16"/>
  <c r="T1367" i="16" s="1"/>
  <c r="AD1367" i="16" s="1"/>
  <c r="AC1367" i="16" s="1"/>
  <c r="S1055" i="16"/>
  <c r="O1053" i="16" s="1"/>
  <c r="S1365" i="16"/>
  <c r="T1365" i="16" s="1"/>
  <c r="AD1365" i="16" s="1"/>
  <c r="AC1365" i="16" s="1"/>
  <c r="S938" i="16"/>
  <c r="S1066" i="16"/>
  <c r="O1065" i="16" s="1"/>
  <c r="S1326" i="16"/>
  <c r="O1326" i="16" s="1"/>
  <c r="S1040" i="16"/>
  <c r="M1038" i="16" s="1"/>
  <c r="AM1038" i="16" s="1"/>
  <c r="S991" i="16"/>
  <c r="S1325" i="16"/>
  <c r="O1325" i="16" s="1"/>
  <c r="S1371" i="16"/>
  <c r="S1318" i="16"/>
  <c r="S1417" i="16"/>
  <c r="S1030" i="16"/>
  <c r="S1383" i="16"/>
  <c r="T1383" i="16" s="1"/>
  <c r="AD1383" i="16" s="1"/>
  <c r="AC1383" i="16" s="1"/>
  <c r="S941" i="16"/>
  <c r="S1122" i="16"/>
  <c r="S1218" i="16"/>
  <c r="S1211" i="16"/>
  <c r="T1211" i="16" s="1"/>
  <c r="AD1211" i="16" s="1"/>
  <c r="AC1211" i="16" s="1"/>
  <c r="S994" i="16"/>
  <c r="S1154" i="16"/>
  <c r="O1154" i="16" s="1"/>
  <c r="S933" i="16"/>
  <c r="T933" i="16" s="1"/>
  <c r="AD933" i="16" s="1"/>
  <c r="S1092" i="16"/>
  <c r="T1092" i="16" s="1"/>
  <c r="AD1092" i="16" s="1"/>
  <c r="AC1092" i="16" s="1"/>
  <c r="S1369" i="16"/>
  <c r="T1369" i="16" s="1"/>
  <c r="AD1369" i="16" s="1"/>
  <c r="AC1369" i="16" s="1"/>
  <c r="S1385" i="16"/>
  <c r="T1385" i="16" s="1"/>
  <c r="AD1385" i="16" s="1"/>
  <c r="AC1385" i="16" s="1"/>
  <c r="S1327" i="16"/>
  <c r="O1327" i="16" s="1"/>
  <c r="S898" i="16"/>
  <c r="S1330" i="16"/>
  <c r="O1330" i="16" s="1"/>
  <c r="S1114" i="16"/>
  <c r="S1106" i="16"/>
  <c r="S1049" i="16"/>
  <c r="S1090" i="16"/>
  <c r="T1090" i="16" s="1"/>
  <c r="AD1090" i="16" s="1"/>
  <c r="AC1090" i="16" s="1"/>
  <c r="S1320" i="16"/>
  <c r="O1320" i="16" s="1"/>
  <c r="S1193" i="16"/>
  <c r="O1192" i="16" s="1"/>
  <c r="S1099" i="16"/>
  <c r="T449" i="16"/>
  <c r="AD449" i="16" s="1"/>
  <c r="AC449" i="16" s="1"/>
  <c r="N510" i="16"/>
  <c r="AO192" i="24"/>
  <c r="AM154" i="8"/>
  <c r="T443" i="16"/>
  <c r="AD443" i="16" s="1"/>
  <c r="AC443" i="16" s="1"/>
  <c r="N674" i="16"/>
  <c r="AO356" i="24"/>
  <c r="T568" i="25"/>
  <c r="AD568" i="25" s="1"/>
  <c r="AC568" i="25" s="1"/>
  <c r="O655" i="25"/>
  <c r="I1524" i="80" s="1"/>
  <c r="A1524" i="80" s="1"/>
  <c r="T655" i="25"/>
  <c r="AD655" i="25" s="1"/>
  <c r="AC655" i="25" s="1"/>
  <c r="AM153" i="8"/>
  <c r="O659" i="25"/>
  <c r="T659" i="25"/>
  <c r="AD659" i="25" s="1"/>
  <c r="AC659" i="25" s="1"/>
  <c r="N813" i="16"/>
  <c r="AO495" i="24"/>
  <c r="AM171" i="8"/>
  <c r="O171" i="8"/>
  <c r="I169" i="80" s="1"/>
  <c r="AM169" i="8"/>
  <c r="O283" i="8"/>
  <c r="T283" i="8"/>
  <c r="AD283" i="8" s="1"/>
  <c r="AC283" i="8" s="1"/>
  <c r="T172" i="28"/>
  <c r="AD172" i="28" s="1"/>
  <c r="AC172" i="28" s="1"/>
  <c r="O170" i="28"/>
  <c r="AO129" i="8"/>
  <c r="N128" i="16"/>
  <c r="G128" i="16" s="1"/>
  <c r="T453" i="16"/>
  <c r="AD453" i="16" s="1"/>
  <c r="AC453" i="16" s="1"/>
  <c r="N135" i="16"/>
  <c r="AO136" i="8"/>
  <c r="AM177" i="8"/>
  <c r="O177" i="8"/>
  <c r="I175" i="80" s="1"/>
  <c r="A175" i="80" s="1"/>
  <c r="AO679" i="25"/>
  <c r="N1549" i="16"/>
  <c r="G1549" i="16" s="1"/>
  <c r="O158" i="8"/>
  <c r="I156" i="80" s="1"/>
  <c r="A156" i="80" s="1"/>
  <c r="AM158" i="8"/>
  <c r="T62" i="28"/>
  <c r="AD62" i="28" s="1"/>
  <c r="O62" i="28"/>
  <c r="I1929" i="80" s="1"/>
  <c r="A1929" i="80" s="1"/>
  <c r="AD21" i="27"/>
  <c r="T573" i="25"/>
  <c r="AD573" i="25" s="1"/>
  <c r="AC573" i="25" s="1"/>
  <c r="N1685" i="16"/>
  <c r="G1685" i="16" s="1"/>
  <c r="AO56" i="27"/>
  <c r="O178" i="28"/>
  <c r="I2045" i="80" s="1"/>
  <c r="T178" i="28"/>
  <c r="AD178" i="28" s="1"/>
  <c r="AC178" i="28" s="1"/>
  <c r="AM168" i="8"/>
  <c r="T173" i="28"/>
  <c r="AD173" i="28" s="1"/>
  <c r="AC173" i="28" s="1"/>
  <c r="T176" i="28"/>
  <c r="AD176" i="28" s="1"/>
  <c r="AC176" i="28" s="1"/>
  <c r="O176" i="28"/>
  <c r="I2043" i="80" s="1"/>
  <c r="O161" i="8"/>
  <c r="AM161" i="8"/>
  <c r="N2198" i="16"/>
  <c r="AM170" i="8"/>
  <c r="N1753" i="16"/>
  <c r="AO124" i="27"/>
  <c r="N706" i="16"/>
  <c r="AO388" i="24"/>
  <c r="S2096" i="16"/>
  <c r="O2096" i="16" s="1"/>
  <c r="T457" i="16"/>
  <c r="AD457" i="16" s="1"/>
  <c r="AC457" i="16" s="1"/>
  <c r="N2194" i="16"/>
  <c r="S2038" i="16"/>
  <c r="S1637" i="16"/>
  <c r="S1443" i="16"/>
  <c r="T2034" i="16"/>
  <c r="R435" i="24"/>
  <c r="S1693" i="16"/>
  <c r="S2042" i="16"/>
  <c r="S950" i="16"/>
  <c r="S238" i="84"/>
  <c r="S264" i="84"/>
  <c r="O388" i="25"/>
  <c r="S2044" i="16"/>
  <c r="O568" i="25"/>
  <c r="S291" i="84"/>
  <c r="S1438" i="16"/>
  <c r="S247" i="84"/>
  <c r="O396" i="25"/>
  <c r="S291" i="16"/>
  <c r="S173" i="25"/>
  <c r="S1636" i="16"/>
  <c r="S282" i="16"/>
  <c r="S265" i="84"/>
  <c r="S305" i="16"/>
  <c r="S1627" i="16"/>
  <c r="S14" i="25"/>
  <c r="S130" i="84"/>
  <c r="O382" i="25"/>
  <c r="S321" i="16"/>
  <c r="S1525" i="16"/>
  <c r="O80" i="27"/>
  <c r="S125" i="24"/>
  <c r="S1084" i="16"/>
  <c r="S1702" i="16"/>
  <c r="S1704" i="16"/>
  <c r="S1928" i="16"/>
  <c r="O46" i="8"/>
  <c r="S294" i="16"/>
  <c r="W1582" i="16"/>
  <c r="R331" i="24"/>
  <c r="O379" i="24"/>
  <c r="S1695" i="16"/>
  <c r="W1584" i="16"/>
  <c r="S214" i="25"/>
  <c r="O391" i="25"/>
  <c r="O201" i="8"/>
  <c r="S85" i="25"/>
  <c r="O2243" i="16"/>
  <c r="S286" i="16"/>
  <c r="S446" i="24"/>
  <c r="S77" i="25"/>
  <c r="W376" i="16"/>
  <c r="O213" i="27"/>
  <c r="S154" i="84"/>
  <c r="O637" i="25"/>
  <c r="S1582" i="16"/>
  <c r="O62" i="24"/>
  <c r="S316" i="16"/>
  <c r="R329" i="24"/>
  <c r="S1527" i="16"/>
  <c r="S235" i="84"/>
  <c r="R442" i="24"/>
  <c r="S131" i="24"/>
  <c r="O37" i="28"/>
  <c r="S2039" i="16"/>
  <c r="O175" i="27"/>
  <c r="O573" i="25"/>
  <c r="S80" i="25"/>
  <c r="S1043" i="16"/>
  <c r="O26" i="28"/>
  <c r="S131" i="84"/>
  <c r="S323" i="16"/>
  <c r="S312" i="16"/>
  <c r="S947" i="16"/>
  <c r="S292" i="16"/>
  <c r="O93" i="16"/>
  <c r="O386" i="25"/>
  <c r="O258" i="8"/>
  <c r="S208" i="84"/>
  <c r="S1434" i="16"/>
  <c r="S325" i="16"/>
  <c r="S81" i="25"/>
  <c r="S135" i="24"/>
  <c r="O557" i="25"/>
  <c r="S255" i="16"/>
  <c r="N9" i="3"/>
  <c r="S2030" i="16"/>
  <c r="W58" i="24"/>
  <c r="O150" i="8"/>
  <c r="S1529" i="16"/>
  <c r="O1122" i="16"/>
  <c r="T1650" i="16"/>
  <c r="O20" i="27"/>
  <c r="O117" i="27"/>
  <c r="S951" i="16"/>
  <c r="S123" i="24"/>
  <c r="S45" i="16"/>
  <c r="T30" i="25"/>
  <c r="O186" i="27"/>
  <c r="O23" i="28"/>
  <c r="S288" i="16"/>
  <c r="S2081" i="16"/>
  <c r="S955" i="16"/>
  <c r="R446" i="24"/>
  <c r="S1595" i="16"/>
  <c r="S315" i="16"/>
  <c r="O69" i="28"/>
  <c r="S139" i="24"/>
  <c r="S1789" i="16"/>
  <c r="T900" i="16"/>
  <c r="O897" i="16"/>
  <c r="G1916" i="81" l="1"/>
  <c r="G1917" i="81" s="1"/>
  <c r="G1913" i="81"/>
  <c r="G1914" i="81" s="1"/>
  <c r="G1915" i="81" s="1"/>
  <c r="G1911" i="81"/>
  <c r="G1912" i="81" s="1"/>
  <c r="G1908" i="81"/>
  <c r="G1909" i="81" s="1"/>
  <c r="G177" i="81"/>
  <c r="G178" i="81" s="1"/>
  <c r="G179" i="81" s="1"/>
  <c r="F52" i="89"/>
  <c r="E17" i="89"/>
  <c r="C17" i="89" s="1"/>
  <c r="A17" i="89" s="1"/>
  <c r="G331" i="16"/>
  <c r="G332" i="16" s="1"/>
  <c r="G333" i="16" s="1"/>
  <c r="G334" i="16" s="1"/>
  <c r="G335" i="16" s="1"/>
  <c r="G336" i="16" s="1"/>
  <c r="G337" i="16" s="1"/>
  <c r="G338" i="16" s="1"/>
  <c r="G339" i="16" s="1"/>
  <c r="G340" i="16" s="1"/>
  <c r="G341" i="16" s="1"/>
  <c r="G342" i="16" s="1"/>
  <c r="G343" i="16" s="1"/>
  <c r="G344" i="16" s="1"/>
  <c r="G2237" i="16"/>
  <c r="G2238" i="16" s="1"/>
  <c r="G2232" i="16"/>
  <c r="G2233" i="16" s="1"/>
  <c r="G2234" i="16" s="1"/>
  <c r="G2235" i="16" s="1"/>
  <c r="G2236" i="16" s="1"/>
  <c r="G2188" i="16"/>
  <c r="G2189" i="16" s="1"/>
  <c r="G2178" i="16"/>
  <c r="G2179" i="16" s="1"/>
  <c r="G2180" i="16" s="1"/>
  <c r="G2181" i="16" s="1"/>
  <c r="G2182" i="16" s="1"/>
  <c r="G2183" i="16" s="1"/>
  <c r="G2184" i="16" s="1"/>
  <c r="G2185" i="16" s="1"/>
  <c r="G2186" i="16" s="1"/>
  <c r="G2187" i="16" s="1"/>
  <c r="G2072" i="16"/>
  <c r="G2073" i="16" s="1"/>
  <c r="G2074" i="16" s="1"/>
  <c r="G2075" i="16" s="1"/>
  <c r="G2076" i="16" s="1"/>
  <c r="G2077" i="16" s="1"/>
  <c r="G2078" i="16" s="1"/>
  <c r="G2079" i="16" s="1"/>
  <c r="G2080" i="16" s="1"/>
  <c r="G2067" i="16"/>
  <c r="G2068" i="16" s="1"/>
  <c r="G2069" i="16" s="1"/>
  <c r="G2070" i="16" s="1"/>
  <c r="G2071" i="16" s="1"/>
  <c r="A2068" i="80"/>
  <c r="C2068" i="80" s="1"/>
  <c r="G2063" i="16"/>
  <c r="G2064" i="16" s="1"/>
  <c r="G2065" i="16" s="1"/>
  <c r="G2066" i="16" s="1"/>
  <c r="G2059" i="16"/>
  <c r="G2060" i="16" s="1"/>
  <c r="G2061" i="16" s="1"/>
  <c r="G2062" i="16" s="1"/>
  <c r="G2001" i="16"/>
  <c r="G2002" i="16" s="1"/>
  <c r="G2003" i="16" s="1"/>
  <c r="G2004" i="16" s="1"/>
  <c r="G2005" i="16" s="1"/>
  <c r="G1994" i="16"/>
  <c r="G1995" i="16" s="1"/>
  <c r="G2006" i="16"/>
  <c r="G2007" i="16" s="1"/>
  <c r="G2008" i="16" s="1"/>
  <c r="G2009" i="16" s="1"/>
  <c r="G2010" i="16" s="1"/>
  <c r="G2011" i="16" s="1"/>
  <c r="G1985" i="16"/>
  <c r="G1986" i="16" s="1"/>
  <c r="G1987" i="16" s="1"/>
  <c r="G1988" i="16" s="1"/>
  <c r="G1989" i="16" s="1"/>
  <c r="G1990" i="16" s="1"/>
  <c r="G1964" i="16"/>
  <c r="G1965" i="16" s="1"/>
  <c r="G1966" i="16" s="1"/>
  <c r="G1967" i="16" s="1"/>
  <c r="G1968" i="16" s="1"/>
  <c r="G1969" i="16" s="1"/>
  <c r="G1970" i="16" s="1"/>
  <c r="G1971" i="16" s="1"/>
  <c r="G1972" i="16" s="1"/>
  <c r="G1973" i="16" s="1"/>
  <c r="G1974" i="16" s="1"/>
  <c r="G1975" i="16" s="1"/>
  <c r="G1976" i="16" s="1"/>
  <c r="G1977" i="16" s="1"/>
  <c r="G1978" i="16" s="1"/>
  <c r="G1979" i="16" s="1"/>
  <c r="G1980" i="16" s="1"/>
  <c r="G1981" i="16" s="1"/>
  <c r="G1982" i="16" s="1"/>
  <c r="G1983" i="16" s="1"/>
  <c r="G1984" i="16" s="1"/>
  <c r="G1959" i="16"/>
  <c r="G1960" i="16" s="1"/>
  <c r="G1961" i="16" s="1"/>
  <c r="G1957" i="16"/>
  <c r="G1958" i="16" s="1"/>
  <c r="G1954" i="16" s="1"/>
  <c r="A1922" i="80"/>
  <c r="C1922" i="80" s="1"/>
  <c r="G2012" i="16"/>
  <c r="G2013" i="16" s="1"/>
  <c r="G2014" i="16" s="1"/>
  <c r="G2015" i="16" s="1"/>
  <c r="G2016" i="16" s="1"/>
  <c r="G2017" i="16" s="1"/>
  <c r="G2018" i="16" s="1"/>
  <c r="G2019" i="16" s="1"/>
  <c r="G2020" i="16" s="1"/>
  <c r="G2021" i="16" s="1"/>
  <c r="G2022" i="16" s="1"/>
  <c r="G2023" i="16" s="1"/>
  <c r="G2024" i="16" s="1"/>
  <c r="G1900" i="16"/>
  <c r="G1901" i="16" s="1"/>
  <c r="G1902" i="16" s="1"/>
  <c r="G1878" i="16"/>
  <c r="G1879" i="16" s="1"/>
  <c r="G1849" i="16"/>
  <c r="G1850" i="16" s="1"/>
  <c r="G1851" i="16" s="1"/>
  <c r="G1603" i="16"/>
  <c r="G1604" i="16" s="1"/>
  <c r="G1605" i="16" s="1"/>
  <c r="G1578" i="16"/>
  <c r="G1579" i="16" s="1"/>
  <c r="G1576" i="16"/>
  <c r="G1577" i="16" s="1"/>
  <c r="G1574" i="16"/>
  <c r="G1575" i="16" s="1"/>
  <c r="A1572" i="80"/>
  <c r="C1572" i="80" s="1"/>
  <c r="G1544" i="16"/>
  <c r="G1545" i="16" s="1"/>
  <c r="G1534" i="16"/>
  <c r="G1535" i="16" s="1"/>
  <c r="G1536" i="16" s="1"/>
  <c r="G1537" i="16" s="1"/>
  <c r="G1538" i="16" s="1"/>
  <c r="G1539" i="16" s="1"/>
  <c r="G1540" i="16" s="1"/>
  <c r="G1541" i="16" s="1"/>
  <c r="A1533" i="80"/>
  <c r="A1534" i="80" s="1"/>
  <c r="C1534" i="80" s="1"/>
  <c r="G1496" i="16"/>
  <c r="A1485" i="80"/>
  <c r="C1485" i="80" s="1"/>
  <c r="G1467" i="16"/>
  <c r="G1468" i="16" s="1"/>
  <c r="G1469" i="16" s="1"/>
  <c r="G1470" i="16" s="1"/>
  <c r="G1471" i="16" s="1"/>
  <c r="G1472" i="16" s="1"/>
  <c r="G1473" i="16" s="1"/>
  <c r="G1474" i="16" s="1"/>
  <c r="G1457" i="16"/>
  <c r="G1458" i="16" s="1"/>
  <c r="G1459" i="16" s="1"/>
  <c r="A1455" i="80"/>
  <c r="C1455" i="80" s="1"/>
  <c r="G1453" i="16"/>
  <c r="G1454" i="16" s="1"/>
  <c r="G1455" i="16" s="1"/>
  <c r="A1450" i="80"/>
  <c r="C1450" i="80" s="1"/>
  <c r="G1448" i="16"/>
  <c r="G1449" i="16" s="1"/>
  <c r="G1450" i="16" s="1"/>
  <c r="G1431" i="16"/>
  <c r="G1432" i="16" s="1"/>
  <c r="G1097" i="16"/>
  <c r="G1098" i="16" s="1"/>
  <c r="G1480" i="16"/>
  <c r="G1481" i="16" s="1"/>
  <c r="G821" i="16"/>
  <c r="G822" i="16" s="1"/>
  <c r="G823" i="16" s="1"/>
  <c r="G824" i="16" s="1"/>
  <c r="G825" i="16" s="1"/>
  <c r="G826" i="16" s="1"/>
  <c r="G827" i="16" s="1"/>
  <c r="G828" i="16" s="1"/>
  <c r="G829" i="16" s="1"/>
  <c r="G830" i="16" s="1"/>
  <c r="G831" i="16" s="1"/>
  <c r="G832" i="16" s="1"/>
  <c r="G833" i="16" s="1"/>
  <c r="G834" i="16" s="1"/>
  <c r="G835" i="16" s="1"/>
  <c r="G836" i="16" s="1"/>
  <c r="G790" i="16"/>
  <c r="G791" i="16" s="1"/>
  <c r="G792" i="16" s="1"/>
  <c r="G793" i="16" s="1"/>
  <c r="G794" i="16" s="1"/>
  <c r="G795" i="16" s="1"/>
  <c r="G796" i="16" s="1"/>
  <c r="G797" i="16" s="1"/>
  <c r="G798" i="16" s="1"/>
  <c r="G799" i="16" s="1"/>
  <c r="G800" i="16" s="1"/>
  <c r="G736" i="16"/>
  <c r="G737" i="16" s="1"/>
  <c r="G738" i="16" s="1"/>
  <c r="G694" i="16"/>
  <c r="G695" i="16" s="1"/>
  <c r="G688" i="16"/>
  <c r="G689" i="16" s="1"/>
  <c r="G690" i="16" s="1"/>
  <c r="G691" i="16" s="1"/>
  <c r="G692" i="16" s="1"/>
  <c r="G693" i="16" s="1"/>
  <c r="G683" i="16"/>
  <c r="G684" i="16" s="1"/>
  <c r="G671" i="16"/>
  <c r="G672" i="16" s="1"/>
  <c r="G673" i="16" s="1"/>
  <c r="G620" i="16"/>
  <c r="G621" i="16" s="1"/>
  <c r="G622" i="16" s="1"/>
  <c r="G623" i="16" s="1"/>
  <c r="G624" i="16" s="1"/>
  <c r="G625" i="16" s="1"/>
  <c r="G626" i="16" s="1"/>
  <c r="G627" i="16" s="1"/>
  <c r="G628" i="16" s="1"/>
  <c r="G629" i="16" s="1"/>
  <c r="G630" i="16" s="1"/>
  <c r="G631" i="16" s="1"/>
  <c r="G632" i="16" s="1"/>
  <c r="G633" i="16" s="1"/>
  <c r="G611" i="16"/>
  <c r="G612" i="16" s="1"/>
  <c r="G613" i="16" s="1"/>
  <c r="G614" i="16" s="1"/>
  <c r="G615" i="16" s="1"/>
  <c r="G616" i="16" s="1"/>
  <c r="G617" i="16" s="1"/>
  <c r="G618" i="16" s="1"/>
  <c r="G619" i="16" s="1"/>
  <c r="G596" i="16"/>
  <c r="G597" i="16" s="1"/>
  <c r="G598" i="16" s="1"/>
  <c r="G599" i="16" s="1"/>
  <c r="G600" i="16" s="1"/>
  <c r="G601" i="16" s="1"/>
  <c r="G602" i="16" s="1"/>
  <c r="G603" i="16" s="1"/>
  <c r="G604" i="16" s="1"/>
  <c r="G605" i="16" s="1"/>
  <c r="G606" i="16" s="1"/>
  <c r="G607" i="16" s="1"/>
  <c r="G608" i="16" s="1"/>
  <c r="G609" i="16" s="1"/>
  <c r="G610" i="16" s="1"/>
  <c r="G583" i="16"/>
  <c r="G584" i="16" s="1"/>
  <c r="G585" i="16" s="1"/>
  <c r="G586" i="16" s="1"/>
  <c r="G587" i="16" s="1"/>
  <c r="G588" i="16" s="1"/>
  <c r="G589" i="16" s="1"/>
  <c r="G590" i="16" s="1"/>
  <c r="G579" i="16"/>
  <c r="G580" i="16" s="1"/>
  <c r="G581" i="16" s="1"/>
  <c r="G572" i="16"/>
  <c r="G573" i="16" s="1"/>
  <c r="G574" i="16" s="1"/>
  <c r="G575" i="16" s="1"/>
  <c r="G576" i="16" s="1"/>
  <c r="G577" i="16" s="1"/>
  <c r="G578" i="16" s="1"/>
  <c r="G566" i="16"/>
  <c r="G567" i="16" s="1"/>
  <c r="G568" i="16" s="1"/>
  <c r="G569" i="16" s="1"/>
  <c r="G570" i="16" s="1"/>
  <c r="G571" i="16" s="1"/>
  <c r="G560" i="16"/>
  <c r="G561" i="16" s="1"/>
  <c r="G551" i="16"/>
  <c r="G552" i="16" s="1"/>
  <c r="G553" i="16" s="1"/>
  <c r="G541" i="16"/>
  <c r="G542" i="16" s="1"/>
  <c r="G543" i="16" s="1"/>
  <c r="G544" i="16" s="1"/>
  <c r="G545" i="16" s="1"/>
  <c r="G546" i="16" s="1"/>
  <c r="G547" i="16" s="1"/>
  <c r="G548" i="16" s="1"/>
  <c r="G549" i="16" s="1"/>
  <c r="G550" i="16" s="1"/>
  <c r="G507" i="16"/>
  <c r="G508" i="16" s="1"/>
  <c r="G497" i="16"/>
  <c r="G498" i="16" s="1"/>
  <c r="G499" i="16" s="1"/>
  <c r="G500" i="16" s="1"/>
  <c r="G493" i="16"/>
  <c r="G494" i="16" s="1"/>
  <c r="G495" i="16" s="1"/>
  <c r="G471" i="16"/>
  <c r="G472" i="16" s="1"/>
  <c r="G473" i="16" s="1"/>
  <c r="G474" i="16" s="1"/>
  <c r="G469" i="16"/>
  <c r="G470" i="16" s="1"/>
  <c r="G467" i="16"/>
  <c r="G468" i="16" s="1"/>
  <c r="G462" i="16"/>
  <c r="G463" i="16" s="1"/>
  <c r="G423" i="16"/>
  <c r="G424" i="16" s="1"/>
  <c r="G414" i="16"/>
  <c r="G415" i="16" s="1"/>
  <c r="A371" i="80"/>
  <c r="C371" i="80" s="1"/>
  <c r="A372" i="80"/>
  <c r="G364" i="16"/>
  <c r="G365" i="16" s="1"/>
  <c r="G366" i="16" s="1"/>
  <c r="G352" i="16"/>
  <c r="G353" i="16" s="1"/>
  <c r="G354" i="16" s="1"/>
  <c r="G272" i="16"/>
  <c r="G273" i="16" s="1"/>
  <c r="G274" i="16" s="1"/>
  <c r="A260" i="80"/>
  <c r="C260" i="80" s="1"/>
  <c r="G253" i="16"/>
  <c r="G254" i="16" s="1"/>
  <c r="A245" i="80"/>
  <c r="C245" i="80" s="1"/>
  <c r="G238" i="16"/>
  <c r="G239" i="16" s="1"/>
  <c r="G240" i="16" s="1"/>
  <c r="G241" i="16" s="1"/>
  <c r="G242" i="16" s="1"/>
  <c r="G243" i="16" s="1"/>
  <c r="G244" i="16" s="1"/>
  <c r="G245" i="16" s="1"/>
  <c r="A236" i="80"/>
  <c r="C236" i="80" s="1"/>
  <c r="G230" i="16"/>
  <c r="G231" i="16" s="1"/>
  <c r="G232" i="16" s="1"/>
  <c r="G233" i="16" s="1"/>
  <c r="G228" i="16"/>
  <c r="G229" i="16" s="1"/>
  <c r="G218" i="16"/>
  <c r="G219" i="16" s="1"/>
  <c r="G216" i="16"/>
  <c r="G217" i="16" s="1"/>
  <c r="G213" i="16" s="1"/>
  <c r="G187" i="16"/>
  <c r="G188" i="16" s="1"/>
  <c r="G189" i="16" s="1"/>
  <c r="G190" i="16" s="1"/>
  <c r="G191" i="16" s="1"/>
  <c r="G192" i="16" s="1"/>
  <c r="G193" i="16" s="1"/>
  <c r="G185" i="16"/>
  <c r="G186" i="16" s="1"/>
  <c r="G178" i="16"/>
  <c r="G179" i="16" s="1"/>
  <c r="G180" i="16" s="1"/>
  <c r="G124" i="16"/>
  <c r="G125" i="16" s="1"/>
  <c r="G126" i="16" s="1"/>
  <c r="G127" i="16" s="1"/>
  <c r="G121" i="16"/>
  <c r="G122" i="16" s="1"/>
  <c r="G104" i="16"/>
  <c r="G105" i="16" s="1"/>
  <c r="G101" i="16" s="1"/>
  <c r="G91" i="16"/>
  <c r="G92" i="16" s="1"/>
  <c r="T101" i="8"/>
  <c r="AD101" i="8" s="1"/>
  <c r="AC101" i="8" s="1"/>
  <c r="O101" i="8"/>
  <c r="A89" i="80"/>
  <c r="C89" i="80" s="1"/>
  <c r="G81" i="16"/>
  <c r="G82" i="16" s="1"/>
  <c r="G79" i="16"/>
  <c r="G80" i="16" s="1"/>
  <c r="G77" i="16"/>
  <c r="G78" i="16" s="1"/>
  <c r="G75" i="16"/>
  <c r="G76" i="16" s="1"/>
  <c r="G69" i="16"/>
  <c r="G70" i="16" s="1"/>
  <c r="AO72" i="8"/>
  <c r="F52" i="88"/>
  <c r="E17" i="88"/>
  <c r="C17" i="88" s="1"/>
  <c r="A17" i="88" s="1"/>
  <c r="G73" i="16"/>
  <c r="G74" i="16" s="1"/>
  <c r="G58" i="16"/>
  <c r="G59" i="16" s="1"/>
  <c r="G60" i="16" s="1"/>
  <c r="G61" i="16" s="1"/>
  <c r="G42" i="16"/>
  <c r="G43" i="16" s="1"/>
  <c r="G44" i="16" s="1"/>
  <c r="G27" i="16"/>
  <c r="G28" i="16" s="1"/>
  <c r="G29" i="16" s="1"/>
  <c r="G30" i="16" s="1"/>
  <c r="G31" i="16" s="1"/>
  <c r="G32" i="16" s="1"/>
  <c r="G33" i="16" s="1"/>
  <c r="G34" i="16" s="1"/>
  <c r="G35" i="16" s="1"/>
  <c r="G36" i="16" s="1"/>
  <c r="G25" i="16"/>
  <c r="G26" i="16" s="1"/>
  <c r="G23" i="16"/>
  <c r="G24" i="16" s="1"/>
  <c r="G21" i="16"/>
  <c r="G22" i="16" s="1"/>
  <c r="N13" i="16"/>
  <c r="G13" i="16" s="1"/>
  <c r="E39" i="88"/>
  <c r="C39" i="88" s="1"/>
  <c r="A39" i="88" s="1"/>
  <c r="E32" i="88"/>
  <c r="C32" i="88" s="1"/>
  <c r="A32" i="88" s="1"/>
  <c r="A12" i="80"/>
  <c r="C12" i="80" s="1"/>
  <c r="G2456" i="16"/>
  <c r="G2435" i="16"/>
  <c r="G2436" i="16" s="1"/>
  <c r="G2437" i="16" s="1"/>
  <c r="G2438" i="16" s="1"/>
  <c r="G2439" i="16" s="1"/>
  <c r="G2440" i="16" s="1"/>
  <c r="G2441" i="16" s="1"/>
  <c r="G2442" i="16" s="1"/>
  <c r="G2443" i="16" s="1"/>
  <c r="A2436" i="80"/>
  <c r="C2436" i="80" s="1"/>
  <c r="G164" i="81"/>
  <c r="G165" i="81" s="1"/>
  <c r="G166" i="81" s="1"/>
  <c r="G167" i="81" s="1"/>
  <c r="G168" i="81" s="1"/>
  <c r="G509" i="81"/>
  <c r="G510" i="81" s="1"/>
  <c r="G511" i="81" s="1"/>
  <c r="G512" i="81" s="1"/>
  <c r="G513" i="81" s="1"/>
  <c r="G514" i="81" s="1"/>
  <c r="G1910" i="81"/>
  <c r="G836" i="81"/>
  <c r="G837" i="81" s="1"/>
  <c r="G501" i="16"/>
  <c r="G502" i="16" s="1"/>
  <c r="G503" i="16" s="1"/>
  <c r="G504" i="16" s="1"/>
  <c r="G505" i="16" s="1"/>
  <c r="G506" i="16" s="1"/>
  <c r="G1852" i="16"/>
  <c r="G1853" i="16" s="1"/>
  <c r="G1854" i="16" s="1"/>
  <c r="G1855" i="16" s="1"/>
  <c r="G1856" i="16" s="1"/>
  <c r="G706" i="16"/>
  <c r="G707" i="16" s="1"/>
  <c r="G708" i="16" s="1"/>
  <c r="G709" i="16" s="1"/>
  <c r="G710" i="16" s="1"/>
  <c r="G711" i="16" s="1"/>
  <c r="G712" i="16" s="1"/>
  <c r="G713" i="16" s="1"/>
  <c r="G714" i="16" s="1"/>
  <c r="G715" i="16" s="1"/>
  <c r="G716" i="16" s="1"/>
  <c r="G1793" i="16"/>
  <c r="G1682" i="16"/>
  <c r="G674" i="16"/>
  <c r="G675" i="16" s="1"/>
  <c r="G676" i="16" s="1"/>
  <c r="G677" i="16" s="1"/>
  <c r="G678" i="16" s="1"/>
  <c r="G679" i="16" s="1"/>
  <c r="G135" i="16"/>
  <c r="G136" i="16" s="1"/>
  <c r="G137" i="16" s="1"/>
  <c r="G138" i="16" s="1"/>
  <c r="G139" i="16" s="1"/>
  <c r="G1721" i="16"/>
  <c r="G1722" i="16" s="1"/>
  <c r="G1723" i="16" s="1"/>
  <c r="G1724" i="16" s="1"/>
  <c r="G1725" i="16" s="1"/>
  <c r="G1880" i="16"/>
  <c r="G1881" i="16" s="1"/>
  <c r="G1882" i="16" s="1"/>
  <c r="G1883" i="16" s="1"/>
  <c r="G1860" i="16"/>
  <c r="G1861" i="16" s="1"/>
  <c r="G264" i="16"/>
  <c r="G265" i="16" s="1"/>
  <c r="G266" i="16" s="1"/>
  <c r="G267" i="16" s="1"/>
  <c r="G268" i="16" s="1"/>
  <c r="G269" i="16" s="1"/>
  <c r="G270" i="16" s="1"/>
  <c r="G271" i="16" s="1"/>
  <c r="G261" i="16"/>
  <c r="G2194" i="16"/>
  <c r="G2195" i="16" s="1"/>
  <c r="G2196" i="16" s="1"/>
  <c r="G2197" i="16" s="1"/>
  <c r="G1821" i="16"/>
  <c r="G1822" i="16" s="1"/>
  <c r="G1862" i="16"/>
  <c r="G1863" i="16" s="1"/>
  <c r="G1864" i="16" s="1"/>
  <c r="G685" i="16"/>
  <c r="G686" i="16" s="1"/>
  <c r="G2243" i="16"/>
  <c r="G2244" i="16" s="1"/>
  <c r="G2245" i="16" s="1"/>
  <c r="G2246" i="16" s="1"/>
  <c r="G2247" i="16" s="1"/>
  <c r="G1774" i="16"/>
  <c r="G1775" i="16" s="1"/>
  <c r="G1776" i="16" s="1"/>
  <c r="G220" i="16"/>
  <c r="G1726" i="16"/>
  <c r="G1727" i="16" s="1"/>
  <c r="G1546" i="16"/>
  <c r="G1547" i="16" s="1"/>
  <c r="G1548" i="16" s="1"/>
  <c r="G1542" i="16"/>
  <c r="G1857" i="16"/>
  <c r="G1858" i="16" s="1"/>
  <c r="G1859" i="16" s="1"/>
  <c r="G1753" i="16"/>
  <c r="G1754" i="16" s="1"/>
  <c r="G1755" i="16" s="1"/>
  <c r="G1756" i="16" s="1"/>
  <c r="G1757" i="16" s="1"/>
  <c r="G1758" i="16" s="1"/>
  <c r="G1759" i="16" s="1"/>
  <c r="G510" i="16"/>
  <c r="G511" i="16" s="1"/>
  <c r="G512" i="16" s="1"/>
  <c r="G513" i="16" s="1"/>
  <c r="G514" i="16" s="1"/>
  <c r="G515" i="16" s="1"/>
  <c r="G516" i="16" s="1"/>
  <c r="G517" i="16" s="1"/>
  <c r="G518" i="16" s="1"/>
  <c r="G519" i="16" s="1"/>
  <c r="G520" i="16" s="1"/>
  <c r="G521" i="16" s="1"/>
  <c r="G522" i="16" s="1"/>
  <c r="G1572" i="16"/>
  <c r="G1573" i="16"/>
  <c r="G1767" i="16"/>
  <c r="G1768" i="16" s="1"/>
  <c r="G2198" i="16"/>
  <c r="G2199" i="16" s="1"/>
  <c r="G2200" i="16" s="1"/>
  <c r="G2201" i="16" s="1"/>
  <c r="G123" i="16"/>
  <c r="G1460" i="16"/>
  <c r="G813" i="16"/>
  <c r="G814" i="16" s="1"/>
  <c r="G815" i="16" s="1"/>
  <c r="G816" i="16" s="1"/>
  <c r="G817" i="16" s="1"/>
  <c r="G818" i="16" s="1"/>
  <c r="G819" i="16" s="1"/>
  <c r="G820" i="16" s="1"/>
  <c r="G1482" i="16"/>
  <c r="G1483" i="16" s="1"/>
  <c r="G1484" i="16" s="1"/>
  <c r="G1485" i="16" s="1"/>
  <c r="G1996" i="16"/>
  <c r="G1997" i="16" s="1"/>
  <c r="G1998" i="16" s="1"/>
  <c r="G1999" i="16" s="1"/>
  <c r="G2000" i="16" s="1"/>
  <c r="A169" i="80"/>
  <c r="C169" i="80" s="1"/>
  <c r="A274" i="80"/>
  <c r="C274" i="80" s="1"/>
  <c r="A1792" i="80"/>
  <c r="A1793" i="80" s="1"/>
  <c r="C1793" i="80" s="1"/>
  <c r="A1863" i="80"/>
  <c r="C1863" i="80" s="1"/>
  <c r="A935" i="80"/>
  <c r="A936" i="80" s="1"/>
  <c r="C936" i="80" s="1"/>
  <c r="A896" i="80"/>
  <c r="A893" i="80"/>
  <c r="A889" i="80"/>
  <c r="A886" i="80"/>
  <c r="A887" i="80" s="1"/>
  <c r="C1467" i="80"/>
  <c r="A1459" i="80"/>
  <c r="N2408" i="16"/>
  <c r="I2409" i="80"/>
  <c r="A2409" i="80" s="1"/>
  <c r="AO165" i="29"/>
  <c r="E159" i="89"/>
  <c r="E155" i="89"/>
  <c r="C155" i="89" s="1"/>
  <c r="A155" i="89" s="1"/>
  <c r="E85" i="89"/>
  <c r="C65" i="89"/>
  <c r="A65" i="89" s="1"/>
  <c r="E66" i="89"/>
  <c r="E25" i="89"/>
  <c r="F63" i="89"/>
  <c r="E52" i="89"/>
  <c r="C52" i="89" s="1"/>
  <c r="A52" i="89" s="1"/>
  <c r="I1778" i="80"/>
  <c r="A1778" i="80" s="1"/>
  <c r="C128" i="89"/>
  <c r="A128" i="89" s="1"/>
  <c r="C48" i="89"/>
  <c r="A48" i="89" s="1"/>
  <c r="C27" i="89"/>
  <c r="A27" i="89" s="1"/>
  <c r="G125" i="88"/>
  <c r="C42" i="89"/>
  <c r="A42" i="89" s="1"/>
  <c r="F130" i="88"/>
  <c r="E130" i="88"/>
  <c r="E128" i="88"/>
  <c r="C128" i="88" s="1"/>
  <c r="A128" i="88" s="1"/>
  <c r="I159" i="80"/>
  <c r="F125" i="88"/>
  <c r="E125" i="88"/>
  <c r="E124" i="88"/>
  <c r="C124" i="88" s="1"/>
  <c r="A124" i="88" s="1"/>
  <c r="I1528" i="80"/>
  <c r="E96" i="88"/>
  <c r="C96" i="88" s="1"/>
  <c r="A96" i="88" s="1"/>
  <c r="E64" i="88"/>
  <c r="C64" i="88" s="1"/>
  <c r="A64" i="88" s="1"/>
  <c r="E52" i="88"/>
  <c r="C52" i="88" s="1"/>
  <c r="A52" i="88" s="1"/>
  <c r="E48" i="88"/>
  <c r="C48" i="88" s="1"/>
  <c r="A48" i="88" s="1"/>
  <c r="E27" i="88"/>
  <c r="C27" i="88" s="1"/>
  <c r="A27" i="88" s="1"/>
  <c r="L18" i="18"/>
  <c r="T1084" i="16"/>
  <c r="AD1084" i="16" s="1"/>
  <c r="T214" i="25"/>
  <c r="AD214" i="25" s="1"/>
  <c r="T14" i="25"/>
  <c r="AD14" i="25" s="1"/>
  <c r="R93" i="24"/>
  <c r="AE93" i="24" s="1"/>
  <c r="T93" i="24"/>
  <c r="S1086" i="16"/>
  <c r="T1086" i="16" s="1"/>
  <c r="AD1086" i="16" s="1"/>
  <c r="S1088" i="16"/>
  <c r="T1088" i="16" s="1"/>
  <c r="AD1088" i="16" s="1"/>
  <c r="R214" i="25"/>
  <c r="R364" i="25" s="1"/>
  <c r="S218" i="25"/>
  <c r="S216" i="25"/>
  <c r="R236" i="25"/>
  <c r="AE236" i="25" s="1"/>
  <c r="R244" i="25"/>
  <c r="AE244" i="25" s="1"/>
  <c r="T236" i="25"/>
  <c r="AD236" i="25" s="1"/>
  <c r="T1106" i="16"/>
  <c r="AD1106" i="16" s="1"/>
  <c r="I154" i="80"/>
  <c r="W59" i="86"/>
  <c r="T10" i="86" s="1"/>
  <c r="W143" i="86"/>
  <c r="W130" i="86" s="1"/>
  <c r="W125" i="86"/>
  <c r="AD900" i="16"/>
  <c r="AC900" i="16" s="1"/>
  <c r="AF528" i="16"/>
  <c r="AD30" i="25"/>
  <c r="AC30" i="25" s="1"/>
  <c r="I1925" i="80"/>
  <c r="A1925" i="80" s="1"/>
  <c r="N1924" i="16"/>
  <c r="M51" i="28"/>
  <c r="AM51" i="28" s="1"/>
  <c r="I293" i="80"/>
  <c r="A293" i="80" s="1"/>
  <c r="A292" i="80" s="1"/>
  <c r="W206" i="84"/>
  <c r="AF475" i="16"/>
  <c r="W50" i="86"/>
  <c r="AF1938" i="16"/>
  <c r="AO140" i="28"/>
  <c r="I2007" i="80"/>
  <c r="W208" i="85"/>
  <c r="O1693" i="16"/>
  <c r="T1693" i="16"/>
  <c r="AD1693" i="16" s="1"/>
  <c r="AC1693" i="16" s="1"/>
  <c r="O1695" i="16"/>
  <c r="T1695" i="16"/>
  <c r="T1704" i="16"/>
  <c r="R1705" i="16"/>
  <c r="T1702" i="16"/>
  <c r="AD1702" i="16" s="1"/>
  <c r="AC1702" i="16" s="1"/>
  <c r="R1703" i="16"/>
  <c r="O294" i="16"/>
  <c r="E293" i="81" s="1"/>
  <c r="S1787" i="16"/>
  <c r="C1533" i="80"/>
  <c r="S1322" i="16"/>
  <c r="O1322" i="16" s="1"/>
  <c r="E161" i="81"/>
  <c r="AO162" i="16"/>
  <c r="A1451" i="80"/>
  <c r="C1451" i="80" s="1"/>
  <c r="R14" i="25"/>
  <c r="AE14" i="25" s="1"/>
  <c r="N1611" i="16"/>
  <c r="W140" i="85"/>
  <c r="I355" i="80"/>
  <c r="I652" i="80"/>
  <c r="A652" i="80" s="1"/>
  <c r="I2216" i="80"/>
  <c r="W212" i="85"/>
  <c r="I2102" i="80"/>
  <c r="W214" i="85"/>
  <c r="I2031" i="80"/>
  <c r="W291" i="85"/>
  <c r="I281" i="80"/>
  <c r="A281" i="80" s="1"/>
  <c r="A280" i="80" s="1"/>
  <c r="W238" i="85"/>
  <c r="I2037" i="80"/>
  <c r="W131" i="85"/>
  <c r="W127" i="85"/>
  <c r="W272" i="84"/>
  <c r="O131" i="24"/>
  <c r="I448" i="80" s="1"/>
  <c r="T131" i="24"/>
  <c r="AD131" i="24" s="1"/>
  <c r="AC131" i="24" s="1"/>
  <c r="I1747" i="80"/>
  <c r="AO117" i="27"/>
  <c r="N1746" i="16"/>
  <c r="O318" i="24"/>
  <c r="N1804" i="16"/>
  <c r="AO175" i="27"/>
  <c r="I1805" i="80"/>
  <c r="I1710" i="80"/>
  <c r="I1709" i="80" s="1"/>
  <c r="N1709" i="16"/>
  <c r="AO80" i="27"/>
  <c r="T316" i="8"/>
  <c r="AD316" i="8" s="1"/>
  <c r="AC316" i="8" s="1"/>
  <c r="O316" i="8"/>
  <c r="I314" i="80" s="1"/>
  <c r="T123" i="24"/>
  <c r="AD123" i="24" s="1"/>
  <c r="AC123" i="24" s="1"/>
  <c r="O123" i="24"/>
  <c r="I440" i="80" s="1"/>
  <c r="T289" i="8"/>
  <c r="AD289" i="8" s="1"/>
  <c r="AC289" i="8" s="1"/>
  <c r="O289" i="8"/>
  <c r="I696" i="80"/>
  <c r="A696" i="80" s="1"/>
  <c r="AO379" i="24"/>
  <c r="N697" i="16"/>
  <c r="T306" i="8"/>
  <c r="AD306" i="8" s="1"/>
  <c r="AC306" i="8" s="1"/>
  <c r="O306" i="8"/>
  <c r="N305" i="16" s="1"/>
  <c r="T317" i="8"/>
  <c r="AD317" i="8" s="1"/>
  <c r="AC317" i="8" s="1"/>
  <c r="O317" i="8"/>
  <c r="N316" i="16" s="1"/>
  <c r="T256" i="8"/>
  <c r="AD256" i="8" s="1"/>
  <c r="AC256" i="8" s="1"/>
  <c r="O256" i="8"/>
  <c r="I254" i="80" s="1"/>
  <c r="AO1842" i="16"/>
  <c r="E1841" i="81"/>
  <c r="AO557" i="25"/>
  <c r="I1426" i="80"/>
  <c r="N1427" i="16"/>
  <c r="O135" i="24"/>
  <c r="I452" i="80" s="1"/>
  <c r="T135" i="24"/>
  <c r="AD135" i="24" s="1"/>
  <c r="AC135" i="24" s="1"/>
  <c r="I1936" i="80"/>
  <c r="AO69" i="28"/>
  <c r="N1935" i="16"/>
  <c r="T139" i="24"/>
  <c r="AD139" i="24" s="1"/>
  <c r="AC139" i="24" s="1"/>
  <c r="O139" i="24"/>
  <c r="I456" i="80" s="1"/>
  <c r="O313" i="8"/>
  <c r="I311" i="80" s="1"/>
  <c r="T313" i="8"/>
  <c r="AD313" i="8" s="1"/>
  <c r="AC313" i="8" s="1"/>
  <c r="AO26" i="28"/>
  <c r="I1893" i="80"/>
  <c r="N1892" i="16"/>
  <c r="T564" i="25"/>
  <c r="AD564" i="25" s="1"/>
  <c r="AC564" i="25" s="1"/>
  <c r="N257" i="16"/>
  <c r="AO258" i="8"/>
  <c r="I256" i="80"/>
  <c r="AO186" i="27"/>
  <c r="I1816" i="80"/>
  <c r="N1815" i="16"/>
  <c r="O326" i="8"/>
  <c r="T326" i="8"/>
  <c r="AD326" i="8" s="1"/>
  <c r="AC326" i="8" s="1"/>
  <c r="T287" i="8"/>
  <c r="AD287" i="8" s="1"/>
  <c r="AC287" i="8" s="1"/>
  <c r="O287" i="8"/>
  <c r="T322" i="8"/>
  <c r="AD322" i="8" s="1"/>
  <c r="AC322" i="8" s="1"/>
  <c r="O322" i="8"/>
  <c r="T657" i="25"/>
  <c r="AD657" i="25" s="1"/>
  <c r="AC657" i="25" s="1"/>
  <c r="O657" i="25"/>
  <c r="I1526" i="80" s="1"/>
  <c r="O125" i="24"/>
  <c r="I442" i="80" s="1"/>
  <c r="T125" i="24"/>
  <c r="AD125" i="24" s="1"/>
  <c r="AC125" i="24" s="1"/>
  <c r="T293" i="8"/>
  <c r="AD293" i="8" s="1"/>
  <c r="AC293" i="8" s="1"/>
  <c r="O293" i="8"/>
  <c r="N292" i="16" s="1"/>
  <c r="G292" i="16" s="1"/>
  <c r="S356" i="25"/>
  <c r="T356" i="25" s="1"/>
  <c r="AD356" i="25" s="1"/>
  <c r="AC356" i="25" s="1"/>
  <c r="AO1453" i="16"/>
  <c r="W280" i="84"/>
  <c r="BD1882" i="16"/>
  <c r="BC1645" i="16"/>
  <c r="I1571" i="80"/>
  <c r="T324" i="8"/>
  <c r="AD324" i="8" s="1"/>
  <c r="AC324" i="8" s="1"/>
  <c r="O324" i="8"/>
  <c r="AO324" i="8" s="1"/>
  <c r="C531" i="80"/>
  <c r="A532" i="80"/>
  <c r="C532" i="80" s="1"/>
  <c r="E70" i="81"/>
  <c r="AO71" i="16"/>
  <c r="A2014" i="80"/>
  <c r="C2013" i="80"/>
  <c r="A566" i="80"/>
  <c r="C565" i="80"/>
  <c r="A226" i="80"/>
  <c r="C226" i="80" s="1"/>
  <c r="C225" i="80"/>
  <c r="I219" i="80"/>
  <c r="A219" i="80" s="1"/>
  <c r="A791" i="80"/>
  <c r="C790" i="80"/>
  <c r="A2239" i="80"/>
  <c r="C2239" i="80" s="1"/>
  <c r="C2238" i="80"/>
  <c r="C1543" i="80"/>
  <c r="A1544" i="80"/>
  <c r="A1412" i="80"/>
  <c r="C1411" i="80"/>
  <c r="A464" i="80"/>
  <c r="C464" i="80" s="1"/>
  <c r="C463" i="80"/>
  <c r="A73" i="80"/>
  <c r="C73" i="80" s="1"/>
  <c r="C72" i="80"/>
  <c r="A821" i="80"/>
  <c r="C820" i="80"/>
  <c r="I1901" i="80"/>
  <c r="A1901" i="80" s="1"/>
  <c r="AO34" i="28"/>
  <c r="E371" i="81"/>
  <c r="AO372" i="16"/>
  <c r="E369" i="81"/>
  <c r="AO370" i="16"/>
  <c r="E89" i="81"/>
  <c r="AO90" i="16"/>
  <c r="E182" i="81"/>
  <c r="AO183" i="16"/>
  <c r="E180" i="81"/>
  <c r="AO181" i="16"/>
  <c r="A1487" i="80"/>
  <c r="C1486" i="80"/>
  <c r="A353" i="80"/>
  <c r="C353" i="80" s="1"/>
  <c r="C352" i="80"/>
  <c r="C58" i="80"/>
  <c r="A59" i="80"/>
  <c r="C2064" i="80"/>
  <c r="A2065" i="80"/>
  <c r="C2065" i="80" s="1"/>
  <c r="A79" i="80"/>
  <c r="C79" i="80" s="1"/>
  <c r="C78" i="80"/>
  <c r="C1915" i="80"/>
  <c r="A1916" i="80"/>
  <c r="A2061" i="80"/>
  <c r="C2061" i="80" s="1"/>
  <c r="C2060" i="80"/>
  <c r="C186" i="80"/>
  <c r="A187" i="80"/>
  <c r="C187" i="80" s="1"/>
  <c r="A2058" i="80"/>
  <c r="C2057" i="80"/>
  <c r="I1913" i="80"/>
  <c r="A1913" i="80" s="1"/>
  <c r="AO46" i="28"/>
  <c r="E1766" i="81"/>
  <c r="AO1767" i="16"/>
  <c r="I1918" i="80"/>
  <c r="A1918" i="80" s="1"/>
  <c r="AO51" i="28"/>
  <c r="E1899" i="81"/>
  <c r="AO1900" i="16"/>
  <c r="E372" i="81"/>
  <c r="AO373" i="16"/>
  <c r="A42" i="80"/>
  <c r="C41" i="80"/>
  <c r="A472" i="80"/>
  <c r="C471" i="80"/>
  <c r="I460" i="80"/>
  <c r="A460" i="80" s="1"/>
  <c r="A75" i="80"/>
  <c r="C75" i="80" s="1"/>
  <c r="C74" i="80"/>
  <c r="I1935" i="80"/>
  <c r="AO68" i="28"/>
  <c r="A181" i="80"/>
  <c r="C181" i="80" s="1"/>
  <c r="C180" i="80"/>
  <c r="E1925" i="81"/>
  <c r="AO1926" i="16"/>
  <c r="E1923" i="81"/>
  <c r="AO1924" i="16"/>
  <c r="E370" i="81"/>
  <c r="AO371" i="16"/>
  <c r="E735" i="81"/>
  <c r="AO736" i="16"/>
  <c r="I1955" i="80"/>
  <c r="A1955" i="80" s="1"/>
  <c r="C212" i="80"/>
  <c r="A213" i="80"/>
  <c r="C213" i="80" s="1"/>
  <c r="A2074" i="80"/>
  <c r="C2074" i="80" s="1"/>
  <c r="C2073" i="80"/>
  <c r="C413" i="80"/>
  <c r="A414" i="80"/>
  <c r="C409" i="80"/>
  <c r="I100" i="80"/>
  <c r="A100" i="80" s="1"/>
  <c r="A694" i="80"/>
  <c r="C694" i="80" s="1"/>
  <c r="C693" i="80"/>
  <c r="A2003" i="80"/>
  <c r="C2003" i="80" s="1"/>
  <c r="C2002" i="80"/>
  <c r="A21" i="80"/>
  <c r="C21" i="80" s="1"/>
  <c r="C20" i="80"/>
  <c r="C178" i="80"/>
  <c r="A179" i="80"/>
  <c r="C179" i="80" s="1"/>
  <c r="A1966" i="80"/>
  <c r="C1965" i="80"/>
  <c r="I2053" i="80"/>
  <c r="I2050" i="80" s="1"/>
  <c r="AO186" i="28"/>
  <c r="AO184" i="8"/>
  <c r="I182" i="80"/>
  <c r="A182" i="80" s="1"/>
  <c r="E12" i="81"/>
  <c r="G12" i="81" s="1"/>
  <c r="AO13" i="16"/>
  <c r="A2027" i="80"/>
  <c r="C2026" i="80"/>
  <c r="A653" i="80"/>
  <c r="C653" i="80" s="1"/>
  <c r="C652" i="80"/>
  <c r="A1881" i="80"/>
  <c r="C1880" i="80"/>
  <c r="C540" i="80"/>
  <c r="A541" i="80"/>
  <c r="A124" i="80"/>
  <c r="C123" i="80"/>
  <c r="A332" i="80"/>
  <c r="C331" i="80"/>
  <c r="A572" i="80"/>
  <c r="C571" i="80"/>
  <c r="N98" i="16"/>
  <c r="I97" i="80"/>
  <c r="A97" i="80" s="1"/>
  <c r="N1919" i="16"/>
  <c r="I1920" i="80"/>
  <c r="A1920" i="80" s="1"/>
  <c r="AO53" i="28"/>
  <c r="E1993" i="81"/>
  <c r="AO1994" i="16"/>
  <c r="E184" i="81"/>
  <c r="AO185" i="16"/>
  <c r="E1918" i="81"/>
  <c r="AO1919" i="16"/>
  <c r="E2051" i="81"/>
  <c r="AO2052" i="16"/>
  <c r="A1926" i="80"/>
  <c r="C1926" i="80" s="1"/>
  <c r="C1925" i="80"/>
  <c r="A262" i="80"/>
  <c r="C262" i="80" s="1"/>
  <c r="C261" i="80"/>
  <c r="A1431" i="80"/>
  <c r="C1431" i="80" s="1"/>
  <c r="C1430" i="80"/>
  <c r="A1886" i="80"/>
  <c r="C1886" i="80" s="1"/>
  <c r="C1885" i="80"/>
  <c r="C195" i="80"/>
  <c r="A196" i="80"/>
  <c r="C196" i="80" s="1"/>
  <c r="C1577" i="80"/>
  <c r="A1578" i="80"/>
  <c r="C1578" i="80" s="1"/>
  <c r="E2214" i="81"/>
  <c r="AO2215" i="16"/>
  <c r="E207" i="81"/>
  <c r="AO208" i="16"/>
  <c r="I1927" i="80"/>
  <c r="A1927" i="80" s="1"/>
  <c r="AO60" i="28"/>
  <c r="N71" i="16"/>
  <c r="I70" i="80"/>
  <c r="A70" i="80" s="1"/>
  <c r="AO426" i="24"/>
  <c r="I743" i="80"/>
  <c r="I724" i="80" s="1"/>
  <c r="A724" i="80" s="1"/>
  <c r="E72" i="81"/>
  <c r="AO73" i="16"/>
  <c r="A1961" i="80"/>
  <c r="C1960" i="80"/>
  <c r="A596" i="80"/>
  <c r="C595" i="80"/>
  <c r="C272" i="80"/>
  <c r="A273" i="80"/>
  <c r="C273" i="80" s="1"/>
  <c r="A583" i="80"/>
  <c r="C583" i="80" s="1"/>
  <c r="C582" i="80"/>
  <c r="A194" i="80"/>
  <c r="C194" i="80" s="1"/>
  <c r="C193" i="80"/>
  <c r="A2190" i="80"/>
  <c r="C2190" i="80" s="1"/>
  <c r="C2189" i="80"/>
  <c r="A1457" i="80"/>
  <c r="C1456" i="80"/>
  <c r="A423" i="80"/>
  <c r="C423" i="80" s="1"/>
  <c r="C422" i="80"/>
  <c r="C419" i="80"/>
  <c r="E99" i="81"/>
  <c r="AO100" i="16"/>
  <c r="E1933" i="81"/>
  <c r="G1933" i="81" s="1"/>
  <c r="AO1934" i="16"/>
  <c r="A1852" i="80"/>
  <c r="C1852" i="80" s="1"/>
  <c r="C1851" i="80"/>
  <c r="C222" i="80"/>
  <c r="A223" i="80"/>
  <c r="C223" i="80" s="1"/>
  <c r="A231" i="80"/>
  <c r="C230" i="80"/>
  <c r="A2234" i="80"/>
  <c r="C2233" i="80"/>
  <c r="C234" i="80"/>
  <c r="A235" i="80"/>
  <c r="C235" i="80" s="1"/>
  <c r="A2458" i="80"/>
  <c r="C2458" i="80" s="1"/>
  <c r="C2457" i="80"/>
  <c r="I2450" i="80"/>
  <c r="A2450" i="80" s="1"/>
  <c r="A122" i="80"/>
  <c r="C122" i="80" s="1"/>
  <c r="C121" i="80"/>
  <c r="A2245" i="80"/>
  <c r="C2244" i="80"/>
  <c r="C348" i="80"/>
  <c r="A349" i="80"/>
  <c r="A347" i="80"/>
  <c r="C347" i="80" s="1"/>
  <c r="C346" i="80"/>
  <c r="AO686" i="25"/>
  <c r="I1555" i="80"/>
  <c r="A1555" i="80" s="1"/>
  <c r="A1454" i="80"/>
  <c r="C1454" i="80" s="1"/>
  <c r="C1453" i="80"/>
  <c r="E1555" i="81"/>
  <c r="AO1556" i="16"/>
  <c r="AO2243" i="16"/>
  <c r="E2095" i="81"/>
  <c r="AO2096" i="16"/>
  <c r="AO1763" i="16"/>
  <c r="M1751" i="16"/>
  <c r="AM1760" i="16"/>
  <c r="AO1122" i="16"/>
  <c r="AO897" i="16"/>
  <c r="E1356" i="81"/>
  <c r="AO1357" i="16"/>
  <c r="E1329" i="81"/>
  <c r="AO1330" i="16"/>
  <c r="E1159" i="81"/>
  <c r="AO1160" i="16"/>
  <c r="E1052" i="81"/>
  <c r="AO1053" i="16"/>
  <c r="E1168" i="81"/>
  <c r="AO1169" i="16"/>
  <c r="E1191" i="81"/>
  <c r="AO1192" i="16"/>
  <c r="E1326" i="81"/>
  <c r="AO1327" i="16"/>
  <c r="E1324" i="81"/>
  <c r="AO1325" i="16"/>
  <c r="E1173" i="81"/>
  <c r="AO1174" i="16"/>
  <c r="E1319" i="81"/>
  <c r="AO1320" i="16"/>
  <c r="E1294" i="81"/>
  <c r="AO1295" i="16"/>
  <c r="E1179" i="81"/>
  <c r="AO1180" i="16"/>
  <c r="E1165" i="81"/>
  <c r="AO1166" i="16"/>
  <c r="E1325" i="81"/>
  <c r="AO1326" i="16"/>
  <c r="E1187" i="81"/>
  <c r="AO1188" i="16"/>
  <c r="E1204" i="81"/>
  <c r="AO1205" i="16"/>
  <c r="E1199" i="81"/>
  <c r="AO1200" i="16"/>
  <c r="E1153" i="81"/>
  <c r="AO1154" i="16"/>
  <c r="E745" i="81"/>
  <c r="AO746" i="16"/>
  <c r="E456" i="81"/>
  <c r="AO457" i="16"/>
  <c r="E635" i="81"/>
  <c r="AO636" i="16"/>
  <c r="E442" i="81"/>
  <c r="AO443" i="16"/>
  <c r="E452" i="81"/>
  <c r="AO453" i="16"/>
  <c r="E440" i="81"/>
  <c r="AO441" i="16"/>
  <c r="E448" i="81"/>
  <c r="AO449" i="16"/>
  <c r="AO93" i="16"/>
  <c r="E154" i="81"/>
  <c r="AO155" i="16"/>
  <c r="E175" i="81"/>
  <c r="AO176" i="16"/>
  <c r="E169" i="81"/>
  <c r="G169" i="81" s="1"/>
  <c r="AO170" i="16"/>
  <c r="E159" i="81"/>
  <c r="AO160" i="16"/>
  <c r="E156" i="81"/>
  <c r="AO157" i="16"/>
  <c r="E170" i="81"/>
  <c r="AO171" i="16"/>
  <c r="E139" i="81"/>
  <c r="AO140" i="16"/>
  <c r="G257" i="81"/>
  <c r="G258" i="81" s="1"/>
  <c r="G259" i="81" s="1"/>
  <c r="G251" i="81"/>
  <c r="E2242" i="81"/>
  <c r="E1762" i="81"/>
  <c r="E1121" i="81"/>
  <c r="E896" i="81"/>
  <c r="E92" i="81"/>
  <c r="A2324" i="80"/>
  <c r="C2323" i="80"/>
  <c r="A426" i="80"/>
  <c r="C425" i="80"/>
  <c r="R718" i="16"/>
  <c r="AE718" i="16" s="1"/>
  <c r="AC718" i="16" s="1"/>
  <c r="C1775" i="80"/>
  <c r="C1479" i="80"/>
  <c r="A1480" i="80"/>
  <c r="C127" i="80"/>
  <c r="A93" i="80"/>
  <c r="C93" i="80" s="1"/>
  <c r="C2199" i="80"/>
  <c r="C2194" i="80"/>
  <c r="C2151" i="80"/>
  <c r="A2087" i="80"/>
  <c r="A2088" i="80" s="1"/>
  <c r="I2041" i="80"/>
  <c r="A2041" i="80" s="1"/>
  <c r="C1929" i="80"/>
  <c r="A1860" i="80"/>
  <c r="C1860" i="80" s="1"/>
  <c r="C1859" i="80"/>
  <c r="A1776" i="80"/>
  <c r="I1683" i="80"/>
  <c r="A1683" i="80" s="1"/>
  <c r="A1549" i="80"/>
  <c r="I1541" i="80"/>
  <c r="A1541" i="80" s="1"/>
  <c r="A1525" i="80"/>
  <c r="C1525" i="80" s="1"/>
  <c r="C836" i="80"/>
  <c r="A837" i="80"/>
  <c r="C837" i="80" s="1"/>
  <c r="A813" i="80"/>
  <c r="C812" i="80"/>
  <c r="C680" i="80"/>
  <c r="A674" i="80"/>
  <c r="C673" i="80"/>
  <c r="C509" i="80"/>
  <c r="A510" i="80"/>
  <c r="A176" i="80"/>
  <c r="C176" i="80" s="1"/>
  <c r="C175" i="80"/>
  <c r="C156" i="80"/>
  <c r="A157" i="80"/>
  <c r="A135" i="80"/>
  <c r="C135" i="80" s="1"/>
  <c r="C134" i="80"/>
  <c r="AO215" i="28"/>
  <c r="I2082" i="80"/>
  <c r="A2082" i="80" s="1"/>
  <c r="I1904" i="80"/>
  <c r="I1890" i="80"/>
  <c r="I1843" i="80"/>
  <c r="A1843" i="80" s="1"/>
  <c r="AO66" i="27"/>
  <c r="I1696" i="80"/>
  <c r="AO64" i="27"/>
  <c r="I1694" i="80"/>
  <c r="I1650" i="80"/>
  <c r="A1650" i="80" s="1"/>
  <c r="I1506" i="80"/>
  <c r="A1506" i="80" s="1"/>
  <c r="I1442" i="80"/>
  <c r="A1442" i="80" s="1"/>
  <c r="I1437" i="80"/>
  <c r="I1265" i="80"/>
  <c r="I1260" i="80"/>
  <c r="I1257" i="80"/>
  <c r="I1255" i="80"/>
  <c r="I1251" i="80"/>
  <c r="I379" i="80"/>
  <c r="A379" i="80" s="1"/>
  <c r="AO292" i="8"/>
  <c r="I290" i="80"/>
  <c r="I199" i="80"/>
  <c r="A199" i="80" s="1"/>
  <c r="AO163" i="8"/>
  <c r="I161" i="80"/>
  <c r="A161" i="80" s="1"/>
  <c r="I148" i="80"/>
  <c r="A148" i="80" s="1"/>
  <c r="AO141" i="8"/>
  <c r="I139" i="80"/>
  <c r="I113" i="80" s="1"/>
  <c r="A113" i="80" s="1"/>
  <c r="I44" i="80"/>
  <c r="A44" i="80" s="1"/>
  <c r="AO235" i="28"/>
  <c r="AO178" i="28"/>
  <c r="AO62" i="28"/>
  <c r="AO79" i="29"/>
  <c r="AO170" i="28"/>
  <c r="AO176" i="28"/>
  <c r="G195" i="16"/>
  <c r="G221" i="16"/>
  <c r="G222" i="16" s="1"/>
  <c r="G102" i="16"/>
  <c r="G103" i="16" s="1"/>
  <c r="G214" i="16"/>
  <c r="G129" i="16"/>
  <c r="G130" i="16" s="1"/>
  <c r="G131" i="16" s="1"/>
  <c r="G132" i="16" s="1"/>
  <c r="G133" i="16" s="1"/>
  <c r="G134" i="16" s="1"/>
  <c r="G94" i="16"/>
  <c r="G95" i="16" s="1"/>
  <c r="G96" i="16" s="1"/>
  <c r="G97" i="16" s="1"/>
  <c r="AO276" i="8"/>
  <c r="N275" i="16"/>
  <c r="H32" i="17"/>
  <c r="N2215" i="16"/>
  <c r="AO349" i="28"/>
  <c r="N2030" i="16"/>
  <c r="AO164" i="28"/>
  <c r="AO37" i="28"/>
  <c r="AO23" i="28"/>
  <c r="AO396" i="25"/>
  <c r="AO391" i="25"/>
  <c r="AO386" i="25"/>
  <c r="S1234" i="16"/>
  <c r="T1234" i="16" s="1"/>
  <c r="AD1234" i="16" s="1"/>
  <c r="AC1234" i="16" s="1"/>
  <c r="O316" i="25"/>
  <c r="I1185" i="80" s="1"/>
  <c r="T316" i="25"/>
  <c r="AD316" i="25" s="1"/>
  <c r="AC316" i="25" s="1"/>
  <c r="O2030" i="16"/>
  <c r="E64" i="89" s="1"/>
  <c r="C64" i="89" s="1"/>
  <c r="A64" i="89" s="1"/>
  <c r="R964" i="16"/>
  <c r="AE964" i="16" s="1"/>
  <c r="T964" i="16"/>
  <c r="AD964" i="16" s="1"/>
  <c r="R965" i="16"/>
  <c r="AE965" i="16" s="1"/>
  <c r="T965" i="16"/>
  <c r="AD965" i="16" s="1"/>
  <c r="R958" i="16"/>
  <c r="T958" i="16"/>
  <c r="AD958" i="16" s="1"/>
  <c r="R966" i="16"/>
  <c r="AE966" i="16" s="1"/>
  <c r="T966" i="16"/>
  <c r="AD966" i="16" s="1"/>
  <c r="R959" i="16"/>
  <c r="AE959" i="16" s="1"/>
  <c r="T959" i="16"/>
  <c r="AD959" i="16" s="1"/>
  <c r="R967" i="16"/>
  <c r="AE967" i="16" s="1"/>
  <c r="T967" i="16"/>
  <c r="AD967" i="16" s="1"/>
  <c r="R960" i="16"/>
  <c r="AE960" i="16" s="1"/>
  <c r="T960" i="16"/>
  <c r="AD960" i="16" s="1"/>
  <c r="R968" i="16"/>
  <c r="AE968" i="16" s="1"/>
  <c r="T968" i="16"/>
  <c r="AD968" i="16" s="1"/>
  <c r="R961" i="16"/>
  <c r="AE961" i="16" s="1"/>
  <c r="T961" i="16"/>
  <c r="AD961" i="16" s="1"/>
  <c r="R969" i="16"/>
  <c r="AE969" i="16" s="1"/>
  <c r="T969" i="16"/>
  <c r="AD969" i="16" s="1"/>
  <c r="R963" i="16"/>
  <c r="AE963" i="16" s="1"/>
  <c r="T963" i="16"/>
  <c r="AD963" i="16" s="1"/>
  <c r="R962" i="16"/>
  <c r="AE962" i="16" s="1"/>
  <c r="T962" i="16"/>
  <c r="AD962" i="16" s="1"/>
  <c r="R970" i="16"/>
  <c r="AE970" i="16" s="1"/>
  <c r="T970" i="16"/>
  <c r="AD970" i="16" s="1"/>
  <c r="R93" i="25"/>
  <c r="AE93" i="25" s="1"/>
  <c r="T93" i="25"/>
  <c r="AD93" i="25" s="1"/>
  <c r="R94" i="25"/>
  <c r="AE94" i="25" s="1"/>
  <c r="T94" i="25"/>
  <c r="AD94" i="25" s="1"/>
  <c r="R88" i="25"/>
  <c r="T88" i="25"/>
  <c r="AD88" i="25" s="1"/>
  <c r="R96" i="25"/>
  <c r="AE96" i="25" s="1"/>
  <c r="T96" i="25"/>
  <c r="AD96" i="25" s="1"/>
  <c r="R95" i="25"/>
  <c r="AE95" i="25" s="1"/>
  <c r="T95" i="25"/>
  <c r="AD95" i="25" s="1"/>
  <c r="R89" i="25"/>
  <c r="AE89" i="25" s="1"/>
  <c r="T89" i="25"/>
  <c r="AD89" i="25" s="1"/>
  <c r="R97" i="25"/>
  <c r="AE97" i="25" s="1"/>
  <c r="T97" i="25"/>
  <c r="AD97" i="25" s="1"/>
  <c r="R90" i="25"/>
  <c r="AE90" i="25" s="1"/>
  <c r="T90" i="25"/>
  <c r="AD90" i="25" s="1"/>
  <c r="R98" i="25"/>
  <c r="AE98" i="25" s="1"/>
  <c r="T98" i="25"/>
  <c r="AD98" i="25" s="1"/>
  <c r="R91" i="25"/>
  <c r="AE91" i="25" s="1"/>
  <c r="T91" i="25"/>
  <c r="AD91" i="25" s="1"/>
  <c r="R99" i="25"/>
  <c r="AE99" i="25" s="1"/>
  <c r="T99" i="25"/>
  <c r="AD99" i="25" s="1"/>
  <c r="R92" i="25"/>
  <c r="AE92" i="25" s="1"/>
  <c r="T92" i="25"/>
  <c r="AD92" i="25" s="1"/>
  <c r="R100" i="25"/>
  <c r="AE100" i="25" s="1"/>
  <c r="T100" i="25"/>
  <c r="AD100" i="25" s="1"/>
  <c r="AD1650" i="16"/>
  <c r="AC1650" i="16" s="1"/>
  <c r="F32" i="17"/>
  <c r="F32" i="18"/>
  <c r="T1292" i="16"/>
  <c r="AD1292" i="16" s="1"/>
  <c r="AC1292" i="16" s="1"/>
  <c r="O1292" i="16"/>
  <c r="E91" i="89" s="1"/>
  <c r="T1270" i="16"/>
  <c r="AD1270" i="16" s="1"/>
  <c r="AC1270" i="16" s="1"/>
  <c r="S1272" i="16"/>
  <c r="T1272" i="16" s="1"/>
  <c r="AD1272" i="16" s="1"/>
  <c r="AC1272" i="16" s="1"/>
  <c r="T1251" i="16"/>
  <c r="AD1251" i="16" s="1"/>
  <c r="AC1251" i="16" s="1"/>
  <c r="S1253" i="16"/>
  <c r="T1253" i="16" s="1"/>
  <c r="AD1253" i="16" s="1"/>
  <c r="AC1253" i="16" s="1"/>
  <c r="O422" i="25"/>
  <c r="I1291" i="80" s="1"/>
  <c r="T422" i="25"/>
  <c r="AD422" i="25" s="1"/>
  <c r="AC422" i="25" s="1"/>
  <c r="T400" i="25"/>
  <c r="AD400" i="25" s="1"/>
  <c r="AC400" i="25" s="1"/>
  <c r="S402" i="25"/>
  <c r="T402" i="25" s="1"/>
  <c r="AD402" i="25" s="1"/>
  <c r="AC402" i="25" s="1"/>
  <c r="T381" i="25"/>
  <c r="AD381" i="25" s="1"/>
  <c r="AC381" i="25" s="1"/>
  <c r="S383" i="25"/>
  <c r="T383" i="25" s="1"/>
  <c r="AD383" i="25" s="1"/>
  <c r="AC383" i="25" s="1"/>
  <c r="G739" i="16"/>
  <c r="G740" i="16" s="1"/>
  <c r="G741" i="16" s="1"/>
  <c r="G742" i="16" s="1"/>
  <c r="G743" i="16" s="1"/>
  <c r="G801" i="16"/>
  <c r="G802" i="16" s="1"/>
  <c r="G803" i="16" s="1"/>
  <c r="G804" i="16" s="1"/>
  <c r="G805" i="16" s="1"/>
  <c r="G806" i="16" s="1"/>
  <c r="G807" i="16" s="1"/>
  <c r="G808" i="16" s="1"/>
  <c r="G809" i="16" s="1"/>
  <c r="G810" i="16" s="1"/>
  <c r="G811" i="16" s="1"/>
  <c r="O331" i="16"/>
  <c r="O117" i="24"/>
  <c r="I434" i="80" s="1"/>
  <c r="AE219" i="28"/>
  <c r="AC219" i="28" s="1"/>
  <c r="M342" i="16"/>
  <c r="I32" i="17"/>
  <c r="O80" i="24"/>
  <c r="I397" i="80" s="1"/>
  <c r="A397" i="80" s="1"/>
  <c r="M88" i="29"/>
  <c r="AM88" i="29" s="1"/>
  <c r="AD93" i="24"/>
  <c r="AC93" i="24" s="1"/>
  <c r="M93" i="24"/>
  <c r="AM93" i="24" s="1"/>
  <c r="R103" i="24"/>
  <c r="M103" i="24" s="1"/>
  <c r="AM103" i="24" s="1"/>
  <c r="R28" i="29"/>
  <c r="M28" i="29" s="1"/>
  <c r="AM28" i="29" s="1"/>
  <c r="T60" i="29"/>
  <c r="AD60" i="29" s="1"/>
  <c r="AC60" i="29" s="1"/>
  <c r="T88" i="29"/>
  <c r="AD88" i="29" s="1"/>
  <c r="AC88" i="29" s="1"/>
  <c r="N1693" i="16"/>
  <c r="N291" i="16"/>
  <c r="G291" i="16" s="1"/>
  <c r="N140" i="16"/>
  <c r="N1695" i="16"/>
  <c r="N162" i="16"/>
  <c r="N2322" i="16"/>
  <c r="N2081" i="16"/>
  <c r="T1102" i="16"/>
  <c r="W1104" i="16" s="1"/>
  <c r="AE1917" i="16"/>
  <c r="AC1917" i="16" s="1"/>
  <c r="M1917" i="16"/>
  <c r="AM1917" i="16" s="1"/>
  <c r="M1912" i="16"/>
  <c r="AM1912" i="16" s="1"/>
  <c r="AE1912" i="16"/>
  <c r="AC1912" i="16" s="1"/>
  <c r="O91" i="16"/>
  <c r="AC1926" i="16"/>
  <c r="AE1909" i="16"/>
  <c r="AC1909" i="16" s="1"/>
  <c r="M1909" i="16"/>
  <c r="AM1909" i="16" s="1"/>
  <c r="AF1895" i="16"/>
  <c r="AE1924" i="16"/>
  <c r="AC1924" i="16" s="1"/>
  <c r="M1924" i="16"/>
  <c r="AM1924" i="16" s="1"/>
  <c r="T93" i="16"/>
  <c r="AD93" i="16" s="1"/>
  <c r="AC93" i="16" s="1"/>
  <c r="AC483" i="16"/>
  <c r="AF483" i="16"/>
  <c r="T435" i="16"/>
  <c r="AD435" i="16" s="1"/>
  <c r="AC435" i="16" s="1"/>
  <c r="O435" i="16"/>
  <c r="G1955" i="16"/>
  <c r="G1956" i="16" s="1"/>
  <c r="T98" i="16"/>
  <c r="AD98" i="16" s="1"/>
  <c r="AC98" i="16" s="1"/>
  <c r="O98" i="16"/>
  <c r="M1914" i="16"/>
  <c r="AM1914" i="16" s="1"/>
  <c r="AE1914" i="16"/>
  <c r="AC1914" i="16" s="1"/>
  <c r="O2210" i="16"/>
  <c r="G1412" i="16"/>
  <c r="G1413" i="16" s="1"/>
  <c r="G1414" i="16" s="1"/>
  <c r="G1415" i="16" s="1"/>
  <c r="G1416" i="16" s="1"/>
  <c r="G1417" i="16" s="1"/>
  <c r="G1418" i="16" s="1"/>
  <c r="G1419" i="16" s="1"/>
  <c r="G1420" i="16" s="1"/>
  <c r="G1421" i="16" s="1"/>
  <c r="M1919" i="16"/>
  <c r="AM1919" i="16" s="1"/>
  <c r="AE1919" i="16"/>
  <c r="AC1919" i="16" s="1"/>
  <c r="S2331" i="16"/>
  <c r="T2331" i="16" s="1"/>
  <c r="AD2331" i="16" s="1"/>
  <c r="S2411" i="16"/>
  <c r="S2430" i="16"/>
  <c r="T2430" i="16" s="1"/>
  <c r="AD2430" i="16" s="1"/>
  <c r="AC2430" i="16" s="1"/>
  <c r="S2419" i="16"/>
  <c r="T2419" i="16" s="1"/>
  <c r="AD2419" i="16" s="1"/>
  <c r="AC2419" i="16" s="1"/>
  <c r="S2429" i="16"/>
  <c r="T2429" i="16" s="1"/>
  <c r="AD2429" i="16" s="1"/>
  <c r="AC2429" i="16" s="1"/>
  <c r="S2418" i="16"/>
  <c r="T2418" i="16" s="1"/>
  <c r="AD2418" i="16" s="1"/>
  <c r="AC2418" i="16" s="1"/>
  <c r="S2410" i="16"/>
  <c r="O2408" i="16" s="1"/>
  <c r="S2428" i="16"/>
  <c r="T2428" i="16" s="1"/>
  <c r="AD2428" i="16" s="1"/>
  <c r="AC2428" i="16" s="1"/>
  <c r="S2417" i="16"/>
  <c r="T2417" i="16" s="1"/>
  <c r="AD2417" i="16" s="1"/>
  <c r="AC2417" i="16" s="1"/>
  <c r="S2416" i="16"/>
  <c r="T2416" i="16" s="1"/>
  <c r="AD2416" i="16" s="1"/>
  <c r="AC2416" i="16" s="1"/>
  <c r="S2393" i="16"/>
  <c r="T2393" i="16" s="1"/>
  <c r="S2427" i="16"/>
  <c r="T2427" i="16" s="1"/>
  <c r="AD2427" i="16" s="1"/>
  <c r="AC2427" i="16" s="1"/>
  <c r="S2426" i="16"/>
  <c r="T2426" i="16" s="1"/>
  <c r="AD2426" i="16" s="1"/>
  <c r="AC2426" i="16" s="1"/>
  <c r="S2415" i="16"/>
  <c r="T2415" i="16" s="1"/>
  <c r="AD2415" i="16" s="1"/>
  <c r="AC2415" i="16" s="1"/>
  <c r="S2425" i="16"/>
  <c r="T2425" i="16" s="1"/>
  <c r="AD2425" i="16" s="1"/>
  <c r="AC2425" i="16" s="1"/>
  <c r="S2414" i="16"/>
  <c r="T2414" i="16" s="1"/>
  <c r="AD2414" i="16" s="1"/>
  <c r="AC2414" i="16" s="1"/>
  <c r="S2424" i="16"/>
  <c r="T2424" i="16" s="1"/>
  <c r="AD2424" i="16" s="1"/>
  <c r="AC2424" i="16" s="1"/>
  <c r="S2412" i="16"/>
  <c r="Z15" i="23"/>
  <c r="BD2259" i="16"/>
  <c r="O2042" i="16"/>
  <c r="O2036" i="16"/>
  <c r="O1928" i="16"/>
  <c r="O1585" i="16"/>
  <c r="O1583" i="16"/>
  <c r="O1529" i="16"/>
  <c r="E96" i="89" s="1"/>
  <c r="C96" i="89" s="1"/>
  <c r="A96" i="89" s="1"/>
  <c r="O1637" i="16"/>
  <c r="O1525" i="16"/>
  <c r="O1636" i="16"/>
  <c r="O1627" i="16"/>
  <c r="E94" i="89" s="1"/>
  <c r="O1496" i="16"/>
  <c r="O286" i="16"/>
  <c r="O282" i="16"/>
  <c r="F156" i="89" s="1"/>
  <c r="O288" i="16"/>
  <c r="O321" i="16"/>
  <c r="O292" i="16"/>
  <c r="O325" i="16"/>
  <c r="E162" i="89" s="1"/>
  <c r="O316" i="16"/>
  <c r="O255" i="16"/>
  <c r="O305" i="16"/>
  <c r="O315" i="16"/>
  <c r="O291" i="16"/>
  <c r="AE933" i="16"/>
  <c r="AC933" i="16" s="1"/>
  <c r="AE43" i="28"/>
  <c r="AC43" i="28" s="1"/>
  <c r="M43" i="28"/>
  <c r="AM43" i="28" s="1"/>
  <c r="M46" i="28"/>
  <c r="AM46" i="28" s="1"/>
  <c r="T286" i="16"/>
  <c r="AD286" i="16" s="1"/>
  <c r="AC286" i="16" s="1"/>
  <c r="T292" i="16"/>
  <c r="AD292" i="16" s="1"/>
  <c r="AC292" i="16" s="1"/>
  <c r="T288" i="16"/>
  <c r="AD288" i="16" s="1"/>
  <c r="AC288" i="16" s="1"/>
  <c r="T316" i="16"/>
  <c r="AD316" i="16" s="1"/>
  <c r="AC316" i="16" s="1"/>
  <c r="T305" i="16"/>
  <c r="AD305" i="16" s="1"/>
  <c r="AC305" i="16" s="1"/>
  <c r="T315" i="16"/>
  <c r="AD315" i="16" s="1"/>
  <c r="AC315" i="16" s="1"/>
  <c r="T291" i="16"/>
  <c r="AD291" i="16" s="1"/>
  <c r="AC291" i="16" s="1"/>
  <c r="T321" i="16"/>
  <c r="AD321" i="16" s="1"/>
  <c r="AC321" i="16" s="1"/>
  <c r="T325" i="16"/>
  <c r="AD325" i="16" s="1"/>
  <c r="AC325" i="16" s="1"/>
  <c r="G350" i="16"/>
  <c r="G669" i="16"/>
  <c r="G687" i="16"/>
  <c r="G681" i="16" s="1"/>
  <c r="G357" i="16"/>
  <c r="G358" i="16" s="1"/>
  <c r="T1223" i="16"/>
  <c r="S1229" i="16" s="1"/>
  <c r="G728" i="16"/>
  <c r="T41" i="25"/>
  <c r="AD41" i="25" s="1"/>
  <c r="R41" i="25"/>
  <c r="M41" i="25" s="1"/>
  <c r="AM41" i="25" s="1"/>
  <c r="T44" i="25"/>
  <c r="AD44" i="25" s="1"/>
  <c r="R44" i="25"/>
  <c r="M44" i="25" s="1"/>
  <c r="AM44" i="25" s="1"/>
  <c r="R50" i="25"/>
  <c r="M50" i="25" s="1"/>
  <c r="AM50" i="25" s="1"/>
  <c r="T50" i="25"/>
  <c r="AD50" i="25" s="1"/>
  <c r="T47" i="25"/>
  <c r="AD47" i="25" s="1"/>
  <c r="R47" i="25"/>
  <c r="M47" i="25" s="1"/>
  <c r="AM47" i="25" s="1"/>
  <c r="R45" i="25"/>
  <c r="M45" i="25" s="1"/>
  <c r="AM45" i="25" s="1"/>
  <c r="T45" i="25"/>
  <c r="AD45" i="25" s="1"/>
  <c r="R52" i="25"/>
  <c r="M52" i="25" s="1"/>
  <c r="AM52" i="25" s="1"/>
  <c r="T52" i="25"/>
  <c r="AD52" i="25" s="1"/>
  <c r="T51" i="25"/>
  <c r="AD51" i="25" s="1"/>
  <c r="R51" i="25"/>
  <c r="M51" i="25" s="1"/>
  <c r="AM51" i="25" s="1"/>
  <c r="T55" i="25"/>
  <c r="AD55" i="25" s="1"/>
  <c r="R55" i="25"/>
  <c r="M55" i="25" s="1"/>
  <c r="AM55" i="25" s="1"/>
  <c r="T54" i="25"/>
  <c r="AD54" i="25" s="1"/>
  <c r="R54" i="25"/>
  <c r="M54" i="25" s="1"/>
  <c r="AM54" i="25" s="1"/>
  <c r="R57" i="25"/>
  <c r="M57" i="25" s="1"/>
  <c r="AM57" i="25" s="1"/>
  <c r="T57" i="25"/>
  <c r="AD57" i="25" s="1"/>
  <c r="T56" i="25"/>
  <c r="AD56" i="25" s="1"/>
  <c r="R56" i="25"/>
  <c r="M56" i="25" s="1"/>
  <c r="AM56" i="25" s="1"/>
  <c r="R42" i="25"/>
  <c r="M42" i="25" s="1"/>
  <c r="AM42" i="25" s="1"/>
  <c r="T42" i="25"/>
  <c r="AD42" i="25" s="1"/>
  <c r="T59" i="25"/>
  <c r="AD59" i="25" s="1"/>
  <c r="R59" i="25"/>
  <c r="M59" i="25" s="1"/>
  <c r="AM59" i="25" s="1"/>
  <c r="T912" i="16"/>
  <c r="AD912" i="16" s="1"/>
  <c r="R912" i="16"/>
  <c r="T921" i="16"/>
  <c r="AD921" i="16" s="1"/>
  <c r="R921" i="16"/>
  <c r="T917" i="16"/>
  <c r="AD917" i="16" s="1"/>
  <c r="R917" i="16"/>
  <c r="R926" i="16"/>
  <c r="T926" i="16"/>
  <c r="AD926" i="16" s="1"/>
  <c r="T925" i="16"/>
  <c r="AD925" i="16" s="1"/>
  <c r="R925" i="16"/>
  <c r="T920" i="16"/>
  <c r="AD920" i="16" s="1"/>
  <c r="R920" i="16"/>
  <c r="R914" i="16"/>
  <c r="T914" i="16"/>
  <c r="AD914" i="16" s="1"/>
  <c r="T927" i="16"/>
  <c r="AD927" i="16" s="1"/>
  <c r="R927" i="16"/>
  <c r="T911" i="16"/>
  <c r="AD911" i="16" s="1"/>
  <c r="R911" i="16"/>
  <c r="T915" i="16"/>
  <c r="AD915" i="16" s="1"/>
  <c r="R915" i="16"/>
  <c r="T929" i="16"/>
  <c r="AD929" i="16" s="1"/>
  <c r="R929" i="16"/>
  <c r="T924" i="16"/>
  <c r="AD924" i="16" s="1"/>
  <c r="R924" i="16"/>
  <c r="R922" i="16"/>
  <c r="T922" i="16"/>
  <c r="AD922" i="16" s="1"/>
  <c r="AD1767" i="16"/>
  <c r="AC1767" i="16" s="1"/>
  <c r="T100" i="16"/>
  <c r="AD100" i="16" s="1"/>
  <c r="AC100" i="16" s="1"/>
  <c r="T2210" i="16"/>
  <c r="AD2210" i="16" s="1"/>
  <c r="AC2210" i="16" s="1"/>
  <c r="T91" i="16"/>
  <c r="AD91" i="16" s="1"/>
  <c r="AC91" i="16" s="1"/>
  <c r="AD1763" i="16"/>
  <c r="AC1763" i="16" s="1"/>
  <c r="S1186" i="16"/>
  <c r="T1186" i="16" s="1"/>
  <c r="AD1186" i="16" s="1"/>
  <c r="AC1186" i="16" s="1"/>
  <c r="S2101" i="16"/>
  <c r="O2101" i="16" s="1"/>
  <c r="S1297" i="16"/>
  <c r="O60" i="29"/>
  <c r="R122" i="29"/>
  <c r="M122" i="29" s="1"/>
  <c r="AM122" i="29" s="1"/>
  <c r="R17" i="29"/>
  <c r="AE17" i="29" s="1"/>
  <c r="AC17" i="29" s="1"/>
  <c r="N373" i="16"/>
  <c r="G373" i="16" s="1"/>
  <c r="T169" i="29"/>
  <c r="AD169" i="29" s="1"/>
  <c r="R169" i="29"/>
  <c r="M85" i="29"/>
  <c r="AM85" i="29" s="1"/>
  <c r="R103" i="29"/>
  <c r="M103" i="29" s="1"/>
  <c r="AM103" i="29" s="1"/>
  <c r="T167" i="29"/>
  <c r="AD167" i="29" s="1"/>
  <c r="R167" i="29"/>
  <c r="T168" i="29"/>
  <c r="AD168" i="29" s="1"/>
  <c r="R168" i="29"/>
  <c r="T85" i="29"/>
  <c r="AD85" i="29" s="1"/>
  <c r="AC85" i="29" s="1"/>
  <c r="M60" i="29"/>
  <c r="AM60" i="29" s="1"/>
  <c r="R16" i="29"/>
  <c r="M16" i="29" s="1"/>
  <c r="AM16" i="29" s="1"/>
  <c r="T128" i="29"/>
  <c r="AD128" i="29" s="1"/>
  <c r="I2368" i="80"/>
  <c r="A2368" i="80" s="1"/>
  <c r="R152" i="29"/>
  <c r="O152" i="29"/>
  <c r="T152" i="29"/>
  <c r="AD152" i="29" s="1"/>
  <c r="N1912" i="16"/>
  <c r="M53" i="28"/>
  <c r="AM53" i="28" s="1"/>
  <c r="AE53" i="28"/>
  <c r="AC53" i="28" s="1"/>
  <c r="N1780" i="16"/>
  <c r="AO151" i="27"/>
  <c r="AO138" i="27"/>
  <c r="AO741" i="25"/>
  <c r="S429" i="16"/>
  <c r="AO730" i="25"/>
  <c r="N1600" i="16"/>
  <c r="S328" i="25"/>
  <c r="T328" i="25" s="1"/>
  <c r="AD328" i="25" s="1"/>
  <c r="AC328" i="25" s="1"/>
  <c r="S19" i="25"/>
  <c r="T12" i="25" s="1"/>
  <c r="AD12" i="25" s="1"/>
  <c r="AC12" i="25" s="1"/>
  <c r="N1599" i="16"/>
  <c r="G1599" i="16" s="1"/>
  <c r="S431" i="16"/>
  <c r="T431" i="16" s="1"/>
  <c r="AD431" i="16" s="1"/>
  <c r="S411" i="16"/>
  <c r="R411" i="16" s="1"/>
  <c r="AE411" i="16" s="1"/>
  <c r="AF411" i="16" s="1"/>
  <c r="N744" i="16"/>
  <c r="O344" i="28"/>
  <c r="E24" i="88" s="1"/>
  <c r="C24" i="88" s="1"/>
  <c r="A24" i="88" s="1"/>
  <c r="N837" i="16"/>
  <c r="AO54" i="24"/>
  <c r="N372" i="16"/>
  <c r="G372" i="16" s="1"/>
  <c r="S2325" i="16"/>
  <c r="O2322" i="16" s="1"/>
  <c r="AO99" i="8"/>
  <c r="N183" i="16"/>
  <c r="N181" i="16"/>
  <c r="AO182" i="8"/>
  <c r="S2285" i="16"/>
  <c r="T2285" i="16" s="1"/>
  <c r="AD2285" i="16" s="1"/>
  <c r="AC2285" i="16" s="1"/>
  <c r="S2387" i="16"/>
  <c r="T2387" i="16" s="1"/>
  <c r="AD2387" i="16" s="1"/>
  <c r="AC2387" i="16" s="1"/>
  <c r="S2351" i="16"/>
  <c r="T2351" i="16" s="1"/>
  <c r="AD2351" i="16" s="1"/>
  <c r="AC2351" i="16" s="1"/>
  <c r="S2373" i="16"/>
  <c r="T2373" i="16" s="1"/>
  <c r="AD2373" i="16" s="1"/>
  <c r="AC2373" i="16" s="1"/>
  <c r="S2290" i="16"/>
  <c r="T2290" i="16" s="1"/>
  <c r="AD2290" i="16" s="1"/>
  <c r="AC2290" i="16" s="1"/>
  <c r="S2359" i="16"/>
  <c r="T2359" i="16" s="1"/>
  <c r="AD2359" i="16" s="1"/>
  <c r="AC2359" i="16" s="1"/>
  <c r="S2258" i="16"/>
  <c r="S2297" i="16"/>
  <c r="T2297" i="16" s="1"/>
  <c r="AD2297" i="16" s="1"/>
  <c r="AC2297" i="16" s="1"/>
  <c r="S2336" i="16"/>
  <c r="T2336" i="16" s="1"/>
  <c r="AD2336" i="16" s="1"/>
  <c r="AC2336" i="16" s="1"/>
  <c r="S2264" i="16"/>
  <c r="T2264" i="16" s="1"/>
  <c r="AD2264" i="16" s="1"/>
  <c r="AC2264" i="16" s="1"/>
  <c r="S2268" i="16"/>
  <c r="T2268" i="16" s="1"/>
  <c r="AD2268" i="16" s="1"/>
  <c r="AC2268" i="16" s="1"/>
  <c r="S2274" i="16"/>
  <c r="T2274" i="16" s="1"/>
  <c r="AD2274" i="16" s="1"/>
  <c r="AC2274" i="16" s="1"/>
  <c r="S2349" i="16"/>
  <c r="T2349" i="16" s="1"/>
  <c r="AD2349" i="16" s="1"/>
  <c r="AC2349" i="16" s="1"/>
  <c r="S2281" i="16"/>
  <c r="T2281" i="16" s="1"/>
  <c r="AD2281" i="16" s="1"/>
  <c r="AC2281" i="16" s="1"/>
  <c r="S2386" i="16"/>
  <c r="T2386" i="16" s="1"/>
  <c r="AD2386" i="16" s="1"/>
  <c r="AC2386" i="16" s="1"/>
  <c r="S51" i="8"/>
  <c r="O51" i="8" s="1"/>
  <c r="W235" i="85" s="1"/>
  <c r="S421" i="16"/>
  <c r="T421" i="16" s="1"/>
  <c r="AD421" i="16" s="1"/>
  <c r="S2346" i="16"/>
  <c r="S2395" i="16"/>
  <c r="O2395" i="16" s="1"/>
  <c r="S2275" i="16"/>
  <c r="T2275" i="16" s="1"/>
  <c r="AD2275" i="16" s="1"/>
  <c r="AC2275" i="16" s="1"/>
  <c r="S2354" i="16"/>
  <c r="T2354" i="16" s="1"/>
  <c r="AD2354" i="16" s="1"/>
  <c r="AC2354" i="16" s="1"/>
  <c r="S2344" i="16"/>
  <c r="O2340" i="16" s="1"/>
  <c r="S2391" i="16"/>
  <c r="T2391" i="16" s="1"/>
  <c r="AD2391" i="16" s="1"/>
  <c r="AC2391" i="16" s="1"/>
  <c r="S2287" i="16"/>
  <c r="T2287" i="16" s="1"/>
  <c r="AD2287" i="16" s="1"/>
  <c r="AC2287" i="16" s="1"/>
  <c r="S2384" i="16"/>
  <c r="T2384" i="16" s="1"/>
  <c r="AD2384" i="16" s="1"/>
  <c r="AC2384" i="16" s="1"/>
  <c r="S2303" i="16"/>
  <c r="O2303" i="16" s="1"/>
  <c r="E171" i="89" s="1"/>
  <c r="S2333" i="16"/>
  <c r="T2333" i="16" s="1"/>
  <c r="AD2333" i="16" s="1"/>
  <c r="AC2333" i="16" s="1"/>
  <c r="S2356" i="16"/>
  <c r="T2356" i="16" s="1"/>
  <c r="AD2356" i="16" s="1"/>
  <c r="AC2356" i="16" s="1"/>
  <c r="S2302" i="16"/>
  <c r="T2302" i="16" s="1"/>
  <c r="AD2302" i="16" s="1"/>
  <c r="AC2302" i="16" s="1"/>
  <c r="S2289" i="16"/>
  <c r="T2289" i="16" s="1"/>
  <c r="AD2289" i="16" s="1"/>
  <c r="AC2289" i="16" s="1"/>
  <c r="S2259" i="16"/>
  <c r="S2265" i="16"/>
  <c r="T2265" i="16" s="1"/>
  <c r="AD2265" i="16" s="1"/>
  <c r="AC2265" i="16" s="1"/>
  <c r="S2266" i="16"/>
  <c r="T2266" i="16" s="1"/>
  <c r="AD2266" i="16" s="1"/>
  <c r="AC2266" i="16" s="1"/>
  <c r="S2389" i="16"/>
  <c r="T2389" i="16" s="1"/>
  <c r="AD2389" i="16" s="1"/>
  <c r="AC2389" i="16" s="1"/>
  <c r="S2377" i="16"/>
  <c r="T2377" i="16" s="1"/>
  <c r="AD2377" i="16" s="1"/>
  <c r="AC2377" i="16" s="1"/>
  <c r="S2294" i="16"/>
  <c r="T2294" i="16" s="1"/>
  <c r="AD2294" i="16" s="1"/>
  <c r="AC2294" i="16" s="1"/>
  <c r="BC1882" i="16"/>
  <c r="S2299" i="16"/>
  <c r="T2299" i="16" s="1"/>
  <c r="AD2299" i="16" s="1"/>
  <c r="AC2299" i="16" s="1"/>
  <c r="S2390" i="16"/>
  <c r="T2390" i="16" s="1"/>
  <c r="AD2390" i="16" s="1"/>
  <c r="AC2390" i="16" s="1"/>
  <c r="S2337" i="16"/>
  <c r="T2337" i="16" s="1"/>
  <c r="AD2337" i="16" s="1"/>
  <c r="AC2337" i="16" s="1"/>
  <c r="S2301" i="16"/>
  <c r="T2301" i="16" s="1"/>
  <c r="AD2301" i="16" s="1"/>
  <c r="AC2301" i="16" s="1"/>
  <c r="S2357" i="16"/>
  <c r="T2357" i="16" s="1"/>
  <c r="AD2357" i="16" s="1"/>
  <c r="AC2357" i="16" s="1"/>
  <c r="S2260" i="16"/>
  <c r="S2361" i="16"/>
  <c r="T2361" i="16" s="1"/>
  <c r="AD2361" i="16" s="1"/>
  <c r="AC2361" i="16" s="1"/>
  <c r="S2271" i="16"/>
  <c r="S2392" i="16"/>
  <c r="T2392" i="16" s="1"/>
  <c r="AD2392" i="16" s="1"/>
  <c r="AC2392" i="16" s="1"/>
  <c r="S2328" i="16"/>
  <c r="S2270" i="16"/>
  <c r="T2270" i="16" s="1"/>
  <c r="AD2270" i="16" s="1"/>
  <c r="AC2270" i="16" s="1"/>
  <c r="X15" i="23"/>
  <c r="S2334" i="16"/>
  <c r="T2334" i="16" s="1"/>
  <c r="AD2334" i="16" s="1"/>
  <c r="AC2334" i="16" s="1"/>
  <c r="S2362" i="16"/>
  <c r="T2362" i="16" s="1"/>
  <c r="AD2362" i="16" s="1"/>
  <c r="AC2362" i="16" s="1"/>
  <c r="S2365" i="16"/>
  <c r="S2371" i="16"/>
  <c r="O2367" i="16" s="1"/>
  <c r="S2292" i="16"/>
  <c r="T2292" i="16" s="1"/>
  <c r="AD2292" i="16" s="1"/>
  <c r="AC2292" i="16" s="1"/>
  <c r="V15" i="23"/>
  <c r="S2338" i="16"/>
  <c r="T2338" i="16" s="1"/>
  <c r="AD2338" i="16" s="1"/>
  <c r="AC2338" i="16" s="1"/>
  <c r="S2273" i="16"/>
  <c r="T2273" i="16" s="1"/>
  <c r="AD2273" i="16" s="1"/>
  <c r="AC2273" i="16" s="1"/>
  <c r="S2295" i="16"/>
  <c r="T2295" i="16" s="1"/>
  <c r="AD2295" i="16" s="1"/>
  <c r="AC2295" i="16" s="1"/>
  <c r="T1434" i="16"/>
  <c r="AD1434" i="16" s="1"/>
  <c r="AC1434" i="16" s="1"/>
  <c r="BC334" i="16"/>
  <c r="BC886" i="16"/>
  <c r="S1507" i="16"/>
  <c r="BC2259" i="16"/>
  <c r="W15" i="23"/>
  <c r="S2098" i="16"/>
  <c r="Y15" i="23"/>
  <c r="R128" i="29"/>
  <c r="M128" i="29" s="1"/>
  <c r="AM128" i="29" s="1"/>
  <c r="BC15" i="16"/>
  <c r="BD15" i="16"/>
  <c r="R82" i="29"/>
  <c r="M82" i="29" s="1"/>
  <c r="AM82" i="29" s="1"/>
  <c r="T82" i="29"/>
  <c r="AD82" i="29" s="1"/>
  <c r="BD886" i="16"/>
  <c r="BD1645" i="16"/>
  <c r="S437" i="16"/>
  <c r="S398" i="16"/>
  <c r="O398" i="16" s="1"/>
  <c r="S418" i="16"/>
  <c r="S419" i="16"/>
  <c r="T419" i="16" s="1"/>
  <c r="AD419" i="16" s="1"/>
  <c r="AC419" i="16" s="1"/>
  <c r="O232" i="28"/>
  <c r="I2099" i="80" s="1"/>
  <c r="A2099" i="80" s="1"/>
  <c r="T232" i="28"/>
  <c r="AD232" i="28" s="1"/>
  <c r="AC232" i="28" s="1"/>
  <c r="S517" i="25"/>
  <c r="T517" i="25" s="1"/>
  <c r="AD517" i="25" s="1"/>
  <c r="AC517" i="25" s="1"/>
  <c r="BI16" i="27"/>
  <c r="C6" i="10"/>
  <c r="BI16" i="28"/>
  <c r="BF16" i="25"/>
  <c r="BE16" i="24"/>
  <c r="BI16" i="24"/>
  <c r="BI16" i="29"/>
  <c r="BE16" i="8"/>
  <c r="BE16" i="28"/>
  <c r="R288" i="28" s="1"/>
  <c r="P11" i="7"/>
  <c r="BI16" i="8"/>
  <c r="BE16" i="25"/>
  <c r="BE16" i="27"/>
  <c r="BH16" i="28"/>
  <c r="L11" i="7"/>
  <c r="BF16" i="8"/>
  <c r="BF16" i="28"/>
  <c r="BF16" i="24"/>
  <c r="L198" i="24" s="1"/>
  <c r="BF16" i="29"/>
  <c r="N5" i="10"/>
  <c r="N19" i="10" s="1"/>
  <c r="S232" i="25" s="1"/>
  <c r="W234" i="25" s="1"/>
  <c r="C5" i="10"/>
  <c r="BH16" i="8"/>
  <c r="N11" i="7"/>
  <c r="BH16" i="25"/>
  <c r="BH16" i="29"/>
  <c r="BH16" i="24"/>
  <c r="T282" i="16"/>
  <c r="AD282" i="16" s="1"/>
  <c r="AC282" i="16" s="1"/>
  <c r="T2038" i="16"/>
  <c r="AD2038" i="16" s="1"/>
  <c r="AC2038" i="16" s="1"/>
  <c r="T2042" i="16"/>
  <c r="AD2042" i="16" s="1"/>
  <c r="AC2042" i="16" s="1"/>
  <c r="AO213" i="27"/>
  <c r="N1842" i="16"/>
  <c r="T1525" i="16"/>
  <c r="AD1525" i="16" s="1"/>
  <c r="AC1525" i="16" s="1"/>
  <c r="T255" i="16"/>
  <c r="AD255" i="16" s="1"/>
  <c r="AC255" i="16" s="1"/>
  <c r="T45" i="16"/>
  <c r="AD45" i="16" s="1"/>
  <c r="AC45" i="16" s="1"/>
  <c r="T2039" i="16"/>
  <c r="AD2039" i="16" s="1"/>
  <c r="AC2039" i="16" s="1"/>
  <c r="T1928" i="16"/>
  <c r="AD1928" i="16" s="1"/>
  <c r="AC1928" i="16" s="1"/>
  <c r="AO62" i="24"/>
  <c r="N380" i="16"/>
  <c r="N149" i="16"/>
  <c r="G149" i="16" s="1"/>
  <c r="AO150" i="8"/>
  <c r="T1443" i="16"/>
  <c r="AD1443" i="16" s="1"/>
  <c r="AC1443" i="16" s="1"/>
  <c r="N1763" i="16"/>
  <c r="G1763" i="16" s="1"/>
  <c r="AO134" i="27"/>
  <c r="T1529" i="16"/>
  <c r="AD1529" i="16" s="1"/>
  <c r="AC1529" i="16" s="1"/>
  <c r="O428" i="24"/>
  <c r="S354" i="25"/>
  <c r="T354" i="25" s="1"/>
  <c r="AD354" i="25" s="1"/>
  <c r="AC354" i="25" s="1"/>
  <c r="N1934" i="16"/>
  <c r="G1934" i="16" s="1"/>
  <c r="T208" i="16"/>
  <c r="AD208" i="16" s="1"/>
  <c r="AC208" i="16" s="1"/>
  <c r="S362" i="25"/>
  <c r="T362" i="25" s="1"/>
  <c r="AD362" i="25" s="1"/>
  <c r="AC362" i="25" s="1"/>
  <c r="S359" i="25"/>
  <c r="N1556" i="16"/>
  <c r="T2215" i="16"/>
  <c r="AD2215" i="16" s="1"/>
  <c r="AC2215" i="16" s="1"/>
  <c r="AF464" i="16"/>
  <c r="AO14" i="8"/>
  <c r="G14" i="16"/>
  <c r="G15" i="16" s="1"/>
  <c r="G16" i="16" s="1"/>
  <c r="G17" i="16" s="1"/>
  <c r="G18" i="16" s="1"/>
  <c r="O172" i="8"/>
  <c r="I170" i="80" s="1"/>
  <c r="A170" i="80" s="1"/>
  <c r="AM172" i="8"/>
  <c r="AM167" i="8"/>
  <c r="N200" i="16"/>
  <c r="AO201" i="8"/>
  <c r="AM155" i="8"/>
  <c r="N1889" i="16"/>
  <c r="BG16" i="28"/>
  <c r="BG16" i="25"/>
  <c r="M11" i="7"/>
  <c r="BG16" i="8"/>
  <c r="BG16" i="24"/>
  <c r="BG16" i="27"/>
  <c r="BG16" i="29"/>
  <c r="N1926" i="16"/>
  <c r="N2052" i="16"/>
  <c r="AF2190" i="16"/>
  <c r="M60" i="28"/>
  <c r="AM60" i="28" s="1"/>
  <c r="AE60" i="28"/>
  <c r="AC60" i="28" s="1"/>
  <c r="AO140" i="27"/>
  <c r="N1769" i="16"/>
  <c r="O12" i="29"/>
  <c r="I2256" i="80" s="1"/>
  <c r="A2256" i="80" s="1"/>
  <c r="R15" i="29"/>
  <c r="T15" i="29"/>
  <c r="AD15" i="29" s="1"/>
  <c r="T1496" i="16"/>
  <c r="AD1496" i="16" s="1"/>
  <c r="AC1496" i="16" s="1"/>
  <c r="S1889" i="16"/>
  <c r="S1903" i="16"/>
  <c r="T209" i="8"/>
  <c r="AD209" i="8" s="1"/>
  <c r="AC209" i="8" s="1"/>
  <c r="O209" i="8"/>
  <c r="I207" i="80" s="1"/>
  <c r="A207" i="80" s="1"/>
  <c r="AO637" i="25"/>
  <c r="N1507" i="16"/>
  <c r="N1903" i="16"/>
  <c r="T637" i="25"/>
  <c r="T37" i="28"/>
  <c r="AD37" i="28" s="1"/>
  <c r="AC37" i="28" s="1"/>
  <c r="T101" i="29"/>
  <c r="AD101" i="29" s="1"/>
  <c r="I2341" i="80"/>
  <c r="A2341" i="80" s="1"/>
  <c r="R101" i="29"/>
  <c r="N2101" i="16"/>
  <c r="T119" i="24"/>
  <c r="AD119" i="24" s="1"/>
  <c r="R119" i="24"/>
  <c r="T100" i="24"/>
  <c r="AD100" i="24" s="1"/>
  <c r="AC100" i="24" s="1"/>
  <c r="O98" i="24"/>
  <c r="I415" i="80" s="1"/>
  <c r="A415" i="80" s="1"/>
  <c r="AO111" i="24"/>
  <c r="N429" i="16"/>
  <c r="R113" i="24"/>
  <c r="T113" i="24"/>
  <c r="AD113" i="24" s="1"/>
  <c r="AO50" i="27"/>
  <c r="N1679" i="16"/>
  <c r="AC63" i="25"/>
  <c r="T85" i="25"/>
  <c r="AD85" i="25" s="1"/>
  <c r="AC85" i="25" s="1"/>
  <c r="R1043" i="16"/>
  <c r="M1043" i="16" s="1"/>
  <c r="AM1043" i="16" s="1"/>
  <c r="T1043" i="16"/>
  <c r="AD1043" i="16" s="1"/>
  <c r="T81" i="25"/>
  <c r="AD81" i="25" s="1"/>
  <c r="R81" i="25"/>
  <c r="N1443" i="16"/>
  <c r="AO573" i="25"/>
  <c r="T77" i="25"/>
  <c r="AD77" i="25" s="1"/>
  <c r="R77" i="25"/>
  <c r="T950" i="16"/>
  <c r="AD950" i="16" s="1"/>
  <c r="R950" i="16"/>
  <c r="M950" i="16" s="1"/>
  <c r="AM950" i="16" s="1"/>
  <c r="T80" i="25"/>
  <c r="AD80" i="25" s="1"/>
  <c r="R80" i="25"/>
  <c r="AO20" i="27"/>
  <c r="N1649" i="16"/>
  <c r="T947" i="16"/>
  <c r="AD947" i="16" s="1"/>
  <c r="R947" i="16"/>
  <c r="M947" i="16" s="1"/>
  <c r="AM947" i="16" s="1"/>
  <c r="AO568" i="25"/>
  <c r="N1438" i="16"/>
  <c r="R951" i="16"/>
  <c r="M951" i="16" s="1"/>
  <c r="AM951" i="16" s="1"/>
  <c r="T951" i="16"/>
  <c r="AD951" i="16" s="1"/>
  <c r="T955" i="16"/>
  <c r="AD955" i="16" s="1"/>
  <c r="AC955" i="16" s="1"/>
  <c r="T173" i="25"/>
  <c r="AD173" i="25" s="1"/>
  <c r="R173" i="25"/>
  <c r="N45" i="16"/>
  <c r="G45" i="16" s="1"/>
  <c r="AO46" i="8"/>
  <c r="T252" i="25"/>
  <c r="AD252" i="25" s="1"/>
  <c r="AC252" i="25" s="1"/>
  <c r="T1318" i="16"/>
  <c r="AD1318" i="16" s="1"/>
  <c r="AC1318" i="16" s="1"/>
  <c r="T1066" i="16"/>
  <c r="AD1066" i="16" s="1"/>
  <c r="T547" i="25"/>
  <c r="AD547" i="25" s="1"/>
  <c r="R547" i="25"/>
  <c r="AE547" i="25" s="1"/>
  <c r="G1543" i="16"/>
  <c r="G1550" i="16"/>
  <c r="G1551" i="16" s="1"/>
  <c r="G1552" i="16" s="1"/>
  <c r="G1553" i="16" s="1"/>
  <c r="G1554" i="16" s="1"/>
  <c r="G1555" i="16" s="1"/>
  <c r="T1218" i="16"/>
  <c r="AD1218" i="16" s="1"/>
  <c r="AC1218" i="16" s="1"/>
  <c r="T1371" i="16"/>
  <c r="AD1371" i="16" s="1"/>
  <c r="AC1371" i="16" s="1"/>
  <c r="R938" i="16"/>
  <c r="M938" i="16" s="1"/>
  <c r="AM938" i="16" s="1"/>
  <c r="T938" i="16"/>
  <c r="AD938" i="16" s="1"/>
  <c r="T1042" i="16"/>
  <c r="AD1042" i="16" s="1"/>
  <c r="R1042" i="16"/>
  <c r="T1200" i="16"/>
  <c r="AD1200" i="16" s="1"/>
  <c r="AC1200" i="16" s="1"/>
  <c r="T1301" i="16"/>
  <c r="AD1301" i="16" s="1"/>
  <c r="AC1301" i="16" s="1"/>
  <c r="R160" i="25"/>
  <c r="T160" i="25"/>
  <c r="AD160" i="25" s="1"/>
  <c r="O487" i="25"/>
  <c r="T487" i="25"/>
  <c r="AD487" i="25" s="1"/>
  <c r="AC487" i="25" s="1"/>
  <c r="R170" i="25"/>
  <c r="AE170" i="25" s="1"/>
  <c r="M168" i="25"/>
  <c r="AM168" i="25" s="1"/>
  <c r="T170" i="25"/>
  <c r="AD170" i="25" s="1"/>
  <c r="T364" i="25"/>
  <c r="AD364" i="25" s="1"/>
  <c r="AC364" i="25" s="1"/>
  <c r="O425" i="25"/>
  <c r="I1294" i="80" s="1"/>
  <c r="T425" i="25"/>
  <c r="AD425" i="25" s="1"/>
  <c r="AC425" i="25" s="1"/>
  <c r="T431" i="25"/>
  <c r="AD431" i="25" s="1"/>
  <c r="AC431" i="25" s="1"/>
  <c r="T230" i="28"/>
  <c r="AD230" i="28" s="1"/>
  <c r="AC230" i="28" s="1"/>
  <c r="O230" i="28"/>
  <c r="I2097" i="80" s="1"/>
  <c r="A2097" i="80" s="1"/>
  <c r="G1683" i="16"/>
  <c r="G1686" i="16"/>
  <c r="G1687" i="16" s="1"/>
  <c r="G1688" i="16" s="1"/>
  <c r="G1689" i="16" s="1"/>
  <c r="G1690" i="16" s="1"/>
  <c r="AO161" i="8"/>
  <c r="N160" i="16"/>
  <c r="T1099" i="16"/>
  <c r="AD1099" i="16" s="1"/>
  <c r="AC1099" i="16" s="1"/>
  <c r="T1114" i="16"/>
  <c r="AD1114" i="16" s="1"/>
  <c r="T1122" i="16"/>
  <c r="AD1122" i="16" s="1"/>
  <c r="AC1122" i="16" s="1"/>
  <c r="T1325" i="16"/>
  <c r="AD1325" i="16" s="1"/>
  <c r="AC1325" i="16" s="1"/>
  <c r="N155" i="16"/>
  <c r="AO156" i="8"/>
  <c r="T311" i="25"/>
  <c r="AD311" i="25" s="1"/>
  <c r="AC311" i="25" s="1"/>
  <c r="T323" i="25"/>
  <c r="AD323" i="25" s="1"/>
  <c r="AC323" i="25" s="1"/>
  <c r="T172" i="25"/>
  <c r="AD172" i="25" s="1"/>
  <c r="R172" i="25"/>
  <c r="AE172" i="25" s="1"/>
  <c r="R28" i="25"/>
  <c r="AE28" i="25" s="1"/>
  <c r="T28" i="25"/>
  <c r="AD28" i="25" s="1"/>
  <c r="T196" i="25"/>
  <c r="AD196" i="25" s="1"/>
  <c r="R196" i="25"/>
  <c r="O456" i="25"/>
  <c r="I1325" i="80" s="1"/>
  <c r="T456" i="25"/>
  <c r="AD456" i="25" s="1"/>
  <c r="AC456" i="25" s="1"/>
  <c r="AC21" i="27"/>
  <c r="AO655" i="25"/>
  <c r="N1525" i="16"/>
  <c r="G1525" i="16" s="1"/>
  <c r="G1524" i="16" s="1"/>
  <c r="AO294" i="8"/>
  <c r="T1175" i="16"/>
  <c r="AD1175" i="16" s="1"/>
  <c r="AC1175" i="16" s="1"/>
  <c r="N2042" i="16"/>
  <c r="G2042" i="16" s="1"/>
  <c r="T1295" i="16"/>
  <c r="AD1295" i="16" s="1"/>
  <c r="AC1295" i="16" s="1"/>
  <c r="AM131" i="27"/>
  <c r="O131" i="27"/>
  <c r="N2036" i="16"/>
  <c r="T1193" i="16"/>
  <c r="AD1193" i="16" s="1"/>
  <c r="AC1193" i="16" s="1"/>
  <c r="T1330" i="16"/>
  <c r="AD1330" i="16" s="1"/>
  <c r="AC1330" i="16" s="1"/>
  <c r="R941" i="16"/>
  <c r="M941" i="16" s="1"/>
  <c r="AM941" i="16" s="1"/>
  <c r="T941" i="16"/>
  <c r="AD941" i="16" s="1"/>
  <c r="R991" i="16"/>
  <c r="T991" i="16"/>
  <c r="AD991" i="16" s="1"/>
  <c r="R1055" i="16"/>
  <c r="T1055" i="16"/>
  <c r="AD1055" i="16" s="1"/>
  <c r="T1293" i="16"/>
  <c r="AD1293" i="16" s="1"/>
  <c r="AC1293" i="16" s="1"/>
  <c r="T1170" i="16"/>
  <c r="AD1170" i="16" s="1"/>
  <c r="AC1170" i="16" s="1"/>
  <c r="T448" i="25"/>
  <c r="AD448" i="25" s="1"/>
  <c r="AC448" i="25" s="1"/>
  <c r="O284" i="25"/>
  <c r="T284" i="25"/>
  <c r="AD284" i="25" s="1"/>
  <c r="AC284" i="25" s="1"/>
  <c r="R211" i="25"/>
  <c r="T244" i="25"/>
  <c r="AD244" i="25" s="1"/>
  <c r="O450" i="25"/>
  <c r="I1319" i="80" s="1"/>
  <c r="T450" i="25"/>
  <c r="AD450" i="25" s="1"/>
  <c r="AC450" i="25" s="1"/>
  <c r="T229" i="25"/>
  <c r="AD229" i="25" s="1"/>
  <c r="AC229" i="25" s="1"/>
  <c r="T460" i="25"/>
  <c r="AD460" i="25" s="1"/>
  <c r="AC460" i="25" s="1"/>
  <c r="O460" i="25"/>
  <c r="R68" i="25"/>
  <c r="T68" i="25"/>
  <c r="AD68" i="25" s="1"/>
  <c r="T1417" i="16"/>
  <c r="AD1417" i="16" s="1"/>
  <c r="R1417" i="16"/>
  <c r="T1326" i="16"/>
  <c r="AD1326" i="16" s="1"/>
  <c r="AC1326" i="16" s="1"/>
  <c r="N1928" i="16"/>
  <c r="AO177" i="8"/>
  <c r="N176" i="16"/>
  <c r="T1320" i="16"/>
  <c r="AD1320" i="16" s="1"/>
  <c r="AC1320" i="16" s="1"/>
  <c r="R898" i="16"/>
  <c r="T898" i="16"/>
  <c r="AD898" i="16" s="1"/>
  <c r="T1188" i="16"/>
  <c r="AD1188" i="16" s="1"/>
  <c r="AC1188" i="16" s="1"/>
  <c r="T1206" i="16"/>
  <c r="AD1206" i="16" s="1"/>
  <c r="AC1206" i="16" s="1"/>
  <c r="T1020" i="16"/>
  <c r="AD1020" i="16" s="1"/>
  <c r="R1020" i="16"/>
  <c r="M1020" i="16" s="1"/>
  <c r="AM1020" i="16" s="1"/>
  <c r="R71" i="25"/>
  <c r="T71" i="25"/>
  <c r="AD71" i="25" s="1"/>
  <c r="T423" i="25"/>
  <c r="AD423" i="25" s="1"/>
  <c r="AC423" i="25" s="1"/>
  <c r="T150" i="25"/>
  <c r="AD150" i="25" s="1"/>
  <c r="R150" i="25"/>
  <c r="O457" i="25"/>
  <c r="I1326" i="80" s="1"/>
  <c r="T457" i="25"/>
  <c r="AD457" i="25" s="1"/>
  <c r="AC457" i="25" s="1"/>
  <c r="T501" i="25"/>
  <c r="AD501" i="25" s="1"/>
  <c r="AC501" i="25" s="1"/>
  <c r="O455" i="25"/>
  <c r="T455" i="25"/>
  <c r="AD455" i="25" s="1"/>
  <c r="AC455" i="25" s="1"/>
  <c r="AC62" i="28"/>
  <c r="T1327" i="16"/>
  <c r="AD1327" i="16" s="1"/>
  <c r="AC1327" i="16" s="1"/>
  <c r="T1154" i="16"/>
  <c r="AD1154" i="16" s="1"/>
  <c r="AC1154" i="16" s="1"/>
  <c r="R1040" i="16"/>
  <c r="T1040" i="16"/>
  <c r="AD1040" i="16" s="1"/>
  <c r="T1167" i="16"/>
  <c r="AD1167" i="16" s="1"/>
  <c r="AC1167" i="16" s="1"/>
  <c r="R121" i="25"/>
  <c r="AE121" i="25" s="1"/>
  <c r="T121" i="25"/>
  <c r="AD121" i="25" s="1"/>
  <c r="T331" i="25"/>
  <c r="AD331" i="25" s="1"/>
  <c r="AC331" i="25" s="1"/>
  <c r="T179" i="25"/>
  <c r="AD179" i="25" s="1"/>
  <c r="R179" i="25"/>
  <c r="T375" i="25"/>
  <c r="AD375" i="25" s="1"/>
  <c r="AC375" i="25" s="1"/>
  <c r="T452" i="25"/>
  <c r="AD452" i="25" s="1"/>
  <c r="AC452" i="25" s="1"/>
  <c r="O452" i="25"/>
  <c r="I1321" i="80" s="1"/>
  <c r="O427" i="25"/>
  <c r="I1296" i="80" s="1"/>
  <c r="T427" i="25"/>
  <c r="AD427" i="25" s="1"/>
  <c r="AC427" i="25" s="1"/>
  <c r="O330" i="25"/>
  <c r="I1199" i="80" s="1"/>
  <c r="T330" i="25"/>
  <c r="AD330" i="25" s="1"/>
  <c r="AC330" i="25" s="1"/>
  <c r="AC46" i="8"/>
  <c r="N157" i="16"/>
  <c r="AO158" i="8"/>
  <c r="N170" i="16"/>
  <c r="G170" i="16" s="1"/>
  <c r="AO171" i="8"/>
  <c r="T1357" i="16"/>
  <c r="AD1357" i="16" s="1"/>
  <c r="AC1357" i="16" s="1"/>
  <c r="R1049" i="16"/>
  <c r="M1049" i="16" s="1"/>
  <c r="AM1049" i="16" s="1"/>
  <c r="T1049" i="16"/>
  <c r="AD1049" i="16" s="1"/>
  <c r="T2096" i="16"/>
  <c r="AD2096" i="16" s="1"/>
  <c r="AC2096" i="16" s="1"/>
  <c r="N2044" i="16"/>
  <c r="AO283" i="8"/>
  <c r="N282" i="16"/>
  <c r="N1529" i="16"/>
  <c r="AO659" i="25"/>
  <c r="R994" i="16"/>
  <c r="M994" i="16" s="1"/>
  <c r="AM994" i="16" s="1"/>
  <c r="T994" i="16"/>
  <c r="AD994" i="16" s="1"/>
  <c r="T1030" i="16"/>
  <c r="AD1030" i="16" s="1"/>
  <c r="R1030" i="16"/>
  <c r="M1030" i="16" s="1"/>
  <c r="AM1030" i="16" s="1"/>
  <c r="T1181" i="16"/>
  <c r="AD1181" i="16" s="1"/>
  <c r="AC1181" i="16" s="1"/>
  <c r="T1201" i="16"/>
  <c r="AD1201" i="16" s="1"/>
  <c r="AC1201" i="16" s="1"/>
  <c r="T1161" i="16"/>
  <c r="AD1161" i="16" s="1"/>
  <c r="AC1161" i="16" s="1"/>
  <c r="N1595" i="16"/>
  <c r="AO725" i="25"/>
  <c r="T291" i="25"/>
  <c r="AD291" i="25" s="1"/>
  <c r="AC291" i="25" s="1"/>
  <c r="T336" i="25"/>
  <c r="AD336" i="25" s="1"/>
  <c r="AC336" i="25" s="1"/>
  <c r="O335" i="25"/>
  <c r="I1204" i="80" s="1"/>
  <c r="A1204" i="80" s="1"/>
  <c r="O296" i="25"/>
  <c r="I1165" i="80" s="1"/>
  <c r="T297" i="25"/>
  <c r="AD297" i="25" s="1"/>
  <c r="AC297" i="25" s="1"/>
  <c r="O183" i="25"/>
  <c r="I1052" i="80" s="1"/>
  <c r="A1052" i="80" s="1"/>
  <c r="R185" i="25"/>
  <c r="AE185" i="25" s="1"/>
  <c r="T185" i="25"/>
  <c r="AD185" i="25" s="1"/>
  <c r="T300" i="25"/>
  <c r="AD300" i="25" s="1"/>
  <c r="AC300" i="25" s="1"/>
  <c r="O299" i="25"/>
  <c r="I1168" i="80" s="1"/>
  <c r="T348" i="25"/>
  <c r="AD348" i="25" s="1"/>
  <c r="AC348" i="25" s="1"/>
  <c r="O304" i="25"/>
  <c r="I1173" i="80" s="1"/>
  <c r="T305" i="25"/>
  <c r="AD305" i="25" s="1"/>
  <c r="AC305" i="25" s="1"/>
  <c r="R124" i="25"/>
  <c r="T124" i="25"/>
  <c r="AD124" i="25" s="1"/>
  <c r="T318" i="25"/>
  <c r="AD318" i="25" s="1"/>
  <c r="AC318" i="25" s="1"/>
  <c r="O318" i="25"/>
  <c r="I1187" i="80" s="1"/>
  <c r="N10" i="3"/>
  <c r="O1434" i="16"/>
  <c r="O564" i="25"/>
  <c r="S525" i="16"/>
  <c r="S1230" i="16"/>
  <c r="O410" i="25"/>
  <c r="O420" i="25"/>
  <c r="O45" i="16"/>
  <c r="O401" i="25"/>
  <c r="S360" i="25"/>
  <c r="O252" i="25"/>
  <c r="O1889" i="16"/>
  <c r="O375" i="16"/>
  <c r="O1649" i="16"/>
  <c r="O166" i="8"/>
  <c r="O416" i="25"/>
  <c r="O418" i="25"/>
  <c r="O1903" i="16"/>
  <c r="O27" i="25"/>
  <c r="O57" i="24"/>
  <c r="O1507" i="16"/>
  <c r="S207" i="24"/>
  <c r="O1443" i="16"/>
  <c r="I1289" i="80" l="1"/>
  <c r="I1287" i="80"/>
  <c r="G1923" i="81"/>
  <c r="G1924" i="81" s="1"/>
  <c r="G1925" i="81"/>
  <c r="G1926" i="81" s="1"/>
  <c r="G1918" i="81"/>
  <c r="W211" i="84"/>
  <c r="E24" i="89"/>
  <c r="C24" i="89" s="1"/>
  <c r="A24" i="89" s="1"/>
  <c r="B3" i="3"/>
  <c r="T213" i="25"/>
  <c r="T212" i="25"/>
  <c r="T211" i="25" s="1"/>
  <c r="G2101" i="16"/>
  <c r="G2102" i="16" s="1"/>
  <c r="G2103" i="16" s="1"/>
  <c r="A2102" i="80"/>
  <c r="A2103" i="80" s="1"/>
  <c r="G2052" i="16"/>
  <c r="G2053" i="16" s="1"/>
  <c r="A2050" i="80"/>
  <c r="C2050" i="80" s="1"/>
  <c r="A2007" i="80"/>
  <c r="A1935" i="80"/>
  <c r="C1935" i="80" s="1"/>
  <c r="A1571" i="80"/>
  <c r="C1571" i="80" s="1"/>
  <c r="G1556" i="16"/>
  <c r="G1557" i="16" s="1"/>
  <c r="G1558" i="16" s="1"/>
  <c r="G1559" i="16" s="1"/>
  <c r="G1560" i="16" s="1"/>
  <c r="G1561" i="16" s="1"/>
  <c r="G1562" i="16" s="1"/>
  <c r="G1563" i="16" s="1"/>
  <c r="G1564" i="16" s="1"/>
  <c r="G1565" i="16" s="1"/>
  <c r="G1566" i="16" s="1"/>
  <c r="G1567" i="16" s="1"/>
  <c r="G1568" i="16" s="1"/>
  <c r="G1569" i="16" s="1"/>
  <c r="G1570" i="16" s="1"/>
  <c r="G1571" i="16" s="1"/>
  <c r="G1600" i="16"/>
  <c r="G1611" i="16"/>
  <c r="G1612" i="16" s="1"/>
  <c r="G1613" i="16" s="1"/>
  <c r="G1614" i="16" s="1"/>
  <c r="G1615" i="16" s="1"/>
  <c r="G1487" i="16"/>
  <c r="G1488" i="16" s="1"/>
  <c r="G1489" i="16" s="1"/>
  <c r="G1490" i="16" s="1"/>
  <c r="G1491" i="16" s="1"/>
  <c r="G1492" i="16" s="1"/>
  <c r="G1497" i="16"/>
  <c r="G1498" i="16" s="1"/>
  <c r="I1279" i="80"/>
  <c r="AO410" i="25"/>
  <c r="I1285" i="80"/>
  <c r="AO416" i="25"/>
  <c r="I1270" i="80"/>
  <c r="AO401" i="25"/>
  <c r="G744" i="16"/>
  <c r="G745" i="16" s="1"/>
  <c r="G2215" i="16"/>
  <c r="G2216" i="16" s="1"/>
  <c r="G2217" i="16" s="1"/>
  <c r="A2216" i="80"/>
  <c r="G429" i="16"/>
  <c r="G430" i="16" s="1"/>
  <c r="G367" i="16"/>
  <c r="A366" i="80"/>
  <c r="C372" i="80"/>
  <c r="A355" i="80"/>
  <c r="C355" i="80" s="1"/>
  <c r="G181" i="16"/>
  <c r="G182" i="16" s="1"/>
  <c r="G183" i="16"/>
  <c r="G184" i="16" s="1"/>
  <c r="G98" i="16"/>
  <c r="G99" i="16" s="1"/>
  <c r="AO101" i="8"/>
  <c r="I99" i="80"/>
  <c r="N100" i="16"/>
  <c r="G100" i="16" s="1"/>
  <c r="G71" i="16"/>
  <c r="G72" i="16" s="1"/>
  <c r="G68" i="16" s="1"/>
  <c r="G2449" i="16"/>
  <c r="G2450" i="16" s="1"/>
  <c r="G2451" i="16" s="1"/>
  <c r="G2452" i="16" s="1"/>
  <c r="G2453" i="16" s="1"/>
  <c r="G2457" i="16"/>
  <c r="G2408" i="16"/>
  <c r="G2409" i="16" s="1"/>
  <c r="G2410" i="16" s="1"/>
  <c r="G2411" i="16" s="1"/>
  <c r="G2412" i="16" s="1"/>
  <c r="G2413" i="16" s="1"/>
  <c r="G2414" i="16" s="1"/>
  <c r="G2415" i="16" s="1"/>
  <c r="G2416" i="16" s="1"/>
  <c r="G2417" i="16" s="1"/>
  <c r="G2418" i="16" s="1"/>
  <c r="G2419" i="16" s="1"/>
  <c r="G2322" i="16"/>
  <c r="G2323" i="16" s="1"/>
  <c r="G2324" i="16" s="1"/>
  <c r="G2325" i="16" s="1"/>
  <c r="G2326" i="16" s="1"/>
  <c r="G2327" i="16" s="1"/>
  <c r="G2328" i="16" s="1"/>
  <c r="G2329" i="16" s="1"/>
  <c r="G2330" i="16" s="1"/>
  <c r="G2331" i="16" s="1"/>
  <c r="G2332" i="16" s="1"/>
  <c r="G2333" i="16" s="1"/>
  <c r="G2334" i="16" s="1"/>
  <c r="G2335" i="16" s="1"/>
  <c r="G2336" i="16" s="1"/>
  <c r="G2337" i="16" s="1"/>
  <c r="G2338" i="16" s="1"/>
  <c r="G2339" i="16" s="1"/>
  <c r="C935" i="80"/>
  <c r="G159" i="81"/>
  <c r="G160" i="81" s="1"/>
  <c r="G175" i="81"/>
  <c r="G176" i="81" s="1"/>
  <c r="G154" i="81"/>
  <c r="G1356" i="81"/>
  <c r="G1357" i="81" s="1"/>
  <c r="C1792" i="80"/>
  <c r="G170" i="81"/>
  <c r="G171" i="81" s="1"/>
  <c r="G172" i="81" s="1"/>
  <c r="G173" i="81" s="1"/>
  <c r="G174" i="81" s="1"/>
  <c r="G156" i="81"/>
  <c r="G157" i="81" s="1"/>
  <c r="G158" i="81" s="1"/>
  <c r="G161" i="81"/>
  <c r="G162" i="81" s="1"/>
  <c r="G163" i="81" s="1"/>
  <c r="G1928" i="16"/>
  <c r="G1929" i="16" s="1"/>
  <c r="G1930" i="16" s="1"/>
  <c r="G1931" i="16" s="1"/>
  <c r="G1932" i="16" s="1"/>
  <c r="G1933" i="16" s="1"/>
  <c r="G380" i="16"/>
  <c r="G381" i="16" s="1"/>
  <c r="G382" i="16" s="1"/>
  <c r="G383" i="16" s="1"/>
  <c r="G384" i="16" s="1"/>
  <c r="G385" i="16" s="1"/>
  <c r="G386" i="16" s="1"/>
  <c r="G387" i="16" s="1"/>
  <c r="G388" i="16" s="1"/>
  <c r="G389" i="16" s="1"/>
  <c r="G390" i="16" s="1"/>
  <c r="G391" i="16" s="1"/>
  <c r="G392" i="16" s="1"/>
  <c r="G393" i="16" s="1"/>
  <c r="G394" i="16" s="1"/>
  <c r="G395" i="16" s="1"/>
  <c r="G396" i="16" s="1"/>
  <c r="G397" i="16" s="1"/>
  <c r="G2036" i="16"/>
  <c r="G2037" i="16" s="1"/>
  <c r="G2038" i="16" s="1"/>
  <c r="G2039" i="16" s="1"/>
  <c r="G1769" i="16"/>
  <c r="G1770" i="16" s="1"/>
  <c r="G2081" i="16"/>
  <c r="G2082" i="16" s="1"/>
  <c r="G2083" i="16" s="1"/>
  <c r="G1943" i="16"/>
  <c r="G1944" i="16" s="1"/>
  <c r="G1945" i="16" s="1"/>
  <c r="G1946" i="16" s="1"/>
  <c r="G1947" i="16" s="1"/>
  <c r="G1948" i="16" s="1"/>
  <c r="G1949" i="16" s="1"/>
  <c r="G1950" i="16" s="1"/>
  <c r="G1951" i="16" s="1"/>
  <c r="G1952" i="16" s="1"/>
  <c r="G1953" i="16" s="1"/>
  <c r="G1438" i="16"/>
  <c r="G1439" i="16" s="1"/>
  <c r="G1440" i="16" s="1"/>
  <c r="G1441" i="16" s="1"/>
  <c r="G1442" i="16" s="1"/>
  <c r="G200" i="16"/>
  <c r="G201" i="16" s="1"/>
  <c r="G202" i="16" s="1"/>
  <c r="G203" i="16" s="1"/>
  <c r="G204" i="16" s="1"/>
  <c r="G1815" i="16"/>
  <c r="G1816" i="16" s="1"/>
  <c r="G1817" i="16" s="1"/>
  <c r="G1818" i="16" s="1"/>
  <c r="G1819" i="16" s="1"/>
  <c r="G1820" i="16" s="1"/>
  <c r="G1780" i="16"/>
  <c r="G1777" i="16" s="1"/>
  <c r="G162" i="16"/>
  <c r="G163" i="16" s="1"/>
  <c r="G164" i="16" s="1"/>
  <c r="G157" i="16"/>
  <c r="G158" i="16" s="1"/>
  <c r="G159" i="16" s="1"/>
  <c r="G837" i="16"/>
  <c r="G838" i="16" s="1"/>
  <c r="G839" i="16" s="1"/>
  <c r="G840" i="16" s="1"/>
  <c r="G841" i="16" s="1"/>
  <c r="G842" i="16" s="1"/>
  <c r="G843" i="16" s="1"/>
  <c r="G844" i="16" s="1"/>
  <c r="G845" i="16" s="1"/>
  <c r="G846" i="16" s="1"/>
  <c r="G847" i="16" s="1"/>
  <c r="G848" i="16" s="1"/>
  <c r="G849" i="16" s="1"/>
  <c r="G850" i="16" s="1"/>
  <c r="G851" i="16" s="1"/>
  <c r="G852" i="16" s="1"/>
  <c r="G853" i="16" s="1"/>
  <c r="G854" i="16" s="1"/>
  <c r="G855" i="16" s="1"/>
  <c r="G856" i="16" s="1"/>
  <c r="G857" i="16" s="1"/>
  <c r="G858" i="16" s="1"/>
  <c r="G859" i="16" s="1"/>
  <c r="G860" i="16" s="1"/>
  <c r="G861" i="16" s="1"/>
  <c r="G862" i="16" s="1"/>
  <c r="G1695" i="16"/>
  <c r="G1696" i="16" s="1"/>
  <c r="G1697" i="16" s="1"/>
  <c r="G1698" i="16" s="1"/>
  <c r="G1529" i="16"/>
  <c r="G1530" i="16" s="1"/>
  <c r="G1531" i="16" s="1"/>
  <c r="G1532" i="16" s="1"/>
  <c r="G176" i="16"/>
  <c r="G177" i="16" s="1"/>
  <c r="G140" i="16"/>
  <c r="G141" i="16" s="1"/>
  <c r="G114" i="16" s="1"/>
  <c r="G115" i="16" s="1"/>
  <c r="G116" i="16" s="1"/>
  <c r="G117" i="16" s="1"/>
  <c r="G2030" i="16"/>
  <c r="G2031" i="16" s="1"/>
  <c r="G2032" i="16" s="1"/>
  <c r="G2033" i="16" s="1"/>
  <c r="G1427" i="16"/>
  <c r="G282" i="16"/>
  <c r="G281" i="16" s="1"/>
  <c r="G155" i="16"/>
  <c r="G156" i="16" s="1"/>
  <c r="G1649" i="16"/>
  <c r="G1650" i="16" s="1"/>
  <c r="G1651" i="16" s="1"/>
  <c r="G1652" i="16" s="1"/>
  <c r="G1653" i="16" s="1"/>
  <c r="G1654" i="16" s="1"/>
  <c r="G1655" i="16" s="1"/>
  <c r="G1656" i="16" s="1"/>
  <c r="G1657" i="16" s="1"/>
  <c r="G1658" i="16" s="1"/>
  <c r="G1659" i="16" s="1"/>
  <c r="G1660" i="16" s="1"/>
  <c r="G1661" i="16" s="1"/>
  <c r="G1662" i="16" s="1"/>
  <c r="G1663" i="16" s="1"/>
  <c r="G1664" i="16" s="1"/>
  <c r="G1665" i="16" s="1"/>
  <c r="G1666" i="16" s="1"/>
  <c r="G1667" i="16" s="1"/>
  <c r="G1668" i="16" s="1"/>
  <c r="G1669" i="16" s="1"/>
  <c r="G1670" i="16" s="1"/>
  <c r="G1671" i="16" s="1"/>
  <c r="G1672" i="16" s="1"/>
  <c r="G1673" i="16" s="1"/>
  <c r="G1674" i="16" s="1"/>
  <c r="G1675" i="16" s="1"/>
  <c r="G1676" i="16" s="1"/>
  <c r="G1677" i="16" s="1"/>
  <c r="G1678" i="16" s="1"/>
  <c r="G1679" i="16"/>
  <c r="G1680" i="16" s="1"/>
  <c r="G1681" i="16" s="1"/>
  <c r="G1903" i="16"/>
  <c r="G1904" i="16" s="1"/>
  <c r="G1905" i="16" s="1"/>
  <c r="G1693" i="16"/>
  <c r="G1694" i="16" s="1"/>
  <c r="G2044" i="16"/>
  <c r="G2045" i="16" s="1"/>
  <c r="G257" i="16"/>
  <c r="G258" i="16" s="1"/>
  <c r="G259" i="16" s="1"/>
  <c r="G260" i="16" s="1"/>
  <c r="G729" i="16"/>
  <c r="G730" i="16" s="1"/>
  <c r="G731" i="16" s="1"/>
  <c r="G732" i="16" s="1"/>
  <c r="G733" i="16" s="1"/>
  <c r="G734" i="16" s="1"/>
  <c r="G735" i="16" s="1"/>
  <c r="G275" i="16"/>
  <c r="G276" i="16" s="1"/>
  <c r="G277" i="16" s="1"/>
  <c r="G278" i="16" s="1"/>
  <c r="G279" i="16" s="1"/>
  <c r="G280" i="16" s="1"/>
  <c r="G1892" i="16"/>
  <c r="G1893" i="16" s="1"/>
  <c r="G1894" i="16" s="1"/>
  <c r="G88" i="16"/>
  <c r="G89" i="16" s="1"/>
  <c r="G1794" i="16"/>
  <c r="G1791" i="16" s="1"/>
  <c r="G1709" i="16"/>
  <c r="G1595" i="16"/>
  <c r="G1596" i="16" s="1"/>
  <c r="G682" i="16"/>
  <c r="G316" i="16"/>
  <c r="G317" i="16" s="1"/>
  <c r="G670" i="16"/>
  <c r="G653" i="16"/>
  <c r="G1842" i="16"/>
  <c r="G1843" i="16" s="1"/>
  <c r="G1844" i="16" s="1"/>
  <c r="G1845" i="16" s="1"/>
  <c r="G1846" i="16" s="1"/>
  <c r="G1847" i="16" s="1"/>
  <c r="G1848" i="16" s="1"/>
  <c r="G351" i="16"/>
  <c r="G347" i="16" s="1"/>
  <c r="G348" i="16" s="1"/>
  <c r="G305" i="16"/>
  <c r="G306" i="16" s="1"/>
  <c r="G307" i="16" s="1"/>
  <c r="G308" i="16" s="1"/>
  <c r="G1804" i="16"/>
  <c r="G1507" i="16"/>
  <c r="G1486" i="16" s="1"/>
  <c r="G160" i="16"/>
  <c r="G161" i="16" s="1"/>
  <c r="G1443" i="16"/>
  <c r="G1444" i="16" s="1"/>
  <c r="G1445" i="16" s="1"/>
  <c r="G1446" i="16" s="1"/>
  <c r="G1447" i="16" s="1"/>
  <c r="G1889" i="16"/>
  <c r="G697" i="16"/>
  <c r="G698" i="16" s="1"/>
  <c r="G699" i="16" s="1"/>
  <c r="G700" i="16" s="1"/>
  <c r="G701" i="16" s="1"/>
  <c r="G702" i="16" s="1"/>
  <c r="G703" i="16" s="1"/>
  <c r="G704" i="16" s="1"/>
  <c r="G1746" i="16"/>
  <c r="G1747" i="16" s="1"/>
  <c r="G1748" i="16" s="1"/>
  <c r="G1991" i="16"/>
  <c r="G1992" i="16" s="1"/>
  <c r="G1993" i="16" s="1"/>
  <c r="A1777" i="80"/>
  <c r="C1777" i="80" s="1"/>
  <c r="A1426" i="80"/>
  <c r="A2037" i="80"/>
  <c r="C2037" i="80" s="1"/>
  <c r="A154" i="80"/>
  <c r="C154" i="80" s="1"/>
  <c r="A1294" i="80"/>
  <c r="C1294" i="80" s="1"/>
  <c r="A1526" i="80"/>
  <c r="A1527" i="80" s="1"/>
  <c r="C1527" i="80" s="1"/>
  <c r="A254" i="80"/>
  <c r="A255" i="80" s="1"/>
  <c r="C255" i="80" s="1"/>
  <c r="A1709" i="80"/>
  <c r="C1709" i="80" s="1"/>
  <c r="A1805" i="80"/>
  <c r="C1805" i="80" s="1"/>
  <c r="A2031" i="80"/>
  <c r="A2032" i="80" s="1"/>
  <c r="A1528" i="80"/>
  <c r="A1529" i="80" s="1"/>
  <c r="A1061" i="80"/>
  <c r="A1864" i="80"/>
  <c r="C1864" i="80" s="1"/>
  <c r="A1296" i="80"/>
  <c r="C1296" i="80" s="1"/>
  <c r="A1904" i="80"/>
  <c r="C1904" i="80" s="1"/>
  <c r="A159" i="80"/>
  <c r="C159" i="80" s="1"/>
  <c r="C414" i="80"/>
  <c r="A1936" i="80"/>
  <c r="C1936" i="80" s="1"/>
  <c r="A1816" i="80"/>
  <c r="C1816" i="80" s="1"/>
  <c r="A256" i="80"/>
  <c r="C256" i="80" s="1"/>
  <c r="C171" i="89"/>
  <c r="A171" i="89" s="1"/>
  <c r="E2407" i="81"/>
  <c r="AO2408" i="16"/>
  <c r="A2410" i="80"/>
  <c r="C2410" i="80" s="1"/>
  <c r="C2409" i="80"/>
  <c r="O207" i="24"/>
  <c r="O525" i="16"/>
  <c r="C162" i="89"/>
  <c r="A162" i="89" s="1"/>
  <c r="G157" i="89"/>
  <c r="C157" i="89" s="1"/>
  <c r="A157" i="89" s="1"/>
  <c r="E99" i="89"/>
  <c r="F63" i="88"/>
  <c r="C63" i="88" s="1"/>
  <c r="A63" i="88" s="1"/>
  <c r="C63" i="89"/>
  <c r="A63" i="89" s="1"/>
  <c r="F30" i="89"/>
  <c r="C85" i="89"/>
  <c r="A85" i="89" s="1"/>
  <c r="C130" i="89"/>
  <c r="A130" i="89" s="1"/>
  <c r="C66" i="89"/>
  <c r="A66" i="89" s="1"/>
  <c r="C73" i="89"/>
  <c r="A73" i="89" s="1"/>
  <c r="C25" i="89"/>
  <c r="A25" i="89" s="1"/>
  <c r="C125" i="89"/>
  <c r="A125" i="89" s="1"/>
  <c r="F159" i="88"/>
  <c r="C91" i="89"/>
  <c r="A91" i="89" s="1"/>
  <c r="C125" i="88"/>
  <c r="A125" i="88" s="1"/>
  <c r="I2304" i="80"/>
  <c r="A2304" i="80" s="1"/>
  <c r="E171" i="88"/>
  <c r="C171" i="88" s="1"/>
  <c r="A171" i="88" s="1"/>
  <c r="E167" i="88"/>
  <c r="C167" i="88" s="1"/>
  <c r="A167" i="88" s="1"/>
  <c r="F166" i="88"/>
  <c r="C166" i="88" s="1"/>
  <c r="A166" i="88" s="1"/>
  <c r="G157" i="88"/>
  <c r="E165" i="88"/>
  <c r="C165" i="88" s="1"/>
  <c r="A165" i="88" s="1"/>
  <c r="AO326" i="8"/>
  <c r="E162" i="88"/>
  <c r="C162" i="88" s="1"/>
  <c r="A162" i="88" s="1"/>
  <c r="E159" i="88"/>
  <c r="I635" i="80"/>
  <c r="E157" i="88"/>
  <c r="N321" i="16"/>
  <c r="G156" i="88"/>
  <c r="E156" i="88"/>
  <c r="C130" i="88"/>
  <c r="A130" i="88" s="1"/>
  <c r="E91" i="88"/>
  <c r="C91" i="88" s="1"/>
  <c r="A91" i="88" s="1"/>
  <c r="I1329" i="80"/>
  <c r="E87" i="88"/>
  <c r="C87" i="88" s="1"/>
  <c r="A87" i="88" s="1"/>
  <c r="E86" i="88"/>
  <c r="C86" i="88" s="1"/>
  <c r="A86" i="88" s="1"/>
  <c r="I1324" i="80"/>
  <c r="I1323" i="80" s="1"/>
  <c r="E85" i="88"/>
  <c r="C85" i="88" s="1"/>
  <c r="A85" i="88" s="1"/>
  <c r="I1153" i="80"/>
  <c r="E66" i="88"/>
  <c r="C66" i="88" s="1"/>
  <c r="A66" i="88" s="1"/>
  <c r="E73" i="88"/>
  <c r="C73" i="88" s="1"/>
  <c r="A73" i="88" s="1"/>
  <c r="E38" i="88"/>
  <c r="C38" i="88" s="1"/>
  <c r="A38" i="88" s="1"/>
  <c r="E26" i="88"/>
  <c r="C26" i="88" s="1"/>
  <c r="A26" i="88" s="1"/>
  <c r="I745" i="80"/>
  <c r="E25" i="88"/>
  <c r="C25" i="88" s="1"/>
  <c r="A25" i="88" s="1"/>
  <c r="G293" i="16"/>
  <c r="G295" i="16"/>
  <c r="G296" i="16" s="1"/>
  <c r="G297" i="16" s="1"/>
  <c r="G298" i="16" s="1"/>
  <c r="G299" i="16" s="1"/>
  <c r="G300" i="16" s="1"/>
  <c r="G301" i="16" s="1"/>
  <c r="G302" i="16" s="1"/>
  <c r="G303" i="16" s="1"/>
  <c r="G304" i="16" s="1"/>
  <c r="I1992" i="80"/>
  <c r="A1992" i="80" s="1"/>
  <c r="AE1086" i="16"/>
  <c r="AF1086" i="16" s="1"/>
  <c r="AE1088" i="16"/>
  <c r="AC1088" i="16" s="1"/>
  <c r="T218" i="25"/>
  <c r="AD218" i="25" s="1"/>
  <c r="AC218" i="25" s="1"/>
  <c r="T216" i="25"/>
  <c r="AD216" i="25" s="1"/>
  <c r="AC216" i="25" s="1"/>
  <c r="AE958" i="16"/>
  <c r="AC958" i="16" s="1"/>
  <c r="M958" i="16"/>
  <c r="AM954" i="16" s="1"/>
  <c r="AE88" i="25"/>
  <c r="AC88" i="25" s="1"/>
  <c r="M88" i="25"/>
  <c r="AM84" i="25" s="1"/>
  <c r="W36" i="86"/>
  <c r="B9" i="72"/>
  <c r="W106" i="84"/>
  <c r="G89" i="84" s="1"/>
  <c r="D3" i="84" s="1"/>
  <c r="F31" i="89" s="1"/>
  <c r="A356" i="80"/>
  <c r="C356" i="80" s="1"/>
  <c r="C292" i="80"/>
  <c r="C293" i="80"/>
  <c r="A294" i="80"/>
  <c r="C2102" i="80"/>
  <c r="T1787" i="16"/>
  <c r="AD1787" i="16" s="1"/>
  <c r="AC1787" i="16" s="1"/>
  <c r="O1787" i="16"/>
  <c r="AO1787" i="16" s="1"/>
  <c r="A890" i="80"/>
  <c r="C890" i="80" s="1"/>
  <c r="C889" i="80"/>
  <c r="A888" i="80"/>
  <c r="C888" i="80" s="1"/>
  <c r="C887" i="80"/>
  <c r="A681" i="80"/>
  <c r="C681" i="80" s="1"/>
  <c r="AC14" i="25"/>
  <c r="AD211" i="25"/>
  <c r="AC211" i="25" s="1"/>
  <c r="T108" i="25"/>
  <c r="AD108" i="25" s="1"/>
  <c r="AC108" i="25" s="1"/>
  <c r="T105" i="25"/>
  <c r="AD105" i="25" s="1"/>
  <c r="A2089" i="80"/>
  <c r="C2089" i="80" s="1"/>
  <c r="C2088" i="80"/>
  <c r="I87" i="80"/>
  <c r="I2211" i="80"/>
  <c r="W211" i="85"/>
  <c r="I1356" i="80"/>
  <c r="W272" i="85"/>
  <c r="I287" i="80"/>
  <c r="W265" i="85"/>
  <c r="N286" i="16"/>
  <c r="W264" i="85"/>
  <c r="N443" i="16"/>
  <c r="W130" i="85"/>
  <c r="N1527" i="16"/>
  <c r="W214" i="84"/>
  <c r="W291" i="84"/>
  <c r="W265" i="84"/>
  <c r="W238" i="84"/>
  <c r="W264" i="84"/>
  <c r="AO125" i="24"/>
  <c r="N449" i="16"/>
  <c r="AO135" i="24"/>
  <c r="AO131" i="24"/>
  <c r="N453" i="16"/>
  <c r="AO657" i="25"/>
  <c r="N255" i="16"/>
  <c r="AO256" i="8"/>
  <c r="N325" i="16"/>
  <c r="AO317" i="8"/>
  <c r="I1888" i="80"/>
  <c r="I320" i="80"/>
  <c r="AO289" i="8"/>
  <c r="I1523" i="80"/>
  <c r="N288" i="16"/>
  <c r="I324" i="80"/>
  <c r="I315" i="80"/>
  <c r="I309" i="80" s="1"/>
  <c r="A309" i="80" s="1"/>
  <c r="N636" i="16"/>
  <c r="AO322" i="8"/>
  <c r="AO316" i="8"/>
  <c r="I1803" i="80"/>
  <c r="I445" i="80"/>
  <c r="AO318" i="24"/>
  <c r="N315" i="16"/>
  <c r="G315" i="16" s="1"/>
  <c r="I291" i="80"/>
  <c r="AO293" i="8"/>
  <c r="N441" i="16"/>
  <c r="I285" i="80"/>
  <c r="I304" i="80"/>
  <c r="AO123" i="24"/>
  <c r="AO287" i="8"/>
  <c r="AO306" i="8"/>
  <c r="AO139" i="24"/>
  <c r="AO313" i="8"/>
  <c r="C1426" i="80"/>
  <c r="N457" i="16"/>
  <c r="I438" i="80"/>
  <c r="N312" i="16"/>
  <c r="I250" i="80"/>
  <c r="O2081" i="16"/>
  <c r="AO564" i="25"/>
  <c r="I1433" i="80"/>
  <c r="I1432" i="80" s="1"/>
  <c r="N1434" i="16"/>
  <c r="S17" i="25"/>
  <c r="O1527" i="16"/>
  <c r="AO1527" i="16" s="1"/>
  <c r="T1527" i="16"/>
  <c r="AD1527" i="16" s="1"/>
  <c r="AC1527" i="16" s="1"/>
  <c r="AD1704" i="16"/>
  <c r="AC1704" i="16" s="1"/>
  <c r="T312" i="16"/>
  <c r="AD312" i="16" s="1"/>
  <c r="AC312" i="16" s="1"/>
  <c r="O312" i="16"/>
  <c r="E311" i="81" s="1"/>
  <c r="O2044" i="16"/>
  <c r="E2043" i="81" s="1"/>
  <c r="T2044" i="16"/>
  <c r="AD2044" i="16" s="1"/>
  <c r="AC2044" i="16" s="1"/>
  <c r="T360" i="25"/>
  <c r="AD360" i="25" s="1"/>
  <c r="AC360" i="25" s="1"/>
  <c r="O1595" i="16"/>
  <c r="S888" i="16" s="1"/>
  <c r="T1595" i="16"/>
  <c r="AD1595" i="16" s="1"/>
  <c r="AC1595" i="16" s="1"/>
  <c r="T323" i="16"/>
  <c r="AD323" i="16" s="1"/>
  <c r="AC323" i="16" s="1"/>
  <c r="O323" i="16"/>
  <c r="E322" i="81" s="1"/>
  <c r="AD1695" i="16"/>
  <c r="AC1695" i="16" s="1"/>
  <c r="AO1695" i="16"/>
  <c r="I4" i="25"/>
  <c r="I374" i="80"/>
  <c r="AO57" i="24"/>
  <c r="N375" i="16"/>
  <c r="T1438" i="16"/>
  <c r="AD1438" i="16" s="1"/>
  <c r="AC1438" i="16" s="1"/>
  <c r="T207" i="24"/>
  <c r="AD207" i="24" s="1"/>
  <c r="AC207" i="24" s="1"/>
  <c r="I1924" i="80"/>
  <c r="W131" i="84"/>
  <c r="I1761" i="80"/>
  <c r="I1750" i="80" s="1"/>
  <c r="C281" i="80"/>
  <c r="C280" i="80"/>
  <c r="A367" i="80"/>
  <c r="A368" i="80" s="1"/>
  <c r="C368" i="80" s="1"/>
  <c r="N323" i="16"/>
  <c r="I322" i="80"/>
  <c r="A2456" i="80"/>
  <c r="C2456" i="80" s="1"/>
  <c r="C2455" i="80"/>
  <c r="I1908" i="80"/>
  <c r="A1908" i="80" s="1"/>
  <c r="A1458" i="80"/>
  <c r="C1458" i="80" s="1"/>
  <c r="C1457" i="80"/>
  <c r="A333" i="80"/>
  <c r="C332" i="80"/>
  <c r="C1992" i="80"/>
  <c r="A1993" i="80"/>
  <c r="A183" i="80"/>
  <c r="C183" i="80" s="1"/>
  <c r="C182" i="80"/>
  <c r="A1959" i="80"/>
  <c r="C1959" i="80" s="1"/>
  <c r="C1958" i="80"/>
  <c r="C42" i="80"/>
  <c r="A43" i="80"/>
  <c r="C43" i="80" s="1"/>
  <c r="A1902" i="80"/>
  <c r="C1901" i="80"/>
  <c r="A1413" i="80"/>
  <c r="C1413" i="80" s="1"/>
  <c r="C1412" i="80"/>
  <c r="C70" i="80"/>
  <c r="A71" i="80"/>
  <c r="C71" i="80" s="1"/>
  <c r="C1920" i="80"/>
  <c r="A1921" i="80"/>
  <c r="C1921" i="80" s="1"/>
  <c r="A725" i="80"/>
  <c r="C725" i="80" s="1"/>
  <c r="C724" i="80"/>
  <c r="C460" i="80"/>
  <c r="C1916" i="80"/>
  <c r="A1917" i="80"/>
  <c r="C1917" i="80" s="1"/>
  <c r="C1544" i="80"/>
  <c r="A1545" i="80"/>
  <c r="C207" i="80"/>
  <c r="A208" i="80"/>
  <c r="E2209" i="81"/>
  <c r="AO2210" i="16"/>
  <c r="A232" i="80"/>
  <c r="C232" i="80" s="1"/>
  <c r="C231" i="80"/>
  <c r="A597" i="80"/>
  <c r="C596" i="80"/>
  <c r="A125" i="80"/>
  <c r="C124" i="80"/>
  <c r="C461" i="80"/>
  <c r="A462" i="80"/>
  <c r="C1913" i="80"/>
  <c r="A1914" i="80"/>
  <c r="C1914" i="80" s="1"/>
  <c r="A822" i="80"/>
  <c r="C822" i="80" s="1"/>
  <c r="C821" i="80"/>
  <c r="A98" i="80"/>
  <c r="C98" i="80" s="1"/>
  <c r="C97" i="80"/>
  <c r="A542" i="80"/>
  <c r="C541" i="80"/>
  <c r="A567" i="80"/>
  <c r="C567" i="80" s="1"/>
  <c r="C566" i="80"/>
  <c r="E90" i="81"/>
  <c r="AO91" i="16"/>
  <c r="A2246" i="80"/>
  <c r="C2245" i="80"/>
  <c r="C1961" i="80"/>
  <c r="A1962" i="80"/>
  <c r="C1962" i="80" s="1"/>
  <c r="A1928" i="80"/>
  <c r="C1928" i="80" s="1"/>
  <c r="C1927" i="80"/>
  <c r="C472" i="80"/>
  <c r="A473" i="80"/>
  <c r="C473" i="80" s="1"/>
  <c r="A2059" i="80"/>
  <c r="C2059" i="80" s="1"/>
  <c r="C2058" i="80"/>
  <c r="A1488" i="80"/>
  <c r="C1488" i="80" s="1"/>
  <c r="C1487" i="80"/>
  <c r="E1495" i="81"/>
  <c r="AO1496" i="16"/>
  <c r="E97" i="81"/>
  <c r="AO98" i="16"/>
  <c r="A2028" i="80"/>
  <c r="C2027" i="80"/>
  <c r="A1967" i="80"/>
  <c r="C1966" i="80"/>
  <c r="I67" i="80"/>
  <c r="A2015" i="80"/>
  <c r="C2015" i="80" s="1"/>
  <c r="C2014" i="80"/>
  <c r="A2235" i="80"/>
  <c r="C2234" i="80"/>
  <c r="A573" i="80"/>
  <c r="C573" i="80" s="1"/>
  <c r="C572" i="80"/>
  <c r="C1881" i="80"/>
  <c r="A1882" i="80"/>
  <c r="C1882" i="80" s="1"/>
  <c r="A101" i="80"/>
  <c r="C101" i="80" s="1"/>
  <c r="C100" i="80"/>
  <c r="A69" i="80"/>
  <c r="C69" i="80" s="1"/>
  <c r="C68" i="80"/>
  <c r="A1919" i="80"/>
  <c r="C1919" i="80" s="1"/>
  <c r="C1918" i="80"/>
  <c r="A792" i="80"/>
  <c r="C791" i="80"/>
  <c r="A2451" i="80"/>
  <c r="C2450" i="80"/>
  <c r="C1910" i="80"/>
  <c r="A1911" i="80"/>
  <c r="A1996" i="80"/>
  <c r="C1996" i="80" s="1"/>
  <c r="C1995" i="80"/>
  <c r="C103" i="80"/>
  <c r="A104" i="80"/>
  <c r="C104" i="80" s="1"/>
  <c r="A1956" i="80"/>
  <c r="C1956" i="80" s="1"/>
  <c r="C1955" i="80"/>
  <c r="A60" i="80"/>
  <c r="C60" i="80" s="1"/>
  <c r="C59" i="80"/>
  <c r="A220" i="80"/>
  <c r="C219" i="80"/>
  <c r="A350" i="80"/>
  <c r="C350" i="80" s="1"/>
  <c r="C349" i="80"/>
  <c r="A2152" i="80"/>
  <c r="C2152" i="80" s="1"/>
  <c r="C1555" i="80"/>
  <c r="A1556" i="80"/>
  <c r="C1556" i="80" s="1"/>
  <c r="E330" i="81"/>
  <c r="AO331" i="16"/>
  <c r="E274" i="81"/>
  <c r="AO275" i="16"/>
  <c r="E2339" i="81"/>
  <c r="AO2340" i="16"/>
  <c r="E2321" i="81"/>
  <c r="AO2322" i="16"/>
  <c r="E2100" i="81"/>
  <c r="AO2101" i="16"/>
  <c r="E2394" i="81"/>
  <c r="AO2395" i="16"/>
  <c r="E2302" i="81"/>
  <c r="AO2303" i="16"/>
  <c r="E434" i="81"/>
  <c r="AO435" i="16"/>
  <c r="E397" i="81"/>
  <c r="AO398" i="16"/>
  <c r="E2366" i="81"/>
  <c r="AO2367" i="16"/>
  <c r="AO1889" i="16"/>
  <c r="AO1903" i="16"/>
  <c r="E2035" i="81"/>
  <c r="AO2036" i="16"/>
  <c r="E2029" i="81"/>
  <c r="AO2030" i="16"/>
  <c r="E1927" i="81"/>
  <c r="AO1928" i="16"/>
  <c r="E2041" i="81"/>
  <c r="AO2042" i="16"/>
  <c r="AO1649" i="16"/>
  <c r="E1692" i="81"/>
  <c r="AO1693" i="16"/>
  <c r="E1759" i="81"/>
  <c r="AO1760" i="16"/>
  <c r="AO1507" i="16"/>
  <c r="AO1443" i="16"/>
  <c r="AO1434" i="16"/>
  <c r="E1524" i="81"/>
  <c r="AO1525" i="16"/>
  <c r="E1321" i="81"/>
  <c r="AO1322" i="16"/>
  <c r="E1636" i="81"/>
  <c r="AO1637" i="16"/>
  <c r="E1528" i="81"/>
  <c r="AO1529" i="16"/>
  <c r="E1582" i="81"/>
  <c r="G1582" i="81" s="1"/>
  <c r="G1579" i="81" s="1"/>
  <c r="AO1583" i="16"/>
  <c r="E1584" i="81"/>
  <c r="AO1585" i="16"/>
  <c r="E1291" i="81"/>
  <c r="AO1292" i="16"/>
  <c r="E1626" i="81"/>
  <c r="AO1627" i="16"/>
  <c r="E1635" i="81"/>
  <c r="AO1636" i="16"/>
  <c r="AO375" i="16"/>
  <c r="AO45" i="16"/>
  <c r="E291" i="81"/>
  <c r="AO292" i="16"/>
  <c r="E290" i="81"/>
  <c r="AO291" i="16"/>
  <c r="E314" i="81"/>
  <c r="AO315" i="16"/>
  <c r="E320" i="81"/>
  <c r="AO321" i="16"/>
  <c r="E304" i="81"/>
  <c r="AO305" i="16"/>
  <c r="E287" i="81"/>
  <c r="AO288" i="16"/>
  <c r="E254" i="81"/>
  <c r="AO255" i="16"/>
  <c r="E281" i="81"/>
  <c r="G281" i="81" s="1"/>
  <c r="G280" i="81" s="1"/>
  <c r="AO282" i="16"/>
  <c r="E315" i="81"/>
  <c r="AO316" i="16"/>
  <c r="E285" i="81"/>
  <c r="AO286" i="16"/>
  <c r="E324" i="81"/>
  <c r="AO325" i="16"/>
  <c r="E1902" i="81"/>
  <c r="E1888" i="81"/>
  <c r="E1648" i="81"/>
  <c r="E1506" i="81"/>
  <c r="E1442" i="81"/>
  <c r="E1433" i="81"/>
  <c r="E374" i="81"/>
  <c r="E44" i="81"/>
  <c r="A2325" i="80"/>
  <c r="C2325" i="80" s="1"/>
  <c r="C2324" i="80"/>
  <c r="A2342" i="80"/>
  <c r="C2341" i="80"/>
  <c r="C2099" i="80"/>
  <c r="A2100" i="80"/>
  <c r="A2369" i="80"/>
  <c r="C2368" i="80"/>
  <c r="C2304" i="80"/>
  <c r="A2305" i="80"/>
  <c r="C397" i="80"/>
  <c r="A398" i="80"/>
  <c r="A2104" i="80"/>
  <c r="C2104" i="80" s="1"/>
  <c r="C2103" i="80"/>
  <c r="AO152" i="29"/>
  <c r="I2396" i="80"/>
  <c r="A2396" i="80" s="1"/>
  <c r="C2256" i="80"/>
  <c r="A2257" i="80"/>
  <c r="C2257" i="80" s="1"/>
  <c r="A416" i="80"/>
  <c r="C416" i="80" s="1"/>
  <c r="C415" i="80"/>
  <c r="A427" i="80"/>
  <c r="A424" i="80" s="1"/>
  <c r="C426" i="80"/>
  <c r="A894" i="80"/>
  <c r="C893" i="80"/>
  <c r="C886" i="80"/>
  <c r="C896" i="80"/>
  <c r="A897" i="80"/>
  <c r="A1481" i="80"/>
  <c r="C1480" i="80"/>
  <c r="A128" i="80"/>
  <c r="C128" i="80" s="1"/>
  <c r="C92" i="80"/>
  <c r="A200" i="80"/>
  <c r="A149" i="80"/>
  <c r="C149" i="80" s="1"/>
  <c r="A114" i="80"/>
  <c r="C113" i="80"/>
  <c r="C44" i="80"/>
  <c r="C2195" i="80"/>
  <c r="A2196" i="80"/>
  <c r="C2086" i="80"/>
  <c r="I2085" i="80"/>
  <c r="A2098" i="80"/>
  <c r="C2098" i="80" s="1"/>
  <c r="C2097" i="80"/>
  <c r="C2087" i="80"/>
  <c r="I2049" i="80"/>
  <c r="A2042" i="80"/>
  <c r="C2042" i="80" s="1"/>
  <c r="C2041" i="80"/>
  <c r="A1930" i="80"/>
  <c r="A1931" i="80" s="1"/>
  <c r="A1838" i="80"/>
  <c r="C1776" i="80"/>
  <c r="A1684" i="80"/>
  <c r="C1684" i="80" s="1"/>
  <c r="C1683" i="80"/>
  <c r="C1650" i="80"/>
  <c r="A1651" i="80"/>
  <c r="C1548" i="80"/>
  <c r="C1524" i="80"/>
  <c r="A1542" i="80"/>
  <c r="C1542" i="80" s="1"/>
  <c r="C1541" i="80"/>
  <c r="C1549" i="80"/>
  <c r="A1550" i="80"/>
  <c r="C1550" i="80" s="1"/>
  <c r="C1506" i="80"/>
  <c r="A1443" i="80"/>
  <c r="C1442" i="80"/>
  <c r="C1204" i="80"/>
  <c r="A1205" i="80"/>
  <c r="I1176" i="80"/>
  <c r="A1176" i="80" s="1"/>
  <c r="A1053" i="80"/>
  <c r="C1052" i="80"/>
  <c r="A814" i="80"/>
  <c r="C813" i="80"/>
  <c r="A750" i="80"/>
  <c r="C749" i="80"/>
  <c r="A697" i="80"/>
  <c r="C696" i="80"/>
  <c r="A675" i="80"/>
  <c r="C674" i="80"/>
  <c r="A511" i="80"/>
  <c r="C510" i="80"/>
  <c r="C379" i="80"/>
  <c r="A380" i="80"/>
  <c r="C380" i="80" s="1"/>
  <c r="A171" i="80"/>
  <c r="C170" i="80"/>
  <c r="C161" i="80"/>
  <c r="A162" i="80"/>
  <c r="C157" i="80"/>
  <c r="A158" i="80"/>
  <c r="C158" i="80" s="1"/>
  <c r="I1121" i="80"/>
  <c r="A1121" i="80" s="1"/>
  <c r="I896" i="80"/>
  <c r="I164" i="80"/>
  <c r="AO51" i="8"/>
  <c r="I49" i="80"/>
  <c r="AO124" i="29"/>
  <c r="AO97" i="29"/>
  <c r="AO232" i="28"/>
  <c r="AO230" i="28"/>
  <c r="AO80" i="24"/>
  <c r="AO117" i="24"/>
  <c r="I1064" i="80"/>
  <c r="A1064" i="80" s="1"/>
  <c r="G150" i="16"/>
  <c r="G151" i="16" s="1"/>
  <c r="G152" i="16" s="1"/>
  <c r="G153" i="16" s="1"/>
  <c r="G154" i="16" s="1"/>
  <c r="G46" i="16"/>
  <c r="G47" i="16" s="1"/>
  <c r="G48" i="16" s="1"/>
  <c r="G49" i="16" s="1"/>
  <c r="N2303" i="16"/>
  <c r="AO60" i="29"/>
  <c r="N2210" i="16"/>
  <c r="AO344" i="28"/>
  <c r="R400" i="24"/>
  <c r="AE400" i="24" s="1"/>
  <c r="AC400" i="24" s="1"/>
  <c r="M284" i="28"/>
  <c r="AM284" i="28" s="1"/>
  <c r="S244" i="28"/>
  <c r="S241" i="28"/>
  <c r="O1186" i="16"/>
  <c r="AO316" i="25"/>
  <c r="N1186" i="16"/>
  <c r="T1322" i="16"/>
  <c r="AD1322" i="16" s="1"/>
  <c r="AC1322" i="16" s="1"/>
  <c r="O232" i="25"/>
  <c r="I1101" i="80" s="1"/>
  <c r="A1101" i="80" s="1"/>
  <c r="AC962" i="16"/>
  <c r="AC968" i="16"/>
  <c r="AC966" i="16"/>
  <c r="AC963" i="16"/>
  <c r="AC960" i="16"/>
  <c r="AC969" i="16"/>
  <c r="AC967" i="16"/>
  <c r="AC965" i="16"/>
  <c r="AC970" i="16"/>
  <c r="AC961" i="16"/>
  <c r="AC959" i="16"/>
  <c r="AC964" i="16"/>
  <c r="AC99" i="25"/>
  <c r="AC97" i="25"/>
  <c r="AC92" i="25"/>
  <c r="AC90" i="25"/>
  <c r="AC96" i="25"/>
  <c r="AC91" i="25"/>
  <c r="AC89" i="25"/>
  <c r="AC94" i="25"/>
  <c r="AC100" i="25"/>
  <c r="AC98" i="25"/>
  <c r="AC95" i="25"/>
  <c r="AC93" i="25"/>
  <c r="G368" i="16"/>
  <c r="G369" i="16" s="1"/>
  <c r="N435" i="16"/>
  <c r="T525" i="16"/>
  <c r="AD525" i="16" s="1"/>
  <c r="AC525" i="16" s="1"/>
  <c r="AO382" i="25"/>
  <c r="R108" i="25"/>
  <c r="N398" i="16"/>
  <c r="AE28" i="29"/>
  <c r="AC28" i="29" s="1"/>
  <c r="AE103" i="24"/>
  <c r="AC103" i="24" s="1"/>
  <c r="M17" i="29"/>
  <c r="AM17" i="29" s="1"/>
  <c r="R2331" i="16"/>
  <c r="AE2331" i="16" s="1"/>
  <c r="AC2331" i="16" s="1"/>
  <c r="C25" i="10"/>
  <c r="BF1645" i="16"/>
  <c r="N1286" i="16"/>
  <c r="BG334" i="16"/>
  <c r="N2395" i="16"/>
  <c r="O1102" i="16"/>
  <c r="N1288" i="16"/>
  <c r="N1290" i="16"/>
  <c r="BE15" i="16"/>
  <c r="S1224" i="16"/>
  <c r="T1224" i="16" s="1"/>
  <c r="AD1224" i="16" s="1"/>
  <c r="AC1224" i="16" s="1"/>
  <c r="N171" i="16"/>
  <c r="BH1882" i="16"/>
  <c r="N1280" i="16"/>
  <c r="N746" i="16"/>
  <c r="N50" i="16"/>
  <c r="N1271" i="16"/>
  <c r="G1271" i="16" s="1"/>
  <c r="T429" i="16"/>
  <c r="AD429" i="16" s="1"/>
  <c r="AC429" i="16" s="1"/>
  <c r="O429" i="16"/>
  <c r="O2098" i="16"/>
  <c r="M411" i="16"/>
  <c r="AM411" i="16" s="1"/>
  <c r="O416" i="16"/>
  <c r="T1507" i="16"/>
  <c r="T2410" i="16"/>
  <c r="AD2410" i="16" s="1"/>
  <c r="R2410" i="16"/>
  <c r="S1232" i="16"/>
  <c r="T1232" i="16" s="1"/>
  <c r="AD1232" i="16" s="1"/>
  <c r="AC1232" i="16" s="1"/>
  <c r="O2255" i="16"/>
  <c r="AO2255" i="16" s="1"/>
  <c r="T2412" i="16"/>
  <c r="AD2412" i="16" s="1"/>
  <c r="R2412" i="16"/>
  <c r="T2411" i="16"/>
  <c r="AD2411" i="16" s="1"/>
  <c r="R2411" i="16"/>
  <c r="Y11" i="23"/>
  <c r="B4" i="3" s="1"/>
  <c r="BI886" i="16"/>
  <c r="R1084" i="16" s="1"/>
  <c r="AE1084" i="16" s="1"/>
  <c r="AC1084" i="16" s="1"/>
  <c r="T1229" i="16"/>
  <c r="AD1229" i="16" s="1"/>
  <c r="AC1229" i="16" s="1"/>
  <c r="T1297" i="16"/>
  <c r="AD1297" i="16" s="1"/>
  <c r="AC1297" i="16" s="1"/>
  <c r="O1297" i="16"/>
  <c r="AE915" i="16"/>
  <c r="AC915" i="16" s="1"/>
  <c r="M915" i="16"/>
  <c r="AM915" i="16" s="1"/>
  <c r="AE920" i="16"/>
  <c r="AC920" i="16" s="1"/>
  <c r="M920" i="16"/>
  <c r="AM920" i="16" s="1"/>
  <c r="AE921" i="16"/>
  <c r="AC921" i="16" s="1"/>
  <c r="M921" i="16"/>
  <c r="AM921" i="16" s="1"/>
  <c r="AE911" i="16"/>
  <c r="AC911" i="16" s="1"/>
  <c r="M911" i="16"/>
  <c r="AM911" i="16" s="1"/>
  <c r="AE925" i="16"/>
  <c r="AC925" i="16" s="1"/>
  <c r="M925" i="16"/>
  <c r="AM925" i="16" s="1"/>
  <c r="AE912" i="16"/>
  <c r="AC912" i="16" s="1"/>
  <c r="M912" i="16"/>
  <c r="AM912" i="16" s="1"/>
  <c r="AE922" i="16"/>
  <c r="AC922" i="16" s="1"/>
  <c r="M922" i="16"/>
  <c r="AM922" i="16" s="1"/>
  <c r="AE924" i="16"/>
  <c r="AC924" i="16" s="1"/>
  <c r="M924" i="16"/>
  <c r="AM924" i="16" s="1"/>
  <c r="AE927" i="16"/>
  <c r="AC927" i="16" s="1"/>
  <c r="M927" i="16"/>
  <c r="AM927" i="16" s="1"/>
  <c r="AE926" i="16"/>
  <c r="AC926" i="16" s="1"/>
  <c r="M926" i="16"/>
  <c r="AM926" i="16" s="1"/>
  <c r="AE929" i="16"/>
  <c r="AC929" i="16" s="1"/>
  <c r="M929" i="16"/>
  <c r="AM929" i="16" s="1"/>
  <c r="AE917" i="16"/>
  <c r="AC917" i="16" s="1"/>
  <c r="M917" i="16"/>
  <c r="AM917" i="16" s="1"/>
  <c r="AE914" i="16"/>
  <c r="AC914" i="16" s="1"/>
  <c r="M914" i="16"/>
  <c r="AM914" i="16" s="1"/>
  <c r="G1764" i="16"/>
  <c r="G1765" i="16" s="1"/>
  <c r="G1766" i="16" s="1"/>
  <c r="AE1049" i="16"/>
  <c r="AC1049" i="16" s="1"/>
  <c r="AE950" i="16"/>
  <c r="AC950" i="16" s="1"/>
  <c r="AE898" i="16"/>
  <c r="AE1417" i="16"/>
  <c r="AC1417" i="16" s="1"/>
  <c r="AE1055" i="16"/>
  <c r="AC1055" i="16" s="1"/>
  <c r="AE947" i="16"/>
  <c r="AC947" i="16" s="1"/>
  <c r="AE1043" i="16"/>
  <c r="AC1043" i="16" s="1"/>
  <c r="AE941" i="16"/>
  <c r="AC941" i="16" s="1"/>
  <c r="AE951" i="16"/>
  <c r="AC951" i="16" s="1"/>
  <c r="AE1030" i="16"/>
  <c r="AE1040" i="16"/>
  <c r="AE994" i="16"/>
  <c r="AC994" i="16" s="1"/>
  <c r="AE1020" i="16"/>
  <c r="AC1020" i="16" s="1"/>
  <c r="AE1042" i="16"/>
  <c r="AE938" i="16"/>
  <c r="AC938" i="16" s="1"/>
  <c r="AE991" i="16"/>
  <c r="M173" i="25"/>
  <c r="AM173" i="25" s="1"/>
  <c r="AE173" i="25"/>
  <c r="AC173" i="25" s="1"/>
  <c r="S1226" i="16"/>
  <c r="G654" i="16"/>
  <c r="G655" i="16" s="1"/>
  <c r="G656" i="16" s="1"/>
  <c r="G657" i="16" s="1"/>
  <c r="G658" i="16" s="1"/>
  <c r="G659" i="16" s="1"/>
  <c r="G660" i="16" s="1"/>
  <c r="G661" i="16" s="1"/>
  <c r="G662" i="16" s="1"/>
  <c r="G663" i="16" s="1"/>
  <c r="G664" i="16" s="1"/>
  <c r="G665" i="16" s="1"/>
  <c r="G666" i="16" s="1"/>
  <c r="G667" i="16" s="1"/>
  <c r="AE52" i="25"/>
  <c r="AC52" i="25" s="1"/>
  <c r="AE41" i="25"/>
  <c r="AC41" i="25" s="1"/>
  <c r="AE57" i="25"/>
  <c r="AC57" i="25" s="1"/>
  <c r="AE42" i="25"/>
  <c r="AC42" i="25" s="1"/>
  <c r="AE55" i="25"/>
  <c r="AC55" i="25" s="1"/>
  <c r="AE50" i="25"/>
  <c r="AC50" i="25" s="1"/>
  <c r="AE44" i="25"/>
  <c r="AC44" i="25" s="1"/>
  <c r="AE45" i="25"/>
  <c r="AC45" i="25" s="1"/>
  <c r="AE56" i="25"/>
  <c r="AC56" i="25" s="1"/>
  <c r="AE51" i="25"/>
  <c r="AC51" i="25" s="1"/>
  <c r="AE47" i="25"/>
  <c r="AC47" i="25" s="1"/>
  <c r="AE54" i="25"/>
  <c r="AC54" i="25" s="1"/>
  <c r="S50" i="16"/>
  <c r="O50" i="16" s="1"/>
  <c r="W235" i="84" s="1"/>
  <c r="T2101" i="16"/>
  <c r="AD2101" i="16" s="1"/>
  <c r="AC2101" i="16" s="1"/>
  <c r="AE122" i="29"/>
  <c r="AC122" i="29" s="1"/>
  <c r="AE16" i="29"/>
  <c r="AC16" i="29" s="1"/>
  <c r="AE103" i="29"/>
  <c r="AC103" i="29" s="1"/>
  <c r="M167" i="29"/>
  <c r="AM167" i="29" s="1"/>
  <c r="AE167" i="29"/>
  <c r="AC167" i="29" s="1"/>
  <c r="M169" i="29"/>
  <c r="AM169" i="29" s="1"/>
  <c r="AE169" i="29"/>
  <c r="AC169" i="29" s="1"/>
  <c r="M168" i="29"/>
  <c r="AM168" i="29" s="1"/>
  <c r="AE168" i="29"/>
  <c r="AC168" i="29" s="1"/>
  <c r="M152" i="29"/>
  <c r="AM152" i="29" s="1"/>
  <c r="AE152" i="29"/>
  <c r="AC152" i="29" s="1"/>
  <c r="AE288" i="28"/>
  <c r="AC288" i="28" s="1"/>
  <c r="O767" i="25"/>
  <c r="AO767" i="25" s="1"/>
  <c r="O748" i="25"/>
  <c r="O761" i="25"/>
  <c r="O746" i="25"/>
  <c r="W141" i="85" s="1"/>
  <c r="O757" i="25"/>
  <c r="C94" i="89" s="1"/>
  <c r="A94" i="89" s="1"/>
  <c r="O766" i="25"/>
  <c r="AO766" i="25" s="1"/>
  <c r="O715" i="25"/>
  <c r="O713" i="25"/>
  <c r="O711" i="25"/>
  <c r="M443" i="25"/>
  <c r="AM443" i="25" s="1"/>
  <c r="M442" i="25"/>
  <c r="AM442" i="25" s="1"/>
  <c r="M441" i="25"/>
  <c r="AM441" i="25" s="1"/>
  <c r="M434" i="25"/>
  <c r="AM434" i="25" s="1"/>
  <c r="M444" i="25"/>
  <c r="AM444" i="25" s="1"/>
  <c r="M433" i="25"/>
  <c r="AM433" i="25" s="1"/>
  <c r="M436" i="25"/>
  <c r="AM436" i="25" s="1"/>
  <c r="M440" i="25"/>
  <c r="AM440" i="25" s="1"/>
  <c r="M435" i="25"/>
  <c r="AM435" i="25" s="1"/>
  <c r="M415" i="25"/>
  <c r="AM415" i="25" s="1"/>
  <c r="M407" i="25"/>
  <c r="AM407" i="25" s="1"/>
  <c r="M414" i="25"/>
  <c r="AM414" i="25" s="1"/>
  <c r="M404" i="25"/>
  <c r="AM404" i="25" s="1"/>
  <c r="M413" i="25"/>
  <c r="AM413" i="25" s="1"/>
  <c r="M412" i="25"/>
  <c r="AM412" i="25" s="1"/>
  <c r="M408" i="25"/>
  <c r="AM408" i="25" s="1"/>
  <c r="M409" i="25"/>
  <c r="AM409" i="25" s="1"/>
  <c r="M405" i="25"/>
  <c r="AM405" i="25" s="1"/>
  <c r="M406" i="25"/>
  <c r="AM406" i="25" s="1"/>
  <c r="M423" i="25"/>
  <c r="AM423" i="25" s="1"/>
  <c r="M398" i="25"/>
  <c r="AM398" i="25" s="1"/>
  <c r="M395" i="25"/>
  <c r="AM395" i="25" s="1"/>
  <c r="M390" i="25"/>
  <c r="AM390" i="25" s="1"/>
  <c r="M384" i="25"/>
  <c r="AM384" i="25" s="1"/>
  <c r="M389" i="25"/>
  <c r="AM389" i="25" s="1"/>
  <c r="M385" i="25"/>
  <c r="AM385" i="25" s="1"/>
  <c r="M399" i="25"/>
  <c r="AM399" i="25" s="1"/>
  <c r="G1267" i="16"/>
  <c r="G1268" i="16" s="1"/>
  <c r="G1269" i="16" s="1"/>
  <c r="N165" i="16"/>
  <c r="AO166" i="8"/>
  <c r="O328" i="25"/>
  <c r="I1197" i="80" s="1"/>
  <c r="AE59" i="25"/>
  <c r="AC59" i="25" s="1"/>
  <c r="N2367" i="16"/>
  <c r="M229" i="25"/>
  <c r="AM229" i="25" s="1"/>
  <c r="T411" i="16"/>
  <c r="AD411" i="16" s="1"/>
  <c r="R431" i="16"/>
  <c r="T2325" i="16"/>
  <c r="AD2325" i="16" s="1"/>
  <c r="R2325" i="16"/>
  <c r="R421" i="16"/>
  <c r="T2098" i="16"/>
  <c r="AD2098" i="16" s="1"/>
  <c r="AC2098" i="16" s="1"/>
  <c r="T51" i="8"/>
  <c r="AD51" i="8" s="1"/>
  <c r="T2258" i="16"/>
  <c r="AD2258" i="16" s="1"/>
  <c r="R2258" i="16"/>
  <c r="AE128" i="29"/>
  <c r="AC128" i="29" s="1"/>
  <c r="T2328" i="16"/>
  <c r="AD2328" i="16" s="1"/>
  <c r="R2328" i="16"/>
  <c r="BE334" i="16"/>
  <c r="BG15" i="16"/>
  <c r="T2259" i="16"/>
  <c r="AD2259" i="16" s="1"/>
  <c r="R2259" i="16"/>
  <c r="BE1882" i="16"/>
  <c r="R2154" i="16" s="1"/>
  <c r="V11" i="23"/>
  <c r="BG1645" i="16"/>
  <c r="BG2259" i="16"/>
  <c r="BE1645" i="16"/>
  <c r="BG886" i="16"/>
  <c r="T2365" i="16"/>
  <c r="AD2365" i="16" s="1"/>
  <c r="R2365" i="16"/>
  <c r="BE2259" i="16"/>
  <c r="R2371" i="16"/>
  <c r="AE2371" i="16" s="1"/>
  <c r="T2371" i="16"/>
  <c r="AD2371" i="16" s="1"/>
  <c r="BE886" i="16"/>
  <c r="BG1882" i="16"/>
  <c r="T2260" i="16"/>
  <c r="AD2260" i="16" s="1"/>
  <c r="R2260" i="16"/>
  <c r="T2271" i="16"/>
  <c r="AD2271" i="16" s="1"/>
  <c r="R2271" i="16"/>
  <c r="R2344" i="16"/>
  <c r="T2344" i="16"/>
  <c r="AD2344" i="16" s="1"/>
  <c r="R2395" i="16"/>
  <c r="T2395" i="16"/>
  <c r="AD2395" i="16" s="1"/>
  <c r="R2303" i="16"/>
  <c r="T2303" i="16"/>
  <c r="AD2303" i="16" s="1"/>
  <c r="T2346" i="16"/>
  <c r="AD2346" i="16" s="1"/>
  <c r="R2346" i="16"/>
  <c r="BF334" i="16"/>
  <c r="L516" i="16" s="1"/>
  <c r="BH334" i="16"/>
  <c r="AE82" i="29"/>
  <c r="AC82" i="29" s="1"/>
  <c r="N24" i="10"/>
  <c r="BF2259" i="16"/>
  <c r="U11" i="23"/>
  <c r="BH15" i="16"/>
  <c r="BF1882" i="16"/>
  <c r="BH886" i="16"/>
  <c r="C24" i="10"/>
  <c r="BF886" i="16"/>
  <c r="W11" i="23"/>
  <c r="BF15" i="16"/>
  <c r="BH1645" i="16"/>
  <c r="BH2259" i="16"/>
  <c r="O517" i="25"/>
  <c r="I1386" i="80" s="1"/>
  <c r="A1386" i="80" s="1"/>
  <c r="R437" i="16"/>
  <c r="T437" i="16"/>
  <c r="AD437" i="16" s="1"/>
  <c r="T418" i="16"/>
  <c r="AD418" i="16" s="1"/>
  <c r="AC418" i="16" s="1"/>
  <c r="T398" i="16"/>
  <c r="N2098" i="16"/>
  <c r="S343" i="25"/>
  <c r="O341" i="25" s="1"/>
  <c r="I1210" i="80" s="1"/>
  <c r="A1210" i="80" s="1"/>
  <c r="M437" i="25"/>
  <c r="AM437" i="25" s="1"/>
  <c r="M354" i="25"/>
  <c r="AM354" i="25" s="1"/>
  <c r="C19" i="10"/>
  <c r="R105" i="25"/>
  <c r="M448" i="25"/>
  <c r="AM448" i="25" s="1"/>
  <c r="M372" i="25"/>
  <c r="S506" i="25"/>
  <c r="M356" i="25"/>
  <c r="M358" i="25"/>
  <c r="AM358" i="25" s="1"/>
  <c r="M371" i="25"/>
  <c r="AM371" i="25" s="1"/>
  <c r="M370" i="25"/>
  <c r="AM370" i="25" s="1"/>
  <c r="T286" i="25"/>
  <c r="M316" i="25" s="1"/>
  <c r="AM316" i="25" s="1"/>
  <c r="M348" i="25"/>
  <c r="AO428" i="24"/>
  <c r="T359" i="25"/>
  <c r="AD359" i="25" s="1"/>
  <c r="AC359" i="25" s="1"/>
  <c r="H15" i="3"/>
  <c r="N15" i="3" s="1"/>
  <c r="AO172" i="8"/>
  <c r="T1230" i="16"/>
  <c r="AD1230" i="16" s="1"/>
  <c r="AC1230" i="16" s="1"/>
  <c r="T1903" i="16"/>
  <c r="AD1903" i="16" s="1"/>
  <c r="AC1903" i="16" s="1"/>
  <c r="T1889" i="16"/>
  <c r="AD1889" i="16" s="1"/>
  <c r="AC1889" i="16" s="1"/>
  <c r="M15" i="29"/>
  <c r="AM15" i="29" s="1"/>
  <c r="AE15" i="29"/>
  <c r="AC15" i="29" s="1"/>
  <c r="S339" i="28"/>
  <c r="T339" i="28" s="1"/>
  <c r="AD339" i="28" s="1"/>
  <c r="AC339" i="28" s="1"/>
  <c r="S338" i="28"/>
  <c r="AO12" i="29"/>
  <c r="N2255" i="16"/>
  <c r="AO209" i="8"/>
  <c r="N208" i="16"/>
  <c r="N2340" i="16"/>
  <c r="H20" i="3"/>
  <c r="AI3" i="29"/>
  <c r="L18" i="72" s="1"/>
  <c r="M101" i="29"/>
  <c r="AM101" i="29" s="1"/>
  <c r="AE101" i="29"/>
  <c r="AC101" i="29" s="1"/>
  <c r="AE113" i="24"/>
  <c r="AC113" i="24" s="1"/>
  <c r="M113" i="24"/>
  <c r="AM113" i="24" s="1"/>
  <c r="AE119" i="24"/>
  <c r="M119" i="24"/>
  <c r="AM119" i="24" s="1"/>
  <c r="N416" i="16"/>
  <c r="AO98" i="24"/>
  <c r="AC172" i="25"/>
  <c r="AC170" i="25"/>
  <c r="AC547" i="25"/>
  <c r="AC121" i="25"/>
  <c r="N897" i="16"/>
  <c r="AO27" i="25"/>
  <c r="AO252" i="25"/>
  <c r="N1122" i="16"/>
  <c r="N1154" i="16"/>
  <c r="AO284" i="25"/>
  <c r="AO310" i="25"/>
  <c r="N1180" i="16"/>
  <c r="G1180" i="16" s="1"/>
  <c r="M124" i="25"/>
  <c r="AM124" i="25" s="1"/>
  <c r="AE124" i="25"/>
  <c r="AC124" i="25" s="1"/>
  <c r="AE179" i="25"/>
  <c r="AC179" i="25" s="1"/>
  <c r="M179" i="25"/>
  <c r="AM179" i="25" s="1"/>
  <c r="N1053" i="16"/>
  <c r="AO183" i="25"/>
  <c r="N1297" i="16"/>
  <c r="G1297" i="16" s="1"/>
  <c r="AO427" i="25"/>
  <c r="AO455" i="25"/>
  <c r="N1325" i="16"/>
  <c r="G1325" i="16" s="1"/>
  <c r="AC244" i="25"/>
  <c r="G2043" i="16"/>
  <c r="AO425" i="25"/>
  <c r="N1295" i="16"/>
  <c r="AE80" i="25"/>
  <c r="AC80" i="25" s="1"/>
  <c r="M80" i="25"/>
  <c r="AM80" i="25" s="1"/>
  <c r="AE81" i="25"/>
  <c r="AC81" i="25" s="1"/>
  <c r="M81" i="25"/>
  <c r="AM81" i="25" s="1"/>
  <c r="AO304" i="25"/>
  <c r="N1174" i="16"/>
  <c r="AO452" i="25"/>
  <c r="N1322" i="16"/>
  <c r="N1357" i="16"/>
  <c r="AO487" i="25"/>
  <c r="N1166" i="16"/>
  <c r="AO296" i="25"/>
  <c r="N1330" i="16"/>
  <c r="G1330" i="16" s="1"/>
  <c r="AO460" i="25"/>
  <c r="M211" i="25"/>
  <c r="AM211" i="25" s="1"/>
  <c r="N1760" i="16"/>
  <c r="G1760" i="16" s="1"/>
  <c r="M122" i="27"/>
  <c r="AO131" i="27"/>
  <c r="N1326" i="16"/>
  <c r="G1326" i="16" s="1"/>
  <c r="AO456" i="25"/>
  <c r="M214" i="25"/>
  <c r="AM214" i="25" s="1"/>
  <c r="AC214" i="25"/>
  <c r="M77" i="25"/>
  <c r="AM77" i="25" s="1"/>
  <c r="AE77" i="25"/>
  <c r="AC77" i="25" s="1"/>
  <c r="M68" i="25"/>
  <c r="AM68" i="25" s="1"/>
  <c r="AE68" i="25"/>
  <c r="AC68" i="25" s="1"/>
  <c r="G1526" i="16"/>
  <c r="AE196" i="25"/>
  <c r="AC196" i="25" s="1"/>
  <c r="M196" i="25"/>
  <c r="AM196" i="25" s="1"/>
  <c r="N2096" i="16"/>
  <c r="M236" i="25"/>
  <c r="AM236" i="25" s="1"/>
  <c r="AC236" i="25"/>
  <c r="M160" i="25"/>
  <c r="AM160" i="25" s="1"/>
  <c r="AE160" i="25"/>
  <c r="AC160" i="25" s="1"/>
  <c r="AO335" i="25"/>
  <c r="N1205" i="16"/>
  <c r="AO422" i="25"/>
  <c r="N1292" i="16"/>
  <c r="G1292" i="16" s="1"/>
  <c r="AO318" i="25"/>
  <c r="N1188" i="16"/>
  <c r="G1188" i="16" s="1"/>
  <c r="N1169" i="16"/>
  <c r="AO299" i="25"/>
  <c r="AO420" i="25"/>
  <c r="AC185" i="25"/>
  <c r="AO330" i="25"/>
  <c r="N1200" i="16"/>
  <c r="G1200" i="16" s="1"/>
  <c r="AO418" i="25"/>
  <c r="N1327" i="16"/>
  <c r="AO457" i="25"/>
  <c r="M71" i="25"/>
  <c r="AM71" i="25" s="1"/>
  <c r="AE71" i="25"/>
  <c r="AC71" i="25" s="1"/>
  <c r="AC28" i="25"/>
  <c r="M150" i="25"/>
  <c r="AM150" i="25" s="1"/>
  <c r="AE150" i="25"/>
  <c r="AC150" i="25" s="1"/>
  <c r="AO450" i="25"/>
  <c r="N1320" i="16"/>
  <c r="O364" i="25"/>
  <c r="S160" i="27"/>
  <c r="AG2" i="29"/>
  <c r="O241" i="28"/>
  <c r="O1438" i="16"/>
  <c r="O244" i="28"/>
  <c r="O1234" i="16"/>
  <c r="S884" i="16"/>
  <c r="I1243" i="80" l="1"/>
  <c r="A1243" i="80" s="1"/>
  <c r="A1937" i="80"/>
  <c r="A1938" i="80" s="1"/>
  <c r="C1938" i="80" s="1"/>
  <c r="G1906" i="81"/>
  <c r="G1919" i="81"/>
  <c r="G97" i="81"/>
  <c r="T1083" i="16"/>
  <c r="T1082" i="16"/>
  <c r="T1081" i="16" s="1"/>
  <c r="AD1081" i="16" s="1"/>
  <c r="E165" i="89"/>
  <c r="C165" i="89" s="1"/>
  <c r="A165" i="89" s="1"/>
  <c r="G330" i="81"/>
  <c r="G331" i="81" s="1"/>
  <c r="G332" i="81" s="1"/>
  <c r="G333" i="81" s="1"/>
  <c r="G334" i="81" s="1"/>
  <c r="G335" i="81" s="1"/>
  <c r="G2098" i="16"/>
  <c r="G2099" i="16" s="1"/>
  <c r="G2100" i="16" s="1"/>
  <c r="C2007" i="80"/>
  <c r="A2008" i="80"/>
  <c r="G1597" i="16"/>
  <c r="G1598" i="16" s="1"/>
  <c r="G1601" i="16"/>
  <c r="G1602" i="16" s="1"/>
  <c r="G2210" i="16"/>
  <c r="G2211" i="16" s="1"/>
  <c r="G2212" i="16" s="1"/>
  <c r="G2213" i="16" s="1"/>
  <c r="G2214" i="16" s="1"/>
  <c r="C2216" i="80"/>
  <c r="A2217" i="80"/>
  <c r="G435" i="16"/>
  <c r="G436" i="16" s="1"/>
  <c r="G416" i="16"/>
  <c r="G417" i="16" s="1"/>
  <c r="G418" i="16" s="1"/>
  <c r="G419" i="16" s="1"/>
  <c r="G398" i="16"/>
  <c r="G399" i="16" s="1"/>
  <c r="G400" i="16" s="1"/>
  <c r="G401" i="16" s="1"/>
  <c r="G402" i="16" s="1"/>
  <c r="G403" i="16" s="1"/>
  <c r="G404" i="16" s="1"/>
  <c r="G405" i="16" s="1"/>
  <c r="G208" i="16"/>
  <c r="G209" i="16" s="1"/>
  <c r="G210" i="16" s="1"/>
  <c r="G211" i="16" s="1"/>
  <c r="G212" i="16" s="1"/>
  <c r="A99" i="80"/>
  <c r="C99" i="80" s="1"/>
  <c r="A67" i="80"/>
  <c r="C67" i="80" s="1"/>
  <c r="G2367" i="16"/>
  <c r="G2368" i="16" s="1"/>
  <c r="G2369" i="16" s="1"/>
  <c r="G2370" i="16" s="1"/>
  <c r="G2371" i="16" s="1"/>
  <c r="G2372" i="16" s="1"/>
  <c r="G2373" i="16" s="1"/>
  <c r="G2374" i="16" s="1"/>
  <c r="G2375" i="16" s="1"/>
  <c r="G2376" i="16" s="1"/>
  <c r="G2377" i="16" s="1"/>
  <c r="G2378" i="16" s="1"/>
  <c r="G2379" i="16" s="1"/>
  <c r="G2380" i="16" s="1"/>
  <c r="G2381" i="16" s="1"/>
  <c r="G2382" i="16" s="1"/>
  <c r="G2383" i="16" s="1"/>
  <c r="G2384" i="16" s="1"/>
  <c r="G2385" i="16" s="1"/>
  <c r="G2386" i="16" s="1"/>
  <c r="G2387" i="16" s="1"/>
  <c r="G2388" i="16" s="1"/>
  <c r="G2389" i="16" s="1"/>
  <c r="G2390" i="16" s="1"/>
  <c r="G2391" i="16" s="1"/>
  <c r="G2392" i="16" s="1"/>
  <c r="G2393" i="16" s="1"/>
  <c r="G2394" i="16" s="1"/>
  <c r="G2340" i="16"/>
  <c r="G2341" i="16" s="1"/>
  <c r="G2342" i="16" s="1"/>
  <c r="G2343" i="16" s="1"/>
  <c r="G2344" i="16" s="1"/>
  <c r="G2345" i="16" s="1"/>
  <c r="G2346" i="16" s="1"/>
  <c r="G2347" i="16" s="1"/>
  <c r="G2348" i="16" s="1"/>
  <c r="G2349" i="16" s="1"/>
  <c r="G2350" i="16" s="1"/>
  <c r="G2351" i="16" s="1"/>
  <c r="G2352" i="16" s="1"/>
  <c r="G2353" i="16" s="1"/>
  <c r="G2354" i="16" s="1"/>
  <c r="G2355" i="16" s="1"/>
  <c r="G2356" i="16" s="1"/>
  <c r="G2357" i="16" s="1"/>
  <c r="G2358" i="16" s="1"/>
  <c r="G2359" i="16" s="1"/>
  <c r="G2360" i="16" s="1"/>
  <c r="G2361" i="16" s="1"/>
  <c r="G2362" i="16" s="1"/>
  <c r="G2363" i="16" s="1"/>
  <c r="G2364" i="16" s="1"/>
  <c r="G2365" i="16" s="1"/>
  <c r="G2366" i="16" s="1"/>
  <c r="G2255" i="16"/>
  <c r="G2256" i="16" s="1"/>
  <c r="G2257" i="16" s="1"/>
  <c r="G2258" i="16" s="1"/>
  <c r="G2259" i="16" s="1"/>
  <c r="G2260" i="16" s="1"/>
  <c r="G2261" i="16" s="1"/>
  <c r="G2262" i="16" s="1"/>
  <c r="G2263" i="16" s="1"/>
  <c r="G2264" i="16" s="1"/>
  <c r="G2265" i="16" s="1"/>
  <c r="G2266" i="16" s="1"/>
  <c r="G2267" i="16" s="1"/>
  <c r="G2268" i="16" s="1"/>
  <c r="G2269" i="16" s="1"/>
  <c r="G2270" i="16" s="1"/>
  <c r="G2271" i="16" s="1"/>
  <c r="A155" i="80"/>
  <c r="C155" i="80" s="1"/>
  <c r="A1817" i="80"/>
  <c r="C1817" i="80" s="1"/>
  <c r="A2038" i="80"/>
  <c r="C2038" i="80" s="1"/>
  <c r="A160" i="80"/>
  <c r="C160" i="80" s="1"/>
  <c r="C2031" i="80"/>
  <c r="C1526" i="80"/>
  <c r="G274" i="81"/>
  <c r="G275" i="81" s="1"/>
  <c r="G276" i="81" s="1"/>
  <c r="G277" i="81" s="1"/>
  <c r="G278" i="81" s="1"/>
  <c r="G279" i="81" s="1"/>
  <c r="G1927" i="81"/>
  <c r="G155" i="81"/>
  <c r="G144" i="81" s="1"/>
  <c r="G145" i="81" s="1"/>
  <c r="G374" i="81"/>
  <c r="G375" i="81" s="1"/>
  <c r="G376" i="81" s="1"/>
  <c r="G2035" i="81"/>
  <c r="G2036" i="81" s="1"/>
  <c r="C1528" i="80"/>
  <c r="G1508" i="16"/>
  <c r="G1509" i="16" s="1"/>
  <c r="G1510" i="16" s="1"/>
  <c r="G1511" i="16" s="1"/>
  <c r="G1512" i="16" s="1"/>
  <c r="G1053" i="16"/>
  <c r="G1054" i="16" s="1"/>
  <c r="G1055" i="16" s="1"/>
  <c r="G1056" i="16" s="1"/>
  <c r="G1057" i="16" s="1"/>
  <c r="G1058" i="16" s="1"/>
  <c r="G1059" i="16" s="1"/>
  <c r="G1060" i="16" s="1"/>
  <c r="G1061" i="16" s="1"/>
  <c r="G1062" i="16" s="1"/>
  <c r="G1063" i="16" s="1"/>
  <c r="G1286" i="16"/>
  <c r="G1287" i="16" s="1"/>
  <c r="G375" i="16"/>
  <c r="G376" i="16" s="1"/>
  <c r="G377" i="16" s="1"/>
  <c r="G378" i="16" s="1"/>
  <c r="G379" i="16" s="1"/>
  <c r="G288" i="16"/>
  <c r="G289" i="16" s="1"/>
  <c r="G290" i="16" s="1"/>
  <c r="G725" i="16"/>
  <c r="G726" i="16" s="1"/>
  <c r="G1174" i="16"/>
  <c r="G1175" i="16" s="1"/>
  <c r="G1176" i="16" s="1"/>
  <c r="G1327" i="16"/>
  <c r="G1328" i="16" s="1"/>
  <c r="G1434" i="16"/>
  <c r="G1435" i="16" s="1"/>
  <c r="G1436" i="16" s="1"/>
  <c r="G1437" i="16" s="1"/>
  <c r="G441" i="16"/>
  <c r="G1890" i="16"/>
  <c r="G1891" i="16" s="1"/>
  <c r="G50" i="16"/>
  <c r="G51" i="16" s="1"/>
  <c r="G19" i="16" s="1"/>
  <c r="G20" i="16" s="1"/>
  <c r="G1205" i="16"/>
  <c r="G1206" i="16" s="1"/>
  <c r="G1207" i="16" s="1"/>
  <c r="G1208" i="16" s="1"/>
  <c r="G1209" i="16" s="1"/>
  <c r="G1210" i="16" s="1"/>
  <c r="G746" i="16"/>
  <c r="G747" i="16" s="1"/>
  <c r="G748" i="16" s="1"/>
  <c r="G749" i="16" s="1"/>
  <c r="G750" i="16" s="1"/>
  <c r="G751" i="16" s="1"/>
  <c r="G752" i="16" s="1"/>
  <c r="G753" i="16" s="1"/>
  <c r="G754" i="16" s="1"/>
  <c r="G755" i="16" s="1"/>
  <c r="G756" i="16" s="1"/>
  <c r="G757" i="16" s="1"/>
  <c r="G758" i="16" s="1"/>
  <c r="G759" i="16" s="1"/>
  <c r="G760" i="16" s="1"/>
  <c r="G761" i="16" s="1"/>
  <c r="G762" i="16" s="1"/>
  <c r="G763" i="16" s="1"/>
  <c r="G764" i="16" s="1"/>
  <c r="G765" i="16" s="1"/>
  <c r="G766" i="16" s="1"/>
  <c r="G767" i="16" s="1"/>
  <c r="G768" i="16" s="1"/>
  <c r="G769" i="16" s="1"/>
  <c r="G770" i="16" s="1"/>
  <c r="G771" i="16" s="1"/>
  <c r="G772" i="16" s="1"/>
  <c r="G773" i="16" s="1"/>
  <c r="G774" i="16" s="1"/>
  <c r="G775" i="16" s="1"/>
  <c r="G776" i="16" s="1"/>
  <c r="G777" i="16" s="1"/>
  <c r="G778" i="16" s="1"/>
  <c r="G779" i="16" s="1"/>
  <c r="G780" i="16" s="1"/>
  <c r="G781" i="16" s="1"/>
  <c r="G782" i="16" s="1"/>
  <c r="G783" i="16" s="1"/>
  <c r="G784" i="16" s="1"/>
  <c r="G785" i="16" s="1"/>
  <c r="G786" i="16" s="1"/>
  <c r="G787" i="16" s="1"/>
  <c r="G788" i="16" s="1"/>
  <c r="G1527" i="16"/>
  <c r="G1528" i="16" s="1"/>
  <c r="G321" i="16"/>
  <c r="G1295" i="16"/>
  <c r="G1296" i="16" s="1"/>
  <c r="G323" i="16"/>
  <c r="G324" i="16" s="1"/>
  <c r="G2096" i="16"/>
  <c r="G2097" i="16" s="1"/>
  <c r="G1280" i="16"/>
  <c r="G1281" i="16" s="1"/>
  <c r="G1282" i="16" s="1"/>
  <c r="G1283" i="16" s="1"/>
  <c r="G1284" i="16" s="1"/>
  <c r="G1285" i="16" s="1"/>
  <c r="G1154" i="16"/>
  <c r="G1155" i="16" s="1"/>
  <c r="G1156" i="16" s="1"/>
  <c r="G1157" i="16" s="1"/>
  <c r="G1158" i="16" s="1"/>
  <c r="G1186" i="16"/>
  <c r="G1187" i="16" s="1"/>
  <c r="G325" i="16"/>
  <c r="G326" i="16" s="1"/>
  <c r="G443" i="16"/>
  <c r="G444" i="16" s="1"/>
  <c r="G445" i="16" s="1"/>
  <c r="G1428" i="16"/>
  <c r="G1429" i="16" s="1"/>
  <c r="G1430" i="16" s="1"/>
  <c r="G171" i="16"/>
  <c r="G172" i="16" s="1"/>
  <c r="G173" i="16" s="1"/>
  <c r="G174" i="16" s="1"/>
  <c r="G175" i="16" s="1"/>
  <c r="G312" i="16"/>
  <c r="G1692" i="16"/>
  <c r="G255" i="16"/>
  <c r="G286" i="16"/>
  <c r="G287" i="16" s="1"/>
  <c r="G457" i="16"/>
  <c r="G458" i="16" s="1"/>
  <c r="G459" i="16" s="1"/>
  <c r="G1710" i="16"/>
  <c r="G1711" i="16" s="1"/>
  <c r="G1712" i="16" s="1"/>
  <c r="G1713" i="16" s="1"/>
  <c r="G1714" i="16" s="1"/>
  <c r="G1715" i="16" s="1"/>
  <c r="G1716" i="16" s="1"/>
  <c r="G1717" i="16" s="1"/>
  <c r="G1718" i="16" s="1"/>
  <c r="G1719" i="16" s="1"/>
  <c r="G1720" i="16" s="1"/>
  <c r="G1781" i="16"/>
  <c r="G1122" i="16"/>
  <c r="G1123" i="16" s="1"/>
  <c r="G1124" i="16" s="1"/>
  <c r="G1125" i="16" s="1"/>
  <c r="G1126" i="16" s="1"/>
  <c r="G1127" i="16" s="1"/>
  <c r="G1128" i="16" s="1"/>
  <c r="G1129" i="16" s="1"/>
  <c r="G1130" i="16" s="1"/>
  <c r="G1131" i="16" s="1"/>
  <c r="G1132" i="16" s="1"/>
  <c r="G1133" i="16" s="1"/>
  <c r="G1134" i="16" s="1"/>
  <c r="G1135" i="16" s="1"/>
  <c r="G1136" i="16" s="1"/>
  <c r="G1137" i="16" s="1"/>
  <c r="G1138" i="16" s="1"/>
  <c r="G1320" i="16"/>
  <c r="G1321" i="16" s="1"/>
  <c r="G1169" i="16"/>
  <c r="G1170" i="16" s="1"/>
  <c r="G1171" i="16" s="1"/>
  <c r="G1172" i="16" s="1"/>
  <c r="G1173" i="16" s="1"/>
  <c r="G1166" i="16"/>
  <c r="G1167" i="16" s="1"/>
  <c r="G1168" i="16" s="1"/>
  <c r="G1290" i="16"/>
  <c r="G1291" i="16" s="1"/>
  <c r="G453" i="16"/>
  <c r="G454" i="16" s="1"/>
  <c r="G455" i="16" s="1"/>
  <c r="G456" i="16" s="1"/>
  <c r="G1805" i="16"/>
  <c r="G1806" i="16" s="1"/>
  <c r="G1807" i="16" s="1"/>
  <c r="G1808" i="16" s="1"/>
  <c r="G1809" i="16" s="1"/>
  <c r="G1810" i="16" s="1"/>
  <c r="G1811" i="16" s="1"/>
  <c r="G1812" i="16" s="1"/>
  <c r="G1813" i="16" s="1"/>
  <c r="G1814" i="16" s="1"/>
  <c r="G1792" i="16"/>
  <c r="G1761" i="16"/>
  <c r="G1762" i="16" s="1"/>
  <c r="G1288" i="16"/>
  <c r="G1289" i="16" s="1"/>
  <c r="G2040" i="16"/>
  <c r="G2041" i="16" s="1"/>
  <c r="G636" i="16"/>
  <c r="G637" i="16" s="1"/>
  <c r="G638" i="16" s="1"/>
  <c r="G639" i="16" s="1"/>
  <c r="G640" i="16" s="1"/>
  <c r="G641" i="16" s="1"/>
  <c r="G642" i="16" s="1"/>
  <c r="G643" i="16" s="1"/>
  <c r="G644" i="16" s="1"/>
  <c r="G645" i="16" s="1"/>
  <c r="G646" i="16" s="1"/>
  <c r="G647" i="16" s="1"/>
  <c r="G648" i="16" s="1"/>
  <c r="G649" i="16" s="1"/>
  <c r="G650" i="16" s="1"/>
  <c r="G651" i="16" s="1"/>
  <c r="G652" i="16" s="1"/>
  <c r="G1357" i="16"/>
  <c r="G1358" i="16" s="1"/>
  <c r="G1322" i="16"/>
  <c r="G1323" i="16" s="1"/>
  <c r="G165" i="16"/>
  <c r="G166" i="16" s="1"/>
  <c r="G449" i="16"/>
  <c r="C1529" i="80"/>
  <c r="A1530" i="80"/>
  <c r="C1530" i="80" s="1"/>
  <c r="A2033" i="80"/>
  <c r="C2033" i="80" s="1"/>
  <c r="C2032" i="80"/>
  <c r="A1523" i="80"/>
  <c r="C1523" i="80" s="1"/>
  <c r="C254" i="80"/>
  <c r="A1432" i="80"/>
  <c r="C1432" i="80" s="1"/>
  <c r="A87" i="80"/>
  <c r="C87" i="80" s="1"/>
  <c r="C366" i="80"/>
  <c r="A374" i="80"/>
  <c r="A375" i="80" s="1"/>
  <c r="A376" i="80" s="1"/>
  <c r="C376" i="80" s="1"/>
  <c r="A1888" i="80"/>
  <c r="C1888" i="80" s="1"/>
  <c r="I717" i="80"/>
  <c r="A745" i="80"/>
  <c r="C745" i="80" s="1"/>
  <c r="A250" i="80"/>
  <c r="A251" i="80" s="1"/>
  <c r="C251" i="80" s="1"/>
  <c r="A445" i="80"/>
  <c r="C445" i="80" s="1"/>
  <c r="A635" i="80"/>
  <c r="A636" i="80" s="1"/>
  <c r="C636" i="80" s="1"/>
  <c r="C462" i="80"/>
  <c r="A459" i="80"/>
  <c r="A438" i="80"/>
  <c r="C438" i="80" s="1"/>
  <c r="A1803" i="80"/>
  <c r="C1803" i="80" s="1"/>
  <c r="A164" i="80"/>
  <c r="C164" i="80" s="1"/>
  <c r="A1750" i="80"/>
  <c r="A1751" i="80" s="1"/>
  <c r="C1751" i="80" s="1"/>
  <c r="A1153" i="80"/>
  <c r="A1154" i="80" s="1"/>
  <c r="A1155" i="80" s="1"/>
  <c r="I1923" i="80"/>
  <c r="A1924" i="80"/>
  <c r="C1924" i="80" s="1"/>
  <c r="A1356" i="80"/>
  <c r="C1356" i="80" s="1"/>
  <c r="A1323" i="80"/>
  <c r="C1323" i="80" s="1"/>
  <c r="A2049" i="80"/>
  <c r="C2049" i="80" s="1"/>
  <c r="A1427" i="80"/>
  <c r="C1427" i="80" s="1"/>
  <c r="A2085" i="80"/>
  <c r="C2085" i="80" s="1"/>
  <c r="A1329" i="80"/>
  <c r="A1330" i="80" s="1"/>
  <c r="C1330" i="80" s="1"/>
  <c r="A1068" i="80"/>
  <c r="A1076" i="80"/>
  <c r="A304" i="80"/>
  <c r="C304" i="80" s="1"/>
  <c r="E167" i="89"/>
  <c r="C167" i="89" s="1"/>
  <c r="A167" i="89" s="1"/>
  <c r="F166" i="89"/>
  <c r="C166" i="89" s="1"/>
  <c r="A166" i="89" s="1"/>
  <c r="G156" i="89"/>
  <c r="E87" i="89"/>
  <c r="C87" i="89" s="1"/>
  <c r="A87" i="89" s="1"/>
  <c r="E86" i="89"/>
  <c r="C86" i="89" s="1"/>
  <c r="A86" i="89" s="1"/>
  <c r="AO1186" i="16"/>
  <c r="E156" i="89"/>
  <c r="E38" i="89"/>
  <c r="C38" i="89" s="1"/>
  <c r="A38" i="89" s="1"/>
  <c r="E26" i="89"/>
  <c r="C26" i="89" s="1"/>
  <c r="A26" i="89" s="1"/>
  <c r="C30" i="89"/>
  <c r="A30" i="89" s="1"/>
  <c r="C99" i="89"/>
  <c r="A99" i="89" s="1"/>
  <c r="C159" i="89"/>
  <c r="A159" i="89" s="1"/>
  <c r="C159" i="88"/>
  <c r="A159" i="88" s="1"/>
  <c r="C157" i="88"/>
  <c r="A157" i="88" s="1"/>
  <c r="C156" i="88"/>
  <c r="A156" i="88" s="1"/>
  <c r="E99" i="88"/>
  <c r="C99" i="88" s="1"/>
  <c r="A99" i="88" s="1"/>
  <c r="AO757" i="25"/>
  <c r="E94" i="88"/>
  <c r="C94" i="88" s="1"/>
  <c r="A94" i="88" s="1"/>
  <c r="F30" i="88"/>
  <c r="C30" i="88" s="1"/>
  <c r="A30" i="88" s="1"/>
  <c r="E29" i="88"/>
  <c r="C29" i="88" s="1"/>
  <c r="A29" i="88" s="1"/>
  <c r="T244" i="28"/>
  <c r="T241" i="28"/>
  <c r="M1084" i="16"/>
  <c r="AM1084" i="16" s="1"/>
  <c r="R1234" i="16"/>
  <c r="A357" i="80"/>
  <c r="C357" i="80" s="1"/>
  <c r="AC1086" i="16"/>
  <c r="R1114" i="16"/>
  <c r="AE1114" i="16" s="1"/>
  <c r="AC1114" i="16" s="1"/>
  <c r="R1106" i="16"/>
  <c r="C294" i="80"/>
  <c r="A295" i="80"/>
  <c r="C295" i="80" s="1"/>
  <c r="E1786" i="81"/>
  <c r="T884" i="16"/>
  <c r="AD884" i="16" s="1"/>
  <c r="R884" i="16"/>
  <c r="AE884" i="16" s="1"/>
  <c r="AF884" i="16" s="1"/>
  <c r="R1066" i="16"/>
  <c r="AE1066" i="16" s="1"/>
  <c r="AC1066" i="16" s="1"/>
  <c r="R1699" i="16"/>
  <c r="S158" i="27"/>
  <c r="T158" i="27" s="1"/>
  <c r="AD158" i="27" s="1"/>
  <c r="AI3" i="27" s="1"/>
  <c r="W106" i="85"/>
  <c r="G89" i="85" s="1"/>
  <c r="D3" i="85" s="1"/>
  <c r="A891" i="80"/>
  <c r="A892" i="80" s="1"/>
  <c r="C892" i="80" s="1"/>
  <c r="T975" i="16"/>
  <c r="AD975" i="16" s="1"/>
  <c r="T978" i="16"/>
  <c r="AD978" i="16" s="1"/>
  <c r="AC978" i="16" s="1"/>
  <c r="W213" i="85"/>
  <c r="W162" i="85"/>
  <c r="N169" i="85" s="1"/>
  <c r="G116" i="85" s="1"/>
  <c r="I282" i="80"/>
  <c r="I524" i="80"/>
  <c r="W247" i="85"/>
  <c r="W208" i="84"/>
  <c r="W247" i="84"/>
  <c r="I1878" i="80"/>
  <c r="I1478" i="80"/>
  <c r="I317" i="80"/>
  <c r="A1818" i="80"/>
  <c r="C1818" i="80" s="1"/>
  <c r="H16" i="3"/>
  <c r="L16" i="3" s="1"/>
  <c r="AO207" i="24"/>
  <c r="N525" i="16"/>
  <c r="AO2081" i="16"/>
  <c r="E1526" i="81"/>
  <c r="E2080" i="81"/>
  <c r="AO1595" i="16"/>
  <c r="E1594" i="81"/>
  <c r="AO312" i="16"/>
  <c r="AI3" i="24"/>
  <c r="L14" i="72" s="1"/>
  <c r="AO323" i="16"/>
  <c r="E1694" i="81"/>
  <c r="AO2044" i="16"/>
  <c r="E1437" i="81"/>
  <c r="W130" i="84"/>
  <c r="N169" i="84" s="1"/>
  <c r="S887" i="16"/>
  <c r="AE887" i="16" s="1"/>
  <c r="AO1438" i="16"/>
  <c r="C367" i="80"/>
  <c r="C459" i="80"/>
  <c r="I1729" i="80"/>
  <c r="AO364" i="25"/>
  <c r="I1233" i="80"/>
  <c r="N1234" i="16"/>
  <c r="AM372" i="25"/>
  <c r="T1419" i="16"/>
  <c r="AD1419" i="16" s="1"/>
  <c r="R1419" i="16"/>
  <c r="AE1419" i="16" s="1"/>
  <c r="R241" i="28"/>
  <c r="M242" i="28" s="1"/>
  <c r="AM242" i="28" s="1"/>
  <c r="C1911" i="80"/>
  <c r="A1912" i="80"/>
  <c r="C1912" i="80" s="1"/>
  <c r="A1968" i="80"/>
  <c r="C1967" i="80"/>
  <c r="C542" i="80"/>
  <c r="A543" i="80"/>
  <c r="C543" i="80" s="1"/>
  <c r="C597" i="80"/>
  <c r="A598" i="80"/>
  <c r="A1903" i="80"/>
  <c r="C1903" i="80" s="1"/>
  <c r="C1902" i="80"/>
  <c r="N1616" i="16"/>
  <c r="AO746" i="25"/>
  <c r="A1546" i="80"/>
  <c r="C1545" i="80"/>
  <c r="N1631" i="16"/>
  <c r="AO761" i="25"/>
  <c r="C2028" i="80"/>
  <c r="A2029" i="80"/>
  <c r="A2247" i="80"/>
  <c r="C2246" i="80"/>
  <c r="C333" i="80"/>
  <c r="A334" i="80"/>
  <c r="N1618" i="16"/>
  <c r="I1617" i="80"/>
  <c r="A1617" i="80" s="1"/>
  <c r="AO748" i="25"/>
  <c r="C2451" i="80"/>
  <c r="A2452" i="80"/>
  <c r="C2235" i="80"/>
  <c r="A2236" i="80"/>
  <c r="N1581" i="16"/>
  <c r="I1580" i="80"/>
  <c r="AO711" i="25"/>
  <c r="C792" i="80"/>
  <c r="A793" i="80"/>
  <c r="C793" i="80" s="1"/>
  <c r="A209" i="80"/>
  <c r="C208" i="80"/>
  <c r="I1907" i="80"/>
  <c r="A126" i="80"/>
  <c r="C126" i="80" s="1"/>
  <c r="C125" i="80"/>
  <c r="C220" i="80"/>
  <c r="A221" i="80"/>
  <c r="C221" i="80" s="1"/>
  <c r="A1994" i="80"/>
  <c r="C1994" i="80" s="1"/>
  <c r="C1993" i="80"/>
  <c r="A2153" i="80"/>
  <c r="C2153" i="80" s="1"/>
  <c r="E428" i="81"/>
  <c r="AO429" i="16"/>
  <c r="E415" i="81"/>
  <c r="AO416" i="16"/>
  <c r="E2097" i="81"/>
  <c r="AO2098" i="16"/>
  <c r="G1583" i="81"/>
  <c r="AO1234" i="16"/>
  <c r="E1101" i="81"/>
  <c r="AO1102" i="16"/>
  <c r="E1296" i="81"/>
  <c r="AO1297" i="16"/>
  <c r="E524" i="81"/>
  <c r="AO525" i="16"/>
  <c r="E49" i="81"/>
  <c r="AO50" i="16"/>
  <c r="E2254" i="81"/>
  <c r="E1233" i="81"/>
  <c r="E1185" i="81"/>
  <c r="A2397" i="80"/>
  <c r="C2396" i="80"/>
  <c r="C2369" i="80"/>
  <c r="A2370" i="80"/>
  <c r="C2370" i="80" s="1"/>
  <c r="C2100" i="80"/>
  <c r="A2101" i="80"/>
  <c r="C2101" i="80" s="1"/>
  <c r="C427" i="80"/>
  <c r="A399" i="80"/>
  <c r="C398" i="80"/>
  <c r="A2343" i="80"/>
  <c r="C2343" i="80" s="1"/>
  <c r="C2342" i="80"/>
  <c r="C2305" i="80"/>
  <c r="A2306" i="80"/>
  <c r="C1459" i="80"/>
  <c r="C1243" i="80"/>
  <c r="C1064" i="80"/>
  <c r="C897" i="80"/>
  <c r="A898" i="80"/>
  <c r="A895" i="80"/>
  <c r="C895" i="80" s="1"/>
  <c r="C894" i="80"/>
  <c r="A129" i="80"/>
  <c r="C129" i="80" s="1"/>
  <c r="C1481" i="80"/>
  <c r="A1482" i="80"/>
  <c r="C148" i="80"/>
  <c r="C199" i="80"/>
  <c r="A45" i="80"/>
  <c r="C45" i="80" s="1"/>
  <c r="I144" i="80"/>
  <c r="A144" i="80" s="1"/>
  <c r="A115" i="80"/>
  <c r="C114" i="80"/>
  <c r="A2197" i="80"/>
  <c r="C2196" i="80"/>
  <c r="A2083" i="80"/>
  <c r="C2082" i="80"/>
  <c r="C1930" i="80"/>
  <c r="A1932" i="80"/>
  <c r="C1931" i="80"/>
  <c r="C1837" i="80"/>
  <c r="C1843" i="80"/>
  <c r="A1844" i="80"/>
  <c r="C1844" i="80" s="1"/>
  <c r="A1839" i="80"/>
  <c r="C1838" i="80"/>
  <c r="C1651" i="80"/>
  <c r="A1652" i="80"/>
  <c r="A1444" i="80"/>
  <c r="C1444" i="80" s="1"/>
  <c r="C1443" i="80"/>
  <c r="C1386" i="80"/>
  <c r="A1387" i="80"/>
  <c r="C1387" i="80" s="1"/>
  <c r="C1210" i="80"/>
  <c r="A1211" i="80"/>
  <c r="A1206" i="80"/>
  <c r="C1206" i="80" s="1"/>
  <c r="C1205" i="80"/>
  <c r="A1177" i="80"/>
  <c r="A1178" i="80" s="1"/>
  <c r="C1178" i="80" s="1"/>
  <c r="C1176" i="80"/>
  <c r="C1121" i="80"/>
  <c r="A1122" i="80"/>
  <c r="C1101" i="80"/>
  <c r="A1102" i="80"/>
  <c r="A1054" i="80"/>
  <c r="C1053" i="80"/>
  <c r="A815" i="80"/>
  <c r="C814" i="80"/>
  <c r="A751" i="80"/>
  <c r="C751" i="80" s="1"/>
  <c r="C750" i="80"/>
  <c r="A698" i="80"/>
  <c r="C698" i="80" s="1"/>
  <c r="C697" i="80"/>
  <c r="C675" i="80"/>
  <c r="A676" i="80"/>
  <c r="C676" i="80" s="1"/>
  <c r="A512" i="80"/>
  <c r="C511" i="80"/>
  <c r="C309" i="80"/>
  <c r="A310" i="80"/>
  <c r="C310" i="80" s="1"/>
  <c r="A201" i="80"/>
  <c r="C201" i="80" s="1"/>
  <c r="C200" i="80"/>
  <c r="A172" i="80"/>
  <c r="C171" i="80"/>
  <c r="C162" i="80"/>
  <c r="A163" i="80"/>
  <c r="C163" i="80" s="1"/>
  <c r="I2108" i="80"/>
  <c r="AO715" i="25"/>
  <c r="I1584" i="80"/>
  <c r="AO713" i="25"/>
  <c r="I1582" i="80"/>
  <c r="AO241" i="28"/>
  <c r="S2110" i="16"/>
  <c r="S2107" i="16"/>
  <c r="C38" i="10"/>
  <c r="N1102" i="16"/>
  <c r="AO232" i="25"/>
  <c r="S625" i="25"/>
  <c r="S623" i="25"/>
  <c r="S1493" i="16"/>
  <c r="T1493" i="16" s="1"/>
  <c r="S1495" i="16"/>
  <c r="R978" i="16"/>
  <c r="R975" i="16"/>
  <c r="M101" i="25"/>
  <c r="AM101" i="25" s="1"/>
  <c r="S1387" i="16"/>
  <c r="O1387" i="16" s="1"/>
  <c r="S889" i="16"/>
  <c r="R1081" i="16"/>
  <c r="S1198" i="16"/>
  <c r="T1198" i="16" s="1"/>
  <c r="AD1198" i="16" s="1"/>
  <c r="AC1198" i="16" s="1"/>
  <c r="M2331" i="16"/>
  <c r="AM2331" i="16" s="1"/>
  <c r="N1198" i="16"/>
  <c r="N1583" i="16"/>
  <c r="N1585" i="16"/>
  <c r="N1637" i="16"/>
  <c r="G1637" i="16" s="1"/>
  <c r="N1211" i="16"/>
  <c r="N1636" i="16"/>
  <c r="G1636" i="16" s="1"/>
  <c r="N1627" i="16"/>
  <c r="O1090" i="16"/>
  <c r="AC2371" i="16"/>
  <c r="AC411" i="16"/>
  <c r="M421" i="16"/>
  <c r="AM421" i="16" s="1"/>
  <c r="AE421" i="16"/>
  <c r="AC421" i="16" s="1"/>
  <c r="AE437" i="16"/>
  <c r="AC437" i="16" s="1"/>
  <c r="M437" i="16"/>
  <c r="AM437" i="16" s="1"/>
  <c r="M431" i="16"/>
  <c r="AM431" i="16" s="1"/>
  <c r="AE431" i="16"/>
  <c r="AC431" i="16" s="1"/>
  <c r="AE2258" i="16"/>
  <c r="AC2258" i="16" s="1"/>
  <c r="M2258" i="16"/>
  <c r="AM2258" i="16" s="1"/>
  <c r="M2395" i="16"/>
  <c r="AE2395" i="16"/>
  <c r="AC2395" i="16" s="1"/>
  <c r="M2325" i="16"/>
  <c r="AM2325" i="16" s="1"/>
  <c r="AE2328" i="16"/>
  <c r="AC2328" i="16" s="1"/>
  <c r="M2328" i="16"/>
  <c r="AM2328" i="16" s="1"/>
  <c r="AE2411" i="16"/>
  <c r="AC2411" i="16" s="1"/>
  <c r="M2411" i="16"/>
  <c r="AM2411" i="16" s="1"/>
  <c r="AE2325" i="16"/>
  <c r="AC2325" i="16" s="1"/>
  <c r="M2344" i="16"/>
  <c r="AM2344" i="16" s="1"/>
  <c r="AE2344" i="16"/>
  <c r="AC2344" i="16" s="1"/>
  <c r="M2410" i="16"/>
  <c r="AM2410" i="16" s="1"/>
  <c r="AE2410" i="16"/>
  <c r="AC2410" i="16" s="1"/>
  <c r="AE2346" i="16"/>
  <c r="AC2346" i="16" s="1"/>
  <c r="M2346" i="16"/>
  <c r="AM2346" i="16" s="1"/>
  <c r="M2371" i="16"/>
  <c r="AM2371" i="16" s="1"/>
  <c r="AE2412" i="16"/>
  <c r="AC2412" i="16" s="1"/>
  <c r="M2412" i="16"/>
  <c r="AM2412" i="16" s="1"/>
  <c r="AE2260" i="16"/>
  <c r="AC2260" i="16" s="1"/>
  <c r="M2260" i="16"/>
  <c r="AM2260" i="16" s="1"/>
  <c r="M2259" i="16"/>
  <c r="AM2259" i="16" s="1"/>
  <c r="AE2259" i="16"/>
  <c r="AC2259" i="16" s="1"/>
  <c r="M2303" i="16"/>
  <c r="AE2303" i="16"/>
  <c r="AC2303" i="16" s="1"/>
  <c r="M1312" i="16"/>
  <c r="AM1312" i="16" s="1"/>
  <c r="M1293" i="16"/>
  <c r="M1276" i="16"/>
  <c r="AM1276" i="16" s="1"/>
  <c r="M1255" i="16"/>
  <c r="AM1255" i="16" s="1"/>
  <c r="M1218" i="16"/>
  <c r="M1311" i="16"/>
  <c r="AM1311" i="16" s="1"/>
  <c r="M1285" i="16"/>
  <c r="AM1285" i="16" s="1"/>
  <c r="M1275" i="16"/>
  <c r="AM1275" i="16" s="1"/>
  <c r="M1254" i="16"/>
  <c r="AM1254" i="16" s="1"/>
  <c r="M1099" i="16"/>
  <c r="M1310" i="16"/>
  <c r="AM1310" i="16" s="1"/>
  <c r="M1284" i="16"/>
  <c r="AM1284" i="16" s="1"/>
  <c r="M1274" i="16"/>
  <c r="AM1274" i="16" s="1"/>
  <c r="M1242" i="16"/>
  <c r="AM1242" i="16" s="1"/>
  <c r="M1307" i="16"/>
  <c r="AM1307" i="16" s="1"/>
  <c r="M1283" i="16"/>
  <c r="AM1283" i="16" s="1"/>
  <c r="M1269" i="16"/>
  <c r="AM1269" i="16" s="1"/>
  <c r="M1241" i="16"/>
  <c r="AM1241" i="16" s="1"/>
  <c r="M1306" i="16"/>
  <c r="AM1306" i="16" s="1"/>
  <c r="M1282" i="16"/>
  <c r="AM1282" i="16" s="1"/>
  <c r="M1268" i="16"/>
  <c r="AM1268" i="16" s="1"/>
  <c r="M1240" i="16"/>
  <c r="AM1240" i="16" s="1"/>
  <c r="M1318" i="16"/>
  <c r="M1305" i="16"/>
  <c r="AM1305" i="16" s="1"/>
  <c r="M1279" i="16"/>
  <c r="AM1279" i="16" s="1"/>
  <c r="M1265" i="16"/>
  <c r="AM1265" i="16" s="1"/>
  <c r="M1228" i="16"/>
  <c r="M1313" i="16"/>
  <c r="AM1313" i="16" s="1"/>
  <c r="M1277" i="16"/>
  <c r="AM1277" i="16" s="1"/>
  <c r="M1224" i="16"/>
  <c r="M1314" i="16"/>
  <c r="AM1314" i="16" s="1"/>
  <c r="M1304" i="16"/>
  <c r="AM1304" i="16" s="1"/>
  <c r="M1278" i="16"/>
  <c r="AM1278" i="16" s="1"/>
  <c r="M1260" i="16"/>
  <c r="AM1260" i="16" s="1"/>
  <c r="M1226" i="16"/>
  <c r="M1303" i="16"/>
  <c r="AM1303" i="16" s="1"/>
  <c r="M1259" i="16"/>
  <c r="AM1259" i="16" s="1"/>
  <c r="AE2365" i="16"/>
  <c r="AC2365" i="16" s="1"/>
  <c r="M2365" i="16"/>
  <c r="AM2365" i="16" s="1"/>
  <c r="AE2271" i="16"/>
  <c r="AC2271" i="16" s="1"/>
  <c r="M2271" i="16"/>
  <c r="AM2271" i="16" s="1"/>
  <c r="T1226" i="16"/>
  <c r="AD1226" i="16" s="1"/>
  <c r="AC1226" i="16" s="1"/>
  <c r="G1272" i="16"/>
  <c r="G1273" i="16" s="1"/>
  <c r="G1274" i="16" s="1"/>
  <c r="G1275" i="16" s="1"/>
  <c r="G1276" i="16" s="1"/>
  <c r="G1277" i="16" s="1"/>
  <c r="G1278" i="16" s="1"/>
  <c r="G1279" i="16" s="1"/>
  <c r="AF947" i="16"/>
  <c r="AF941" i="16"/>
  <c r="AF994" i="16"/>
  <c r="AF951" i="16"/>
  <c r="AF950" i="16"/>
  <c r="AF938" i="16"/>
  <c r="AC1042" i="16"/>
  <c r="AC991" i="16"/>
  <c r="AC898" i="16"/>
  <c r="AC1040" i="16"/>
  <c r="AC1030" i="16"/>
  <c r="AF920" i="16"/>
  <c r="AF921" i="16"/>
  <c r="AF922" i="16"/>
  <c r="AF926" i="16"/>
  <c r="AF925" i="16"/>
  <c r="N2107" i="16"/>
  <c r="T50" i="16"/>
  <c r="AD50" i="16" s="1"/>
  <c r="AC50" i="16" s="1"/>
  <c r="T15" i="3"/>
  <c r="S18" i="25"/>
  <c r="O423" i="25"/>
  <c r="I1292" i="80" s="1"/>
  <c r="A1292" i="80" s="1"/>
  <c r="M340" i="25"/>
  <c r="AM340" i="25" s="1"/>
  <c r="M339" i="25"/>
  <c r="AM339" i="25" s="1"/>
  <c r="M338" i="25"/>
  <c r="AM338" i="25" s="1"/>
  <c r="M327" i="25"/>
  <c r="AM327" i="25" s="1"/>
  <c r="M323" i="25"/>
  <c r="M326" i="25"/>
  <c r="AM326" i="25" s="1"/>
  <c r="M294" i="25"/>
  <c r="AM294" i="25" s="1"/>
  <c r="M315" i="25"/>
  <c r="AM315" i="25" s="1"/>
  <c r="M313" i="25"/>
  <c r="AM313" i="25" s="1"/>
  <c r="M314" i="25"/>
  <c r="AM314" i="25" s="1"/>
  <c r="AO328" i="25"/>
  <c r="T1156" i="16"/>
  <c r="M1186" i="16" s="1"/>
  <c r="AM1186" i="16" s="1"/>
  <c r="S2205" i="16"/>
  <c r="T2205" i="16" s="1"/>
  <c r="AD2205" i="16" s="1"/>
  <c r="AC2205" i="16" s="1"/>
  <c r="S1376" i="16"/>
  <c r="S1361" i="16" s="1"/>
  <c r="O1359" i="16" s="1"/>
  <c r="S1213" i="16"/>
  <c r="S2204" i="16"/>
  <c r="C16" i="18"/>
  <c r="O229" i="25"/>
  <c r="I1098" i="80" s="1"/>
  <c r="A1098" i="80" s="1"/>
  <c r="AG3" i="24"/>
  <c r="AC51" i="8"/>
  <c r="AI3" i="8"/>
  <c r="L13" i="72" s="1"/>
  <c r="N1387" i="16"/>
  <c r="AO517" i="25"/>
  <c r="C16" i="17"/>
  <c r="T20" i="3"/>
  <c r="E29" i="18" s="1"/>
  <c r="AG3" i="29"/>
  <c r="K18" i="72" s="1"/>
  <c r="T16" i="3"/>
  <c r="AC119" i="24"/>
  <c r="AE105" i="25"/>
  <c r="AC105" i="25" s="1"/>
  <c r="AO341" i="25"/>
  <c r="O358" i="25"/>
  <c r="I1227" i="80" s="1"/>
  <c r="T343" i="25"/>
  <c r="AD343" i="25" s="1"/>
  <c r="AC343" i="25" s="1"/>
  <c r="O354" i="25"/>
  <c r="I1223" i="80" s="1"/>
  <c r="A1223" i="80" s="1"/>
  <c r="O220" i="25"/>
  <c r="I1089" i="80" s="1"/>
  <c r="O448" i="25"/>
  <c r="I1317" i="80" s="1"/>
  <c r="T506" i="25"/>
  <c r="AD506" i="25" s="1"/>
  <c r="AC506" i="25" s="1"/>
  <c r="S491" i="25"/>
  <c r="O489" i="25" s="1"/>
  <c r="AM348" i="25"/>
  <c r="O348" i="25"/>
  <c r="I1217" i="80" s="1"/>
  <c r="A1217" i="80" s="1"/>
  <c r="M298" i="25"/>
  <c r="AM298" i="25" s="1"/>
  <c r="M305" i="25"/>
  <c r="AM305" i="25" s="1"/>
  <c r="M292" i="25"/>
  <c r="AM292" i="25" s="1"/>
  <c r="M312" i="25"/>
  <c r="AM312" i="25" s="1"/>
  <c r="M293" i="25"/>
  <c r="M318" i="25"/>
  <c r="AM318" i="25" s="1"/>
  <c r="M300" i="25"/>
  <c r="AM300" i="25" s="1"/>
  <c r="M302" i="25"/>
  <c r="AM302" i="25" s="1"/>
  <c r="M324" i="25"/>
  <c r="AM324" i="25" s="1"/>
  <c r="M311" i="25"/>
  <c r="AM311" i="25" s="1"/>
  <c r="M259" i="25"/>
  <c r="AM259" i="25" s="1"/>
  <c r="M331" i="25"/>
  <c r="M325" i="25"/>
  <c r="AM325" i="25" s="1"/>
  <c r="M303" i="25"/>
  <c r="AM303" i="25" s="1"/>
  <c r="M297" i="25"/>
  <c r="AM297" i="25" s="1"/>
  <c r="M330" i="25"/>
  <c r="AM330" i="25" s="1"/>
  <c r="M291" i="25"/>
  <c r="AM291" i="25" s="1"/>
  <c r="M258" i="25"/>
  <c r="AM258" i="25" s="1"/>
  <c r="M301" i="25"/>
  <c r="AM301" i="25" s="1"/>
  <c r="M257" i="25"/>
  <c r="AM257" i="25" s="1"/>
  <c r="M306" i="25"/>
  <c r="AM306" i="25" s="1"/>
  <c r="M295" i="25"/>
  <c r="AM295" i="25" s="1"/>
  <c r="AM356" i="25"/>
  <c r="O356" i="25"/>
  <c r="I1225" i="80" s="1"/>
  <c r="I13" i="72"/>
  <c r="J15" i="3"/>
  <c r="I3" i="8"/>
  <c r="L15" i="3"/>
  <c r="M15" i="3"/>
  <c r="K15" i="3"/>
  <c r="I2" i="8"/>
  <c r="AG2" i="8"/>
  <c r="O336" i="28"/>
  <c r="T338" i="28"/>
  <c r="AD338" i="28" s="1"/>
  <c r="G2272" i="16"/>
  <c r="G2273" i="16"/>
  <c r="G2274" i="16" s="1"/>
  <c r="G2275" i="16" s="1"/>
  <c r="G2276" i="16" s="1"/>
  <c r="G2277" i="16" s="1"/>
  <c r="G2278" i="16" s="1"/>
  <c r="G2279" i="16" s="1"/>
  <c r="G2280" i="16" s="1"/>
  <c r="G2281" i="16" s="1"/>
  <c r="G2282" i="16" s="1"/>
  <c r="G2283" i="16" s="1"/>
  <c r="G2284" i="16" s="1"/>
  <c r="G2285" i="16" s="1"/>
  <c r="G2286" i="16" s="1"/>
  <c r="G2287" i="16" s="1"/>
  <c r="G2288" i="16" s="1"/>
  <c r="G2289" i="16" s="1"/>
  <c r="G2290" i="16" s="1"/>
  <c r="G2291" i="16" s="1"/>
  <c r="G2292" i="16" s="1"/>
  <c r="G2293" i="16" s="1"/>
  <c r="G2294" i="16" s="1"/>
  <c r="G2295" i="16" s="1"/>
  <c r="G2296" i="16" s="1"/>
  <c r="G2297" i="16" s="1"/>
  <c r="G2298" i="16" s="1"/>
  <c r="G2299" i="16" s="1"/>
  <c r="G2300" i="16" s="1"/>
  <c r="G2301" i="16" s="1"/>
  <c r="G2302" i="16" s="1"/>
  <c r="J20" i="3"/>
  <c r="M20" i="3"/>
  <c r="I18" i="72"/>
  <c r="D29" i="18" s="1"/>
  <c r="K20" i="3"/>
  <c r="I3" i="29"/>
  <c r="L20" i="3"/>
  <c r="I2" i="29"/>
  <c r="N20" i="3"/>
  <c r="G1255" i="16"/>
  <c r="G1331" i="16"/>
  <c r="G1332" i="16" s="1"/>
  <c r="G1333" i="16" s="1"/>
  <c r="G1334" i="16" s="1"/>
  <c r="G1335" i="16" s="1"/>
  <c r="G1336" i="16" s="1"/>
  <c r="G1337" i="16" s="1"/>
  <c r="G1338" i="16" s="1"/>
  <c r="G1339" i="16" s="1"/>
  <c r="G1340" i="16" s="1"/>
  <c r="G1341" i="16" s="1"/>
  <c r="G1342" i="16" s="1"/>
  <c r="G1343" i="16" s="1"/>
  <c r="R15" i="3"/>
  <c r="AG1" i="8" s="1"/>
  <c r="P15" i="3"/>
  <c r="AI2" i="8" s="1"/>
  <c r="AO195" i="25"/>
  <c r="N1065" i="16"/>
  <c r="G1181" i="16"/>
  <c r="G1182" i="16" s="1"/>
  <c r="G1183" i="16" s="1"/>
  <c r="G1184" i="16" s="1"/>
  <c r="G1185" i="16" s="1"/>
  <c r="O2110" i="16"/>
  <c r="O2107" i="16"/>
  <c r="C1937" i="80" l="1"/>
  <c r="G1905" i="81"/>
  <c r="G1907" i="81"/>
  <c r="G87" i="81"/>
  <c r="G98" i="81"/>
  <c r="AM2303" i="16"/>
  <c r="G2303" i="16"/>
  <c r="AM2395" i="16"/>
  <c r="G2395" i="16"/>
  <c r="AM293" i="25"/>
  <c r="O290" i="25"/>
  <c r="AM323" i="25"/>
  <c r="O322" i="25"/>
  <c r="A2009" i="80"/>
  <c r="C2008" i="80"/>
  <c r="A1907" i="80"/>
  <c r="C1907" i="80" s="1"/>
  <c r="G1581" i="16"/>
  <c r="G1582" i="16" s="1"/>
  <c r="G1631" i="16"/>
  <c r="G1632" i="16" s="1"/>
  <c r="G1618" i="16"/>
  <c r="G1619" i="16" s="1"/>
  <c r="G1620" i="16" s="1"/>
  <c r="G1621" i="16" s="1"/>
  <c r="G1616" i="16"/>
  <c r="G1617" i="16" s="1"/>
  <c r="A2218" i="80"/>
  <c r="C2218" i="80" s="1"/>
  <c r="C2217" i="80"/>
  <c r="G1324" i="16"/>
  <c r="C1750" i="80"/>
  <c r="C250" i="80"/>
  <c r="A1357" i="80"/>
  <c r="C1357" i="80" s="1"/>
  <c r="G1479" i="16"/>
  <c r="A1804" i="80"/>
  <c r="C1804" i="80" s="1"/>
  <c r="A1531" i="80"/>
  <c r="C1531" i="80" s="1"/>
  <c r="A1889" i="80"/>
  <c r="C1889" i="80" s="1"/>
  <c r="A305" i="80"/>
  <c r="C305" i="80" s="1"/>
  <c r="A2034" i="80"/>
  <c r="C2034" i="80" s="1"/>
  <c r="G524" i="81"/>
  <c r="G525" i="81" s="1"/>
  <c r="G1594" i="81"/>
  <c r="G1595" i="81" s="1"/>
  <c r="G1928" i="81"/>
  <c r="G1929" i="81" s="1"/>
  <c r="G1930" i="81" s="1"/>
  <c r="G1931" i="81" s="1"/>
  <c r="G1932" i="81" s="1"/>
  <c r="A446" i="80"/>
  <c r="C446" i="80" s="1"/>
  <c r="G1887" i="16"/>
  <c r="G1888" i="16" s="1"/>
  <c r="G1633" i="16"/>
  <c r="G1634" i="16" s="1"/>
  <c r="G1635" i="16" s="1"/>
  <c r="C1329" i="80"/>
  <c r="G167" i="16"/>
  <c r="G168" i="16" s="1"/>
  <c r="G169" i="16" s="1"/>
  <c r="G1211" i="16"/>
  <c r="G1212" i="16" s="1"/>
  <c r="G1213" i="16" s="1"/>
  <c r="G1214" i="16" s="1"/>
  <c r="G1215" i="16" s="1"/>
  <c r="G1216" i="16" s="1"/>
  <c r="G525" i="16"/>
  <c r="G526" i="16" s="1"/>
  <c r="G527" i="16" s="1"/>
  <c r="G1270" i="16"/>
  <c r="G322" i="16"/>
  <c r="G318" i="16" s="1"/>
  <c r="G319" i="16" s="1"/>
  <c r="G320" i="16" s="1"/>
  <c r="G1585" i="16"/>
  <c r="G1586" i="16" s="1"/>
  <c r="C1153" i="80"/>
  <c r="G256" i="16"/>
  <c r="G1583" i="16"/>
  <c r="G1387" i="16"/>
  <c r="G1388" i="16" s="1"/>
  <c r="G1389" i="16" s="1"/>
  <c r="G1390" i="16" s="1"/>
  <c r="G1391" i="16" s="1"/>
  <c r="G1392" i="16" s="1"/>
  <c r="G1393" i="16" s="1"/>
  <c r="G1394" i="16" s="1"/>
  <c r="G1395" i="16" s="1"/>
  <c r="G1396" i="16" s="1"/>
  <c r="G1397" i="16" s="1"/>
  <c r="G1398" i="16" s="1"/>
  <c r="G1399" i="16" s="1"/>
  <c r="G1400" i="16" s="1"/>
  <c r="G1401" i="16" s="1"/>
  <c r="G1402" i="16" s="1"/>
  <c r="G1403" i="16" s="1"/>
  <c r="G1404" i="16" s="1"/>
  <c r="G1405" i="16" s="1"/>
  <c r="G1406" i="16" s="1"/>
  <c r="G1407" i="16" s="1"/>
  <c r="G1408" i="16" s="1"/>
  <c r="G1409" i="16" s="1"/>
  <c r="G1198" i="16"/>
  <c r="C374" i="80"/>
  <c r="C635" i="80"/>
  <c r="G1234" i="16"/>
  <c r="G1235" i="16" s="1"/>
  <c r="G1236" i="16" s="1"/>
  <c r="G1237" i="16" s="1"/>
  <c r="G1238" i="16" s="1"/>
  <c r="G1239" i="16" s="1"/>
  <c r="G1240" i="16" s="1"/>
  <c r="G1241" i="16" s="1"/>
  <c r="G1242" i="16" s="1"/>
  <c r="G1251" i="16"/>
  <c r="G313" i="16"/>
  <c r="G314" i="16" s="1"/>
  <c r="G283" i="16"/>
  <c r="G284" i="16" s="1"/>
  <c r="G285" i="16" s="1"/>
  <c r="G1177" i="16"/>
  <c r="G1178" i="16" s="1"/>
  <c r="G1179" i="16" s="1"/>
  <c r="G450" i="16"/>
  <c r="G451" i="16" s="1"/>
  <c r="G452" i="16" s="1"/>
  <c r="G1802" i="16"/>
  <c r="G1803" i="16" s="1"/>
  <c r="G442" i="16"/>
  <c r="G439" i="16" s="1"/>
  <c r="G440" i="16" s="1"/>
  <c r="G1627" i="16"/>
  <c r="G1628" i="16" s="1"/>
  <c r="G1629" i="16" s="1"/>
  <c r="G1630" i="16" s="1"/>
  <c r="G1102" i="16"/>
  <c r="G1103" i="16" s="1"/>
  <c r="G1104" i="16" s="1"/>
  <c r="G1708" i="16"/>
  <c r="G1433" i="16"/>
  <c r="A1478" i="80"/>
  <c r="C1478" i="80" s="1"/>
  <c r="A1729" i="80"/>
  <c r="C1729" i="80" s="1"/>
  <c r="A1878" i="80"/>
  <c r="C1878" i="80" s="1"/>
  <c r="A717" i="80"/>
  <c r="A718" i="80" s="1"/>
  <c r="C718" i="80" s="1"/>
  <c r="A524" i="80"/>
  <c r="C524" i="80" s="1"/>
  <c r="A1423" i="80"/>
  <c r="A1422" i="80" s="1"/>
  <c r="C1422" i="80" s="1"/>
  <c r="A282" i="80"/>
  <c r="A283" i="80" s="1"/>
  <c r="C1154" i="80"/>
  <c r="A1227" i="80"/>
  <c r="C1227" i="80" s="1"/>
  <c r="A1225" i="80"/>
  <c r="C1225" i="80" s="1"/>
  <c r="A317" i="80"/>
  <c r="C317" i="80" s="1"/>
  <c r="A1923" i="80"/>
  <c r="C1923" i="80" s="1"/>
  <c r="A1233" i="80"/>
  <c r="E88" i="89"/>
  <c r="C88" i="89" s="1"/>
  <c r="A88" i="89" s="1"/>
  <c r="C156" i="89"/>
  <c r="A156" i="89" s="1"/>
  <c r="A746" i="80"/>
  <c r="A747" i="80" s="1"/>
  <c r="E29" i="89"/>
  <c r="C29" i="89" s="1"/>
  <c r="A29" i="89" s="1"/>
  <c r="E88" i="88"/>
  <c r="C88" i="88" s="1"/>
  <c r="A88" i="88" s="1"/>
  <c r="F161" i="88"/>
  <c r="C161" i="88" s="1"/>
  <c r="A161" i="88" s="1"/>
  <c r="F31" i="88"/>
  <c r="C31" i="88" s="1"/>
  <c r="A31" i="88" s="1"/>
  <c r="C31" i="89"/>
  <c r="A31" i="89" s="1"/>
  <c r="I1358" i="80"/>
  <c r="M1081" i="16"/>
  <c r="AM1081" i="16" s="1"/>
  <c r="AE1081" i="16"/>
  <c r="AC1081" i="16" s="1"/>
  <c r="M1106" i="16"/>
  <c r="G1106" i="16" s="1"/>
  <c r="AE1106" i="16"/>
  <c r="AC1106" i="16" s="1"/>
  <c r="N170" i="84"/>
  <c r="G116" i="84"/>
  <c r="D4" i="84" s="1"/>
  <c r="M1066" i="16"/>
  <c r="AM1066" i="16" s="1"/>
  <c r="AC884" i="16"/>
  <c r="O1704" i="16"/>
  <c r="E1703" i="81" s="1"/>
  <c r="O1702" i="16"/>
  <c r="AC887" i="16"/>
  <c r="AF887" i="16"/>
  <c r="C891" i="80"/>
  <c r="T1495" i="16"/>
  <c r="AD1495" i="16" s="1"/>
  <c r="AC1495" i="16" s="1"/>
  <c r="AD1493" i="16"/>
  <c r="AC1493" i="16" s="1"/>
  <c r="T625" i="25"/>
  <c r="AD625" i="25" s="1"/>
  <c r="AC625" i="25" s="1"/>
  <c r="T623" i="25"/>
  <c r="AD623" i="25" s="1"/>
  <c r="AC623" i="25" s="1"/>
  <c r="I2203" i="80"/>
  <c r="N303" i="84"/>
  <c r="N303" i="85"/>
  <c r="G194" i="85" s="1"/>
  <c r="D4" i="85"/>
  <c r="N170" i="85"/>
  <c r="K16" i="3"/>
  <c r="M16" i="3"/>
  <c r="J16" i="3"/>
  <c r="AG2" i="24"/>
  <c r="I2" i="24"/>
  <c r="I14" i="72"/>
  <c r="D25" i="17" s="1"/>
  <c r="N16" i="3"/>
  <c r="P16" i="3" s="1"/>
  <c r="AI2" i="24" s="1"/>
  <c r="I3" i="24"/>
  <c r="C375" i="80"/>
  <c r="I2111" i="80"/>
  <c r="I2105" i="80" s="1"/>
  <c r="A2105" i="80" s="1"/>
  <c r="AO244" i="28"/>
  <c r="N2110" i="16"/>
  <c r="AC1419" i="16"/>
  <c r="T549" i="25"/>
  <c r="AD549" i="25" s="1"/>
  <c r="R549" i="25"/>
  <c r="AE549" i="25" s="1"/>
  <c r="A2154" i="80"/>
  <c r="C2154" i="80" s="1"/>
  <c r="A1909" i="80"/>
  <c r="C1909" i="80" s="1"/>
  <c r="C1908" i="80"/>
  <c r="A1618" i="80"/>
  <c r="C1618" i="80" s="1"/>
  <c r="C1617" i="80"/>
  <c r="A599" i="80"/>
  <c r="C598" i="80"/>
  <c r="C334" i="80"/>
  <c r="A335" i="80"/>
  <c r="C335" i="80" s="1"/>
  <c r="C209" i="80"/>
  <c r="A210" i="80"/>
  <c r="C210" i="80" s="1"/>
  <c r="A2237" i="80"/>
  <c r="C2237" i="80" s="1"/>
  <c r="C2236" i="80"/>
  <c r="C1546" i="80"/>
  <c r="A1547" i="80"/>
  <c r="C1547" i="80" s="1"/>
  <c r="C2452" i="80"/>
  <c r="A2453" i="80"/>
  <c r="A2248" i="80"/>
  <c r="C2248" i="80" s="1"/>
  <c r="C2247" i="80"/>
  <c r="A1969" i="80"/>
  <c r="C1969" i="80" s="1"/>
  <c r="C1968" i="80"/>
  <c r="A2030" i="80"/>
  <c r="C2030" i="80" s="1"/>
  <c r="C2029" i="80"/>
  <c r="O1228" i="16"/>
  <c r="E1227" i="81" s="1"/>
  <c r="AM1228" i="16"/>
  <c r="O1293" i="16"/>
  <c r="AO1293" i="16" s="1"/>
  <c r="AM1293" i="16"/>
  <c r="O1318" i="16"/>
  <c r="E1317" i="81" s="1"/>
  <c r="AM1318" i="16"/>
  <c r="E1089" i="81"/>
  <c r="AO1090" i="16"/>
  <c r="O1226" i="16"/>
  <c r="E1225" i="81" s="1"/>
  <c r="AM1226" i="16"/>
  <c r="O1224" i="16"/>
  <c r="AO1224" i="16" s="1"/>
  <c r="AM1224" i="16"/>
  <c r="O1218" i="16"/>
  <c r="E1217" i="81" s="1"/>
  <c r="AM1218" i="16"/>
  <c r="AE17" i="25"/>
  <c r="O1099" i="16"/>
  <c r="AO1099" i="16" s="1"/>
  <c r="AM1099" i="16"/>
  <c r="AO2107" i="16"/>
  <c r="AO2110" i="16"/>
  <c r="E1386" i="81"/>
  <c r="AO1387" i="16"/>
  <c r="E1358" i="81"/>
  <c r="AO1359" i="16"/>
  <c r="E2109" i="81"/>
  <c r="E2106" i="81"/>
  <c r="A130" i="80"/>
  <c r="C130" i="80" s="1"/>
  <c r="A400" i="80"/>
  <c r="C399" i="80"/>
  <c r="A2307" i="80"/>
  <c r="C2307" i="80" s="1"/>
  <c r="C2306" i="80"/>
  <c r="A2398" i="80"/>
  <c r="C2397" i="80"/>
  <c r="C1223" i="80"/>
  <c r="C898" i="80"/>
  <c r="A899" i="80"/>
  <c r="C1482" i="80"/>
  <c r="A1483" i="80"/>
  <c r="A145" i="80"/>
  <c r="C145" i="80" s="1"/>
  <c r="C144" i="80"/>
  <c r="A116" i="80"/>
  <c r="C116" i="80" s="1"/>
  <c r="C115" i="80"/>
  <c r="I18" i="80"/>
  <c r="C35" i="80"/>
  <c r="A2198" i="80"/>
  <c r="C2198" i="80" s="1"/>
  <c r="C2197" i="80"/>
  <c r="A2084" i="80"/>
  <c r="C2084" i="80" s="1"/>
  <c r="C2083" i="80"/>
  <c r="A1933" i="80"/>
  <c r="C1932" i="80"/>
  <c r="A1840" i="80"/>
  <c r="C1840" i="80" s="1"/>
  <c r="C1839" i="80"/>
  <c r="A1653" i="80"/>
  <c r="C1652" i="80"/>
  <c r="I1579" i="80"/>
  <c r="C1297" i="80"/>
  <c r="I1315" i="80"/>
  <c r="A1315" i="80" s="1"/>
  <c r="A1293" i="80"/>
  <c r="C1293" i="80" s="1"/>
  <c r="C1292" i="80"/>
  <c r="A1218" i="80"/>
  <c r="C1218" i="80" s="1"/>
  <c r="C1217" i="80"/>
  <c r="A1212" i="80"/>
  <c r="C1211" i="80"/>
  <c r="C1177" i="80"/>
  <c r="A1156" i="80"/>
  <c r="C1155" i="80"/>
  <c r="A1123" i="80"/>
  <c r="C1122" i="80"/>
  <c r="A1103" i="80"/>
  <c r="C1103" i="80" s="1"/>
  <c r="C1102" i="80"/>
  <c r="C1098" i="80"/>
  <c r="A1099" i="80"/>
  <c r="A1055" i="80"/>
  <c r="C1054" i="80"/>
  <c r="A816" i="80"/>
  <c r="C816" i="80" s="1"/>
  <c r="C815" i="80"/>
  <c r="A513" i="80"/>
  <c r="C512" i="80"/>
  <c r="C172" i="80"/>
  <c r="A173" i="80"/>
  <c r="AO336" i="28"/>
  <c r="R2107" i="16"/>
  <c r="M2108" i="16" s="1"/>
  <c r="AM2108" i="16" s="1"/>
  <c r="E24" i="18"/>
  <c r="E25" i="18"/>
  <c r="D24" i="18"/>
  <c r="AE2154" i="16"/>
  <c r="AC2154" i="16" s="1"/>
  <c r="M2150" i="16"/>
  <c r="AM2150" i="16" s="1"/>
  <c r="M971" i="16"/>
  <c r="AM971" i="16" s="1"/>
  <c r="Y15" i="3"/>
  <c r="AC15" i="3" s="1"/>
  <c r="D24" i="17"/>
  <c r="T1387" i="16"/>
  <c r="AD1387" i="16" s="1"/>
  <c r="AC1387" i="16" s="1"/>
  <c r="O1198" i="16"/>
  <c r="AF437" i="16"/>
  <c r="AF431" i="16"/>
  <c r="AF421" i="16"/>
  <c r="M1195" i="16"/>
  <c r="AM1195" i="16" s="1"/>
  <c r="M1181" i="16"/>
  <c r="AM1181" i="16" s="1"/>
  <c r="M1167" i="16"/>
  <c r="AM1167" i="16" s="1"/>
  <c r="M1127" i="16"/>
  <c r="AM1127" i="16" s="1"/>
  <c r="M1128" i="16"/>
  <c r="AM1128" i="16" s="1"/>
  <c r="M1210" i="16"/>
  <c r="AM1210" i="16" s="1"/>
  <c r="M1194" i="16"/>
  <c r="AM1194" i="16" s="1"/>
  <c r="M1176" i="16"/>
  <c r="AM1176" i="16" s="1"/>
  <c r="M1165" i="16"/>
  <c r="AM1165" i="16" s="1"/>
  <c r="M1209" i="16"/>
  <c r="AM1209" i="16" s="1"/>
  <c r="M1193" i="16"/>
  <c r="AM1193" i="16" s="1"/>
  <c r="M1175" i="16"/>
  <c r="AM1175" i="16" s="1"/>
  <c r="M1164" i="16"/>
  <c r="AM1164" i="16" s="1"/>
  <c r="M1208" i="16"/>
  <c r="AM1208" i="16" s="1"/>
  <c r="M1188" i="16"/>
  <c r="AM1188" i="16" s="1"/>
  <c r="M1173" i="16"/>
  <c r="AM1173" i="16" s="1"/>
  <c r="M1163" i="16"/>
  <c r="AM1163" i="16" s="1"/>
  <c r="M1201" i="16"/>
  <c r="M1185" i="16"/>
  <c r="AM1185" i="16" s="1"/>
  <c r="M1172" i="16"/>
  <c r="AM1172" i="16" s="1"/>
  <c r="M1162" i="16"/>
  <c r="AM1162" i="16" s="1"/>
  <c r="M1200" i="16"/>
  <c r="AM1200" i="16" s="1"/>
  <c r="M1184" i="16"/>
  <c r="AM1184" i="16" s="1"/>
  <c r="M1171" i="16"/>
  <c r="AM1171" i="16" s="1"/>
  <c r="M1161" i="16"/>
  <c r="AM1161" i="16" s="1"/>
  <c r="M1168" i="16"/>
  <c r="AM1168" i="16" s="1"/>
  <c r="M1197" i="16"/>
  <c r="AM1197" i="16" s="1"/>
  <c r="M1183" i="16"/>
  <c r="AM1183" i="16" s="1"/>
  <c r="M1170" i="16"/>
  <c r="AM1170" i="16" s="1"/>
  <c r="M1129" i="16"/>
  <c r="AM1129" i="16" s="1"/>
  <c r="M1196" i="16"/>
  <c r="AM1196" i="16" s="1"/>
  <c r="M1182" i="16"/>
  <c r="AM1182" i="16" s="1"/>
  <c r="O2202" i="16"/>
  <c r="F161" i="89" s="1"/>
  <c r="C161" i="89" s="1"/>
  <c r="A161" i="89" s="1"/>
  <c r="T1213" i="16"/>
  <c r="AD1213" i="16" s="1"/>
  <c r="AC1213" i="16" s="1"/>
  <c r="O1211" i="16"/>
  <c r="AE975" i="16"/>
  <c r="AC975" i="16" s="1"/>
  <c r="E24" i="17"/>
  <c r="AA15" i="3"/>
  <c r="X15" i="3"/>
  <c r="G1344" i="16"/>
  <c r="AC158" i="27"/>
  <c r="O158" i="27"/>
  <c r="I1788" i="80" s="1"/>
  <c r="I1783" i="80" s="1"/>
  <c r="A1783" i="80" s="1"/>
  <c r="K14" i="72"/>
  <c r="N1293" i="16"/>
  <c r="AO423" i="25"/>
  <c r="T1376" i="16"/>
  <c r="AD1376" i="16" s="1"/>
  <c r="AC1376" i="16" s="1"/>
  <c r="T2204" i="16"/>
  <c r="AD2204" i="16" s="1"/>
  <c r="AC2204" i="16" s="1"/>
  <c r="AO229" i="25"/>
  <c r="N1099" i="16"/>
  <c r="G2304" i="16"/>
  <c r="G2305" i="16" s="1"/>
  <c r="G2306" i="16" s="1"/>
  <c r="G2307" i="16" s="1"/>
  <c r="G2308" i="16" s="1"/>
  <c r="G2309" i="16" s="1"/>
  <c r="G2310" i="16" s="1"/>
  <c r="G2311" i="16" s="1"/>
  <c r="G2312" i="16" s="1"/>
  <c r="G2313" i="16" s="1"/>
  <c r="G2314" i="16" s="1"/>
  <c r="G2396" i="16"/>
  <c r="G2397" i="16" s="1"/>
  <c r="G2398" i="16" s="1"/>
  <c r="G2399" i="16" s="1"/>
  <c r="G2400" i="16" s="1"/>
  <c r="G2401" i="16" s="1"/>
  <c r="G2402" i="16" s="1"/>
  <c r="G2403" i="16" s="1"/>
  <c r="G2404" i="16" s="1"/>
  <c r="G2405" i="16" s="1"/>
  <c r="G2406" i="16" s="1"/>
  <c r="G2407" i="16" s="1"/>
  <c r="AA20" i="3"/>
  <c r="Y20" i="3"/>
  <c r="AC20" i="3" s="1"/>
  <c r="X20" i="3"/>
  <c r="E29" i="17"/>
  <c r="X16" i="3"/>
  <c r="Y16" i="3"/>
  <c r="AC16" i="3" s="1"/>
  <c r="AA16" i="3"/>
  <c r="E25" i="17"/>
  <c r="N1228" i="16"/>
  <c r="AO358" i="25"/>
  <c r="AO220" i="25"/>
  <c r="N1090" i="16"/>
  <c r="AO354" i="25"/>
  <c r="N1224" i="16"/>
  <c r="G1224" i="16" s="1"/>
  <c r="N1318" i="16"/>
  <c r="AO448" i="25"/>
  <c r="AO356" i="25"/>
  <c r="N1226" i="16"/>
  <c r="G1226" i="16" s="1"/>
  <c r="AM331" i="25"/>
  <c r="O331" i="25"/>
  <c r="AO348" i="25"/>
  <c r="N1218" i="16"/>
  <c r="AG3" i="28"/>
  <c r="K17" i="72" s="1"/>
  <c r="AO489" i="25"/>
  <c r="N1359" i="16"/>
  <c r="I1" i="8"/>
  <c r="T19" i="3"/>
  <c r="N2202" i="16"/>
  <c r="H19" i="3"/>
  <c r="AC338" i="28"/>
  <c r="AI3" i="28"/>
  <c r="D29" i="17"/>
  <c r="R20" i="3"/>
  <c r="AG1" i="29" s="1"/>
  <c r="I1" i="29" s="1"/>
  <c r="P20" i="3"/>
  <c r="L16" i="72"/>
  <c r="AG2" i="28"/>
  <c r="AI2" i="29"/>
  <c r="I1191" i="80" l="1"/>
  <c r="I1188" i="80" s="1"/>
  <c r="A1188" i="80" s="1"/>
  <c r="AO322" i="25"/>
  <c r="N1192" i="16"/>
  <c r="G1192" i="16" s="1"/>
  <c r="G1193" i="16" s="1"/>
  <c r="G1194" i="16" s="1"/>
  <c r="G1195" i="16" s="1"/>
  <c r="G1196" i="16" s="1"/>
  <c r="G1197" i="16" s="1"/>
  <c r="I1159" i="80"/>
  <c r="I1158" i="80" s="1"/>
  <c r="A1158" i="80" s="1"/>
  <c r="C1158" i="80" s="1"/>
  <c r="N1160" i="16"/>
  <c r="G1160" i="16" s="1"/>
  <c r="AO290" i="25"/>
  <c r="G2202" i="16"/>
  <c r="G2203" i="16" s="1"/>
  <c r="G2204" i="16" s="1"/>
  <c r="G2205" i="16" s="1"/>
  <c r="G2206" i="16" s="1"/>
  <c r="A2203" i="80"/>
  <c r="A2204" i="80" s="1"/>
  <c r="C2204" i="80" s="1"/>
  <c r="C2009" i="80"/>
  <c r="A2010" i="80"/>
  <c r="G1090" i="16"/>
  <c r="G1091" i="16" s="1"/>
  <c r="A306" i="80"/>
  <c r="C306" i="80" s="1"/>
  <c r="C1423" i="80"/>
  <c r="A719" i="80"/>
  <c r="A720" i="80" s="1"/>
  <c r="C720" i="80" s="1"/>
  <c r="G145" i="16"/>
  <c r="G146" i="16" s="1"/>
  <c r="G446" i="16"/>
  <c r="G447" i="16" s="1"/>
  <c r="G448" i="16" s="1"/>
  <c r="G1244" i="16"/>
  <c r="G1245" i="16" s="1"/>
  <c r="G1246" i="16" s="1"/>
  <c r="G1247" i="16" s="1"/>
  <c r="G1248" i="16" s="1"/>
  <c r="G1249" i="16" s="1"/>
  <c r="G1250" i="16" s="1"/>
  <c r="G1877" i="16"/>
  <c r="G1358" i="81"/>
  <c r="G1359" i="81" s="1"/>
  <c r="A525" i="80"/>
  <c r="C525" i="80" s="1"/>
  <c r="G1922" i="81"/>
  <c r="G1921" i="81" s="1"/>
  <c r="C282" i="80"/>
  <c r="G1584" i="16"/>
  <c r="G1580" i="16" s="1"/>
  <c r="G1587" i="16" s="1"/>
  <c r="G1588" i="16" s="1"/>
  <c r="G1589" i="16" s="1"/>
  <c r="A318" i="80"/>
  <c r="A319" i="80" s="1"/>
  <c r="C319" i="80" s="1"/>
  <c r="A1222" i="80"/>
  <c r="G1359" i="16"/>
  <c r="G1360" i="16" s="1"/>
  <c r="G1228" i="16"/>
  <c r="G1229" i="16" s="1"/>
  <c r="G1293" i="16"/>
  <c r="G1424" i="16"/>
  <c r="G1425" i="16" s="1"/>
  <c r="G1426" i="16" s="1"/>
  <c r="G1423" i="16"/>
  <c r="G310" i="16"/>
  <c r="G311" i="16" s="1"/>
  <c r="G1218" i="16"/>
  <c r="G1219" i="16" s="1"/>
  <c r="G1220" i="16" s="1"/>
  <c r="G1345" i="16"/>
  <c r="G1346" i="16" s="1"/>
  <c r="G1347" i="16" s="1"/>
  <c r="G1348" i="16" s="1"/>
  <c r="G1349" i="16" s="1"/>
  <c r="G1350" i="16" s="1"/>
  <c r="G1351" i="16" s="1"/>
  <c r="G1352" i="16" s="1"/>
  <c r="G1353" i="16" s="1"/>
  <c r="G1354" i="16" s="1"/>
  <c r="G1355" i="16" s="1"/>
  <c r="G1356" i="16" s="1"/>
  <c r="G1626" i="16"/>
  <c r="G251" i="16"/>
  <c r="G252" i="16" s="1"/>
  <c r="G1318" i="16"/>
  <c r="G1199" i="16"/>
  <c r="G1099" i="16"/>
  <c r="G1100" i="16" s="1"/>
  <c r="G1101" i="16" s="1"/>
  <c r="G1092" i="16"/>
  <c r="G1093" i="16" s="1"/>
  <c r="G1094" i="16" s="1"/>
  <c r="G1095" i="16" s="1"/>
  <c r="G1096" i="16" s="1"/>
  <c r="C717" i="80"/>
  <c r="C1233" i="80"/>
  <c r="A284" i="80"/>
  <c r="C284" i="80" s="1"/>
  <c r="C283" i="80"/>
  <c r="A1234" i="80"/>
  <c r="A18" i="80"/>
  <c r="A19" i="80" s="1"/>
  <c r="C19" i="80" s="1"/>
  <c r="I1328" i="80"/>
  <c r="A1358" i="80"/>
  <c r="A1359" i="80" s="1"/>
  <c r="C1359" i="80" s="1"/>
  <c r="A1579" i="80"/>
  <c r="C1579" i="80" s="1"/>
  <c r="A1242" i="80"/>
  <c r="C1242" i="80" s="1"/>
  <c r="C746" i="80"/>
  <c r="E133" i="89"/>
  <c r="E89" i="88"/>
  <c r="C89" i="88" s="1"/>
  <c r="A89" i="88" s="1"/>
  <c r="I1200" i="80"/>
  <c r="F82" i="88"/>
  <c r="C82" i="88" s="1"/>
  <c r="A82" i="88" s="1"/>
  <c r="AM1106" i="16"/>
  <c r="G1107" i="16"/>
  <c r="G1108" i="16" s="1"/>
  <c r="G1109" i="16" s="1"/>
  <c r="G1110" i="16" s="1"/>
  <c r="G1111" i="16" s="1"/>
  <c r="C2203" i="80"/>
  <c r="AO1704" i="16"/>
  <c r="AO1702" i="16"/>
  <c r="R1700" i="16"/>
  <c r="N304" i="84"/>
  <c r="G194" i="84"/>
  <c r="D6" i="84" s="1"/>
  <c r="E23" i="89" s="1"/>
  <c r="AC17" i="25"/>
  <c r="AI3" i="25"/>
  <c r="L15" i="72" s="1"/>
  <c r="N304" i="85"/>
  <c r="D6" i="85"/>
  <c r="T18" i="3"/>
  <c r="AA18" i="3" s="1"/>
  <c r="D25" i="18"/>
  <c r="R16" i="3"/>
  <c r="AG1" i="24" s="1"/>
  <c r="I1" i="24" s="1"/>
  <c r="E1701" i="81"/>
  <c r="AC549" i="25"/>
  <c r="C599" i="80"/>
  <c r="A600" i="80"/>
  <c r="C600" i="80" s="1"/>
  <c r="C2453" i="80"/>
  <c r="A2454" i="80"/>
  <c r="C2454" i="80" s="1"/>
  <c r="AO1226" i="16"/>
  <c r="E1292" i="81"/>
  <c r="E1223" i="81"/>
  <c r="AO1228" i="16"/>
  <c r="AO1318" i="16"/>
  <c r="E2201" i="81"/>
  <c r="AO2202" i="16"/>
  <c r="AO1218" i="16"/>
  <c r="E1098" i="81"/>
  <c r="O1201" i="16"/>
  <c r="E1200" i="81" s="1"/>
  <c r="AM1201" i="16"/>
  <c r="AG3" i="25"/>
  <c r="K15" i="72" s="1"/>
  <c r="E1197" i="81"/>
  <c r="AO1198" i="16"/>
  <c r="E1210" i="81"/>
  <c r="AO1211" i="16"/>
  <c r="E1064" i="81"/>
  <c r="AO1065" i="16"/>
  <c r="A2399" i="80"/>
  <c r="C2398" i="80"/>
  <c r="A401" i="80"/>
  <c r="C401" i="80" s="1"/>
  <c r="C400" i="80"/>
  <c r="C899" i="80"/>
  <c r="A900" i="80"/>
  <c r="A1484" i="80"/>
  <c r="C1484" i="80" s="1"/>
  <c r="C1483" i="80"/>
  <c r="A2106" i="80"/>
  <c r="A2107" i="80" s="1"/>
  <c r="C2107" i="80" s="1"/>
  <c r="C2105" i="80"/>
  <c r="A1934" i="80"/>
  <c r="C1934" i="80" s="1"/>
  <c r="C1933" i="80"/>
  <c r="A1654" i="80"/>
  <c r="C1654" i="80" s="1"/>
  <c r="C1653" i="80"/>
  <c r="A1298" i="80"/>
  <c r="C1298" i="80" s="1"/>
  <c r="A1316" i="80"/>
  <c r="C1316" i="80" s="1"/>
  <c r="C1315" i="80"/>
  <c r="A1213" i="80"/>
  <c r="C1212" i="80"/>
  <c r="C1156" i="80"/>
  <c r="A1157" i="80"/>
  <c r="A1124" i="80"/>
  <c r="C1123" i="80"/>
  <c r="C1099" i="80"/>
  <c r="A1100" i="80"/>
  <c r="C1100" i="80" s="1"/>
  <c r="A1056" i="80"/>
  <c r="C1055" i="80"/>
  <c r="C747" i="80"/>
  <c r="A748" i="80"/>
  <c r="C748" i="80" s="1"/>
  <c r="A514" i="80"/>
  <c r="C513" i="80"/>
  <c r="A174" i="80"/>
  <c r="C174" i="80" s="1"/>
  <c r="C173" i="80"/>
  <c r="E28" i="18"/>
  <c r="R70" i="27"/>
  <c r="O75" i="27" s="1"/>
  <c r="I1705" i="80" s="1"/>
  <c r="AL2" i="16"/>
  <c r="AG2" i="16"/>
  <c r="AG1" i="16"/>
  <c r="AL1" i="16"/>
  <c r="AH1" i="16"/>
  <c r="AH2" i="16"/>
  <c r="N1787" i="16"/>
  <c r="G1787" i="16" s="1"/>
  <c r="G1782" i="16" s="1"/>
  <c r="AO158" i="27"/>
  <c r="AI3" i="16"/>
  <c r="N1201" i="16"/>
  <c r="AO331" i="25"/>
  <c r="H17" i="3"/>
  <c r="L17" i="72"/>
  <c r="N19" i="3"/>
  <c r="I2" i="28"/>
  <c r="K19" i="3"/>
  <c r="L19" i="3"/>
  <c r="J19" i="3"/>
  <c r="I3" i="28"/>
  <c r="M19" i="3"/>
  <c r="I17" i="72"/>
  <c r="AA19" i="3"/>
  <c r="E28" i="17"/>
  <c r="X19" i="3"/>
  <c r="Y19" i="3"/>
  <c r="AC19" i="3" s="1"/>
  <c r="AG3" i="16"/>
  <c r="AG2" i="25"/>
  <c r="G1189" i="16" l="1"/>
  <c r="G1190" i="16" s="1"/>
  <c r="G1191" i="16" s="1"/>
  <c r="C719" i="80"/>
  <c r="A721" i="80"/>
  <c r="G1161" i="16"/>
  <c r="G1162" i="16" s="1"/>
  <c r="G1163" i="16" s="1"/>
  <c r="G1164" i="16" s="1"/>
  <c r="G1165" i="16" s="1"/>
  <c r="A1189" i="80"/>
  <c r="C1188" i="80"/>
  <c r="A2011" i="80"/>
  <c r="C2010" i="80"/>
  <c r="A307" i="80"/>
  <c r="C307" i="80" s="1"/>
  <c r="C318" i="80"/>
  <c r="C1358" i="80"/>
  <c r="G1592" i="16"/>
  <c r="G1593" i="16" s="1"/>
  <c r="G1594" i="16" s="1"/>
  <c r="G1590" i="16"/>
  <c r="G1591" i="16" s="1"/>
  <c r="C18" i="80"/>
  <c r="G1230" i="16"/>
  <c r="G1231" i="16" s="1"/>
  <c r="G1232" i="16" s="1"/>
  <c r="G1223" i="16" s="1"/>
  <c r="G1361" i="16"/>
  <c r="G1362" i="16" s="1"/>
  <c r="G1363" i="16" s="1"/>
  <c r="G1364" i="16" s="1"/>
  <c r="G1365" i="16" s="1"/>
  <c r="G1366" i="16" s="1"/>
  <c r="G1367" i="16" s="1"/>
  <c r="G1368" i="16" s="1"/>
  <c r="G1369" i="16" s="1"/>
  <c r="G1370" i="16" s="1"/>
  <c r="G1371" i="16" s="1"/>
  <c r="G1372" i="16" s="1"/>
  <c r="G1373" i="16" s="1"/>
  <c r="G1374" i="16" s="1"/>
  <c r="G1375" i="16" s="1"/>
  <c r="G1376" i="16" s="1"/>
  <c r="G1377" i="16" s="1"/>
  <c r="G1378" i="16" s="1"/>
  <c r="G1379" i="16" s="1"/>
  <c r="G1380" i="16" s="1"/>
  <c r="G1381" i="16" s="1"/>
  <c r="G1382" i="16" s="1"/>
  <c r="G1383" i="16" s="1"/>
  <c r="G1384" i="16" s="1"/>
  <c r="G1385" i="16" s="1"/>
  <c r="G1386" i="16" s="1"/>
  <c r="G1201" i="16"/>
  <c r="G1202" i="16" s="1"/>
  <c r="G1203" i="16" s="1"/>
  <c r="G1204" i="16" s="1"/>
  <c r="G1294" i="16"/>
  <c r="G1319" i="16"/>
  <c r="A1200" i="80"/>
  <c r="A1201" i="80" s="1"/>
  <c r="A1314" i="80"/>
  <c r="C1314" i="80" s="1"/>
  <c r="A1328" i="80"/>
  <c r="C1328" i="80" s="1"/>
  <c r="A1235" i="80"/>
  <c r="C1234" i="80"/>
  <c r="E89" i="89"/>
  <c r="C89" i="89" s="1"/>
  <c r="A89" i="89" s="1"/>
  <c r="F82" i="89"/>
  <c r="C82" i="89" s="1"/>
  <c r="A82" i="89" s="1"/>
  <c r="E23" i="88"/>
  <c r="C23" i="88" s="1"/>
  <c r="A23" i="88" s="1"/>
  <c r="C23" i="89"/>
  <c r="A23" i="89" s="1"/>
  <c r="X18" i="3"/>
  <c r="AJ2" i="16" s="1"/>
  <c r="E27" i="18"/>
  <c r="E27" i="17"/>
  <c r="T17" i="3"/>
  <c r="Y17" i="3" s="1"/>
  <c r="AO1201" i="16"/>
  <c r="A2400" i="80"/>
  <c r="C2400" i="80" s="1"/>
  <c r="C2399" i="80"/>
  <c r="C1778" i="80"/>
  <c r="C1157" i="80"/>
  <c r="C900" i="80"/>
  <c r="A901" i="80"/>
  <c r="C514" i="80"/>
  <c r="C2106" i="80"/>
  <c r="A1784" i="80"/>
  <c r="C1783" i="80"/>
  <c r="A1299" i="80"/>
  <c r="C1299" i="80" s="1"/>
  <c r="C1213" i="80"/>
  <c r="A1214" i="80"/>
  <c r="A1125" i="80"/>
  <c r="A1104" i="80" s="1"/>
  <c r="A1088" i="80" s="1"/>
  <c r="C1124" i="80"/>
  <c r="C1056" i="80"/>
  <c r="A1057" i="80"/>
  <c r="A722" i="80"/>
  <c r="C722" i="80" s="1"/>
  <c r="C721" i="80"/>
  <c r="N1704" i="16"/>
  <c r="AO75" i="27"/>
  <c r="D28" i="18"/>
  <c r="O73" i="27"/>
  <c r="C133" i="89" s="1"/>
  <c r="A133" i="89" s="1"/>
  <c r="G1112" i="16"/>
  <c r="G1113" i="16" s="1"/>
  <c r="G1114" i="16" s="1"/>
  <c r="G1115" i="16" s="1"/>
  <c r="G1116" i="16" s="1"/>
  <c r="G1117" i="16" s="1"/>
  <c r="G1118" i="16" s="1"/>
  <c r="G1119" i="16" s="1"/>
  <c r="G1120" i="16" s="1"/>
  <c r="G1121" i="16" s="1"/>
  <c r="AK1" i="16"/>
  <c r="AK2" i="16"/>
  <c r="G1788" i="16"/>
  <c r="G1789" i="16" s="1"/>
  <c r="G1790" i="16" s="1"/>
  <c r="I3" i="25"/>
  <c r="J17" i="3"/>
  <c r="I2" i="25"/>
  <c r="L17" i="3"/>
  <c r="K17" i="3"/>
  <c r="N17" i="3"/>
  <c r="I15" i="72"/>
  <c r="M17" i="3"/>
  <c r="D28" i="17"/>
  <c r="P19" i="3"/>
  <c r="R19" i="3"/>
  <c r="AG1" i="28" s="1"/>
  <c r="I1" i="28" s="1"/>
  <c r="AI2" i="28"/>
  <c r="G1159" i="16" l="1"/>
  <c r="C1189" i="80"/>
  <c r="A1190" i="80"/>
  <c r="C1190" i="80" s="1"/>
  <c r="C2011" i="80"/>
  <c r="A2012" i="80"/>
  <c r="C2012" i="80" s="1"/>
  <c r="G1105" i="16"/>
  <c r="G1089" i="16" s="1"/>
  <c r="G1315" i="16"/>
  <c r="G1316" i="16"/>
  <c r="G1317" i="16" s="1"/>
  <c r="G1329" i="16"/>
  <c r="C1200" i="80"/>
  <c r="G1704" i="16"/>
  <c r="G1705" i="16" s="1"/>
  <c r="G1706" i="16" s="1"/>
  <c r="G1707" i="16" s="1"/>
  <c r="C1201" i="80"/>
  <c r="A1202" i="80"/>
  <c r="C1202" i="80" s="1"/>
  <c r="C1784" i="80"/>
  <c r="A1772" i="80"/>
  <c r="C1772" i="80" s="1"/>
  <c r="C1235" i="80"/>
  <c r="A1236" i="80"/>
  <c r="I1703" i="80"/>
  <c r="I1692" i="80" s="1"/>
  <c r="E133" i="88"/>
  <c r="C133" i="88" s="1"/>
  <c r="A133" i="88" s="1"/>
  <c r="E26" i="17"/>
  <c r="E32" i="17" s="1"/>
  <c r="X17" i="3"/>
  <c r="AI2" i="16" s="1"/>
  <c r="I4" i="16" s="1"/>
  <c r="E26" i="18"/>
  <c r="E32" i="18" s="1"/>
  <c r="AA17" i="3"/>
  <c r="AI1" i="16" s="1"/>
  <c r="D7" i="85"/>
  <c r="C1222" i="80"/>
  <c r="C1125" i="80"/>
  <c r="A902" i="80"/>
  <c r="C901" i="80"/>
  <c r="A1215" i="80"/>
  <c r="C1214" i="80"/>
  <c r="A1058" i="80"/>
  <c r="C1057" i="80"/>
  <c r="R71" i="27"/>
  <c r="AO73" i="27"/>
  <c r="D26" i="18"/>
  <c r="N1702" i="16"/>
  <c r="G1783" i="16"/>
  <c r="G1784" i="16" s="1"/>
  <c r="R17" i="3"/>
  <c r="P17" i="3"/>
  <c r="D26" i="17"/>
  <c r="AC17" i="3"/>
  <c r="AI2" i="25"/>
  <c r="A1138" i="80" l="1"/>
  <c r="C1138" i="80" s="1"/>
  <c r="G1702" i="16"/>
  <c r="A1692" i="80"/>
  <c r="C1692" i="80" s="1"/>
  <c r="C1236" i="80"/>
  <c r="A1237" i="80"/>
  <c r="C1237" i="80" s="1"/>
  <c r="E78" i="89"/>
  <c r="C78" i="89" s="1"/>
  <c r="A78" i="89" s="1"/>
  <c r="E79" i="89"/>
  <c r="C79" i="89" s="1"/>
  <c r="A79" i="89" s="1"/>
  <c r="E79" i="88"/>
  <c r="C79" i="88" s="1"/>
  <c r="A79" i="88" s="1"/>
  <c r="AG1" i="25"/>
  <c r="I1" i="25" s="1"/>
  <c r="E78" i="88"/>
  <c r="C78" i="88" s="1"/>
  <c r="A78" i="88" s="1"/>
  <c r="C1215" i="80"/>
  <c r="C1104" i="80"/>
  <c r="A903" i="80"/>
  <c r="C902" i="80"/>
  <c r="A1059" i="80"/>
  <c r="C1058" i="80"/>
  <c r="G1703" i="16" l="1"/>
  <c r="G1699" i="16" s="1"/>
  <c r="A904" i="80"/>
  <c r="C903" i="80"/>
  <c r="A1060" i="80"/>
  <c r="A1047" i="80" s="1"/>
  <c r="C1059" i="80"/>
  <c r="G1691" i="16" l="1"/>
  <c r="G1700" i="16"/>
  <c r="G1701" i="16" s="1"/>
  <c r="C904" i="80"/>
  <c r="A905" i="80"/>
  <c r="C905" i="80" s="1"/>
  <c r="C1060" i="80"/>
  <c r="D7" i="84" l="1"/>
  <c r="G1304" i="16"/>
  <c r="G1305" i="16" l="1"/>
  <c r="G1306" i="16" s="1"/>
  <c r="G1307" i="16" s="1"/>
  <c r="G1298" i="16" l="1"/>
  <c r="G1243" i="16" s="1"/>
  <c r="N1870" i="16"/>
  <c r="Y12" i="3" l="1"/>
  <c r="Y18" i="3" s="1"/>
  <c r="H18" i="3"/>
  <c r="L18" i="3" s="1"/>
  <c r="L21" i="3" s="1"/>
  <c r="F23" i="72" s="1"/>
  <c r="AO241" i="27"/>
  <c r="N12" i="3"/>
  <c r="G1299" i="16"/>
  <c r="G1300" i="16" s="1"/>
  <c r="G1730" i="16"/>
  <c r="AG2" i="27"/>
  <c r="G1731" i="16" l="1"/>
  <c r="G1732" i="16" s="1"/>
  <c r="G1733" i="16" s="1"/>
  <c r="G1734" i="16" s="1"/>
  <c r="G1735" i="16" s="1"/>
  <c r="G1736" i="16" s="1"/>
  <c r="G1737" i="16" s="1"/>
  <c r="G1738" i="16" s="1"/>
  <c r="G1739" i="16" s="1"/>
  <c r="G1740" i="16" s="1"/>
  <c r="K18" i="3"/>
  <c r="K21" i="3" s="1"/>
  <c r="E23" i="72" s="1"/>
  <c r="I16" i="72"/>
  <c r="M18" i="3"/>
  <c r="M21" i="3" s="1"/>
  <c r="G23" i="72" s="1"/>
  <c r="J18" i="3"/>
  <c r="J21" i="3" s="1"/>
  <c r="D23" i="72" s="1"/>
  <c r="I3" i="27"/>
  <c r="N18" i="3"/>
  <c r="P18" i="3" s="1"/>
  <c r="AC18" i="3"/>
  <c r="V17" i="3"/>
  <c r="V15" i="3"/>
  <c r="V20" i="3"/>
  <c r="V16" i="3"/>
  <c r="V19" i="3"/>
  <c r="V18" i="3"/>
  <c r="I4" i="27"/>
  <c r="I2" i="27"/>
  <c r="AI2" i="27"/>
  <c r="G1728" i="16" l="1"/>
  <c r="E120" i="89"/>
  <c r="C120" i="89" s="1"/>
  <c r="A120" i="89" s="1"/>
  <c r="E119" i="89"/>
  <c r="C119" i="89" s="1"/>
  <c r="A119" i="89" s="1"/>
  <c r="E116" i="89"/>
  <c r="C116" i="89" s="1"/>
  <c r="A116" i="89" s="1"/>
  <c r="E117" i="89"/>
  <c r="C117" i="89" s="1"/>
  <c r="A117" i="89" s="1"/>
  <c r="E118" i="89"/>
  <c r="C118" i="89" s="1"/>
  <c r="A118" i="89" s="1"/>
  <c r="N21" i="3"/>
  <c r="R21" i="3" s="1"/>
  <c r="I21" i="72"/>
  <c r="D27" i="17"/>
  <c r="D27" i="18"/>
  <c r="R18" i="3"/>
  <c r="AG1" i="27" s="1"/>
  <c r="I1" i="27" s="1"/>
  <c r="AJ1" i="16"/>
  <c r="I3" i="16" s="1"/>
  <c r="V21" i="3"/>
  <c r="Y21" i="3" s="1"/>
  <c r="E116" i="88" l="1"/>
  <c r="C116" i="88" s="1"/>
  <c r="A116" i="88" s="1"/>
  <c r="E120" i="88"/>
  <c r="C120" i="88" s="1"/>
  <c r="A120" i="88" s="1"/>
  <c r="E119" i="88"/>
  <c r="C119" i="88" s="1"/>
  <c r="A119" i="88" s="1"/>
  <c r="E118" i="88"/>
  <c r="C118" i="88" s="1"/>
  <c r="A118" i="88" s="1"/>
  <c r="E117" i="88"/>
  <c r="C117" i="88" s="1"/>
  <c r="A117" i="88" s="1"/>
  <c r="N22" i="3"/>
  <c r="R22" i="3" s="1"/>
  <c r="D32" i="18"/>
  <c r="D32" i="17"/>
  <c r="AC21" i="3"/>
  <c r="Y22" i="3"/>
  <c r="AC22" i="3" s="1"/>
  <c r="G8" i="17" l="1"/>
  <c r="E178" i="88"/>
  <c r="E21" i="89"/>
  <c r="E178" i="89"/>
  <c r="D25" i="72"/>
  <c r="AM2" i="16"/>
  <c r="I2" i="16" s="1"/>
  <c r="G8" i="18"/>
  <c r="C178" i="89" l="1"/>
  <c r="A178" i="89" s="1"/>
  <c r="C21" i="89"/>
  <c r="A21" i="89" s="1"/>
  <c r="E21" i="88"/>
  <c r="C21" i="88" s="1"/>
  <c r="A21" i="88" s="1"/>
  <c r="C178" i="88"/>
  <c r="A178" i="88" s="1"/>
  <c r="C424" i="80"/>
  <c r="C431" i="80"/>
  <c r="A432" i="80"/>
  <c r="C432" i="80" l="1"/>
  <c r="A433" i="80"/>
  <c r="A796" i="80"/>
  <c r="C796" i="80" s="1"/>
  <c r="C794" i="80"/>
  <c r="C795" i="80"/>
  <c r="C433" i="80" l="1"/>
  <c r="A408" i="80"/>
  <c r="C408" i="80" s="1"/>
  <c r="A797" i="80"/>
  <c r="C797" i="80" s="1"/>
  <c r="A798" i="80" l="1"/>
  <c r="A799" i="80" s="1"/>
  <c r="C798" i="80"/>
  <c r="C799" i="80" l="1"/>
  <c r="A800" i="80"/>
  <c r="C800" i="80" l="1"/>
  <c r="A801" i="80"/>
  <c r="A802" i="80" l="1"/>
  <c r="C801" i="80"/>
  <c r="C802" i="80" l="1"/>
  <c r="A803" i="80"/>
  <c r="C803" i="80" s="1"/>
  <c r="C804" i="80"/>
  <c r="A805" i="80"/>
  <c r="C805" i="80" s="1"/>
  <c r="C970" i="80"/>
  <c r="A971" i="80"/>
  <c r="A972" i="80" s="1"/>
  <c r="C972" i="80" s="1"/>
  <c r="C971" i="80" l="1"/>
  <c r="A973" i="80"/>
  <c r="C973" i="80" s="1"/>
  <c r="C1061" i="80"/>
  <c r="C1047" i="80"/>
  <c r="A1062" i="80"/>
  <c r="C1062" i="80" s="1"/>
  <c r="C1068" i="80"/>
  <c r="A1069" i="80"/>
  <c r="C1069" i="80" s="1"/>
  <c r="A1070" i="80" l="1"/>
  <c r="A1071" i="80" l="1"/>
  <c r="C1070" i="80"/>
  <c r="C1071" i="80" l="1"/>
  <c r="A1072" i="80"/>
  <c r="C1072" i="80" l="1"/>
  <c r="A1073" i="80"/>
  <c r="C1073" i="80" l="1"/>
  <c r="A1074" i="80"/>
  <c r="C1088" i="80" s="1"/>
  <c r="A1077" i="80" l="1"/>
  <c r="C1076" i="80"/>
  <c r="C1074" i="80"/>
  <c r="A1075" i="80"/>
  <c r="C1075" i="80" s="1"/>
  <c r="A1078" i="80" l="1"/>
  <c r="C1077" i="80"/>
  <c r="A1079" i="80" l="1"/>
  <c r="C1079" i="80" s="1"/>
  <c r="C1078" i="80"/>
  <c r="C1944" i="80"/>
  <c r="A1945" i="80"/>
  <c r="A1946" i="80" s="1"/>
  <c r="C1945" i="80" l="1"/>
  <c r="A1947" i="80"/>
  <c r="C1946" i="80"/>
  <c r="A1948" i="80" l="1"/>
  <c r="C1947" i="80"/>
  <c r="A1949" i="80" l="1"/>
  <c r="C1948" i="80"/>
  <c r="A1950" i="80" l="1"/>
  <c r="C1949" i="80"/>
  <c r="C1950" i="80" l="1"/>
  <c r="A1951" i="80"/>
  <c r="A1952" i="80" l="1"/>
  <c r="C1951" i="80"/>
  <c r="C1952" i="80" l="1"/>
  <c r="A1953" i="80"/>
  <c r="A1954" i="80" l="1"/>
  <c r="C1954" i="80" s="1"/>
  <c r="C1953" i="80"/>
  <c r="G19" i="81"/>
  <c r="G114" i="81"/>
  <c r="G115" i="81" s="1"/>
  <c r="G116" i="81" s="1"/>
  <c r="G220" i="81"/>
  <c r="G221" i="81" s="1"/>
  <c r="T11" i="86" a="1"/>
  <c r="T11" i="87" a="1"/>
  <c r="T11" i="87" l="1"/>
  <c r="T11" i="86"/>
  <c r="G10" i="86" s="1" a="1"/>
  <c r="G10" i="86" s="1"/>
  <c r="D2" i="8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<sst xmlns="http://schemas.openxmlformats.org/spreadsheetml/2006/main" count="46402" uniqueCount="6114">
  <si>
    <t>error</t>
  </si>
  <si>
    <t>Notes</t>
  </si>
  <si>
    <t>State</t>
  </si>
  <si>
    <t>StateA</t>
  </si>
  <si>
    <t>County</t>
  </si>
  <si>
    <t>Radon</t>
  </si>
  <si>
    <t>Climate</t>
  </si>
  <si>
    <t>Moist</t>
  </si>
  <si>
    <t>WarmHumid</t>
  </si>
  <si>
    <t>Alaska</t>
  </si>
  <si>
    <t>AK</t>
  </si>
  <si>
    <t xml:space="preserve"> </t>
  </si>
  <si>
    <t>Alabama</t>
  </si>
  <si>
    <t>Arkansas</t>
  </si>
  <si>
    <t>Arizona</t>
  </si>
  <si>
    <t>California</t>
  </si>
  <si>
    <t>Colorado</t>
  </si>
  <si>
    <t>Connecticut</t>
  </si>
  <si>
    <t>District of Columbia</t>
  </si>
  <si>
    <t>Delaware</t>
  </si>
  <si>
    <t>Florida</t>
  </si>
  <si>
    <t>Georgia</t>
  </si>
  <si>
    <t>Hawaii</t>
  </si>
  <si>
    <t>Iowa</t>
  </si>
  <si>
    <t>Idaho</t>
  </si>
  <si>
    <t>Illinois</t>
  </si>
  <si>
    <t>Indiana</t>
  </si>
  <si>
    <t>Kansas</t>
  </si>
  <si>
    <t>Kentucky</t>
  </si>
  <si>
    <t>Louisiana</t>
  </si>
  <si>
    <t>Massachusetts</t>
  </si>
  <si>
    <t>Maryland</t>
  </si>
  <si>
    <t>Maine</t>
  </si>
  <si>
    <t>Michigan</t>
  </si>
  <si>
    <t>Minnesota</t>
  </si>
  <si>
    <t>Missouri</t>
  </si>
  <si>
    <t>Mississippi</t>
  </si>
  <si>
    <t>Montana</t>
  </si>
  <si>
    <t>North Carolina</t>
  </si>
  <si>
    <t>North Dakota</t>
  </si>
  <si>
    <t>CO</t>
  </si>
  <si>
    <t>Nebraska</t>
  </si>
  <si>
    <t>New Hampshire</t>
  </si>
  <si>
    <t>New Jersey</t>
  </si>
  <si>
    <t>New Mexico</t>
  </si>
  <si>
    <t>Nevada</t>
  </si>
  <si>
    <t>New York</t>
  </si>
  <si>
    <t>Ohio</t>
  </si>
  <si>
    <t>Oklahoma</t>
  </si>
  <si>
    <t>Oregon</t>
  </si>
  <si>
    <t>Pennsylvania</t>
  </si>
  <si>
    <t>Rhode Island</t>
  </si>
  <si>
    <t>South Carolina</t>
  </si>
  <si>
    <t>South Dakota</t>
  </si>
  <si>
    <t>ME</t>
  </si>
  <si>
    <t>Tennessee</t>
  </si>
  <si>
    <t>MI</t>
  </si>
  <si>
    <t>Texas</t>
  </si>
  <si>
    <t>Utah</t>
  </si>
  <si>
    <t>Virginia</t>
  </si>
  <si>
    <t>Vermont</t>
  </si>
  <si>
    <t>Washington</t>
  </si>
  <si>
    <t>Wisconsin</t>
  </si>
  <si>
    <t>West Virginia</t>
  </si>
  <si>
    <t>Wyoming</t>
  </si>
  <si>
    <t>American Samoa</t>
  </si>
  <si>
    <t>Guam</t>
  </si>
  <si>
    <t>MN</t>
  </si>
  <si>
    <t>Northern Mariana Islands</t>
  </si>
  <si>
    <t>Puerto Rico</t>
  </si>
  <si>
    <t>Virgin Islands</t>
  </si>
  <si>
    <t>ND</t>
  </si>
  <si>
    <t>WI</t>
  </si>
  <si>
    <t>WY</t>
  </si>
  <si>
    <t>CA</t>
  </si>
  <si>
    <t>Dry</t>
  </si>
  <si>
    <t>ID</t>
  </si>
  <si>
    <t>IA</t>
  </si>
  <si>
    <t>MT</t>
  </si>
  <si>
    <t>NH</t>
  </si>
  <si>
    <t>NY</t>
  </si>
  <si>
    <t>PA</t>
  </si>
  <si>
    <t>SD</t>
  </si>
  <si>
    <t>UT</t>
  </si>
  <si>
    <t>VT</t>
  </si>
  <si>
    <t>WA</t>
  </si>
  <si>
    <t>AZ</t>
  </si>
  <si>
    <t>CT</t>
  </si>
  <si>
    <t>IL</t>
  </si>
  <si>
    <t>IN</t>
  </si>
  <si>
    <t>Page</t>
  </si>
  <si>
    <t>KS</t>
  </si>
  <si>
    <t>MD</t>
  </si>
  <si>
    <t>MA</t>
  </si>
  <si>
    <t>MO</t>
  </si>
  <si>
    <t>NE</t>
  </si>
  <si>
    <t>NV</t>
  </si>
  <si>
    <t>NJ</t>
  </si>
  <si>
    <t>NM</t>
  </si>
  <si>
    <t>NC</t>
  </si>
  <si>
    <t>OH</t>
  </si>
  <si>
    <t>OR</t>
  </si>
  <si>
    <t>RI</t>
  </si>
  <si>
    <t>WV</t>
  </si>
  <si>
    <t>AR</t>
  </si>
  <si>
    <t>Marine</t>
  </si>
  <si>
    <t>DE</t>
  </si>
  <si>
    <t>DC</t>
  </si>
  <si>
    <t>GA</t>
  </si>
  <si>
    <t>KY</t>
  </si>
  <si>
    <t>OK</t>
  </si>
  <si>
    <t>TN</t>
  </si>
  <si>
    <t>TX</t>
  </si>
  <si>
    <t>VA</t>
  </si>
  <si>
    <t>AL</t>
  </si>
  <si>
    <t>Warm-Humid</t>
  </si>
  <si>
    <t>LA</t>
  </si>
  <si>
    <t>MS</t>
  </si>
  <si>
    <t>SC</t>
  </si>
  <si>
    <t>FL</t>
  </si>
  <si>
    <t>HI</t>
  </si>
  <si>
    <t>(a)</t>
  </si>
  <si>
    <t>(b)</t>
  </si>
  <si>
    <t>(c)</t>
  </si>
  <si>
    <t>Builder Name:</t>
  </si>
  <si>
    <t>Physical Address of Home:</t>
  </si>
  <si>
    <t>City:</t>
  </si>
  <si>
    <t>County:</t>
  </si>
  <si>
    <t>State:</t>
  </si>
  <si>
    <t>Zip:</t>
  </si>
  <si>
    <t>Community/Lot #:</t>
  </si>
  <si>
    <t>Above grade plane finished floor area:</t>
  </si>
  <si>
    <t>Total conditioned floor area:</t>
  </si>
  <si>
    <t xml:space="preserve">Project Description (optional): </t>
  </si>
  <si>
    <t>Foundation Type:</t>
  </si>
  <si>
    <t>Renewable Energy:</t>
  </si>
  <si>
    <t>Thermal Envelope Insulation:</t>
  </si>
  <si>
    <t>Attic Type:</t>
  </si>
  <si>
    <t>Attached Garage:</t>
  </si>
  <si>
    <t>Recessed Lighting:</t>
  </si>
  <si>
    <t>Special Design Features:</t>
  </si>
  <si>
    <t>Passive Solar:</t>
  </si>
  <si>
    <t>Mass Walls:</t>
  </si>
  <si>
    <t>Radiant/Hydronic:</t>
  </si>
  <si>
    <t>Local Energy Code:</t>
  </si>
  <si>
    <t>Local Building Code:</t>
  </si>
  <si>
    <t>s.f./unit</t>
  </si>
  <si>
    <t>s.f.</t>
  </si>
  <si>
    <t>dstBuilderName</t>
  </si>
  <si>
    <t>dstHomeAddress</t>
  </si>
  <si>
    <t>dstLot</t>
  </si>
  <si>
    <t>dstCity</t>
  </si>
  <si>
    <t>dstState</t>
  </si>
  <si>
    <t>dstCounty</t>
  </si>
  <si>
    <t>dstZIP</t>
  </si>
  <si>
    <t>dstSingleOrMulti</t>
  </si>
  <si>
    <t>Number of Units:</t>
  </si>
  <si>
    <t>Project Name:</t>
  </si>
  <si>
    <t>dstUnits</t>
  </si>
  <si>
    <t>dstProjectName</t>
  </si>
  <si>
    <t>dstAGFloorArea</t>
  </si>
  <si>
    <t>dstTCFloorArea</t>
  </si>
  <si>
    <t>dstProjectDesc</t>
  </si>
  <si>
    <t>dstFoundation</t>
  </si>
  <si>
    <t>dstFuel</t>
  </si>
  <si>
    <t>dstRenewable</t>
  </si>
  <si>
    <t>dstTEInsulation</t>
  </si>
  <si>
    <t>dstAttic</t>
  </si>
  <si>
    <t>dstAttachedGarage</t>
  </si>
  <si>
    <t>dstRecessedLighting</t>
  </si>
  <si>
    <t>dstPassiveSolar</t>
  </si>
  <si>
    <t>dstMassWalls</t>
  </si>
  <si>
    <t>dstRadiantHydronic</t>
  </si>
  <si>
    <t>dstEnergyCode</t>
  </si>
  <si>
    <t>dstBuildingCode</t>
  </si>
  <si>
    <t>ddState</t>
  </si>
  <si>
    <t>ddCounty</t>
  </si>
  <si>
    <t>ddSingleOrMulti</t>
  </si>
  <si>
    <t>ddFoundation</t>
  </si>
  <si>
    <t>ddFuel</t>
  </si>
  <si>
    <t>ddRenewable</t>
  </si>
  <si>
    <t>ddTEInsulation</t>
  </si>
  <si>
    <t>ddAttic</t>
  </si>
  <si>
    <t>ddAttachedGarage</t>
  </si>
  <si>
    <t>ddRecessedLighting</t>
  </si>
  <si>
    <t>ddPassiveSolar</t>
  </si>
  <si>
    <t>ddMassWalls</t>
  </si>
  <si>
    <t>ddRadiantHydronic</t>
  </si>
  <si>
    <t>ddEnergyCode</t>
  </si>
  <si>
    <t>ddBuildingCode</t>
  </si>
  <si>
    <t>Start Here!</t>
  </si>
  <si>
    <t>Single-Family</t>
  </si>
  <si>
    <t>Basement</t>
  </si>
  <si>
    <t>Vented crawlspace</t>
  </si>
  <si>
    <t>Conditioned crawlspace</t>
  </si>
  <si>
    <t>Slab on grade</t>
  </si>
  <si>
    <t>Basement &amp; vented crawlspace</t>
  </si>
  <si>
    <t>Basement &amp; slab on grade</t>
  </si>
  <si>
    <t>Slab + crawlspace</t>
  </si>
  <si>
    <t>Other</t>
  </si>
  <si>
    <t>Furnace</t>
  </si>
  <si>
    <t>Boiler</t>
  </si>
  <si>
    <t>Heat Pump</t>
  </si>
  <si>
    <t>Electric Resistance</t>
  </si>
  <si>
    <t>Ground Source Heat Pump</t>
  </si>
  <si>
    <t>Gas</t>
  </si>
  <si>
    <t>Propane</t>
  </si>
  <si>
    <t>Oil</t>
  </si>
  <si>
    <t>Electricity</t>
  </si>
  <si>
    <t>Wood/Biomass</t>
  </si>
  <si>
    <t>None</t>
  </si>
  <si>
    <t>Photovoltaic</t>
  </si>
  <si>
    <t>Solar Hot Water</t>
  </si>
  <si>
    <t>Solar Heating</t>
  </si>
  <si>
    <t>Wind</t>
  </si>
  <si>
    <t>Fiberglass</t>
  </si>
  <si>
    <t>Cellulose</t>
  </si>
  <si>
    <t>Rigid Foam</t>
  </si>
  <si>
    <t>Spray Foam</t>
  </si>
  <si>
    <t>Fiberglass &amp; Rigid Foam</t>
  </si>
  <si>
    <t>Cellulose &amp; Rigid Foam</t>
  </si>
  <si>
    <t>SIP</t>
  </si>
  <si>
    <t>Spray &amp; Rigid Foam</t>
  </si>
  <si>
    <t>Vented</t>
  </si>
  <si>
    <t>Sealed</t>
  </si>
  <si>
    <t>Yes</t>
  </si>
  <si>
    <t>No</t>
  </si>
  <si>
    <t>2006 IECC</t>
  </si>
  <si>
    <t>2009 IECC</t>
  </si>
  <si>
    <t>2012 IECC</t>
  </si>
  <si>
    <t>2009 IRC</t>
  </si>
  <si>
    <t>2012 IRC</t>
  </si>
  <si>
    <t>Name</t>
  </si>
  <si>
    <t>dropdown names</t>
  </si>
  <si>
    <t>range names</t>
  </si>
  <si>
    <t>Tankless Water Heater:</t>
  </si>
  <si>
    <t>Composting Toilet:</t>
  </si>
  <si>
    <t>dstTLWH</t>
  </si>
  <si>
    <t>dstCToilet</t>
  </si>
  <si>
    <t>ddTLWH</t>
  </si>
  <si>
    <t>ddCToilet</t>
  </si>
  <si>
    <t>Version</t>
  </si>
  <si>
    <t>Instructions</t>
  </si>
  <si>
    <t>Key</t>
  </si>
  <si>
    <t>Introduction</t>
  </si>
  <si>
    <t>Go to http://www.homeinnovation.com/greenscoring to download the latest version of the NGBS Scoring for New Construction spreadsheet.</t>
  </si>
  <si>
    <t>Revision Date:</t>
  </si>
  <si>
    <t>X</t>
  </si>
  <si>
    <t>Practice #</t>
  </si>
  <si>
    <t>Points Available</t>
  </si>
  <si>
    <t>mand</t>
  </si>
  <si>
    <t>avail</t>
  </si>
  <si>
    <t>Status</t>
  </si>
  <si>
    <t>Points Claimed</t>
  </si>
  <si>
    <t>500.0</t>
  </si>
  <si>
    <t>501.1</t>
  </si>
  <si>
    <t>(1)</t>
  </si>
  <si>
    <t>An infill lot is selected.</t>
  </si>
  <si>
    <t>(2)</t>
  </si>
  <si>
    <t>A lot is selected that is a greyfield.</t>
  </si>
  <si>
    <t>(3)</t>
  </si>
  <si>
    <t>An EPA-recognized brownfield lot is selected.</t>
  </si>
  <si>
    <t>TorF</t>
  </si>
  <si>
    <t>Certified Site:</t>
  </si>
  <si>
    <t>501.2</t>
  </si>
  <si>
    <r>
      <t>501.2 Multi-modal transportation.</t>
    </r>
    <r>
      <rPr>
        <sz val="10"/>
        <color theme="1"/>
        <rFont val="Calibri"/>
        <family val="2"/>
        <scheme val="minor"/>
      </rPr>
      <t xml:space="preserve"> A range of multi-modal transportation choices are promoted by one or more of the following:</t>
    </r>
  </si>
  <si>
    <t>A lot is selected within one-half mile (805 m) of pedestrian access to a mass transit system</t>
  </si>
  <si>
    <t>A lot is selected within five miles (8,046 m) of a mass transit station with provisions for parking.</t>
  </si>
  <si>
    <t>Walkways, street crossings, and entrances designed to promote pedestrian activity are provided. New buildings are connected to existing sidewalks and areas of development.</t>
  </si>
  <si>
    <t>(4)</t>
  </si>
  <si>
    <t>A lot is selected within one-half mile (805 m) of six or more community resources  No more than two each of the following use category can be counted toward the total: Recreation, Retail, Civic, and Services. Examples of resources in each category include, but are not limited to the following:</t>
  </si>
  <si>
    <t>Recreation: recreational facilities (such as pools, tennis courts, basketball courts), parks.</t>
  </si>
  <si>
    <t>Retail: grocery store, restaurant, retail store.</t>
  </si>
  <si>
    <t>Civic:  post office, place of worship, community center.</t>
  </si>
  <si>
    <t>Services: bank, daycare center, school, medical/dental office, laundromat/dry cleaners.</t>
  </si>
  <si>
    <t>(5)</t>
  </si>
  <si>
    <t>Bicycle use is promoted by building on a lot located within a community that has rights-of-way specifically dedicated to bicycle use in the form of paved paths or bicycle lanes, or on an infill lot located within 1/2 mile of a bicycle lane designated by the jurisdiction.</t>
  </si>
  <si>
    <t>(6)</t>
  </si>
  <si>
    <t>Dedicated bicycle parking and racks are indicated on the site plan and constructed for mixed-use and multifamily buildings:</t>
  </si>
  <si>
    <t>Minimum of 1 bicycle parking space per 3 residential units</t>
  </si>
  <si>
    <t>Minimum of 1 bicycle parking space per 2 residential units</t>
  </si>
  <si>
    <t>Minimum of 1 bicycle parking space per 1 residential unit.</t>
  </si>
  <si>
    <t>2</t>
  </si>
  <si>
    <t>Ch.5</t>
  </si>
  <si>
    <t>NOTE: List the 6 community resources in the Notes field.</t>
  </si>
  <si>
    <t>startError</t>
  </si>
  <si>
    <t>Ch5MandError</t>
  </si>
  <si>
    <t>Ch5Error</t>
  </si>
  <si>
    <t>Ch5Points</t>
  </si>
  <si>
    <t>Ch5Level</t>
  </si>
  <si>
    <t>Emerald</t>
  </si>
  <si>
    <t>Ch5NLev</t>
  </si>
  <si>
    <t>Bronze</t>
  </si>
  <si>
    <t>Silver</t>
  </si>
  <si>
    <t>Gold</t>
  </si>
  <si>
    <t>threshholds</t>
  </si>
  <si>
    <t>earned</t>
  </si>
  <si>
    <t>extra</t>
  </si>
  <si>
    <t>level</t>
  </si>
  <si>
    <t>ptstonext</t>
  </si>
  <si>
    <t>Ch 5</t>
  </si>
  <si>
    <t>Ch 6</t>
  </si>
  <si>
    <t>Ch 7</t>
  </si>
  <si>
    <t>Ch 8</t>
  </si>
  <si>
    <t>Ch 9</t>
  </si>
  <si>
    <t>Ch 10</t>
  </si>
  <si>
    <t>manderror</t>
  </si>
  <si>
    <t>anyerror</t>
  </si>
  <si>
    <t>design</t>
  </si>
  <si>
    <t>final</t>
  </si>
  <si>
    <t>Practice</t>
  </si>
  <si>
    <t>verStartError</t>
  </si>
  <si>
    <t>verMandError</t>
  </si>
  <si>
    <t>verError</t>
  </si>
  <si>
    <t>Rough</t>
  </si>
  <si>
    <t>Final</t>
  </si>
  <si>
    <t>additional text</t>
  </si>
  <si>
    <t>final level</t>
  </si>
  <si>
    <t>Points</t>
  </si>
  <si>
    <t>Claimed</t>
  </si>
  <si>
    <t>Points Awarded</t>
  </si>
  <si>
    <t>verGoalLevel</t>
  </si>
  <si>
    <t>desGoalLevel</t>
  </si>
  <si>
    <t>ptstogoal</t>
  </si>
  <si>
    <t>points to goal</t>
  </si>
  <si>
    <t>verBuilderName</t>
  </si>
  <si>
    <t>verHomeAddress</t>
  </si>
  <si>
    <t>verLot</t>
  </si>
  <si>
    <t>verCity</t>
  </si>
  <si>
    <t>verState</t>
  </si>
  <si>
    <t>verCounty</t>
  </si>
  <si>
    <t>verZIP</t>
  </si>
  <si>
    <t>verSingleOrMulti</t>
  </si>
  <si>
    <t>verUnits</t>
  </si>
  <si>
    <t>verProjectName</t>
  </si>
  <si>
    <t>verAGFloorArea</t>
  </si>
  <si>
    <t>verTCFloorArea</t>
  </si>
  <si>
    <t>verProjectDesc</t>
  </si>
  <si>
    <t>verFoundation</t>
  </si>
  <si>
    <t>verHVAC1</t>
  </si>
  <si>
    <t>verHVAC2</t>
  </si>
  <si>
    <t>verHVAC3</t>
  </si>
  <si>
    <t>verFuel</t>
  </si>
  <si>
    <t>verRenewable</t>
  </si>
  <si>
    <t>verTEInsulation</t>
  </si>
  <si>
    <t>verAttic</t>
  </si>
  <si>
    <t>verAttachedGarage</t>
  </si>
  <si>
    <t>verRecessedLighting</t>
  </si>
  <si>
    <t>verPassiveSolar</t>
  </si>
  <si>
    <t>verMassWalls</t>
  </si>
  <si>
    <t>verRadiantHydronic</t>
  </si>
  <si>
    <t>verTLWH</t>
  </si>
  <si>
    <t>verCToilet</t>
  </si>
  <si>
    <t>verEnergyCode</t>
  </si>
  <si>
    <t>verBuildingCode</t>
  </si>
  <si>
    <t>Designer</t>
  </si>
  <si>
    <t>Correction</t>
  </si>
  <si>
    <t>Correct?</t>
  </si>
  <si>
    <t>Instructions: Verify all Designer inputs are correct using checkboxes. If incorrect, provide correct information.</t>
  </si>
  <si>
    <t>Goal Level:</t>
  </si>
  <si>
    <t>Single-Family or Multifamily:</t>
  </si>
  <si>
    <t>Calculate per ANSI Z765.  For a multifamily building, use a weighted average of the individual unit sizes.</t>
  </si>
  <si>
    <t>Multifamily</t>
  </si>
  <si>
    <t>dd</t>
  </si>
  <si>
    <t>des  add</t>
  </si>
  <si>
    <t>ver add</t>
  </si>
  <si>
    <t>If "Other", please explain:</t>
  </si>
  <si>
    <t>502 PROJECT TEAM, MISSION STATEMENT, AND GOALS</t>
  </si>
  <si>
    <t>502.1</t>
  </si>
  <si>
    <r>
      <t>502.1</t>
    </r>
    <r>
      <rPr>
        <sz val="10"/>
        <color theme="1"/>
        <rFont val="Calibri"/>
        <family val="2"/>
        <scheme val="minor"/>
      </rPr>
      <t xml:space="preserve"> </t>
    </r>
    <r>
      <rPr>
        <b/>
        <sz val="10"/>
        <color theme="1"/>
        <rFont val="Calibri"/>
        <family val="2"/>
        <scheme val="minor"/>
      </rPr>
      <t xml:space="preserve">Project team, mission statement, and goals. </t>
    </r>
    <r>
      <rPr>
        <sz val="10"/>
        <color theme="1"/>
        <rFont val="Calibri"/>
        <family val="2"/>
        <scheme val="minor"/>
      </rPr>
      <t xml:space="preserve">A knowledgeable team is established and team member roles are identified with respect to green lot design, preparation, and development. The project’s green goals and objectives are written into a mission statement. </t>
    </r>
  </si>
  <si>
    <t>503</t>
  </si>
  <si>
    <t>503 LOT DESIGN</t>
  </si>
  <si>
    <t>503.0</t>
  </si>
  <si>
    <r>
      <t>503.0 Intent.</t>
    </r>
    <r>
      <rPr>
        <sz val="10"/>
        <color theme="1"/>
        <rFont val="Calibri"/>
        <family val="2"/>
        <scheme val="minor"/>
      </rPr>
      <t xml:space="preserve"> The lot is designed to avoid detrimental environmental impacts first, to minimize any unavoidable impacts, and to mitigate for those impacts that do occur. The project is designed to minimize environmental impacts and to protect, restore, and enhance the natural features and environmental quality of the lot. </t>
    </r>
  </si>
  <si>
    <t>(Points awarded only if  the intent of the design is implemented.)</t>
  </si>
  <si>
    <t>503.1</t>
  </si>
  <si>
    <r>
      <t>503.1 Natural resources.</t>
    </r>
    <r>
      <rPr>
        <sz val="10"/>
        <color theme="1"/>
        <rFont val="Calibri"/>
        <family val="2"/>
      </rPr>
      <t xml:space="preserve"> Natural resources are conserved by one or more of the following:</t>
    </r>
  </si>
  <si>
    <t>A natural resources inventory is completed under the direction of a qualified professional.</t>
  </si>
  <si>
    <t>A plan is implemented to conserve the elements identified by the natural resource inventory as high-priority resources.</t>
  </si>
  <si>
    <t>Items listed for protection in the natural resource inventory plan are protected under the direction of a qualified professional.</t>
  </si>
  <si>
    <t>Basic training in tree or other natural resource protection is provided for the on-site supervisor.</t>
  </si>
  <si>
    <t>All tree pruning on-site is conducted by a certified arborist or other qualified professional.</t>
  </si>
  <si>
    <t>Ongoing maintenance of vegetation on the lot during construction is in accordance with TCIA A300 or locally accepted best practices.</t>
  </si>
  <si>
    <t>(7)</t>
  </si>
  <si>
    <t>Where a lot adjoins a landscaped common area, a protection plan from construction activities next to the common area is implemented.</t>
  </si>
  <si>
    <t>503.2</t>
  </si>
  <si>
    <r>
      <t>503.2 Slope disturbance.</t>
    </r>
    <r>
      <rPr>
        <sz val="10"/>
        <color theme="1"/>
        <rFont val="Calibri"/>
        <family val="2"/>
        <scheme val="minor"/>
      </rPr>
      <t xml:space="preserve"> Slope disturbance is minimized by one or more of the following: </t>
    </r>
  </si>
  <si>
    <t xml:space="preserve">The use of terrain adaptive architecture. </t>
  </si>
  <si>
    <t>Hydrological/soil stability study is completed and used to guide the design of all buildings on the lot.</t>
  </si>
  <si>
    <r>
      <t>All or a percentage of</t>
    </r>
    <r>
      <rPr>
        <b/>
        <sz val="10"/>
        <color theme="1"/>
        <rFont val="Calibri"/>
        <family val="2"/>
        <scheme val="minor"/>
      </rPr>
      <t xml:space="preserve"> </t>
    </r>
    <r>
      <rPr>
        <sz val="10"/>
        <color theme="1"/>
        <rFont val="Calibri"/>
        <family val="2"/>
        <scheme val="minor"/>
      </rPr>
      <t>driveways and parking are aligned with natural topography to reduce cut and fill.</t>
    </r>
  </si>
  <si>
    <t>25 percent to 75 percent</t>
  </si>
  <si>
    <t>greater than 75 percent</t>
  </si>
  <si>
    <t>Long-term erosion effects are reduced through the design and implementation of clustering, terracing, retaining walls, landscaping, or restabilization techniques.</t>
  </si>
  <si>
    <t>Underground parking uses the natural slope for parking entrances.</t>
  </si>
  <si>
    <t>503.3</t>
  </si>
  <si>
    <r>
      <t>503.3</t>
    </r>
    <r>
      <rPr>
        <sz val="10"/>
        <color theme="1"/>
        <rFont val="Calibri"/>
        <family val="2"/>
        <scheme val="minor"/>
      </rPr>
      <t xml:space="preserve"> </t>
    </r>
    <r>
      <rPr>
        <b/>
        <sz val="10"/>
        <color theme="1"/>
        <rFont val="Calibri"/>
        <family val="2"/>
        <scheme val="minor"/>
      </rPr>
      <t>Soil disturbance and erosion.</t>
    </r>
    <r>
      <rPr>
        <sz val="10"/>
        <color theme="1"/>
        <rFont val="Calibri"/>
        <family val="2"/>
        <scheme val="minor"/>
      </rPr>
      <t xml:space="preserve"> Soil disturbance and erosion are minimized by one or more of the following: (also see Section 504.3)</t>
    </r>
  </si>
  <si>
    <t>Construction activities are scheduled such that disturbed soil that is to be left unworked for more than 21 days is stabilized within 14 days..</t>
  </si>
  <si>
    <t>At least 75% of total length of the utilities on the lot are designed to use one or more alternative means:</t>
  </si>
  <si>
    <t>tunneling instead of trenching</t>
  </si>
  <si>
    <t>use of smaller (low ground pressure) equipment or geomats to spread the weight of construction equipment</t>
  </si>
  <si>
    <t>shared utility trenches or easements</t>
  </si>
  <si>
    <t>(d)</t>
  </si>
  <si>
    <t>placement of utilities under paved surfaces instead of yards</t>
  </si>
  <si>
    <t>Limits of clearing and grading are demarcated on the lot plan.</t>
  </si>
  <si>
    <t>503.4</t>
  </si>
  <si>
    <r>
      <t xml:space="preserve">503.4 Stormwater Management.  </t>
    </r>
    <r>
      <rPr>
        <sz val="10"/>
        <color theme="1"/>
        <rFont val="Calibri"/>
        <family val="2"/>
        <scheme val="minor"/>
      </rPr>
      <t>The stormwater management system is designed to use low impact development/green infrastructure practices to preserve, restore or mitigate changes in site hydrology due to land disturbance and the construction of impermeable surfaces through the use of one or more of the following techniques:</t>
    </r>
  </si>
  <si>
    <t xml:space="preserve">A site assessment is conducted and a plan prepared and implemented that identifies important existing permeable soils, natural drainage ways and other water features, e.g., depressional storage,  onsite to be preserved in order to maintain site hydrology.                                  </t>
  </si>
  <si>
    <t xml:space="preserve">A hydrologic analysis is conducted that results in the design of a stormwater management system that maintains the pre-development (stable, natural) runoff hydrology of the site through the development or redevelopment process. Ensure that post construction runoff rate, volume and duration do not exceed predevelopment rates, volume and duration.     </t>
  </si>
  <si>
    <t>Low Impact Development/Green infrastructure stormwater management practices to promote infiltration and evapotranspiration are used to manage rainfall on the lot and prevent the off-lot discharge of runoff from all storms up to and including the volume of following storm events:</t>
  </si>
  <si>
    <t>80th percentile storm event</t>
  </si>
  <si>
    <t>90th percentile storm event</t>
  </si>
  <si>
    <t>95th percentile storm event</t>
  </si>
  <si>
    <t>Permeable materials are used for driveways, parking areas, walkways, patios, and recreational surfaces and the like according to the following percentages:</t>
  </si>
  <si>
    <t>503.5</t>
  </si>
  <si>
    <r>
      <t>503.5 Landscape plan.</t>
    </r>
    <r>
      <rPr>
        <sz val="10"/>
        <color theme="1"/>
        <rFont val="Calibri"/>
        <family val="2"/>
        <scheme val="minor"/>
      </rPr>
      <t xml:space="preserve"> A plan for the lot is developed to limit water and energy use while preserving or enhancing the natural environment. </t>
    </r>
  </si>
  <si>
    <t xml:space="preserve">A plan is formulated and implemented that protects, restores, or enhances natural vegetation on the lot.  </t>
  </si>
  <si>
    <t>100 percent of the natural area</t>
  </si>
  <si>
    <t>50 percent of the natural area</t>
  </si>
  <si>
    <t>25 percent of the natural area</t>
  </si>
  <si>
    <t>12 percent of the natural area</t>
  </si>
  <si>
    <t>Non-invasive vegetation that is native or regionally appropriate for local growing conditions is selected to promote biodiversity.</t>
  </si>
  <si>
    <t>For landscaped vegetated areas, the maximum percentage of turf area is:</t>
  </si>
  <si>
    <t>0 percent</t>
  </si>
  <si>
    <t>Greater than 0 percent to less than 20 percent</t>
  </si>
  <si>
    <t>20 percent to less than 40 percent</t>
  </si>
  <si>
    <t>40 percent to 60 percent</t>
  </si>
  <si>
    <t>Plants with similar watering needs are grouped (hydrozoning) and shown on the lot plan.</t>
  </si>
  <si>
    <t>Summer shading by planting installed to shade a minimum of 30 percent of building walls. To conform to summer shading, the effective shade coverage (five years after planting) is the arithmetic mean of the shade coverage calculated at 10 am for eastward facing walls, noon for southward facing walls, and 3 pm for westward facing walls on the summer solstice.</t>
  </si>
  <si>
    <t>(8)</t>
  </si>
  <si>
    <t>Vegetative wind breaks or channels are designed to protect the lot and immediate surrounding lots as appropriate for local conditions.</t>
  </si>
  <si>
    <t>(9)</t>
  </si>
  <si>
    <t>Site or community generated tree trimmings or stump grinding of regionally appropriate trees are used on the lot to provide protective mulch during construction or for landscaping.</t>
  </si>
  <si>
    <t>(10)</t>
  </si>
  <si>
    <t>An integrated pest management plan is developed to minimize chemical use in pesticides and fertilizers.</t>
  </si>
  <si>
    <t>(11)</t>
  </si>
  <si>
    <t xml:space="preserve">Developer has a plan for removal or containment of invasive plants from the disturbed areas of the site.  </t>
  </si>
  <si>
    <t>(12)</t>
  </si>
  <si>
    <t xml:space="preserve">Developer implements a plan for removal or containment of invasive plants on the undisturbed areas of the site.  </t>
  </si>
  <si>
    <t>503.6</t>
  </si>
  <si>
    <r>
      <t xml:space="preserve">503.6 Wildlife habitat. </t>
    </r>
    <r>
      <rPr>
        <sz val="10"/>
        <color theme="1"/>
        <rFont val="Calibri"/>
        <family val="2"/>
        <scheme val="minor"/>
      </rPr>
      <t>Measures are planned to support wildlife habitat and include at least two of the following:</t>
    </r>
  </si>
  <si>
    <t>Plants and gardens that encourage wildlife, such as bird and butterfly gardens.</t>
  </si>
  <si>
    <t>Inclusion of a certified “backyard wildlife” program.</t>
  </si>
  <si>
    <t>The lot is adjacent to a wildlife corridor, fish and game park, or preserved areas and is designed with regard for this relationship.</t>
  </si>
  <si>
    <t>Outdoor lighting techniques are utilized with regard for wildlife.</t>
  </si>
  <si>
    <t>503.7</t>
  </si>
  <si>
    <r>
      <t xml:space="preserve">503.7 Environmentally sensitive areas. </t>
    </r>
    <r>
      <rPr>
        <sz val="10"/>
        <color theme="1"/>
        <rFont val="Calibri"/>
        <family val="2"/>
        <scheme val="minor"/>
      </rPr>
      <t>The lot is in accordance with one or both of the following:</t>
    </r>
  </si>
  <si>
    <t>The lot does not contain any environmentally sensitive areas that are disturbed by the construction.</t>
  </si>
  <si>
    <t>On lots with environmentally sensitive areas, mitigation and/or restoration is conducted to preserve ecosystem functions lost through development and construction activities.</t>
  </si>
  <si>
    <t>503.8</t>
  </si>
  <si>
    <r>
      <t xml:space="preserve">503.8 Demolition of existing building. </t>
    </r>
    <r>
      <rPr>
        <sz val="10"/>
        <color theme="1"/>
        <rFont val="Calibri"/>
        <family val="2"/>
        <scheme val="minor"/>
      </rPr>
      <t>A demolition waste management plan is developed, posted at the jobsite, and implemented to recycle and/or salvage with a goal of recycling or salvaging a minimum of 50 percent of the nonhazardous demolition waste.</t>
    </r>
  </si>
  <si>
    <t>(One additional point awarded for every 10 percent of nonhazardous demolition waste recycled and/or salvaged beyond 50 percent).</t>
  </si>
  <si>
    <t>504.0</t>
  </si>
  <si>
    <t>504 LOT CONSTRUCTION</t>
  </si>
  <si>
    <r>
      <t>504.0 Intent.</t>
    </r>
    <r>
      <rPr>
        <sz val="10"/>
        <color theme="1"/>
        <rFont val="Calibri"/>
        <family val="2"/>
        <scheme val="minor"/>
      </rPr>
      <t xml:space="preserve"> Environmental impact during construction is avoided to the extent possible; impacts that do occur are minimized and any significant impacts are mitigated.</t>
    </r>
  </si>
  <si>
    <t>504.1</t>
  </si>
  <si>
    <r>
      <t>504.1 On-site supervision and coordination.</t>
    </r>
    <r>
      <rPr>
        <sz val="10"/>
        <color theme="1"/>
        <rFont val="Calibri"/>
        <family val="2"/>
        <scheme val="minor"/>
      </rPr>
      <t xml:space="preserve"> On-site supervision and coordination is provided during on-the-lot clearing, grading, trenching, paving, and installation of utilities to ensure that specified green development practices are implemented. (also see Section 503.3)</t>
    </r>
  </si>
  <si>
    <t>504.2</t>
  </si>
  <si>
    <r>
      <t>504.2 Trees and vegetation.</t>
    </r>
    <r>
      <rPr>
        <sz val="10"/>
        <color theme="1"/>
        <rFont val="Calibri"/>
        <family val="2"/>
        <scheme val="minor"/>
      </rPr>
      <t xml:space="preserve"> Designated trees and vegetation are preserved by one or more of the following:</t>
    </r>
  </si>
  <si>
    <t>Fencing or equivalent is installed to protect trees and other vegetation.</t>
  </si>
  <si>
    <t>Trenching, significant changes in grade, and compaction of soil and critical root zones in all “tree save” areas as shown on the lot plan are avoided.</t>
  </si>
  <si>
    <t>Damage to designated existing trees and vegetation is mitigated during construction through pruning, root pruning, fertilizing, and watering.</t>
  </si>
  <si>
    <t>504.3</t>
  </si>
  <si>
    <r>
      <t>504.3 Soil disturbance and erosion implementation.</t>
    </r>
    <r>
      <rPr>
        <sz val="10"/>
        <color theme="1"/>
        <rFont val="Calibri"/>
        <family val="2"/>
        <scheme val="minor"/>
      </rPr>
      <t xml:space="preserve"> On-site soil disturbance and erosion are minimized by one or more of the following in accordance with the SWPPP or applicable plan: (also see Section 503.3)</t>
    </r>
  </si>
  <si>
    <t>Sediment and erosion controls are installed on the lot and maintained in accordance with the stormwater pollution prevention plan, where required.</t>
  </si>
  <si>
    <t>Limits of clearing and grading are staked out on the lot.</t>
  </si>
  <si>
    <t>“No disturbance” zones are created using fencing or flagging to protect vegetation and sensitive areas on the lot from construction activity.</t>
  </si>
  <si>
    <t>Topsoil from either the lot or the site development is stockpiled and stabilized for later use and used to establish landscape plantings on the lot.</t>
  </si>
  <si>
    <t>Soil compaction from construction equipment is reduced by distributing the weight of the equipment over a larger area (laying lightweight geogrids, mulch, chipped wood, plywood, OSB, metal plates, or other materials capable of weight distribution in the pathway of the equipment).</t>
  </si>
  <si>
    <t>Disturbed areas on the lot that are complete or to be left unworked for 21 days or more are stabilized within 14 days using methods as recommended by the EPA or in the approved SWPPP, where required.</t>
  </si>
  <si>
    <t>Soil is improved with organic amendments or mulch.</t>
  </si>
  <si>
    <t>Inspection reports of stormwater best management practices are available.</t>
  </si>
  <si>
    <t>505</t>
  </si>
  <si>
    <t>505 INNOVATIVE PRACTICES</t>
  </si>
  <si>
    <r>
      <t xml:space="preserve">505.0 Intent. </t>
    </r>
    <r>
      <rPr>
        <sz val="10"/>
        <color theme="1"/>
        <rFont val="Calibri"/>
        <family val="2"/>
        <scheme val="minor"/>
      </rPr>
      <t>Innovative lot design, preparation, and development practices are used to enhance environmental performance. Waivers or variances from local development regulations are obtained and innovative zoning is used to implement such practices.</t>
    </r>
  </si>
  <si>
    <t>505.1</t>
  </si>
  <si>
    <r>
      <t>505.1 Driveways and parking areas.</t>
    </r>
    <r>
      <rPr>
        <sz val="10"/>
        <color theme="1"/>
        <rFont val="Calibri"/>
        <family val="2"/>
        <scheme val="minor"/>
      </rPr>
      <t xml:space="preserve"> Driveways and parking areas are minimized or mitigated by one or more of the following:</t>
    </r>
  </si>
  <si>
    <t>Off-street parking areas are shared or driveways are shared. Waivers or variances from local development regulations are obtained to implement such practices, if required.</t>
  </si>
  <si>
    <t>In a multifamily project, parking capacity does not exceed the local minimum requirements.</t>
  </si>
  <si>
    <t>Structured parking is utilized to reduce the footprint of surface parking areas.</t>
  </si>
  <si>
    <t>25 percent to less than 50 percent</t>
  </si>
  <si>
    <t>50 percent to 75 percent</t>
  </si>
  <si>
    <t>505.2</t>
  </si>
  <si>
    <t xml:space="preserve">505.2 </t>
  </si>
  <si>
    <r>
      <t>505.2 Heat island mitigation.</t>
    </r>
    <r>
      <rPr>
        <sz val="10"/>
        <color theme="1"/>
        <rFont val="Calibri"/>
        <family val="2"/>
        <scheme val="minor"/>
      </rPr>
      <t xml:space="preserve"> Heat island effect is mitigated by the following.</t>
    </r>
  </si>
  <si>
    <t>Hardscape: Not less than 50 percent of the surface area of the hardscape on the lot meets one or a combination of the following methods.</t>
  </si>
  <si>
    <t>Shading of hardscaping: Shade is provided from existing or new vegetation (within five years) or from trellises. Shade of hardscaping is to be measured on the summer solstice at noon.</t>
  </si>
  <si>
    <t>Light-colored hardscaping: Horizontal hardscaping materials are installed with a solar reflectance index (SRI) of 29 or greater. The SRI is calculated in accordance with ASTM E1980. A default SRI value of 35 for new concrete without added color pigment is permitted to be used instead of measurements.</t>
  </si>
  <si>
    <t>Permeable hardscaping: Permeable hardscaping materials are installed.</t>
  </si>
  <si>
    <t>Roofs: Not less than 75 percent of the exposed surface of the roof is vegetated using technology capable of withstanding the climate conditions of the jurisdiction and the microclimate conditions of the building lot. Invasive plant species are not permitted.</t>
  </si>
  <si>
    <t>505.3</t>
  </si>
  <si>
    <r>
      <t>505.3 Density.</t>
    </r>
    <r>
      <rPr>
        <sz val="10"/>
        <color theme="1"/>
        <rFont val="Calibri"/>
        <family val="2"/>
        <scheme val="minor"/>
      </rPr>
      <t xml:space="preserve"> The average density on the lot on a net developable area basis is: </t>
    </r>
  </si>
  <si>
    <t>505.4</t>
  </si>
  <si>
    <t>505.5</t>
  </si>
  <si>
    <t>505.6</t>
  </si>
  <si>
    <t>Ch6Level</t>
  </si>
  <si>
    <t>Ch6Points</t>
  </si>
  <si>
    <t>Ch6MandError</t>
  </si>
  <si>
    <t>502</t>
  </si>
  <si>
    <t>601 QUALITY OF CONSTRUCTION MATERIALS AND WASTE</t>
  </si>
  <si>
    <t>601.0</t>
  </si>
  <si>
    <r>
      <t>601.0 Intent.</t>
    </r>
    <r>
      <rPr>
        <sz val="10"/>
        <color theme="1"/>
        <rFont val="Calibri"/>
        <family val="2"/>
        <scheme val="minor"/>
      </rPr>
      <t xml:space="preserve"> Design and construction practices that minimize the environmental impact of the building materials are incorporated, environmentally efficient building systems and materials are incorporated, and waste generated during construction is reduced. </t>
    </r>
  </si>
  <si>
    <r>
      <t>less than or equal to 700 square feet (65 m</t>
    </r>
    <r>
      <rPr>
        <vertAlign val="superscript"/>
        <sz val="10"/>
        <color theme="1"/>
        <rFont val="Calibri"/>
        <family val="2"/>
        <scheme val="minor"/>
      </rPr>
      <t>2</t>
    </r>
    <r>
      <rPr>
        <sz val="10"/>
        <color theme="1"/>
        <rFont val="Calibri"/>
        <family val="2"/>
        <scheme val="minor"/>
      </rPr>
      <t>)</t>
    </r>
  </si>
  <si>
    <r>
      <t>less than or equal to 1,000 square feet (93 m</t>
    </r>
    <r>
      <rPr>
        <vertAlign val="superscript"/>
        <sz val="10"/>
        <color theme="1"/>
        <rFont val="Calibri"/>
        <family val="2"/>
        <scheme val="minor"/>
      </rPr>
      <t>2</t>
    </r>
    <r>
      <rPr>
        <sz val="10"/>
        <color theme="1"/>
        <rFont val="Calibri"/>
        <family val="2"/>
        <scheme val="minor"/>
      </rPr>
      <t>)</t>
    </r>
  </si>
  <si>
    <r>
      <t>less than or equal to 1,500 square feet (139 m</t>
    </r>
    <r>
      <rPr>
        <vertAlign val="superscript"/>
        <sz val="10"/>
        <color theme="1"/>
        <rFont val="Calibri"/>
        <family val="2"/>
        <scheme val="minor"/>
      </rPr>
      <t>2</t>
    </r>
    <r>
      <rPr>
        <sz val="10"/>
        <color theme="1"/>
        <rFont val="Calibri"/>
        <family val="2"/>
        <scheme val="minor"/>
      </rPr>
      <t>)</t>
    </r>
  </si>
  <si>
    <r>
      <t>less than or equal to 2,000 square feet (186 m</t>
    </r>
    <r>
      <rPr>
        <vertAlign val="superscript"/>
        <sz val="10"/>
        <color theme="1"/>
        <rFont val="Calibri"/>
        <family val="2"/>
        <scheme val="minor"/>
      </rPr>
      <t>2</t>
    </r>
    <r>
      <rPr>
        <sz val="10"/>
        <color theme="1"/>
        <rFont val="Calibri"/>
        <family val="2"/>
        <scheme val="minor"/>
      </rPr>
      <t>)</t>
    </r>
  </si>
  <si>
    <r>
      <t>less than or equal to 2,500 square feet (232 m</t>
    </r>
    <r>
      <rPr>
        <vertAlign val="superscript"/>
        <sz val="10"/>
        <color theme="1"/>
        <rFont val="Calibri"/>
        <family val="2"/>
        <scheme val="minor"/>
      </rPr>
      <t>2</t>
    </r>
    <r>
      <rPr>
        <sz val="10"/>
        <color theme="1"/>
        <rFont val="Calibri"/>
        <family val="2"/>
        <scheme val="minor"/>
      </rPr>
      <t>)</t>
    </r>
  </si>
  <si>
    <r>
      <t>greater than 4,000 square feet (372 m</t>
    </r>
    <r>
      <rPr>
        <vertAlign val="superscript"/>
        <sz val="10"/>
        <color theme="1"/>
        <rFont val="Calibri"/>
        <family val="2"/>
        <scheme val="minor"/>
      </rPr>
      <t>2</t>
    </r>
    <r>
      <rPr>
        <sz val="10"/>
        <color theme="1"/>
        <rFont val="Calibri"/>
        <family val="2"/>
        <scheme val="minor"/>
      </rPr>
      <t>)</t>
    </r>
  </si>
  <si>
    <r>
      <t>(For every 100 square feet (9.29 m</t>
    </r>
    <r>
      <rPr>
        <b/>
        <vertAlign val="superscript"/>
        <sz val="10"/>
        <color theme="1"/>
        <rFont val="Calibri"/>
        <family val="2"/>
        <scheme val="minor"/>
      </rPr>
      <t>2</t>
    </r>
    <r>
      <rPr>
        <b/>
        <sz val="10"/>
        <color theme="1"/>
        <rFont val="Calibri"/>
        <family val="2"/>
        <scheme val="minor"/>
      </rPr>
      <t>) over 4,000 square feet (372 m</t>
    </r>
    <r>
      <rPr>
        <b/>
        <vertAlign val="superscript"/>
        <sz val="10"/>
        <color theme="1"/>
        <rFont val="Calibri"/>
        <family val="2"/>
        <scheme val="minor"/>
      </rPr>
      <t>2</t>
    </r>
    <r>
      <rPr>
        <b/>
        <sz val="10"/>
        <color theme="1"/>
        <rFont val="Calibri"/>
        <family val="2"/>
        <scheme val="minor"/>
      </rPr>
      <t>), one point is to be added to rating level points shown in Table 303, Category 7 for each rating level.)</t>
    </r>
  </si>
  <si>
    <r>
      <t>601.2 Material usage.</t>
    </r>
    <r>
      <rPr>
        <sz val="10"/>
        <color theme="1"/>
        <rFont val="Calibri"/>
        <family val="2"/>
        <scheme val="minor"/>
      </rPr>
      <t xml:space="preserve"> Structural systems are designed or construction techniques are implemented that reduce and optimize material usage. </t>
    </r>
  </si>
  <si>
    <t>9 Max</t>
  </si>
  <si>
    <t>Minimum structural member or element sizes necessary for strength and stiffness in accordance with advanced framing techniques or structural design standards are selected.</t>
  </si>
  <si>
    <t>Higher-grade or higher-strength of the same materials than commonly specified for structural elements and components in the building are used and element or component sizes are reduced accordingly.</t>
  </si>
  <si>
    <t>Performance-based structural design is used to optimize lateral force-resisting systems.</t>
  </si>
  <si>
    <r>
      <t>601.3 Building dimensions and layouts.</t>
    </r>
    <r>
      <rPr>
        <sz val="10"/>
        <color theme="1"/>
        <rFont val="Calibri"/>
        <family val="2"/>
        <scheme val="minor"/>
      </rPr>
      <t xml:space="preserve"> Building dimensions and layouts are designed to reduce material cuts and waste. This practice is used for a minimum of 80 percent of the following areas:</t>
    </r>
  </si>
  <si>
    <t>floor area</t>
  </si>
  <si>
    <t>wall area</t>
  </si>
  <si>
    <t>roof area</t>
  </si>
  <si>
    <t>cladding or siding area</t>
  </si>
  <si>
    <t>penetrations or trim area</t>
  </si>
  <si>
    <r>
      <t>601.4 Framing and structural plans.</t>
    </r>
    <r>
      <rPr>
        <sz val="10"/>
        <color theme="1"/>
        <rFont val="Calibri"/>
        <family val="2"/>
        <scheme val="minor"/>
      </rPr>
      <t xml:space="preserve"> Detailed framing or structural plans, material quantity lists and on-site cut lists for framing, structural materials, and sheathing materials are provided.</t>
    </r>
  </si>
  <si>
    <r>
      <t xml:space="preserve">601.5 Prefabricated components. </t>
    </r>
    <r>
      <rPr>
        <sz val="10"/>
        <color theme="1"/>
        <rFont val="Calibri"/>
        <family val="2"/>
        <scheme val="minor"/>
      </rPr>
      <t>Precut or preassembled components, or panelized or precast assemblies are utilized for a minimum of 90 percent for the following system or building:</t>
    </r>
  </si>
  <si>
    <t>13 Max</t>
  </si>
  <si>
    <t>floor system</t>
  </si>
  <si>
    <t>wall system</t>
  </si>
  <si>
    <t>roof system</t>
  </si>
  <si>
    <t>modular construction for the entire building located above grade</t>
  </si>
  <si>
    <t>manufactured home construction for the entire building located above grade</t>
  </si>
  <si>
    <r>
      <t>601.6 Stacked stories.</t>
    </r>
    <r>
      <rPr>
        <sz val="10"/>
        <color theme="1"/>
        <rFont val="Calibri"/>
        <family val="2"/>
        <scheme val="minor"/>
      </rPr>
      <t xml:space="preserve"> Stories above grade are stacked, such as in 1½-story, 2-story, or greater structures. The area of the upper story is a minimum of 50 percent of the area of the story below based on areas with a minimum ceiling height of 7 feet (2,134 mm). </t>
    </r>
  </si>
  <si>
    <t>8 Max</t>
  </si>
  <si>
    <t>first stacked story</t>
  </si>
  <si>
    <t>for each additional stacked story</t>
  </si>
  <si>
    <r>
      <t>601.7 Prefinished materials. Prefinished building</t>
    </r>
    <r>
      <rPr>
        <sz val="10"/>
        <color theme="1"/>
        <rFont val="Calibri"/>
        <family val="2"/>
        <scheme val="minor"/>
      </rPr>
      <t xml:space="preserve"> materials or assemblies listed below have no additional site-applied finishing material are installed. </t>
    </r>
  </si>
  <si>
    <t>12 Max</t>
  </si>
  <si>
    <t>interior trim not requiring paint or stain</t>
  </si>
  <si>
    <t>exterior trim not requiring paint or stain</t>
  </si>
  <si>
    <t>window, skylight, and door assemblies not requiring paint or stain on one of the following surfaces:</t>
  </si>
  <si>
    <r>
      <t> </t>
    </r>
    <r>
      <rPr>
        <sz val="10"/>
        <color theme="1"/>
        <rFont val="Calibri"/>
        <family val="2"/>
      </rPr>
      <t>i.</t>
    </r>
    <r>
      <rPr>
        <sz val="7"/>
        <color theme="1"/>
        <rFont val="Times New Roman"/>
        <family val="1"/>
      </rPr>
      <t xml:space="preserve">  </t>
    </r>
    <r>
      <rPr>
        <sz val="10"/>
        <color theme="1"/>
        <rFont val="Calibri"/>
        <family val="2"/>
      </rPr>
      <t xml:space="preserve">exterior surfaces </t>
    </r>
  </si>
  <si>
    <t>ii. interior surfaces</t>
  </si>
  <si>
    <t>interior wall coverings or systems, floor systems, and/or ceiling systems not requiring paint or stain or other type of finishing application</t>
  </si>
  <si>
    <t>(e)</t>
  </si>
  <si>
    <t>exterior wall coverings or systems, floor system, and/or ceiling systems not requiring paint or stain or other type of finishing application</t>
  </si>
  <si>
    <t xml:space="preserve">90 percent or more of the installed building materials or assemblies listed above: </t>
  </si>
  <si>
    <t>(Points awarded for each type of material or assembly.)</t>
  </si>
  <si>
    <t>50 percent to less than 90 percent of the installed building material or assembly listed above:</t>
  </si>
  <si>
    <t>35 percent to less than 50 percent of the installed building material or assembly listed above:</t>
  </si>
  <si>
    <r>
      <t>601.8 Foundations.</t>
    </r>
    <r>
      <rPr>
        <sz val="10"/>
        <color theme="1"/>
        <rFont val="Calibri"/>
        <family val="2"/>
        <scheme val="minor"/>
      </rPr>
      <t xml:space="preserve"> A foundation system that minimizes soil disturbance, excavation quantities, and material usage, such as frost-protected shallow foundations, isolated pier and pad foundations, deep foundations, post foundations, or helical piles is selected, designed, and constructed. The foundation is used on 50 percent or more of the building footprint. </t>
    </r>
  </si>
  <si>
    <t>602 ENHANCED DURABILITY AND REDUCED MAINTENANCE</t>
  </si>
  <si>
    <r>
      <t>602.0 Intent.</t>
    </r>
    <r>
      <rPr>
        <sz val="10"/>
        <color theme="1"/>
        <rFont val="Calibri"/>
        <family val="2"/>
        <scheme val="minor"/>
      </rPr>
      <t xml:space="preserve"> Design and construction practices are implemented that enhance the durability of materials and reduce in-service maintenance.</t>
    </r>
  </si>
  <si>
    <t>602.1 Moisture Management – Building Envelope</t>
  </si>
  <si>
    <t>602.1.1</t>
  </si>
  <si>
    <t>602.1.1 Capillary breaks</t>
  </si>
  <si>
    <t>602.1.1.1</t>
  </si>
  <si>
    <t xml:space="preserve">602.1.1.2 </t>
  </si>
  <si>
    <r>
      <t>602.1.1.2</t>
    </r>
    <r>
      <rPr>
        <sz val="10"/>
        <color theme="1"/>
        <rFont val="Calibri"/>
        <family val="2"/>
        <scheme val="minor"/>
      </rPr>
      <t xml:space="preserve"> A capillary break between the footing and the foundation wall is provided to prevent moisture migration into foundation wall.</t>
    </r>
  </si>
  <si>
    <t xml:space="preserve">602.1.2 </t>
  </si>
  <si>
    <r>
      <t>602.1.2 Foundation waterproofing.</t>
    </r>
    <r>
      <rPr>
        <sz val="10"/>
        <color theme="1"/>
        <rFont val="Calibri"/>
        <family val="2"/>
        <scheme val="minor"/>
      </rPr>
      <t xml:space="preserve"> Enhanced foundation waterproofing is installed using one or both of the following:</t>
    </r>
  </si>
  <si>
    <t>rubberized coating, or</t>
  </si>
  <si>
    <t>drainage mat</t>
  </si>
  <si>
    <t>602.1.3</t>
  </si>
  <si>
    <t>602.1.3 Foundation drainage</t>
  </si>
  <si>
    <t>602.1.3.1</t>
  </si>
  <si>
    <r>
      <t>602.1.3.1</t>
    </r>
    <r>
      <rPr>
        <sz val="10"/>
        <color theme="1"/>
        <rFont val="Calibri"/>
        <family val="2"/>
        <scheme val="minor"/>
      </rPr>
      <t xml:space="preserve"> Where required by the ICC IRC or IBC for habitable and usable spaces below grade, exterior drain tile is installed.</t>
    </r>
  </si>
  <si>
    <t>602.1.3.2</t>
  </si>
  <si>
    <r>
      <t>602.1.3.2</t>
    </r>
    <r>
      <rPr>
        <sz val="10"/>
        <color theme="1"/>
        <rFont val="Calibri"/>
        <family val="2"/>
        <scheme val="minor"/>
      </rPr>
      <t xml:space="preserve"> Interior and exterior foundation perimeter drains are installed and sloped to discharge to daylight, dry well, or sump pit.</t>
    </r>
  </si>
  <si>
    <t>602.1.4</t>
  </si>
  <si>
    <r>
      <t>602.1.4</t>
    </r>
    <r>
      <rPr>
        <sz val="10"/>
        <color theme="1"/>
        <rFont val="Calibri"/>
        <family val="2"/>
        <scheme val="minor"/>
      </rPr>
      <t xml:space="preserve"> </t>
    </r>
    <r>
      <rPr>
        <b/>
        <sz val="10"/>
        <color theme="1"/>
        <rFont val="Calibri"/>
        <family val="2"/>
        <scheme val="minor"/>
      </rPr>
      <t>Crawlspaces</t>
    </r>
  </si>
  <si>
    <t>602.1.4.1</t>
  </si>
  <si>
    <r>
      <t>602.1.4.1</t>
    </r>
    <r>
      <rPr>
        <sz val="10"/>
        <color theme="1"/>
        <rFont val="Calibri"/>
        <family val="2"/>
        <scheme val="minor"/>
      </rPr>
      <t xml:space="preserve"> Vapor retarder in unconditioned vented crawlspace is in accordance with the following, as applicable. Joints of vapor retarder overlap a minimum of 6 inches (152 mm) and are taped.</t>
    </r>
  </si>
  <si>
    <t>Floors. Minimum 6 mil vapor retarder installed on the crawlspace floor and extended at least 6 inches up the wall and is attached and sealed to the wall.</t>
  </si>
  <si>
    <t>Walls. Dampproof walls are provided below finished grade.</t>
  </si>
  <si>
    <t>602.1.4.2</t>
  </si>
  <si>
    <r>
      <t>602.1.4.2</t>
    </r>
    <r>
      <rPr>
        <sz val="10"/>
        <color theme="1"/>
        <rFont val="Calibri"/>
        <family val="2"/>
        <scheme val="minor"/>
      </rPr>
      <t xml:space="preserve"> Crawlspace that is built as a conditioned area is sealed to prevent outside air infiltration and provided with conditioned air at a rate not less than 0.02 cfm (.009 L/s) per square foot of horizontal area and one of the following is implemented:</t>
    </r>
  </si>
  <si>
    <t>602.1.5</t>
  </si>
  <si>
    <r>
      <t>602.1.5 Termite barrier.</t>
    </r>
    <r>
      <rPr>
        <sz val="10"/>
        <color theme="1"/>
        <rFont val="Calibri"/>
        <family val="2"/>
        <scheme val="minor"/>
      </rPr>
      <t xml:space="preserve"> Continuous physical foundation termite barrier provided:</t>
    </r>
  </si>
  <si>
    <t>In geographic areas that have moderate to heavy infestation potential in accordance with figure 6(3), a no or low toxicity treatment is also installed.</t>
  </si>
  <si>
    <t>In geographic areas that have a very heavy infestation potential in accordance with figure 6(3), in addition a low toxicity bait and kill termite treatment plan is selected and implemented.</t>
  </si>
  <si>
    <t>602.1.6</t>
  </si>
  <si>
    <r>
      <t>602.1.6 Termite-resistant materials.</t>
    </r>
    <r>
      <rPr>
        <sz val="10"/>
        <color theme="1"/>
        <rFont val="Calibri"/>
        <family val="2"/>
        <scheme val="minor"/>
      </rPr>
      <t xml:space="preserve"> In areas of termite infestation probability as defined by Figure 6(3), termite-resistant materials are used as follows: </t>
    </r>
  </si>
  <si>
    <t>In areas of slight to moderate termite infestation probability: for the foundation, all structural walls, floors, concealed roof spaces not accessible for inspection, exterior decks, and exterior claddings within the first 2 feet (610 mm) above the top of the foundation.</t>
  </si>
  <si>
    <t>In areas of moderate to heavy termite infestation probability: for the foundation, all structural walls, floors, concealed roof spaces not accessible for inspection, exterior decks, and exterior claddings within the first 3 feet (914 mm) above the top of the foundation.</t>
  </si>
  <si>
    <t>In areas of very heavy termite infestation probability: for the foundation, all structural walls, floors, concealed roof spaces not accessible for inspection, exterior decks, and exterior claddings.</t>
  </si>
  <si>
    <t>602.1.7</t>
  </si>
  <si>
    <t>602.1.7 Moisture control measures</t>
  </si>
  <si>
    <t>602.1.7.1</t>
  </si>
  <si>
    <r>
      <t xml:space="preserve">602.1.7.1 </t>
    </r>
    <r>
      <rPr>
        <sz val="10"/>
        <color theme="1"/>
        <rFont val="Calibri"/>
        <family val="2"/>
        <scheme val="minor"/>
      </rPr>
      <t>Moisture control measures are in accordance with the following:</t>
    </r>
  </si>
  <si>
    <t>Building materials with visible mold are not installed or are cleaned or encapsulated prior to concealment and closing.</t>
  </si>
  <si>
    <t>Insulation in cavities is dry in accordance with manufacturer’s instructions when enclosed (e.g., with drywall).</t>
  </si>
  <si>
    <t xml:space="preserve">The moisture content of lumber is sampled to ensure it does not exceed 19 percent prior to the surface and/or cavity enclosure. </t>
  </si>
  <si>
    <t>602.1.7.2</t>
  </si>
  <si>
    <t xml:space="preserve">602.1.7.2 </t>
  </si>
  <si>
    <r>
      <t xml:space="preserve">602.1.7.2 </t>
    </r>
    <r>
      <rPr>
        <sz val="10"/>
        <color theme="1"/>
        <rFont val="Calibri"/>
        <family val="2"/>
        <scheme val="minor"/>
      </rPr>
      <t xml:space="preserve">Moisture content of subfloor, substrate, or concrete slabs is in accordance with the appropriate industry standard for the finish flooring to be applied. </t>
    </r>
  </si>
  <si>
    <t>602.1.7.3</t>
  </si>
  <si>
    <t xml:space="preserve">602.1.7.3 </t>
  </si>
  <si>
    <r>
      <t xml:space="preserve">602.1.7.3 </t>
    </r>
    <r>
      <rPr>
        <sz val="10"/>
        <color theme="1"/>
        <rFont val="Calibri"/>
        <family val="2"/>
        <scheme val="minor"/>
      </rPr>
      <t>Building envelope assemblies are designed for moisture control based on documented hygrothermal simulation or field study analysis. Hygrothermal analysis is required to incorporate representative climatic conditions, interior conditions and include heating and cooling seasonal variation.</t>
    </r>
  </si>
  <si>
    <t>602.1.8</t>
  </si>
  <si>
    <r>
      <t>602.1.8 Water-resistive barrier.</t>
    </r>
    <r>
      <rPr>
        <sz val="10"/>
        <color theme="1"/>
        <rFont val="Calibri"/>
        <family val="2"/>
        <scheme val="minor"/>
      </rPr>
      <t xml:space="preserve"> Where required by the ICC, IRC, or IBC, a water-resistive barrier and/or drainage plane system is installed behind exterior veneer and/or siding. </t>
    </r>
  </si>
  <si>
    <t>602.1.9</t>
  </si>
  <si>
    <r>
      <t>602.1.9 Flashing.</t>
    </r>
    <r>
      <rPr>
        <sz val="10"/>
        <color theme="1"/>
        <rFont val="Calibri"/>
        <family val="2"/>
        <scheme val="minor"/>
      </rPr>
      <t xml:space="preserve"> Flashing is provided as follows to minimize water entry into wall and roof assemblies and to direct water to exterior surfaces or exterior water-resistive barriers for drainage. Flashing details are provided in the construction documents and are in accordance with the fenestration manufacturer’s instructions, the flashing manufacturer’s instructions, or as detailed by a registered design professional. </t>
    </r>
  </si>
  <si>
    <t>Flashing is installed at all of the following locations, as applicable:</t>
  </si>
  <si>
    <t>around exterior fenestrations, skylights, and doors</t>
  </si>
  <si>
    <t>at roof valleys</t>
  </si>
  <si>
    <t xml:space="preserve">at all building-to-deck, -balcony, -porch, and -stair intersections </t>
  </si>
  <si>
    <t>at roof-to-wall intersections, at roof-to-chimney intersections, at wall-to-chimney intersections, and at parapets</t>
  </si>
  <si>
    <t>at ends of and under masonry, wood, or metal copings and sills</t>
  </si>
  <si>
    <t>(f)</t>
  </si>
  <si>
    <t>above projecting wood trim</t>
  </si>
  <si>
    <t>(g)</t>
  </si>
  <si>
    <t>at built-in roof gutters, and</t>
  </si>
  <si>
    <t>(h)</t>
  </si>
  <si>
    <t>drip edge is installed at eave and rake edges.</t>
  </si>
  <si>
    <t>All window and door head and jamb flashing is either self-adhered flashing complying with AAMA 711-13 or liquid applied flashing complying with AAMA 714-15 and installed in accordance with fenestration or flashing manufacturer’s installation instructions.</t>
  </si>
  <si>
    <t>Pan flashing is installed at sills of all exterior windows and doors.</t>
  </si>
  <si>
    <r>
      <t xml:space="preserve">Seamless, preformed kickout flashing, or prefabricated metal with soldered seams is provided at all roof-to-wall intersections. </t>
    </r>
    <r>
      <rPr>
        <sz val="10"/>
        <color rgb="FF000000"/>
        <rFont val="Calibri"/>
        <family val="2"/>
        <scheme val="minor"/>
      </rPr>
      <t>The type and thickness of the material used for roof flashing including but not limited kickout and step flashing is commensurate with the anticipated service life of the roofing material.</t>
    </r>
  </si>
  <si>
    <t>A rainscreen wall design as follows is used for exterior wall assemblies</t>
  </si>
  <si>
    <t>a system designed with minimum 1/4-inch air space exterior to the water-resistive barrier, vented to the exterior at top and bottom of the wall, and integrated with flashing details. OR</t>
  </si>
  <si>
    <t>a cladding material or a water-resistive barrier with enhanced drainage, meeting 75 percent drainage efficiency determined in accordance with ASTM E2273.</t>
  </si>
  <si>
    <t>Through-wall flashing is installed at transitions between wall cladding materials or wall construction types.</t>
  </si>
  <si>
    <t>Flashing is installed at expansion joints in stucco walls.</t>
  </si>
  <si>
    <t>602.1.10</t>
  </si>
  <si>
    <t xml:space="preserve">602.1.10 </t>
  </si>
  <si>
    <t>installing a porch roof or awning</t>
  </si>
  <si>
    <t>extending the roof overhang</t>
  </si>
  <si>
    <t>recessing the exterior door</t>
  </si>
  <si>
    <t>Installing a storm door</t>
  </si>
  <si>
    <t>602.1.11</t>
  </si>
  <si>
    <t xml:space="preserve">602.1.11 </t>
  </si>
  <si>
    <r>
      <t>602.1.11 Tile backing materials.</t>
    </r>
    <r>
      <rPr>
        <sz val="10"/>
        <color theme="1"/>
        <rFont val="Calibri"/>
        <family val="2"/>
        <scheme val="minor"/>
      </rPr>
      <t xml:space="preserve"> Tile backing materials installed under tiled surfaces in wet areas are in accordance with ASTM C1178, C1278, C1288, or C1325.</t>
    </r>
  </si>
  <si>
    <t>602.1.12</t>
  </si>
  <si>
    <r>
      <t xml:space="preserve">602.1.12 Roof overhangs. </t>
    </r>
    <r>
      <rPr>
        <sz val="10"/>
        <color theme="1"/>
        <rFont val="Calibri"/>
        <family val="2"/>
        <scheme val="minor"/>
      </rPr>
      <t>Roof overhangs, in accordance with Table 602.1.12, are provided over a minimum of 90 percent of exterior walls to protect the building envelope.</t>
    </r>
  </si>
  <si>
    <t>602.1.13</t>
  </si>
  <si>
    <t xml:space="preserve">602.1.13 </t>
  </si>
  <si>
    <r>
      <t xml:space="preserve">602.1.13 Ice barrier. </t>
    </r>
    <r>
      <rPr>
        <sz val="10"/>
        <color theme="1"/>
        <rFont val="Calibri"/>
        <family val="2"/>
        <scheme val="minor"/>
      </rPr>
      <t>In areas where there has been a history of ice forming along the eaves causing a backup of water, an ice barrier is installed in accordance with the ICC IRC or IBC at roof eaves of pitched roofs and extends a minimum of 24 inches (610 mm) inside the exterior wall line of the building.</t>
    </r>
  </si>
  <si>
    <t>602.1.14</t>
  </si>
  <si>
    <r>
      <t>602.1.14 Architectural features</t>
    </r>
    <r>
      <rPr>
        <sz val="10"/>
        <color theme="1"/>
        <rFont val="Calibri"/>
        <family val="2"/>
        <scheme val="minor"/>
      </rPr>
      <t>. Architectural features that increase the potential for water intrusion are avoided:</t>
    </r>
  </si>
  <si>
    <t>All horizontal ledgers are sloped away to provide gravity drainage as appropriate for the application.</t>
  </si>
  <si>
    <t>No roof configurations that create horizontal valleys in roof design.</t>
  </si>
  <si>
    <t>No recessed windows and architectural features that trap water on horizontal surfaces.</t>
  </si>
  <si>
    <r>
      <t>602.2 Roof surfaces.</t>
    </r>
    <r>
      <rPr>
        <sz val="10"/>
        <color theme="1"/>
        <rFont val="Calibri"/>
        <family val="2"/>
        <scheme val="minor"/>
      </rPr>
      <t xml:space="preserve"> A minimum of 90 percent of roof surfaces, not used for roof penetrations and associated equipment, on-site renewable energy systems such as photovoltaics or solar thermal energy collectors, or rooftop decks, amenities and walkways, are constructed of one or more of the following:</t>
    </r>
  </si>
  <si>
    <r>
      <t>products that are in accordance with the ENERGY STAR</t>
    </r>
    <r>
      <rPr>
        <b/>
        <sz val="10"/>
        <color theme="1"/>
        <rFont val="Calibri"/>
        <family val="2"/>
        <scheme val="minor"/>
      </rPr>
      <t>®</t>
    </r>
    <r>
      <rPr>
        <sz val="10"/>
        <color theme="1"/>
        <rFont val="Calibri"/>
        <family val="2"/>
        <scheme val="minor"/>
      </rPr>
      <t xml:space="preserve"> cool roof certification or equivalent</t>
    </r>
  </si>
  <si>
    <t>a vegetated roof system</t>
  </si>
  <si>
    <t>Minimum initial SRI of 78 for low-sloped roof (a slope less than 2:12) and a minimum initial SRI of 29 for a steep-sloped roof (a slope equal to or greater than 2:12).  The SRI is calculated in accordance with ASTM E1980.  Roof products are certified and labeled.</t>
  </si>
  <si>
    <r>
      <t>602.3 Roof water discharge.</t>
    </r>
    <r>
      <rPr>
        <sz val="10"/>
        <color theme="1"/>
        <rFont val="Calibri"/>
        <family val="2"/>
        <scheme val="minor"/>
      </rPr>
      <t xml:space="preserve"> A gutter and downspout system or splash blocks and effective grading are provided to carry water a minimum of 5 feet (1524 mm) away from perimeter foundation walls. </t>
    </r>
  </si>
  <si>
    <r>
      <t>602.4 Finished grade.</t>
    </r>
    <r>
      <rPr>
        <sz val="10"/>
        <color theme="1"/>
        <rFont val="Calibri"/>
        <family val="2"/>
        <scheme val="minor"/>
      </rPr>
      <t xml:space="preserve"> </t>
    </r>
  </si>
  <si>
    <t>602.4.1</t>
  </si>
  <si>
    <r>
      <t>602.4.1</t>
    </r>
    <r>
      <rPr>
        <sz val="10"/>
        <color theme="1"/>
        <rFont val="Calibri"/>
        <family val="2"/>
        <scheme val="minor"/>
      </rPr>
      <t xml:space="preserve"> Finished grade at all sides of a building is sloped to provide a minimum of 6 inches (150 mm) of fall within 10 feet (3048 mm) of the edge of the building. Where lot lines, walls, slopes, or other physical barriers prohibit 6 inches (152 mm) of fall within 10 feet (3048 mm), the final grade is sloped away from the edge of the building at a minimum slope of 2 percent.</t>
    </r>
  </si>
  <si>
    <t>602.4.2</t>
  </si>
  <si>
    <r>
      <t>602.4.2</t>
    </r>
    <r>
      <rPr>
        <sz val="10"/>
        <color theme="1"/>
        <rFont val="Calibri"/>
        <family val="2"/>
        <scheme val="minor"/>
      </rPr>
      <t xml:space="preserve"> The final grade is sloped away from the edge of the building at a minimum slope of 5 percent.</t>
    </r>
  </si>
  <si>
    <t>602.4.3</t>
  </si>
  <si>
    <r>
      <t>602.4.3</t>
    </r>
    <r>
      <rPr>
        <sz val="10"/>
        <color theme="1"/>
        <rFont val="Calibri"/>
        <family val="2"/>
        <scheme val="minor"/>
      </rPr>
      <t xml:space="preserve"> Water is directed to drains or swales to ensure drainage away from the structure.</t>
    </r>
  </si>
  <si>
    <t xml:space="preserve">603 REUSED OR SALVAGED MATERIALS </t>
  </si>
  <si>
    <r>
      <t>603.0 Intent.</t>
    </r>
    <r>
      <rPr>
        <sz val="10"/>
        <color theme="1"/>
        <rFont val="Calibri"/>
        <family val="2"/>
        <scheme val="minor"/>
      </rPr>
      <t xml:space="preserve"> Practices that reuse or modify existing structures, salvage materials for other uses, or use salvaged materials in the building’s construction are implemented.</t>
    </r>
    <r>
      <rPr>
        <b/>
        <sz val="10"/>
        <color theme="1"/>
        <rFont val="Calibri"/>
        <family val="2"/>
        <scheme val="minor"/>
      </rPr>
      <t xml:space="preserve"> </t>
    </r>
  </si>
  <si>
    <r>
      <t xml:space="preserve">603.1 Reuse of existing building. </t>
    </r>
    <r>
      <rPr>
        <sz val="10"/>
        <color theme="1"/>
        <rFont val="Calibri"/>
        <family val="2"/>
        <scheme val="minor"/>
      </rPr>
      <t>Major elements or components of existing buildings and structures are reused, modified, or deconstructed for later use.</t>
    </r>
  </si>
  <si>
    <r>
      <t>(Points awarded for every 200 square feet (18.5 m</t>
    </r>
    <r>
      <rPr>
        <b/>
        <vertAlign val="superscript"/>
        <sz val="10"/>
        <color theme="1"/>
        <rFont val="Calibri"/>
        <family val="2"/>
        <scheme val="minor"/>
      </rPr>
      <t>2</t>
    </r>
    <r>
      <rPr>
        <b/>
        <sz val="10"/>
        <color theme="1"/>
        <rFont val="Calibri"/>
        <family val="2"/>
        <scheme val="minor"/>
      </rPr>
      <t>) of floor area.)</t>
    </r>
  </si>
  <si>
    <r>
      <t>603.2 Salvaged materials.</t>
    </r>
    <r>
      <rPr>
        <sz val="10"/>
        <color theme="1"/>
        <rFont val="Calibri"/>
        <family val="2"/>
        <scheme val="minor"/>
      </rPr>
      <t xml:space="preserve"> Reclaimed and/or salvaged materials and components are used. The total material value and labor cost of salvaged materials is equal to or exceeds 1 percent of the total construction cost. </t>
    </r>
  </si>
  <si>
    <r>
      <t>603.3 Scrap materials.</t>
    </r>
    <r>
      <rPr>
        <sz val="10"/>
        <color theme="1"/>
        <rFont val="Calibri"/>
        <family val="2"/>
        <scheme val="minor"/>
      </rPr>
      <t xml:space="preserve"> Sorting and reuse of scrap building material is facilitated (e.g., a central storage area or dedicated bins are provided). </t>
    </r>
  </si>
  <si>
    <t>604 RECYCLED-CONTENT BUILDING MATERIALS</t>
  </si>
  <si>
    <r>
      <t>604.1 Recycled content.</t>
    </r>
    <r>
      <rPr>
        <sz val="10"/>
        <color theme="1"/>
        <rFont val="Calibri"/>
        <family val="2"/>
        <scheme val="minor"/>
      </rPr>
      <t xml:space="preserve"> Building materials with recycled content are used for two minor and/or two major components of the building.</t>
    </r>
  </si>
  <si>
    <t xml:space="preserve">605 RECYCLED CONSTRUCTION WASTE </t>
  </si>
  <si>
    <t>Exceptions:</t>
  </si>
  <si>
    <t xml:space="preserve">A recycling facility (traditional or E-Waste) offering material receipt documentation is not available within 50 miles of the jobsite.   </t>
  </si>
  <si>
    <t>Materials are ground or otherwise safely applied on-site as soil amendment or fill. A minimum of 50 percent (by weight) of construction and land-clearing waste is diverted from landfill.</t>
  </si>
  <si>
    <t>Alternative compliance methods approved by the Adopting Entity.</t>
  </si>
  <si>
    <t>Compatible untreated biomass material (lumber, posts, beams, etc.) are set aside for combustion if a solid fuel-burning appliance per Section 901.2.1(2) will be available for on-site renewable energy.</t>
  </si>
  <si>
    <t>6 Max</t>
  </si>
  <si>
    <t>a minimum of two types of materials are recycled</t>
  </si>
  <si>
    <t>for each additional recycled material type</t>
  </si>
  <si>
    <t>606 RENEWABLE MATERIALS</t>
  </si>
  <si>
    <r>
      <t>606.0 Intent.</t>
    </r>
    <r>
      <rPr>
        <sz val="10"/>
        <color theme="1"/>
        <rFont val="Calibri"/>
        <family val="2"/>
        <scheme val="minor"/>
      </rPr>
      <t xml:space="preserve"> Building materials derived from renewable resources are used.</t>
    </r>
  </si>
  <si>
    <r>
      <t>606.1 Biobased products.</t>
    </r>
    <r>
      <rPr>
        <sz val="10"/>
        <color theme="1"/>
        <rFont val="Calibri"/>
        <family val="2"/>
        <scheme val="minor"/>
      </rPr>
      <t xml:space="preserve"> The following biobased products are used:</t>
    </r>
  </si>
  <si>
    <t>certified solid wood in accordance with Section 606.2</t>
  </si>
  <si>
    <t>engineered wood</t>
  </si>
  <si>
    <t>bamboo</t>
  </si>
  <si>
    <t>cotton</t>
  </si>
  <si>
    <t>cork</t>
  </si>
  <si>
    <t>straw</t>
  </si>
  <si>
    <t>natural fiber products made from crops (soy-based, corn-based)</t>
  </si>
  <si>
    <t>other biobased materials with a minimum of 50 percent biobased content (by weight or volume)</t>
  </si>
  <si>
    <t xml:space="preserve">Two types of biobased materials are used, each for more than 0.5 percent of the project’s projected building material cost. </t>
  </si>
  <si>
    <t xml:space="preserve">Two types of biobased materials are used, each for more than 1 percent of the project’s projected building material cost. </t>
  </si>
  <si>
    <t>For each additional biobased material used for more than 0.5 percent of the project’s projected building material cost.</t>
  </si>
  <si>
    <r>
      <t>American Forest Foundation’s</t>
    </r>
    <r>
      <rPr>
        <i/>
        <sz val="10"/>
        <color theme="1"/>
        <rFont val="Calibri"/>
        <family val="2"/>
        <scheme val="minor"/>
      </rPr>
      <t xml:space="preserve"> American Tree Farm System® </t>
    </r>
    <r>
      <rPr>
        <sz val="10"/>
        <color theme="1"/>
        <rFont val="Calibri"/>
        <family val="2"/>
        <scheme val="minor"/>
      </rPr>
      <t>(ATFS)</t>
    </r>
  </si>
  <si>
    <r>
      <t xml:space="preserve">Canadian Standards Association’s </t>
    </r>
    <r>
      <rPr>
        <i/>
        <sz val="10"/>
        <color theme="1"/>
        <rFont val="Calibri"/>
        <family val="2"/>
        <scheme val="minor"/>
      </rPr>
      <t>Sustainable Forest Management System Standards</t>
    </r>
    <r>
      <rPr>
        <sz val="10"/>
        <color theme="1"/>
        <rFont val="Calibri"/>
        <family val="2"/>
        <scheme val="minor"/>
      </rPr>
      <t xml:space="preserve"> (CSA Z809)</t>
    </r>
  </si>
  <si>
    <r>
      <t>Forest Stewardship Council</t>
    </r>
    <r>
      <rPr>
        <sz val="10"/>
        <color theme="1"/>
        <rFont val="Calibri"/>
        <family val="2"/>
        <scheme val="minor"/>
      </rPr>
      <t xml:space="preserve"> (FSC)</t>
    </r>
  </si>
  <si>
    <r>
      <t>Program for Endorsement of Forest Certification Systems</t>
    </r>
    <r>
      <rPr>
        <sz val="10"/>
        <color theme="1"/>
        <rFont val="Calibri"/>
        <family val="2"/>
        <scheme val="minor"/>
      </rPr>
      <t xml:space="preserve"> (PEFC)</t>
    </r>
  </si>
  <si>
    <r>
      <t>Sustainable Forestry Initiative</t>
    </r>
    <r>
      <rPr>
        <i/>
        <sz val="10"/>
        <color theme="1"/>
        <rFont val="Symbol"/>
        <family val="1"/>
        <charset val="2"/>
      </rPr>
      <t>â</t>
    </r>
    <r>
      <rPr>
        <i/>
        <sz val="10"/>
        <color theme="1"/>
        <rFont val="Calibri"/>
        <family val="2"/>
        <scheme val="minor"/>
      </rPr>
      <t xml:space="preserve"> Program (SFI)</t>
    </r>
  </si>
  <si>
    <t>National Wood Flooring Association’s Responsible Procurement Program (RPP)</t>
  </si>
  <si>
    <t>other product programs mutually recognized by PEFC</t>
  </si>
  <si>
    <r>
      <t>606.3 Manufacturing energy.</t>
    </r>
    <r>
      <rPr>
        <sz val="10"/>
        <color theme="1"/>
        <rFont val="Calibri"/>
        <family val="2"/>
        <scheme val="minor"/>
      </rPr>
      <t xml:space="preserve"> Materials manufactured using a minimum of 33 percent of the primary manufacturing process energy derived from (1) renewable sources, (2) combustible waste sources, or (3) renewable energy credits (RECs) are used for major components of the building.</t>
    </r>
  </si>
  <si>
    <t>(2 points awarded per material.)</t>
  </si>
  <si>
    <t>607 RECYCLING AND WASTE REDUCTION</t>
  </si>
  <si>
    <r>
      <t xml:space="preserve">607.1 Recycling and composting. </t>
    </r>
    <r>
      <rPr>
        <sz val="10"/>
        <color theme="1"/>
        <rFont val="Calibri"/>
        <family val="2"/>
        <scheme val="minor"/>
      </rPr>
      <t>Recycling and composting by the occupant are facilitated by one or more of the following methods:</t>
    </r>
  </si>
  <si>
    <r>
      <t>607.2</t>
    </r>
    <r>
      <rPr>
        <sz val="10"/>
        <color theme="1"/>
        <rFont val="Calibri"/>
        <family val="2"/>
        <scheme val="minor"/>
      </rPr>
      <t xml:space="preserve"> </t>
    </r>
    <r>
      <rPr>
        <b/>
        <sz val="10"/>
        <color theme="1"/>
        <rFont val="Calibri"/>
        <family val="2"/>
        <scheme val="minor"/>
      </rPr>
      <t>Food waste disposers.</t>
    </r>
    <r>
      <rPr>
        <sz val="10"/>
        <color theme="1"/>
        <rFont val="Calibri"/>
        <family val="2"/>
        <scheme val="minor"/>
      </rPr>
      <t xml:space="preserve"> A minimum of one food waste disposer is installed at the primary kitchen sink. </t>
    </r>
  </si>
  <si>
    <t>608 RESOURCE-EFFICIENT MATERIALS</t>
  </si>
  <si>
    <r>
      <t>608.1</t>
    </r>
    <r>
      <rPr>
        <sz val="10"/>
        <color theme="1"/>
        <rFont val="Calibri"/>
        <family val="2"/>
        <scheme val="minor"/>
      </rPr>
      <t xml:space="preserve"> </t>
    </r>
    <r>
      <rPr>
        <b/>
        <sz val="10"/>
        <color theme="1"/>
        <rFont val="Calibri"/>
        <family val="2"/>
        <scheme val="minor"/>
      </rPr>
      <t xml:space="preserve">Resource-efficient materials. </t>
    </r>
    <r>
      <rPr>
        <sz val="10"/>
        <color theme="1"/>
        <rFont val="Calibri"/>
        <family val="2"/>
        <scheme val="minor"/>
      </rPr>
      <t>Products containing fewer materials are used to achieve the same end-use requirements as conventional products, including but not limited to:</t>
    </r>
  </si>
  <si>
    <t>lighter, thinner brick with bed depth less than 3 inches and/or brick with coring of more that 25 percent</t>
  </si>
  <si>
    <t>engineered wood or engineered steel products</t>
  </si>
  <si>
    <t>roof or floor trusses</t>
  </si>
  <si>
    <t>609 REGIONAL MATERIALS</t>
  </si>
  <si>
    <r>
      <t>609.1</t>
    </r>
    <r>
      <rPr>
        <sz val="10"/>
        <color theme="1"/>
        <rFont val="Calibri"/>
        <family val="2"/>
        <scheme val="minor"/>
      </rPr>
      <t xml:space="preserve"> </t>
    </r>
    <r>
      <rPr>
        <b/>
        <sz val="10"/>
        <color theme="1"/>
        <rFont val="Calibri"/>
        <family val="2"/>
        <scheme val="minor"/>
      </rPr>
      <t xml:space="preserve">Regional materials. </t>
    </r>
    <r>
      <rPr>
        <sz val="10"/>
        <color theme="1"/>
        <rFont val="Calibri"/>
        <family val="2"/>
        <scheme val="minor"/>
      </rPr>
      <t>Regional materials are used for major and/or minor components of the building.</t>
    </r>
  </si>
  <si>
    <t>10 Max</t>
  </si>
  <si>
    <t>610 LIFE CYCLE ASSESSMENT</t>
  </si>
  <si>
    <r>
      <t xml:space="preserve">610.1 Life cycle assessment. </t>
    </r>
    <r>
      <rPr>
        <sz val="10"/>
        <color theme="1"/>
        <rFont val="Calibri"/>
        <family val="2"/>
        <scheme val="minor"/>
      </rPr>
      <t>A life cycle assessment (LCA) tool is used to select environmentally preferable products, assemblies, or, entire building designs. Points are awarded in accordance with Section 610.1.1 or 610.1.2. Only one method of analysis or tool may be utilized. The reference service life for the building is 60 years for any life cycle analysis tool. Results of the LCA are reported in the manual required in Section 1001.1 or 1002.1(1) of this Standard in terms of the environmental impacts listed in this practice and it is stated if operating energy was included in the LCA.</t>
    </r>
  </si>
  <si>
    <t>610.1.1</t>
  </si>
  <si>
    <r>
      <t xml:space="preserve">610.1.1 Whole-building life cycle assessment. </t>
    </r>
    <r>
      <rPr>
        <sz val="10"/>
        <color theme="1"/>
        <rFont val="Calibri"/>
        <family val="2"/>
        <scheme val="minor"/>
      </rPr>
      <t>A whole-building LCA is performed in conformance with ASTM E2921 using ISO14044 compliant life cycle assessment.</t>
    </r>
  </si>
  <si>
    <t xml:space="preserve">Execute LCA at the whole building level through a comparative analysis between the final and reference building designs as set forth under Standard Practice, ASTM E2921.  The assessment criteria includes the following environmental impact categories:                                                      </t>
  </si>
  <si>
    <t>Primary energy use</t>
  </si>
  <si>
    <t>Global warming potential</t>
  </si>
  <si>
    <t>Acidification potential</t>
  </si>
  <si>
    <t>Eutrophication potential</t>
  </si>
  <si>
    <t>Ozone depletion potential</t>
  </si>
  <si>
    <t>Smog potential</t>
  </si>
  <si>
    <t>Execute LCA on regulated loads throughout the building operations life cycle stage.  Conduct simulated energy performance analyses in accordance with Section 702.2.1 ICC IECC analysis (IECC Section 405) in establishing the comparative performance of final versus reference building designs.  Primary energy use savings and global warming potential avoidance from simulation analyses results are determined using energy supplier, utility, or EPA electricity generation and other fuels energy conversion factors and electricity generation and other fuels emission rates for the locality or Sub-Region in which the building is located</t>
  </si>
  <si>
    <t>Execute full LCA, including use-phase, through calculation of operating energy impacts (c) – (f) using local or regional emissions factors from energy supplier, utility, or EPA.</t>
  </si>
  <si>
    <t>610.1.2</t>
  </si>
  <si>
    <r>
      <t xml:space="preserve">610.1.2 Life cycle assessment for a product or assembly. </t>
    </r>
    <r>
      <rPr>
        <sz val="10"/>
        <color theme="1"/>
        <rFont val="Calibri"/>
        <family val="2"/>
        <scheme val="minor"/>
      </rPr>
      <t>An environmentally preferable product or assembly is selected for an application based upon the use of an LCA tool that incorporates data methods compliant with ISO 14044 or other recognized standards that compare the environmental impact of products or assemblies.</t>
    </r>
  </si>
  <si>
    <t xml:space="preserve">10 Max </t>
  </si>
  <si>
    <t>610.1.2.1</t>
  </si>
  <si>
    <r>
      <t xml:space="preserve">610.1.2.1 Product LCA. </t>
    </r>
    <r>
      <rPr>
        <sz val="10"/>
        <color theme="1"/>
        <rFont val="Calibri"/>
        <family val="2"/>
        <scheme val="minor"/>
      </rPr>
      <t>A product with improved environmental impact measures compared to another product(s) intended for the same use is selected. The environmental impact measures used in the assessment are selected from the following:</t>
    </r>
  </si>
  <si>
    <t>(Points are awarded for each product/system comparison where the selected product/system improved upon the environmental impact measures by an average of 15 percent.)</t>
  </si>
  <si>
    <t>610.1.2.2</t>
  </si>
  <si>
    <r>
      <t xml:space="preserve">610.1.2.2 Building assembly LCA. </t>
    </r>
    <r>
      <rPr>
        <sz val="10"/>
        <color theme="1"/>
        <rFont val="Calibri"/>
        <family val="2"/>
        <scheme val="minor"/>
      </rPr>
      <t>A building assembly with improved environmental impact measures compared to an alternative assembly of the same function is selected. The full life cycle, from resource extraction to demolition and disposal (including but not limited to on-site construction, maintenance and replacement, material and product embodied acquisition, and process and transportation energy), is assessed. The assessment includes all structural elements, insulation, and wall coverings of the assembly. The assessment does not include electrical and mechanical equipment and controls, plumbing products, fire detection and alarm systems, elevators, and conveying systems. The following types of building assemblies are eligible for points under this practice:</t>
    </r>
  </si>
  <si>
    <t>exterior walls</t>
  </si>
  <si>
    <t>roof/ceiling</t>
  </si>
  <si>
    <t>interior walls or ceilings</t>
  </si>
  <si>
    <t>intermediate floors</t>
  </si>
  <si>
    <t>The environmental impact measures used in the assessment are selected from the following:</t>
  </si>
  <si>
    <t>(Points are awarded based on the number of types of building assemblies that improve upon environmental impact measures by an average of 15 percent.)</t>
  </si>
  <si>
    <r>
      <t xml:space="preserve"> </t>
    </r>
    <r>
      <rPr>
        <b/>
        <sz val="10"/>
        <color theme="1"/>
        <rFont val="Calibri"/>
        <family val="2"/>
        <scheme val="minor"/>
      </rPr>
      <t>(1 point awarded per percent.)</t>
    </r>
  </si>
  <si>
    <t>Any no-step entrance into the dwelling which (1) is accessible from a substantially level parking or drop-off area (no more than 2%) via an accessible path which has no individual change in elevation or other obstruction of more than 1-1/2 inches in height with the pitch not exceeding 1 in 12 and (2) provides a minimum 32-inch wide clearance into the dwelling.</t>
  </si>
  <si>
    <t xml:space="preserve">Minimum 36-inch wide accessible route from the no-step entrance into at least one visiting room in the dwelling and into at least one full or half bathroom which has a minimum 32-inch clear door width and a 30-inch by 48-inch clear area inside the bathroom outside the door swing. </t>
  </si>
  <si>
    <t xml:space="preserve">Minimum 36-inch wide accessible route from the no-step entrance into at least one bedroom which has a minimum 32-inch clear door width. </t>
  </si>
  <si>
    <t>Blocking or equivalent installed in the accessible bathroom walls for future installation of grab bars at water closet and bathing fixture, if applicable.</t>
  </si>
  <si>
    <t>All interior and exterior door handles are levers rather than knobs.</t>
  </si>
  <si>
    <t>Interior convenience Power receptacles, communication connections (for cable, phone, Ethernet, etc.) and switches are placed between 15” and 48” above the finished floor. Additional switches to control devices and systems (such as alarms, home theaters and other equipment) not required by the local building code may be installed as desired.</t>
  </si>
  <si>
    <t>All light switches are rocker-type switches or other similar switches that can be operated by pressing them (with assistive devices). Toggle-type switches may not be used.</t>
  </si>
  <si>
    <t>Any of the following can be controlled with a (wireless) mobile device such as a smartphone, tablet or laptop computer: HVAC, lighting, alarm system or door locks</t>
  </si>
  <si>
    <t>501 LOT SELECTION</t>
  </si>
  <si>
    <t>2 per exterior door
6 Max</t>
  </si>
  <si>
    <t>Max Slope in Const. Zn:</t>
  </si>
  <si>
    <t>Ch6NLev</t>
  </si>
  <si>
    <t>Ch6Error</t>
  </si>
  <si>
    <t>Ch7Level</t>
  </si>
  <si>
    <t>Ch7Points</t>
  </si>
  <si>
    <t>Ch7MandError</t>
  </si>
  <si>
    <t>Ch7NLev</t>
  </si>
  <si>
    <t>Ch8Level</t>
  </si>
  <si>
    <t>Ch8Points</t>
  </si>
  <si>
    <t>Ch8MandError</t>
  </si>
  <si>
    <t>Ch8Error</t>
  </si>
  <si>
    <t>Ch8NLev</t>
  </si>
  <si>
    <t>Ch7Error</t>
  </si>
  <si>
    <t>Ch9Level</t>
  </si>
  <si>
    <t>Ch9Points</t>
  </si>
  <si>
    <t>Ch9MandError</t>
  </si>
  <si>
    <t>Ch9NLev</t>
  </si>
  <si>
    <t>Ch9Error</t>
  </si>
  <si>
    <t>Ch10Level</t>
  </si>
  <si>
    <t>Ch10Points</t>
  </si>
  <si>
    <t>Ch10MandError</t>
  </si>
  <si>
    <t>Ch10NLev</t>
  </si>
  <si>
    <t>Ch10Error</t>
  </si>
  <si>
    <t>1 additional</t>
  </si>
  <si>
    <t>front only</t>
  </si>
  <si>
    <t>rear only</t>
  </si>
  <si>
    <t>full</t>
  </si>
  <si>
    <t>100%</t>
  </si>
  <si>
    <t>10 percent to &lt; 25 percent</t>
  </si>
  <si>
    <t>Note: Points must be earned in 503.3 in order for points in 504.1 to be available</t>
  </si>
  <si>
    <t>NOTE: Points must be taken in 503.3 to claim points in 504.1.</t>
  </si>
  <si>
    <t>CLICK TO PROCEED TO CHAPTER 6 &gt;&gt;</t>
  </si>
  <si>
    <t>END OF CHAPTER 5</t>
  </si>
  <si>
    <t>801 INDOOR AND OUTDOOR WATER USE</t>
  </si>
  <si>
    <t>801.0</t>
  </si>
  <si>
    <t>(Where more than one water heater is used or where more than one type of hot water supply system, including multiple circulation loops, is used, points are awarded only for the system that qualifies for the minimum number of points.)</t>
  </si>
  <si>
    <t>(Systems with circulation loops are eligible for points only if pumps are demand controlled. Circulation systems with timers or aquastats and constant-on circulation systems are not eligible to receive points.)</t>
  </si>
  <si>
    <t>(Points awarded only if the pipes are insulated in accordance with Section 705.6.3.)</t>
  </si>
  <si>
    <t>The maximum volume from the water heater to the termination of the fixture supply at furthest fixture is 128 ounces (1 gallon or 3.78 liters).</t>
  </si>
  <si>
    <t>The maximum volume from the water heater to the termination of the fixture supply at furthest fixture is 64 ounces (0.5 gallon or 1.89 liters).</t>
  </si>
  <si>
    <t>The maximum volume from the water heater to the termination of the fixture supply at furthest fixture is 32 ounces (0.25 gallon or 0.945 liters).</t>
  </si>
  <si>
    <t>A demand controlled hot water priming pump is installed on the main supply pipe of the circulation loop and the maximum volume from this supply pipe to the furthest fixture is 24 ounces (0.19 gallons or 0.71 liters).</t>
  </si>
  <si>
    <t>The volume in the circulation loop (supply) from the water heater or boiler to the branch for the furthest fixture is no more than 128 ounces (1 gallon or 3.78 liters).</t>
  </si>
  <si>
    <t>4 Additional</t>
  </si>
  <si>
    <t>A central hot water recirculation system is implemented in multifamily buildings in which the hot water line distance from the recirculating loop to the engineered parallel piping system (i.e., manifold system) is less than 30 feet (9,144 mm) and the parallel piping to the fixture fittings contains a maximum of 64 ounces (1.89 liters) (115.50 cubic inches) (0.50 gallons).</t>
  </si>
  <si>
    <t>Tankless water heater(s) with at least 0.5 gallon (1.89 liters) of storage are installed, or a tankless water heater that ramps up to at least 110F within 5 seconds is installed. The storage may be internal or external to the tankless water heater.</t>
  </si>
  <si>
    <t>dishwasher</t>
  </si>
  <si>
    <t xml:space="preserve">4 for first compartment </t>
  </si>
  <si>
    <t>1 for each additional compartment in dwelling</t>
  </si>
  <si>
    <t>7 Max</t>
  </si>
  <si>
    <t xml:space="preserve">6 Additional </t>
  </si>
  <si>
    <t xml:space="preserve">10 Additional </t>
  </si>
  <si>
    <t>Any shower control that can shut off water flow without affecting temperature is installed.</t>
  </si>
  <si>
    <t>(Points awarded per shower control.)</t>
  </si>
  <si>
    <t>3 Max</t>
  </si>
  <si>
    <t>(Points awarded per fixture.)</t>
  </si>
  <si>
    <t>1 Additional</t>
  </si>
  <si>
    <t>Drip irrigation is installed for all landscape beds.</t>
  </si>
  <si>
    <t>Subsurface drip is installed for all turf grass areas.</t>
  </si>
  <si>
    <t>Drip irrigation zones specifications show plant type by name and water use/need for each emitter (Points awarded only if specifications are implemented.)</t>
  </si>
  <si>
    <t xml:space="preserve">(Points are not additive.) </t>
  </si>
  <si>
    <t>Rainwater is diverted for landscape irrigation without impermeable water storage</t>
  </si>
  <si>
    <t>Rainwater is diverted for landscape irrigation with impermeable water storage in accordance with one of the following:</t>
  </si>
  <si>
    <t>50 – 499 gallon storage capacity</t>
  </si>
  <si>
    <t>500 – 2499 gallon storage capacity</t>
  </si>
  <si>
    <t>2500 gallon or larger storage capacity (system is designed by a professional certified by The American Rainwater Catchment Systems Association or equivalent)</t>
  </si>
  <si>
    <t>All irrigation demands are met by rainwater capture (documentation demonstrating the water needs of the landscape is provided and the system is designed by a professional certified by The American Rainwater Catchment Systems Association or equivalent).</t>
  </si>
  <si>
    <t>Rainwater is used to supply an indoor appliance or fixture for any locally approved use.</t>
  </si>
  <si>
    <t>(Points awarded per appliance or fixture.)</t>
  </si>
  <si>
    <t>Rainwater provides for total domestic demand.</t>
  </si>
  <si>
    <t>each water closet flushed by reclaimed, gray, or recycled water</t>
  </si>
  <si>
    <t>(Points awarded per fixture or appliance.)</t>
  </si>
  <si>
    <t>irrigation from reclaimed, gray, or recycled water on-site</t>
  </si>
  <si>
    <t>3 per roughed in system</t>
  </si>
  <si>
    <t>701 MINIMUM ENERGY EFFICIENCY REQUIREMENTS</t>
  </si>
  <si>
    <t>701.1.1</t>
  </si>
  <si>
    <t>701.1.2</t>
  </si>
  <si>
    <t>701.1.3</t>
  </si>
  <si>
    <t>701.1.4</t>
  </si>
  <si>
    <r>
      <t>701.3</t>
    </r>
    <r>
      <rPr>
        <sz val="10"/>
        <color theme="1"/>
        <rFont val="Calibri"/>
        <family val="2"/>
        <scheme val="minor"/>
      </rPr>
      <t xml:space="preserve"> </t>
    </r>
    <r>
      <rPr>
        <b/>
        <sz val="10"/>
        <color theme="1"/>
        <rFont val="Calibri"/>
        <family val="2"/>
        <scheme val="minor"/>
      </rPr>
      <t xml:space="preserve">Adopting Entity review. </t>
    </r>
    <r>
      <rPr>
        <sz val="10"/>
        <color theme="1"/>
        <rFont val="Calibri"/>
        <family val="2"/>
        <scheme val="minor"/>
      </rPr>
      <t xml:space="preserve">A review by the Adopting Entity or designated third party shall be conducted to verify design and compliance with Chapter 7. </t>
    </r>
  </si>
  <si>
    <t>701.4 Mandatory practices.</t>
  </si>
  <si>
    <t>701.4.1</t>
  </si>
  <si>
    <t>701.4.1 HVAC systems.</t>
  </si>
  <si>
    <t>701.4.1.1</t>
  </si>
  <si>
    <r>
      <t>701.4.1.1</t>
    </r>
    <r>
      <rPr>
        <sz val="10"/>
        <color theme="1"/>
        <rFont val="Calibri"/>
        <family val="2"/>
        <scheme val="minor"/>
      </rPr>
      <t xml:space="preserve"> </t>
    </r>
    <r>
      <rPr>
        <b/>
        <sz val="10"/>
        <color theme="1"/>
        <rFont val="Calibri"/>
        <family val="2"/>
        <scheme val="minor"/>
      </rPr>
      <t>HVAC system sizing.</t>
    </r>
    <r>
      <rPr>
        <sz val="10"/>
        <color theme="1"/>
        <rFont val="Calibri"/>
        <family val="2"/>
        <scheme val="minor"/>
      </rPr>
      <t xml:space="preserve"> Space heating and cooling system is sized according to heating and cooling loads calculated using ACCA Manual J, or equivalent. Equipment is selected using ACCA Manual S or equivalent.</t>
    </r>
  </si>
  <si>
    <t>701.4.1.2</t>
  </si>
  <si>
    <r>
      <t>701.4.1.2 Radiant and hydronic space heating.</t>
    </r>
    <r>
      <rPr>
        <sz val="10"/>
        <color theme="1"/>
        <rFont val="Calibri"/>
        <family val="2"/>
        <scheme val="minor"/>
      </rPr>
      <t xml:space="preserve"> Where installed as a primary heat source in the building, radiant or hydronic space heating system is designed, installed, and documented, using industry-approved guidelines and standards (e.g., ACCA Manual J, AHRI I=B=R, ACCA 5 QI-2010, or an accredited design professional’s and manufacturer’s recommendations). </t>
    </r>
  </si>
  <si>
    <t>701.4.2</t>
  </si>
  <si>
    <t>701.4.2 Duct systems.</t>
  </si>
  <si>
    <r>
      <t>701.4.2.1</t>
    </r>
    <r>
      <rPr>
        <sz val="10"/>
        <color theme="1"/>
        <rFont val="Calibri"/>
        <family val="2"/>
        <scheme val="minor"/>
      </rPr>
      <t xml:space="preserve"> </t>
    </r>
    <r>
      <rPr>
        <b/>
        <sz val="10"/>
        <color theme="1"/>
        <rFont val="Calibri"/>
        <family val="2"/>
        <scheme val="minor"/>
      </rPr>
      <t>Duct air sealing.</t>
    </r>
    <r>
      <rPr>
        <sz val="10"/>
        <color theme="1"/>
        <rFont val="Calibri"/>
        <family val="2"/>
        <scheme val="minor"/>
      </rPr>
      <t xml:space="preserve"> Ducts are air sealed. All duct sealing materials are in conformance with UL 181A or UL 181B specifications and are installed in accordance with manufacturer’s instructions.</t>
    </r>
  </si>
  <si>
    <t>701.4.2.2</t>
  </si>
  <si>
    <r>
      <t xml:space="preserve">701.4.2.2 Ducts and Plenums.  </t>
    </r>
    <r>
      <rPr>
        <sz val="10"/>
        <color theme="1"/>
        <rFont val="Calibri"/>
        <family val="2"/>
        <scheme val="minor"/>
      </rPr>
      <t>Building framing cavities are not used as ducts or plenums.</t>
    </r>
  </si>
  <si>
    <t>701.4.2.3</t>
  </si>
  <si>
    <r>
      <t>701.4.2.3</t>
    </r>
    <r>
      <rPr>
        <sz val="10"/>
        <color theme="1"/>
        <rFont val="Calibri"/>
        <family val="2"/>
        <scheme val="minor"/>
      </rPr>
      <t xml:space="preserve"> </t>
    </r>
    <r>
      <rPr>
        <b/>
        <sz val="10"/>
        <color theme="1"/>
        <rFont val="Calibri"/>
        <family val="2"/>
        <scheme val="minor"/>
      </rPr>
      <t>Duct system sizing.</t>
    </r>
    <r>
      <rPr>
        <sz val="10"/>
        <color theme="1"/>
        <rFont val="Calibri"/>
        <family val="2"/>
        <scheme val="minor"/>
      </rPr>
      <t xml:space="preserve"> Duct system is sized and designed in accordance with ACCA Manual D or equivalent.</t>
    </r>
  </si>
  <si>
    <t>701.4.3</t>
  </si>
  <si>
    <t>701.4.3 Insulation and air sealing.</t>
  </si>
  <si>
    <t>701.4.3.1</t>
  </si>
  <si>
    <r>
      <t>701.4.3.1 Building Thermal Envelope Air Sealing.</t>
    </r>
    <r>
      <rPr>
        <sz val="10"/>
        <color theme="1"/>
        <rFont val="Calibri"/>
        <family val="2"/>
        <scheme val="minor"/>
      </rPr>
      <t xml:space="preserve"> The building thermal envelope is durably sealed to limit infiltration. The sealing methods between dissimilar materials allow for differential expansion and contraction. The following are caulked, gasketed, weather-stripped or otherwise sealed with an air barrier material, suitable film, or solid material:</t>
    </r>
  </si>
  <si>
    <t>All joints, seams and penetrations.</t>
  </si>
  <si>
    <t>Site-built windows, doors, and skylights.</t>
  </si>
  <si>
    <t>Openings between window and door assemblies and their respective jambs and framing.</t>
  </si>
  <si>
    <t>Utility penetrations.</t>
  </si>
  <si>
    <t>Dropped ceilings or chases adjacent to the thermal envelope.</t>
  </si>
  <si>
    <t>Knee walls.</t>
  </si>
  <si>
    <t>Behind tubs and showers on exterior walls.</t>
  </si>
  <si>
    <t>(i)</t>
  </si>
  <si>
    <t>(j)</t>
  </si>
  <si>
    <t>Attic access openings.</t>
  </si>
  <si>
    <t>(k)</t>
  </si>
  <si>
    <t>(l)</t>
  </si>
  <si>
    <t>Other sources of infiltration.</t>
  </si>
  <si>
    <t>701.4.3.2</t>
  </si>
  <si>
    <r>
      <t>Testing.</t>
    </r>
    <r>
      <rPr>
        <sz val="10"/>
        <color theme="1"/>
        <rFont val="Calibri"/>
        <family val="2"/>
        <scheme val="minor"/>
      </rPr>
      <t xml:space="preserve"> Building envelope tightness is tested. Testing is conducted in accordance with ASTM E-779 using a blower door at a test pressure of 1.04 psf (50 Pa). Testing is conducted after rough-in and after installation of penetrations of the building envelope, including penetrations for utilities, plumbing, electrical, ventilation, and combustion appliances. Testing is conducted under the following conditions:</t>
    </r>
  </si>
  <si>
    <t xml:space="preserve">Exterior windows and doors, fireplace and stove doors are closed, but not sealed; </t>
  </si>
  <si>
    <t>Dampers are closed, but not sealed, including exhaust, intake, makeup air, backdraft and flue dampers;</t>
  </si>
  <si>
    <t>Interior doors are open;</t>
  </si>
  <si>
    <t>Exterior openings for continuous ventilation systems and heat recovery ventilators are closed and sealed;</t>
  </si>
  <si>
    <t xml:space="preserve">Heating and cooling systems are turned off; </t>
  </si>
  <si>
    <t>HVAC duct terminations are not sealed; and</t>
  </si>
  <si>
    <t>Supply and return registers are not sealed.</t>
  </si>
  <si>
    <r>
      <t>Visual inspection.</t>
    </r>
    <r>
      <rPr>
        <sz val="10"/>
        <color theme="1"/>
        <rFont val="Calibri"/>
        <family val="2"/>
        <scheme val="minor"/>
      </rPr>
      <t xml:space="preserve"> The air barrier and insulation items listed in Table 701.4.3.2(2) are field verified by visual inspection.</t>
    </r>
  </si>
  <si>
    <t>701.4.3.2.1</t>
  </si>
  <si>
    <t>Inspection is conducted before insulation is covered.</t>
  </si>
  <si>
    <t>Air-permeable insulation is enclosed on all six sides and is in substantial contact with the sheathing material on one or more sides (interior or exterior) of the cavity. Air permeable insulation in ceilings is not required to be enclosed when the insulation is installed in substantial contact with the surfaces it is intended to insulate.</t>
  </si>
  <si>
    <t>Cavity insulation uniformly fills each cavity side-to-side and top-to-bottom, without substantial gaps or voids around obstructions (such as blocking or bridging).</t>
  </si>
  <si>
    <t>Cavity insulation compression or incomplete fill amounts to 2 percent or less, presuming the compressed or incomplete areas are a minimum of 70 percent of the intended fill thickness; occasional small gaps are acceptable.</t>
  </si>
  <si>
    <t>Exterior rigid insulation has substantial contact with the structural framing members or sheathing materials and is tightly fitted at joints.</t>
  </si>
  <si>
    <t>Cavity insulation is split, installed, and/or fitted tightly around wiring and other services.</t>
  </si>
  <si>
    <t>Exterior sheathing is not visible from the interior through gaps in the cavity insulation.</t>
  </si>
  <si>
    <t>Faced batt insulation is permitted to have side-stapled tabs, provided the tabs are stapled neatly with no buckling, and provided the batt is compressed only at the edges of each cavity, to the depth of the tab itself.</t>
  </si>
  <si>
    <t>701.4.3.3</t>
  </si>
  <si>
    <t>701.4.3.4</t>
  </si>
  <si>
    <t>701.4.3.5</t>
  </si>
  <si>
    <t>701.4.4</t>
  </si>
  <si>
    <t>A minimum of 75 percent of the total hard-wired lighting fixtures or the bulbs in those fixtures qualify as high efficacy or equivalent</t>
  </si>
  <si>
    <t>Lighting power density, measured in watts/square foot, is 1.1 or less.</t>
  </si>
  <si>
    <t>701.4.5</t>
  </si>
  <si>
    <t>702 PERFORMANCE PATH</t>
  </si>
  <si>
    <r>
      <t>702.2</t>
    </r>
    <r>
      <rPr>
        <sz val="10"/>
        <color theme="1"/>
        <rFont val="Calibri"/>
        <family val="2"/>
        <scheme val="minor"/>
      </rPr>
      <t xml:space="preserve"> </t>
    </r>
    <r>
      <rPr>
        <b/>
        <sz val="10"/>
        <color theme="1"/>
        <rFont val="Calibri"/>
        <family val="2"/>
        <scheme val="minor"/>
      </rPr>
      <t xml:space="preserve">Energy performance levels. </t>
    </r>
  </si>
  <si>
    <t>702.2.1</t>
  </si>
  <si>
    <r>
      <t>702.2.1 ICC IECC analysis.</t>
    </r>
    <r>
      <rPr>
        <sz val="10"/>
        <color theme="1"/>
        <rFont val="Calibri"/>
        <family val="2"/>
        <scheme val="minor"/>
      </rPr>
      <t xml:space="preserve"> Energy efficiency features are implemented to achieve energy cost or source energy performance that meets the ICC IECC. A documented analysis using software in accordance with ICC IECC, Section R405, or ICC IECC Section C407.2 through C407.5, applied as defined in the ICC IECC, is required. </t>
    </r>
  </si>
  <si>
    <t>702.2.2</t>
  </si>
  <si>
    <t>702.2.3</t>
  </si>
  <si>
    <r>
      <t>702.2.3 Tropical standard reference design.</t>
    </r>
    <r>
      <rPr>
        <sz val="10"/>
        <color theme="1"/>
        <rFont val="Calibri"/>
        <family val="2"/>
        <scheme val="minor"/>
      </rPr>
      <t xml:space="preserve"> For the Tropical Climate Zone, the standard reference design shall use the specifications in IECC Section R401.2.1 (Tropical Zone).</t>
    </r>
  </si>
  <si>
    <t>703 PRESCRIPTIVE PATH</t>
  </si>
  <si>
    <t>703.1 Mandatory practices.</t>
  </si>
  <si>
    <t>703.1.1</t>
  </si>
  <si>
    <t>703.1.1.1</t>
  </si>
  <si>
    <t>703.1.1.2</t>
  </si>
  <si>
    <t>703.1.2</t>
  </si>
  <si>
    <t>703.1.3</t>
  </si>
  <si>
    <t>703.2 Building envelope</t>
  </si>
  <si>
    <t>703.2.1</t>
  </si>
  <si>
    <t>Per Table 703.2.1(b)</t>
  </si>
  <si>
    <t>703.2.2</t>
  </si>
  <si>
    <r>
      <t xml:space="preserve">703.2.2 Mass walls. </t>
    </r>
    <r>
      <rPr>
        <sz val="10"/>
        <color theme="1"/>
        <rFont val="Calibri"/>
        <family val="2"/>
        <scheme val="minor"/>
      </rPr>
      <t xml:space="preserve">More than 75 percent of the above-grade exterior opaque wall area of the building is mass walls. </t>
    </r>
  </si>
  <si>
    <t>Per Table 703.2.2</t>
  </si>
  <si>
    <t>703.2.3</t>
  </si>
  <si>
    <r>
      <t xml:space="preserve">703.2.3 </t>
    </r>
    <r>
      <rPr>
        <sz val="10"/>
        <color theme="1"/>
        <rFont val="Calibri"/>
        <family val="2"/>
        <scheme val="minor"/>
      </rPr>
      <t>A radiant barrier with an emittance of 0.05 or less is used in the attic. The product is tested in accordance with ASTM C1371 and installed in accordance with the manufacturer's instructions.</t>
    </r>
  </si>
  <si>
    <t>703.2.4</t>
  </si>
  <si>
    <t>703.2.5</t>
  </si>
  <si>
    <t>703.2.5 Fenestration</t>
  </si>
  <si>
    <t>703.2.5.1</t>
  </si>
  <si>
    <r>
      <rPr>
        <b/>
        <sz val="10"/>
        <color theme="1"/>
        <rFont val="Calibri"/>
        <family val="2"/>
        <scheme val="minor"/>
      </rPr>
      <t>703.2.5.1</t>
    </r>
    <r>
      <rPr>
        <sz val="10"/>
        <color theme="1"/>
        <rFont val="Calibri"/>
        <family val="2"/>
        <scheme val="minor"/>
      </rPr>
      <t xml:space="preserve"> NFRC-certified (or equivalent) U-factor and SHGC of windows, exterior doors, skylights, and tubular daylighting devices (TDDs) on an area-weighted average basis do not exceed the values in Table 703.2.5.1. Area weighted averages are calculated separately for the categories of 1) windows and exterior doors and 2) skylights and tubular daylighting devices (TDDs). Decorative fenestration elements with a combined total maximum area of 15 square feet (1.39 m2) or 10 percent of the total glazing area, whichever is less, are not required to comply with this practice.</t>
    </r>
  </si>
  <si>
    <t>703.2.5.1.1</t>
  </si>
  <si>
    <r>
      <t>703.2.5.1.1 Dynamic glazing.</t>
    </r>
    <r>
      <rPr>
        <sz val="10"/>
        <color theme="1"/>
        <rFont val="Calibri"/>
        <family val="2"/>
        <scheme val="minor"/>
      </rPr>
      <t xml:space="preserve"> Dynamic glazing is permitted to satisfy the SHGC requirements of Table 703.2.5.1 provided the ratio of the higher to lower labeled SHGC is greater than or equal to 2.4 and the dynamic glazing is automatically controlled to modulate the amount of solar gain into the space in multiple steps. Fenestration with dynamic glazing is considered separately from other fenestration and area-weighted averaging with fenestration that does not use dynamic glazing is not permitted. Dynamic glazing is not required to be automatically controlled or comply with minimum SHGC ratio when both the lower and higher labeled SHGC already comply with the requirements of Table 703.2.5.1.</t>
    </r>
  </si>
  <si>
    <t>703.2.5.2</t>
  </si>
  <si>
    <r>
      <t xml:space="preserve">703.2.5.2 </t>
    </r>
    <r>
      <rPr>
        <sz val="10"/>
        <color theme="1"/>
        <rFont val="Calibri"/>
        <family val="2"/>
        <scheme val="minor"/>
      </rPr>
      <t>The NFRC-certified (or equivalent) U-factor and SHGC of windows, exterior doors, skylights, and tubular daylighting devices (TDDs) are in accordance with Table 703.2.5.2(a), (b), or (c). Decorative fenestration elements with a combined total maximum area of 15 square feet (1.39 m</t>
    </r>
    <r>
      <rPr>
        <vertAlign val="superscript"/>
        <sz val="10"/>
        <color theme="1"/>
        <rFont val="Calibri"/>
        <family val="2"/>
        <scheme val="minor"/>
      </rPr>
      <t>2</t>
    </r>
    <r>
      <rPr>
        <sz val="10"/>
        <color theme="1"/>
        <rFont val="Calibri"/>
        <family val="2"/>
        <scheme val="minor"/>
      </rPr>
      <t xml:space="preserve">) or 10 percent of the total glazing area, whichever is less, are not required to comply with this practice. </t>
    </r>
  </si>
  <si>
    <t>703.2.5.2.1</t>
  </si>
  <si>
    <r>
      <t xml:space="preserve">703.2.5.2.1 Dynamic glazing. </t>
    </r>
    <r>
      <rPr>
        <sz val="10"/>
        <color theme="1"/>
        <rFont val="Calibri"/>
        <family val="2"/>
        <scheme val="minor"/>
      </rPr>
      <t>Dynamic glazing is permitted to satisfy the SHGC requirements of Tables 703.2.5.2(a), 703.2.5.2(b), and 703.2.5.2(c) provided the ratio of the higher to lower labeled SHGC is greater than or equal to 2.4, and the dynamic glazing is automatically controlled to modulate the amount of solar gain into the space in multiple steps. Fenestration with dynamic glazing is considered separately from other fenestration, and area-weighted averaging with fenestration that does not use dynamic glazing is not permitted. Dynamic glazing is not required to be automatically controlled or comply with minimum SHGC ratio when both the lower and higher labeled SHGC already comply with the requirements of Tables 703.2.5.2(a), 703.2.5.2(b), and 703.2.5.2(c).</t>
    </r>
  </si>
  <si>
    <t>703.3.0</t>
  </si>
  <si>
    <t>HVAC equipment efficiency</t>
  </si>
  <si>
    <r>
      <t xml:space="preserve">703.3.0 Multiple heating and cooling systems. </t>
    </r>
    <r>
      <rPr>
        <sz val="10"/>
        <color theme="1"/>
        <rFont val="Calibri"/>
        <family val="2"/>
        <scheme val="minor"/>
      </rPr>
      <t>For multiple heating or cooling systems in one home, practices 703.3.1 through 703.3.6 apply to the system that supplies 80% or more of the total installed heating or cooling capacity. Where multiple systems each serve less than 80% of the total installed heating or cooling capacity, points under Sections 703.3.1 through 703.3.6 are awarded either for the system eligible for the fewest points or the weighted average of the systems. The weighted average shall be calculated in accordance with the following equation and be based upon the efficiency and capacity of the equipment as selected in accordance with ACCA Manual S with it loads calculated in accordance with ACCA Manual J.</t>
    </r>
  </si>
  <si>
    <t>E = Rated AHRI efficiency for unit</t>
  </si>
  <si>
    <t>C = Rated heating or cooling capacity for unit</t>
  </si>
  <si>
    <r>
      <t xml:space="preserve">n </t>
    </r>
    <r>
      <rPr>
        <sz val="10"/>
        <color theme="1"/>
        <rFont val="Calibri"/>
        <family val="2"/>
        <scheme val="minor"/>
      </rPr>
      <t>= Unit count</t>
    </r>
    <r>
      <rPr>
        <i/>
        <sz val="10"/>
        <color theme="1"/>
        <rFont val="Calibri"/>
        <family val="2"/>
        <scheme val="minor"/>
      </rPr>
      <t xml:space="preserve"> </t>
    </r>
  </si>
  <si>
    <t>703.3.1</t>
  </si>
  <si>
    <t xml:space="preserve">703.3.2 </t>
  </si>
  <si>
    <r>
      <t xml:space="preserve">703.3.2 </t>
    </r>
    <r>
      <rPr>
        <sz val="10"/>
        <color theme="1"/>
        <rFont val="Calibri"/>
        <family val="2"/>
        <scheme val="minor"/>
      </rPr>
      <t xml:space="preserve">Furnace and/or boiler efficiency is in accordance with one of the following: </t>
    </r>
  </si>
  <si>
    <t>Gas and propane heaters:</t>
  </si>
  <si>
    <t>Oil furnace:</t>
  </si>
  <si>
    <t>Gas boiler:</t>
  </si>
  <si>
    <t>Oil boiler:</t>
  </si>
  <si>
    <t xml:space="preserve">703.3.3 </t>
  </si>
  <si>
    <r>
      <t xml:space="preserve">703.3.3 </t>
    </r>
    <r>
      <rPr>
        <sz val="10"/>
        <color theme="1"/>
        <rFont val="Calibri"/>
        <family val="2"/>
        <scheme val="minor"/>
      </rPr>
      <t>Heat pump heating efficiency is in accordance with Table 703.3.3(1) or Table 703.3.3(2) or Table 703.3.3(3). Refrigerant charge is verified for compliance with manufacturer’s instructions utilizing a method in Section 4.3 of ACCA 5 QI-2010.</t>
    </r>
  </si>
  <si>
    <t>703.3.4</t>
  </si>
  <si>
    <r>
      <t xml:space="preserve">703.3.4 </t>
    </r>
    <r>
      <rPr>
        <sz val="10"/>
        <color theme="1"/>
        <rFont val="Calibri"/>
        <family val="2"/>
        <scheme val="minor"/>
      </rPr>
      <t>Cooling efficiency is in accordance with Table 703.3.4(1) or Table 703.3.4(2). Refrigerant charge is verified for compliance with manufacturer’s instructions utilizing a method in Section 4.3 of ACCA 5 QI-2010.</t>
    </r>
  </si>
  <si>
    <t>703.3.5</t>
  </si>
  <si>
    <r>
      <t>703.3.5</t>
    </r>
    <r>
      <rPr>
        <sz val="10"/>
        <color theme="1"/>
        <rFont val="Calibri"/>
        <family val="2"/>
        <scheme val="minor"/>
      </rPr>
      <t xml:space="preserve"> Water source cooling and heating efficiency is in accordance with Table 703.3.5. Refrigerant charge is verified for compliance with manufacturer’s instructions utilizing a method in Section 4.3 of ACCA 5 QI-2010.</t>
    </r>
  </si>
  <si>
    <t>703.3.6</t>
  </si>
  <si>
    <t>703.3.7</t>
  </si>
  <si>
    <r>
      <t xml:space="preserve">703.3.7 </t>
    </r>
    <r>
      <rPr>
        <sz val="10"/>
        <color theme="1"/>
        <rFont val="Calibri"/>
        <family val="2"/>
        <scheme val="minor"/>
      </rPr>
      <t>ENERGY STAR, or equivalent, ceiling fans are installed.</t>
    </r>
  </si>
  <si>
    <t>(Points awarded per building.)</t>
  </si>
  <si>
    <t>703.3.8</t>
  </si>
  <si>
    <t>703.4 Duct Systems</t>
  </si>
  <si>
    <t>703.4.1</t>
  </si>
  <si>
    <r>
      <t>703.4.1</t>
    </r>
    <r>
      <rPr>
        <sz val="10"/>
        <color theme="1"/>
        <rFont val="Calibri"/>
        <family val="2"/>
        <scheme val="minor"/>
      </rPr>
      <t xml:space="preserve"> All space heating is provided by a system(s) that does not include air ducts.</t>
    </r>
  </si>
  <si>
    <t>(No points awarded for multifamily buildings four or more stories in height.)</t>
  </si>
  <si>
    <t>703.4.2</t>
  </si>
  <si>
    <r>
      <t>703.4.2</t>
    </r>
    <r>
      <rPr>
        <sz val="10"/>
        <color theme="1"/>
        <rFont val="Calibri"/>
        <family val="2"/>
        <scheme val="minor"/>
      </rPr>
      <t xml:space="preserve"> All space cooling is provided by a system(s) that does not include air ducts.</t>
    </r>
  </si>
  <si>
    <t>703.4.3</t>
  </si>
  <si>
    <r>
      <t>703.4.3</t>
    </r>
    <r>
      <rPr>
        <sz val="10"/>
        <color theme="1"/>
        <rFont val="Calibri"/>
        <family val="2"/>
        <scheme val="minor"/>
      </rPr>
      <t xml:space="preserve"> Ductwork is in accordance with all of the following: </t>
    </r>
  </si>
  <si>
    <t>Building cavities are not used as return ductwork.</t>
  </si>
  <si>
    <t>Heating and cooling ducts and mechanical equipment are installed within the conditioned building space.</t>
  </si>
  <si>
    <t>Ductwork is not installed in exterior walls.</t>
  </si>
  <si>
    <t>703.4.4</t>
  </si>
  <si>
    <r>
      <t xml:space="preserve">703.4.4 Duct Leakage. </t>
    </r>
    <r>
      <rPr>
        <sz val="10"/>
        <color theme="1"/>
        <rFont val="Calibri"/>
        <family val="2"/>
        <scheme val="minor"/>
      </rPr>
      <t xml:space="preserve">The entire central HVAC duct system, including air handlers and register boots, is tested by a third party for total leakage at a pressure differential of 0.1 inches w.g. (25 Pa) and maximum air leakage is equal to or less than 6 percent of the system design flow rate or 4 cubic feet per minute per 100 square feet of conditioned floor area. </t>
    </r>
  </si>
  <si>
    <t>(Points not awarded if points are taken under Section 705.6.2.3)</t>
  </si>
  <si>
    <t>703.5 Water heating system</t>
  </si>
  <si>
    <t>703.5.1</t>
  </si>
  <si>
    <t>Gas water heating</t>
  </si>
  <si>
    <t>Electric water heating</t>
  </si>
  <si>
    <t>703.5.2</t>
  </si>
  <si>
    <r>
      <t>703.5.2</t>
    </r>
    <r>
      <rPr>
        <sz val="10"/>
        <color theme="1"/>
        <rFont val="Calibri"/>
        <family val="2"/>
        <scheme val="minor"/>
      </rPr>
      <t xml:space="preserve"> Desuperheater is installed by a qualified installer or is pre-installed in the factory.</t>
    </r>
  </si>
  <si>
    <t>703.5.3</t>
  </si>
  <si>
    <r>
      <t>703.5.3</t>
    </r>
    <r>
      <rPr>
        <sz val="10"/>
        <color theme="1"/>
        <rFont val="Calibri"/>
        <family val="2"/>
        <scheme val="minor"/>
      </rPr>
      <t xml:space="preserve"> Drain-water heat recovery system is installed. </t>
    </r>
  </si>
  <si>
    <r>
      <t xml:space="preserve">703.5.4 </t>
    </r>
    <r>
      <rPr>
        <sz val="10"/>
        <color theme="1"/>
        <rFont val="Calibri"/>
        <family val="2"/>
        <scheme val="minor"/>
      </rPr>
      <t>Indirect-fired water heater storage tanks heated from boiler systems are installed.</t>
    </r>
  </si>
  <si>
    <t>703.5.5</t>
  </si>
  <si>
    <t>703.6 Lighting and appliances</t>
  </si>
  <si>
    <t>703.6.1</t>
  </si>
  <si>
    <r>
      <t>703.6.1 Hard-wired lighting.</t>
    </r>
    <r>
      <rPr>
        <sz val="10"/>
        <color theme="1"/>
        <rFont val="Calibri"/>
        <family val="2"/>
        <scheme val="minor"/>
      </rPr>
      <t xml:space="preserve"> Hard-wired lighting is in accordance with one of the following: </t>
    </r>
  </si>
  <si>
    <t>In multifamily buildings, common area lighting power density (LPD) is less than 0.51 Watts per square foot.</t>
  </si>
  <si>
    <t xml:space="preserve">703.6.2 </t>
  </si>
  <si>
    <r>
      <t>703.6.2 Appliances.</t>
    </r>
    <r>
      <rPr>
        <sz val="10"/>
        <color theme="1"/>
        <rFont val="Calibri"/>
        <family val="2"/>
        <scheme val="minor"/>
      </rPr>
      <t xml:space="preserve"> ENERGY STAR or equivalent appliance(s) are installed:</t>
    </r>
  </si>
  <si>
    <t>Refrigerator</t>
  </si>
  <si>
    <t>Dishwasher</t>
  </si>
  <si>
    <t>Washing machine</t>
  </si>
  <si>
    <t>703.7 Passive solar design</t>
  </si>
  <si>
    <t>703.7.1</t>
  </si>
  <si>
    <r>
      <t>703.7.1</t>
    </r>
    <r>
      <rPr>
        <sz val="10"/>
        <color theme="1"/>
        <rFont val="Calibri"/>
        <family val="2"/>
        <scheme val="minor"/>
      </rPr>
      <t xml:space="preserve"> </t>
    </r>
    <r>
      <rPr>
        <b/>
        <sz val="10"/>
        <color theme="1"/>
        <rFont val="Calibri"/>
        <family val="2"/>
        <scheme val="minor"/>
      </rPr>
      <t xml:space="preserve">Sun-tempered design. </t>
    </r>
    <r>
      <rPr>
        <sz val="10"/>
        <color theme="1"/>
        <rFont val="Calibri"/>
        <family val="2"/>
        <scheme val="minor"/>
      </rPr>
      <t>Building orientation, sizing of glazing, and design of overhangs are in accordance with all of the following:</t>
    </r>
  </si>
  <si>
    <t>The long side (or one side if of equal length) of the building faces within 20 degrees of true south.</t>
  </si>
  <si>
    <t>Skylights, where installed, are in accordance with the following:</t>
  </si>
  <si>
    <t>horizontal skylights are less than 0.5 percent of finished ceiling area</t>
  </si>
  <si>
    <t>sloped skylights on slopes facing within 45 degrees of true south, east, or west are less than 1.5 percent of the finished ceiling area</t>
  </si>
  <si>
    <t>The south face windows have a SHGC of 0.40 or higher.</t>
  </si>
  <si>
    <t>Return air or transfer grilles/ducts are in accordance with Section 705.4.</t>
  </si>
  <si>
    <t xml:space="preserve">703.7.2 </t>
  </si>
  <si>
    <r>
      <t>703.7.2 Window shading.</t>
    </r>
    <r>
      <rPr>
        <sz val="10"/>
        <color theme="1"/>
        <rFont val="Calibri"/>
        <family val="2"/>
        <scheme val="minor"/>
      </rPr>
      <t xml:space="preserve"> Automated solar protection or dynamic glazing is installed to provide shading for windows.</t>
    </r>
  </si>
  <si>
    <t>703.7.3</t>
  </si>
  <si>
    <r>
      <t>703.7.3 Passive cooling design.</t>
    </r>
    <r>
      <rPr>
        <sz val="10"/>
        <color theme="1"/>
        <rFont val="Calibri"/>
        <family val="2"/>
        <scheme val="minor"/>
      </rPr>
      <t xml:space="preserve"> Passive cooling design features are in accordance with three or more of the following:</t>
    </r>
  </si>
  <si>
    <t>Points for three items:</t>
  </si>
  <si>
    <t>Points for one additional item:</t>
  </si>
  <si>
    <t>Exterior shading is provided on east and west windows using one or a combination of the following:</t>
  </si>
  <si>
    <t>vine-covered trellises with the vegetation separated a minimum of 1 foot (305 mm) from face of building</t>
  </si>
  <si>
    <t>moveable awnings or louvers</t>
  </si>
  <si>
    <t>covered porches</t>
  </si>
  <si>
    <t>attached or detached conditioned/unconditioned enclosed space that provides full shade of east and west windows (e.g., detached garage, shed, or building)</t>
  </si>
  <si>
    <t xml:space="preserve">Overhangs are installed to provide shading on south-facing glazing in accordance with Section 703.7.1(7). </t>
  </si>
  <si>
    <t>(Points not awarded if points are taken under Section 703.7.1.)</t>
  </si>
  <si>
    <t>Solar reflective roof or radiant barrier is installed in climate zones 1, 2, or 3 and roof material achieves a 3-year aged criteria of 0.50.</t>
  </si>
  <si>
    <t>Internal exposed thermal mass is a minimum of three inches (76 mm) in thickness. Thermal mass consists of concrete, brick, and/or tile fully adhered to a masonry base or other masonry material in accordance with one or a combination of the following:</t>
  </si>
  <si>
    <r>
      <t>A minimum of 1 square foot (0.09 m</t>
    </r>
    <r>
      <rPr>
        <vertAlign val="superscript"/>
        <sz val="10"/>
        <color theme="1"/>
        <rFont val="Calibri"/>
        <family val="2"/>
        <scheme val="minor"/>
      </rPr>
      <t>2</t>
    </r>
    <r>
      <rPr>
        <sz val="10"/>
        <color theme="1"/>
        <rFont val="Calibri"/>
        <family val="2"/>
        <scheme val="minor"/>
      </rPr>
      <t>) of exposed thermal mass of floor per 3 square feet (2.8 m</t>
    </r>
    <r>
      <rPr>
        <vertAlign val="superscript"/>
        <sz val="10"/>
        <color theme="1"/>
        <rFont val="Calibri"/>
        <family val="2"/>
        <scheme val="minor"/>
      </rPr>
      <t>2</t>
    </r>
    <r>
      <rPr>
        <sz val="10"/>
        <color theme="1"/>
        <rFont val="Calibri"/>
        <family val="2"/>
        <scheme val="minor"/>
      </rPr>
      <t>) of gross finished floor area.</t>
    </r>
  </si>
  <si>
    <r>
      <t>A minimum of 3 square feet (2.8 m</t>
    </r>
    <r>
      <rPr>
        <vertAlign val="superscript"/>
        <sz val="10"/>
        <color theme="1"/>
        <rFont val="Calibri"/>
        <family val="2"/>
        <scheme val="minor"/>
      </rPr>
      <t>2</t>
    </r>
    <r>
      <rPr>
        <sz val="10"/>
        <color theme="1"/>
        <rFont val="Calibri"/>
        <family val="2"/>
        <scheme val="minor"/>
      </rPr>
      <t>) of exposed thermal mass in interior walls or elements per square foot (0.09 m</t>
    </r>
    <r>
      <rPr>
        <vertAlign val="superscript"/>
        <sz val="10"/>
        <color theme="1"/>
        <rFont val="Calibri"/>
        <family val="2"/>
        <scheme val="minor"/>
      </rPr>
      <t>2</t>
    </r>
    <r>
      <rPr>
        <sz val="10"/>
        <color theme="1"/>
        <rFont val="Calibri"/>
        <family val="2"/>
        <scheme val="minor"/>
      </rPr>
      <t>) of gross finished floor area.</t>
    </r>
  </si>
  <si>
    <t>Roofing material is installed with a minimum 0.75 inch (19 mm) continuous air space offset from the roof deck from eave to ridge.</t>
  </si>
  <si>
    <t>703.7.4</t>
  </si>
  <si>
    <r>
      <t>703.7.4</t>
    </r>
    <r>
      <rPr>
        <sz val="10"/>
        <color theme="1"/>
        <rFont val="Calibri"/>
        <family val="2"/>
      </rPr>
      <t xml:space="preserve"> </t>
    </r>
    <r>
      <rPr>
        <b/>
        <sz val="10"/>
        <color theme="1"/>
        <rFont val="Calibri"/>
        <family val="2"/>
      </rPr>
      <t>Passive solar heating design</t>
    </r>
    <r>
      <rPr>
        <sz val="10"/>
        <color theme="1"/>
        <rFont val="Calibri"/>
        <family val="2"/>
      </rPr>
      <t xml:space="preserve">. In addition to the sun-tempered design features in Section 703.7.1, all of the following are implemented: </t>
    </r>
  </si>
  <si>
    <t xml:space="preserve">Note: Points shall not be awarded in the Tropical Climate Zone. </t>
  </si>
  <si>
    <t>Additional glazing, no greater than 12 percent, is permitted on the south wall. This additional glazing is in accordance with the requirements of Section 703.7.1.</t>
  </si>
  <si>
    <t>Additional thermal mass for any room with south-facing glazing of more than 7 percent of the finished floor area is provided in accordance with the following:</t>
  </si>
  <si>
    <t>Thermal mass is solid and a minimum of 3 inches (76 mm) in thickness. Where two thermal mass materials are layered together (e.g., ceramic tile on concrete base) to achieve the appropriate thickness, they are fully adhered to (touching) each other.</t>
  </si>
  <si>
    <t>Thermal mass directly exposed to sunlight is provided in accordance with the following minimum ratios:</t>
  </si>
  <si>
    <r>
      <t>Above latitude 35 degrees: 5 square feet (0.465 m</t>
    </r>
    <r>
      <rPr>
        <vertAlign val="superscript"/>
        <sz val="10"/>
        <color theme="1"/>
        <rFont val="Calibri"/>
        <family val="2"/>
        <scheme val="minor"/>
      </rPr>
      <t>2</t>
    </r>
    <r>
      <rPr>
        <sz val="10"/>
        <color theme="1"/>
        <rFont val="Calibri"/>
        <family val="2"/>
        <scheme val="minor"/>
      </rPr>
      <t>) of thermal mass for every 1 square foot (0.0929 m</t>
    </r>
    <r>
      <rPr>
        <vertAlign val="superscript"/>
        <sz val="10"/>
        <color theme="1"/>
        <rFont val="Calibri"/>
        <family val="2"/>
        <scheme val="minor"/>
      </rPr>
      <t>2</t>
    </r>
    <r>
      <rPr>
        <sz val="10"/>
        <color theme="1"/>
        <rFont val="Calibri"/>
        <family val="2"/>
        <scheme val="minor"/>
      </rPr>
      <t>) of south-facing glazing.</t>
    </r>
  </si>
  <si>
    <t>(ii)</t>
  </si>
  <si>
    <r>
      <t>Latitude 30 degrees to 35 degrees: 5.5 square feet (0.51 m</t>
    </r>
    <r>
      <rPr>
        <vertAlign val="superscript"/>
        <sz val="10"/>
        <color theme="1"/>
        <rFont val="Calibri"/>
        <family val="2"/>
        <scheme val="minor"/>
      </rPr>
      <t>2</t>
    </r>
    <r>
      <rPr>
        <sz val="10"/>
        <color theme="1"/>
        <rFont val="Calibri"/>
        <family val="2"/>
        <scheme val="minor"/>
      </rPr>
      <t>) of thermal mass for every 1 square foot (0.0929 m</t>
    </r>
    <r>
      <rPr>
        <vertAlign val="superscript"/>
        <sz val="10"/>
        <color theme="1"/>
        <rFont val="Calibri"/>
        <family val="2"/>
        <scheme val="minor"/>
      </rPr>
      <t>2</t>
    </r>
    <r>
      <rPr>
        <sz val="10"/>
        <color theme="1"/>
        <rFont val="Calibri"/>
        <family val="2"/>
        <scheme val="minor"/>
      </rPr>
      <t>) of south-facing glazing.</t>
    </r>
  </si>
  <si>
    <t>(iii)</t>
  </si>
  <si>
    <r>
      <t>Latitude 25 degrees to 30 degrees: 6 square feet (0.557 m</t>
    </r>
    <r>
      <rPr>
        <vertAlign val="superscript"/>
        <sz val="10"/>
        <color theme="1"/>
        <rFont val="Calibri"/>
        <family val="2"/>
        <scheme val="minor"/>
      </rPr>
      <t>2</t>
    </r>
    <r>
      <rPr>
        <sz val="10"/>
        <color theme="1"/>
        <rFont val="Calibri"/>
        <family val="2"/>
        <scheme val="minor"/>
      </rPr>
      <t>) of thermal mass for every 1 square foot (0.0929 m</t>
    </r>
    <r>
      <rPr>
        <vertAlign val="superscript"/>
        <sz val="10"/>
        <color theme="1"/>
        <rFont val="Calibri"/>
        <family val="2"/>
        <scheme val="minor"/>
      </rPr>
      <t>2</t>
    </r>
    <r>
      <rPr>
        <sz val="10"/>
        <color theme="1"/>
        <rFont val="Calibri"/>
        <family val="2"/>
        <scheme val="minor"/>
      </rPr>
      <t>) of south-facing glazing.</t>
    </r>
  </si>
  <si>
    <r>
      <t>Thermal mass not directly exposed to sunlight is permitted to be used to achieve thermal mass requirements of Section 703.7.4 (2) based on a ratio of 40 square feet (3.72 m</t>
    </r>
    <r>
      <rPr>
        <vertAlign val="superscript"/>
        <sz val="10"/>
        <color theme="1"/>
        <rFont val="Calibri"/>
        <family val="2"/>
        <scheme val="minor"/>
      </rPr>
      <t>2</t>
    </r>
    <r>
      <rPr>
        <sz val="10"/>
        <color theme="1"/>
        <rFont val="Calibri"/>
        <family val="2"/>
        <scheme val="minor"/>
      </rPr>
      <t>) of thermal mass for every 1 square foot (0.0929 m</t>
    </r>
    <r>
      <rPr>
        <vertAlign val="superscript"/>
        <sz val="10"/>
        <color theme="1"/>
        <rFont val="Calibri"/>
        <family val="2"/>
        <scheme val="minor"/>
      </rPr>
      <t>2</t>
    </r>
    <r>
      <rPr>
        <sz val="10"/>
        <color theme="1"/>
        <rFont val="Calibri"/>
        <family val="2"/>
        <scheme val="minor"/>
      </rPr>
      <t>) of south-facing glazing.</t>
    </r>
  </si>
  <si>
    <t xml:space="preserve">In addition to return air or transfer grilles/ducts required by Section 703.7.1(9), provisions for forced airflow to adjoining areas are implemented as needed. </t>
  </si>
  <si>
    <t>705 ADDITIONAL PRACTICES</t>
  </si>
  <si>
    <t>705.2 Lighting</t>
  </si>
  <si>
    <t>705.2.1</t>
  </si>
  <si>
    <t>705.2.1 Lighting controls</t>
  </si>
  <si>
    <r>
      <t xml:space="preserve"> </t>
    </r>
    <r>
      <rPr>
        <b/>
        <sz val="10"/>
        <color theme="1"/>
        <rFont val="Calibri"/>
        <family val="2"/>
        <scheme val="minor"/>
      </rPr>
      <t xml:space="preserve">(Percentages for point thresholds are based on lighting not required for means of egress or security lighting as defined by local building codes.) </t>
    </r>
  </si>
  <si>
    <t>705.2.1.1</t>
  </si>
  <si>
    <t>50 percent to less than 75 percent of lighting fixtures.</t>
  </si>
  <si>
    <t>A minimum of 75 percent of lighting fixtures.</t>
  </si>
  <si>
    <t>705.2.1.2</t>
  </si>
  <si>
    <r>
      <t xml:space="preserve">705.2.1.2 Exterior lighting. </t>
    </r>
    <r>
      <rPr>
        <sz val="10"/>
        <color theme="1"/>
        <rFont val="Calibri"/>
        <family val="2"/>
        <scheme val="minor"/>
      </rPr>
      <t>Photo or motion sensors are installed on 75 percent of outdoor lighting fixtures to control lighting.</t>
    </r>
  </si>
  <si>
    <t>705.2.1.3</t>
  </si>
  <si>
    <t xml:space="preserve">705.2.1.3 Multifamily common areas.  </t>
  </si>
  <si>
    <t xml:space="preserve">In a multifamily building, occupancy sensors, or dimmers are installed in common areas (except corridors and stairwells).   </t>
  </si>
  <si>
    <t>In a multifamily building, occupancy controls are installed to automatically reduce light levels in interior corridors and exit stairwells when the space is unoccupied. Light levels are reduced by:</t>
  </si>
  <si>
    <t>50 percent to less than 75 percent or to local minimum requirements</t>
  </si>
  <si>
    <t xml:space="preserve">A minimum of 75 percent </t>
  </si>
  <si>
    <t>705.2.1.4</t>
  </si>
  <si>
    <r>
      <t xml:space="preserve">705.2.1.4 </t>
    </r>
    <r>
      <rPr>
        <sz val="10"/>
        <color theme="1"/>
        <rFont val="Calibri"/>
        <family val="2"/>
        <scheme val="minor"/>
      </rPr>
      <t>In a multifamily building, occupancy controls are installed to automatically reduce light levels in garages and parking structures when the space is unoccupied.  Light levels are reduced by:</t>
    </r>
  </si>
  <si>
    <t>A minimum of 75 percent</t>
  </si>
  <si>
    <t>705.2.2</t>
  </si>
  <si>
    <r>
      <t>705.2.2 TDDs and skylights.</t>
    </r>
    <r>
      <rPr>
        <sz val="10"/>
        <color theme="1"/>
        <rFont val="Calibri"/>
        <family val="2"/>
        <scheme val="minor"/>
      </rPr>
      <t xml:space="preserve"> A tubular daylighting device (TDD) or a skylight that meets the requirements of Table 703.2.5.2(a) is installed in rooms without windows. </t>
    </r>
  </si>
  <si>
    <t>705.2.3</t>
  </si>
  <si>
    <r>
      <t>705.2.3 Lighting outlets.</t>
    </r>
    <r>
      <rPr>
        <sz val="10"/>
        <color theme="1"/>
        <rFont val="Calibri"/>
        <family val="2"/>
        <scheme val="minor"/>
      </rPr>
      <t xml:space="preserve"> Occupancy sensors are installed for a minimum of 80 percent of hard-wired lighting outlets in the interior living space.</t>
    </r>
  </si>
  <si>
    <t>705.2.4</t>
  </si>
  <si>
    <r>
      <t xml:space="preserve">705.2.4 Recessed luminaires. </t>
    </r>
    <r>
      <rPr>
        <sz val="10"/>
        <color theme="1"/>
        <rFont val="Calibri"/>
        <family val="2"/>
        <scheme val="minor"/>
      </rPr>
      <t>The number of recessed luminaires that penetrates the thermal envelope is less than 1 per 400 square feet (37.16 m</t>
    </r>
    <r>
      <rPr>
        <vertAlign val="superscript"/>
        <sz val="10"/>
        <color theme="1"/>
        <rFont val="Calibri"/>
        <family val="2"/>
        <scheme val="minor"/>
      </rPr>
      <t>2</t>
    </r>
    <r>
      <rPr>
        <sz val="10"/>
        <color theme="1"/>
        <rFont val="Calibri"/>
        <family val="2"/>
        <scheme val="minor"/>
      </rPr>
      <t xml:space="preserve">) of total conditioned floor area and they are in accordance with Section </t>
    </r>
    <r>
      <rPr>
        <b/>
        <sz val="10"/>
        <color theme="1"/>
        <rFont val="Calibri"/>
        <family val="2"/>
        <scheme val="minor"/>
      </rPr>
      <t>701.4.3.5</t>
    </r>
    <r>
      <rPr>
        <sz val="10"/>
        <color theme="1"/>
        <rFont val="Calibri"/>
        <family val="2"/>
        <scheme val="minor"/>
      </rPr>
      <t>.</t>
    </r>
  </si>
  <si>
    <r>
      <t xml:space="preserve">705.3 Induction cooktop. </t>
    </r>
    <r>
      <rPr>
        <sz val="10"/>
        <color theme="1"/>
        <rFont val="Calibri"/>
        <family val="2"/>
        <scheme val="minor"/>
      </rPr>
      <t>Induction cooktop is installed.</t>
    </r>
  </si>
  <si>
    <r>
      <t xml:space="preserve">705.4 Return ducts and transfer grilles. </t>
    </r>
    <r>
      <rPr>
        <sz val="10"/>
        <color theme="1"/>
        <rFont val="Calibri"/>
        <family val="2"/>
        <scheme val="minor"/>
      </rPr>
      <t xml:space="preserve">Return ducts or transfer grilles are installed in every room with a door. Return ducts or transfer grilles are not required for bathrooms, kitchens, closets, pantries, and laundry rooms. </t>
    </r>
  </si>
  <si>
    <t>705.5 HVAC design and installation</t>
  </si>
  <si>
    <t>705.5.1</t>
  </si>
  <si>
    <t>705.5.2</t>
  </si>
  <si>
    <r>
      <t>705.5.2</t>
    </r>
    <r>
      <rPr>
        <sz val="10"/>
        <color theme="1"/>
        <rFont val="Calibri"/>
        <family val="2"/>
        <scheme val="minor"/>
      </rPr>
      <t xml:space="preserve"> Performance of the heating and/or cooling system is verified by the HVAC contractor in accordance with all of the following: </t>
    </r>
  </si>
  <si>
    <t>Start-up procedure is performed in accordance with the manufacturer’s instructions.</t>
  </si>
  <si>
    <t>Refrigerant charge is verified by super-heat and/or sub-cooling method.</t>
  </si>
  <si>
    <t xml:space="preserve">Burner is set to fire at input level listed on nameplate. </t>
  </si>
  <si>
    <t>Air handler setting/fan speed is set in accordance with manufacturer’s instructions.</t>
  </si>
  <si>
    <t>Total airflow is within 10 percent of design flow.</t>
  </si>
  <si>
    <t xml:space="preserve">Total external system static does not exceed equipment capability at rated airflow. </t>
  </si>
  <si>
    <t>705.6 Installation and performance verification.</t>
  </si>
  <si>
    <t>705.6.1</t>
  </si>
  <si>
    <t>(Points awarded only for buildings where building envelope leakage testing is not required by 2015 IECC.)</t>
  </si>
  <si>
    <t>705.6.2.1</t>
  </si>
  <si>
    <t>A blower door test.</t>
  </si>
  <si>
    <t>Third-party verification is completed.</t>
  </si>
  <si>
    <t>705.6.2.2</t>
  </si>
  <si>
    <t>Measured flow at each supply and return register meets or exceeds the requirements in ACCA 5 QI-2010, Section 5.2.</t>
  </si>
  <si>
    <t>Total airflow meets or exceeds the requirements in ACCA 5 QI-2010, Section 5.2.</t>
  </si>
  <si>
    <t>705.6.2.3</t>
  </si>
  <si>
    <r>
      <t xml:space="preserve">705.6.2.3 HVAC duct leakage testing. </t>
    </r>
    <r>
      <rPr>
        <sz val="10"/>
        <color theme="1"/>
        <rFont val="Calibri"/>
        <family val="2"/>
        <scheme val="minor"/>
      </rPr>
      <t>One of the following is achieved:</t>
    </r>
  </si>
  <si>
    <t>(Points awarded only where these practices are not required by IECC.)</t>
  </si>
  <si>
    <t xml:space="preserve">piping 3/4-inch and larger in outside diameter </t>
  </si>
  <si>
    <t xml:space="preserve">piping located outside the conditioned space </t>
  </si>
  <si>
    <t xml:space="preserve">piping from the water heater to a distribution manifold </t>
  </si>
  <si>
    <t xml:space="preserve">piping located under a floor slab </t>
  </si>
  <si>
    <t xml:space="preserve">buried piping </t>
  </si>
  <si>
    <t>supply and return piping in recirculation systems other than demand recirculation systems</t>
  </si>
  <si>
    <t>705.6.4</t>
  </si>
  <si>
    <t xml:space="preserve">705.6.4 Potable hot water demand re-circulation system. </t>
  </si>
  <si>
    <t>705.6.4.1</t>
  </si>
  <si>
    <r>
      <t>705.6.4.1</t>
    </r>
    <r>
      <rPr>
        <sz val="10"/>
        <color rgb="FF000000"/>
        <rFont val="Calibri"/>
        <family val="2"/>
        <scheme val="minor"/>
      </rPr>
      <t xml:space="preserve"> Potable hot water demand re-circulation system is installed in a single-family unit.</t>
    </r>
  </si>
  <si>
    <t>705.6.4.2</t>
  </si>
  <si>
    <r>
      <t xml:space="preserve">705.7 </t>
    </r>
    <r>
      <rPr>
        <sz val="10"/>
        <color rgb="FF000000"/>
        <rFont val="Calibri"/>
        <family val="2"/>
        <scheme val="minor"/>
      </rPr>
      <t>In multi-unit buildings, an advanced electric and fossil fuel submetering system is installed to monitor electricity and fossil fuel consumption for each unit. The device provides consumption information on a monthly or near real-time basis. The information is available to the occupants at a minimum on a monthly basis.</t>
    </r>
  </si>
  <si>
    <t>706 INNOVATIVE PRACTICES</t>
  </si>
  <si>
    <t>programmable communicating thermostat with the capability to be controlled remotely</t>
  </si>
  <si>
    <t>energy-monitoring device or system</t>
  </si>
  <si>
    <t>energy management control system</t>
  </si>
  <si>
    <t>programmable thermostat with control capability based on occupant presence or usage pattern</t>
  </si>
  <si>
    <t>lighting control system</t>
  </si>
  <si>
    <r>
      <t>706.2 Renewable energy service plan.</t>
    </r>
    <r>
      <rPr>
        <sz val="10"/>
        <color theme="1"/>
        <rFont val="Calibri"/>
        <family val="2"/>
        <scheme val="minor"/>
      </rPr>
      <t xml:space="preserve"> Renewable energy service plan is provided as follows:</t>
    </r>
  </si>
  <si>
    <t>The buyer of the building selects one of the following renewable energy service plans provided by the utility prior to occupancy of the building with a minimum two-year commitment.</t>
  </si>
  <si>
    <t>less than half of the dwelling’s projected electricity and gas use is provided by renewable energy</t>
  </si>
  <si>
    <t>half or more of the of the dwelling’s projected electricity and gas use is provided by renewable energy</t>
  </si>
  <si>
    <r>
      <t>706.3 Smart Appliances and Systems.</t>
    </r>
    <r>
      <rPr>
        <sz val="10"/>
        <color theme="1"/>
        <rFont val="Calibri"/>
        <family val="2"/>
        <scheme val="minor"/>
      </rPr>
      <t xml:space="preserve"> Smart appliances and systems are installed as follows:</t>
    </r>
  </si>
  <si>
    <t>Three to five smart appliances installed</t>
  </si>
  <si>
    <t>Six or more smart appliances installed</t>
  </si>
  <si>
    <t>(Items (7) and (8) are permitted to count as two appliances each for the purpose of awarding points.)</t>
  </si>
  <si>
    <t>(where points awarded in Section 706.3, points shall not be awarded in Section 706.7 and 706.9)</t>
  </si>
  <si>
    <t>Freezer</t>
  </si>
  <si>
    <t>Clothes Dryer</t>
  </si>
  <si>
    <t>Clothes Washer</t>
  </si>
  <si>
    <t>Room Air Conditioner</t>
  </si>
  <si>
    <t>HVAC Systems</t>
  </si>
  <si>
    <t>Service Hot Water Heating Systems</t>
  </si>
  <si>
    <t>706.4 Pumps.</t>
  </si>
  <si>
    <t>706.4.1</t>
  </si>
  <si>
    <r>
      <t xml:space="preserve">706.4.1 </t>
    </r>
    <r>
      <rPr>
        <sz val="10"/>
        <color theme="1"/>
        <rFont val="Calibri"/>
        <family val="2"/>
        <scheme val="minor"/>
      </rPr>
      <t>Pool, spa, and water features equipped with filtration pumps as follows:</t>
    </r>
  </si>
  <si>
    <t>Electronically controlled variable-speed pump(s) is installed (full load efficiency of 90 percent or greater).</t>
  </si>
  <si>
    <t>Electronically controlled variable-speed pump(s) is installed (full load efficiency of 90 percent or greater) in a pool</t>
  </si>
  <si>
    <t>706.4.2</t>
  </si>
  <si>
    <r>
      <t>706.4.2</t>
    </r>
    <r>
      <rPr>
        <sz val="10"/>
        <color theme="1"/>
        <rFont val="Calibri"/>
        <family val="2"/>
        <scheme val="minor"/>
      </rPr>
      <t xml:space="preserve"> Sump pump(s) with electrically commutated motors (ECMs) or permanent split capacitor (PSC) motors is installed (full load efficiency of 90 percent or greater).</t>
    </r>
  </si>
  <si>
    <r>
      <t xml:space="preserve">706.6 Parking garage efficiency. </t>
    </r>
    <r>
      <rPr>
        <sz val="10"/>
        <color theme="1"/>
        <rFont val="Calibri"/>
        <family val="2"/>
        <scheme val="minor"/>
      </rPr>
      <t>Structured parking garages are designed to require no mechanical ventilation for fresh air requirements.</t>
    </r>
  </si>
  <si>
    <r>
      <t xml:space="preserve">706.7 Grid-interactive electric thermal storage system. </t>
    </r>
    <r>
      <rPr>
        <sz val="10"/>
        <color theme="1"/>
        <rFont val="Calibri"/>
        <family val="2"/>
        <scheme val="minor"/>
      </rPr>
      <t>A grid-interactive electric thermal storage system is installed.</t>
    </r>
  </si>
  <si>
    <t xml:space="preserve">Grid-Interactive Water Heating System     </t>
  </si>
  <si>
    <t xml:space="preserve">Grid-Interactive Space Heating and cooling System     </t>
  </si>
  <si>
    <t>(where points awarded in Section 706.7, points shall not be awarded in Section 706.3 and 706.9)</t>
  </si>
  <si>
    <r>
      <t>Weighted Average = [(E</t>
    </r>
    <r>
      <rPr>
        <vertAlign val="subscript"/>
        <sz val="10"/>
        <color theme="1"/>
        <rFont val="Calibri"/>
        <family val="2"/>
      </rPr>
      <t>unit 1</t>
    </r>
    <r>
      <rPr>
        <sz val="10"/>
        <color theme="1"/>
        <rFont val="Calibri"/>
        <family val="2"/>
      </rPr>
      <t>*C</t>
    </r>
    <r>
      <rPr>
        <vertAlign val="subscript"/>
        <sz val="10"/>
        <color theme="1"/>
        <rFont val="Calibri"/>
        <family val="2"/>
      </rPr>
      <t>unit 1</t>
    </r>
    <r>
      <rPr>
        <sz val="10"/>
        <color theme="1"/>
        <rFont val="Calibri"/>
        <family val="2"/>
      </rPr>
      <t>)+(E</t>
    </r>
    <r>
      <rPr>
        <vertAlign val="subscript"/>
        <sz val="10"/>
        <color theme="1"/>
        <rFont val="Calibri"/>
        <family val="2"/>
      </rPr>
      <t>unit 2</t>
    </r>
    <r>
      <rPr>
        <sz val="10"/>
        <color theme="1"/>
        <rFont val="Calibri"/>
        <family val="2"/>
      </rPr>
      <t>*C</t>
    </r>
    <r>
      <rPr>
        <vertAlign val="subscript"/>
        <sz val="10"/>
        <color theme="1"/>
        <rFont val="Calibri"/>
        <family val="2"/>
      </rPr>
      <t>unit 2</t>
    </r>
    <r>
      <rPr>
        <sz val="10"/>
        <color theme="1"/>
        <rFont val="Calibri"/>
        <family val="2"/>
      </rPr>
      <t>)+…+(E</t>
    </r>
    <r>
      <rPr>
        <vertAlign val="subscript"/>
        <sz val="10"/>
        <color theme="1"/>
        <rFont val="Calibri"/>
        <family val="2"/>
      </rPr>
      <t xml:space="preserve">unit </t>
    </r>
    <r>
      <rPr>
        <i/>
        <vertAlign val="subscript"/>
        <sz val="10"/>
        <color theme="1"/>
        <rFont val="Calibri"/>
        <family val="2"/>
      </rPr>
      <t>n</t>
    </r>
    <r>
      <rPr>
        <sz val="10"/>
        <color theme="1"/>
        <rFont val="Calibri"/>
        <family val="2"/>
      </rPr>
      <t>*C</t>
    </r>
    <r>
      <rPr>
        <vertAlign val="subscript"/>
        <sz val="10"/>
        <color theme="1"/>
        <rFont val="Calibri"/>
        <family val="2"/>
      </rPr>
      <t xml:space="preserve">unit </t>
    </r>
    <r>
      <rPr>
        <i/>
        <vertAlign val="subscript"/>
        <sz val="10"/>
        <color theme="1"/>
        <rFont val="Calibri"/>
        <family val="2"/>
      </rPr>
      <t>n</t>
    </r>
    <r>
      <rPr>
        <sz val="10"/>
        <color theme="1"/>
        <rFont val="Calibri"/>
        <family val="2"/>
      </rPr>
      <t>)] / (C</t>
    </r>
    <r>
      <rPr>
        <vertAlign val="subscript"/>
        <sz val="10"/>
        <color theme="1"/>
        <rFont val="Calibri"/>
        <family val="2"/>
      </rPr>
      <t>unit 1</t>
    </r>
    <r>
      <rPr>
        <sz val="10"/>
        <color theme="1"/>
        <rFont val="Calibri"/>
        <family val="2"/>
      </rPr>
      <t>+C</t>
    </r>
    <r>
      <rPr>
        <vertAlign val="subscript"/>
        <sz val="10"/>
        <color theme="1"/>
        <rFont val="Calibri"/>
        <family val="2"/>
      </rPr>
      <t>unit 2</t>
    </r>
    <r>
      <rPr>
        <sz val="10"/>
        <color theme="1"/>
        <rFont val="Calibri"/>
        <family val="2"/>
      </rPr>
      <t>+…+C</t>
    </r>
    <r>
      <rPr>
        <vertAlign val="subscript"/>
        <sz val="10"/>
        <color theme="1"/>
        <rFont val="Calibri"/>
        <family val="2"/>
      </rPr>
      <t xml:space="preserve">unit </t>
    </r>
    <r>
      <rPr>
        <i/>
        <vertAlign val="subscript"/>
        <sz val="10"/>
        <color theme="1"/>
        <rFont val="Calibri"/>
        <family val="2"/>
      </rPr>
      <t>n</t>
    </r>
    <r>
      <rPr>
        <sz val="10"/>
        <color theme="1"/>
        <rFont val="Calibri"/>
        <family val="2"/>
      </rPr>
      <t>)
where:</t>
    </r>
  </si>
  <si>
    <t>add. pts. needed</t>
  </si>
  <si>
    <t>NOTE: Indicate in the assigned Notes area the type designed and constructed: frost-protected shallow foundations, pier and pad foundations, post foundations, or other similar foundation type.</t>
  </si>
  <si>
    <t>termite infest. prob.:</t>
  </si>
  <si>
    <t>NOTE: If "N/A" is selected, explain why in the assigned Notes area.</t>
  </si>
  <si>
    <t>Note: Please list "other biobased materials" used in the Notes field</t>
  </si>
  <si>
    <t>Select Path:</t>
  </si>
  <si>
    <t>Chapter 5: Lot Design, Preparation, and Development</t>
  </si>
  <si>
    <t>Chapter 6: Resource Efficiency</t>
  </si>
  <si>
    <t>Chapter 7: Energy Efficiency</t>
  </si>
  <si>
    <t>Chapter 8: Water Efficiency</t>
  </si>
  <si>
    <t>Chapter 9: Indoor Environmental Quality</t>
  </si>
  <si>
    <t>Chapter 10: Operation, Maintenance, and Building Owner Education</t>
  </si>
  <si>
    <t xml:space="preserve">Autauga  </t>
  </si>
  <si>
    <t xml:space="preserve">Baldwin  </t>
  </si>
  <si>
    <t xml:space="preserve">Barbour  </t>
  </si>
  <si>
    <t xml:space="preserve">Bibb  </t>
  </si>
  <si>
    <t xml:space="preserve">Blount  </t>
  </si>
  <si>
    <t xml:space="preserve">Bullock  </t>
  </si>
  <si>
    <t xml:space="preserve">Butler  </t>
  </si>
  <si>
    <t xml:space="preserve">Calhoun  </t>
  </si>
  <si>
    <t xml:space="preserve">Chambers  </t>
  </si>
  <si>
    <t xml:space="preserve">Cherokee  </t>
  </si>
  <si>
    <t xml:space="preserve">Chilton  </t>
  </si>
  <si>
    <t xml:space="preserve">Choctaw  </t>
  </si>
  <si>
    <t xml:space="preserve">Clarke  </t>
  </si>
  <si>
    <t xml:space="preserve">Clay  </t>
  </si>
  <si>
    <t xml:space="preserve">Cleburne  </t>
  </si>
  <si>
    <t xml:space="preserve">Coffee  </t>
  </si>
  <si>
    <t xml:space="preserve">Colbert  </t>
  </si>
  <si>
    <t xml:space="preserve">Conecuh  </t>
  </si>
  <si>
    <t xml:space="preserve">Coosa  </t>
  </si>
  <si>
    <t xml:space="preserve">Covington  </t>
  </si>
  <si>
    <t xml:space="preserve">Crenshaw  </t>
  </si>
  <si>
    <t xml:space="preserve">Cullman  </t>
  </si>
  <si>
    <t xml:space="preserve">Dale  </t>
  </si>
  <si>
    <t xml:space="preserve">Dallas  </t>
  </si>
  <si>
    <t xml:space="preserve">De Kalb  </t>
  </si>
  <si>
    <t xml:space="preserve">Elmore  </t>
  </si>
  <si>
    <t xml:space="preserve">Escambia  </t>
  </si>
  <si>
    <t xml:space="preserve">Etowah  </t>
  </si>
  <si>
    <t xml:space="preserve">Fayette  </t>
  </si>
  <si>
    <t xml:space="preserve">Franklin  </t>
  </si>
  <si>
    <t xml:space="preserve">Geneva  </t>
  </si>
  <si>
    <t xml:space="preserve">Greene  </t>
  </si>
  <si>
    <t xml:space="preserve">Hale  </t>
  </si>
  <si>
    <t xml:space="preserve">Henry  </t>
  </si>
  <si>
    <t xml:space="preserve">Houston  </t>
  </si>
  <si>
    <t xml:space="preserve">Jackson  </t>
  </si>
  <si>
    <t xml:space="preserve">Jefferson  </t>
  </si>
  <si>
    <t xml:space="preserve">Lamar  </t>
  </si>
  <si>
    <t xml:space="preserve">Lauderdale  </t>
  </si>
  <si>
    <t xml:space="preserve">Lawrence  </t>
  </si>
  <si>
    <t xml:space="preserve">Lee  </t>
  </si>
  <si>
    <t xml:space="preserve">Limestone  </t>
  </si>
  <si>
    <t xml:space="preserve">Lowndes  </t>
  </si>
  <si>
    <t xml:space="preserve">Macon  </t>
  </si>
  <si>
    <t xml:space="preserve">Madison  </t>
  </si>
  <si>
    <t xml:space="preserve">Marengo  </t>
  </si>
  <si>
    <t xml:space="preserve">Marion  </t>
  </si>
  <si>
    <t xml:space="preserve">Marshall  </t>
  </si>
  <si>
    <t xml:space="preserve">Mobile  </t>
  </si>
  <si>
    <t xml:space="preserve">Monroe  </t>
  </si>
  <si>
    <t xml:space="preserve">Montgomery  </t>
  </si>
  <si>
    <t xml:space="preserve">Morgan  </t>
  </si>
  <si>
    <t xml:space="preserve">Perry  </t>
  </si>
  <si>
    <t xml:space="preserve">Pickens  </t>
  </si>
  <si>
    <t xml:space="preserve">Pike  </t>
  </si>
  <si>
    <t xml:space="preserve">Randolph  </t>
  </si>
  <si>
    <t xml:space="preserve">Russell  </t>
  </si>
  <si>
    <t xml:space="preserve">Saint Clair  </t>
  </si>
  <si>
    <t xml:space="preserve">Shelby  </t>
  </si>
  <si>
    <t xml:space="preserve">Sumter  </t>
  </si>
  <si>
    <t xml:space="preserve">Talladega  </t>
  </si>
  <si>
    <t xml:space="preserve">Tallapoosa  </t>
  </si>
  <si>
    <t xml:space="preserve">Tuscaloosa  </t>
  </si>
  <si>
    <t xml:space="preserve">Walker  </t>
  </si>
  <si>
    <t xml:space="preserve">Washington  </t>
  </si>
  <si>
    <t xml:space="preserve">Wilcox  </t>
  </si>
  <si>
    <t xml:space="preserve">Winston  </t>
  </si>
  <si>
    <t xml:space="preserve">Aleutians East  </t>
  </si>
  <si>
    <t xml:space="preserve">Aleutians West  </t>
  </si>
  <si>
    <t xml:space="preserve">Anchorage  </t>
  </si>
  <si>
    <t xml:space="preserve">Bethel  </t>
  </si>
  <si>
    <t xml:space="preserve">Bristol Bay  </t>
  </si>
  <si>
    <t xml:space="preserve">Denali  </t>
  </si>
  <si>
    <t xml:space="preserve">Dillingham  </t>
  </si>
  <si>
    <t xml:space="preserve">Fairbanks North Star  </t>
  </si>
  <si>
    <t xml:space="preserve">Haines  </t>
  </si>
  <si>
    <t xml:space="preserve">Hoonah Angoon  </t>
  </si>
  <si>
    <t xml:space="preserve">Juneau  </t>
  </si>
  <si>
    <t xml:space="preserve">Kenai Peninsula  </t>
  </si>
  <si>
    <t xml:space="preserve">Ketchikan Gateway  </t>
  </si>
  <si>
    <t xml:space="preserve">Kodiak Island  </t>
  </si>
  <si>
    <t xml:space="preserve">Lake And Peninsula  </t>
  </si>
  <si>
    <t xml:space="preserve">Matanuska Susitna  </t>
  </si>
  <si>
    <t xml:space="preserve">Nome  </t>
  </si>
  <si>
    <t xml:space="preserve">North Slope  </t>
  </si>
  <si>
    <t xml:space="preserve">Northwest Arctic  </t>
  </si>
  <si>
    <t xml:space="preserve">Petersburg  </t>
  </si>
  <si>
    <t xml:space="preserve">Prince Of Wales Hyder  </t>
  </si>
  <si>
    <t xml:space="preserve">Sitka  </t>
  </si>
  <si>
    <t xml:space="preserve">Skagway  </t>
  </si>
  <si>
    <t xml:space="preserve">Southeast Fairbanks  </t>
  </si>
  <si>
    <t xml:space="preserve">Valdez Cordova  </t>
  </si>
  <si>
    <t xml:space="preserve">Wade Hampton  </t>
  </si>
  <si>
    <t xml:space="preserve">Wrangell  </t>
  </si>
  <si>
    <t xml:space="preserve">Yakutat  </t>
  </si>
  <si>
    <t xml:space="preserve">Yukon Koyukuk  </t>
  </si>
  <si>
    <t xml:space="preserve">American Samoa  </t>
  </si>
  <si>
    <t xml:space="preserve">Apache  </t>
  </si>
  <si>
    <t xml:space="preserve">Cochise  </t>
  </si>
  <si>
    <t xml:space="preserve">Coconino  </t>
  </si>
  <si>
    <t xml:space="preserve">Gila  </t>
  </si>
  <si>
    <t xml:space="preserve">Graham  </t>
  </si>
  <si>
    <t xml:space="preserve">Greenlee  </t>
  </si>
  <si>
    <t xml:space="preserve">La Paz  </t>
  </si>
  <si>
    <t xml:space="preserve">Maricopa  </t>
  </si>
  <si>
    <t xml:space="preserve">Mohave  </t>
  </si>
  <si>
    <t xml:space="preserve">Navajo  </t>
  </si>
  <si>
    <t xml:space="preserve">Pima  </t>
  </si>
  <si>
    <t xml:space="preserve">Pinal  </t>
  </si>
  <si>
    <t xml:space="preserve">Santa Cruz  </t>
  </si>
  <si>
    <t xml:space="preserve">Yavapai  </t>
  </si>
  <si>
    <t xml:space="preserve">Yuma  </t>
  </si>
  <si>
    <t xml:space="preserve">Arkansas  </t>
  </si>
  <si>
    <t xml:space="preserve">Ashley  </t>
  </si>
  <si>
    <t xml:space="preserve">Baxter  </t>
  </si>
  <si>
    <t xml:space="preserve">Benton  </t>
  </si>
  <si>
    <t xml:space="preserve">Boone  </t>
  </si>
  <si>
    <t xml:space="preserve">Bradley  </t>
  </si>
  <si>
    <t xml:space="preserve">Carroll  </t>
  </si>
  <si>
    <t xml:space="preserve">Chicot  </t>
  </si>
  <si>
    <t xml:space="preserve">Clark  </t>
  </si>
  <si>
    <t xml:space="preserve">Cleveland  </t>
  </si>
  <si>
    <t xml:space="preserve">Columbia  </t>
  </si>
  <si>
    <t xml:space="preserve">Conway  </t>
  </si>
  <si>
    <t xml:space="preserve">Craighead  </t>
  </si>
  <si>
    <t xml:space="preserve">Crawford  </t>
  </si>
  <si>
    <t xml:space="preserve">Crittenden  </t>
  </si>
  <si>
    <t xml:space="preserve">Cross  </t>
  </si>
  <si>
    <t xml:space="preserve">Desha  </t>
  </si>
  <si>
    <t xml:space="preserve">Drew  </t>
  </si>
  <si>
    <t xml:space="preserve">Faulkner  </t>
  </si>
  <si>
    <t xml:space="preserve">Fulton  </t>
  </si>
  <si>
    <t xml:space="preserve">Garland  </t>
  </si>
  <si>
    <t xml:space="preserve">Grant  </t>
  </si>
  <si>
    <t xml:space="preserve">Hempstead  </t>
  </si>
  <si>
    <t xml:space="preserve">Hot Spring  </t>
  </si>
  <si>
    <t xml:space="preserve">Howard  </t>
  </si>
  <si>
    <t xml:space="preserve">Independence  </t>
  </si>
  <si>
    <t xml:space="preserve">Izard  </t>
  </si>
  <si>
    <t xml:space="preserve">Johnson  </t>
  </si>
  <si>
    <t xml:space="preserve">Lafayette  </t>
  </si>
  <si>
    <t xml:space="preserve">Lincoln  </t>
  </si>
  <si>
    <t xml:space="preserve">Little River  </t>
  </si>
  <si>
    <t xml:space="preserve">Logan  </t>
  </si>
  <si>
    <t xml:space="preserve">Lonoke  </t>
  </si>
  <si>
    <t xml:space="preserve">Miller  </t>
  </si>
  <si>
    <t xml:space="preserve">Mississippi  </t>
  </si>
  <si>
    <t xml:space="preserve">Nevada  </t>
  </si>
  <si>
    <t xml:space="preserve">Newton  </t>
  </si>
  <si>
    <t xml:space="preserve">Ouachita  </t>
  </si>
  <si>
    <t xml:space="preserve">Phillips  </t>
  </si>
  <si>
    <t xml:space="preserve">Poinsett  </t>
  </si>
  <si>
    <t xml:space="preserve">Polk  </t>
  </si>
  <si>
    <t xml:space="preserve">Pope  </t>
  </si>
  <si>
    <t xml:space="preserve">Prairie  </t>
  </si>
  <si>
    <t xml:space="preserve">Pulaski  </t>
  </si>
  <si>
    <t xml:space="preserve">Saint Francis  </t>
  </si>
  <si>
    <t xml:space="preserve">Saline  </t>
  </si>
  <si>
    <t xml:space="preserve">Scott  </t>
  </si>
  <si>
    <t xml:space="preserve">Searcy  </t>
  </si>
  <si>
    <t xml:space="preserve">Sebastian  </t>
  </si>
  <si>
    <t xml:space="preserve">Sevier  </t>
  </si>
  <si>
    <t xml:space="preserve">Sharp  </t>
  </si>
  <si>
    <t xml:space="preserve">Stone  </t>
  </si>
  <si>
    <t xml:space="preserve">Union  </t>
  </si>
  <si>
    <t xml:space="preserve">Van Buren  </t>
  </si>
  <si>
    <t xml:space="preserve">White  </t>
  </si>
  <si>
    <t xml:space="preserve">Woodruff  </t>
  </si>
  <si>
    <t xml:space="preserve">Yell  </t>
  </si>
  <si>
    <t xml:space="preserve">Alameda  </t>
  </si>
  <si>
    <t xml:space="preserve">Alpine  </t>
  </si>
  <si>
    <t xml:space="preserve">Amador  </t>
  </si>
  <si>
    <t xml:space="preserve">Butte  </t>
  </si>
  <si>
    <t xml:space="preserve">Calaveras  </t>
  </si>
  <si>
    <t xml:space="preserve">Colusa  </t>
  </si>
  <si>
    <t xml:space="preserve">Contra Costa  </t>
  </si>
  <si>
    <t xml:space="preserve">Del Norte  </t>
  </si>
  <si>
    <t xml:space="preserve">El Dorado  </t>
  </si>
  <si>
    <t xml:space="preserve">Fresno  </t>
  </si>
  <si>
    <t xml:space="preserve">Glenn  </t>
  </si>
  <si>
    <t xml:space="preserve">Humboldt  </t>
  </si>
  <si>
    <t xml:space="preserve">Imperial  </t>
  </si>
  <si>
    <t xml:space="preserve">Inyo  </t>
  </si>
  <si>
    <t xml:space="preserve">Kern  </t>
  </si>
  <si>
    <t xml:space="preserve">Kings  </t>
  </si>
  <si>
    <t xml:space="preserve">Lake  </t>
  </si>
  <si>
    <t xml:space="preserve">Lassen  </t>
  </si>
  <si>
    <t xml:space="preserve">Los Angeles  </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</si>
  <si>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</si>
  <si>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</si>
  <si>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</si>
  <si>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</si>
  <si>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</si>
  <si>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</si>
  <si>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</si>
  <si>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</si>
  <si>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</si>
  <si>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Orange  </t>
  </si>
  <si>
    <t xml:space="preserve">Placer  </t>
  </si>
  <si>
    <t xml:space="preserve">Plumas  </t>
  </si>
  <si>
    <t xml:space="preserve">Riverside  </t>
  </si>
  <si>
    <t xml:space="preserve">Sacramento  </t>
  </si>
  <si>
    <t xml:space="preserve">San Benito  </t>
  </si>
  <si>
    <t xml:space="preserve">San Bernardino  </t>
  </si>
  <si>
    <t xml:space="preserve">San Diego  </t>
  </si>
  <si>
    <t xml:space="preserve">San Francisco  </t>
  </si>
  <si>
    <t xml:space="preserve">San Joaquin  </t>
  </si>
  <si>
    <t xml:space="preserve">San Luis Obispo  </t>
  </si>
  <si>
    <t xml:space="preserve">San Mateo  </t>
  </si>
  <si>
    <t xml:space="preserve">Santa Barbara  </t>
  </si>
  <si>
    <t xml:space="preserve">Santa Clara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</si>
  <si>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</si>
  <si>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</si>
  <si>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</si>
  <si>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</si>
  <si>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</si>
  <si>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</si>
  <si>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</si>
  <si>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</si>
  <si>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</si>
  <si>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</si>
  <si>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</si>
  <si>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Ventura  </t>
  </si>
  <si>
    <t xml:space="preserve">Yolo  </t>
  </si>
  <si>
    <t xml:space="preserve">Yuba  </t>
  </si>
  <si>
    <t xml:space="preserve">Adams  </t>
  </si>
  <si>
    <t xml:space="preserve">Alamosa  </t>
  </si>
  <si>
    <t xml:space="preserve">Arapahoe  </t>
  </si>
  <si>
    <t xml:space="preserve">Archuleta  </t>
  </si>
  <si>
    <t xml:space="preserve">Baca  </t>
  </si>
  <si>
    <t xml:space="preserve">Bent  </t>
  </si>
  <si>
    <t xml:space="preserve">Boulder  </t>
  </si>
  <si>
    <t xml:space="preserve">Broomfield  </t>
  </si>
  <si>
    <t xml:space="preserve">Chaffee  </t>
  </si>
  <si>
    <t xml:space="preserve">Cheyenne  </t>
  </si>
  <si>
    <t xml:space="preserve">Clear Creek  </t>
  </si>
  <si>
    <t xml:space="preserve">Conejos  </t>
  </si>
  <si>
    <t xml:space="preserve">Costilla  </t>
  </si>
  <si>
    <t xml:space="preserve">Crowley  </t>
  </si>
  <si>
    <t xml:space="preserve">Custer  </t>
  </si>
  <si>
    <t xml:space="preserve">Delta  </t>
  </si>
  <si>
    <t xml:space="preserve">Denver  </t>
  </si>
  <si>
    <t xml:space="preserve">Dolores  </t>
  </si>
  <si>
    <t xml:space="preserve">Douglas  </t>
  </si>
  <si>
    <t xml:space="preserve">Eagle  </t>
  </si>
  <si>
    <t xml:space="preserve">El Paso  </t>
  </si>
  <si>
    <t xml:space="preserve">Elbert  </t>
  </si>
  <si>
    <t xml:space="preserve">Fremont  </t>
  </si>
  <si>
    <t xml:space="preserve">Garfield  </t>
  </si>
  <si>
    <t xml:space="preserve">Gilpin  </t>
  </si>
  <si>
    <t xml:space="preserve">Grand  </t>
  </si>
  <si>
    <t xml:space="preserve">Gunnison  </t>
  </si>
  <si>
    <t xml:space="preserve">Hinsdale  </t>
  </si>
  <si>
    <t xml:space="preserve">Huerfano  </t>
  </si>
  <si>
    <t xml:space="preserve">Kiowa  </t>
  </si>
  <si>
    <t xml:space="preserve">Kit Carson  </t>
  </si>
  <si>
    <t xml:space="preserve">La Plata  </t>
  </si>
  <si>
    <t xml:space="preserve">Larimer  </t>
  </si>
  <si>
    <t xml:space="preserve">Las Animas  </t>
  </si>
  <si>
    <t xml:space="preserve">Mesa  </t>
  </si>
  <si>
    <t xml:space="preserve">Mineral  </t>
  </si>
  <si>
    <t xml:space="preserve">Moffat  </t>
  </si>
  <si>
    <t xml:space="preserve">Montezuma  </t>
  </si>
  <si>
    <t xml:space="preserve">Montrose  </t>
  </si>
  <si>
    <t xml:space="preserve">Otero  </t>
  </si>
  <si>
    <t xml:space="preserve">Ouray  </t>
  </si>
  <si>
    <t xml:space="preserve">Park  </t>
  </si>
  <si>
    <t xml:space="preserve">Pitkin  </t>
  </si>
  <si>
    <t xml:space="preserve">Prowers  </t>
  </si>
  <si>
    <t xml:space="preserve">Pueblo  </t>
  </si>
  <si>
    <t xml:space="preserve">Rio Blanco  </t>
  </si>
  <si>
    <t xml:space="preserve">Rio Grande  </t>
  </si>
  <si>
    <t xml:space="preserve">Routt  </t>
  </si>
  <si>
    <t xml:space="preserve">Saguache  </t>
  </si>
  <si>
    <t xml:space="preserve">San Juan  </t>
  </si>
  <si>
    <t xml:space="preserve">San Miguel  </t>
  </si>
  <si>
    <t xml:space="preserve">Sedgwick  </t>
  </si>
  <si>
    <t xml:space="preserve">Summit  </t>
  </si>
  <si>
    <t xml:space="preserve">Teller  </t>
  </si>
  <si>
    <t xml:space="preserve">Weld  </t>
  </si>
  <si>
    <t xml:space="preserve">Fairfield  </t>
  </si>
  <si>
    <t xml:space="preserve">Hartford  </t>
  </si>
  <si>
    <t xml:space="preserve">Litchfield  </t>
  </si>
  <si>
    <t xml:space="preserve">Middlesex  </t>
  </si>
  <si>
    <t xml:space="preserve">New Haven  </t>
  </si>
  <si>
    <t xml:space="preserve">New London  </t>
  </si>
  <si>
    <t xml:space="preserve">Tolland  </t>
  </si>
  <si>
    <t xml:space="preserve">Windham  </t>
  </si>
  <si>
    <t xml:space="preserve">Kent  </t>
  </si>
  <si>
    <t xml:space="preserve">New Castle  </t>
  </si>
  <si>
    <t xml:space="preserve">Sussex  </t>
  </si>
  <si>
    <t xml:space="preserve">District Of Columbia  </t>
  </si>
  <si>
    <t xml:space="preserve">Alachua  </t>
  </si>
  <si>
    <t xml:space="preserve">Baker  </t>
  </si>
  <si>
    <t xml:space="preserve">Bay  </t>
  </si>
  <si>
    <t xml:space="preserve">Bradford  </t>
  </si>
  <si>
    <t xml:space="preserve">Brevard  </t>
  </si>
  <si>
    <t xml:space="preserve">Broward  </t>
  </si>
  <si>
    <t xml:space="preserve">Charlotte  </t>
  </si>
  <si>
    <t xml:space="preserve">Citrus  </t>
  </si>
  <si>
    <t xml:space="preserve">Collier  </t>
  </si>
  <si>
    <t xml:space="preserve">De Soto  </t>
  </si>
  <si>
    <t xml:space="preserve">Dixie  </t>
  </si>
  <si>
    <t xml:space="preserve">Duval  </t>
  </si>
  <si>
    <t xml:space="preserve">Flagler  </t>
  </si>
  <si>
    <t xml:space="preserve">Gadsden  </t>
  </si>
  <si>
    <t xml:space="preserve">Gilchrist  </t>
  </si>
  <si>
    <t xml:space="preserve">Glades  </t>
  </si>
  <si>
    <t xml:space="preserve">Gulf  </t>
  </si>
  <si>
    <t xml:space="preserve">Hamilton  </t>
  </si>
  <si>
    <t xml:space="preserve">Hardee  </t>
  </si>
  <si>
    <t xml:space="preserve">Hendry  </t>
  </si>
  <si>
    <t xml:space="preserve">Hernando  </t>
  </si>
  <si>
    <t xml:space="preserve">Highlands  </t>
  </si>
  <si>
    <t xml:space="preserve">Hillsborough  </t>
  </si>
  <si>
    <t xml:space="preserve">Holmes  </t>
  </si>
  <si>
    <t xml:space="preserve">Indian River  </t>
  </si>
  <si>
    <t xml:space="preserve">Leon  </t>
  </si>
  <si>
    <t xml:space="preserve">Levy  </t>
  </si>
  <si>
    <t xml:space="preserve">Liberty  </t>
  </si>
  <si>
    <t xml:space="preserve">Manatee  </t>
  </si>
  <si>
    <t xml:space="preserve">Martin  </t>
  </si>
  <si>
    <t xml:space="preserve">Miami-Dade  </t>
  </si>
  <si>
    <t xml:space="preserve">Nassau  </t>
  </si>
  <si>
    <t xml:space="preserve">Okaloosa  </t>
  </si>
  <si>
    <t xml:space="preserve">Okeechobee  </t>
  </si>
  <si>
    <t xml:space="preserve">Osceola  </t>
  </si>
  <si>
    <t xml:space="preserve">Palm Beach  </t>
  </si>
  <si>
    <t xml:space="preserve">Pasco  </t>
  </si>
  <si>
    <t xml:space="preserve">Pinellas  </t>
  </si>
  <si>
    <t xml:space="preserve">Putnam  </t>
  </si>
  <si>
    <t xml:space="preserve">Saint Johns  </t>
  </si>
  <si>
    <t xml:space="preserve">Saint Lucie  </t>
  </si>
  <si>
    <t xml:space="preserve">Santa Rosa  </t>
  </si>
  <si>
    <t xml:space="preserve">Sarasota  </t>
  </si>
  <si>
    <t xml:space="preserve">Seminole  </t>
  </si>
  <si>
    <t xml:space="preserve">Suwannee  </t>
  </si>
  <si>
    <t xml:space="preserve">Taylor  </t>
  </si>
  <si>
    <t xml:space="preserve">Volusia  </t>
  </si>
  <si>
    <t xml:space="preserve">Wakulla  </t>
  </si>
  <si>
    <t xml:space="preserve">Walton  </t>
  </si>
  <si>
    <t xml:space="preserve">Appling  </t>
  </si>
  <si>
    <t xml:space="preserve">Atkinson  </t>
  </si>
  <si>
    <t xml:space="preserve">Bacon  </t>
  </si>
  <si>
    <t xml:space="preserve">Banks  </t>
  </si>
  <si>
    <t xml:space="preserve">Barrow  </t>
  </si>
  <si>
    <t xml:space="preserve">Bartow  </t>
  </si>
  <si>
    <t xml:space="preserve">Ben Hill  </t>
  </si>
  <si>
    <t xml:space="preserve">Berrien  </t>
  </si>
  <si>
    <t xml:space="preserve">Bleckley  </t>
  </si>
  <si>
    <t xml:space="preserve">Brantley  </t>
  </si>
  <si>
    <t xml:space="preserve">Brooks  </t>
  </si>
  <si>
    <t xml:space="preserve">Bryan  </t>
  </si>
  <si>
    <t xml:space="preserve">Bulloch  </t>
  </si>
  <si>
    <t xml:space="preserve">Burke  </t>
  </si>
  <si>
    <t xml:space="preserve">Butts  </t>
  </si>
  <si>
    <t xml:space="preserve">Camden  </t>
  </si>
  <si>
    <t xml:space="preserve">Candler  </t>
  </si>
  <si>
    <t xml:space="preserve">Catoosa  </t>
  </si>
  <si>
    <t xml:space="preserve">Charlton  </t>
  </si>
  <si>
    <t xml:space="preserve">Chatham  </t>
  </si>
  <si>
    <t xml:space="preserve">Chattahoochee  </t>
  </si>
  <si>
    <t xml:space="preserve">Chattooga  </t>
  </si>
  <si>
    <t xml:space="preserve">Clayton  </t>
  </si>
  <si>
    <t xml:space="preserve">Clinch  </t>
  </si>
  <si>
    <t xml:space="preserve">Cobb  </t>
  </si>
  <si>
    <t xml:space="preserve">Colquitt  </t>
  </si>
  <si>
    <t xml:space="preserve">Cook  </t>
  </si>
  <si>
    <t xml:space="preserve">Coweta  </t>
  </si>
  <si>
    <t xml:space="preserve">Crisp  </t>
  </si>
  <si>
    <t xml:space="preserve">Dade  </t>
  </si>
  <si>
    <t xml:space="preserve">Dawson  </t>
  </si>
  <si>
    <t xml:space="preserve">Decatur  </t>
  </si>
  <si>
    <t xml:space="preserve">Dekalb  </t>
  </si>
  <si>
    <t xml:space="preserve">Dodge  </t>
  </si>
  <si>
    <t xml:space="preserve">Dooly  </t>
  </si>
  <si>
    <t xml:space="preserve">Dougherty  </t>
  </si>
  <si>
    <t xml:space="preserve">Early  </t>
  </si>
  <si>
    <t xml:space="preserve">Echols  </t>
  </si>
  <si>
    <t xml:space="preserve">Effingham  </t>
  </si>
  <si>
    <t xml:space="preserve">Emanuel  </t>
  </si>
  <si>
    <t xml:space="preserve">Evans  </t>
  </si>
  <si>
    <t xml:space="preserve">Fannin  </t>
  </si>
  <si>
    <t xml:space="preserve">Floyd  </t>
  </si>
  <si>
    <t xml:space="preserve">Forsyth  </t>
  </si>
  <si>
    <t xml:space="preserve">Gilmer  </t>
  </si>
  <si>
    <t xml:space="preserve">Glascock  </t>
  </si>
  <si>
    <t xml:space="preserve">Glynn  </t>
  </si>
  <si>
    <t xml:space="preserve">Gordon  </t>
  </si>
  <si>
    <t xml:space="preserve">Grady  </t>
  </si>
  <si>
    <t xml:space="preserve">Gwinnett  </t>
  </si>
  <si>
    <t xml:space="preserve">Habersham  </t>
  </si>
  <si>
    <t xml:space="preserve">Hall  </t>
  </si>
  <si>
    <t xml:space="preserve">Hancock  </t>
  </si>
  <si>
    <t xml:space="preserve">Haralson  </t>
  </si>
  <si>
    <t xml:space="preserve">Harris  </t>
  </si>
  <si>
    <t xml:space="preserve">Hart  </t>
  </si>
  <si>
    <t xml:space="preserve">Heard  </t>
  </si>
  <si>
    <t xml:space="preserve">Irwin  </t>
  </si>
  <si>
    <t xml:space="preserve">Jasper  </t>
  </si>
  <si>
    <t xml:space="preserve">Jeff Davis  </t>
  </si>
  <si>
    <t xml:space="preserve">Jenkins  </t>
  </si>
  <si>
    <t xml:space="preserve">Jones  </t>
  </si>
  <si>
    <t xml:space="preserve">Lanier  </t>
  </si>
  <si>
    <t xml:space="preserve">Laurens  </t>
  </si>
  <si>
    <t xml:space="preserve">Long  </t>
  </si>
  <si>
    <t xml:space="preserve">Lumpkin  </t>
  </si>
  <si>
    <t xml:space="preserve">Mcduffie  </t>
  </si>
  <si>
    <t xml:space="preserve">Mcintosh  </t>
  </si>
  <si>
    <t xml:space="preserve">Meriwether  </t>
  </si>
  <si>
    <t xml:space="preserve">Mitchell  </t>
  </si>
  <si>
    <t xml:space="preserve">Murray  </t>
  </si>
  <si>
    <t xml:space="preserve">Muscogee  </t>
  </si>
  <si>
    <t xml:space="preserve">Oconee  </t>
  </si>
  <si>
    <t xml:space="preserve">Oglethorpe  </t>
  </si>
  <si>
    <t xml:space="preserve">Paulding  </t>
  </si>
  <si>
    <t xml:space="preserve">Peach  </t>
  </si>
  <si>
    <t xml:space="preserve">Pierce  </t>
  </si>
  <si>
    <t xml:space="preserve">Quitman  </t>
  </si>
  <si>
    <t xml:space="preserve">Rabun  </t>
  </si>
  <si>
    <t xml:space="preserve">Richmond  </t>
  </si>
  <si>
    <t xml:space="preserve">Rockdale  </t>
  </si>
  <si>
    <t xml:space="preserve">Schley  </t>
  </si>
  <si>
    <t xml:space="preserve">Screven  </t>
  </si>
  <si>
    <t xml:space="preserve">Spalding  </t>
  </si>
  <si>
    <t xml:space="preserve">Stephens  </t>
  </si>
  <si>
    <t xml:space="preserve">Stewart  </t>
  </si>
  <si>
    <t xml:space="preserve">Talbot  </t>
  </si>
  <si>
    <t xml:space="preserve">Taliaferro  </t>
  </si>
  <si>
    <t xml:space="preserve">Tattnall  </t>
  </si>
  <si>
    <t xml:space="preserve">Telfair  </t>
  </si>
  <si>
    <t xml:space="preserve">Terrell  </t>
  </si>
  <si>
    <t xml:space="preserve">Thomas  </t>
  </si>
  <si>
    <t xml:space="preserve">Tift  </t>
  </si>
  <si>
    <t xml:space="preserve">Toombs  </t>
  </si>
  <si>
    <t xml:space="preserve">Towns  </t>
  </si>
  <si>
    <t xml:space="preserve">Treutlen  </t>
  </si>
  <si>
    <t xml:space="preserve">Troup  </t>
  </si>
  <si>
    <t xml:space="preserve">Turner  </t>
  </si>
  <si>
    <t xml:space="preserve">Twiggs  </t>
  </si>
  <si>
    <t xml:space="preserve">Upson  </t>
  </si>
  <si>
    <t xml:space="preserve">Ware  </t>
  </si>
  <si>
    <t xml:space="preserve">Warren  </t>
  </si>
  <si>
    <t xml:space="preserve">Wayne  </t>
  </si>
  <si>
    <t xml:space="preserve">Webster  </t>
  </si>
  <si>
    <t xml:space="preserve">Wheeler  </t>
  </si>
  <si>
    <t xml:space="preserve">Whitfield  </t>
  </si>
  <si>
    <t xml:space="preserve">Wilkes  </t>
  </si>
  <si>
    <t xml:space="preserve">Wilkinson  </t>
  </si>
  <si>
    <t xml:space="preserve">Worth  </t>
  </si>
  <si>
    <t xml:space="preserve">Guam  </t>
  </si>
  <si>
    <t xml:space="preserve">Hawaii  </t>
  </si>
  <si>
    <t xml:space="preserve">Honolulu  </t>
  </si>
  <si>
    <t xml:space="preserve">Kauai  </t>
  </si>
  <si>
    <t xml:space="preserve">Maui  </t>
  </si>
  <si>
    <t xml:space="preserve">Ada  </t>
  </si>
  <si>
    <t xml:space="preserve">Bannock  </t>
  </si>
  <si>
    <t xml:space="preserve">Bear Lake  </t>
  </si>
  <si>
    <t xml:space="preserve">Benewah  </t>
  </si>
  <si>
    <t xml:space="preserve">Bingham  </t>
  </si>
  <si>
    <t xml:space="preserve">Blaine  </t>
  </si>
  <si>
    <t xml:space="preserve">Boise  </t>
  </si>
  <si>
    <t xml:space="preserve">Bonner  </t>
  </si>
  <si>
    <t xml:space="preserve">Bonneville  </t>
  </si>
  <si>
    <t xml:space="preserve">Boundary  </t>
  </si>
  <si>
    <t xml:space="preserve">Camas  </t>
  </si>
  <si>
    <t xml:space="preserve">Canyon  </t>
  </si>
  <si>
    <t xml:space="preserve">Caribou  </t>
  </si>
  <si>
    <t xml:space="preserve">Cassia  </t>
  </si>
  <si>
    <t xml:space="preserve">Clearwater  </t>
  </si>
  <si>
    <t xml:space="preserve">Gem  </t>
  </si>
  <si>
    <t xml:space="preserve">Gooding  </t>
  </si>
  <si>
    <t xml:space="preserve">Idaho  </t>
  </si>
  <si>
    <t xml:space="preserve">Jerome  </t>
  </si>
  <si>
    <t xml:space="preserve">Kootenai  </t>
  </si>
  <si>
    <t xml:space="preserve">Latah  </t>
  </si>
  <si>
    <t xml:space="preserve">Lemhi  </t>
  </si>
  <si>
    <t xml:space="preserve">Lewis  </t>
  </si>
  <si>
    <t xml:space="preserve">Minidoka  </t>
  </si>
  <si>
    <t xml:space="preserve">Nez Perce  </t>
  </si>
  <si>
    <t xml:space="preserve">Oneida  </t>
  </si>
  <si>
    <t xml:space="preserve">Owyhee  </t>
  </si>
  <si>
    <t xml:space="preserve">Payette  </t>
  </si>
  <si>
    <t xml:space="preserve">Power  </t>
  </si>
  <si>
    <t xml:space="preserve">Shoshone  </t>
  </si>
  <si>
    <t xml:space="preserve">Teton  </t>
  </si>
  <si>
    <t xml:space="preserve">Twin Falls  </t>
  </si>
  <si>
    <t xml:space="preserve">Valley  </t>
  </si>
  <si>
    <t xml:space="preserve">Alexander  </t>
  </si>
  <si>
    <t xml:space="preserve">Bond  </t>
  </si>
  <si>
    <t xml:space="preserve">Brown  </t>
  </si>
  <si>
    <t xml:space="preserve">Bureau  </t>
  </si>
  <si>
    <t xml:space="preserve">Cass  </t>
  </si>
  <si>
    <t xml:space="preserve">Champaign  </t>
  </si>
  <si>
    <t xml:space="preserve">Christian  </t>
  </si>
  <si>
    <t xml:space="preserve">Clinton  </t>
  </si>
  <si>
    <t xml:space="preserve">Coles  </t>
  </si>
  <si>
    <t xml:space="preserve">Cumberland  </t>
  </si>
  <si>
    <t xml:space="preserve">Dewitt  </t>
  </si>
  <si>
    <t xml:space="preserve">Dupage  </t>
  </si>
  <si>
    <t xml:space="preserve">Edgar  </t>
  </si>
  <si>
    <t xml:space="preserve">Edwards  </t>
  </si>
  <si>
    <t xml:space="preserve">Ford  </t>
  </si>
  <si>
    <t xml:space="preserve">Gallatin  </t>
  </si>
  <si>
    <t xml:space="preserve">Grundy  </t>
  </si>
  <si>
    <t xml:space="preserve">Hardin  </t>
  </si>
  <si>
    <t xml:space="preserve">Henderson  </t>
  </si>
  <si>
    <t xml:space="preserve">Iroquois  </t>
  </si>
  <si>
    <t xml:space="preserve">Jersey  </t>
  </si>
  <si>
    <t xml:space="preserve">Jo Daviess  </t>
  </si>
  <si>
    <t xml:space="preserve">Kane  </t>
  </si>
  <si>
    <t xml:space="preserve">Kankakee  </t>
  </si>
  <si>
    <t xml:space="preserve">Kendall  </t>
  </si>
  <si>
    <t xml:space="preserve">Knox  </t>
  </si>
  <si>
    <t xml:space="preserve">La Salle  </t>
  </si>
  <si>
    <t xml:space="preserve">Livingston  </t>
  </si>
  <si>
    <t xml:space="preserve">Macoupin  </t>
  </si>
  <si>
    <t xml:space="preserve">Mason  </t>
  </si>
  <si>
    <t xml:space="preserve">Massac  </t>
  </si>
  <si>
    <t xml:space="preserve">Mcdonough  </t>
  </si>
  <si>
    <t xml:space="preserve">Mchenry  </t>
  </si>
  <si>
    <t xml:space="preserve">Mclean  </t>
  </si>
  <si>
    <t xml:space="preserve">Menard  </t>
  </si>
  <si>
    <t xml:space="preserve">Mercer  </t>
  </si>
  <si>
    <t xml:space="preserve">Moultrie  </t>
  </si>
  <si>
    <t xml:space="preserve">Ogle  </t>
  </si>
  <si>
    <t xml:space="preserve">Peoria  </t>
  </si>
  <si>
    <t xml:space="preserve">Piatt  </t>
  </si>
  <si>
    <t xml:space="preserve">Richland  </t>
  </si>
  <si>
    <t xml:space="preserve">Rock Island  </t>
  </si>
  <si>
    <t xml:space="preserve">Sangamon  </t>
  </si>
  <si>
    <t xml:space="preserve">Schuyler  </t>
  </si>
  <si>
    <t xml:space="preserve">Stark  </t>
  </si>
  <si>
    <t xml:space="preserve">Stephenson  </t>
  </si>
  <si>
    <t xml:space="preserve">Tazewell  </t>
  </si>
  <si>
    <t xml:space="preserve">Vermilion  </t>
  </si>
  <si>
    <t xml:space="preserve">Wabash  </t>
  </si>
  <si>
    <t xml:space="preserve">Whiteside  </t>
  </si>
  <si>
    <t xml:space="preserve">Will  </t>
  </si>
  <si>
    <t xml:space="preserve">Williamson  </t>
  </si>
  <si>
    <t xml:space="preserve">Winnebago  </t>
  </si>
  <si>
    <t xml:space="preserve">Woodford  </t>
  </si>
  <si>
    <t xml:space="preserve">Allen  </t>
  </si>
  <si>
    <t xml:space="preserve">Bartholomew  </t>
  </si>
  <si>
    <t xml:space="preserve">Blackford  </t>
  </si>
  <si>
    <t xml:space="preserve">Daviess  </t>
  </si>
  <si>
    <t xml:space="preserve">Dearborn  </t>
  </si>
  <si>
    <t xml:space="preserve">Delaware  </t>
  </si>
  <si>
    <t xml:space="preserve">Dubois  </t>
  </si>
  <si>
    <t xml:space="preserve">Elkhart  </t>
  </si>
  <si>
    <t xml:space="preserve">Fountain  </t>
  </si>
  <si>
    <t xml:space="preserve">Gibson  </t>
  </si>
  <si>
    <t xml:space="preserve">Harrison  </t>
  </si>
  <si>
    <t xml:space="preserve">Hendricks  </t>
  </si>
  <si>
    <t xml:space="preserve">Huntington  </t>
  </si>
  <si>
    <t xml:space="preserve">Jay  </t>
  </si>
  <si>
    <t xml:space="preserve">Jennings  </t>
  </si>
  <si>
    <t xml:space="preserve">Kosciusko  </t>
  </si>
  <si>
    <t xml:space="preserve">La Porte  </t>
  </si>
  <si>
    <t xml:space="preserve">Lagrange  </t>
  </si>
  <si>
    <t xml:space="preserve">Miami  </t>
  </si>
  <si>
    <t xml:space="preserve">Noble  </t>
  </si>
  <si>
    <t xml:space="preserve">Ohio  </t>
  </si>
  <si>
    <t xml:space="preserve">Owen  </t>
  </si>
  <si>
    <t xml:space="preserve">Parke  </t>
  </si>
  <si>
    <t xml:space="preserve">Porter  </t>
  </si>
  <si>
    <t xml:space="preserve">Posey  </t>
  </si>
  <si>
    <t xml:space="preserve">Ripley  </t>
  </si>
  <si>
    <t xml:space="preserve">Rush  </t>
  </si>
  <si>
    <t xml:space="preserve">Spencer  </t>
  </si>
  <si>
    <t xml:space="preserve">St Joseph  </t>
  </si>
  <si>
    <t xml:space="preserve">Starke  </t>
  </si>
  <si>
    <t xml:space="preserve">Steuben  </t>
  </si>
  <si>
    <t xml:space="preserve">Sullivan  </t>
  </si>
  <si>
    <t xml:space="preserve">Switzerland  </t>
  </si>
  <si>
    <t xml:space="preserve">Tippecanoe  </t>
  </si>
  <si>
    <t xml:space="preserve">Tipton  </t>
  </si>
  <si>
    <t xml:space="preserve">Vanderburgh  </t>
  </si>
  <si>
    <t xml:space="preserve">Vermillion  </t>
  </si>
  <si>
    <t xml:space="preserve">Vigo  </t>
  </si>
  <si>
    <t xml:space="preserve">Warrick  </t>
  </si>
  <si>
    <t xml:space="preserve">Wells  </t>
  </si>
  <si>
    <t xml:space="preserve">Whitley  </t>
  </si>
  <si>
    <t xml:space="preserve">Adair  </t>
  </si>
  <si>
    <t xml:space="preserve">Allamakee  </t>
  </si>
  <si>
    <t xml:space="preserve">Appanoose  </t>
  </si>
  <si>
    <t xml:space="preserve">Audubon  </t>
  </si>
  <si>
    <t xml:space="preserve">Black Hawk  </t>
  </si>
  <si>
    <t xml:space="preserve">Bremer  </t>
  </si>
  <si>
    <t xml:space="preserve">Buchanan  </t>
  </si>
  <si>
    <t xml:space="preserve">Buena Vista  </t>
  </si>
  <si>
    <t xml:space="preserve">Cedar  </t>
  </si>
  <si>
    <t xml:space="preserve">Cerro Gordo  </t>
  </si>
  <si>
    <t xml:space="preserve">Chickasaw  </t>
  </si>
  <si>
    <t xml:space="preserve">Davis  </t>
  </si>
  <si>
    <t xml:space="preserve">Des Moines  </t>
  </si>
  <si>
    <t xml:space="preserve">Dickinson  </t>
  </si>
  <si>
    <t xml:space="preserve">Dubuque  </t>
  </si>
  <si>
    <t xml:space="preserve">Emmet  </t>
  </si>
  <si>
    <t xml:space="preserve">Guthrie  </t>
  </si>
  <si>
    <t xml:space="preserve">Ida  </t>
  </si>
  <si>
    <t xml:space="preserve">Iowa  </t>
  </si>
  <si>
    <t xml:space="preserve">Keokuk  </t>
  </si>
  <si>
    <t xml:space="preserve">Kossuth  </t>
  </si>
  <si>
    <t xml:space="preserve">Linn  </t>
  </si>
  <si>
    <t xml:space="preserve">Louisa  </t>
  </si>
  <si>
    <t xml:space="preserve">Lucas  </t>
  </si>
  <si>
    <t xml:space="preserve">Lyon  </t>
  </si>
  <si>
    <t xml:space="preserve">Mahaska  </t>
  </si>
  <si>
    <t xml:space="preserve">Mills  </t>
  </si>
  <si>
    <t xml:space="preserve">Monona  </t>
  </si>
  <si>
    <t xml:space="preserve">Muscatine  </t>
  </si>
  <si>
    <t xml:space="preserve">Obrien  </t>
  </si>
  <si>
    <t xml:space="preserve">Page  </t>
  </si>
  <si>
    <t xml:space="preserve">Palo Alto  </t>
  </si>
  <si>
    <t xml:space="preserve">Plymouth  </t>
  </si>
  <si>
    <t xml:space="preserve">Pocahontas  </t>
  </si>
  <si>
    <t xml:space="preserve">Pottawattamie  </t>
  </si>
  <si>
    <t xml:space="preserve">Poweshiek  </t>
  </si>
  <si>
    <t xml:space="preserve">Ringgold  </t>
  </si>
  <si>
    <t xml:space="preserve">Sac  </t>
  </si>
  <si>
    <t xml:space="preserve">Sioux  </t>
  </si>
  <si>
    <t xml:space="preserve">Story  </t>
  </si>
  <si>
    <t xml:space="preserve">Tama  </t>
  </si>
  <si>
    <t xml:space="preserve">Wapello  </t>
  </si>
  <si>
    <t xml:space="preserve">Winneshiek  </t>
  </si>
  <si>
    <t xml:space="preserve">Woodbury  </t>
  </si>
  <si>
    <t xml:space="preserve">Wright  </t>
  </si>
  <si>
    <t xml:space="preserve">Anderson  </t>
  </si>
  <si>
    <t xml:space="preserve">Atchison  </t>
  </si>
  <si>
    <t xml:space="preserve">Barber  </t>
  </si>
  <si>
    <t xml:space="preserve">Barton  </t>
  </si>
  <si>
    <t xml:space="preserve">Bourbon  </t>
  </si>
  <si>
    <t xml:space="preserve">Chase  </t>
  </si>
  <si>
    <t xml:space="preserve">Chautauqua  </t>
  </si>
  <si>
    <t xml:space="preserve">Cloud  </t>
  </si>
  <si>
    <t xml:space="preserve">Coffey  </t>
  </si>
  <si>
    <t xml:space="preserve">Comanche  </t>
  </si>
  <si>
    <t xml:space="preserve">Cowley  </t>
  </si>
  <si>
    <t xml:space="preserve">Doniphan  </t>
  </si>
  <si>
    <t xml:space="preserve">Elk  </t>
  </si>
  <si>
    <t xml:space="preserve">Ellis  </t>
  </si>
  <si>
    <t xml:space="preserve">Ellsworth  </t>
  </si>
  <si>
    <t xml:space="preserve">Finney  </t>
  </si>
  <si>
    <t xml:space="preserve">Geary  </t>
  </si>
  <si>
    <t xml:space="preserve">Gove  </t>
  </si>
  <si>
    <t xml:space="preserve">Gray  </t>
  </si>
  <si>
    <t xml:space="preserve">Greeley  </t>
  </si>
  <si>
    <t xml:space="preserve">Greenwood  </t>
  </si>
  <si>
    <t xml:space="preserve">Harper  </t>
  </si>
  <si>
    <t xml:space="preserve">Harvey  </t>
  </si>
  <si>
    <t xml:space="preserve">Haskell  </t>
  </si>
  <si>
    <t xml:space="preserve">Hodgeman  </t>
  </si>
  <si>
    <t xml:space="preserve">Jewell  </t>
  </si>
  <si>
    <t xml:space="preserve">Kearny  </t>
  </si>
  <si>
    <t xml:space="preserve">Kingman  </t>
  </si>
  <si>
    <t xml:space="preserve">Labette  </t>
  </si>
  <si>
    <t xml:space="preserve">Lane  </t>
  </si>
  <si>
    <t xml:space="preserve">Leavenworth  </t>
  </si>
  <si>
    <t xml:space="preserve">Mcpherson  </t>
  </si>
  <si>
    <t xml:space="preserve">Meade  </t>
  </si>
  <si>
    <t xml:space="preserve">Morris  </t>
  </si>
  <si>
    <t xml:space="preserve">Morton  </t>
  </si>
  <si>
    <t xml:space="preserve">Nemaha  </t>
  </si>
  <si>
    <t xml:space="preserve">Neosho  </t>
  </si>
  <si>
    <t xml:space="preserve">Ness  </t>
  </si>
  <si>
    <t xml:space="preserve">Norton  </t>
  </si>
  <si>
    <t xml:space="preserve">Osage  </t>
  </si>
  <si>
    <t xml:space="preserve">Osborne  </t>
  </si>
  <si>
    <t xml:space="preserve">Ottawa  </t>
  </si>
  <si>
    <t xml:space="preserve">Pawnee  </t>
  </si>
  <si>
    <t xml:space="preserve">Pottawatomie  </t>
  </si>
  <si>
    <t xml:space="preserve">Pratt  </t>
  </si>
  <si>
    <t xml:space="preserve">Rawlins  </t>
  </si>
  <si>
    <t xml:space="preserve">Reno  </t>
  </si>
  <si>
    <t xml:space="preserve">Republic  </t>
  </si>
  <si>
    <t xml:space="preserve">Rice  </t>
  </si>
  <si>
    <t xml:space="preserve">Riley  </t>
  </si>
  <si>
    <t xml:space="preserve">Rooks  </t>
  </si>
  <si>
    <t xml:space="preserve">Seward  </t>
  </si>
  <si>
    <t xml:space="preserve">Shawnee  </t>
  </si>
  <si>
    <t xml:space="preserve">Sheridan  </t>
  </si>
  <si>
    <t xml:space="preserve">Sherman  </t>
  </si>
  <si>
    <t xml:space="preserve">Smith  </t>
  </si>
  <si>
    <t xml:space="preserve">Stafford  </t>
  </si>
  <si>
    <t xml:space="preserve">Stanton  </t>
  </si>
  <si>
    <t xml:space="preserve">Stevens  </t>
  </si>
  <si>
    <t xml:space="preserve">Sumner  </t>
  </si>
  <si>
    <t xml:space="preserve">Trego  </t>
  </si>
  <si>
    <t xml:space="preserve">Wabaunsee  </t>
  </si>
  <si>
    <t xml:space="preserve">Wallace  </t>
  </si>
  <si>
    <t xml:space="preserve">Wichita  </t>
  </si>
  <si>
    <t xml:space="preserve">Wilson  </t>
  </si>
  <si>
    <t xml:space="preserve">Woodson  </t>
  </si>
  <si>
    <t xml:space="preserve">Wyandotte  </t>
  </si>
  <si>
    <t xml:space="preserve">Ballard  </t>
  </si>
  <si>
    <t xml:space="preserve">Barren  </t>
  </si>
  <si>
    <t xml:space="preserve">Bath  </t>
  </si>
  <si>
    <t xml:space="preserve">Bell  </t>
  </si>
  <si>
    <t xml:space="preserve">Boyd  </t>
  </si>
  <si>
    <t xml:space="preserve">Boyle  </t>
  </si>
  <si>
    <t xml:space="preserve">Bracken  </t>
  </si>
  <si>
    <t xml:space="preserve">Breathitt  </t>
  </si>
  <si>
    <t xml:space="preserve">Breckinridge  </t>
  </si>
  <si>
    <t xml:space="preserve">Bullitt  </t>
  </si>
  <si>
    <t xml:space="preserve">Caldwell  </t>
  </si>
  <si>
    <t xml:space="preserve">Calloway  </t>
  </si>
  <si>
    <t xml:space="preserve">Campbell  </t>
  </si>
  <si>
    <t xml:space="preserve">Carlisle  </t>
  </si>
  <si>
    <t xml:space="preserve">Carter  </t>
  </si>
  <si>
    <t xml:space="preserve">Casey  </t>
  </si>
  <si>
    <t xml:space="preserve">Edmonson  </t>
  </si>
  <si>
    <t xml:space="preserve">Elliott  </t>
  </si>
  <si>
    <t xml:space="preserve">Estill  </t>
  </si>
  <si>
    <t xml:space="preserve">Fleming  </t>
  </si>
  <si>
    <t xml:space="preserve">Garrard  </t>
  </si>
  <si>
    <t xml:space="preserve">Graves  </t>
  </si>
  <si>
    <t xml:space="preserve">Grayson  </t>
  </si>
  <si>
    <t xml:space="preserve">Green  </t>
  </si>
  <si>
    <t xml:space="preserve">Greenup  </t>
  </si>
  <si>
    <t xml:space="preserve">Harlan  </t>
  </si>
  <si>
    <t xml:space="preserve">Hickman  </t>
  </si>
  <si>
    <t xml:space="preserve">Hopkins  </t>
  </si>
  <si>
    <t xml:space="preserve">Jessamine  </t>
  </si>
  <si>
    <t xml:space="preserve">Kenton  </t>
  </si>
  <si>
    <t xml:space="preserve">Knott  </t>
  </si>
  <si>
    <t xml:space="preserve">Larue  </t>
  </si>
  <si>
    <t xml:space="preserve">Laurel  </t>
  </si>
  <si>
    <t xml:space="preserve">Leslie  </t>
  </si>
  <si>
    <t xml:space="preserve">Letcher  </t>
  </si>
  <si>
    <t xml:space="preserve">Magoffin  </t>
  </si>
  <si>
    <t xml:space="preserve">Mccracken  </t>
  </si>
  <si>
    <t xml:space="preserve">Mccreary  </t>
  </si>
  <si>
    <t xml:space="preserve">Menifee  </t>
  </si>
  <si>
    <t xml:space="preserve">Metcalfe  </t>
  </si>
  <si>
    <t xml:space="preserve">Muhlenberg  </t>
  </si>
  <si>
    <t xml:space="preserve">Nelson  </t>
  </si>
  <si>
    <t xml:space="preserve">Nicholas  </t>
  </si>
  <si>
    <t xml:space="preserve">Oldham  </t>
  </si>
  <si>
    <t xml:space="preserve">Owsley  </t>
  </si>
  <si>
    <t xml:space="preserve">Pendleton  </t>
  </si>
  <si>
    <t xml:space="preserve">Powell  </t>
  </si>
  <si>
    <t xml:space="preserve">Robertson  </t>
  </si>
  <si>
    <t xml:space="preserve">Rockcastle  </t>
  </si>
  <si>
    <t xml:space="preserve">Rowan  </t>
  </si>
  <si>
    <t xml:space="preserve">Simpson  </t>
  </si>
  <si>
    <t xml:space="preserve">Todd  </t>
  </si>
  <si>
    <t xml:space="preserve">Trigg  </t>
  </si>
  <si>
    <t xml:space="preserve">Trimble  </t>
  </si>
  <si>
    <t xml:space="preserve">Wolfe  </t>
  </si>
  <si>
    <t xml:space="preserve">Acadia  </t>
  </si>
  <si>
    <t xml:space="preserve">Ascension  </t>
  </si>
  <si>
    <t xml:space="preserve">Assumption  </t>
  </si>
  <si>
    <t xml:space="preserve">Avoyelles  </t>
  </si>
  <si>
    <t xml:space="preserve">Beauregard  </t>
  </si>
  <si>
    <t xml:space="preserve">Bienville  </t>
  </si>
  <si>
    <t xml:space="preserve">Bossier  </t>
  </si>
  <si>
    <t xml:space="preserve">Caddo  </t>
  </si>
  <si>
    <t xml:space="preserve">Calcasieu  </t>
  </si>
  <si>
    <t xml:space="preserve">Cameron  </t>
  </si>
  <si>
    <t xml:space="preserve">Catahoula  </t>
  </si>
  <si>
    <t xml:space="preserve">Claiborne  </t>
  </si>
  <si>
    <t xml:space="preserve">Concordia  </t>
  </si>
  <si>
    <t xml:space="preserve">East Baton Rouge  </t>
  </si>
  <si>
    <t xml:space="preserve">East Carroll  </t>
  </si>
  <si>
    <t xml:space="preserve">East Feliciana  </t>
  </si>
  <si>
    <t xml:space="preserve">Evangeline  </t>
  </si>
  <si>
    <t xml:space="preserve">Iberia  </t>
  </si>
  <si>
    <t xml:space="preserve">Iberville  </t>
  </si>
  <si>
    <t xml:space="preserve">Jefferson Davis  </t>
  </si>
  <si>
    <t xml:space="preserve">Lafourche  </t>
  </si>
  <si>
    <t xml:space="preserve">Morehouse  </t>
  </si>
  <si>
    <t xml:space="preserve">Natchitoches  </t>
  </si>
  <si>
    <t xml:space="preserve">Orleans  </t>
  </si>
  <si>
    <t xml:space="preserve">Plaquemines  </t>
  </si>
  <si>
    <t xml:space="preserve">Pointe Coupee  </t>
  </si>
  <si>
    <t xml:space="preserve">Rapides  </t>
  </si>
  <si>
    <t xml:space="preserve">Red River  </t>
  </si>
  <si>
    <t xml:space="preserve">Sabine  </t>
  </si>
  <si>
    <t xml:space="preserve">Saint Bernard  </t>
  </si>
  <si>
    <t xml:space="preserve">Saint Charles  </t>
  </si>
  <si>
    <t xml:space="preserve">Saint Helena  </t>
  </si>
  <si>
    <t xml:space="preserve">Saint James  </t>
  </si>
  <si>
    <t xml:space="preserve">Saint Landry  </t>
  </si>
  <si>
    <t xml:space="preserve">Saint Martin  </t>
  </si>
  <si>
    <t xml:space="preserve">Saint Mary  </t>
  </si>
  <si>
    <t xml:space="preserve">Saint Tammany  </t>
  </si>
  <si>
    <t xml:space="preserve">St John The Baptist  </t>
  </si>
  <si>
    <t xml:space="preserve">Tangipahoa  </t>
  </si>
  <si>
    <t xml:space="preserve">Tensas  </t>
  </si>
  <si>
    <t xml:space="preserve">Terrebonne  </t>
  </si>
  <si>
    <t xml:space="preserve">Vernon  </t>
  </si>
  <si>
    <t xml:space="preserve">West Baton Rouge  </t>
  </si>
  <si>
    <t xml:space="preserve">West Carroll  </t>
  </si>
  <si>
    <t xml:space="preserve">West Feliciana  </t>
  </si>
  <si>
    <t xml:space="preserve">Winn  </t>
  </si>
  <si>
    <t xml:space="preserve">Androscoggin  </t>
  </si>
  <si>
    <t xml:space="preserve">Aroostook  </t>
  </si>
  <si>
    <t xml:space="preserve">Kennebec  </t>
  </si>
  <si>
    <t xml:space="preserve">Oxford  </t>
  </si>
  <si>
    <t xml:space="preserve">Penobscot  </t>
  </si>
  <si>
    <t xml:space="preserve">Piscataquis  </t>
  </si>
  <si>
    <t xml:space="preserve">Sagadahoc  </t>
  </si>
  <si>
    <t xml:space="preserve">Somerset  </t>
  </si>
  <si>
    <t xml:space="preserve">Waldo  </t>
  </si>
  <si>
    <t xml:space="preserve">York  </t>
  </si>
  <si>
    <t xml:space="preserve">Allegany  </t>
  </si>
  <si>
    <t xml:space="preserve">Anne Arundel  </t>
  </si>
  <si>
    <t xml:space="preserve">Baltimore  </t>
  </si>
  <si>
    <t xml:space="preserve">Baltimore City  </t>
  </si>
  <si>
    <t xml:space="preserve">Calvert  </t>
  </si>
  <si>
    <t xml:space="preserve">Caroline  </t>
  </si>
  <si>
    <t xml:space="preserve">Cecil  </t>
  </si>
  <si>
    <t xml:space="preserve">Charles  </t>
  </si>
  <si>
    <t xml:space="preserve">Dorchester  </t>
  </si>
  <si>
    <t xml:space="preserve">Frederick  </t>
  </si>
  <si>
    <t xml:space="preserve">Garrett  </t>
  </si>
  <si>
    <t xml:space="preserve">Harford  </t>
  </si>
  <si>
    <t xml:space="preserve">Prince Georges  </t>
  </si>
  <si>
    <t xml:space="preserve">Queen Annes  </t>
  </si>
  <si>
    <t xml:space="preserve">Saint Marys  </t>
  </si>
  <si>
    <t xml:space="preserve">Wicomico  </t>
  </si>
  <si>
    <t xml:space="preserve">Worcester  </t>
  </si>
  <si>
    <t xml:space="preserve">Barnstable  </t>
  </si>
  <si>
    <t xml:space="preserve">Berkshire  </t>
  </si>
  <si>
    <t xml:space="preserve">Bristol  </t>
  </si>
  <si>
    <t xml:space="preserve">Dukes  </t>
  </si>
  <si>
    <t xml:space="preserve">Essex  </t>
  </si>
  <si>
    <t xml:space="preserve">Hampden  </t>
  </si>
  <si>
    <t xml:space="preserve">Hampshire  </t>
  </si>
  <si>
    <t xml:space="preserve">Nantucket  </t>
  </si>
  <si>
    <t xml:space="preserve">Norfolk  </t>
  </si>
  <si>
    <t xml:space="preserve">Suffolk  </t>
  </si>
  <si>
    <t xml:space="preserve">Alcona  </t>
  </si>
  <si>
    <t xml:space="preserve">Alger  </t>
  </si>
  <si>
    <t xml:space="preserve">Allegan  </t>
  </si>
  <si>
    <t xml:space="preserve">Alpena  </t>
  </si>
  <si>
    <t xml:space="preserve">Antrim  </t>
  </si>
  <si>
    <t xml:space="preserve">Arenac  </t>
  </si>
  <si>
    <t xml:space="preserve">Baraga  </t>
  </si>
  <si>
    <t xml:space="preserve">Barry  </t>
  </si>
  <si>
    <t xml:space="preserve">Benzie  </t>
  </si>
  <si>
    <t xml:space="preserve">Branch  </t>
  </si>
  <si>
    <t xml:space="preserve">Charlevoix  </t>
  </si>
  <si>
    <t xml:space="preserve">Cheboygan  </t>
  </si>
  <si>
    <t xml:space="preserve">Chippewa  </t>
  </si>
  <si>
    <t xml:space="preserve">Clare  </t>
  </si>
  <si>
    <t xml:space="preserve">Eaton  </t>
  </si>
  <si>
    <t xml:space="preserve">Genesee  </t>
  </si>
  <si>
    <t xml:space="preserve">Gladwin  </t>
  </si>
  <si>
    <t xml:space="preserve">Gogebic  </t>
  </si>
  <si>
    <t xml:space="preserve">Grand Traverse  </t>
  </si>
  <si>
    <t xml:space="preserve">Gratiot  </t>
  </si>
  <si>
    <t xml:space="preserve">Hillsdale  </t>
  </si>
  <si>
    <t xml:space="preserve">Houghton  </t>
  </si>
  <si>
    <t xml:space="preserve">Huron  </t>
  </si>
  <si>
    <t xml:space="preserve">Ingham  </t>
  </si>
  <si>
    <t xml:space="preserve">Ionia  </t>
  </si>
  <si>
    <t xml:space="preserve">Iosco  </t>
  </si>
  <si>
    <t xml:space="preserve">Iron  </t>
  </si>
  <si>
    <t xml:space="preserve">Isabella  </t>
  </si>
  <si>
    <t xml:space="preserve">Kalamazoo  </t>
  </si>
  <si>
    <t xml:space="preserve">Kalkaska  </t>
  </si>
  <si>
    <t xml:space="preserve">Keweenaw  </t>
  </si>
  <si>
    <t xml:space="preserve">Lapeer  </t>
  </si>
  <si>
    <t xml:space="preserve">Leelanau  </t>
  </si>
  <si>
    <t xml:space="preserve">Lenawee  </t>
  </si>
  <si>
    <t xml:space="preserve">Luce  </t>
  </si>
  <si>
    <t xml:space="preserve">Mackinac  </t>
  </si>
  <si>
    <t xml:space="preserve">Macomb  </t>
  </si>
  <si>
    <t xml:space="preserve">Manistee  </t>
  </si>
  <si>
    <t xml:space="preserve">Marquette  </t>
  </si>
  <si>
    <t xml:space="preserve">Mecosta  </t>
  </si>
  <si>
    <t xml:space="preserve">Menominee  </t>
  </si>
  <si>
    <t xml:space="preserve">Midland  </t>
  </si>
  <si>
    <t xml:space="preserve">Missaukee  </t>
  </si>
  <si>
    <t xml:space="preserve">Montcalm  </t>
  </si>
  <si>
    <t xml:space="preserve">Montmorency  </t>
  </si>
  <si>
    <t xml:space="preserve">Muskegon  </t>
  </si>
  <si>
    <t xml:space="preserve">Newaygo  </t>
  </si>
  <si>
    <t xml:space="preserve">Oakland  </t>
  </si>
  <si>
    <t xml:space="preserve">Oceana  </t>
  </si>
  <si>
    <t xml:space="preserve">Ogemaw  </t>
  </si>
  <si>
    <t xml:space="preserve">Ontonagon  </t>
  </si>
  <si>
    <t xml:space="preserve">Oscoda  </t>
  </si>
  <si>
    <t xml:space="preserve">Otsego  </t>
  </si>
  <si>
    <t xml:space="preserve">Presque Isle  </t>
  </si>
  <si>
    <t xml:space="preserve">Roscommon  </t>
  </si>
  <si>
    <t xml:space="preserve">Saginaw  </t>
  </si>
  <si>
    <t xml:space="preserve">Saint Joseph  </t>
  </si>
  <si>
    <t xml:space="preserve">Sanilac  </t>
  </si>
  <si>
    <t xml:space="preserve">Schoolcraft  </t>
  </si>
  <si>
    <t xml:space="preserve">Shiawassee  </t>
  </si>
  <si>
    <t xml:space="preserve">Tuscola  </t>
  </si>
  <si>
    <t xml:space="preserve">Washtenaw  </t>
  </si>
  <si>
    <t xml:space="preserve">Wexford  </t>
  </si>
  <si>
    <t xml:space="preserve">Aitkin  </t>
  </si>
  <si>
    <t xml:space="preserve">Anoka  </t>
  </si>
  <si>
    <t xml:space="preserve">Becker  </t>
  </si>
  <si>
    <t xml:space="preserve">Beltrami  </t>
  </si>
  <si>
    <t xml:space="preserve">Big Stone  </t>
  </si>
  <si>
    <t xml:space="preserve">Blue Earth  </t>
  </si>
  <si>
    <t xml:space="preserve">Carlton  </t>
  </si>
  <si>
    <t xml:space="preserve">Carver  </t>
  </si>
  <si>
    <t xml:space="preserve">Chisago  </t>
  </si>
  <si>
    <t xml:space="preserve">Cottonwood  </t>
  </si>
  <si>
    <t xml:space="preserve">Crow Wing  </t>
  </si>
  <si>
    <t xml:space="preserve">Dakota  </t>
  </si>
  <si>
    <t xml:space="preserve">Faribault  </t>
  </si>
  <si>
    <t xml:space="preserve">Fillmore  </t>
  </si>
  <si>
    <t xml:space="preserve">Freeborn  </t>
  </si>
  <si>
    <t xml:space="preserve">Goodhue  </t>
  </si>
  <si>
    <t xml:space="preserve">Hennepin  </t>
  </si>
  <si>
    <t xml:space="preserve">Hubbard  </t>
  </si>
  <si>
    <t xml:space="preserve">Isanti  </t>
  </si>
  <si>
    <t xml:space="preserve">Itasca  </t>
  </si>
  <si>
    <t xml:space="preserve">Kanabec  </t>
  </si>
  <si>
    <t xml:space="preserve">Kandiyohi  </t>
  </si>
  <si>
    <t xml:space="preserve">Kittson  </t>
  </si>
  <si>
    <t xml:space="preserve">Koochiching  </t>
  </si>
  <si>
    <t xml:space="preserve">Lac Qui Parle  </t>
  </si>
  <si>
    <t xml:space="preserve">Lake Of The Woods  </t>
  </si>
  <si>
    <t xml:space="preserve">Le Sueur  </t>
  </si>
  <si>
    <t xml:space="preserve">Mahnomen  </t>
  </si>
  <si>
    <t xml:space="preserve">Mcleod  </t>
  </si>
  <si>
    <t xml:space="preserve">Meeker  </t>
  </si>
  <si>
    <t xml:space="preserve">Mille Lacs  </t>
  </si>
  <si>
    <t xml:space="preserve">Morrison  </t>
  </si>
  <si>
    <t xml:space="preserve">Mower  </t>
  </si>
  <si>
    <t xml:space="preserve">Nicollet  </t>
  </si>
  <si>
    <t xml:space="preserve">Nobles  </t>
  </si>
  <si>
    <t xml:space="preserve">Norman  </t>
  </si>
  <si>
    <t xml:space="preserve">Olmsted  </t>
  </si>
  <si>
    <t xml:space="preserve">Otter Tail  </t>
  </si>
  <si>
    <t xml:space="preserve">Pennington  </t>
  </si>
  <si>
    <t xml:space="preserve">Pine  </t>
  </si>
  <si>
    <t xml:space="preserve">Pipestone  </t>
  </si>
  <si>
    <t xml:space="preserve">Ramsey  </t>
  </si>
  <si>
    <t xml:space="preserve">Red Lake  </t>
  </si>
  <si>
    <t xml:space="preserve">Redwood  </t>
  </si>
  <si>
    <t xml:space="preserve">Renville  </t>
  </si>
  <si>
    <t xml:space="preserve">Rock  </t>
  </si>
  <si>
    <t xml:space="preserve">Roseau  </t>
  </si>
  <si>
    <t xml:space="preserve">Saint Louis  </t>
  </si>
  <si>
    <t xml:space="preserve">Sherburne  </t>
  </si>
  <si>
    <t xml:space="preserve">Sibley  </t>
  </si>
  <si>
    <t xml:space="preserve">Stearns  </t>
  </si>
  <si>
    <t xml:space="preserve">Steele  </t>
  </si>
  <si>
    <t xml:space="preserve">Swift  </t>
  </si>
  <si>
    <t xml:space="preserve">Traverse  </t>
  </si>
  <si>
    <t xml:space="preserve">Wabasha  </t>
  </si>
  <si>
    <t xml:space="preserve">Wadena  </t>
  </si>
  <si>
    <t xml:space="preserve">Waseca  </t>
  </si>
  <si>
    <t xml:space="preserve">Watonwan  </t>
  </si>
  <si>
    <t xml:space="preserve">Wilkin  </t>
  </si>
  <si>
    <t xml:space="preserve">Winona  </t>
  </si>
  <si>
    <t xml:space="preserve">Yellow Medicine  </t>
  </si>
  <si>
    <t xml:space="preserve">Alcorn  </t>
  </si>
  <si>
    <t xml:space="preserve">Amite  </t>
  </si>
  <si>
    <t xml:space="preserve">Attala  </t>
  </si>
  <si>
    <t xml:space="preserve">Bolivar  </t>
  </si>
  <si>
    <t xml:space="preserve">Coahoma  </t>
  </si>
  <si>
    <t xml:space="preserve">Copiah  </t>
  </si>
  <si>
    <t xml:space="preserve">Desoto  </t>
  </si>
  <si>
    <t xml:space="preserve">Forrest  </t>
  </si>
  <si>
    <t xml:space="preserve">George  </t>
  </si>
  <si>
    <t xml:space="preserve">Grenada  </t>
  </si>
  <si>
    <t xml:space="preserve">Hinds  </t>
  </si>
  <si>
    <t xml:space="preserve">Humphreys  </t>
  </si>
  <si>
    <t xml:space="preserve">Issaquena  </t>
  </si>
  <si>
    <t xml:space="preserve">Itawamba  </t>
  </si>
  <si>
    <t xml:space="preserve">Kemper  </t>
  </si>
  <si>
    <t xml:space="preserve">Leake  </t>
  </si>
  <si>
    <t xml:space="preserve">Leflore  </t>
  </si>
  <si>
    <t xml:space="preserve">Neshoba  </t>
  </si>
  <si>
    <t xml:space="preserve">Noxubee  </t>
  </si>
  <si>
    <t xml:space="preserve">Oktibbeha  </t>
  </si>
  <si>
    <t xml:space="preserve">Panola  </t>
  </si>
  <si>
    <t xml:space="preserve">Pearl River  </t>
  </si>
  <si>
    <t xml:space="preserve">Pontotoc  </t>
  </si>
  <si>
    <t xml:space="preserve">Prentiss  </t>
  </si>
  <si>
    <t xml:space="preserve">Rankin  </t>
  </si>
  <si>
    <t xml:space="preserve">Sharkey  </t>
  </si>
  <si>
    <t xml:space="preserve">Sunflower  </t>
  </si>
  <si>
    <t xml:space="preserve">Tallahatchie  </t>
  </si>
  <si>
    <t xml:space="preserve">Tate  </t>
  </si>
  <si>
    <t xml:space="preserve">Tippah  </t>
  </si>
  <si>
    <t xml:space="preserve">Tishomingo  </t>
  </si>
  <si>
    <t xml:space="preserve">Tunica  </t>
  </si>
  <si>
    <t xml:space="preserve">Walthall  </t>
  </si>
  <si>
    <t xml:space="preserve">Yalobusha  </t>
  </si>
  <si>
    <t xml:space="preserve">Yazoo  </t>
  </si>
  <si>
    <t xml:space="preserve">Andrew  </t>
  </si>
  <si>
    <t xml:space="preserve">Audrain  </t>
  </si>
  <si>
    <t xml:space="preserve">Bates  </t>
  </si>
  <si>
    <t xml:space="preserve">Bollinger  </t>
  </si>
  <si>
    <t xml:space="preserve">Callaway  </t>
  </si>
  <si>
    <t xml:space="preserve">Cape Girardeau  </t>
  </si>
  <si>
    <t xml:space="preserve">Chariton  </t>
  </si>
  <si>
    <t xml:space="preserve">Cole  </t>
  </si>
  <si>
    <t xml:space="preserve">Cooper  </t>
  </si>
  <si>
    <t xml:space="preserve">Dent  </t>
  </si>
  <si>
    <t xml:space="preserve">Dunklin  </t>
  </si>
  <si>
    <t xml:space="preserve">Gasconade  </t>
  </si>
  <si>
    <t xml:space="preserve">Gentry  </t>
  </si>
  <si>
    <t xml:space="preserve">Hickory  </t>
  </si>
  <si>
    <t xml:space="preserve">Holt  </t>
  </si>
  <si>
    <t xml:space="preserve">Howell  </t>
  </si>
  <si>
    <t xml:space="preserve">Laclede  </t>
  </si>
  <si>
    <t xml:space="preserve">Maries  </t>
  </si>
  <si>
    <t xml:space="preserve">Mcdonald  </t>
  </si>
  <si>
    <t xml:space="preserve">Moniteau  </t>
  </si>
  <si>
    <t xml:space="preserve">New Madrid  </t>
  </si>
  <si>
    <t xml:space="preserve">Nodaway  </t>
  </si>
  <si>
    <t xml:space="preserve">Oregon  </t>
  </si>
  <si>
    <t xml:space="preserve">Ozark  </t>
  </si>
  <si>
    <t xml:space="preserve">Pemiscot  </t>
  </si>
  <si>
    <t xml:space="preserve">Pettis  </t>
  </si>
  <si>
    <t xml:space="preserve">Phelps  </t>
  </si>
  <si>
    <t xml:space="preserve">Platte  </t>
  </si>
  <si>
    <t xml:space="preserve">Ralls  </t>
  </si>
  <si>
    <t xml:space="preserve">Ray  </t>
  </si>
  <si>
    <t xml:space="preserve">Reynolds  </t>
  </si>
  <si>
    <t xml:space="preserve">Saint Francois  </t>
  </si>
  <si>
    <t xml:space="preserve">Saint Louis City  </t>
  </si>
  <si>
    <t xml:space="preserve">Sainte Genevieve  </t>
  </si>
  <si>
    <t xml:space="preserve">Scotland  </t>
  </si>
  <si>
    <t xml:space="preserve">Shannon  </t>
  </si>
  <si>
    <t xml:space="preserve">Stoddard  </t>
  </si>
  <si>
    <t xml:space="preserve">Taney  </t>
  </si>
  <si>
    <t xml:space="preserve">Texas  </t>
  </si>
  <si>
    <t xml:space="preserve">Beaverhead  </t>
  </si>
  <si>
    <t xml:space="preserve">Big Horn  </t>
  </si>
  <si>
    <t xml:space="preserve">Broadwater  </t>
  </si>
  <si>
    <t xml:space="preserve">Carbon  </t>
  </si>
  <si>
    <t xml:space="preserve">Cascade  </t>
  </si>
  <si>
    <t xml:space="preserve">Chouteau  </t>
  </si>
  <si>
    <t xml:space="preserve">Daniels  </t>
  </si>
  <si>
    <t xml:space="preserve">Deer Lodge  </t>
  </si>
  <si>
    <t xml:space="preserve">Fallon  </t>
  </si>
  <si>
    <t xml:space="preserve">Fergus  </t>
  </si>
  <si>
    <t xml:space="preserve">Flathead  </t>
  </si>
  <si>
    <t xml:space="preserve">Glacier  </t>
  </si>
  <si>
    <t xml:space="preserve">Golden Valley  </t>
  </si>
  <si>
    <t xml:space="preserve">Granite  </t>
  </si>
  <si>
    <t xml:space="preserve">Hill  </t>
  </si>
  <si>
    <t xml:space="preserve">Judith Basin  </t>
  </si>
  <si>
    <t xml:space="preserve">Lewis And Clark  </t>
  </si>
  <si>
    <t xml:space="preserve">Mccone  </t>
  </si>
  <si>
    <t xml:space="preserve">Meagher  </t>
  </si>
  <si>
    <t xml:space="preserve">Missoula  </t>
  </si>
  <si>
    <t xml:space="preserve">Musselshell  </t>
  </si>
  <si>
    <t xml:space="preserve">Petroleum  </t>
  </si>
  <si>
    <t xml:space="preserve">Pondera  </t>
  </si>
  <si>
    <t xml:space="preserve">Powder River  </t>
  </si>
  <si>
    <t xml:space="preserve">Ravalli  </t>
  </si>
  <si>
    <t xml:space="preserve">Roosevelt  </t>
  </si>
  <si>
    <t xml:space="preserve">Rosebud  </t>
  </si>
  <si>
    <t xml:space="preserve">Sanders  </t>
  </si>
  <si>
    <t xml:space="preserve">Silver Bow  </t>
  </si>
  <si>
    <t xml:space="preserve">Stillwater  </t>
  </si>
  <si>
    <t xml:space="preserve">Sweet Grass  </t>
  </si>
  <si>
    <t xml:space="preserve">Toole  </t>
  </si>
  <si>
    <t xml:space="preserve">Treasure  </t>
  </si>
  <si>
    <t xml:space="preserve">Wheatland  </t>
  </si>
  <si>
    <t xml:space="preserve">Wibaux  </t>
  </si>
  <si>
    <t xml:space="preserve">Yellowstone  </t>
  </si>
  <si>
    <t xml:space="preserve">Antelope  </t>
  </si>
  <si>
    <t xml:space="preserve">Arthur  </t>
  </si>
  <si>
    <t xml:space="preserve">Banner  </t>
  </si>
  <si>
    <t xml:space="preserve">Box Butte  </t>
  </si>
  <si>
    <t xml:space="preserve">Buffalo  </t>
  </si>
  <si>
    <t xml:space="preserve">Burt  </t>
  </si>
  <si>
    <t xml:space="preserve">Cherry  </t>
  </si>
  <si>
    <t xml:space="preserve">Colfax  </t>
  </si>
  <si>
    <t xml:space="preserve">Cuming  </t>
  </si>
  <si>
    <t xml:space="preserve">Dawes  </t>
  </si>
  <si>
    <t xml:space="preserve">Deuel  </t>
  </si>
  <si>
    <t xml:space="preserve">Dixon  </t>
  </si>
  <si>
    <t xml:space="preserve">Dundy  </t>
  </si>
  <si>
    <t xml:space="preserve">Frontier  </t>
  </si>
  <si>
    <t xml:space="preserve">Furnas  </t>
  </si>
  <si>
    <t xml:space="preserve">Gage  </t>
  </si>
  <si>
    <t xml:space="preserve">Garden  </t>
  </si>
  <si>
    <t xml:space="preserve">Gosper  </t>
  </si>
  <si>
    <t xml:space="preserve">Hayes  </t>
  </si>
  <si>
    <t xml:space="preserve">Hitchcock  </t>
  </si>
  <si>
    <t xml:space="preserve">Hooker  </t>
  </si>
  <si>
    <t xml:space="preserve">Kearney  </t>
  </si>
  <si>
    <t xml:space="preserve">Keith  </t>
  </si>
  <si>
    <t xml:space="preserve">Keya Paha  </t>
  </si>
  <si>
    <t xml:space="preserve">Kimball  </t>
  </si>
  <si>
    <t xml:space="preserve">Lancaster  </t>
  </si>
  <si>
    <t xml:space="preserve">Loup  </t>
  </si>
  <si>
    <t xml:space="preserve">Merrick  </t>
  </si>
  <si>
    <t xml:space="preserve">Morrill  </t>
  </si>
  <si>
    <t xml:space="preserve">Nance  </t>
  </si>
  <si>
    <t xml:space="preserve">Nuckolls  </t>
  </si>
  <si>
    <t xml:space="preserve">Otoe  </t>
  </si>
  <si>
    <t xml:space="preserve">Perkins  </t>
  </si>
  <si>
    <t xml:space="preserve">Red Willow  </t>
  </si>
  <si>
    <t xml:space="preserve">Richardson  </t>
  </si>
  <si>
    <t xml:space="preserve">Sarpy  </t>
  </si>
  <si>
    <t xml:space="preserve">Saunders  </t>
  </si>
  <si>
    <t xml:space="preserve">Scotts Bluff  </t>
  </si>
  <si>
    <t xml:space="preserve">Thayer  </t>
  </si>
  <si>
    <t xml:space="preserve">Thurston  </t>
  </si>
  <si>
    <t xml:space="preserve">Carson City  </t>
  </si>
  <si>
    <t xml:space="preserve">Churchill  </t>
  </si>
  <si>
    <t xml:space="preserve">Elko  </t>
  </si>
  <si>
    <t xml:space="preserve">Esmeralda  </t>
  </si>
  <si>
    <t xml:space="preserve">Eureka  </t>
  </si>
  <si>
    <t xml:space="preserve">Lander  </t>
  </si>
  <si>
    <t xml:space="preserve">Nye  </t>
  </si>
  <si>
    <t xml:space="preserve">Pershing  </t>
  </si>
  <si>
    <t xml:space="preserve">Storey  </t>
  </si>
  <si>
    <t xml:space="preserve">Washoe  </t>
  </si>
  <si>
    <t xml:space="preserve">White Pine  </t>
  </si>
  <si>
    <t xml:space="preserve">Belknap  </t>
  </si>
  <si>
    <t xml:space="preserve">Cheshire  </t>
  </si>
  <si>
    <t xml:space="preserve">Coos  </t>
  </si>
  <si>
    <t xml:space="preserve">Grafton  </t>
  </si>
  <si>
    <t xml:space="preserve">Merrimack  </t>
  </si>
  <si>
    <t xml:space="preserve">Rockingham  </t>
  </si>
  <si>
    <t xml:space="preserve">Strafford  </t>
  </si>
  <si>
    <t xml:space="preserve">Atlantic  </t>
  </si>
  <si>
    <t xml:space="preserve">Bergen  </t>
  </si>
  <si>
    <t xml:space="preserve">Burlington  </t>
  </si>
  <si>
    <t xml:space="preserve">Cape May  </t>
  </si>
  <si>
    <t xml:space="preserve">Gloucester  </t>
  </si>
  <si>
    <t xml:space="preserve">Hudson  </t>
  </si>
  <si>
    <t xml:space="preserve">Hunterdon  </t>
  </si>
  <si>
    <t xml:space="preserve">Monmouth  </t>
  </si>
  <si>
    <t xml:space="preserve">Ocean  </t>
  </si>
  <si>
    <t xml:space="preserve">Passaic  </t>
  </si>
  <si>
    <t xml:space="preserve">Salem  </t>
  </si>
  <si>
    <t xml:space="preserve">Bernalillo  </t>
  </si>
  <si>
    <t xml:space="preserve">Catron  </t>
  </si>
  <si>
    <t xml:space="preserve">Chaves  </t>
  </si>
  <si>
    <t xml:space="preserve">Cibola  </t>
  </si>
  <si>
    <t xml:space="preserve">Curry  </t>
  </si>
  <si>
    <t xml:space="preserve">De Baca  </t>
  </si>
  <si>
    <t xml:space="preserve">Dona Ana  </t>
  </si>
  <si>
    <t xml:space="preserve">Eddy  </t>
  </si>
  <si>
    <t xml:space="preserve">Guadalupe  </t>
  </si>
  <si>
    <t xml:space="preserve">Harding  </t>
  </si>
  <si>
    <t xml:space="preserve">Hidalgo  </t>
  </si>
  <si>
    <t xml:space="preserve">Lea  </t>
  </si>
  <si>
    <t xml:space="preserve">Los Alamos  </t>
  </si>
  <si>
    <t xml:space="preserve">Luna  </t>
  </si>
  <si>
    <t xml:space="preserve">Mckinley  </t>
  </si>
  <si>
    <t xml:space="preserve">Mora  </t>
  </si>
  <si>
    <t xml:space="preserve">Quay  </t>
  </si>
  <si>
    <t xml:space="preserve">Rio Arriba  </t>
  </si>
  <si>
    <t xml:space="preserve">Sandoval  </t>
  </si>
  <si>
    <t xml:space="preserve">Santa Fe  </t>
  </si>
  <si>
    <t xml:space="preserve">Socorro  </t>
  </si>
  <si>
    <t xml:space="preserve">Taos  </t>
  </si>
  <si>
    <t xml:space="preserve">Torrance  </t>
  </si>
  <si>
    <t xml:space="preserve">Valencia  </t>
  </si>
  <si>
    <t xml:space="preserve">Albany  </t>
  </si>
  <si>
    <t xml:space="preserve">Bronx  </t>
  </si>
  <si>
    <t xml:space="preserve">Broome  </t>
  </si>
  <si>
    <t xml:space="preserve">Cattaraugus  </t>
  </si>
  <si>
    <t xml:space="preserve">Cayuga  </t>
  </si>
  <si>
    <t xml:space="preserve">Chemung  </t>
  </si>
  <si>
    <t xml:space="preserve">Chenango  </t>
  </si>
  <si>
    <t xml:space="preserve">Cortland  </t>
  </si>
  <si>
    <t xml:space="preserve">Dutchess  </t>
  </si>
  <si>
    <t xml:space="preserve">Erie  </t>
  </si>
  <si>
    <t xml:space="preserve">Herkimer  </t>
  </si>
  <si>
    <t xml:space="preserve">New York  </t>
  </si>
  <si>
    <t xml:space="preserve">Niagara  </t>
  </si>
  <si>
    <t xml:space="preserve">Onondaga  </t>
  </si>
  <si>
    <t xml:space="preserve">Ontario  </t>
  </si>
  <si>
    <t xml:space="preserve">Oswego  </t>
  </si>
  <si>
    <t xml:space="preserve">Queens  </t>
  </si>
  <si>
    <t xml:space="preserve">Rensselaer  </t>
  </si>
  <si>
    <t xml:space="preserve">Rockland  </t>
  </si>
  <si>
    <t xml:space="preserve">Saint Lawrence  </t>
  </si>
  <si>
    <t xml:space="preserve">Saratoga  </t>
  </si>
  <si>
    <t xml:space="preserve">Schenectady  </t>
  </si>
  <si>
    <t xml:space="preserve">Schoharie  </t>
  </si>
  <si>
    <t xml:space="preserve">Seneca  </t>
  </si>
  <si>
    <t xml:space="preserve">Tioga  </t>
  </si>
  <si>
    <t xml:space="preserve">Tompkins  </t>
  </si>
  <si>
    <t xml:space="preserve">Ulster  </t>
  </si>
  <si>
    <t xml:space="preserve">Westchester  </t>
  </si>
  <si>
    <t xml:space="preserve">Wyoming  </t>
  </si>
  <si>
    <t xml:space="preserve">Yates  </t>
  </si>
  <si>
    <t xml:space="preserve">Alamance  </t>
  </si>
  <si>
    <t xml:space="preserve">Alleghany  </t>
  </si>
  <si>
    <t xml:space="preserve">Anson  </t>
  </si>
  <si>
    <t xml:space="preserve">Ashe  </t>
  </si>
  <si>
    <t xml:space="preserve">Avery  </t>
  </si>
  <si>
    <t xml:space="preserve">Beaufort  </t>
  </si>
  <si>
    <t xml:space="preserve">Bertie  </t>
  </si>
  <si>
    <t xml:space="preserve">Bladen  </t>
  </si>
  <si>
    <t xml:space="preserve">Brunswick  </t>
  </si>
  <si>
    <t xml:space="preserve">Buncombe  </t>
  </si>
  <si>
    <t xml:space="preserve">Cabarrus  </t>
  </si>
  <si>
    <t xml:space="preserve">Carteret  </t>
  </si>
  <si>
    <t xml:space="preserve">Caswell  </t>
  </si>
  <si>
    <t xml:space="preserve">Catawba  </t>
  </si>
  <si>
    <t xml:space="preserve">Chowan  </t>
  </si>
  <si>
    <t xml:space="preserve">Columbus  </t>
  </si>
  <si>
    <t xml:space="preserve">Craven  </t>
  </si>
  <si>
    <t xml:space="preserve">Currituck  </t>
  </si>
  <si>
    <t xml:space="preserve">Dare  </t>
  </si>
  <si>
    <t xml:space="preserve">Davidson  </t>
  </si>
  <si>
    <t xml:space="preserve">Davie  </t>
  </si>
  <si>
    <t xml:space="preserve">Duplin  </t>
  </si>
  <si>
    <t xml:space="preserve">Durham  </t>
  </si>
  <si>
    <t xml:space="preserve">Edgecombe  </t>
  </si>
  <si>
    <t xml:space="preserve">Gaston  </t>
  </si>
  <si>
    <t xml:space="preserve">Gates  </t>
  </si>
  <si>
    <t xml:space="preserve">Granville  </t>
  </si>
  <si>
    <t xml:space="preserve">Guilford  </t>
  </si>
  <si>
    <t xml:space="preserve">Halifax  </t>
  </si>
  <si>
    <t xml:space="preserve">Harnett  </t>
  </si>
  <si>
    <t xml:space="preserve">Haywood  </t>
  </si>
  <si>
    <t xml:space="preserve">Hertford  </t>
  </si>
  <si>
    <t xml:space="preserve">Hoke  </t>
  </si>
  <si>
    <t xml:space="preserve">Hyde  </t>
  </si>
  <si>
    <t xml:space="preserve">Iredell  </t>
  </si>
  <si>
    <t xml:space="preserve">Johnston  </t>
  </si>
  <si>
    <t xml:space="preserve">Lenoir  </t>
  </si>
  <si>
    <t xml:space="preserve">Mcdowell  </t>
  </si>
  <si>
    <t xml:space="preserve">Mecklenburg  </t>
  </si>
  <si>
    <t xml:space="preserve">Moore  </t>
  </si>
  <si>
    <t xml:space="preserve">Nash  </t>
  </si>
  <si>
    <t xml:space="preserve">New Hanover  </t>
  </si>
  <si>
    <t xml:space="preserve">Northampton  </t>
  </si>
  <si>
    <t xml:space="preserve">Onslow  </t>
  </si>
  <si>
    <t xml:space="preserve">Pamlico  </t>
  </si>
  <si>
    <t xml:space="preserve">Pasquotank  </t>
  </si>
  <si>
    <t xml:space="preserve">Pender  </t>
  </si>
  <si>
    <t xml:space="preserve">Perquimans  </t>
  </si>
  <si>
    <t xml:space="preserve">Person  </t>
  </si>
  <si>
    <t xml:space="preserve">Pitt  </t>
  </si>
  <si>
    <t xml:space="preserve">Robeson  </t>
  </si>
  <si>
    <t xml:space="preserve">Rutherford  </t>
  </si>
  <si>
    <t xml:space="preserve">Sampson  </t>
  </si>
  <si>
    <t xml:space="preserve">Stanly  </t>
  </si>
  <si>
    <t xml:space="preserve">Stokes  </t>
  </si>
  <si>
    <t xml:space="preserve">Surry  </t>
  </si>
  <si>
    <t xml:space="preserve">Swain  </t>
  </si>
  <si>
    <t xml:space="preserve">Transylvania  </t>
  </si>
  <si>
    <t xml:space="preserve">Tyrrell  </t>
  </si>
  <si>
    <t xml:space="preserve">Vance  </t>
  </si>
  <si>
    <t xml:space="preserve">Wake  </t>
  </si>
  <si>
    <t xml:space="preserve">Watauga  </t>
  </si>
  <si>
    <t xml:space="preserve">Yadkin  </t>
  </si>
  <si>
    <t xml:space="preserve">Yancey  </t>
  </si>
  <si>
    <t xml:space="preserve">Barnes  </t>
  </si>
  <si>
    <t xml:space="preserve">Benson  </t>
  </si>
  <si>
    <t xml:space="preserve">Billings  </t>
  </si>
  <si>
    <t xml:space="preserve">Bottineau  </t>
  </si>
  <si>
    <t xml:space="preserve">Bowman  </t>
  </si>
  <si>
    <t xml:space="preserve">Burleigh  </t>
  </si>
  <si>
    <t xml:space="preserve">Cavalier  </t>
  </si>
  <si>
    <t xml:space="preserve">Dickey  </t>
  </si>
  <si>
    <t xml:space="preserve">Divide  </t>
  </si>
  <si>
    <t xml:space="preserve">Dunn  </t>
  </si>
  <si>
    <t xml:space="preserve">Emmons  </t>
  </si>
  <si>
    <t xml:space="preserve">Foster  </t>
  </si>
  <si>
    <t xml:space="preserve">Grand Forks  </t>
  </si>
  <si>
    <t xml:space="preserve">Griggs  </t>
  </si>
  <si>
    <t xml:space="preserve">Hettinger  </t>
  </si>
  <si>
    <t xml:space="preserve">Kidder  </t>
  </si>
  <si>
    <t xml:space="preserve">Lamoure  </t>
  </si>
  <si>
    <t xml:space="preserve">Mckenzie  </t>
  </si>
  <si>
    <t xml:space="preserve">Mountrail  </t>
  </si>
  <si>
    <t xml:space="preserve">Oliver  </t>
  </si>
  <si>
    <t xml:space="preserve">Pembina  </t>
  </si>
  <si>
    <t xml:space="preserve">Ransom  </t>
  </si>
  <si>
    <t xml:space="preserve">Rolette  </t>
  </si>
  <si>
    <t xml:space="preserve">Sargent  </t>
  </si>
  <si>
    <t xml:space="preserve">Slope  </t>
  </si>
  <si>
    <t xml:space="preserve">Stutsman  </t>
  </si>
  <si>
    <t xml:space="preserve">Towner  </t>
  </si>
  <si>
    <t xml:space="preserve">Traill  </t>
  </si>
  <si>
    <t xml:space="preserve">Walsh  </t>
  </si>
  <si>
    <t xml:space="preserve">Ward  </t>
  </si>
  <si>
    <t xml:space="preserve">Williams  </t>
  </si>
  <si>
    <t xml:space="preserve">Northern Mariana Islands  </t>
  </si>
  <si>
    <t xml:space="preserve">Ashland  </t>
  </si>
  <si>
    <t xml:space="preserve">Ashtabula  </t>
  </si>
  <si>
    <t xml:space="preserve">Athens  </t>
  </si>
  <si>
    <t xml:space="preserve">Auglaize  </t>
  </si>
  <si>
    <t xml:space="preserve">Belmont  </t>
  </si>
  <si>
    <t xml:space="preserve">Clermont  </t>
  </si>
  <si>
    <t xml:space="preserve">Columbiana  </t>
  </si>
  <si>
    <t xml:space="preserve">Coshocton  </t>
  </si>
  <si>
    <t xml:space="preserve">Cuyahoga  </t>
  </si>
  <si>
    <t xml:space="preserve">Darke  </t>
  </si>
  <si>
    <t xml:space="preserve">Defiance  </t>
  </si>
  <si>
    <t xml:space="preserve">Gallia  </t>
  </si>
  <si>
    <t xml:space="preserve">Geauga  </t>
  </si>
  <si>
    <t xml:space="preserve">Guernsey  </t>
  </si>
  <si>
    <t xml:space="preserve">Highland  </t>
  </si>
  <si>
    <t xml:space="preserve">Hocking  </t>
  </si>
  <si>
    <t xml:space="preserve">Licking  </t>
  </si>
  <si>
    <t xml:space="preserve">Lorain  </t>
  </si>
  <si>
    <t xml:space="preserve">Mahoning  </t>
  </si>
  <si>
    <t xml:space="preserve">Medina  </t>
  </si>
  <si>
    <t xml:space="preserve">Meigs  </t>
  </si>
  <si>
    <t xml:space="preserve">Morrow  </t>
  </si>
  <si>
    <t xml:space="preserve">Muskingum  </t>
  </si>
  <si>
    <t xml:space="preserve">Pickaway  </t>
  </si>
  <si>
    <t xml:space="preserve">Portage  </t>
  </si>
  <si>
    <t xml:space="preserve">Preble  </t>
  </si>
  <si>
    <t xml:space="preserve">Ross  </t>
  </si>
  <si>
    <t xml:space="preserve">Sandusky  </t>
  </si>
  <si>
    <t xml:space="preserve">Scioto  </t>
  </si>
  <si>
    <t xml:space="preserve">Trumbull  </t>
  </si>
  <si>
    <t xml:space="preserve">Tuscarawas  </t>
  </si>
  <si>
    <t xml:space="preserve">Van Wert  </t>
  </si>
  <si>
    <t xml:space="preserve">Vinton  </t>
  </si>
  <si>
    <t xml:space="preserve">Wood  </t>
  </si>
  <si>
    <t xml:space="preserve">Wyandot  </t>
  </si>
  <si>
    <t xml:space="preserve">Alfalfa  </t>
  </si>
  <si>
    <t xml:space="preserve">Atoka  </t>
  </si>
  <si>
    <t xml:space="preserve">Beaver  </t>
  </si>
  <si>
    <t xml:space="preserve">Beckham  </t>
  </si>
  <si>
    <t xml:space="preserve">Canadian  </t>
  </si>
  <si>
    <t xml:space="preserve">Cimarron  </t>
  </si>
  <si>
    <t xml:space="preserve">Coal  </t>
  </si>
  <si>
    <t xml:space="preserve">Cotton  </t>
  </si>
  <si>
    <t xml:space="preserve">Craig  </t>
  </si>
  <si>
    <t xml:space="preserve">Creek  </t>
  </si>
  <si>
    <t xml:space="preserve">Dewey  </t>
  </si>
  <si>
    <t xml:space="preserve">Garvin  </t>
  </si>
  <si>
    <t xml:space="preserve">Greer  </t>
  </si>
  <si>
    <t xml:space="preserve">Harmon  </t>
  </si>
  <si>
    <t xml:space="preserve">Hughes  </t>
  </si>
  <si>
    <t xml:space="preserve">Kay  </t>
  </si>
  <si>
    <t xml:space="preserve">Kingfisher  </t>
  </si>
  <si>
    <t xml:space="preserve">Latimer  </t>
  </si>
  <si>
    <t xml:space="preserve">Le Flore  </t>
  </si>
  <si>
    <t xml:space="preserve">Love  </t>
  </si>
  <si>
    <t xml:space="preserve">Major  </t>
  </si>
  <si>
    <t xml:space="preserve">Mayes  </t>
  </si>
  <si>
    <t xml:space="preserve">Mcclain  </t>
  </si>
  <si>
    <t xml:space="preserve">Mccurtain  </t>
  </si>
  <si>
    <t xml:space="preserve">Muskogee  </t>
  </si>
  <si>
    <t xml:space="preserve">Nowata  </t>
  </si>
  <si>
    <t xml:space="preserve">Okfuskee  </t>
  </si>
  <si>
    <t xml:space="preserve">Oklahoma  </t>
  </si>
  <si>
    <t xml:space="preserve">Okmulgee  </t>
  </si>
  <si>
    <t xml:space="preserve">Payne  </t>
  </si>
  <si>
    <t xml:space="preserve">Pittsburg  </t>
  </si>
  <si>
    <t xml:space="preserve">Pushmataha  </t>
  </si>
  <si>
    <t xml:space="preserve">Roger Mills  </t>
  </si>
  <si>
    <t xml:space="preserve">Rogers  </t>
  </si>
  <si>
    <t xml:space="preserve">Sequoyah  </t>
  </si>
  <si>
    <t xml:space="preserve">Tillman  </t>
  </si>
  <si>
    <t xml:space="preserve">Tulsa  </t>
  </si>
  <si>
    <t xml:space="preserve">Wagoner  </t>
  </si>
  <si>
    <t xml:space="preserve">Washita  </t>
  </si>
  <si>
    <t xml:space="preserve">Woods  </t>
  </si>
  <si>
    <t xml:space="preserve">Woodward  </t>
  </si>
  <si>
    <t xml:space="preserve">Clackamas  </t>
  </si>
  <si>
    <t xml:space="preserve">Clatsop  </t>
  </si>
  <si>
    <t xml:space="preserve">Crook  </t>
  </si>
  <si>
    <t xml:space="preserve">Deschutes  </t>
  </si>
  <si>
    <t xml:space="preserve">Gilliam  </t>
  </si>
  <si>
    <t xml:space="preserve">Harney  </t>
  </si>
  <si>
    <t xml:space="preserve">Hood River  </t>
  </si>
  <si>
    <t xml:space="preserve">Josephine  </t>
  </si>
  <si>
    <t xml:space="preserve">Klamath  </t>
  </si>
  <si>
    <t xml:space="preserve">Malheur  </t>
  </si>
  <si>
    <t xml:space="preserve">Multnomah  </t>
  </si>
  <si>
    <t xml:space="preserve">Tillamook  </t>
  </si>
  <si>
    <t xml:space="preserve">Umatilla  </t>
  </si>
  <si>
    <t xml:space="preserve">Wallowa  </t>
  </si>
  <si>
    <t xml:space="preserve">Wasco  </t>
  </si>
  <si>
    <t xml:space="preserve">Yamhill  </t>
  </si>
  <si>
    <t xml:space="preserve">Allegheny  </t>
  </si>
  <si>
    <t xml:space="preserve">Armstrong  </t>
  </si>
  <si>
    <t xml:space="preserve">Bedford  </t>
  </si>
  <si>
    <t xml:space="preserve">Berks  </t>
  </si>
  <si>
    <t xml:space="preserve">Blair  </t>
  </si>
  <si>
    <t xml:space="preserve">Bucks  </t>
  </si>
  <si>
    <t xml:space="preserve">Cambria  </t>
  </si>
  <si>
    <t xml:space="preserve">Centre  </t>
  </si>
  <si>
    <t xml:space="preserve">Chester  </t>
  </si>
  <si>
    <t xml:space="preserve">Clarion  </t>
  </si>
  <si>
    <t xml:space="preserve">Clearfield  </t>
  </si>
  <si>
    <t xml:space="preserve">Dauphin  </t>
  </si>
  <si>
    <t xml:space="preserve">Forest  </t>
  </si>
  <si>
    <t xml:space="preserve">Huntingdon  </t>
  </si>
  <si>
    <t xml:space="preserve">Indiana  </t>
  </si>
  <si>
    <t xml:space="preserve">Juniata  </t>
  </si>
  <si>
    <t xml:space="preserve">Lackawanna  </t>
  </si>
  <si>
    <t xml:space="preserve">Lebanon  </t>
  </si>
  <si>
    <t xml:space="preserve">Lehigh  </t>
  </si>
  <si>
    <t xml:space="preserve">Luzerne  </t>
  </si>
  <si>
    <t xml:space="preserve">Lycoming  </t>
  </si>
  <si>
    <t xml:space="preserve">Mckean  </t>
  </si>
  <si>
    <t xml:space="preserve">Mifflin  </t>
  </si>
  <si>
    <t xml:space="preserve">Montour  </t>
  </si>
  <si>
    <t xml:space="preserve">Northumberland  </t>
  </si>
  <si>
    <t xml:space="preserve">Philadelphia  </t>
  </si>
  <si>
    <t xml:space="preserve">Potter  </t>
  </si>
  <si>
    <t xml:space="preserve">Schuylkill  </t>
  </si>
  <si>
    <t xml:space="preserve">Snyder  </t>
  </si>
  <si>
    <t xml:space="preserve">Susquehanna  </t>
  </si>
  <si>
    <t xml:space="preserve">Venango  </t>
  </si>
  <si>
    <t xml:space="preserve">Westmoreland  </t>
  </si>
  <si>
    <t xml:space="preserve">Newport  </t>
  </si>
  <si>
    <t xml:space="preserve">Providence  </t>
  </si>
  <si>
    <t xml:space="preserve">Abbeville  </t>
  </si>
  <si>
    <t xml:space="preserve">Aiken  </t>
  </si>
  <si>
    <t xml:space="preserve">Allendale  </t>
  </si>
  <si>
    <t xml:space="preserve">Bamberg  </t>
  </si>
  <si>
    <t xml:space="preserve">Barnwell  </t>
  </si>
  <si>
    <t xml:space="preserve">Berkeley  </t>
  </si>
  <si>
    <t xml:space="preserve">Charleston  </t>
  </si>
  <si>
    <t xml:space="preserve">Chesterfield  </t>
  </si>
  <si>
    <t xml:space="preserve">Clarendon  </t>
  </si>
  <si>
    <t xml:space="preserve">Colleton  </t>
  </si>
  <si>
    <t xml:space="preserve">Darlington  </t>
  </si>
  <si>
    <t xml:space="preserve">Dillon  </t>
  </si>
  <si>
    <t xml:space="preserve">Edgefield  </t>
  </si>
  <si>
    <t xml:space="preserve">Florence  </t>
  </si>
  <si>
    <t xml:space="preserve">Georgetown  </t>
  </si>
  <si>
    <t xml:space="preserve">Greenville  </t>
  </si>
  <si>
    <t xml:space="preserve">Hampton  </t>
  </si>
  <si>
    <t xml:space="preserve">Horry  </t>
  </si>
  <si>
    <t xml:space="preserve">Kershaw  </t>
  </si>
  <si>
    <t xml:space="preserve">Lexington  </t>
  </si>
  <si>
    <t xml:space="preserve">Marlboro  </t>
  </si>
  <si>
    <t xml:space="preserve">Mccormick  </t>
  </si>
  <si>
    <t xml:space="preserve">Newberry  </t>
  </si>
  <si>
    <t xml:space="preserve">Orangeburg  </t>
  </si>
  <si>
    <t xml:space="preserve">Saluda  </t>
  </si>
  <si>
    <t xml:space="preserve">Spartanburg  </t>
  </si>
  <si>
    <t xml:space="preserve">Williamsburg  </t>
  </si>
  <si>
    <t xml:space="preserve">Aurora  </t>
  </si>
  <si>
    <t xml:space="preserve">Beadle  </t>
  </si>
  <si>
    <t xml:space="preserve">Bennett  </t>
  </si>
  <si>
    <t xml:space="preserve">Bon Homme  </t>
  </si>
  <si>
    <t xml:space="preserve">Brookings  </t>
  </si>
  <si>
    <t xml:space="preserve">Brule  </t>
  </si>
  <si>
    <t xml:space="preserve">Charles Mix  </t>
  </si>
  <si>
    <t xml:space="preserve">Codington  </t>
  </si>
  <si>
    <t xml:space="preserve">Corson  </t>
  </si>
  <si>
    <t xml:space="preserve">Davison  </t>
  </si>
  <si>
    <t xml:space="preserve">Day  </t>
  </si>
  <si>
    <t xml:space="preserve">Edmunds  </t>
  </si>
  <si>
    <t xml:space="preserve">Fall River  </t>
  </si>
  <si>
    <t xml:space="preserve">Faulk  </t>
  </si>
  <si>
    <t xml:space="preserve">Gregory  </t>
  </si>
  <si>
    <t xml:space="preserve">Haakon  </t>
  </si>
  <si>
    <t xml:space="preserve">Hamlin  </t>
  </si>
  <si>
    <t xml:space="preserve">Hand  </t>
  </si>
  <si>
    <t xml:space="preserve">Hanson  </t>
  </si>
  <si>
    <t xml:space="preserve">Hutchinson  </t>
  </si>
  <si>
    <t xml:space="preserve">Jerauld  </t>
  </si>
  <si>
    <t xml:space="preserve">Kingsbury  </t>
  </si>
  <si>
    <t xml:space="preserve">Lyman  </t>
  </si>
  <si>
    <t xml:space="preserve">Mccook  </t>
  </si>
  <si>
    <t xml:space="preserve">Mellette  </t>
  </si>
  <si>
    <t xml:space="preserve">Miner  </t>
  </si>
  <si>
    <t xml:space="preserve">Minnehaha  </t>
  </si>
  <si>
    <t xml:space="preserve">Moody  </t>
  </si>
  <si>
    <t xml:space="preserve">Roberts  </t>
  </si>
  <si>
    <t xml:space="preserve">Sanborn  </t>
  </si>
  <si>
    <t xml:space="preserve">Spink  </t>
  </si>
  <si>
    <t xml:space="preserve">Stanley  </t>
  </si>
  <si>
    <t xml:space="preserve">Sully  </t>
  </si>
  <si>
    <t xml:space="preserve">Tripp  </t>
  </si>
  <si>
    <t xml:space="preserve">Walworth  </t>
  </si>
  <si>
    <t xml:space="preserve">Yankton  </t>
  </si>
  <si>
    <t xml:space="preserve">Ziebach  </t>
  </si>
  <si>
    <t xml:space="preserve">Bledsoe  </t>
  </si>
  <si>
    <t xml:space="preserve">Cannon  </t>
  </si>
  <si>
    <t xml:space="preserve">Cheatham  </t>
  </si>
  <si>
    <t xml:space="preserve">Cocke  </t>
  </si>
  <si>
    <t xml:space="preserve">Crockett  </t>
  </si>
  <si>
    <t xml:space="preserve">Dickson  </t>
  </si>
  <si>
    <t xml:space="preserve">Dyer  </t>
  </si>
  <si>
    <t xml:space="preserve">Fentress  </t>
  </si>
  <si>
    <t xml:space="preserve">Giles  </t>
  </si>
  <si>
    <t xml:space="preserve">Grainger  </t>
  </si>
  <si>
    <t xml:space="preserve">Hamblen  </t>
  </si>
  <si>
    <t xml:space="preserve">Hardeman  </t>
  </si>
  <si>
    <t xml:space="preserve">Hawkins  </t>
  </si>
  <si>
    <t xml:space="preserve">Loudon  </t>
  </si>
  <si>
    <t xml:space="preserve">Maury  </t>
  </si>
  <si>
    <t xml:space="preserve">Mcminn  </t>
  </si>
  <si>
    <t xml:space="preserve">Mcnairy  </t>
  </si>
  <si>
    <t xml:space="preserve">Obion  </t>
  </si>
  <si>
    <t xml:space="preserve">Overton  </t>
  </si>
  <si>
    <t xml:space="preserve">Pickett  </t>
  </si>
  <si>
    <t xml:space="preserve">Rhea  </t>
  </si>
  <si>
    <t xml:space="preserve">Roane  </t>
  </si>
  <si>
    <t xml:space="preserve">Sequatchie  </t>
  </si>
  <si>
    <t xml:space="preserve">Trousdale  </t>
  </si>
  <si>
    <t xml:space="preserve">Unicoi  </t>
  </si>
  <si>
    <t xml:space="preserve">Weakley  </t>
  </si>
  <si>
    <t xml:space="preserve">Andrews  </t>
  </si>
  <si>
    <t xml:space="preserve">Angelina  </t>
  </si>
  <si>
    <t xml:space="preserve">Aransas  </t>
  </si>
  <si>
    <t xml:space="preserve">Archer  </t>
  </si>
  <si>
    <t xml:space="preserve">Atascosa  </t>
  </si>
  <si>
    <t xml:space="preserve">Austin  </t>
  </si>
  <si>
    <t xml:space="preserve">Bailey  </t>
  </si>
  <si>
    <t xml:space="preserve">Bandera  </t>
  </si>
  <si>
    <t xml:space="preserve">Bastrop  </t>
  </si>
  <si>
    <t xml:space="preserve">Baylor  </t>
  </si>
  <si>
    <t xml:space="preserve">Bee  </t>
  </si>
  <si>
    <t xml:space="preserve">Bexar  </t>
  </si>
  <si>
    <t xml:space="preserve">Blanco  </t>
  </si>
  <si>
    <t xml:space="preserve">Borden  </t>
  </si>
  <si>
    <t xml:space="preserve">Bosque  </t>
  </si>
  <si>
    <t xml:space="preserve">Bowie  </t>
  </si>
  <si>
    <t xml:space="preserve">Brazoria  </t>
  </si>
  <si>
    <t xml:space="preserve">Brazos  </t>
  </si>
  <si>
    <t xml:space="preserve">Brewster  </t>
  </si>
  <si>
    <t xml:space="preserve">Briscoe  </t>
  </si>
  <si>
    <t xml:space="preserve">Burleson  </t>
  </si>
  <si>
    <t xml:space="preserve">Burnet  </t>
  </si>
  <si>
    <t xml:space="preserve">Callahan  </t>
  </si>
  <si>
    <t xml:space="preserve">Camp  </t>
  </si>
  <si>
    <t xml:space="preserve">Carson  </t>
  </si>
  <si>
    <t xml:space="preserve">Castro  </t>
  </si>
  <si>
    <t xml:space="preserve">Childress  </t>
  </si>
  <si>
    <t xml:space="preserve">Cochran  </t>
  </si>
  <si>
    <t xml:space="preserve">Coke  </t>
  </si>
  <si>
    <t xml:space="preserve">Coleman  </t>
  </si>
  <si>
    <t xml:space="preserve">Collin  </t>
  </si>
  <si>
    <t xml:space="preserve">Collingsworth  </t>
  </si>
  <si>
    <t xml:space="preserve">Colorado  </t>
  </si>
  <si>
    <t xml:space="preserve">Comal  </t>
  </si>
  <si>
    <t xml:space="preserve">Concho  </t>
  </si>
  <si>
    <t xml:space="preserve">Cooke  </t>
  </si>
  <si>
    <t xml:space="preserve">Coryell  </t>
  </si>
  <si>
    <t xml:space="preserve">Cottle  </t>
  </si>
  <si>
    <t xml:space="preserve">Crane  </t>
  </si>
  <si>
    <t xml:space="preserve">Crosby  </t>
  </si>
  <si>
    <t xml:space="preserve">Culberson  </t>
  </si>
  <si>
    <t xml:space="preserve">Dallam  </t>
  </si>
  <si>
    <t xml:space="preserve">De Witt  </t>
  </si>
  <si>
    <t xml:space="preserve">Deaf Smith  </t>
  </si>
  <si>
    <t xml:space="preserve">Denton  </t>
  </si>
  <si>
    <t xml:space="preserve">Dickens  </t>
  </si>
  <si>
    <t xml:space="preserve">Dimmit  </t>
  </si>
  <si>
    <t xml:space="preserve">Donley  </t>
  </si>
  <si>
    <t xml:space="preserve">Eastland  </t>
  </si>
  <si>
    <t xml:space="preserve">Ector  </t>
  </si>
  <si>
    <t xml:space="preserve">Erath  </t>
  </si>
  <si>
    <t xml:space="preserve">Falls  </t>
  </si>
  <si>
    <t xml:space="preserve">Fisher  </t>
  </si>
  <si>
    <t xml:space="preserve">Foard  </t>
  </si>
  <si>
    <t xml:space="preserve">Fort Bend  </t>
  </si>
  <si>
    <t xml:space="preserve">Freestone  </t>
  </si>
  <si>
    <t xml:space="preserve">Frio  </t>
  </si>
  <si>
    <t xml:space="preserve">Gaines  </t>
  </si>
  <si>
    <t xml:space="preserve">Galveston  </t>
  </si>
  <si>
    <t xml:space="preserve">Garza  </t>
  </si>
  <si>
    <t xml:space="preserve">Gillespie  </t>
  </si>
  <si>
    <t xml:space="preserve">Glasscock  </t>
  </si>
  <si>
    <t xml:space="preserve">Goliad  </t>
  </si>
  <si>
    <t xml:space="preserve">Gonzales  </t>
  </si>
  <si>
    <t xml:space="preserve">Gregg  </t>
  </si>
  <si>
    <t xml:space="preserve">Grimes  </t>
  </si>
  <si>
    <t xml:space="preserve">Hansford  </t>
  </si>
  <si>
    <t xml:space="preserve">Hartley  </t>
  </si>
  <si>
    <t xml:space="preserve">Hays  </t>
  </si>
  <si>
    <t xml:space="preserve">Hemphill  </t>
  </si>
  <si>
    <t xml:space="preserve">Hockley  </t>
  </si>
  <si>
    <t xml:space="preserve">Hood  </t>
  </si>
  <si>
    <t xml:space="preserve">Hudspeth  </t>
  </si>
  <si>
    <t xml:space="preserve">Hunt  </t>
  </si>
  <si>
    <t xml:space="preserve">Irion  </t>
  </si>
  <si>
    <t xml:space="preserve">Jack  </t>
  </si>
  <si>
    <t xml:space="preserve">Jim Hogg  </t>
  </si>
  <si>
    <t xml:space="preserve">Jim Wells  </t>
  </si>
  <si>
    <t xml:space="preserve">Karnes  </t>
  </si>
  <si>
    <t xml:space="preserve">Kaufman  </t>
  </si>
  <si>
    <t xml:space="preserve">Kenedy  </t>
  </si>
  <si>
    <t xml:space="preserve">Kerr  </t>
  </si>
  <si>
    <t xml:space="preserve">Kimble  </t>
  </si>
  <si>
    <t xml:space="preserve">King  </t>
  </si>
  <si>
    <t xml:space="preserve">Kinney  </t>
  </si>
  <si>
    <t xml:space="preserve">Kleberg  </t>
  </si>
  <si>
    <t xml:space="preserve">Lamb  </t>
  </si>
  <si>
    <t xml:space="preserve">Lampasas  </t>
  </si>
  <si>
    <t xml:space="preserve">Lavaca  </t>
  </si>
  <si>
    <t xml:space="preserve">Lipscomb  </t>
  </si>
  <si>
    <t xml:space="preserve">Live Oak  </t>
  </si>
  <si>
    <t xml:space="preserve">Llano  </t>
  </si>
  <si>
    <t xml:space="preserve">Loving  </t>
  </si>
  <si>
    <t xml:space="preserve">Lubbock  </t>
  </si>
  <si>
    <t xml:space="preserve">Lynn  </t>
  </si>
  <si>
    <t xml:space="preserve">Matagorda  </t>
  </si>
  <si>
    <t xml:space="preserve">Maverick  </t>
  </si>
  <si>
    <t xml:space="preserve">Mcculloch  </t>
  </si>
  <si>
    <t xml:space="preserve">Mclennan  </t>
  </si>
  <si>
    <t xml:space="preserve">Mcmullen  </t>
  </si>
  <si>
    <t xml:space="preserve">Milam  </t>
  </si>
  <si>
    <t xml:space="preserve">Montague  </t>
  </si>
  <si>
    <t xml:space="preserve">Motley  </t>
  </si>
  <si>
    <t xml:space="preserve">Nacogdoches  </t>
  </si>
  <si>
    <t xml:space="preserve">Navarro  </t>
  </si>
  <si>
    <t xml:space="preserve">Nolan  </t>
  </si>
  <si>
    <t xml:space="preserve">Nueces  </t>
  </si>
  <si>
    <t xml:space="preserve">Ochiltree  </t>
  </si>
  <si>
    <t xml:space="preserve">Palo Pinto  </t>
  </si>
  <si>
    <t xml:space="preserve">Parker  </t>
  </si>
  <si>
    <t xml:space="preserve">Parmer  </t>
  </si>
  <si>
    <t xml:space="preserve">Pecos  </t>
  </si>
  <si>
    <t xml:space="preserve">Presidio  </t>
  </si>
  <si>
    <t xml:space="preserve">Rains  </t>
  </si>
  <si>
    <t xml:space="preserve">Randall  </t>
  </si>
  <si>
    <t xml:space="preserve">Reagan  </t>
  </si>
  <si>
    <t xml:space="preserve">Real  </t>
  </si>
  <si>
    <t xml:space="preserve">Reeves  </t>
  </si>
  <si>
    <t xml:space="preserve">Refugio  </t>
  </si>
  <si>
    <t xml:space="preserve">Rockwall  </t>
  </si>
  <si>
    <t xml:space="preserve">Runnels  </t>
  </si>
  <si>
    <t xml:space="preserve">Rusk  </t>
  </si>
  <si>
    <t xml:space="preserve">San Augustine  </t>
  </si>
  <si>
    <t xml:space="preserve">San Jacinto  </t>
  </si>
  <si>
    <t xml:space="preserve">San Patricio  </t>
  </si>
  <si>
    <t xml:space="preserve">San Saba  </t>
  </si>
  <si>
    <t xml:space="preserve">Schleicher  </t>
  </si>
  <si>
    <t xml:space="preserve">Scurry  </t>
  </si>
  <si>
    <t xml:space="preserve">Shackelford  </t>
  </si>
  <si>
    <t xml:space="preserve">Somervell  </t>
  </si>
  <si>
    <t xml:space="preserve">Starr  </t>
  </si>
  <si>
    <t xml:space="preserve">Sterling  </t>
  </si>
  <si>
    <t xml:space="preserve">Stonewall  </t>
  </si>
  <si>
    <t xml:space="preserve">Sutton  </t>
  </si>
  <si>
    <t xml:space="preserve">Swisher  </t>
  </si>
  <si>
    <t xml:space="preserve">Tarrant  </t>
  </si>
  <si>
    <t xml:space="preserve">Terry  </t>
  </si>
  <si>
    <t xml:space="preserve">Throckmorton  </t>
  </si>
  <si>
    <t xml:space="preserve">Titus  </t>
  </si>
  <si>
    <t xml:space="preserve">Tom Green  </t>
  </si>
  <si>
    <t xml:space="preserve">Travis  </t>
  </si>
  <si>
    <t xml:space="preserve">Tyler  </t>
  </si>
  <si>
    <t xml:space="preserve">Upshur  </t>
  </si>
  <si>
    <t xml:space="preserve">Upton  </t>
  </si>
  <si>
    <t xml:space="preserve">Uvalde  </t>
  </si>
  <si>
    <t xml:space="preserve">Val Verde  </t>
  </si>
  <si>
    <t xml:space="preserve">Van Zandt  </t>
  </si>
  <si>
    <t xml:space="preserve">Victoria  </t>
  </si>
  <si>
    <t xml:space="preserve">Waller  </t>
  </si>
  <si>
    <t xml:space="preserve">Webb  </t>
  </si>
  <si>
    <t xml:space="preserve">Wharton  </t>
  </si>
  <si>
    <t xml:space="preserve">Wilbarger  </t>
  </si>
  <si>
    <t xml:space="preserve">Willacy  </t>
  </si>
  <si>
    <t xml:space="preserve">Winkler  </t>
  </si>
  <si>
    <t xml:space="preserve">Wise  </t>
  </si>
  <si>
    <t xml:space="preserve">Yoakum  </t>
  </si>
  <si>
    <t xml:space="preserve">Young  </t>
  </si>
  <si>
    <t xml:space="preserve">Zapata  </t>
  </si>
  <si>
    <t xml:space="preserve">Zavala  </t>
  </si>
  <si>
    <t xml:space="preserve">Box Elder  </t>
  </si>
  <si>
    <t xml:space="preserve">Cache  </t>
  </si>
  <si>
    <t xml:space="preserve">Daggett  </t>
  </si>
  <si>
    <t xml:space="preserve">Duchesne  </t>
  </si>
  <si>
    <t xml:space="preserve">Emery  </t>
  </si>
  <si>
    <t xml:space="preserve">Juab  </t>
  </si>
  <si>
    <t xml:space="preserve">Millard  </t>
  </si>
  <si>
    <t xml:space="preserve">Piute  </t>
  </si>
  <si>
    <t xml:space="preserve">Rich  </t>
  </si>
  <si>
    <t xml:space="preserve">Salt Lake  </t>
  </si>
  <si>
    <t xml:space="preserve">Sanpete  </t>
  </si>
  <si>
    <t xml:space="preserve">Tooele  </t>
  </si>
  <si>
    <t xml:space="preserve">Uintah  </t>
  </si>
  <si>
    <t xml:space="preserve">Utah  </t>
  </si>
  <si>
    <t xml:space="preserve">Wasatch  </t>
  </si>
  <si>
    <t xml:space="preserve">Weber  </t>
  </si>
  <si>
    <t xml:space="preserve">Addison  </t>
  </si>
  <si>
    <t xml:space="preserve">Bennington  </t>
  </si>
  <si>
    <t xml:space="preserve">Caledonia  </t>
  </si>
  <si>
    <t xml:space="preserve">Chittenden  </t>
  </si>
  <si>
    <t xml:space="preserve">Grand Isle  </t>
  </si>
  <si>
    <t xml:space="preserve">Lamoille  </t>
  </si>
  <si>
    <t xml:space="preserve">Rutland  </t>
  </si>
  <si>
    <t xml:space="preserve">Windsor  </t>
  </si>
  <si>
    <t xml:space="preserve">Virgin Islands  </t>
  </si>
  <si>
    <t xml:space="preserve">Accomack  </t>
  </si>
  <si>
    <t xml:space="preserve">Albemarle  </t>
  </si>
  <si>
    <t xml:space="preserve">Alexandria City  </t>
  </si>
  <si>
    <t xml:space="preserve">Amelia  </t>
  </si>
  <si>
    <t xml:space="preserve">Amherst  </t>
  </si>
  <si>
    <t xml:space="preserve">Appomattox  </t>
  </si>
  <si>
    <t xml:space="preserve">Arlington  </t>
  </si>
  <si>
    <t xml:space="preserve">Augusta  </t>
  </si>
  <si>
    <t xml:space="preserve">Bland  </t>
  </si>
  <si>
    <t xml:space="preserve">Botetourt  </t>
  </si>
  <si>
    <t xml:space="preserve">Bristol City  </t>
  </si>
  <si>
    <t xml:space="preserve">Buckingham  </t>
  </si>
  <si>
    <t xml:space="preserve">Buena Vista City  </t>
  </si>
  <si>
    <t xml:space="preserve">Charles City  </t>
  </si>
  <si>
    <t xml:space="preserve">Charlottesville City  </t>
  </si>
  <si>
    <t xml:space="preserve">Chesapeake City  </t>
  </si>
  <si>
    <t xml:space="preserve">Colonial Heights City  </t>
  </si>
  <si>
    <t xml:space="preserve">Covington City  </t>
  </si>
  <si>
    <t xml:space="preserve">Culpeper  </t>
  </si>
  <si>
    <t xml:space="preserve">Danville City  </t>
  </si>
  <si>
    <t xml:space="preserve">Dickenson  </t>
  </si>
  <si>
    <t xml:space="preserve">Dinwiddie  </t>
  </si>
  <si>
    <t xml:space="preserve">Fairfax  </t>
  </si>
  <si>
    <t xml:space="preserve">Fairfax City  </t>
  </si>
  <si>
    <t xml:space="preserve">Falls Church City  </t>
  </si>
  <si>
    <t xml:space="preserve">Fauquier  </t>
  </si>
  <si>
    <t xml:space="preserve">Fluvanna  </t>
  </si>
  <si>
    <t xml:space="preserve">Franklin City  </t>
  </si>
  <si>
    <t xml:space="preserve">Fredericksburg City  </t>
  </si>
  <si>
    <t xml:space="preserve">Galax City  </t>
  </si>
  <si>
    <t xml:space="preserve">Goochland  </t>
  </si>
  <si>
    <t xml:space="preserve">Greensville  </t>
  </si>
  <si>
    <t xml:space="preserve">Hampton City  </t>
  </si>
  <si>
    <t xml:space="preserve">Hanover  </t>
  </si>
  <si>
    <t xml:space="preserve">Harrisonburg City  </t>
  </si>
  <si>
    <t xml:space="preserve">Henrico  </t>
  </si>
  <si>
    <t xml:space="preserve">Hopewell City  </t>
  </si>
  <si>
    <t xml:space="preserve">Isle Of Wight  </t>
  </si>
  <si>
    <t xml:space="preserve">James City  </t>
  </si>
  <si>
    <t xml:space="preserve">King And Queen  </t>
  </si>
  <si>
    <t xml:space="preserve">King George  </t>
  </si>
  <si>
    <t xml:space="preserve">King William  </t>
  </si>
  <si>
    <t xml:space="preserve">Lexington City  </t>
  </si>
  <si>
    <t xml:space="preserve">Loudoun  </t>
  </si>
  <si>
    <t xml:space="preserve">Lunenburg  </t>
  </si>
  <si>
    <t xml:space="preserve">Lynchburg City  </t>
  </si>
  <si>
    <t xml:space="preserve">Manassas City  </t>
  </si>
  <si>
    <t xml:space="preserve">Manassas Park City  </t>
  </si>
  <si>
    <t xml:space="preserve">Martinsville City  </t>
  </si>
  <si>
    <t xml:space="preserve">Mathews  </t>
  </si>
  <si>
    <t xml:space="preserve">New Kent  </t>
  </si>
  <si>
    <t xml:space="preserve">Newport News City  </t>
  </si>
  <si>
    <t xml:space="preserve">Norfolk City  </t>
  </si>
  <si>
    <t xml:space="preserve">Norton City  </t>
  </si>
  <si>
    <t xml:space="preserve">Nottoway  </t>
  </si>
  <si>
    <t xml:space="preserve">Patrick  </t>
  </si>
  <si>
    <t xml:space="preserve">Petersburg City  </t>
  </si>
  <si>
    <t xml:space="preserve">Pittsylvania  </t>
  </si>
  <si>
    <t xml:space="preserve">Poquoson City  </t>
  </si>
  <si>
    <t xml:space="preserve">Portsmouth City  </t>
  </si>
  <si>
    <t xml:space="preserve">Powhatan  </t>
  </si>
  <si>
    <t xml:space="preserve">Prince Edward  </t>
  </si>
  <si>
    <t xml:space="preserve">Prince George  </t>
  </si>
  <si>
    <t xml:space="preserve">Prince William  </t>
  </si>
  <si>
    <t xml:space="preserve">Radford  </t>
  </si>
  <si>
    <t xml:space="preserve">Rappahannock  </t>
  </si>
  <si>
    <t xml:space="preserve">Richmond City  </t>
  </si>
  <si>
    <t xml:space="preserve">Roanoke  </t>
  </si>
  <si>
    <t xml:space="preserve">Roanoke City  </t>
  </si>
  <si>
    <t xml:space="preserve">Rockbridge  </t>
  </si>
  <si>
    <t xml:space="preserve">Shenandoah  </t>
  </si>
  <si>
    <t xml:space="preserve">Smyth  </t>
  </si>
  <si>
    <t xml:space="preserve">Southampton  </t>
  </si>
  <si>
    <t xml:space="preserve">Spotsylvania  </t>
  </si>
  <si>
    <t xml:space="preserve">Staunton City  </t>
  </si>
  <si>
    <t xml:space="preserve">Suffolk City  </t>
  </si>
  <si>
    <t xml:space="preserve">Virginia Beach City  </t>
  </si>
  <si>
    <t xml:space="preserve">Waynesboro City  </t>
  </si>
  <si>
    <t xml:space="preserve">Williamsburg City  </t>
  </si>
  <si>
    <t xml:space="preserve">Winchester City  </t>
  </si>
  <si>
    <t xml:space="preserve">Wythe  </t>
  </si>
  <si>
    <t xml:space="preserve">Asotin  </t>
  </si>
  <si>
    <t xml:space="preserve">Chelan  </t>
  </si>
  <si>
    <t xml:space="preserve">Clallam  </t>
  </si>
  <si>
    <t xml:space="preserve">Cowlitz  </t>
  </si>
  <si>
    <t xml:space="preserve">Ferry  </t>
  </si>
  <si>
    <t xml:space="preserve">Grays Harbor  </t>
  </si>
  <si>
    <t xml:space="preserve">Island  </t>
  </si>
  <si>
    <t xml:space="preserve">Kitsap  </t>
  </si>
  <si>
    <t xml:space="preserve">Kittitas  </t>
  </si>
  <si>
    <t xml:space="preserve">Klickitat  </t>
  </si>
  <si>
    <t xml:space="preserve">Okanogan  </t>
  </si>
  <si>
    <t xml:space="preserve">Pacific  </t>
  </si>
  <si>
    <t xml:space="preserve">Pend Oreille  </t>
  </si>
  <si>
    <t xml:space="preserve">Skagit  </t>
  </si>
  <si>
    <t xml:space="preserve">Skamania  </t>
  </si>
  <si>
    <t xml:space="preserve">Snohomish  </t>
  </si>
  <si>
    <t xml:space="preserve">Spokane  </t>
  </si>
  <si>
    <t xml:space="preserve">Wahkiakum  </t>
  </si>
  <si>
    <t xml:space="preserve">Walla Walla  </t>
  </si>
  <si>
    <t xml:space="preserve">Whatcom  </t>
  </si>
  <si>
    <t xml:space="preserve">Whitman  </t>
  </si>
  <si>
    <t xml:space="preserve">Yakima  </t>
  </si>
  <si>
    <t xml:space="preserve">Braxton  </t>
  </si>
  <si>
    <t xml:space="preserve">Brooke  </t>
  </si>
  <si>
    <t xml:space="preserve">Cabell  </t>
  </si>
  <si>
    <t xml:space="preserve">Doddridge  </t>
  </si>
  <si>
    <t xml:space="preserve">Greenbrier  </t>
  </si>
  <si>
    <t xml:space="preserve">Hardy  </t>
  </si>
  <si>
    <t xml:space="preserve">Kanawha  </t>
  </si>
  <si>
    <t xml:space="preserve">Mingo  </t>
  </si>
  <si>
    <t xml:space="preserve">Monongalia  </t>
  </si>
  <si>
    <t xml:space="preserve">Pleasants  </t>
  </si>
  <si>
    <t xml:space="preserve">Preston  </t>
  </si>
  <si>
    <t xml:space="preserve">Raleigh  </t>
  </si>
  <si>
    <t xml:space="preserve">Ritchie  </t>
  </si>
  <si>
    <t xml:space="preserve">Summers  </t>
  </si>
  <si>
    <t xml:space="preserve">Tucker  </t>
  </si>
  <si>
    <t xml:space="preserve">Wetzel  </t>
  </si>
  <si>
    <t xml:space="preserve">Wirt  </t>
  </si>
  <si>
    <t xml:space="preserve">Barron  </t>
  </si>
  <si>
    <t xml:space="preserve">Bayfield  </t>
  </si>
  <si>
    <t xml:space="preserve">Burnett  </t>
  </si>
  <si>
    <t xml:space="preserve">Calumet  </t>
  </si>
  <si>
    <t xml:space="preserve">Dane  </t>
  </si>
  <si>
    <t xml:space="preserve">Door  </t>
  </si>
  <si>
    <t xml:space="preserve">Eau Claire  </t>
  </si>
  <si>
    <t xml:space="preserve">Fond Du Lac  </t>
  </si>
  <si>
    <t xml:space="preserve">Green Lake  </t>
  </si>
  <si>
    <t xml:space="preserve">Kenosha  </t>
  </si>
  <si>
    <t xml:space="preserve">Kewaunee  </t>
  </si>
  <si>
    <t xml:space="preserve">La Crosse  </t>
  </si>
  <si>
    <t xml:space="preserve">Langlade  </t>
  </si>
  <si>
    <t xml:space="preserve">Manitowoc  </t>
  </si>
  <si>
    <t xml:space="preserve">Marathon  </t>
  </si>
  <si>
    <t xml:space="preserve">Marinette  </t>
  </si>
  <si>
    <t xml:space="preserve">Milwaukee  </t>
  </si>
  <si>
    <t xml:space="preserve">Oconto  </t>
  </si>
  <si>
    <t xml:space="preserve">Outagamie  </t>
  </si>
  <si>
    <t xml:space="preserve">Ozaukee  </t>
  </si>
  <si>
    <t xml:space="preserve">Pepin  </t>
  </si>
  <si>
    <t xml:space="preserve">Price  </t>
  </si>
  <si>
    <t xml:space="preserve">Racine  </t>
  </si>
  <si>
    <t xml:space="preserve">Saint Croix  </t>
  </si>
  <si>
    <t xml:space="preserve">Sauk  </t>
  </si>
  <si>
    <t xml:space="preserve">Sawyer  </t>
  </si>
  <si>
    <t xml:space="preserve">Shawano  </t>
  </si>
  <si>
    <t xml:space="preserve">Sheboygan  </t>
  </si>
  <si>
    <t xml:space="preserve">Trempealeau  </t>
  </si>
  <si>
    <t xml:space="preserve">Vilas  </t>
  </si>
  <si>
    <t xml:space="preserve">Washburn  </t>
  </si>
  <si>
    <t xml:space="preserve">Waukesha  </t>
  </si>
  <si>
    <t xml:space="preserve">Waupaca  </t>
  </si>
  <si>
    <t xml:space="preserve">Waushara  </t>
  </si>
  <si>
    <t xml:space="preserve">Converse  </t>
  </si>
  <si>
    <t xml:space="preserve">Goshen  </t>
  </si>
  <si>
    <t xml:space="preserve">Hot Springs  </t>
  </si>
  <si>
    <t xml:space="preserve">Laramie  </t>
  </si>
  <si>
    <t xml:space="preserve">Natrona  </t>
  </si>
  <si>
    <t xml:space="preserve">Niobrara  </t>
  </si>
  <si>
    <t xml:space="preserve">Sublette  </t>
  </si>
  <si>
    <t xml:space="preserve">Sweetwater  </t>
  </si>
  <si>
    <t xml:space="preserve">Uinta  </t>
  </si>
  <si>
    <t xml:space="preserve">Washakie  </t>
  </si>
  <si>
    <t xml:space="preserve">Weston  </t>
  </si>
  <si>
    <t xml:space="preserve">NOTE: For lots in a development, the points for 503.4 may be awarded for the lot when there is a community storm water management plan implemented and the builder does not violate that plan with respect to water leaving the lot. </t>
  </si>
  <si>
    <t>50 to 59%</t>
  </si>
  <si>
    <t>60 to 69%</t>
  </si>
  <si>
    <t>70 to 79%</t>
  </si>
  <si>
    <t>80 to 89%</t>
  </si>
  <si>
    <t>90 to 99%</t>
  </si>
  <si>
    <t>a</t>
  </si>
  <si>
    <t>b</t>
  </si>
  <si>
    <t>c</t>
  </si>
  <si>
    <t>d</t>
  </si>
  <si>
    <t>e</t>
  </si>
  <si>
    <t>f</t>
  </si>
  <si>
    <t>NOTE: List "other" means of installing utilities in the assigned Notes area.</t>
  </si>
  <si>
    <t>Utilities on the lot are installed using one or more alternative means:</t>
  </si>
  <si>
    <t>other.</t>
  </si>
  <si>
    <t>shared utility trenches or easements,</t>
  </si>
  <si>
    <t>use of geomats,</t>
  </si>
  <si>
    <t>use of low ground pressure equipment,</t>
  </si>
  <si>
    <t>use of smaller equipment,</t>
  </si>
  <si>
    <t>tunneling instead of trenching,</t>
  </si>
  <si>
    <t>Ch.6</t>
  </si>
  <si>
    <t>2 story bldg.</t>
  </si>
  <si>
    <t>3 story bldg.</t>
  </si>
  <si>
    <t>4+ story bldg.</t>
  </si>
  <si>
    <t>Ch.7</t>
  </si>
  <si>
    <t>Performance Path</t>
  </si>
  <si>
    <t>Prescriptive Path</t>
  </si>
  <si>
    <t>Alt. Bronze or Silver</t>
  </si>
  <si>
    <t>Emerald 
Not Available</t>
  </si>
  <si>
    <t>Alt. Bronze</t>
  </si>
  <si>
    <t>Alt. Silver</t>
  </si>
  <si>
    <t>Alternative:</t>
  </si>
  <si>
    <t>Ch. 7 Max</t>
  </si>
  <si>
    <t xml:space="preserve">Multifamily Building Note: Modeling is completed building-wide using one of the following methods: whole building energy modeling, a unit-by-unit approach, or a building average of a unit-by-unit approach.  </t>
  </si>
  <si>
    <t>Exception: Section 703.1.1 is not required for Tropical Climate Zone.</t>
  </si>
  <si>
    <t>For SI: 12 inches = 304.8 mm</t>
  </si>
  <si>
    <t>&gt;70</t>
  </si>
  <si>
    <t>&gt;41 and ≤70</t>
  </si>
  <si>
    <t>≤40</t>
  </si>
  <si>
    <t>Rake Overhang (Inches)</t>
  </si>
  <si>
    <t>Eave Overhang (Inches)</t>
  </si>
  <si>
    <t>Inches of Rainfall (1)</t>
  </si>
  <si>
    <t>Minimum Roof Overhang for One- &amp; Two-Story Buildings</t>
  </si>
  <si>
    <t>Table 602.1.12</t>
  </si>
  <si>
    <t>more than 75%</t>
  </si>
  <si>
    <t>50% to less than 75%</t>
  </si>
  <si>
    <t>25% to less than 50%</t>
  </si>
  <si>
    <t>Points For 2 Major</t>
  </si>
  <si>
    <t>Points For 2 Minor</t>
  </si>
  <si>
    <t>Recycled Content</t>
  </si>
  <si>
    <t>Table 604.1</t>
  </si>
  <si>
    <t>POINTS</t>
  </si>
  <si>
    <t>5 Impact Measures</t>
  </si>
  <si>
    <t>4 Impact Measures</t>
  </si>
  <si>
    <t>Product LCA</t>
  </si>
  <si>
    <t>Table 610.1.2.1</t>
  </si>
  <si>
    <t>4 types</t>
  </si>
  <si>
    <t>3 types</t>
  </si>
  <si>
    <t>2 types</t>
  </si>
  <si>
    <t>Building Assembly LCA</t>
  </si>
  <si>
    <t>Table 610.1.2.2</t>
  </si>
  <si>
    <t>Figure 6(2): Average Annual Precipitation</t>
  </si>
  <si>
    <t>Source:</t>
  </si>
  <si>
    <t>www.nationalatlas.gov</t>
  </si>
  <si>
    <t>Source: 2006 International Residential Code. International Code Council, Inc., Country Club Hill, Illinois. Reproduced with permission. All rights reserved.</t>
  </si>
  <si>
    <t>www.iccsafe.org</t>
  </si>
  <si>
    <t>Figure 6(3): Termite Infestation Probability Map</t>
  </si>
  <si>
    <t>back to 602.1.5</t>
  </si>
  <si>
    <t>back to 602.1.6</t>
  </si>
  <si>
    <t>See Figure 6(3)</t>
  </si>
  <si>
    <t>back to 602.1.12</t>
  </si>
  <si>
    <t>See Table 602.1.12</t>
  </si>
  <si>
    <t>Figure 6(2)</t>
  </si>
  <si>
    <t>(1) Annual mean total rainfall in inches is in accordance with:</t>
  </si>
  <si>
    <t>Met</t>
  </si>
  <si>
    <t>Not Met</t>
  </si>
  <si>
    <t>N/A</t>
  </si>
  <si>
    <t>a concrete slab over 6 mil polyethylene sheeting. Or other Class I vapor retarder installed in accordance with Section 408.3 or Section 506 of the International Residential Code</t>
  </si>
  <si>
    <t>6 mil polyethylene sheeting, or other Class I vapor retarder installed in accordance with Section 408.3 or Section 506 of the International Residential Code</t>
  </si>
  <si>
    <t>None to slight</t>
  </si>
  <si>
    <t>Slight to Moderate</t>
  </si>
  <si>
    <t>Moderate to heavy</t>
  </si>
  <si>
    <t>Very heavy</t>
  </si>
  <si>
    <t>1 exterior door</t>
  </si>
  <si>
    <t>2 exterior door</t>
  </si>
  <si>
    <t>3+ exterior door</t>
  </si>
  <si>
    <t>Note: The pedestrian door protected in a garage leading to living space does not qualify for points.</t>
  </si>
  <si>
    <t>back to Table 602.1.12</t>
  </si>
  <si>
    <t>NOTE: Indicate in the assigned Notes area what salvage materials were sorted for reuse.</t>
  </si>
  <si>
    <t>1
12 Max</t>
  </si>
  <si>
    <t>NOTE: Describe materials used in the assigned Notes area. Materials, elements, or components awarded points under Section 603.1 shall not be awarded points under Section 603.2.</t>
  </si>
  <si>
    <t>1
9 Max</t>
  </si>
  <si>
    <t>(Points awarded per 1% of salvaged materials used based on the total construction cost.)</t>
  </si>
  <si>
    <t>Material Percentage
Recycled Content</t>
  </si>
  <si>
    <t>per Table
604.1</t>
  </si>
  <si>
    <t>First Minor Comp.:</t>
  </si>
  <si>
    <t>Second Minor Comp.:</t>
  </si>
  <si>
    <t>Second Major Comp.:</t>
  </si>
  <si>
    <t>First Major Comp.:</t>
  </si>
  <si>
    <t>See Table 604.1</t>
  </si>
  <si>
    <t>back to 604.1</t>
  </si>
  <si>
    <t>NOTE: In the assigned Notes area, list materials used for minor and/or major building components.</t>
  </si>
  <si>
    <t>Enter material percent recycled content.</t>
  </si>
  <si>
    <t>wood</t>
  </si>
  <si>
    <t>cardboard</t>
  </si>
  <si>
    <t>metals</t>
  </si>
  <si>
    <t>drywall</t>
  </si>
  <si>
    <t>plastic</t>
  </si>
  <si>
    <t>asphalt roofing shingles</t>
  </si>
  <si>
    <t>concrete</t>
  </si>
  <si>
    <t>other</t>
  </si>
  <si>
    <t>NOTE: List "other" types of materials recycled in the assigned Notes area.</t>
  </si>
  <si>
    <t>more than .5%</t>
  </si>
  <si>
    <t>more than 1%</t>
  </si>
  <si>
    <t>1
2 Max</t>
  </si>
  <si>
    <t>Program(s):</t>
  </si>
  <si>
    <t>Note: Please list products and components in the Notes fields</t>
  </si>
  <si>
    <t>1 material</t>
  </si>
  <si>
    <t>2 materials</t>
  </si>
  <si>
    <t>3+ materials</t>
  </si>
  <si>
    <t>Note: Please list materials in the Notes field</t>
  </si>
  <si>
    <t>9 Max
3 per material</t>
  </si>
  <si>
    <t>1 product</t>
  </si>
  <si>
    <t>2 products</t>
  </si>
  <si>
    <t>3+ products</t>
  </si>
  <si>
    <t>NOTE: In the assigned Notes area, describe the types of products that comply with 608.1.</t>
  </si>
  <si>
    <t># of major components:</t>
  </si>
  <si>
    <t># of minor components:</t>
  </si>
  <si>
    <t>1 component</t>
  </si>
  <si>
    <t>2 components</t>
  </si>
  <si>
    <t>3 components</t>
  </si>
  <si>
    <t>4 components</t>
  </si>
  <si>
    <t>5 components</t>
  </si>
  <si>
    <t>6 components</t>
  </si>
  <si>
    <t>7 components</t>
  </si>
  <si>
    <t>8 components</t>
  </si>
  <si>
    <t>9 components</t>
  </si>
  <si>
    <t>10+ components</t>
  </si>
  <si>
    <t>5+ components</t>
  </si>
  <si>
    <t>NOTE: In the assigned Notes areas, list major and minor materials used that comply with 609.1.</t>
  </si>
  <si>
    <t>For a component to comply with this practice, a minimum of 75% of all products in that component category must be sourced regionally, e.g., stone veneer category – 75 percent or more of the stone veneer on a project must be sourced regionally.</t>
  </si>
  <si>
    <t>NOTE: List products/systems compared &amp; impact measures considered in the assigned Notes area.</t>
  </si>
  <si>
    <t># of comparisons with 
5 measures:</t>
  </si>
  <si>
    <t># of comparisons with 
4 measures:</t>
  </si>
  <si>
    <t>1 comparison</t>
  </si>
  <si>
    <t>2 comparisons</t>
  </si>
  <si>
    <t>3 comparisons</t>
  </si>
  <si>
    <t>4 comparisons</t>
  </si>
  <si>
    <t>5+ comparisons</t>
  </si>
  <si>
    <t>NOTE: List assemblies compared &amp; impact measures considered in the assigned Notes area.</t>
  </si>
  <si>
    <t>4 impact measures</t>
  </si>
  <si>
    <t>5+ impact measures</t>
  </si>
  <si>
    <t>exterior walls:</t>
  </si>
  <si>
    <t>roof/ceiling:</t>
  </si>
  <si>
    <t>int. walls or ceilings:</t>
  </si>
  <si>
    <t>intermediate floors:</t>
  </si>
  <si>
    <t>per Table 610.1.2.1
10 Max</t>
  </si>
  <si>
    <t>per Table 610.1.2.2
10 Max</t>
  </si>
  <si>
    <t>back to 610.1.2.1</t>
  </si>
  <si>
    <t>back to 610.1.2.2</t>
  </si>
  <si>
    <t>1%+</t>
  </si>
  <si>
    <t>2%+</t>
  </si>
  <si>
    <t>3%+</t>
  </si>
  <si>
    <t>4%+</t>
  </si>
  <si>
    <t>5%+</t>
  </si>
  <si>
    <t>6%+</t>
  </si>
  <si>
    <t>7%+</t>
  </si>
  <si>
    <t>8%+</t>
  </si>
  <si>
    <t>9%+</t>
  </si>
  <si>
    <t>10%+</t>
  </si>
  <si>
    <t xml:space="preserve">NOTE: In the assigned Notes area, list products that comply with 610.1, manufacturers, and ISO registrars. </t>
  </si>
  <si>
    <t># of products:</t>
  </si>
  <si>
    <t># of products (not effective number):</t>
  </si>
  <si>
    <t>NOTE: List products in the assigned Notes area.</t>
  </si>
  <si>
    <t>END OF CHAPTER 6</t>
  </si>
  <si>
    <t>CLICK TO PROCEED TO CHAPTER 7 &gt;&gt;</t>
  </si>
  <si>
    <t>602.0</t>
  </si>
  <si>
    <t>602.1.2</t>
  </si>
  <si>
    <t>901 POLLUTANT SORCE CONTROL</t>
  </si>
  <si>
    <r>
      <t>901.0 Intent.</t>
    </r>
    <r>
      <rPr>
        <sz val="10"/>
        <color theme="1"/>
        <rFont val="Calibri"/>
        <family val="2"/>
        <scheme val="minor"/>
      </rPr>
      <t xml:space="preserve"> Pollutant sources are controlled.</t>
    </r>
  </si>
  <si>
    <t>901.1 Space and water heating options</t>
  </si>
  <si>
    <t>901.1.1</t>
  </si>
  <si>
    <r>
      <t>901.1.1</t>
    </r>
    <r>
      <rPr>
        <sz val="10"/>
        <color theme="1"/>
        <rFont val="Calibri"/>
        <family val="2"/>
        <scheme val="minor"/>
      </rPr>
      <t xml:space="preserve"> Natural draft furnaces, boilers, or water heaters are not located in conditioned spaces, including conditioned crawlspaces, unless located in a mechanical room that has an outdoor air source and is sealed and insulated to separate it from the conditioned space(s). </t>
    </r>
  </si>
  <si>
    <t>901.1.2</t>
  </si>
  <si>
    <r>
      <t xml:space="preserve">901.1.2 </t>
    </r>
    <r>
      <rPr>
        <sz val="10"/>
        <color theme="1"/>
        <rFont val="Calibri"/>
        <family val="2"/>
        <scheme val="minor"/>
      </rPr>
      <t xml:space="preserve">Air handling equipment or return ducts are not located in the garage, unless placed in isolated, air-sealed mechanical rooms with an outside air source. </t>
    </r>
  </si>
  <si>
    <t>901.1.3</t>
  </si>
  <si>
    <r>
      <t>901.1.3</t>
    </r>
    <r>
      <rPr>
        <sz val="10"/>
        <color theme="1"/>
        <rFont val="Calibri"/>
        <family val="2"/>
        <scheme val="minor"/>
      </rPr>
      <t xml:space="preserve"> The following combustion space heating or water heating equipment is installed within conditioned space:</t>
    </r>
  </si>
  <si>
    <t>all furnaces or all boilers</t>
  </si>
  <si>
    <t>power vent furnace(s) or boiler(s)</t>
  </si>
  <si>
    <t>direct vent furnace(s) or boiler(s)</t>
  </si>
  <si>
    <t>all water heaters</t>
  </si>
  <si>
    <t>power vent water heater(s)</t>
  </si>
  <si>
    <t>direct vent water heater(s)</t>
  </si>
  <si>
    <t>901.1.4</t>
  </si>
  <si>
    <t>901.1.5</t>
  </si>
  <si>
    <r>
      <t xml:space="preserve">901.1.5 </t>
    </r>
    <r>
      <rPr>
        <sz val="10"/>
        <color theme="1"/>
        <rFont val="Calibri"/>
        <family val="2"/>
        <scheme val="minor"/>
      </rPr>
      <t>Natural gas and propane fireplaces are direct vented, have permanently fixed glass fronts or gasketed doors, and comply with CSA Z21.88/CSA 2.33 or CSA Z21.50b/CSA 2.22b.</t>
    </r>
  </si>
  <si>
    <t>901.1.6</t>
  </si>
  <si>
    <r>
      <t xml:space="preserve">901.1.6 </t>
    </r>
    <r>
      <rPr>
        <sz val="10"/>
        <color theme="1"/>
        <rFont val="Calibri"/>
        <family val="2"/>
        <scheme val="minor"/>
      </rPr>
      <t>The following electric equipment is installed:</t>
    </r>
  </si>
  <si>
    <t>heat pump air handler in unconditioned space</t>
  </si>
  <si>
    <t>heat pump air handler in conditioned space</t>
  </si>
  <si>
    <t>901.2 Solid fuel-burning appliances</t>
  </si>
  <si>
    <t>901.2.1</t>
  </si>
  <si>
    <r>
      <t>901.2.1</t>
    </r>
    <r>
      <rPr>
        <sz val="10"/>
        <color theme="1"/>
        <rFont val="Calibri"/>
        <family val="2"/>
        <scheme val="minor"/>
      </rPr>
      <t xml:space="preserve"> Solid fuel-burning fireplaces, inserts, stoves and heaters are code compliant and are in accordance with the following requirements: </t>
    </r>
  </si>
  <si>
    <t>Site-built masonry wood-burning fireplaces use outside combustion air and include a means of sealing the flue and the combustion air outlets to minimize interior air (heat) loss when not in operation.</t>
  </si>
  <si>
    <t xml:space="preserve">Wood stove and fireplace inserts, as defined in UL 1482 Section 3.8, are in accordance with the certification requirements of UL 1482 and are in accordance with the emission requirements of the EPA Certification and the State of Washington WAC 173-433-100(3). </t>
  </si>
  <si>
    <t>Pellet (biomass) stoves and furnaces are in accordance with ASTM E1509 or are EPA certified.</t>
  </si>
  <si>
    <t xml:space="preserve">Masonry heaters are in accordance with the definitions in ASTM E1602 and ICC IBC Section 2112.1. </t>
  </si>
  <si>
    <t>901.2.2</t>
  </si>
  <si>
    <r>
      <t>901.2.2</t>
    </r>
    <r>
      <rPr>
        <sz val="10"/>
        <color theme="1"/>
        <rFont val="Calibri"/>
        <family val="2"/>
      </rPr>
      <t xml:space="preserve"> Fireplaces, woodstoves, pellet stoves, or masonry heaters are not installed. </t>
    </r>
  </si>
  <si>
    <r>
      <t>901.3 Garages.</t>
    </r>
    <r>
      <rPr>
        <sz val="10"/>
        <color theme="1"/>
        <rFont val="Calibri"/>
        <family val="2"/>
        <scheme val="minor"/>
      </rPr>
      <t xml:space="preserve"> Garages are in accordance with the following:</t>
    </r>
  </si>
  <si>
    <t>Attached garage</t>
  </si>
  <si>
    <t>Doors installed in the common wall between the attached garage and conditioned space are tightly sealed and gasketed.</t>
  </si>
  <si>
    <t xml:space="preserve">A continuous air barrier is provided separating the garage space from the conditioned living spaces. </t>
  </si>
  <si>
    <t>A carport is installed, the garage is detached from the building, or no garage is installed.</t>
  </si>
  <si>
    <r>
      <rPr>
        <b/>
        <sz val="10"/>
        <color theme="1"/>
        <rFont val="Calibri"/>
        <family val="2"/>
        <scheme val="minor"/>
      </rPr>
      <t>901.4</t>
    </r>
    <r>
      <rPr>
        <sz val="10"/>
        <color theme="1"/>
        <rFont val="Calibri"/>
        <family val="2"/>
        <scheme val="minor"/>
      </rPr>
      <t xml:space="preserve"> Wood materials. A minimum of 85 percent of material within a product group (i.e., wood structural panels, countertops, composite trim/doors, custom woodwork, and/or component closet shelving) is manufactured in accordance with the following:</t>
    </r>
  </si>
  <si>
    <t>Structural plywood used for floor, wall, and/or roof sheathing is compliant with DOC PS 1 and/or DOC PS 2. OSB used for floor, wall, and/or roof sheathing is compliant with DOC PS 2. The panels are made with moisture-resistant adhesives. The trademark indicates these adhesives as follows: Exposure 1 or Exterior for plywood, and Exposure 1 for OSB.</t>
  </si>
  <si>
    <t>Particleboard and MDF (medium density fiberboard) is manufactured and labeled in accordance with CPA A208.1 and CPA A208.2, respectively.</t>
  </si>
  <si>
    <t>Hardwood plywood in accordance with HPVA HP-1.</t>
  </si>
  <si>
    <t>Particleboard, MDF, or hardwood plywood is in accordance with CPA 4.</t>
  </si>
  <si>
    <r>
      <t xml:space="preserve">Composite wood or agrifiber panel products contain no added urea-formaldehyde or are in accordance with the CARB </t>
    </r>
    <r>
      <rPr>
        <i/>
        <sz val="10"/>
        <color theme="1"/>
        <rFont val="Calibri"/>
        <family val="2"/>
        <scheme val="minor"/>
      </rPr>
      <t>Composite Wood Air Toxic Contaminant Measure Standard</t>
    </r>
    <r>
      <rPr>
        <sz val="10"/>
        <color theme="1"/>
        <rFont val="Calibri"/>
        <family val="2"/>
        <scheme val="minor"/>
      </rPr>
      <t>.</t>
    </r>
  </si>
  <si>
    <t>Non-emitting products.</t>
  </si>
  <si>
    <r>
      <t>901.5</t>
    </r>
    <r>
      <rPr>
        <sz val="10"/>
        <color theme="1"/>
        <rFont val="Calibri"/>
        <family val="2"/>
        <scheme val="minor"/>
      </rPr>
      <t xml:space="preserve"> </t>
    </r>
    <r>
      <rPr>
        <b/>
        <sz val="10"/>
        <color theme="1"/>
        <rFont val="Calibri"/>
        <family val="2"/>
        <scheme val="minor"/>
      </rPr>
      <t>Cabinets.</t>
    </r>
    <r>
      <rPr>
        <sz val="10"/>
        <color theme="1"/>
        <rFont val="Calibri"/>
        <family val="2"/>
        <scheme val="minor"/>
      </rPr>
      <t xml:space="preserve"> A minimum of 85 percent of installed cabinets are in accordance with one or both of the following: </t>
    </r>
  </si>
  <si>
    <t>(Where both of the following practices are used, only 3 points are awarded.)</t>
  </si>
  <si>
    <t>All parts of the cabinet are made of solid wood or non-formaldehyde emitting materials such as metal or glass.</t>
  </si>
  <si>
    <r>
      <t xml:space="preserve">The composite wood used in wood cabinets is in accordance with CARB </t>
    </r>
    <r>
      <rPr>
        <i/>
        <sz val="10"/>
        <color theme="1"/>
        <rFont val="Calibri"/>
        <family val="2"/>
        <scheme val="minor"/>
      </rPr>
      <t>Composite Wood Air Toxic Contaminant Measure Standard</t>
    </r>
    <r>
      <rPr>
        <sz val="10"/>
        <color theme="1"/>
        <rFont val="Calibri"/>
        <family val="2"/>
        <scheme val="minor"/>
      </rPr>
      <t xml:space="preserve"> or equivalent as certified by a third-party program such as, but not limited to, those in Appendix D.</t>
    </r>
  </si>
  <si>
    <r>
      <t>901.6 Carpets.</t>
    </r>
    <r>
      <rPr>
        <sz val="10"/>
        <color theme="1"/>
        <rFont val="Calibri"/>
        <family val="2"/>
        <scheme val="minor"/>
      </rPr>
      <t xml:space="preserve"> Wall-to-wall carpeting is not installed adjacent to water closets and bathing fixtures.</t>
    </r>
  </si>
  <si>
    <r>
      <t>901.7</t>
    </r>
    <r>
      <rPr>
        <sz val="10"/>
        <color theme="1"/>
        <rFont val="Calibri"/>
        <family val="2"/>
        <scheme val="minor"/>
      </rPr>
      <t xml:space="preserve"> </t>
    </r>
    <r>
      <rPr>
        <b/>
        <sz val="10"/>
        <color theme="1"/>
        <rFont val="Calibri"/>
        <family val="2"/>
        <scheme val="minor"/>
      </rPr>
      <t>Floor materials.</t>
    </r>
    <r>
      <rPr>
        <sz val="10"/>
        <color theme="1"/>
        <rFont val="Calibri"/>
        <family val="2"/>
        <scheme val="minor"/>
      </rPr>
      <t xml:space="preserve"> The following types of finished flooring materials are used.  The materials have emission levels in accordance with CDPH/EHLB Standard Method v1.1. Product is tested by a laboratory with the CDPH/EHLB Standard Method v1.1 within the laboratory scope of accreditation to ISO/IEC 17025 and certified by a third-party program accredited to ISO 17065, such as, but not limited to, those in Appendix D. </t>
    </r>
  </si>
  <si>
    <t>(Points are awarded for every 10% of conditioned floor space using one of the below materials.)</t>
  </si>
  <si>
    <t>Hard surface flooring: Prefinished installed hard-surface flooring is installed. Where post-manufacture coatings or surface applications have not been applied, the following hard surface flooring types are deemed to comply with the emission requirements of this practice:</t>
  </si>
  <si>
    <t>Ceramic tile flooring</t>
  </si>
  <si>
    <t>Organic-free, mineral-based flooring</t>
  </si>
  <si>
    <t>Clay masonry flooring</t>
  </si>
  <si>
    <t>Concrete masonry flooring</t>
  </si>
  <si>
    <t>Concrete flooring</t>
  </si>
  <si>
    <t>Metal flooring</t>
  </si>
  <si>
    <t>(When carpet cushion meeting the emission limits of the practice is also installed, the percentage of compliant carpet area is calculated at 1.33 times the actual installed area.)</t>
  </si>
  <si>
    <r>
      <t>901.8</t>
    </r>
    <r>
      <rPr>
        <sz val="10"/>
        <color theme="1"/>
        <rFont val="Calibri"/>
        <family val="2"/>
        <scheme val="minor"/>
      </rPr>
      <t xml:space="preserve"> </t>
    </r>
    <r>
      <rPr>
        <b/>
        <sz val="10"/>
        <color theme="1"/>
        <rFont val="Calibri"/>
        <family val="2"/>
        <scheme val="minor"/>
      </rPr>
      <t>Wall coverings.</t>
    </r>
    <r>
      <rPr>
        <sz val="10"/>
        <color theme="1"/>
        <rFont val="Calibri"/>
        <family val="2"/>
        <scheme val="minor"/>
      </rPr>
      <t xml:space="preserve"> A minimum of 10 percent of the interior wall surfaces are covered and a minimum of 85 percent of wall coverings are in accordance with the emission concentration limits of CDPH/EHLB Standard Method v1.1. Emission levels are determined by a laboratory accredited to ISO/IEC 17025 and the CDPH/EHLB Standard Method v1.1 is in its scope. The product is certified by a third-party program accredited to ISO 17065, such as, but not limited to, those in Appendix D.</t>
    </r>
  </si>
  <si>
    <r>
      <t>901.9 Interior architectural coatings.</t>
    </r>
    <r>
      <rPr>
        <sz val="10"/>
        <color theme="1"/>
        <rFont val="Calibri"/>
        <family val="2"/>
        <scheme val="minor"/>
      </rPr>
      <t xml:space="preserve"> A minimum of 85 percent of the interior architectural coatings are in accordance with either Section 901.9.1 or Section 901.9.3, not both. A minimum of 85 percent of architectural colorants are in accordance with Section 901.9.2.</t>
    </r>
  </si>
  <si>
    <t>901.9.1</t>
  </si>
  <si>
    <r>
      <t>901.9.1</t>
    </r>
    <r>
      <rPr>
        <sz val="10"/>
        <color theme="1"/>
        <rFont val="Calibri"/>
        <family val="2"/>
        <scheme val="minor"/>
      </rPr>
      <t xml:space="preserve"> Site-applied interior architectural coatings, which are inside the water proofing envelope, are in accordance with one or more of the following:</t>
    </r>
  </si>
  <si>
    <t>Zero VOC as determined by EPA Method 24 (VOC content is below the detection limit for the method)</t>
  </si>
  <si>
    <t>GreenSeal GS-11</t>
  </si>
  <si>
    <r>
      <t xml:space="preserve">CARB </t>
    </r>
    <r>
      <rPr>
        <i/>
        <sz val="10"/>
        <color theme="1"/>
        <rFont val="Calibri"/>
        <family val="2"/>
        <scheme val="minor"/>
      </rPr>
      <t>Suggested Control Measure for Architectural Coatings</t>
    </r>
    <r>
      <rPr>
        <sz val="10"/>
        <color theme="1"/>
        <rFont val="Calibri"/>
        <family val="2"/>
        <scheme val="minor"/>
      </rPr>
      <t xml:space="preserve"> (see Table 901.9.1).</t>
    </r>
  </si>
  <si>
    <t>901.9.2</t>
  </si>
  <si>
    <r>
      <t>901.9.2</t>
    </r>
    <r>
      <rPr>
        <sz val="10"/>
        <color theme="1"/>
        <rFont val="Calibri"/>
        <family val="2"/>
        <scheme val="minor"/>
      </rPr>
      <t xml:space="preserve"> Architectural coating colorant additive VOC content is in accordance with Table 901.9.2.</t>
    </r>
  </si>
  <si>
    <t>(Points for 901.9.2 are awarded only if base architectural coating is in accordance with 901.9.1.)</t>
  </si>
  <si>
    <t>901.9.3</t>
  </si>
  <si>
    <r>
      <t>901.9.3</t>
    </r>
    <r>
      <rPr>
        <sz val="10"/>
        <color theme="1"/>
        <rFont val="Calibri"/>
        <family val="2"/>
        <scheme val="minor"/>
      </rPr>
      <t xml:space="preserve"> Site-applied interior architectural coatings, which are inside the waterproofing envelope, are in accordance with the emission levels of CDPH/EHLB Standard Method v1.1. Emission levels are determined by a laboratory accredited to ISO/IEC 17025 and the CDPH/EHLB Standard Method v1.1 in its scope of accreditation. The product is certified by a third-party program accredited to ISO 17065, such as, but not limited to, those found in Appendix D. </t>
    </r>
  </si>
  <si>
    <r>
      <t>901.10 Interior adhesives and sealants.</t>
    </r>
    <r>
      <rPr>
        <sz val="10"/>
        <color theme="1"/>
        <rFont val="Calibri"/>
        <family val="2"/>
        <scheme val="minor"/>
      </rPr>
      <t xml:space="preserve"> A minimum of 85 percent of site-applied adhesives and sealants located inside the waterproofing envelope are in accordance with one of the following, as applicable.</t>
    </r>
  </si>
  <si>
    <t xml:space="preserve">The emission levels are in accordance with CDPH/EHLB Standard Method v1.1. Emission levels are determined by a laboratory accredited to ISO/IEC 17025 and the CDPH/EHLB Standard Method v1.1 is in its scope of accreditation. The product is certified by a third-party program accredited to ISO 17065, such as, but not limited to, those found in Appendix D. </t>
  </si>
  <si>
    <t>GreenSeal GS-36.</t>
  </si>
  <si>
    <t>SCAQMD Rule 1168 in accordance with Table 901.10(3), excluding products that are sold in 16 ounce containers or less and are regulated by the California Air Resources Board (CARB) Consumer Products Regulations.</t>
  </si>
  <si>
    <r>
      <t>901.11</t>
    </r>
    <r>
      <rPr>
        <sz val="10"/>
        <color theme="1"/>
        <rFont val="Calibri"/>
        <family val="2"/>
        <scheme val="minor"/>
      </rPr>
      <t xml:space="preserve"> </t>
    </r>
    <r>
      <rPr>
        <b/>
        <sz val="10"/>
        <color theme="1"/>
        <rFont val="Calibri"/>
        <family val="2"/>
        <scheme val="minor"/>
      </rPr>
      <t>Insulation.</t>
    </r>
    <r>
      <rPr>
        <sz val="10"/>
        <color theme="1"/>
        <rFont val="Calibri"/>
        <family val="2"/>
        <scheme val="minor"/>
      </rPr>
      <t xml:space="preserve"> Emissions of 85 percent of wall, ceiling, and floor insulation materials are in accordance with the emission levels of CDPH/EHLB Standard Method v1.1. Emission levels are determined by a laboratory accredited to ISO/IEC 17025 and the CDPH/EHLB Standard Method v1.1 is in its scope of accreditation. Insulation is certified by a third-party program accredited to ISO 17065, such as, but not limited to, those in Appendix D. </t>
    </r>
  </si>
  <si>
    <t>Exterior grilles or mats are installed in a fixed manner and may be removable for cleaning.</t>
  </si>
  <si>
    <t>Interior grilles or mats are installed in a fixed manner and may be removable for cleaning.</t>
  </si>
  <si>
    <t>All interior common areas of a multifamily building are designated as non-smoking areas with posted signage.</t>
  </si>
  <si>
    <t>Exterior smoking areas of a multifamily building are designated with posted signage and located a minimum of 25 feet from entries, outdoor air intakes, and operable windows.</t>
  </si>
  <si>
    <t>902 POLLUTANT CONTROL</t>
  </si>
  <si>
    <r>
      <t>902.0 Intent.</t>
    </r>
    <r>
      <rPr>
        <sz val="10"/>
        <color theme="1"/>
        <rFont val="Calibri"/>
        <family val="2"/>
        <scheme val="minor"/>
      </rPr>
      <t xml:space="preserve"> Pollutants generated in the building are controlled.</t>
    </r>
  </si>
  <si>
    <t>902.1 Spot ventilation.</t>
  </si>
  <si>
    <t xml:space="preserve">Bathrooms are vented to the outdoors. The minimum ventilation rate is 50 cfm (23.6 L/s) for intermittent operation or 20 cfm (9.4 L/s) for continuous operation in bathrooms. </t>
  </si>
  <si>
    <t xml:space="preserve">Clothes dryers (except listed and labeled condensing ductless dryers) are vented to the outdoors. </t>
  </si>
  <si>
    <t xml:space="preserve">Kitchen exhaust units and/or range hoods are ducted to the outdoors and have a minimum ventilation rate of 100 cfm (47.2 L/s) for intermittent operation or 25 cfm (11.8 L/s) for continuous operation. </t>
  </si>
  <si>
    <t>902.1.2</t>
  </si>
  <si>
    <r>
      <t>902.1.2</t>
    </r>
    <r>
      <rPr>
        <sz val="10"/>
        <color theme="1"/>
        <rFont val="Calibri"/>
        <family val="2"/>
        <scheme val="minor"/>
      </rPr>
      <t xml:space="preserve"> Bathroom and/or laundry exhaust fan is provided with an automatic timer and/or humidistat:</t>
    </r>
  </si>
  <si>
    <t>11 Max</t>
  </si>
  <si>
    <t>for first device</t>
  </si>
  <si>
    <t>for each additional device</t>
  </si>
  <si>
    <t>902.1.3</t>
  </si>
  <si>
    <r>
      <t>902.1.3</t>
    </r>
    <r>
      <rPr>
        <sz val="10"/>
        <color theme="1"/>
        <rFont val="Calibri"/>
        <family val="2"/>
        <scheme val="minor"/>
      </rPr>
      <t xml:space="preserve"> Kitchen range, bathroom, and laundry exhaust are verified to air flow specification. Ventilation airflow at the point of exhaust is tested to a minimum of:</t>
    </r>
  </si>
  <si>
    <t>100 cfm (47.2 L/s) intermittent or 25 cfm (11.8 L/s) continuous for kitchens, and</t>
  </si>
  <si>
    <t>50 cfm (23.6 L/s) intermittent or 20 cfm (9.4 L/s) continuous for bathrooms and/or laundry</t>
  </si>
  <si>
    <t>902.1.4</t>
  </si>
  <si>
    <r>
      <t xml:space="preserve">902.1.4 </t>
    </r>
    <r>
      <rPr>
        <sz val="10"/>
        <color theme="1"/>
        <rFont val="Calibri"/>
        <family val="2"/>
        <scheme val="minor"/>
      </rPr>
      <t xml:space="preserve">Exhaust fans are ENERGY STAR, as applicable. </t>
    </r>
  </si>
  <si>
    <t>(Points awarded per fan.)</t>
  </si>
  <si>
    <t>ENERGY STAR, or equivalent, fans operating at or below 1 sone</t>
  </si>
  <si>
    <t>902.1.5</t>
  </si>
  <si>
    <r>
      <t xml:space="preserve">902.1.5 </t>
    </r>
    <r>
      <rPr>
        <sz val="10"/>
        <color theme="1"/>
        <rFont val="Calibri"/>
        <family val="2"/>
        <scheme val="minor"/>
      </rPr>
      <t>Fenestration in spaces other than those identified in 902.1.1 through 902.1.4 are  designed for stack effect or cross-ventilation in accordance with all of the following:</t>
    </r>
  </si>
  <si>
    <t>Insect screens are provided for all operable windows, operable skylights, and sliding glass doors.</t>
  </si>
  <si>
    <t xml:space="preserve">A minimum of two operable windows or sliding glass doors are placed in adjacent or opposite walls. If there is only one wall surface in that space exposed to the exterior, the minimum windows or sliding glass doors may be on the same wall.  </t>
  </si>
  <si>
    <t>902.2 Building ventilation systems.</t>
  </si>
  <si>
    <t>exhaust or supply fan(s) ready for continuous operation and with appropriately labeled controls</t>
  </si>
  <si>
    <t>balanced exhaust and supply fans with supply intakes located in accordance with the manufacturer’s guidelines so as to not introduce polluted air back into the building</t>
  </si>
  <si>
    <t>heat-recovery ventilator</t>
  </si>
  <si>
    <t>energy-recovery ventilator</t>
  </si>
  <si>
    <t>902.2.2</t>
  </si>
  <si>
    <t>902.2.3</t>
  </si>
  <si>
    <r>
      <t>902.2.3</t>
    </r>
    <r>
      <rPr>
        <sz val="10"/>
        <color theme="1"/>
        <rFont val="Calibri"/>
        <family val="2"/>
        <scheme val="minor"/>
      </rPr>
      <t xml:space="preserve"> MERV filters 8 to 13 are installed on central forced air systems and are accessible. Designer or installer is to verify that the HVAC equipment is able to accommodate the greater pressure drop of MERV 8 to 13 filters.</t>
    </r>
  </si>
  <si>
    <t>902.2.4</t>
  </si>
  <si>
    <r>
      <t xml:space="preserve">902.2.4 </t>
    </r>
    <r>
      <rPr>
        <sz val="10"/>
        <color theme="1"/>
        <rFont val="Calibri"/>
        <family val="2"/>
        <scheme val="minor"/>
      </rPr>
      <t>MERV filters 14 or greater are installed on central forced air systems and are accessible. Designer or installer is to verify that the HVAC equipment is able to accommodate the greater pressure drop of the filter used.</t>
    </r>
  </si>
  <si>
    <t>Buildings located in Zone 1</t>
  </si>
  <si>
    <t>Buildings located in Zone 2 or Zone 3</t>
  </si>
  <si>
    <r>
      <t>902.4 HVAC system protection.</t>
    </r>
    <r>
      <rPr>
        <sz val="10"/>
        <color theme="1"/>
        <rFont val="Calibri"/>
        <family val="2"/>
        <scheme val="minor"/>
      </rPr>
      <t xml:space="preserve"> One of the following HVAC system protection measures is performed. </t>
    </r>
  </si>
  <si>
    <t>HVAC supply registers (boots), return grilles, and rough-ins are covered during construction activities to prevent dust and other pollutants from entering the system.</t>
  </si>
  <si>
    <t>Prior to owner occupancy, HVAC supply registers (boots), return grilles, and duct terminations are inspected and vacuumed. In addition, the coils are inspected and cleaned and the filter is replaced if necessary.</t>
  </si>
  <si>
    <r>
      <t>902.5 Central vacuum systems.</t>
    </r>
    <r>
      <rPr>
        <sz val="10"/>
        <color theme="1"/>
        <rFont val="Calibri"/>
        <family val="2"/>
        <scheme val="minor"/>
      </rPr>
      <t xml:space="preserve"> Central vacuum system is installed and vented to the outside.</t>
    </r>
  </si>
  <si>
    <r>
      <t>902.6 Living space contaminants.</t>
    </r>
    <r>
      <rPr>
        <sz val="10"/>
        <color theme="1"/>
        <rFont val="Calibri"/>
        <family val="2"/>
        <scheme val="minor"/>
      </rPr>
      <t xml:space="preserve"> The living space is sealed in accordance with Section 701.4.3.1 to prevent unwanted contaminants.</t>
    </r>
  </si>
  <si>
    <t>903 MOISTURE MANAGEMENT: VAPOR, RAINWATER, PLUMBING, HVAC</t>
  </si>
  <si>
    <r>
      <t>903.0 Intent.</t>
    </r>
    <r>
      <rPr>
        <sz val="10"/>
        <color theme="1"/>
        <rFont val="Calibri"/>
        <family val="2"/>
        <scheme val="minor"/>
      </rPr>
      <t xml:space="preserve"> Moisture and moisture effects are controlled.</t>
    </r>
  </si>
  <si>
    <t>903.1.1</t>
  </si>
  <si>
    <t>903.1.2</t>
  </si>
  <si>
    <r>
      <t>903.2 Duct insulation.</t>
    </r>
    <r>
      <rPr>
        <sz val="10"/>
        <color theme="1"/>
        <rFont val="Calibri"/>
        <family val="2"/>
        <scheme val="minor"/>
      </rPr>
      <t xml:space="preserve"> Ducts are in accordance with one of the following.</t>
    </r>
  </si>
  <si>
    <t>All HVAC ducts, plenums, and trunks are located in conditioned space.</t>
  </si>
  <si>
    <t>All HVAC ducts, plenums, and trunks are in conditioned space. All HVAC ducts are insulated to a minimum of R4.</t>
  </si>
  <si>
    <t>additional dehumidification system(s)</t>
  </si>
  <si>
    <t>central HVAC system equipped with additional controls to operate in dehumidification mode</t>
  </si>
  <si>
    <t xml:space="preserve">904 INDOOR AIR QUALITY </t>
  </si>
  <si>
    <r>
      <t xml:space="preserve">904.0 Intent. </t>
    </r>
    <r>
      <rPr>
        <sz val="10"/>
        <color theme="1"/>
        <rFont val="Calibri"/>
        <family val="2"/>
        <scheme val="minor"/>
      </rPr>
      <t>IAQ is protected by best practices to control ventilation, moisture, pollutant sources and sanitation.</t>
    </r>
  </si>
  <si>
    <r>
      <t>904.1</t>
    </r>
    <r>
      <rPr>
        <sz val="10"/>
        <color theme="1"/>
        <rFont val="Calibri"/>
        <family val="2"/>
        <scheme val="minor"/>
      </rPr>
      <t xml:space="preserve"> </t>
    </r>
    <r>
      <rPr>
        <b/>
        <sz val="10"/>
        <color theme="1"/>
        <rFont val="Calibri"/>
        <family val="2"/>
        <scheme val="minor"/>
      </rPr>
      <t>Indoor Air Quality (IAQ) During Construction.</t>
    </r>
    <r>
      <rPr>
        <sz val="10"/>
        <color theme="1"/>
        <rFont val="Calibri"/>
        <family val="2"/>
        <scheme val="minor"/>
      </rPr>
      <t xml:space="preserve"> Wood is dry before close-in (602.1.7.1(3)), materials comply with emission criteria (901.4- 901.11), sources of water infiltration or condensation observed during construction have been eliminated, accessible interior surfaces are dry and free of visible suspect growth (per ASTM D7338-10 section 6.3), and water damage (per ASTM D7338-10 section 7.4.3).</t>
    </r>
  </si>
  <si>
    <r>
      <t>904.2</t>
    </r>
    <r>
      <rPr>
        <sz val="10"/>
        <color theme="1"/>
        <rFont val="Calibri"/>
        <family val="2"/>
        <scheme val="minor"/>
      </rPr>
      <t xml:space="preserve"> </t>
    </r>
    <r>
      <rPr>
        <b/>
        <sz val="10"/>
        <color theme="1"/>
        <rFont val="Calibri"/>
        <family val="2"/>
        <scheme val="minor"/>
      </rPr>
      <t xml:space="preserve">Indoor Air Quality (IAQ) Post Completion. </t>
    </r>
    <r>
      <rPr>
        <sz val="10"/>
        <color theme="1"/>
        <rFont val="Calibri"/>
        <family val="2"/>
        <scheme val="minor"/>
      </rPr>
      <t>Verify there are no moisture, mold, and dust issues per 602.1.7.1(3), 901.4-901.11, ASTM D7338 Section 6.3, and ASTM D7338 Section 7.4.3.</t>
    </r>
  </si>
  <si>
    <t>905 INNOVATIVE PRACTICES</t>
  </si>
  <si>
    <r>
      <t>905.1 Humidity monitoring system.</t>
    </r>
    <r>
      <rPr>
        <sz val="10"/>
        <color theme="1"/>
        <rFont val="Calibri"/>
        <family val="2"/>
        <scheme val="minor"/>
      </rPr>
      <t xml:space="preserve"> A humidity monitoring system is installed with a mobile base unit that displays readings of temperature and relative humidity. The system has a minimum of two remote sensor units. One remote sensor unit is placed permanently inside the conditioned space in a central location, excluding attachment to exterior walls, and another remote sensor unit is placed permanently outside of the conditioned space.</t>
    </r>
  </si>
  <si>
    <r>
      <t>905.2 Kitchen exhaust.</t>
    </r>
    <r>
      <rPr>
        <sz val="10"/>
        <color theme="1"/>
        <rFont val="Calibri"/>
        <family val="2"/>
        <scheme val="minor"/>
      </rPr>
      <t xml:space="preserve"> A kitchen exhaust unit(s) that equals or exceeds 400 cfm (189 L/s) is installed, and makeup air is provided.</t>
    </r>
  </si>
  <si>
    <r>
      <t>1001.0 Intent.</t>
    </r>
    <r>
      <rPr>
        <sz val="10"/>
        <color theme="1"/>
        <rFont val="Calibri"/>
        <family val="2"/>
        <scheme val="minor"/>
      </rPr>
      <t xml:space="preserve"> Information on the building’s use, maintenance, and green components is provided. </t>
    </r>
  </si>
  <si>
    <r>
      <t>1001.1</t>
    </r>
    <r>
      <rPr>
        <sz val="10"/>
        <color theme="1"/>
        <rFont val="Calibri"/>
        <family val="2"/>
        <scheme val="minor"/>
      </rPr>
      <t xml:space="preserve"> A homeowner’s manual is provided and stored in a permanent location in the dwelling that includes the following, as available and applicable.</t>
    </r>
  </si>
  <si>
    <t>A National Green Building Standard certificate with weblink and  completion document.</t>
  </si>
  <si>
    <t>List of green building features (can include the national green building checklist).</t>
  </si>
  <si>
    <t>Product manufacturer’s manuals or product data sheet for installed major equipment, fixtures, and appliances. If product data sheet is in the building owners’ manual, manufacturer’s manual may be attached to the appliance in lieu of inclusion in the building owners’ manual.</t>
  </si>
  <si>
    <t>Maintenance checklist.</t>
  </si>
  <si>
    <t>Information on local recycling and composting programs.</t>
  </si>
  <si>
    <t>Information on available local utility programs that purchase a portion of energy from renewable energy providers.</t>
  </si>
  <si>
    <t>Explanation of the benefits of using energy-efficient lighting systems [e.g., compact fluorescent light bulbs, light emitting diode (LED)] in high-usage areas.</t>
  </si>
  <si>
    <t>A list of practices to conserve water and energy.</t>
  </si>
  <si>
    <t>Information on the importance and operation of the home's fresh air ventilation system.</t>
  </si>
  <si>
    <t>Local public transportation options.</t>
  </si>
  <si>
    <t>A diagram showing the location of safety valves and controls for major building systems.</t>
  </si>
  <si>
    <t>Where frost-protected shallow foundations are used, owner is informed of precautions including:</t>
  </si>
  <si>
    <t>instructions to not remove or damage insulation when modifying landscaping.</t>
  </si>
  <si>
    <t>providing heat to the building as required by the ICC IRC or IBC.</t>
  </si>
  <si>
    <t>keeping base materials beneath and around the building free from moisture caused by broken water pipes or other water sources.</t>
  </si>
  <si>
    <t>(13)</t>
  </si>
  <si>
    <t>A list of local service providers that offer regularly scheduled service and maintenance contracts to ensure proper performance of equipment and the structure (e.g., HVAC, water-heating equipment, sealants, caulks, gutter and downspout system, shower and/or tub surrounds, irrigation system).</t>
  </si>
  <si>
    <t>(14)</t>
  </si>
  <si>
    <t>A photo record of framing with utilities installed. Photos are taken prior to installing insulation, clearly labeled, and included as part of the building owners’ manual.</t>
  </si>
  <si>
    <t>(15)</t>
  </si>
  <si>
    <t>List of common hazardous materials often used around the building and instructions for proper handling and disposal of these materials.</t>
  </si>
  <si>
    <t>(16)</t>
  </si>
  <si>
    <t>Information on organic pest control, fertilizers, deicers, and cleaning products.</t>
  </si>
  <si>
    <t>(17)</t>
  </si>
  <si>
    <t>Information on native landscape materials and/or those that have low water requirements.</t>
  </si>
  <si>
    <t>(18)</t>
  </si>
  <si>
    <t>Information on methods of maintaining the building’s relative humidity in the range of 30 percent to 60 percent.</t>
  </si>
  <si>
    <t>(19)</t>
  </si>
  <si>
    <t>Instructions for inspecting the building for termite infestation.</t>
  </si>
  <si>
    <t>(20)</t>
  </si>
  <si>
    <t>Instructions for maintaining gutters and downspouts and importance of diverting water a minimum of 5 feet away from foundation.</t>
  </si>
  <si>
    <t>(21)</t>
  </si>
  <si>
    <t>A narrative detailing the importance of maintenance and operation in retaining the attributes of a green-built building.</t>
  </si>
  <si>
    <t>(22)</t>
  </si>
  <si>
    <t>Where stormwater management measures are installed on the lot, information on the location, purpose, and upkeep of these measures.</t>
  </si>
  <si>
    <t>(23)</t>
  </si>
  <si>
    <t>Explanation of and benefits from green cleaning in the home.</t>
  </si>
  <si>
    <t>(24)</t>
  </si>
  <si>
    <t>Retrofit energy calculator that provides baseline for future energy retrofits.</t>
  </si>
  <si>
    <r>
      <t>1001. 2</t>
    </r>
    <r>
      <rPr>
        <sz val="10"/>
        <color theme="1"/>
        <rFont val="Calibri"/>
        <family val="2"/>
        <scheme val="minor"/>
      </rPr>
      <t xml:space="preserve"> </t>
    </r>
    <r>
      <rPr>
        <b/>
        <sz val="10"/>
        <color theme="1"/>
        <rFont val="Calibri"/>
        <family val="2"/>
        <scheme val="minor"/>
      </rPr>
      <t>Training of initial homeowners.</t>
    </r>
    <r>
      <rPr>
        <sz val="10"/>
        <color theme="1"/>
        <rFont val="Calibri"/>
        <family val="2"/>
        <scheme val="minor"/>
      </rPr>
      <t xml:space="preserve"> Initial homeowners are familiarized with the role of occupants in achieving green goals. Training is provided to the responsible party(ies) regarding equipment operation and maintenance, control systems, and occupant actions that will improve the environmental performance of the building. These include:</t>
    </r>
  </si>
  <si>
    <t>HVAC filters.</t>
  </si>
  <si>
    <t>Thermostat operation and programming.</t>
  </si>
  <si>
    <t>Lighting controls.</t>
  </si>
  <si>
    <t>Appliances operation.</t>
  </si>
  <si>
    <t>Water heater settings and hot water use.</t>
  </si>
  <si>
    <t>Fan controls.</t>
  </si>
  <si>
    <t>Recycling and composting practices.</t>
  </si>
  <si>
    <t>1002 CONSTRUCTION, OPERATION, AND MAINTENANCE MANUALS AND TRAINING FOR MULTI-UNIT BUILDINGS</t>
  </si>
  <si>
    <r>
      <t>1002.0 Intent.</t>
    </r>
    <r>
      <rPr>
        <sz val="10"/>
        <color theme="1"/>
        <rFont val="Calibri"/>
        <family val="2"/>
        <scheme val="minor"/>
      </rPr>
      <t xml:space="preserve"> Manuals are provided to the responsible parties (owner, management, tenant, and/or maintenance team) regarding the construction, operation, and maintenance of the building. Paper or digital format manuals are to include information regarding those aspects of the building’s construction, maintenance, and operation that are within the area of responsibilities of the respective recipient. One or more responsible parties are to receive a copy of all documentation for archival purposes.</t>
    </r>
  </si>
  <si>
    <t>A narrative detailing the importance of constructing a green building, including a list of green building attributes included in the building. This narrative is included in all responsible parties’ manuals.</t>
  </si>
  <si>
    <r>
      <t xml:space="preserve">A local green building program certificate as well as a copy of the </t>
    </r>
    <r>
      <rPr>
        <i/>
        <sz val="10"/>
        <color theme="1"/>
        <rFont val="Calibri"/>
        <family val="2"/>
        <scheme val="minor"/>
      </rPr>
      <t>National Green Building Standard</t>
    </r>
    <r>
      <rPr>
        <i/>
        <vertAlign val="superscript"/>
        <sz val="10"/>
        <color theme="1"/>
        <rFont val="Calibri"/>
        <family val="2"/>
        <scheme val="minor"/>
      </rPr>
      <t>TM</t>
    </r>
    <r>
      <rPr>
        <sz val="10"/>
        <color theme="1"/>
        <rFont val="Calibri"/>
        <family val="2"/>
        <scheme val="minor"/>
      </rPr>
      <t>, as adopted by the Adopting Entity, and the individual measures achieved by the building.</t>
    </r>
  </si>
  <si>
    <t>Warranty, operation, and maintenance instructions for all equipment, fixtures, appliances, and finishes.</t>
  </si>
  <si>
    <t>Record drawings of the building.</t>
  </si>
  <si>
    <t>A record drawing of the site including stormwater management plans, utility lines, landscaping with common name and genus/species of plantings.</t>
  </si>
  <si>
    <t>A list of the type and wattage of light bulbs installed in light fixtures.</t>
  </si>
  <si>
    <t>A photo record of framing with utilities installed. Photos are taken prior to installing insulation and clearly labeled.</t>
  </si>
  <si>
    <t>A narrative detailing the importance of operating and living in a green building. This narrative is included in all responsible parties’ manuals.</t>
  </si>
  <si>
    <t>A list of practices to conserve water and energy (e.g., turning off lights when not in use, switching the rotation of ceiling fans in changing seasons, purchasing ENERGY STAR appliances and electronics).</t>
  </si>
  <si>
    <t>Information on opportunities to purchase renewable energy from local utilities or national green power providers and information on utility and tax incentives for the installation of on-site renewable energy systems.</t>
  </si>
  <si>
    <t>Information on local and on-site recycling and hazardous waste disposal programs and, if applicable, building recycling and hazardous waste handling and disposal procedures.</t>
  </si>
  <si>
    <t>Explanation of the benefits of using compact fluorescent light bulbs, LEDs, or other high-efficiency lighting.</t>
  </si>
  <si>
    <t>Information on the radon mitigation system, where applicable.</t>
  </si>
  <si>
    <t>A procedure for educating tenants in rental properties on the proper use, benefits, and maintenance of green building systems including a maintenance staff notification process for improperly functioning equipment.</t>
  </si>
  <si>
    <t>Information on the importance and operation of the building’s fresh air ventilation system.</t>
  </si>
  <si>
    <t>A narrative detailing the importance of maintaining a green building. This narrative is included in all responsible parties’ manuals.</t>
  </si>
  <si>
    <t>User-friendly maintenance checklist that includes:</t>
  </si>
  <si>
    <t>HVAC filters</t>
  </si>
  <si>
    <t>thermostat operation and programming</t>
  </si>
  <si>
    <t>lighting controls</t>
  </si>
  <si>
    <t>appliances and settings</t>
  </si>
  <si>
    <t>water heater settings</t>
  </si>
  <si>
    <t>fan controls</t>
  </si>
  <si>
    <t>Instructions for maintaining gutters and downspouts and the importance of diverting water a minimum of 5 feet away from foundation.</t>
  </si>
  <si>
    <t>A procedure for rental tenant occupancy turnover that preserves the green features.</t>
  </si>
  <si>
    <t>An outline of a formal green building training program for maintenance staff.</t>
  </si>
  <si>
    <t>A green cleaning plan which includes guidance on sustainable cleaning products.</t>
  </si>
  <si>
    <r>
      <t>1002.4 Training of building owners.</t>
    </r>
    <r>
      <rPr>
        <sz val="10"/>
        <color theme="1"/>
        <rFont val="Calibri"/>
        <family val="2"/>
        <scheme val="minor"/>
      </rPr>
      <t xml:space="preserve"> Building owners are familiarized with the role of occupants in achieving green goals. On-site training is provided to the responsible party(ies) regarding equipment operation and maintenance, control systems, and occupant actions that will improve the environmental performance of the building. These include:</t>
    </r>
  </si>
  <si>
    <t>appliances operation</t>
  </si>
  <si>
    <t>water heater settings and hot water use</t>
  </si>
  <si>
    <t>recycling and composting practices</t>
  </si>
  <si>
    <t xml:space="preserve">1003 PUBLIC EDUCATION </t>
  </si>
  <si>
    <r>
      <t xml:space="preserve">1003.0 </t>
    </r>
    <r>
      <rPr>
        <sz val="10"/>
        <color theme="1"/>
        <rFont val="Calibri"/>
        <family val="2"/>
        <scheme val="minor"/>
      </rPr>
      <t xml:space="preserve"> </t>
    </r>
    <r>
      <rPr>
        <b/>
        <sz val="10"/>
        <color theme="1"/>
        <rFont val="Calibri"/>
        <family val="2"/>
        <scheme val="minor"/>
      </rPr>
      <t xml:space="preserve">Intent. </t>
    </r>
    <r>
      <rPr>
        <sz val="10"/>
        <color theme="1"/>
        <rFont val="Calibri"/>
        <family val="2"/>
        <scheme val="minor"/>
      </rPr>
      <t>Increase public awareness of the National Green Building Standard and projects constructed in accordance with National Green Building Standard to help increase demand for high-performance homes.</t>
    </r>
  </si>
  <si>
    <r>
      <t xml:space="preserve">1003.1 Public Education. </t>
    </r>
    <r>
      <rPr>
        <sz val="10"/>
        <color theme="1"/>
        <rFont val="Calibri"/>
        <family val="2"/>
        <scheme val="minor"/>
      </rPr>
      <t>One or more of the following is implemented:</t>
    </r>
  </si>
  <si>
    <t>2 Max</t>
  </si>
  <si>
    <r>
      <t>Signage.</t>
    </r>
    <r>
      <rPr>
        <sz val="10"/>
        <color theme="1"/>
        <rFont val="Calibri"/>
        <family val="2"/>
        <scheme val="minor"/>
      </rPr>
      <t xml:space="preserve"> Signs showing the project is designed and built in accordance with the National Green Building Standard are posted on the construction site.</t>
    </r>
  </si>
  <si>
    <r>
      <t xml:space="preserve">Certification Plaques. </t>
    </r>
    <r>
      <rPr>
        <sz val="10"/>
        <color theme="1"/>
        <rFont val="Calibri"/>
        <family val="2"/>
        <scheme val="minor"/>
      </rPr>
      <t>National Green Building Standard certification plaques with rating level attainted are placed in a conspicuous location near the utility area of the home or, in a conspicuous location near the main entrance of a multifamily building.</t>
    </r>
  </si>
  <si>
    <r>
      <t xml:space="preserve">Education. </t>
    </r>
    <r>
      <rPr>
        <sz val="10"/>
        <color theme="1"/>
        <rFont val="Calibri"/>
        <family val="2"/>
        <scheme val="minor"/>
      </rPr>
      <t>A URL for the National Green Building Standard is included on site signage, builder website (or property website for multifamily buildings), and marketing materials for homes certified under the National Green Building Standard.</t>
    </r>
  </si>
  <si>
    <t>1004 POST OCCUPANCY PERFORMANCE ASSESSMENT</t>
  </si>
  <si>
    <r>
      <t xml:space="preserve">1004.0 Intent. </t>
    </r>
    <r>
      <rPr>
        <sz val="10"/>
        <color theme="1"/>
        <rFont val="Calibri"/>
        <family val="2"/>
        <scheme val="minor"/>
      </rPr>
      <t>A verification system for post occupancy assessment of the building is intended to be a management tool for the building owner to determine if energy or water usage have deviated from expected levels so that inspection and correction action can be taken.</t>
    </r>
  </si>
  <si>
    <r>
      <t xml:space="preserve">1004.1 </t>
    </r>
    <r>
      <rPr>
        <sz val="10"/>
        <color theme="1"/>
        <rFont val="Calibri"/>
        <family val="2"/>
        <scheme val="minor"/>
      </rPr>
      <t>A verification system plan is provided in the building owner’s manual (Sections 1001 or 1002).  The verification system provides methods for demonstrating continued energy and water savings that are determined from the building’s initial year of occupancy of water and energy consumption as compared to annualized consumption at least every four years.</t>
    </r>
    <r>
      <rPr>
        <b/>
        <sz val="10"/>
        <color theme="1"/>
        <rFont val="Calibri"/>
        <family val="2"/>
        <scheme val="minor"/>
      </rPr>
      <t xml:space="preserve">  </t>
    </r>
  </si>
  <si>
    <t>Verification system is installed in the building to monitor post-occupancy energy and water use.</t>
  </si>
  <si>
    <r>
      <t xml:space="preserve"> </t>
    </r>
    <r>
      <rPr>
        <b/>
        <sz val="10"/>
        <color theme="1"/>
        <rFont val="Calibri"/>
        <family val="2"/>
      </rPr>
      <t>(Points awarded per two items. Points awarded for non-mandatory items.)</t>
    </r>
  </si>
  <si>
    <t>1001 HOMEOWNER’S MANUAL AND TRAINING GUIDELINES FOR ONE- AND TWO-FAMILY DWELLINGS</t>
  </si>
  <si>
    <t>(Points awarded per two items. Points awarded for non-mandatory items.)</t>
  </si>
  <si>
    <t>1
8 Max</t>
  </si>
  <si>
    <r>
      <t xml:space="preserve">1002.1 Building construction manual. </t>
    </r>
    <r>
      <rPr>
        <sz val="10"/>
        <color theme="1"/>
        <rFont val="Calibri"/>
        <family val="2"/>
        <scheme val="minor"/>
      </rPr>
      <t xml:space="preserve">A building construction manual, including </t>
    </r>
    <r>
      <rPr>
        <sz val="10"/>
        <color rgb="FFFF0000"/>
        <rFont val="Calibri"/>
        <family val="2"/>
        <scheme val="minor"/>
      </rPr>
      <t>five or more</t>
    </r>
    <r>
      <rPr>
        <sz val="10"/>
        <color theme="1"/>
        <rFont val="Calibri"/>
        <family val="2"/>
        <scheme val="minor"/>
      </rPr>
      <t xml:space="preserve"> of the following, is compiled and distributed in accordance with Section 1002.0.</t>
    </r>
  </si>
  <si>
    <r>
      <t xml:space="preserve">1002.2 Operations manual. </t>
    </r>
    <r>
      <rPr>
        <sz val="10"/>
        <color theme="1"/>
        <rFont val="Calibri"/>
        <family val="2"/>
        <scheme val="minor"/>
      </rPr>
      <t xml:space="preserve">Operations manuals are created and distributed to the responsible parties in accordance with Section 1002.0. Between all of the operation manuals, </t>
    </r>
    <r>
      <rPr>
        <sz val="10"/>
        <color rgb="FFFF0000"/>
        <rFont val="Calibri"/>
        <family val="2"/>
        <scheme val="minor"/>
      </rPr>
      <t>five or more</t>
    </r>
    <r>
      <rPr>
        <sz val="10"/>
        <color theme="1"/>
        <rFont val="Calibri"/>
        <family val="2"/>
        <scheme val="minor"/>
      </rPr>
      <t xml:space="preserve"> of the following options are included.</t>
    </r>
  </si>
  <si>
    <r>
      <t>1002.3 Maintenance manual.</t>
    </r>
    <r>
      <rPr>
        <sz val="10"/>
        <color theme="1"/>
        <rFont val="Calibri"/>
        <family val="2"/>
        <scheme val="minor"/>
      </rPr>
      <t xml:space="preserve"> Maintenance manuals are created and distributed to the responsible parties in accordance with Section 1002.0. Between all of the maintenance manuals, </t>
    </r>
    <r>
      <rPr>
        <sz val="10"/>
        <color rgb="FFFF0000"/>
        <rFont val="Calibri"/>
        <family val="2"/>
        <scheme val="minor"/>
      </rPr>
      <t>five or more</t>
    </r>
    <r>
      <rPr>
        <sz val="10"/>
        <color theme="1"/>
        <rFont val="Calibri"/>
        <family val="2"/>
        <scheme val="minor"/>
      </rPr>
      <t xml:space="preserve"> of the following options are included.</t>
    </r>
  </si>
  <si>
    <t>END OF CHAPTER 10</t>
  </si>
  <si>
    <t>(Points are awarded only for buildings that use natural draft combustion space or water heating equipment.)</t>
  </si>
  <si>
    <t>Note: Points are only available for lots with slopes of 25% or greater.</t>
  </si>
  <si>
    <t>path:</t>
  </si>
  <si>
    <t>705 ct.:</t>
  </si>
  <si>
    <t>NOTE: List the reviewer in the assigned Notes field.</t>
  </si>
  <si>
    <t>Not Primary Heat</t>
  </si>
  <si>
    <t>No Radiant or Hydronic</t>
  </si>
  <si>
    <t>Type of Heating System (main system):</t>
  </si>
  <si>
    <t>dstHeat1</t>
  </si>
  <si>
    <t>dstHeat2</t>
  </si>
  <si>
    <t>dstHeat3</t>
  </si>
  <si>
    <t>ddHeat1</t>
  </si>
  <si>
    <t>ddHeat2</t>
  </si>
  <si>
    <t>ddHeat3</t>
  </si>
  <si>
    <t>Type of Heating System (system 2):</t>
  </si>
  <si>
    <t>Type of Heating System (system 3):</t>
  </si>
  <si>
    <t>Type of Cooling System (main system):</t>
  </si>
  <si>
    <t>Type of Cooling System (system 2):</t>
  </si>
  <si>
    <t>Type of Cooling System (system 3):</t>
  </si>
  <si>
    <t>ddCool1</t>
  </si>
  <si>
    <t>dstCool1</t>
  </si>
  <si>
    <t>ddCool2</t>
  </si>
  <si>
    <t>dstCool2</t>
  </si>
  <si>
    <t>ddCool3</t>
  </si>
  <si>
    <t>dstCool3</t>
  </si>
  <si>
    <t>Heating Ducts:</t>
  </si>
  <si>
    <t>ddHDucts</t>
  </si>
  <si>
    <t>dstHDucts</t>
  </si>
  <si>
    <t>Cooling Ducts:</t>
  </si>
  <si>
    <t>ddCDucts</t>
  </si>
  <si>
    <t>dstCDucts</t>
  </si>
  <si>
    <t>Ducted</t>
  </si>
  <si>
    <t>Ductless</t>
  </si>
  <si>
    <t>No System</t>
  </si>
  <si>
    <t>Gas Engine-Driven Heat Pump</t>
  </si>
  <si>
    <t>701.4.3.3 Exception:</t>
  </si>
  <si>
    <t>See Table 701.4.3.2(2)</t>
  </si>
  <si>
    <t>c. Basement wall U-factor of 0.360 in warm-humid locations.</t>
  </si>
  <si>
    <r>
      <t>b.</t>
    </r>
    <r>
      <rPr>
        <sz val="7"/>
        <color rgb="FF000000"/>
        <rFont val="Times New Roman"/>
        <family val="1"/>
      </rPr>
      <t xml:space="preserve">  </t>
    </r>
    <r>
      <rPr>
        <sz val="10"/>
        <color rgb="FF000000"/>
        <rFont val="Calibri"/>
        <family val="2"/>
      </rPr>
      <t>Where more the half the insulation is on the interior, the mass wall U-factors is a maximum of 0.17 in Zone 1, 0.14 in Zone 2, 0.12 in Zone 3, 0.10 in Zone 4 except in Marine, and the same as the frame wall U-factor in Marine Zone 4 and Zones 5 through 8.</t>
    </r>
  </si>
  <si>
    <r>
      <t>a.</t>
    </r>
    <r>
      <rPr>
        <sz val="7"/>
        <color rgb="FF000000"/>
        <rFont val="Times New Roman"/>
        <family val="1"/>
      </rPr>
      <t xml:space="preserve">  </t>
    </r>
    <r>
      <rPr>
        <sz val="10"/>
        <color rgb="FF000000"/>
        <rFont val="Calibri"/>
        <family val="2"/>
      </rPr>
      <t>Non-fenestration U-factors shall be obtained from measurement, calculation, or an approved source.</t>
    </r>
  </si>
  <si>
    <t>7 and 8</t>
  </si>
  <si>
    <t>5 and Marine 4</t>
  </si>
  <si>
    <t>4 except Marine</t>
  </si>
  <si>
    <r>
      <t>0.091</t>
    </r>
    <r>
      <rPr>
        <vertAlign val="superscript"/>
        <sz val="10"/>
        <color rgb="FF000000"/>
        <rFont val="Calibri"/>
        <family val="2"/>
        <scheme val="minor"/>
      </rPr>
      <t>C</t>
    </r>
  </si>
  <si>
    <t>Crawlspace Wall U-Factor</t>
  </si>
  <si>
    <t>Basement Wall U-Factor</t>
  </si>
  <si>
    <t>Floor U-Factor</t>
  </si>
  <si>
    <t>Mass Wall U-Factor</t>
  </si>
  <si>
    <t>Frame Wall U-Factor</t>
  </si>
  <si>
    <t>Ceiling U-Factor</t>
  </si>
  <si>
    <t>Skylight U-Factor</t>
  </si>
  <si>
    <t>Fenestration U- Factor</t>
  </si>
  <si>
    <t>Climate Zone</t>
  </si>
  <si>
    <t>Table 703.2.1(a)</t>
  </si>
  <si>
    <t>Air Barrier and Insulation Installation</t>
  </si>
  <si>
    <t>Table 701.4.3.2(2)</t>
  </si>
  <si>
    <t xml:space="preserve">Exception: Tropical Climate Zone, crawl space, basement, floor u-factors are not applicable. </t>
  </si>
  <si>
    <r>
      <t xml:space="preserve">a. </t>
    </r>
    <r>
      <rPr>
        <sz val="10"/>
        <color rgb="FF000000"/>
        <rFont val="Calibri"/>
        <family val="2"/>
        <scheme val="minor"/>
      </rPr>
      <t>Tropical Climate Zone: Points are Climate Zone 1 points divided by 2 and rounded down</t>
    </r>
  </si>
  <si>
    <r>
      <rPr>
        <u/>
        <sz val="10"/>
        <color theme="1"/>
        <rFont val="Calibri"/>
        <family val="2"/>
      </rPr>
      <t>&gt;</t>
    </r>
    <r>
      <rPr>
        <sz val="10"/>
        <color theme="1"/>
        <rFont val="Calibri"/>
        <family val="2"/>
      </rPr>
      <t>35%</t>
    </r>
  </si>
  <si>
    <t>30% to &lt;35%</t>
  </si>
  <si>
    <t>25% to &lt;30%</t>
  </si>
  <si>
    <t>20% to &lt;25%</t>
  </si>
  <si>
    <t>15% to &lt;20%</t>
  </si>
  <si>
    <t>10% to &lt;15%</t>
  </si>
  <si>
    <t>5% to &lt;10%</t>
  </si>
  <si>
    <t>0 to &lt;5%</t>
  </si>
  <si>
    <r>
      <t>1</t>
    </r>
    <r>
      <rPr>
        <vertAlign val="superscript"/>
        <sz val="10"/>
        <color theme="1"/>
        <rFont val="Calibri"/>
        <family val="2"/>
      </rPr>
      <t>a</t>
    </r>
  </si>
  <si>
    <t>Minimum UA Improvement</t>
  </si>
  <si>
    <t>Points for Improvement in Total Building Thermal Envelope UA</t>
  </si>
  <si>
    <t>Table 703.2.1(b)</t>
  </si>
  <si>
    <t>&gt;6 inch</t>
  </si>
  <si>
    <r>
      <rPr>
        <u/>
        <sz val="10"/>
        <color theme="1"/>
        <rFont val="Calibri"/>
        <family val="2"/>
      </rPr>
      <t>&gt;</t>
    </r>
    <r>
      <rPr>
        <sz val="10"/>
        <color theme="1"/>
        <rFont val="Calibri"/>
        <family val="2"/>
      </rPr>
      <t>3 inch to</t>
    </r>
    <r>
      <rPr>
        <u/>
        <sz val="10"/>
        <color theme="1"/>
        <rFont val="Calibri"/>
        <family val="2"/>
      </rPr>
      <t xml:space="preserve"> &gt;</t>
    </r>
    <r>
      <rPr>
        <sz val="10"/>
        <color theme="1"/>
        <rFont val="Calibri"/>
        <family val="2"/>
      </rPr>
      <t>6 inch</t>
    </r>
  </si>
  <si>
    <t>7-8</t>
  </si>
  <si>
    <t>1-4</t>
  </si>
  <si>
    <t>Mass thickness</t>
  </si>
  <si>
    <t>Exterior Mass Walls</t>
  </si>
  <si>
    <t>Table 703.2.2</t>
  </si>
  <si>
    <t>Tropical</t>
  </si>
  <si>
    <t>(Points not awarded if points are taken under Section 705.6.2.1)</t>
  </si>
  <si>
    <t>-</t>
  </si>
  <si>
    <t>Max Envelope Leakage Rate (ACH50)</t>
  </si>
  <si>
    <t>Building Envelope Leakage</t>
  </si>
  <si>
    <t>Exception: For Sun-tempered designs meeting the requirements of Section 703.7.1, the SHGC is permitted to be 0.40 or higher on south facing glass.</t>
  </si>
  <si>
    <t>Any</t>
  </si>
  <si>
    <t>5 to 8</t>
  </si>
  <si>
    <t>Skylights and TDDs (maximums certified ratings)</t>
  </si>
  <si>
    <t>Windows and Exterior Doors (maximums certified ratings)</t>
  </si>
  <si>
    <t>SHGC</t>
  </si>
  <si>
    <t>U-Factor</t>
  </si>
  <si>
    <t>Climate Zones</t>
  </si>
  <si>
    <t>Fenestration Specifications</t>
  </si>
  <si>
    <t>Table 703.2.5.1</t>
  </si>
  <si>
    <t>(Points for multifamily buildings four or more stories in height are awarded at 3 times the point value listed in Table 703.2.5.2(c))</t>
  </si>
  <si>
    <t>5-8</t>
  </si>
  <si>
    <t>SHGC Skylights &amp; TDDs</t>
  </si>
  <si>
    <t>U-Factor Skylights &amp; TDDs</t>
  </si>
  <si>
    <t>SHGC Windows &amp; Exterior Doors</t>
  </si>
  <si>
    <t>U-Factor Windows &amp; Exterior Doors</t>
  </si>
  <si>
    <t>Enhanced Fenestration Specifications</t>
  </si>
  <si>
    <t>Table 703.2.5.2(c)</t>
  </si>
  <si>
    <t>Table 703.2.5.2(b)</t>
  </si>
  <si>
    <t>Table 703.2.5.2(a)</t>
  </si>
  <si>
    <t>Electric Heat Pump Heating</t>
  </si>
  <si>
    <t>1' 0"</t>
  </si>
  <si>
    <t>1' 4"</t>
  </si>
  <si>
    <t>1' 8"</t>
  </si>
  <si>
    <t>2' 0"</t>
  </si>
  <si>
    <t>7 &amp; 8</t>
  </si>
  <si>
    <t>2' 4"</t>
  </si>
  <si>
    <t>4 &amp; 5 &amp; 6</t>
  </si>
  <si>
    <t>2' 8"</t>
  </si>
  <si>
    <t>1 &amp; 2 &amp; 3</t>
  </si>
  <si>
    <t>≤3' 4"</t>
  </si>
  <si>
    <t>≤4' 4"</t>
  </si>
  <si>
    <t>≤5' 4"</t>
  </si>
  <si>
    <t>≤6' 4"</t>
  </si>
  <si>
    <t>≤7' 4"</t>
  </si>
  <si>
    <t xml:space="preserve">Vertical distance between bottom of overhang and top of window sill </t>
  </si>
  <si>
    <t>South-Facing Window Overhang Depth</t>
  </si>
  <si>
    <t>Table 703.7.1(7)</t>
  </si>
  <si>
    <t>dstFloors</t>
  </si>
  <si>
    <t>Points per formula</t>
  </si>
  <si>
    <t>DO NOT PASTE ANYTHING INTO THE WORKSHEET. CELL PROTECTION, VALIDATION, AND CONDITIONAL FORMATTING CAN BE ALTERED BY PASTING. THIS WILL BREAK YOUR SHEET.</t>
  </si>
  <si>
    <t>Home Address:</t>
  </si>
  <si>
    <t>There is mandatory information or practices missing from this Page!</t>
  </si>
  <si>
    <t>There are errors on this page!</t>
  </si>
  <si>
    <t>There is mandatory information or practices missing from this Chapter!</t>
  </si>
  <si>
    <t>ATFS</t>
  </si>
  <si>
    <t>CSA Z809</t>
  </si>
  <si>
    <t>FSC</t>
  </si>
  <si>
    <t>PEFC</t>
  </si>
  <si>
    <t>RPP</t>
  </si>
  <si>
    <t>SFI</t>
  </si>
  <si>
    <t>35% to less than 50%</t>
  </si>
  <si>
    <t>50% to less than 90%</t>
  </si>
  <si>
    <t>90% or more</t>
  </si>
  <si>
    <r>
      <rPr>
        <b/>
        <sz val="11"/>
        <color theme="1"/>
        <rFont val="Calibri"/>
        <family val="2"/>
        <scheme val="minor"/>
      </rPr>
      <t>Error</t>
    </r>
    <r>
      <rPr>
        <sz val="11"/>
        <color theme="1"/>
        <rFont val="Calibri"/>
        <family val="2"/>
        <scheme val="minor"/>
      </rPr>
      <t xml:space="preserve"> - Something is wrong. Review practice text for explanation.</t>
    </r>
  </si>
  <si>
    <r>
      <rPr>
        <b/>
        <sz val="11"/>
        <color theme="1"/>
        <rFont val="Calibri"/>
        <family val="2"/>
        <scheme val="minor"/>
      </rPr>
      <t>Note Entry</t>
    </r>
    <r>
      <rPr>
        <sz val="11"/>
        <color theme="1"/>
        <rFont val="Calibri"/>
        <family val="2"/>
        <scheme val="minor"/>
      </rPr>
      <t xml:space="preserve"> - A place for you to elaborate. If a note is mandatory it will turn yellow. Notes required due to selecting a practice out of phase (rough or final) will not turn yellow.</t>
    </r>
  </si>
  <si>
    <r>
      <rPr>
        <b/>
        <sz val="11"/>
        <color theme="1"/>
        <rFont val="Calibri"/>
        <family val="2"/>
        <scheme val="minor"/>
      </rPr>
      <t>Off Limits</t>
    </r>
    <r>
      <rPr>
        <sz val="11"/>
        <color theme="1"/>
        <rFont val="Calibri"/>
        <family val="2"/>
        <scheme val="minor"/>
      </rPr>
      <t xml:space="preserve"> - Some other answer or lack of answer disqualifies you from this practice or the practice is not available during the current phase (rough or final).</t>
    </r>
  </si>
  <si>
    <r>
      <rPr>
        <b/>
        <sz val="11"/>
        <color theme="1"/>
        <rFont val="Calibri"/>
        <family val="2"/>
        <scheme val="minor"/>
      </rPr>
      <t>Normal Entry (optional)</t>
    </r>
    <r>
      <rPr>
        <sz val="11"/>
        <color theme="1"/>
        <rFont val="Calibri"/>
        <family val="2"/>
        <scheme val="minor"/>
      </rPr>
      <t xml:space="preserve"> - Use the checkbox or dropdown to indicate the status of the adjacent practice. </t>
    </r>
  </si>
  <si>
    <r>
      <rPr>
        <b/>
        <sz val="11"/>
        <color theme="1"/>
        <rFont val="Calibri"/>
        <family val="2"/>
        <scheme val="minor"/>
      </rPr>
      <t>Mandatory Entry or Mandatory Note</t>
    </r>
    <r>
      <rPr>
        <sz val="11"/>
        <color theme="1"/>
        <rFont val="Calibri"/>
        <family val="2"/>
        <scheme val="minor"/>
      </rPr>
      <t xml:space="preserve"> - This field is required in order for the worksheet to be considered complete and submitable.</t>
    </r>
  </si>
  <si>
    <t>Stories above grade:</t>
  </si>
  <si>
    <t>Maximum skylight SHGC:</t>
  </si>
  <si>
    <t>Maximum skylight U-value:</t>
  </si>
  <si>
    <t>dstsSHGC</t>
  </si>
  <si>
    <t>dstsUV</t>
  </si>
  <si>
    <t>Maximum window and door SHGC:</t>
  </si>
  <si>
    <t>Maximum window and door U-value:</t>
  </si>
  <si>
    <t>dstwdSHGC</t>
  </si>
  <si>
    <t>dstwdUV</t>
  </si>
  <si>
    <t>Exclude south-facing glass if part of "Sun-tempered" design (703.7.1).</t>
  </si>
  <si>
    <t>back to 701.4.3.2(2)</t>
  </si>
  <si>
    <t>Exception: Section 703.1.2 is not required for Tropical Climate Zone</t>
  </si>
  <si>
    <t>See Table 703.2.1(a)</t>
  </si>
  <si>
    <t>back to 703.2.1</t>
  </si>
  <si>
    <t>UA Improvement:</t>
  </si>
  <si>
    <t>T</t>
  </si>
  <si>
    <t>zone:</t>
  </si>
  <si>
    <t>tropical:</t>
  </si>
  <si>
    <t>UA:</t>
  </si>
  <si>
    <t>points:</t>
  </si>
  <si>
    <t>Verifier</t>
  </si>
  <si>
    <t>Mass thickness:</t>
  </si>
  <si>
    <t>Selected</t>
  </si>
  <si>
    <t>Required Documentation</t>
  </si>
  <si>
    <t>Ch. 8</t>
  </si>
  <si>
    <t>(4)(a)</t>
  </si>
  <si>
    <t>705.6.3</t>
  </si>
  <si>
    <t>(Points not awarded if points are taken under Section 703.4.4)</t>
  </si>
  <si>
    <t>Duct leakage is in accordance with IECC R403.3.3 and R403.3.4.</t>
  </si>
  <si>
    <t>Duct leakage is in accordance with IECC R403.3.3 and R403.3.4, and testing is conducted by an independent third party.</t>
  </si>
  <si>
    <r>
      <t xml:space="preserve">705.6.3 Insulating hot water pipes. </t>
    </r>
    <r>
      <rPr>
        <sz val="10"/>
        <color theme="1"/>
        <rFont val="Calibri"/>
        <family val="2"/>
        <scheme val="minor"/>
      </rPr>
      <t>Insulation with a minimum thermal resistance (R-value) of at least R-3 is applied to the following, as applicable:</t>
    </r>
  </si>
  <si>
    <r>
      <t>Maximum Pipe Length Conversion Table</t>
    </r>
    <r>
      <rPr>
        <b/>
        <vertAlign val="superscript"/>
        <sz val="10"/>
        <color theme="1"/>
        <rFont val="Calibri"/>
        <family val="2"/>
        <scheme val="minor"/>
      </rPr>
      <t>a</t>
    </r>
  </si>
  <si>
    <t>Nominal Pipe Size (inch)</t>
  </si>
  <si>
    <t>Liquid Ounces per Foot of Length</t>
  </si>
  <si>
    <t>Main, Branch, and Fixture Supply System Volume Category</t>
  </si>
  <si>
    <t>Branch and Fixture Supply Volume from Circulation Loop</t>
  </si>
  <si>
    <t>Maximum Pipe Length (feet)</t>
  </si>
  <si>
    <r>
      <t>1/4</t>
    </r>
    <r>
      <rPr>
        <vertAlign val="superscript"/>
        <sz val="10"/>
        <color theme="1"/>
        <rFont val="Calibri"/>
        <family val="2"/>
        <scheme val="minor"/>
      </rPr>
      <t>b</t>
    </r>
  </si>
  <si>
    <r>
      <t>5/16</t>
    </r>
    <r>
      <rPr>
        <vertAlign val="superscript"/>
        <sz val="10"/>
        <color theme="1"/>
        <rFont val="Calibri"/>
        <family val="2"/>
        <scheme val="minor"/>
      </rPr>
      <t>b</t>
    </r>
  </si>
  <si>
    <r>
      <t>3/8</t>
    </r>
    <r>
      <rPr>
        <vertAlign val="superscript"/>
        <sz val="10"/>
        <color theme="1"/>
        <rFont val="Calibri"/>
        <family val="2"/>
        <scheme val="minor"/>
      </rPr>
      <t>b</t>
    </r>
  </si>
  <si>
    <t>1/2</t>
  </si>
  <si>
    <t>5/8</t>
  </si>
  <si>
    <t>3/4</t>
  </si>
  <si>
    <t>7/8</t>
  </si>
  <si>
    <t>1 1/4</t>
  </si>
  <si>
    <t>1 1/2</t>
  </si>
  <si>
    <t>b. The maximum flow rate through 1/4 inch nominal piping shall not exceed 0.5 gpm. The maximum flow rate through 5/16 inch nominal piping shall not exceed 1 gpm. The maximum flow rate through 3/8 inch nominal piping shall not exceed 1.5 gpm.</t>
  </si>
  <si>
    <t>Common Hot Water Pipe Internal Volumes</t>
  </si>
  <si>
    <t>OUNCES OF WATER PER FOOT OF PIPE</t>
  </si>
  <si>
    <t>Size Nominal, Inch</t>
  </si>
  <si>
    <t>Copper Type M</t>
  </si>
  <si>
    <t>Copper Type L</t>
  </si>
  <si>
    <t>Copper Type K</t>
  </si>
  <si>
    <t>CPVC CTS SDR 11</t>
  </si>
  <si>
    <t>CPVC SCH 40</t>
  </si>
  <si>
    <t>CPVC</t>
  </si>
  <si>
    <t>PE-RT</t>
  </si>
  <si>
    <t>Composite ASTM F 1281</t>
  </si>
  <si>
    <t>PEX CTS SDR 9</t>
  </si>
  <si>
    <t>PP SDR 7.4 F2389</t>
  </si>
  <si>
    <t>PP SDR   9  F2389</t>
  </si>
  <si>
    <t>SCH 80</t>
  </si>
  <si>
    <t>SDR 9</t>
  </si>
  <si>
    <t>3/8</t>
  </si>
  <si>
    <t>1 ¼</t>
  </si>
  <si>
    <t>1 ½</t>
  </si>
  <si>
    <t>NOTE: If multiple dishwashers and washing machines are installed, ALL instances must meet the above conditions to be awarded points.</t>
  </si>
  <si>
    <t xml:space="preserve">Multifamily Building Note: Washing machines are installed in individual units or provided in common areas of multifamily buildings. </t>
  </si>
  <si>
    <t># of compartments:</t>
  </si>
  <si>
    <t>1 compartment</t>
  </si>
  <si>
    <t>2 compartments</t>
  </si>
  <si>
    <t>3 compartments</t>
  </si>
  <si>
    <t>4+ compartments</t>
  </si>
  <si>
    <t>1 control</t>
  </si>
  <si>
    <t>2 controls</t>
  </si>
  <si>
    <t>3+ controls</t>
  </si>
  <si>
    <t>1
3 Max</t>
  </si>
  <si>
    <t>1 fixture</t>
  </si>
  <si>
    <t>2 fixtures</t>
  </si>
  <si>
    <t>3+ fixtures</t>
  </si>
  <si>
    <t>Ch. 8 Max</t>
  </si>
  <si>
    <t>1 toilet</t>
  </si>
  <si>
    <t>2 toilets</t>
  </si>
  <si>
    <t>3+ toilets</t>
  </si>
  <si>
    <t>(2)(a)</t>
  </si>
  <si>
    <t>(2)(b)</t>
  </si>
  <si>
    <t>(2)(c)</t>
  </si>
  <si>
    <t>(2)(d)</t>
  </si>
  <si>
    <t>5
15 Max</t>
  </si>
  <si>
    <t>1 appl./fixture</t>
  </si>
  <si>
    <t>2 appl./fixtures</t>
  </si>
  <si>
    <t>3+ appl./fixtures</t>
  </si>
  <si>
    <t># of systems:</t>
  </si>
  <si>
    <t>5
20 Max</t>
  </si>
  <si>
    <t>4+ appl./fixtures</t>
  </si>
  <si>
    <t>3 appl./fixtures</t>
  </si>
  <si>
    <t>END OF CHAPTER 8</t>
  </si>
  <si>
    <t>CLICK TO PROCEED TO CHAPTER 9 &gt;&gt;</t>
  </si>
  <si>
    <t>Climate Zone:</t>
  </si>
  <si>
    <t>705.6.2</t>
  </si>
  <si>
    <r>
      <t xml:space="preserve">705.6.2 Testing. </t>
    </r>
    <r>
      <rPr>
        <sz val="10"/>
        <color theme="1"/>
        <rFont val="Calibri"/>
        <family val="2"/>
        <scheme val="minor"/>
      </rPr>
      <t>Testing is conducted to verify performance:</t>
    </r>
  </si>
  <si>
    <t>By using this tool, this project automatically qualifies for this practice.</t>
  </si>
  <si>
    <t>(Points not awarded if points are taken under Section 703.2.4)</t>
  </si>
  <si>
    <t>NOTE: Specify name of person or company conducting blower door test in the assigned Notes area.</t>
  </si>
  <si>
    <t>NOTE: Specify name of person or company conducting HVAC airflow test in the assigned Notes area.</t>
  </si>
  <si>
    <t>END OF CHAPTER 7</t>
  </si>
  <si>
    <t>CLICK TO PROCEED TO CHAPTER 8 &gt;&gt;</t>
  </si>
  <si>
    <t>Multifamily Building Note: Washing machines in ALL units must comply.</t>
  </si>
  <si>
    <t>count:</t>
  </si>
  <si>
    <t>Overhangs or adjustable canopies or awnings or trellises provide shading on south-facing glass for the appropriate climate zone in accordance with Table 703.7.1(7):</t>
  </si>
  <si>
    <t>See Table 703.7.1(7)</t>
  </si>
  <si>
    <t>back to 703.7.1</t>
  </si>
  <si>
    <t># of luminaires:</t>
  </si>
  <si>
    <t>SEF:</t>
  </si>
  <si>
    <t>703.5.4</t>
  </si>
  <si>
    <t>efficiency:</t>
  </si>
  <si>
    <t>type:</t>
  </si>
  <si>
    <t xml:space="preserve">    SEF ≥ 1.3</t>
  </si>
  <si>
    <t xml:space="preserve">    SEF ≥ 1.51</t>
  </si>
  <si>
    <t xml:space="preserve">    SEF ≥ 1.81</t>
  </si>
  <si>
    <t xml:space="preserve">    SEF ≥ 2.31</t>
  </si>
  <si>
    <t xml:space="preserve">    SEF ≥ 3.01</t>
  </si>
  <si>
    <t xml:space="preserve">    ductwork entirely outside the building's thermal envelope</t>
  </si>
  <si>
    <t xml:space="preserve">    ductwork inside and outside the building's thermal envelope</t>
  </si>
  <si>
    <t>&gt;4 story MF:</t>
  </si>
  <si>
    <t xml:space="preserve">Number of Types of Building Assembly </t>
  </si>
  <si>
    <t xml:space="preserve">    Countertops</t>
  </si>
  <si>
    <t xml:space="preserve">    Composite trim/doors</t>
  </si>
  <si>
    <t xml:space="preserve">    Custom woodwork</t>
  </si>
  <si>
    <t xml:space="preserve">    Component closet shelving</t>
  </si>
  <si>
    <t>Carpet and carpet cushion meeting the emission limits is installed.</t>
  </si>
  <si>
    <t>A window complying with IRC Section R303.3 is provided in addition to mechanical ventilation.</t>
  </si>
  <si>
    <t># of timers:</t>
  </si>
  <si>
    <t># of humidistats:</t>
  </si>
  <si>
    <t>ENERGY STAR, or equivalent, fans operating above 1 sone</t>
  </si>
  <si>
    <t>Ch. 9</t>
  </si>
  <si>
    <t>902.2.1</t>
  </si>
  <si>
    <t>Cold water pipes in unconditioned spaces are insulated to a minimum of R-4 with pipe insulation or other covering that adequately prevents condensation.</t>
  </si>
  <si>
    <t>Plumbing is not installed in unconditioned spaces.</t>
  </si>
  <si>
    <r>
      <t xml:space="preserve">903.1 Plumbing. </t>
    </r>
    <r>
      <rPr>
        <sz val="10"/>
        <color theme="1"/>
        <rFont val="Calibri"/>
        <family val="2"/>
        <scheme val="minor"/>
      </rPr>
      <t>Plumbing is in accordance with one of the following.</t>
    </r>
  </si>
  <si>
    <r>
      <t>903.3 Relative humidity.</t>
    </r>
    <r>
      <rPr>
        <sz val="10"/>
        <color theme="1"/>
        <rFont val="Calibri"/>
        <family val="2"/>
        <scheme val="minor"/>
      </rPr>
      <t xml:space="preserve"> In climate zones 1A, 2A, 3A, 4A, and 5A, equipment is installed to maintain relative humidity (RH) at or below 60 percent using one of the following:</t>
    </r>
  </si>
  <si>
    <t>Not available if there is no garage</t>
  </si>
  <si>
    <t>actual %:</t>
  </si>
  <si>
    <t>actual %'s:</t>
  </si>
  <si>
    <t>See Table 901.9.1</t>
  </si>
  <si>
    <r>
      <t>e.</t>
    </r>
    <r>
      <rPr>
        <sz val="7"/>
        <color theme="1"/>
        <rFont val="Times New Roman"/>
        <family val="1"/>
      </rPr>
      <t xml:space="preserve">  </t>
    </r>
    <r>
      <rPr>
        <sz val="10"/>
        <color theme="1"/>
        <rFont val="Calibri"/>
        <family val="2"/>
      </rPr>
      <t>Limit is expressed as VOC actual.</t>
    </r>
  </si>
  <si>
    <r>
      <t>d.</t>
    </r>
    <r>
      <rPr>
        <sz val="7"/>
        <color theme="1"/>
        <rFont val="Times New Roman"/>
        <family val="1"/>
      </rPr>
      <t xml:space="preserve">  </t>
    </r>
    <r>
      <rPr>
        <sz val="10"/>
        <color theme="1"/>
        <rFont val="Calibri"/>
        <family val="2"/>
      </rPr>
      <t>Limits are expressed as VOC Regulatory (except as noted), thinned to the manufacturer’s maximum thinning recommendation, excluding any colorant added to tint bases.</t>
    </r>
  </si>
  <si>
    <r>
      <t>c.</t>
    </r>
    <r>
      <rPr>
        <sz val="7"/>
        <color theme="1"/>
        <rFont val="Times New Roman"/>
        <family val="1"/>
      </rPr>
      <t xml:space="preserve">   </t>
    </r>
    <r>
      <rPr>
        <sz val="10"/>
        <color theme="1"/>
        <rFont val="Calibri"/>
        <family val="2"/>
      </rPr>
      <t>Table 901.9.1 architectural coating regulatory category and VOC content compliance determination shall conform to the California Air Resources Board Suggested Control Measure for Architectural Coatings dated February 1, 2008.</t>
    </r>
  </si>
  <si>
    <r>
      <t>b.</t>
    </r>
    <r>
      <rPr>
        <sz val="7"/>
        <color theme="1"/>
        <rFont val="Times New Roman"/>
        <family val="1"/>
      </rPr>
      <t xml:space="preserve">  </t>
    </r>
    <r>
      <rPr>
        <sz val="10"/>
        <color theme="1"/>
        <rFont val="Calibri"/>
        <family val="2"/>
      </rPr>
      <t>Values in this table are derived from those specified by the California Air Resources Board, Architectural Coatings Suggested Control Measure, February 1, 2008.</t>
    </r>
  </si>
  <si>
    <r>
      <t>a.</t>
    </r>
    <r>
      <rPr>
        <sz val="7"/>
        <color theme="1"/>
        <rFont val="Times New Roman"/>
        <family val="1"/>
      </rPr>
      <t xml:space="preserve">  </t>
    </r>
    <r>
      <rPr>
        <sz val="10"/>
        <color theme="1"/>
        <rFont val="Calibri"/>
        <family val="2"/>
      </rPr>
      <t>The specified limits remain in effect unless revised limits are listed in subsequent columns in the table.</t>
    </r>
  </si>
  <si>
    <t>Zinc-Rich Primers</t>
  </si>
  <si>
    <t>Wood Preservatives</t>
  </si>
  <si>
    <t>Wood Coatings</t>
  </si>
  <si>
    <t>Waterproofing Membranes</t>
  </si>
  <si>
    <t>Tub and Tile Refinish Coatings</t>
  </si>
  <si>
    <t>Traffic Marking Coatings</t>
  </si>
  <si>
    <t>Swimming Pool Coatings</t>
  </si>
  <si>
    <t>Stone Consolidants</t>
  </si>
  <si>
    <t>Stains</t>
  </si>
  <si>
    <t>Specialty Primers, Sealers, and Undercoaters</t>
  </si>
  <si>
    <t>Shellacs, Opaque</t>
  </si>
  <si>
    <t>Shellacs, Clear</t>
  </si>
  <si>
    <t>Rust Preventative Coatings</t>
  </si>
  <si>
    <t>Roof Coatings</t>
  </si>
  <si>
    <t>Recycled Coatings</t>
  </si>
  <si>
    <t>Reactive Penetrating Sealers</t>
  </si>
  <si>
    <t>Primers, Sealers, and Undercoaters</t>
  </si>
  <si>
    <t>Pre-Treatment Wash Primers</t>
  </si>
  <si>
    <t>Multi-Color Coatings</t>
  </si>
  <si>
    <t>Metallic Pigmented Coatings</t>
  </si>
  <si>
    <t>Mastic Texture Coatings</t>
  </si>
  <si>
    <t>Magnesite Cement Coatings</t>
  </si>
  <si>
    <r>
      <t>120</t>
    </r>
    <r>
      <rPr>
        <vertAlign val="superscript"/>
        <sz val="10"/>
        <color theme="1"/>
        <rFont val="Calibri"/>
        <family val="2"/>
      </rPr>
      <t>e</t>
    </r>
  </si>
  <si>
    <t>Low Solids Coatings</t>
  </si>
  <si>
    <t>Industrial Maintenance Coatings</t>
  </si>
  <si>
    <t>High Temperature Coatings</t>
  </si>
  <si>
    <t>Graphic Arts Coatings (Sign Paints)</t>
  </si>
  <si>
    <t>Form-Release Compounds</t>
  </si>
  <si>
    <t>Floor Coatings</t>
  </si>
  <si>
    <t>Fire Resistive Coatings</t>
  </si>
  <si>
    <t>Faux Finishing Coatings</t>
  </si>
  <si>
    <r>
      <t>LIMIT</t>
    </r>
    <r>
      <rPr>
        <b/>
        <vertAlign val="superscript"/>
        <sz val="10"/>
        <color theme="1"/>
        <rFont val="Calibri"/>
        <family val="2"/>
      </rPr>
      <t>d</t>
    </r>
    <r>
      <rPr>
        <b/>
        <sz val="10"/>
        <color theme="1"/>
        <rFont val="Calibri"/>
        <family val="2"/>
      </rPr>
      <t xml:space="preserve"> (g/l)</t>
    </r>
  </si>
  <si>
    <t>Coating Category</t>
  </si>
  <si>
    <t>Dry Fog Coatings</t>
  </si>
  <si>
    <t>Driveway Sealers</t>
  </si>
  <si>
    <t>Concrete/Masonry Sealers</t>
  </si>
  <si>
    <t>Concrete Curing Compounds</t>
  </si>
  <si>
    <t>Bond Breakers</t>
  </si>
  <si>
    <t>Bituminous Roof Primers</t>
  </si>
  <si>
    <t>Bituminous Roof Coatings</t>
  </si>
  <si>
    <t>Basement Specialty Coatings</t>
  </si>
  <si>
    <t>Aluminum Roof Coatings</t>
  </si>
  <si>
    <t>Specialty Coatings:</t>
  </si>
  <si>
    <t>Non-flat  High-Gloss Coatings</t>
  </si>
  <si>
    <t>Non-flat Coatings</t>
  </si>
  <si>
    <t>Flat Coatings</t>
  </si>
  <si>
    <r>
      <t>VOC Content Limits For Architectural Coatings</t>
    </r>
    <r>
      <rPr>
        <b/>
        <vertAlign val="superscript"/>
        <sz val="10"/>
        <color theme="1"/>
        <rFont val="Calibri"/>
        <family val="2"/>
      </rPr>
      <t>a,b,c</t>
    </r>
  </si>
  <si>
    <t>Table 901.9.1</t>
  </si>
  <si>
    <t>Waterborne IM</t>
  </si>
  <si>
    <t>Solvent-Based IM</t>
  </si>
  <si>
    <t>Architectural Coatings, excluding IM Coatings</t>
  </si>
  <si>
    <t>LIMIT (g/l)</t>
  </si>
  <si>
    <t>Colorant</t>
  </si>
  <si>
    <t>VOC Content Limits for Colorants</t>
  </si>
  <si>
    <t>Table 901.9.2</t>
  </si>
  <si>
    <t>b. For low-solid adhesives and sealants, the VOC limit is expressed in grams/liter of material as specified in Rule 1168. For all other adhesives and sealants, the VOC limits are expressed as grams of VOC per liter of adhesive or sealant less water and less exempt compounds as specified in Rule 1168.</t>
  </si>
  <si>
    <r>
      <t>a.</t>
    </r>
    <r>
      <rPr>
        <sz val="7"/>
        <color theme="1"/>
        <rFont val="Times New Roman"/>
        <family val="1"/>
      </rPr>
      <t xml:space="preserve">   </t>
    </r>
    <r>
      <rPr>
        <sz val="10"/>
        <color theme="1"/>
        <rFont val="Calibri"/>
        <family val="2"/>
      </rPr>
      <t>VOC limit less water and less exempt compounds in grams/liter</t>
    </r>
  </si>
  <si>
    <t>Structural wood member adhesive</t>
  </si>
  <si>
    <t>Special purpose contact adhesive</t>
  </si>
  <si>
    <t>Contact adhesive</t>
  </si>
  <si>
    <t>Adhesive primer for plastic</t>
  </si>
  <si>
    <t>Plastic cement welding</t>
  </si>
  <si>
    <t>ABS solvent cement</t>
  </si>
  <si>
    <t>PVC solvent cement</t>
  </si>
  <si>
    <t>CPVC solvent cement</t>
  </si>
  <si>
    <t>Other sealant primers</t>
  </si>
  <si>
    <t>Modified bituminous sealant primer</t>
  </si>
  <si>
    <t xml:space="preserve">  Porous</t>
  </si>
  <si>
    <t xml:space="preserve">  Non-porous</t>
  </si>
  <si>
    <t>Architectural sealant primer</t>
  </si>
  <si>
    <t>Architectural sealants</t>
  </si>
  <si>
    <t>Single ply roof membrane adhesives</t>
  </si>
  <si>
    <t>Structural glazing adhesives</t>
  </si>
  <si>
    <t>Multipurpose construction adhesives</t>
  </si>
  <si>
    <t>VOC LIMIT (g/l)</t>
  </si>
  <si>
    <t>ADHESIVE OR SEALANT</t>
  </si>
  <si>
    <t>Cove base adhesives</t>
  </si>
  <si>
    <t>Drywall and panel adhesives</t>
  </si>
  <si>
    <t>VCT and asphalt tile adhesives</t>
  </si>
  <si>
    <t>Ceramic tile adhesives</t>
  </si>
  <si>
    <t>Subfloor adhesives</t>
  </si>
  <si>
    <t>Rubber floor adhesives</t>
  </si>
  <si>
    <t>Wood flooring adhesive</t>
  </si>
  <si>
    <t>Outdoor carpet adhesives</t>
  </si>
  <si>
    <t>Carpet pad adhesives</t>
  </si>
  <si>
    <t xml:space="preserve">Indoor carpet adhesives </t>
  </si>
  <si>
    <r>
      <t>Site Applied Adhesive and Sealants VOC Limits</t>
    </r>
    <r>
      <rPr>
        <b/>
        <vertAlign val="superscript"/>
        <sz val="10"/>
        <color theme="1"/>
        <rFont val="Calibri"/>
        <family val="2"/>
      </rPr>
      <t>a,b</t>
    </r>
  </si>
  <si>
    <t>Table 901.10(3)</t>
  </si>
  <si>
    <t>back to 901.9.1</t>
  </si>
  <si>
    <t>See Table 901.9.2</t>
  </si>
  <si>
    <t>See Table 901.10(3)</t>
  </si>
  <si>
    <t>back to 901.10(3)</t>
  </si>
  <si>
    <t># of fans:</t>
  </si>
  <si>
    <t>ACH50:</t>
  </si>
  <si>
    <t>row:</t>
  </si>
  <si>
    <t>602.1.7.1(3):</t>
  </si>
  <si>
    <t>back to 703.2.2</t>
  </si>
  <si>
    <t>back to 703.2.4</t>
  </si>
  <si>
    <t>multiple heating sys.?</t>
  </si>
  <si>
    <t>multiple cooling sys.?</t>
  </si>
  <si>
    <r>
      <t xml:space="preserve">    </t>
    </r>
    <r>
      <rPr>
        <sz val="10"/>
        <color theme="1"/>
        <rFont val="Calibri"/>
        <family val="2"/>
      </rPr>
      <t>≥90% AFUE</t>
    </r>
  </si>
  <si>
    <r>
      <t xml:space="preserve">    </t>
    </r>
    <r>
      <rPr>
        <sz val="10"/>
        <color theme="1"/>
        <rFont val="Calibri"/>
        <family val="2"/>
      </rPr>
      <t>≥92% AFUE</t>
    </r>
  </si>
  <si>
    <r>
      <t xml:space="preserve">    </t>
    </r>
    <r>
      <rPr>
        <sz val="10"/>
        <color theme="1"/>
        <rFont val="Calibri"/>
        <family val="2"/>
      </rPr>
      <t>≥94% AFUE</t>
    </r>
  </si>
  <si>
    <r>
      <t xml:space="preserve">    </t>
    </r>
    <r>
      <rPr>
        <sz val="10"/>
        <color theme="1"/>
        <rFont val="Calibri"/>
        <family val="2"/>
      </rPr>
      <t>≥96% AFUE</t>
    </r>
  </si>
  <si>
    <r>
      <t xml:space="preserve">    </t>
    </r>
    <r>
      <rPr>
        <sz val="10"/>
        <color theme="1"/>
        <rFont val="Calibri"/>
        <family val="2"/>
      </rPr>
      <t>≥98% AFUE</t>
    </r>
  </si>
  <si>
    <r>
      <t xml:space="preserve">    </t>
    </r>
    <r>
      <rPr>
        <sz val="10"/>
        <color theme="1"/>
        <rFont val="Calibri"/>
        <family val="2"/>
      </rPr>
      <t>≥85% AFUE</t>
    </r>
  </si>
  <si>
    <t>CZ:</t>
  </si>
  <si>
    <t>NOTE: For multi-unit buildings, each dwelling unit must have compliant whole-dwelling unit fans installed to claim these points.</t>
  </si>
  <si>
    <t>NOTE: For multi-unit buildings, each dwelling unit must comply to claim this point.</t>
  </si>
  <si>
    <t>See Table 703.2.5.1</t>
  </si>
  <si>
    <t>back to 703.2.5.1</t>
  </si>
  <si>
    <t>Per Table 703.2.5.2(a) or
703.2.5.2(b) or 
703.2.5.2(c)</t>
  </si>
  <si>
    <t>back to 703.2.5.2</t>
  </si>
  <si>
    <t>END OF CHAPTER 9</t>
  </si>
  <si>
    <t>CLICK TO PROCEED TO CHAPTER 10 &gt;&gt;</t>
  </si>
  <si>
    <t>Min. or Average AFUE:</t>
  </si>
  <si>
    <r>
      <t xml:space="preserve">    </t>
    </r>
    <r>
      <rPr>
        <sz val="10"/>
        <color theme="1"/>
        <rFont val="Calibri"/>
        <family val="2"/>
      </rPr>
      <t>≥8.5 HSPF</t>
    </r>
  </si>
  <si>
    <r>
      <t xml:space="preserve">    </t>
    </r>
    <r>
      <rPr>
        <sz val="10"/>
        <color theme="1"/>
        <rFont val="Calibri"/>
        <family val="2"/>
      </rPr>
      <t>≥9.0 HSPF</t>
    </r>
  </si>
  <si>
    <r>
      <t xml:space="preserve">    </t>
    </r>
    <r>
      <rPr>
        <sz val="10"/>
        <color theme="1"/>
        <rFont val="Calibri"/>
        <family val="2"/>
      </rPr>
      <t>≥9.5 HSPF</t>
    </r>
  </si>
  <si>
    <r>
      <t xml:space="preserve">    </t>
    </r>
    <r>
      <rPr>
        <sz val="10"/>
        <color theme="1"/>
        <rFont val="Calibri"/>
        <family val="2"/>
      </rPr>
      <t>≥10.0 HSPF</t>
    </r>
  </si>
  <si>
    <r>
      <t>Gas Engine-Driven Heat Pump Heating (≥1.3 COP at 47</t>
    </r>
    <r>
      <rPr>
        <sz val="10"/>
        <color theme="1"/>
        <rFont val="Calibri"/>
        <family val="2"/>
      </rPr>
      <t>°</t>
    </r>
    <r>
      <rPr>
        <sz val="10"/>
        <color theme="1"/>
        <rFont val="Calibri"/>
        <family val="2"/>
        <scheme val="minor"/>
      </rPr>
      <t>F)</t>
    </r>
  </si>
  <si>
    <t>Min. or Average COP:</t>
  </si>
  <si>
    <t>Min. or Average HSPF:</t>
  </si>
  <si>
    <r>
      <t xml:space="preserve">    </t>
    </r>
    <r>
      <rPr>
        <sz val="10"/>
        <color theme="1"/>
        <rFont val="Calibri"/>
        <family val="2"/>
      </rPr>
      <t>≥15 SEER</t>
    </r>
  </si>
  <si>
    <r>
      <t xml:space="preserve">    </t>
    </r>
    <r>
      <rPr>
        <sz val="10"/>
        <color theme="1"/>
        <rFont val="Calibri"/>
        <family val="2"/>
      </rPr>
      <t>≥17 SEER</t>
    </r>
  </si>
  <si>
    <r>
      <t xml:space="preserve">    </t>
    </r>
    <r>
      <rPr>
        <sz val="10"/>
        <color theme="1"/>
        <rFont val="Calibri"/>
        <family val="2"/>
      </rPr>
      <t>≥19 SEER</t>
    </r>
  </si>
  <si>
    <r>
      <t xml:space="preserve">    </t>
    </r>
    <r>
      <rPr>
        <sz val="10"/>
        <color theme="1"/>
        <rFont val="Calibri"/>
        <family val="2"/>
      </rPr>
      <t>≥21 SEER</t>
    </r>
  </si>
  <si>
    <t>Tropical Climate Zone: None of the occupied space is air conditioned and ceiling fans are provided for bedrooms and the largest space which is not used as a bedroom.</t>
  </si>
  <si>
    <t>(*)</t>
  </si>
  <si>
    <t>Electric Air Conditioner and Heat Pump Cooling</t>
  </si>
  <si>
    <r>
      <t>Gas Engine-Driven Heat Pump Cooling (≥1.2 COP at 95</t>
    </r>
    <r>
      <rPr>
        <sz val="10"/>
        <color theme="1"/>
        <rFont val="Calibri"/>
        <family val="2"/>
      </rPr>
      <t>°</t>
    </r>
    <r>
      <rPr>
        <sz val="10"/>
        <color theme="1"/>
        <rFont val="Calibri"/>
        <family val="2"/>
        <scheme val="minor"/>
      </rPr>
      <t>F)</t>
    </r>
  </si>
  <si>
    <t>Min. or Average SEER:</t>
  </si>
  <si>
    <r>
      <t xml:space="preserve">    </t>
    </r>
    <r>
      <rPr>
        <sz val="10"/>
        <color theme="1"/>
        <rFont val="Calibri"/>
        <family val="2"/>
      </rPr>
      <t>≥15 SEER, ≥4.0 COP</t>
    </r>
  </si>
  <si>
    <r>
      <t xml:space="preserve">    </t>
    </r>
    <r>
      <rPr>
        <sz val="10"/>
        <color theme="1"/>
        <rFont val="Calibri"/>
        <family val="2"/>
      </rPr>
      <t>≥16 EER, ≥3.6 COP</t>
    </r>
  </si>
  <si>
    <r>
      <t xml:space="preserve">    </t>
    </r>
    <r>
      <rPr>
        <sz val="10"/>
        <color theme="1"/>
        <rFont val="Calibri"/>
        <family val="2"/>
      </rPr>
      <t>≥24 EER, ≥4.3 COP</t>
    </r>
  </si>
  <si>
    <r>
      <t xml:space="preserve">    </t>
    </r>
    <r>
      <rPr>
        <sz val="10"/>
        <color theme="1"/>
        <rFont val="Calibri"/>
        <family val="2"/>
      </rPr>
      <t>≥28 EER, ≥4.8 COP</t>
    </r>
  </si>
  <si>
    <t>Min. or Average EER:</t>
  </si>
  <si>
    <t>902.1.1</t>
  </si>
  <si>
    <r>
      <t xml:space="preserve">902.1.1 </t>
    </r>
    <r>
      <rPr>
        <sz val="10"/>
        <color theme="1"/>
        <rFont val="Calibri"/>
        <family val="2"/>
        <scheme val="minor"/>
      </rPr>
      <t>Spot ventilation is in accordance with the following:</t>
    </r>
  </si>
  <si>
    <t>701.4.2.1</t>
  </si>
  <si>
    <t>verFloors</t>
  </si>
  <si>
    <t>verHDucts</t>
  </si>
  <si>
    <t>verCool1</t>
  </si>
  <si>
    <t>verCool2</t>
  </si>
  <si>
    <t>verCool3</t>
  </si>
  <si>
    <t>verCDucts</t>
  </si>
  <si>
    <t>verwdSHGC</t>
  </si>
  <si>
    <t>versSHGC</t>
  </si>
  <si>
    <t>verwdUV</t>
  </si>
  <si>
    <t>versUV</t>
  </si>
  <si>
    <r>
      <rPr>
        <b/>
        <sz val="11"/>
        <color theme="1"/>
        <rFont val="Calibri"/>
        <family val="2"/>
        <scheme val="minor"/>
      </rPr>
      <t>Answered</t>
    </r>
    <r>
      <rPr>
        <sz val="11"/>
        <color theme="1"/>
        <rFont val="Calibri"/>
        <family val="2"/>
        <scheme val="minor"/>
      </rPr>
      <t xml:space="preserve"> - You have affirmed that this practice was chosen/not chosen or met/not met.</t>
    </r>
  </si>
  <si>
    <t>Additional Points required</t>
  </si>
  <si>
    <t>Total points required</t>
  </si>
  <si>
    <r>
      <rPr>
        <b/>
        <sz val="11"/>
        <color theme="1"/>
        <rFont val="Calibri"/>
        <family val="2"/>
        <scheme val="minor"/>
      </rPr>
      <t>Chapter 6:</t>
    </r>
    <r>
      <rPr>
        <sz val="11"/>
        <color theme="1"/>
        <rFont val="Calibri"/>
        <family val="2"/>
        <scheme val="minor"/>
      </rPr>
      <t xml:space="preserve"> Resource Efficiency</t>
    </r>
  </si>
  <si>
    <r>
      <rPr>
        <b/>
        <sz val="11"/>
        <color theme="1"/>
        <rFont val="Calibri"/>
        <family val="2"/>
        <scheme val="minor"/>
      </rPr>
      <t>Chapter 5:</t>
    </r>
    <r>
      <rPr>
        <sz val="11"/>
        <color theme="1"/>
        <rFont val="Calibri"/>
        <family val="2"/>
        <scheme val="minor"/>
      </rPr>
      <t xml:space="preserve"> Lot Design, Preparation, and Development</t>
    </r>
  </si>
  <si>
    <r>
      <rPr>
        <b/>
        <sz val="11"/>
        <color theme="1"/>
        <rFont val="Calibri"/>
        <family val="2"/>
        <scheme val="minor"/>
      </rPr>
      <t>Chapter 7:</t>
    </r>
    <r>
      <rPr>
        <sz val="11"/>
        <color theme="1"/>
        <rFont val="Calibri"/>
        <family val="2"/>
        <scheme val="minor"/>
      </rPr>
      <t xml:space="preserve"> Energy Efficiency</t>
    </r>
  </si>
  <si>
    <r>
      <rPr>
        <b/>
        <sz val="11"/>
        <color theme="1"/>
        <rFont val="Calibri"/>
        <family val="2"/>
        <scheme val="minor"/>
      </rPr>
      <t>Chapter 8:</t>
    </r>
    <r>
      <rPr>
        <sz val="11"/>
        <color theme="1"/>
        <rFont val="Calibri"/>
        <family val="2"/>
        <scheme val="minor"/>
      </rPr>
      <t xml:space="preserve"> Water Efficiency</t>
    </r>
  </si>
  <si>
    <r>
      <rPr>
        <b/>
        <sz val="11"/>
        <color theme="1"/>
        <rFont val="Calibri"/>
        <family val="2"/>
        <scheme val="minor"/>
      </rPr>
      <t>Chapter 9:</t>
    </r>
    <r>
      <rPr>
        <sz val="11"/>
        <color theme="1"/>
        <rFont val="Calibri"/>
        <family val="2"/>
        <scheme val="minor"/>
      </rPr>
      <t xml:space="preserve"> Indoor Environmental Quality</t>
    </r>
  </si>
  <si>
    <r>
      <rPr>
        <b/>
        <sz val="11"/>
        <color theme="1"/>
        <rFont val="Calibri"/>
        <family val="2"/>
        <scheme val="minor"/>
      </rPr>
      <t>Chapter 10:</t>
    </r>
    <r>
      <rPr>
        <sz val="11"/>
        <color theme="1"/>
        <rFont val="Calibri"/>
        <family val="2"/>
        <scheme val="minor"/>
      </rPr>
      <t xml:space="preserve"> Operation, Maintenance, and Building Owner Education</t>
    </r>
  </si>
  <si>
    <t>Additional Points Claimed</t>
  </si>
  <si>
    <t>Summary of Results of the Design Phase</t>
  </si>
  <si>
    <t>Overall Level Achieved for Design</t>
  </si>
  <si>
    <t xml:space="preserve">    Additional points required due to SF over 4000 (601.1)</t>
  </si>
  <si>
    <t xml:space="preserve">Multifamily Building Note: For a multifamily building, a weighted average of the individual unit sizes is used for this practice. </t>
  </si>
  <si>
    <t>Mandatory Practices</t>
  </si>
  <si>
    <t>No Errors</t>
  </si>
  <si>
    <r>
      <t xml:space="preserve">703.3.6 </t>
    </r>
    <r>
      <rPr>
        <sz val="10"/>
        <color theme="1"/>
        <rFont val="Calibri"/>
        <family val="2"/>
        <scheme val="minor"/>
      </rPr>
      <t>Ground source heat pump is installed by a Certified Geothermal Service Contractor in accordance with Table 703.3.6. Refrigerant charge is verified for compliance with manufacturer’s instructions utilizing a method in Section 4.3 of ACCA 5 QI-2010.</t>
    </r>
  </si>
  <si>
    <t>Carpet meeting and carpet cushion not meeting the emission limits is installed.</t>
  </si>
  <si>
    <t>Points Required</t>
  </si>
  <si>
    <t>Project ID:</t>
  </si>
  <si>
    <t>Certification Level - As Designed:</t>
  </si>
  <si>
    <t>Builder/Applicant:</t>
  </si>
  <si>
    <t>Building Type:</t>
  </si>
  <si>
    <t>Project Description:</t>
  </si>
  <si>
    <t>Chapter</t>
  </si>
  <si>
    <t xml:space="preserve">Designer </t>
  </si>
  <si>
    <t>BRONZE</t>
  </si>
  <si>
    <t>SILVER</t>
  </si>
  <si>
    <t>GOLD</t>
  </si>
  <si>
    <t>EMERALD</t>
  </si>
  <si>
    <r>
      <t xml:space="preserve">CHAPTER </t>
    </r>
    <r>
      <rPr>
        <b/>
        <sz val="11"/>
        <color theme="1"/>
        <rFont val="Calibri"/>
        <family val="2"/>
        <scheme val="minor"/>
      </rPr>
      <t>5</t>
    </r>
    <r>
      <rPr>
        <sz val="11"/>
        <color theme="1"/>
        <rFont val="Calibri"/>
        <family val="2"/>
        <scheme val="minor"/>
      </rPr>
      <t xml:space="preserve"> LOT DESIGN</t>
    </r>
  </si>
  <si>
    <r>
      <t xml:space="preserve">CHAPTER </t>
    </r>
    <r>
      <rPr>
        <b/>
        <sz val="11"/>
        <color theme="1"/>
        <rFont val="Calibri"/>
        <family val="2"/>
        <scheme val="minor"/>
      </rPr>
      <t>6</t>
    </r>
    <r>
      <rPr>
        <sz val="11"/>
        <color theme="1"/>
        <rFont val="Calibri"/>
        <family val="2"/>
        <scheme val="minor"/>
      </rPr>
      <t xml:space="preserve"> RESOURCE EFFICIENCY</t>
    </r>
  </si>
  <si>
    <r>
      <t xml:space="preserve">CHAPTER </t>
    </r>
    <r>
      <rPr>
        <b/>
        <sz val="11"/>
        <color theme="1"/>
        <rFont val="Calibri"/>
        <family val="2"/>
        <scheme val="minor"/>
      </rPr>
      <t>7</t>
    </r>
    <r>
      <rPr>
        <sz val="11"/>
        <color theme="1"/>
        <rFont val="Calibri"/>
        <family val="2"/>
        <scheme val="minor"/>
      </rPr>
      <t xml:space="preserve"> ENERGY EFFICIENCY</t>
    </r>
  </si>
  <si>
    <r>
      <t xml:space="preserve">CHAPTER </t>
    </r>
    <r>
      <rPr>
        <b/>
        <sz val="11"/>
        <color theme="1"/>
        <rFont val="Calibri"/>
        <family val="2"/>
        <scheme val="minor"/>
      </rPr>
      <t>8</t>
    </r>
    <r>
      <rPr>
        <sz val="11"/>
        <color theme="1"/>
        <rFont val="Calibri"/>
        <family val="2"/>
        <scheme val="minor"/>
      </rPr>
      <t xml:space="preserve"> WATER EFFICIENCY</t>
    </r>
  </si>
  <si>
    <r>
      <t xml:space="preserve">CHAPTER </t>
    </r>
    <r>
      <rPr>
        <b/>
        <sz val="11"/>
        <color theme="1"/>
        <rFont val="Calibri"/>
        <family val="2"/>
        <scheme val="minor"/>
      </rPr>
      <t>9</t>
    </r>
    <r>
      <rPr>
        <sz val="11"/>
        <color theme="1"/>
        <rFont val="Calibri"/>
        <family val="2"/>
        <scheme val="minor"/>
      </rPr>
      <t xml:space="preserve"> INDOOR ENVIRONMENTAL QUALITY</t>
    </r>
  </si>
  <si>
    <r>
      <t xml:space="preserve">CHAPTER </t>
    </r>
    <r>
      <rPr>
        <b/>
        <sz val="11"/>
        <color theme="1"/>
        <rFont val="Calibri"/>
        <family val="2"/>
        <scheme val="minor"/>
      </rPr>
      <t>10</t>
    </r>
    <r>
      <rPr>
        <sz val="11"/>
        <color theme="1"/>
        <rFont val="Calibri"/>
        <family val="2"/>
        <scheme val="minor"/>
      </rPr>
      <t xml:space="preserve"> OPERATION, MAINTENANCE</t>
    </r>
  </si>
  <si>
    <t>Total</t>
  </si>
  <si>
    <t>Name:</t>
  </si>
  <si>
    <t>Email:</t>
  </si>
  <si>
    <t>Phone:</t>
  </si>
  <si>
    <t>Date:</t>
  </si>
  <si>
    <t>Verifier Comments &amp; Sign Off</t>
  </si>
  <si>
    <t>Verifier Comments:</t>
  </si>
  <si>
    <t>Verifier Signature:</t>
  </si>
  <si>
    <t>Start Time:</t>
  </si>
  <si>
    <t>End Time:</t>
  </si>
  <si>
    <t>(format: mm/dd/yyyy)</t>
  </si>
  <si>
    <t>Team Verification</t>
  </si>
  <si>
    <t xml:space="preserve">(Completing this section is MANDATORY whenever multiple accredited verifiers are involved in the verification of a given building or homes within a batch.) </t>
  </si>
  <si>
    <t>Verifier Name</t>
  </si>
  <si>
    <t>Role</t>
  </si>
  <si>
    <r>
      <rPr>
        <b/>
        <sz val="11"/>
        <color theme="1"/>
        <rFont val="Calibri"/>
        <family val="2"/>
        <scheme val="minor"/>
      </rPr>
      <t>Elements Verified</t>
    </r>
    <r>
      <rPr>
        <sz val="11"/>
        <color theme="1"/>
        <rFont val="Calibri"/>
        <family val="2"/>
        <scheme val="minor"/>
      </rPr>
      <t xml:space="preserve"> </t>
    </r>
    <r>
      <rPr>
        <i/>
        <sz val="8"/>
        <color theme="1"/>
        <rFont val="Calibri"/>
        <family val="2"/>
        <scheme val="minor"/>
      </rPr>
      <t>(if applicable)</t>
    </r>
  </si>
  <si>
    <t>OPTIONAL BATCH SUBMISSION</t>
  </si>
  <si>
    <t>Final Address</t>
  </si>
  <si>
    <t>Rough Address</t>
  </si>
  <si>
    <t>Project ID</t>
  </si>
  <si>
    <r>
      <t xml:space="preserve">Inspection Date 
</t>
    </r>
    <r>
      <rPr>
        <sz val="8"/>
        <color theme="0" tint="-0.499984740745262"/>
        <rFont val="Calibri"/>
        <family val="2"/>
        <scheme val="minor"/>
      </rPr>
      <t>(format: mm/dd/yyyy)</t>
    </r>
  </si>
  <si>
    <t>- REQUIREMENTS FOR BATCH SUBMISSION -</t>
  </si>
  <si>
    <t>Community site plan or official local jurisdiction bike lane map.</t>
  </si>
  <si>
    <t>Both a plan and implementation is required to award points. Lot specific information for:</t>
  </si>
  <si>
    <t>Invoice or other evidence from Certified Arborist.</t>
  </si>
  <si>
    <t>Statement from professional that maintenance of vegetation during construction complies.</t>
  </si>
  <si>
    <t>Written conservation plan.</t>
  </si>
  <si>
    <t>Report from qualified professional indicating the percent alignment.</t>
  </si>
  <si>
    <t>Plans showing grading &amp; clearing limits.</t>
  </si>
  <si>
    <t>Calculation showing % of hardscape surface covered with permeable materials.</t>
  </si>
  <si>
    <t>Landscape plan that identifies natural vegetation on the lot to be protected, enhanced, or restored.</t>
  </si>
  <si>
    <t>List of regionally appropriate plants must be on plan. Landscape contractor statement or labels on plants.</t>
  </si>
  <si>
    <t>Landscape plan by qualified landscape professional that identifies flowering and nectar producing species on at least 10% of planted areas.</t>
  </si>
  <si>
    <t>Landscape plan by qualified landscape professional.</t>
  </si>
  <si>
    <t>Landscape plan by qualified professional stating intent of practice will be met.</t>
  </si>
  <si>
    <t>PO or invoice for contractor providing onsite recycling.</t>
  </si>
  <si>
    <t>None.</t>
  </si>
  <si>
    <t>Calculation of number of units divided by lot size for the building.</t>
  </si>
  <si>
    <t>Plan specs.</t>
  </si>
  <si>
    <t>Engineer’s statement that the intent of the practice has been met.</t>
  </si>
  <si>
    <t>Specifications showing higher grade materials.</t>
  </si>
  <si>
    <t>Plans showing dimensions &amp; layouts to minimize material usage and waste.</t>
  </si>
  <si>
    <t>PO and documentation from producer.</t>
  </si>
  <si>
    <t>Plans showing foundation details.</t>
  </si>
  <si>
    <t>Plans/specifications AND scope of work(s) detailing how this requirement has been met. Photo(s) showing installation.</t>
  </si>
  <si>
    <t>Plans, specification, or scope of work showing enhanced foundation coating.</t>
  </si>
  <si>
    <t>Plans showing exterior and interior rain tile for foundation, if applicable.</t>
  </si>
  <si>
    <t>Plans/documentation showing original square footage. When modified, plans showing modifications. When deconstructed, photos showing process and receipts for donation of major components.</t>
  </si>
  <si>
    <t>List of materials used with recycled content. Manufacturer’s literature showing recycled content.</t>
  </si>
  <si>
    <t>Post C&amp;D waste management plan on-site. Evidence that at least 50% of waste materials are being recycled or salvaged.</t>
  </si>
  <si>
    <t>No documentation required, but builder rep shall point out on-site recycling efforts and explain 50% goal.</t>
  </si>
  <si>
    <t>Copy of agreement with and pick-up tickets by recycling contractor, list of materials sent to recycler.</t>
  </si>
  <si>
    <t>List of materials and amounts, and manufacturers’ literature or certificate documenting materials manufactured from renewable resources used on this site.</t>
  </si>
  <si>
    <t>List of certified wood product types used and literature or stamp showing certification.</t>
  </si>
  <si>
    <t>List the products used and justification that are claimed to use fewer resources if not specifically listed in the practice.</t>
  </si>
  <si>
    <t>List of materials used to include manufacturer, cost of materials, and % of total materials cost. Copy of ISO14001 certificate for each material claimed. Analysis showing total material cost.</t>
  </si>
  <si>
    <t>List of certified products with product literature or other evidence of certification.</t>
  </si>
  <si>
    <t>Drawing, specifications, scopes of work detailing air sealing that is not readily inspected during the rough inspection.</t>
  </si>
  <si>
    <t>Manufacturer’s label or literature indicating listing complying with this practice.</t>
  </si>
  <si>
    <t>Labels on units.</t>
  </si>
  <si>
    <t>Manufacturer’s specification for combo system showing combined annual efficiency of at least 0.80 and a minimum water heating recovery efficiency of 0.87.</t>
  </si>
  <si>
    <t>Manufacturer’s specification for equipment that is installed.</t>
  </si>
  <si>
    <t>Manufacturer’s literature.</t>
  </si>
  <si>
    <t>Manufacturer’s literature showing factory installation or invoice/statement of work by qualified installer.</t>
  </si>
  <si>
    <t>Manufacturer’s literature for installed equipment.</t>
  </si>
  <si>
    <t>When thermal mass is claimed provide calculation for ratio of exposed thermal mass to conditioned floor space.</t>
  </si>
  <si>
    <t>Calculations for ratio of south glazing to floor area and ratio of exposed thermal mass to conditioned floor space.</t>
  </si>
  <si>
    <t>Certificate.</t>
  </si>
  <si>
    <t>Start-up checklist signed by contractor.</t>
  </si>
  <si>
    <t>Blower door test report. 701.4.3.2 visual inspection report.</t>
  </si>
  <si>
    <t>Manufacturer’s product specification(s).</t>
  </si>
  <si>
    <t>Evidence (e.g., utility bills) builder has selected renewable energy service for both construction and local office for temporary electric service during construction.</t>
  </si>
  <si>
    <t>Service agreement that owner has selected renewable energy service plan for permanent service after completion.</t>
  </si>
  <si>
    <t>Manufacturer’s literature or installer certification showing number of watts produced by installed system.</t>
  </si>
  <si>
    <t>Calculation showing maximum amount of water in the piping between heater and any fixture.</t>
  </si>
  <si>
    <t>Manufacturer’s specifications showing compliance.</t>
  </si>
  <si>
    <t>Manufacturer’s specifications or literature.</t>
  </si>
  <si>
    <t>Plans and specs showing rough plumbed systems.</t>
  </si>
  <si>
    <t>When fire sprinkler system present, provide installer’s certification that shutoff does not interfere with sprinklers.</t>
  </si>
  <si>
    <t>Local jurisdiction approval.</t>
  </si>
  <si>
    <t>Documentation describing advanced features of the system.</t>
  </si>
  <si>
    <t>Manufacturer’s literature or label. Note: The EPA does not certify fireplaces. There are EPA-qualified fireplaces that are acceptable for this practice.</t>
  </si>
  <si>
    <t>Manufacturer’s literature or label.</t>
  </si>
  <si>
    <t>Manufacturer’s literature/specifications for fan.</t>
  </si>
  <si>
    <t>Manufacturer’s literature or product marking showing compliance for wall, ceiling and/or floor insulation.</t>
  </si>
  <si>
    <t>Manufacturer’s literature/specifications for the fan showing cfm.</t>
  </si>
  <si>
    <t>Manufacturer’s literature/specifications showing cfm.</t>
  </si>
  <si>
    <t>Test report by qualified professional showing compliance as installed.</t>
  </si>
  <si>
    <t>Designer/installer certification of system capability for installed MERV filters.</t>
  </si>
  <si>
    <t>Invoice from cleaning contractor showing cleaning and coil inspection.</t>
  </si>
  <si>
    <t>Manufacturer’s literature detailing capabilities. Statement by qualified professional that the system as installed has the capacity to meet the practice.</t>
  </si>
  <si>
    <t>Manufacturer’s literature showing cfm.</t>
  </si>
  <si>
    <t>Builder’s documented procedures &amp; standard practices explaining the occupant training process. Examples of training materials and written confirmation from similar projects that training has been done.</t>
  </si>
  <si>
    <t>Purchase order for certification signage and written instructions regarding installation location.</t>
  </si>
  <si>
    <t>Verification plan is developed to monitor post-occupancy energy and water use and is provided in the building owner’s manual.</t>
  </si>
  <si>
    <t>Overview (Design Phase)</t>
  </si>
  <si>
    <t>Overview (Verifier phase)</t>
  </si>
  <si>
    <t>Who completed this information?</t>
  </si>
  <si>
    <t>Caveats</t>
  </si>
  <si>
    <t>CLICK HERE TO GET STARTED!</t>
  </si>
  <si>
    <t>DESIGN PHASE:</t>
  </si>
  <si>
    <r>
      <t xml:space="preserve">Begin on the </t>
    </r>
    <r>
      <rPr>
        <b/>
        <sz val="11"/>
        <color theme="1"/>
        <rFont val="Calibri"/>
        <family val="2"/>
        <scheme val="minor"/>
      </rPr>
      <t>Overview (Design)</t>
    </r>
    <r>
      <rPr>
        <sz val="11"/>
        <color theme="1"/>
        <rFont val="Calibri"/>
        <family val="2"/>
        <scheme val="minor"/>
      </rPr>
      <t xml:space="preserve"> page. Complete all mandatory information and as much non-mandatory information as possible before moving on to the rest of the workbook. </t>
    </r>
  </si>
  <si>
    <t>VERIFICATION PHASE:</t>
  </si>
  <si>
    <t>Information in the header will track your points progress for that Chapter in real time. The header will also display warnings if you are missing any mandatory information or there is an error on that page. The Chapter Level may not display while there are still errors on the page.</t>
  </si>
  <si>
    <t>www.homeinnovation.com/FindNGBSverifier</t>
  </si>
  <si>
    <t>When you have finished scoring the design phase, send this file as an attachment to your verifier. They will complete the remainder. Accredited verifiers can be found at:</t>
  </si>
  <si>
    <r>
      <t xml:space="preserve">The </t>
    </r>
    <r>
      <rPr>
        <b/>
        <sz val="11"/>
        <color theme="1"/>
        <rFont val="Calibri"/>
        <family val="2"/>
        <scheme val="minor"/>
      </rPr>
      <t>Design Summary</t>
    </r>
    <r>
      <rPr>
        <sz val="11"/>
        <color theme="1"/>
        <rFont val="Calibri"/>
        <family val="2"/>
        <scheme val="minor"/>
      </rPr>
      <t xml:space="preserve"> page shows a summary of the points claimed in the Design phase. It will also indicate if there is anything missing or incorrect in each Chapter.</t>
    </r>
  </si>
  <si>
    <t>Report Phase:</t>
  </si>
  <si>
    <r>
      <t xml:space="preserve">The </t>
    </r>
    <r>
      <rPr>
        <b/>
        <sz val="11"/>
        <color theme="1"/>
        <rFont val="Calibri"/>
        <family val="2"/>
        <scheme val="minor"/>
      </rPr>
      <t>Verification Report</t>
    </r>
    <r>
      <rPr>
        <sz val="11"/>
        <color theme="1"/>
        <rFont val="Calibri"/>
        <family val="2"/>
        <scheme val="minor"/>
      </rPr>
      <t xml:space="preserve"> page is used for both parts of the Verification phase. At the top of the page, select the goal level and the phase (Rough or Final).</t>
    </r>
  </si>
  <si>
    <t>Some practices should only be claimed during one phase of Verification. If the practice is not available during your current phase, it will be greyed out.</t>
  </si>
  <si>
    <t>Points claimed in the Design phase are displayed for easy comparison. On practices where the choices are not obvious based on point values, chosen portions of the practice will be highlighted in green.</t>
  </si>
  <si>
    <t>NOTE: If "N/A" is selected, please explain in the Notes area.</t>
  </si>
  <si>
    <t>Built to IBC</t>
  </si>
  <si>
    <t>(m)</t>
  </si>
  <si>
    <t>901.10</t>
  </si>
  <si>
    <t>RF</t>
  </si>
  <si>
    <t>R</t>
  </si>
  <si>
    <t>F</t>
  </si>
  <si>
    <t>P</t>
  </si>
  <si>
    <t>Hydrologic analysis; plans that show features to minimize concentrated flows</t>
  </si>
  <si>
    <t>This workbook will be updated periodically.  Before scoring a project, check if you have the latest version.</t>
  </si>
  <si>
    <t>This scoring tool was developed using Microsoft Excel for PC. Features of this spreadsheet may not work in older Excel versions, in spreadsheet software other than Excel, or platforms other than Windows.</t>
  </si>
  <si>
    <r>
      <rPr>
        <b/>
        <sz val="11"/>
        <color theme="1"/>
        <rFont val="Calibri"/>
        <family val="2"/>
        <scheme val="minor"/>
      </rPr>
      <t>Chapters 5 through 10</t>
    </r>
    <r>
      <rPr>
        <sz val="11"/>
        <color theme="1"/>
        <rFont val="Calibri"/>
        <family val="2"/>
        <scheme val="minor"/>
      </rPr>
      <t xml:space="preserve"> are for the design phase. Claim practices using checkboxes, dropdowns, and number entry. Practices are colored based on their availability (see Key below).</t>
    </r>
  </si>
  <si>
    <r>
      <t xml:space="preserve">Verifiers should begin with the </t>
    </r>
    <r>
      <rPr>
        <b/>
        <sz val="11"/>
        <color theme="1"/>
        <rFont val="Calibri"/>
        <family val="2"/>
        <scheme val="minor"/>
      </rPr>
      <t>Overview (Verification)</t>
    </r>
    <r>
      <rPr>
        <sz val="11"/>
        <color theme="1"/>
        <rFont val="Calibri"/>
        <family val="2"/>
        <scheme val="minor"/>
      </rPr>
      <t xml:space="preserve"> page. Verifiers must confirm the information on the </t>
    </r>
    <r>
      <rPr>
        <b/>
        <sz val="11"/>
        <color theme="1"/>
        <rFont val="Calibri"/>
        <family val="2"/>
        <scheme val="minor"/>
      </rPr>
      <t>Overview (Design)</t>
    </r>
    <r>
      <rPr>
        <sz val="11"/>
        <color theme="1"/>
        <rFont val="Calibri"/>
        <family val="2"/>
        <scheme val="minor"/>
      </rPr>
      <t xml:space="preserve"> page. If any information is incorrect, uncheck the corresponding checkbox and enter the correct information here.</t>
    </r>
  </si>
  <si>
    <t>R/F</t>
  </si>
  <si>
    <t>606.0</t>
  </si>
  <si>
    <t>605.0</t>
  </si>
  <si>
    <t>603.0</t>
  </si>
  <si>
    <t>505.0</t>
  </si>
  <si>
    <t>1003.0</t>
  </si>
  <si>
    <t>1004.0</t>
  </si>
  <si>
    <t>901.0</t>
  </si>
  <si>
    <t>Address of Home:</t>
  </si>
  <si>
    <t>Certification Level - Final:</t>
  </si>
  <si>
    <t>Builder Comments:</t>
  </si>
  <si>
    <t>rgherror</t>
  </si>
  <si>
    <t>There are errors in the Verification Report Sheet!</t>
  </si>
  <si>
    <t>There is missing mandatory information on this sheet!</t>
  </si>
  <si>
    <t>SCOPE AND APPLICABILITY</t>
  </si>
  <si>
    <t>(877) 854-3577</t>
  </si>
  <si>
    <t>www.ul.com</t>
  </si>
  <si>
    <t>Northbrook, IL 60062-2096</t>
  </si>
  <si>
    <t>333 Pfingsten Road</t>
  </si>
  <si>
    <t>Underwriters Laboratories Inc.</t>
  </si>
  <si>
    <t>UL 2768</t>
  </si>
  <si>
    <t>(202) 872-6400</t>
  </si>
  <si>
    <t xml:space="preserve">http://www.greenseal.org/ </t>
  </si>
  <si>
    <t>Washington, DC 20036-5525</t>
  </si>
  <si>
    <t>1001 Connecticut Avenue, NW, Suite 827</t>
  </si>
  <si>
    <t>Green Seal</t>
  </si>
  <si>
    <t>Green Seal-11 Standard for Paints and Coatings</t>
  </si>
  <si>
    <t>(510) 452-8000</t>
  </si>
  <si>
    <t xml:space="preserve">http://www.scscertified.com </t>
  </si>
  <si>
    <t>Emeryville, California 94608</t>
  </si>
  <si>
    <t>2000 Powell Street, Suite 600</t>
  </si>
  <si>
    <t>Scientific Certification Systems</t>
  </si>
  <si>
    <t>Scientific Certification Systems (SCS) Indoor Advantage Gold Program</t>
  </si>
  <si>
    <t xml:space="preserve">http://www.rfci.com </t>
  </si>
  <si>
    <t>LaGrange, Georgia 30240</t>
  </si>
  <si>
    <t>115 Broad Street, Suite 201</t>
  </si>
  <si>
    <t>Resilient Floor Covering Institute</t>
  </si>
  <si>
    <t>Resilient Floor Covering Institute’s FloorScore Indoor Air Certification Program</t>
  </si>
  <si>
    <t xml:space="preserve">www.ul.com </t>
  </si>
  <si>
    <t>Underwriters Laboratories Inc. 333 Pfingsten Road Northbrook, IL 60062-2096</t>
  </si>
  <si>
    <t>UL GREENGUARD Gold</t>
  </si>
  <si>
    <t>(706) 278-3176</t>
  </si>
  <si>
    <t>http://www.carpet-rug.org</t>
  </si>
  <si>
    <t>United States of America</t>
  </si>
  <si>
    <t>Dalton, Georgia 30720</t>
  </si>
  <si>
    <t>730 College Drive</t>
  </si>
  <si>
    <t>Carpet and Rug Institute</t>
  </si>
  <si>
    <t>Carpet and Rug Institute’s (CRI) Green Label Plus Indoor Air Quality Program</t>
  </si>
  <si>
    <t>(703) 264-1690</t>
  </si>
  <si>
    <t>www.kcma.org</t>
  </si>
  <si>
    <t>Reston, VA 20191</t>
  </si>
  <si>
    <t>1899 Preston White Drive</t>
  </si>
  <si>
    <t>Kitchen Cabinet Manufacturers Association</t>
  </si>
  <si>
    <t>Kitchen Cabinet Manufacturers Association (KCMA) Environmental Stewardship Program (ESP)</t>
  </si>
  <si>
    <t>Contact Information for the Program Administrator</t>
  </si>
  <si>
    <t>Third-party Certification Program</t>
  </si>
  <si>
    <t>Contact Information for the Example Third-party Certification Programs</t>
  </si>
  <si>
    <t>UL GREENGUARD Gold Scientific Certifications Systems (SCS) Indoor Advantage Gold Program</t>
  </si>
  <si>
    <t>901.11 Insulation</t>
  </si>
  <si>
    <t>Green Seal-36 Standard for Adhesives for Commercial Use</t>
  </si>
  <si>
    <t>Scientific Certifications Systems (SCS) Indoor Advantage Gold Program</t>
  </si>
  <si>
    <t xml:space="preserve">UL GREENGUARD </t>
  </si>
  <si>
    <t>901.10 Adhesives and sealants</t>
  </si>
  <si>
    <t>901.9 Architectural coatings</t>
  </si>
  <si>
    <t>901.8 Wall coverings</t>
  </si>
  <si>
    <t>UL GREENGUARD Gold Resilient Floor Covering Institute’s FloorScore Indoor Air Certification Program</t>
  </si>
  <si>
    <t>901.7 Hard-surface flooring</t>
  </si>
  <si>
    <t>901.6 Carpets</t>
  </si>
  <si>
    <t xml:space="preserve">Kitchen Cabinet Manufacturers Association (KCMA) Environmental Stewardship Program (ESP) </t>
  </si>
  <si>
    <t>901.5 Cabinets</t>
  </si>
  <si>
    <t>Examples of Third-party Certification Programs Compliant with the Corresponding Section</t>
  </si>
  <si>
    <t>Related Section of Standard</t>
  </si>
  <si>
    <t>Examples of Third-party Certification Programs</t>
  </si>
  <si>
    <t>CONFORMANCE</t>
  </si>
  <si>
    <t xml:space="preserve">EXAMPLES OF THIRD-PARTY PROGRAMS FOR INDOOR ENVIRONMENTAL QUALITY </t>
  </si>
  <si>
    <t>The "Required Documentation" and "Verification Report" sheets have filters built in. You can use these filters to hide rows that are irrelevant to you.</t>
  </si>
  <si>
    <t>Advanced (filtering)</t>
  </si>
  <si>
    <t>The "Verification Report" sheet has three columns on the left: Chapter, Points, and Rough/Final. You can use each filter to hide practices that are not relevant to you.</t>
  </si>
  <si>
    <t>The filtering is easily undone and redone. Just click the arrow again and recheck each value you want to display.</t>
  </si>
  <si>
    <t>The points filtering is based on the current state of the design portion when the filter is applied. If the selected practices are changed, you will have to undo and redo the filtering.</t>
  </si>
  <si>
    <t>DO NOT SELECT "SORT". SORTING WILL NOT DO ANYTHING POSITIVE. IF YOU ACCIDENTALLY SORT SOMETHING, UNDO (CTRL + Z) AND IT SHOULD GO BACK TO NORMAL BUT MAY CRASH.</t>
  </si>
  <si>
    <t>filter column</t>
  </si>
  <si>
    <t>Use the notes column to add explanation or extra information regarding a practice. Some practices require a note of explanation and will indicate as such.</t>
  </si>
  <si>
    <t>CLICK TO PROCEED TO CHAPTER 5 &gt;&gt;</t>
  </si>
  <si>
    <t>Mandatory Information is missing on the Overview (Design) page!</t>
  </si>
  <si>
    <t>Ch7Max</t>
  </si>
  <si>
    <t>Ch8Max</t>
  </si>
  <si>
    <t>Mandatory info is missing from the Overview (Design) page!</t>
  </si>
  <si>
    <t>Mandatory Information is missing on the Overview (Verification) page!</t>
  </si>
  <si>
    <t>back to Verification Report</t>
  </si>
  <si>
    <r>
      <t xml:space="preserve">The </t>
    </r>
    <r>
      <rPr>
        <b/>
        <sz val="11"/>
        <color theme="1"/>
        <rFont val="Calibri"/>
        <family val="2"/>
        <scheme val="minor"/>
      </rPr>
      <t>Required Documentation</t>
    </r>
    <r>
      <rPr>
        <sz val="11"/>
        <color theme="1"/>
        <rFont val="Calibri"/>
        <family val="2"/>
        <scheme val="minor"/>
      </rPr>
      <t xml:space="preserve"> page shows the paperwork necessary if claiming certain practices. These can be filtered to only show those that were claimed in the Design phase.</t>
    </r>
  </si>
  <si>
    <t>version</t>
  </si>
  <si>
    <t>correction</t>
  </si>
  <si>
    <t>release date</t>
  </si>
  <si>
    <t>initial release</t>
  </si>
  <si>
    <t>Design Phase Notes</t>
  </si>
  <si>
    <t>Verifier Notes</t>
  </si>
  <si>
    <t>1001.0</t>
  </si>
  <si>
    <t>1002.0</t>
  </si>
  <si>
    <t>701.1</t>
  </si>
  <si>
    <t>902.0</t>
  </si>
  <si>
    <t>903.0</t>
  </si>
  <si>
    <t>904.0</t>
  </si>
  <si>
    <t>_1_</t>
  </si>
  <si>
    <t>601</t>
  </si>
  <si>
    <t>901</t>
  </si>
  <si>
    <t>1001</t>
  </si>
  <si>
    <t>If you click on the arrow in the top left, you will see options for filtering out certain values. If you uncheck values other than "P", practices not chosen will be hidden.</t>
  </si>
  <si>
    <t>Conditioned Square Footage:</t>
  </si>
  <si>
    <t>Coding</t>
  </si>
  <si>
    <t>Coding+Points</t>
  </si>
  <si>
    <t>points</t>
  </si>
  <si>
    <t>No Mandatory items missing on the "Overview (Design)" page</t>
  </si>
  <si>
    <t>On the far left of the "Required Documentation" sheet, there are three dynamic columns which change based on what you did in the design portion.</t>
  </si>
  <si>
    <t>Filters</t>
  </si>
  <si>
    <t>Location:</t>
  </si>
  <si>
    <t>dstDesigner</t>
  </si>
  <si>
    <t>verProjectID</t>
  </si>
  <si>
    <t>(format: hh:mm AM)</t>
  </si>
  <si>
    <r>
      <rPr>
        <b/>
        <sz val="11"/>
        <color theme="1"/>
        <rFont val="Calibri"/>
        <family val="2"/>
        <scheme val="minor"/>
      </rPr>
      <t>Inspection Dates</t>
    </r>
    <r>
      <rPr>
        <sz val="11"/>
        <color theme="1"/>
        <rFont val="Calibri"/>
        <family val="2"/>
        <scheme val="minor"/>
      </rPr>
      <t xml:space="preserve"> </t>
    </r>
    <r>
      <rPr>
        <i/>
        <sz val="8"/>
        <color theme="1"/>
        <rFont val="Calibri"/>
        <family val="2"/>
        <scheme val="minor"/>
      </rPr>
      <t>(if applicable)</t>
    </r>
  </si>
  <si>
    <t>back to 901.9.2</t>
  </si>
  <si>
    <t>required by IECC:</t>
  </si>
  <si>
    <t>rough</t>
  </si>
  <si>
    <t>dd name</t>
  </si>
  <si>
    <t>Reviewer Notes</t>
  </si>
  <si>
    <t>If photos appear to contradict the points claimed, 
please explain in the Notes field in the Verifier report.</t>
  </si>
  <si>
    <t>Practices that will be reviewed alongside 
the required photo documentation.</t>
  </si>
  <si>
    <t>Mandatory</t>
  </si>
  <si>
    <t>2015 IECC</t>
  </si>
  <si>
    <t>2015 IRC</t>
  </si>
  <si>
    <t>Batch Submission:</t>
  </si>
  <si>
    <t>dstBatch</t>
  </si>
  <si>
    <t>Primary Heating Fuel:</t>
  </si>
  <si>
    <t>2018 IECC</t>
  </si>
  <si>
    <t>2018 IRC</t>
  </si>
  <si>
    <r>
      <t>500.0 Intent</t>
    </r>
    <r>
      <rPr>
        <sz val="10"/>
        <color theme="1"/>
        <rFont val="Calibri"/>
        <family val="2"/>
        <scheme val="minor"/>
      </rPr>
      <t>. This section applies to lot development for the eventual construction of residential buildings, multifamily buildings, or additions thereto that contain dwelling units or sleeping units.</t>
    </r>
  </si>
  <si>
    <t>OR
A lot is selected within a census block group that, compared to its region, has above-average neighborhood walkability using an index within the EPA’s Smart Location Database:</t>
  </si>
  <si>
    <t xml:space="preserve">Walkability is within the top quartile for the region. </t>
  </si>
  <si>
    <t xml:space="preserve">Walkability is within the second quartile for the region. </t>
  </si>
  <si>
    <t xml:space="preserve">Bicycle enclosed storage is provided or parking spaces are covered or otherwise protected from the elements </t>
  </si>
  <si>
    <t>2 per
(a)-(c)</t>
  </si>
  <si>
    <t xml:space="preserve">Select a lot in a community where there is access to shared vehicle usage such as carpool drop-off areas, car-share services, and shuttle services to mass transit. </t>
  </si>
  <si>
    <t xml:space="preserve">Lot is within 1/2 mile walking distance of  where a bike sharing program is provided. </t>
  </si>
  <si>
    <t>NOTE: Enter name of bike sharing program.</t>
  </si>
  <si>
    <t>NOTE: Enter name of car sharing program.</t>
  </si>
  <si>
    <r>
      <t xml:space="preserve">Developer has a plan to design and construct the lot in accordance with the International Wildland-Urban Interface Code (IWUIC).
</t>
    </r>
    <r>
      <rPr>
        <i/>
        <sz val="10"/>
        <rFont val="Calibri"/>
        <family val="2"/>
        <scheme val="minor"/>
      </rPr>
      <t>[Only applicable where the AHJ has not declared a wildland-urban interface area, but a fire protection engineer, certified fire marshal, or other qualified party has determined and documented the site as hazarded per the IWUIC].</t>
    </r>
    <r>
      <rPr>
        <sz val="10"/>
        <rFont val="Calibri"/>
        <family val="2"/>
        <scheme val="minor"/>
      </rPr>
      <t xml:space="preserve"> </t>
    </r>
  </si>
  <si>
    <t xml:space="preserve">10 percent to less than 25 percent (add 2 points for use of vegetative paving system) </t>
  </si>
  <si>
    <t xml:space="preserve">25-50 percent (add 4 points for use of vegetative paving system) </t>
  </si>
  <si>
    <t xml:space="preserve">Greater than 50 percent (add 6 points for use of vegetative paving system) </t>
  </si>
  <si>
    <t>[Points for vegetative paving systems are only awarded for locations receiving more than 20 inches per year of annual average precipitation]</t>
  </si>
  <si>
    <t xml:space="preserve">Complete gutter and downspout system directs storm water away from foundation to vegetated landscape area, a raingarden, or catchment system that provides for water infiltration. </t>
  </si>
  <si>
    <t>(Where "front" only or "rear" only plan is implemented, only half of the points (rounding down to a whole number) are awarded for Items (1)-(9))</t>
  </si>
  <si>
    <t xml:space="preserve">To improve pollinator habitat, at least 10 percent of planted areas are composed of native or regionally appropriate flowering and nectar producing plant species. Invasive plant species shall not be utilized.   </t>
  </si>
  <si>
    <t xml:space="preserve">EPA WaterSense Water Budget Tool or equivalent is used when implementing the site vegetative design. </t>
  </si>
  <si>
    <t xml:space="preserve">Where turf is being planted, Turfgrass Water Conservation Alliance (TWCA) or equivalent as determined by the adopting entity third party qualified water efficient grasses are used. </t>
  </si>
  <si>
    <t xml:space="preserve">7 to less than 14 dwelling units/sleeping units per acre (per 4,047 m2) </t>
  </si>
  <si>
    <t xml:space="preserve">14 to less than 21 dwelling units/sleeping units per acre (per 4,047 m2) </t>
  </si>
  <si>
    <t xml:space="preserve">21 to less than 35 dwelling units/sleeping units per acre (per 4,047 m2) </t>
  </si>
  <si>
    <t xml:space="preserve">35 to less than 70 dwelling units/sleeping units per acre (per 4,047 m2) </t>
  </si>
  <si>
    <t xml:space="preserve">70 or greater dwelling units/sleeping units per acre (per 4,047 m2) </t>
  </si>
  <si>
    <t>505.4 Mixed-use development.</t>
  </si>
  <si>
    <t>The lot contains a mixed-use building.</t>
  </si>
  <si>
    <t xml:space="preserve">A portion of the lot of at least 250 sq ft is established as community garden(s) for the residents of the site. [*3 points per 250 sq ft] </t>
  </si>
  <si>
    <t>9 max</t>
  </si>
  <si>
    <t xml:space="preserve">Locate the project within a 0.5-mile walking distance of an existing or planned farmers market/ farm stand that is open or will operate at least once a week for at least five months of the year. </t>
  </si>
  <si>
    <t xml:space="preserve">Areas and physical provisions are provided for composting. </t>
  </si>
  <si>
    <t xml:space="preserve">Signs designating the garden area are posted. </t>
  </si>
  <si>
    <t>Community Garden (sf):</t>
  </si>
  <si>
    <r>
      <t xml:space="preserve">505.6 Multi-Unit Plug-In Electric Vehicle Charging.  </t>
    </r>
    <r>
      <rPr>
        <sz val="10"/>
        <color theme="1"/>
        <rFont val="Calibri"/>
        <family val="2"/>
        <scheme val="minor"/>
      </rPr>
      <t>Plug-in electric vehicle charging capability is provided for not fewer than 2 percent of parking stalls.
[An additional 2 points can be earned for each percentage point above 2% for a maximum of 10 points]</t>
    </r>
  </si>
  <si>
    <t>Fractional values shall be rounded up to the nearest whole number. Electrical capacity in main electric panels supports Level 2 charging (208/240V- up to 80 amps or in accordance with SAE J1772). Each stall is provided with conduit and wiring infrastructure from the electric panel to support Level 2 charging (208/240V- up to 80 amps or in accordance with SAE J1772) service to the designated stalls, and stalls are equipped with either Level 2 charging AC grounded outlets (208/240V- up to 80 amps or in accordance with SAE J1772) or Level 2 charging stations (208/240V- up to 80 amps or in accordance with SAE J1772) by a third party charging station.</t>
  </si>
  <si>
    <t>4 (10 max)</t>
  </si>
  <si>
    <t>505.7</t>
  </si>
  <si>
    <t>505.8</t>
  </si>
  <si>
    <t>505.9</t>
  </si>
  <si>
    <t>505.10</t>
  </si>
  <si>
    <r>
      <t xml:space="preserve">505.7 Multi-unit residential CNG vehicle fueling. </t>
    </r>
    <r>
      <rPr>
        <sz val="10"/>
        <rFont val="Calibri"/>
        <family val="2"/>
        <scheme val="minor"/>
      </rPr>
      <t xml:space="preserve">CNG vehicle residential fueling appliances are provided for at least 1 percent of the parking stalls. The CNG fueling appliances shall be listed in accordance with ANSI/CSA NGV 5.1 and installed in accordance with the appliance manufacturer’s installation instructions. </t>
    </r>
  </si>
  <si>
    <r>
      <t xml:space="preserve">505.8 Street network. </t>
    </r>
    <r>
      <rPr>
        <sz val="10"/>
        <rFont val="Calibri"/>
        <family val="2"/>
        <scheme val="minor"/>
      </rPr>
      <t xml:space="preserve">Locate the project in an area of high intersection density. </t>
    </r>
  </si>
  <si>
    <r>
      <t xml:space="preserve">505.9 Smoking prohibitions. </t>
    </r>
    <r>
      <rPr>
        <sz val="10"/>
        <rFont val="Calibri"/>
        <family val="2"/>
        <scheme val="minor"/>
      </rPr>
      <t>Signs are provided on multifamily and mixed-use lots prohibiting smoking at the following locations:</t>
    </r>
  </si>
  <si>
    <r>
      <t>Smoking is prohibited within 25 feet (7.5 m) of all building exterior doors and operable windows or building air intakes within 15 (4.5 m) vertical feet of grade or a walking surface.</t>
    </r>
    <r>
      <rPr>
        <i/>
        <sz val="10"/>
        <rFont val="Calibri"/>
        <family val="2"/>
        <scheme val="minor"/>
      </rPr>
      <t xml:space="preserve"> </t>
    </r>
  </si>
  <si>
    <t xml:space="preserve">Smoking is prohibited on decks, balconies, patios and other occupied exterior spaces. </t>
  </si>
  <si>
    <t xml:space="preserve">Smoking is prohibited at all parks, playgrounds, and community activity or recreational spaces. </t>
  </si>
  <si>
    <r>
      <t>A dedicated area of at least 400 square feet is provided inside the building with adult exercise and/or children’s play equipment.</t>
    </r>
    <r>
      <rPr>
        <i/>
        <sz val="10"/>
        <rFont val="Calibri"/>
        <family val="2"/>
        <scheme val="minor"/>
      </rPr>
      <t xml:space="preserve"> </t>
    </r>
  </si>
  <si>
    <t xml:space="preserve">A courtyard, garden, terrace, or roof space at least 10% of the lot area that can serve as outdoor space for children’s play and /or adult activities is provided. </t>
  </si>
  <si>
    <t xml:space="preserve">Active play/recreation areas are illuminated at night to extend opportunities for physical activity into the evening. </t>
  </si>
  <si>
    <r>
      <t xml:space="preserve">505.10 Exercise &amp; Recreation Area. </t>
    </r>
    <r>
      <rPr>
        <sz val="10"/>
        <rFont val="Calibri"/>
        <family val="2"/>
        <scheme val="minor"/>
      </rPr>
      <t>For multifamily buildings, on-site dedicated recreation space for exercise or play opportunities for adults and/or children open and accessible to residents is provided.</t>
    </r>
  </si>
  <si>
    <r>
      <t>601.1 Conditioned floor area.</t>
    </r>
    <r>
      <rPr>
        <sz val="10"/>
        <color theme="1"/>
        <rFont val="Calibri"/>
        <family val="2"/>
        <scheme val="minor"/>
      </rPr>
      <t xml:space="preserve"> Finished floor area of a dwelling unit or sleeping unit is limited. Finished floor area is calculated in accordance with ANSI Z765 for single family and ANSI/BOMA Z65.4 for multifamily buildings. Only the finished floor area for stories above grade plane is included in the calculation. [For every 100 square feet (9.29 m2) over 4,000 square feet (372 m2), one point is to be added to rating level points shown in Table 303, Category 7 for each rating level.]</t>
    </r>
  </si>
  <si>
    <t>602.1.15</t>
  </si>
  <si>
    <r>
      <t>602.1.15 Kitchen and vanity cabinets.</t>
    </r>
    <r>
      <rPr>
        <sz val="10"/>
        <rFont val="Calibri"/>
        <family val="2"/>
        <scheme val="minor"/>
      </rPr>
      <t xml:space="preserve"> All kitchen and vanity cabinets are certified in accordance with the ANSI/KCMA A161.1 performance standard or equivalent. </t>
    </r>
  </si>
  <si>
    <t>NOTE: Identify what product was used in the assigned Notes area.</t>
  </si>
  <si>
    <r>
      <t>605.0 Intent.</t>
    </r>
    <r>
      <rPr>
        <sz val="10"/>
        <color theme="1"/>
        <rFont val="Calibri"/>
        <family val="2"/>
        <scheme val="minor"/>
      </rPr>
      <t xml:space="preserve"> Waste generated during construction is recycled.  </t>
    </r>
  </si>
  <si>
    <r>
      <t>605.1 Hazardous waste.</t>
    </r>
    <r>
      <rPr>
        <sz val="10"/>
        <rFont val="Calibri"/>
        <family val="2"/>
        <scheme val="minor"/>
      </rPr>
      <t xml:space="preserve"> The construction and waste management plan shall include information on the proper handling and disposal of hazardous waste. Hazardous waste is properly handled and disposed. </t>
    </r>
  </si>
  <si>
    <r>
      <t>605.2 Construction waste management plan.</t>
    </r>
    <r>
      <rPr>
        <sz val="10"/>
        <color theme="1"/>
        <rFont val="Calibri"/>
        <family val="2"/>
        <scheme val="minor"/>
      </rPr>
      <t xml:space="preserve"> A construction waste management plan is developed, posted at the jobsite, and implemented diverting, through reuse, salvage, recycling, or manufacturer reclamation, a minimum of 50 percent (by weight) of nonhazardous construction and demolition waste from disposal. For this practice, land clearing debris is not considered construction waste. Materials used as alternative daily cover are considered construction waste and do not count toward recycling or salvaging.</t>
    </r>
  </si>
  <si>
    <r>
      <t>605.3 On-site recycling.</t>
    </r>
    <r>
      <rPr>
        <sz val="10"/>
        <color theme="1"/>
        <rFont val="Calibri"/>
        <family val="2"/>
        <scheme val="minor"/>
      </rPr>
      <t xml:space="preserve"> On-site recycling measures following applicable regulations and codes are implemented, such as the following:</t>
    </r>
  </si>
  <si>
    <r>
      <t>605.4 Recycled construction materials.</t>
    </r>
    <r>
      <rPr>
        <sz val="10"/>
        <color theme="1"/>
        <rFont val="Calibri"/>
        <family val="2"/>
        <scheme val="minor"/>
      </rPr>
      <t xml:space="preserve"> Construction materials (e.g., wood, cardboard, metals, drywall, plastic, asphalt roofing shingles, or concrete) are recycled offsite.</t>
    </r>
  </si>
  <si>
    <t>605.4</t>
  </si>
  <si>
    <t xml:space="preserve">For buildings following the new construction path that also have a renovation component, the waste management plan includes the recycling of 95 percent of electronic waste components (such as printed circuit boards from computers, building automation systems, HVAC, fire and security control boards) by an E-Waste recycling facility. </t>
  </si>
  <si>
    <t>Waste materials generated from land clearing, soil and sub-grade excavation and vegetative debris shall not be in the calculations.</t>
  </si>
  <si>
    <t>A manufacturer’s fiber procurement system that has been audited by an approved agency as compliant with the provisions of ASTM D7612 as a responsible or certified source. Government or tribal forestlands whose water protection programs have been evaluated by an approved agency as compliant with the responsible source designation of ASTM D7612 are exempt from auditing in the manufacturers’ fiber procurement system.</t>
  </si>
  <si>
    <t>Manuf. Fiber proc. Sys.</t>
  </si>
  <si>
    <t xml:space="preserve">A minimum of two responsible or certified wood-based products are used for minor components of the building. </t>
  </si>
  <si>
    <t xml:space="preserve">A minimum of two responsible or certified wood-based products are used in major components of the building. </t>
  </si>
  <si>
    <r>
      <t>606.2 Wood-based products.</t>
    </r>
    <r>
      <rPr>
        <sz val="10"/>
        <color theme="1"/>
        <rFont val="Calibri"/>
        <family val="2"/>
        <scheme val="minor"/>
      </rPr>
      <t xml:space="preserve"> Wood or wood-based products are certified to the requirements of one of the following: </t>
    </r>
  </si>
  <si>
    <t xml:space="preserve">A readily accessible space(s) for recyclable material containers is provided and identified on the floorplan of the house or dwelling unit or a readily accessible area(s) outside the living space is provided for recyclable material containers and identified on the site plan for the house or building. The area outside the living space shall accommodate recycling bin(s) for recyclable materials accepted in local recycling programs. </t>
  </si>
  <si>
    <t>A readily accessible space(s) for compostable material containers is provided and identified on the floorplan of the house or dwelling unit or a readily accessible area(s) outside the living space is provided for compostable material containers and identified on the site plan for the house or building. The area outside the living space shall accommodate composting container(s) for locally accepted materials, or, accommodate composting container(s) for on-site composting.</t>
  </si>
  <si>
    <t>612 INNOVATIVE PRACTICES</t>
  </si>
  <si>
    <r>
      <t>612.1 Manufacturer’s environmental management system concepts.</t>
    </r>
    <r>
      <rPr>
        <sz val="10"/>
        <color theme="1"/>
        <rFont val="Calibri"/>
        <family val="2"/>
        <scheme val="minor"/>
      </rPr>
      <t xml:space="preserve"> Product manufacturer’s operations and business practices include environmental management system concepts, and the production facility is registered to ISO 14001 or equivalent. The aggregate value of building products from registered ISO 14001 or equivalent production facilities is 1 percent or more of the estimated total building materials cost. </t>
    </r>
  </si>
  <si>
    <t>612</t>
  </si>
  <si>
    <t>612.1</t>
  </si>
  <si>
    <r>
      <t>611.1</t>
    </r>
    <r>
      <rPr>
        <sz val="10"/>
        <color theme="1"/>
        <rFont val="Calibri"/>
        <family val="2"/>
        <scheme val="minor"/>
      </rPr>
      <t xml:space="preserve"> </t>
    </r>
    <r>
      <rPr>
        <b/>
        <sz val="10"/>
        <color theme="1"/>
        <rFont val="Calibri"/>
        <family val="2"/>
        <scheme val="minor"/>
      </rPr>
      <t xml:space="preserve">Product declarations. </t>
    </r>
    <r>
      <rPr>
        <sz val="10"/>
        <color theme="1"/>
        <rFont val="Calibri"/>
        <family val="2"/>
        <scheme val="minor"/>
      </rPr>
      <t>A minimum of 10 different products installed in the building project, at the time of certificate of occupancy, comply with one of the following sub-sections. Declarations, reports, and assessments are submitted and contain documentation of the critical peer review by an independent third party, results from the review, the reviewer’s name, company name, contact information, and date of the review.</t>
    </r>
    <r>
      <rPr>
        <b/>
        <sz val="10"/>
        <color theme="1"/>
        <rFont val="Calibri"/>
        <family val="2"/>
        <scheme val="minor"/>
      </rPr>
      <t xml:space="preserve">  </t>
    </r>
  </si>
  <si>
    <t>611.1.1</t>
  </si>
  <si>
    <t>611.1.2</t>
  </si>
  <si>
    <r>
      <t xml:space="preserve">612.3 Universal design elements. </t>
    </r>
    <r>
      <rPr>
        <sz val="10"/>
        <color theme="1"/>
        <rFont val="Calibri"/>
        <family val="2"/>
        <scheme val="minor"/>
      </rPr>
      <t>Dwelling incorporates one or more of the following universal design elements. Conventional industry construction tolerances are permitted.</t>
    </r>
  </si>
  <si>
    <t>612.2</t>
  </si>
  <si>
    <t>612.3</t>
  </si>
  <si>
    <r>
      <t xml:space="preserve">612.2 Sustainable products. </t>
    </r>
    <r>
      <rPr>
        <sz val="10"/>
        <color theme="1"/>
        <rFont val="Calibri"/>
        <family val="2"/>
        <scheme val="minor"/>
      </rPr>
      <t>One or more of the following products are used for at least 30% of the floor or wall area of the entire dwelling unit or the sleeping unit, as applicable. Products are certified by a third-party agency accredited to ISO 17065.</t>
    </r>
  </si>
  <si>
    <t xml:space="preserve">50% or more of carpet installed (by square feet) is certified to NSF 140 or equivalent. </t>
  </si>
  <si>
    <t xml:space="preserve">50% or more of resilient flooring installed (by square feet) is certified to NSF 332 or equivalent. </t>
  </si>
  <si>
    <t xml:space="preserve">50% or more of the insulation installed (by square feet) is certified to UL 2985 or equivalent. </t>
  </si>
  <si>
    <t xml:space="preserve">50% or more of interior wall coverings installed (by square feet) is certified to NSF 342 or equivalent. </t>
  </si>
  <si>
    <t xml:space="preserve">50% or more of the gypsum board installed (by square feet) is certified to UL 100 or equivalent. </t>
  </si>
  <si>
    <t xml:space="preserve">50% or more of the door leafs installed (by number of door leafs) is certified to UL 102 or equivalent. </t>
  </si>
  <si>
    <t xml:space="preserve">50% or more of the tile installed (by square feet) is certified to TCNA A138.1 Specifications for Sustainable Ceramic Tiles, Glass Tiles and Tile Installation Materials or equivalent. </t>
  </si>
  <si>
    <t xml:space="preserve">All sink, lavatory and showering controls that comply with ICC A117.1. </t>
  </si>
  <si>
    <t>1 system</t>
  </si>
  <si>
    <t>2 systems</t>
  </si>
  <si>
    <t>3 systems</t>
  </si>
  <si>
    <t>4 systems</t>
  </si>
  <si>
    <t>5 systems</t>
  </si>
  <si>
    <t>1 per system
[5 max]</t>
  </si>
  <si>
    <r>
      <t>Enhanced resilience – 10% above base design.</t>
    </r>
    <r>
      <rPr>
        <sz val="10"/>
        <rFont val="Calibri"/>
        <family val="2"/>
        <scheme val="minor"/>
      </rPr>
      <t xml:space="preserve"> Design and construction practices are implemented that enhance the resilience and durability of the structure by designing and building to forces generated by; flooding, snow, wind or seismic (as applicable) that are 10% higher than the base design. </t>
    </r>
  </si>
  <si>
    <t>Enhanced resilience – 20% above base design.</t>
  </si>
  <si>
    <t>Enhanced resilience – 30% above base design.</t>
  </si>
  <si>
    <t>Enhanced resilience – 40% above base design.</t>
  </si>
  <si>
    <t>Enhanced resilience – 50% above base design.</t>
  </si>
  <si>
    <r>
      <t xml:space="preserve">613.1 Intent. </t>
    </r>
    <r>
      <rPr>
        <sz val="10"/>
        <color theme="1"/>
        <rFont val="Calibri"/>
        <family val="2"/>
        <scheme val="minor"/>
      </rPr>
      <t>Design and construction practices developed by a licensed design professional or equivalent are implemented that enhance the resilience and durability of the structure (above building code minimum design loads) so the structure can better withstand forces generated by; flooding, snow, wind or seismic activity (as applicable) and reduce the potential for the loss of life and property.</t>
    </r>
  </si>
  <si>
    <r>
      <t xml:space="preserve">Minimum structural requirements (base design). </t>
    </r>
    <r>
      <rPr>
        <sz val="10"/>
        <rFont val="Calibri"/>
        <family val="2"/>
        <scheme val="minor"/>
      </rPr>
      <t>The building is designed and constructed in compliance with structural requirements in the IBC or IRC as applicable.</t>
    </r>
  </si>
  <si>
    <t>613.1</t>
  </si>
  <si>
    <t>base</t>
  </si>
  <si>
    <t>10%</t>
  </si>
  <si>
    <t>20%</t>
  </si>
  <si>
    <t>30%</t>
  </si>
  <si>
    <t>40%</t>
  </si>
  <si>
    <t>50%</t>
  </si>
  <si>
    <t>Alt. Gold for Tropical</t>
  </si>
  <si>
    <t>706 ct.:</t>
  </si>
  <si>
    <t>Not enough 
practices from
705/706</t>
  </si>
  <si>
    <t>701.1.6</t>
  </si>
  <si>
    <r>
      <t>701.1.6 Alternative gold level compliance for tropical zones</t>
    </r>
    <r>
      <rPr>
        <sz val="10"/>
        <rFont val="Calibri"/>
        <family val="2"/>
        <scheme val="minor"/>
      </rPr>
      <t>. One- or two-family dwelling in the tropical zone at an elevation less than 2,400 feet (731.5 m) above sea level that complies with the following shall achieve the gold level for chapter 7:</t>
    </r>
  </si>
  <si>
    <t>The residence complies with IECC Tropical Zone than section R401.2.1.</t>
  </si>
  <si>
    <t>The residence includes a minimum of 2 kW of PV and a minimum of 6 kWh of battery storage.</t>
  </si>
  <si>
    <t>Any air conditioning has a minimum of 18 SEER.</t>
  </si>
  <si>
    <t>Solar, wind or other renewable energy source supplies not less than 90 percent of the energy for service water heating.</t>
  </si>
  <si>
    <t>Glazing in conditioned spaces has a solar heat gain coefficient of less than or equal to 0.25, or has an overhang with a projection factor equal to or greater than 0.30.</t>
  </si>
  <si>
    <t>The exterior roof/ceiling complies with at least two of the following:</t>
  </si>
  <si>
    <t>Minimum roof reflectance and emittance in IECC Table C402.3</t>
  </si>
  <si>
    <t>Roof or ceiling has insulation with an R-value of R-15 or greater</t>
  </si>
  <si>
    <t>Includes a radiant barrier</t>
  </si>
  <si>
    <t>Walls comply with at least one of the following:</t>
  </si>
  <si>
    <t>Walls have an overhang with a projection factor equal to or greater than 0.30</t>
  </si>
  <si>
    <t>Walls have insulation with an R-value of R-13 or greater</t>
  </si>
  <si>
    <t>Walls have a solar reflectance of 0.64</t>
  </si>
  <si>
    <t>A ceiling fan is provided for bedrooms and the largest space that is not used as a bedroom; alternately a whole house fan is provided.</t>
  </si>
  <si>
    <t>Wiring sufficient for a Level 2 (208/240V 40-80 amp) electric vehicle charging station is installed on the building site.</t>
  </si>
  <si>
    <t>Tropical:</t>
  </si>
  <si>
    <t>Ch7Path</t>
  </si>
  <si>
    <t>Walls, ceilings, and floors separating conditioned spaces from unconditioned.</t>
  </si>
  <si>
    <t>Common walls between dwelling units or sleeping units.</t>
  </si>
  <si>
    <t>Joints of framing members at rim joists.</t>
  </si>
  <si>
    <t>Top and bottom plates.</t>
  </si>
  <si>
    <r>
      <t>701.4.3.2 Air barrier, air sealing, building envelope testing, and insulation.</t>
    </r>
    <r>
      <rPr>
        <sz val="10"/>
        <rFont val="Calibri"/>
        <family val="2"/>
        <scheme val="minor"/>
      </rPr>
      <t xml:space="preserve"> Building envelope air barrier, air sealing envelope tightness, and insulation installation is verified to be in accordance with this Section and Section 701.4.3.2.1. Insulation installation other than Grade 1 is not permitted. </t>
    </r>
  </si>
  <si>
    <t>Multifamily Building Note: Testing by dwelling units, sleeping units, groups of dwelling units, groups of sleeping units, or the building as a whole is acceptable.</t>
  </si>
  <si>
    <r>
      <t>701.4.3.2.1 Grade I insulation installations.</t>
    </r>
    <r>
      <rPr>
        <sz val="10"/>
        <rFont val="Calibri"/>
        <family val="2"/>
        <scheme val="minor"/>
      </rPr>
      <t xml:space="preserve"> Field-installed insulation products to ceilings, walls, floors, band joists, rim joists, conditioned attics, basements, and crawlspaces, except as specifically noted, are verified as Grade I by a third-party are in accordance with the following: </t>
    </r>
  </si>
  <si>
    <t>Where properly installed, ICFs, SIPs, and other wall systems that provide integral insulation are deemed in compliance with this section.</t>
  </si>
  <si>
    <r>
      <t>701.4.3.4 Fenestration air leakage.</t>
    </r>
    <r>
      <rPr>
        <sz val="10"/>
        <color theme="1"/>
        <rFont val="Calibri"/>
        <family val="2"/>
        <scheme val="minor"/>
      </rPr>
      <t xml:space="preserve"> Windows, skylights and sliding glass doors have an air infiltration rate of no more than 0.3 cfm per square foot (1.5 L/s/m2), and swinging doors no more than 0.5 cfm per square foot (2.6 L/s/m2), when tested in accordance with NFRC 400 or AAMA/WDMA/CSA 101/I.S.2/A440 by an accredited, independent laboratory and listed and labeled. For site-built fenestration, a test report by an accredited, independent laboratory verifying compliance with the applicable infiltration rate shall be submitted to demonstrate compliance with this practice. This practice does not apply to field-fabricated fenestration products. </t>
    </r>
  </si>
  <si>
    <r>
      <t xml:space="preserve">Exception: </t>
    </r>
    <r>
      <rPr>
        <sz val="10"/>
        <color theme="1"/>
        <rFont val="Calibri"/>
        <family val="2"/>
        <scheme val="minor"/>
      </rPr>
      <t>For Tropical Zones Only, Jalousie windows are permitted to be used as a conditioned space boundary and shall have an air infiltration rate of not more than 1.3 cfm per square foot.</t>
    </r>
  </si>
  <si>
    <r>
      <t>701.4.3.5 Lighting in building thermal envelope.</t>
    </r>
    <r>
      <rPr>
        <sz val="10"/>
        <rFont val="Calibri"/>
        <family val="2"/>
        <scheme val="minor"/>
      </rPr>
      <t xml:space="preserve"> Luminaires installed in the building thermal envelope which penetrate the air barrier are sealed to limit air leakage between conditioned and unconditioned spaces. All luminaires installed in the building thermal envelope which penetrate the air barrier are IC-rated and labeled as meeting ASTM E283 when tested at 1.57 psf (75 Pa) pressure differential with no more than 2.0 cfm (0.944 L/s) of air movement from the conditioned space to the ceiling cavity. All luminaires installed in the building thermal envelope which penetrate the air barrier are sealed with a gasket or caulk between the housing and the interior of the wall or ceiling covering. </t>
    </r>
  </si>
  <si>
    <r>
      <t xml:space="preserve">701.4.4 High-efficacy lighting. </t>
    </r>
    <r>
      <rPr>
        <sz val="10"/>
        <rFont val="Calibri"/>
        <family val="2"/>
        <scheme val="minor"/>
      </rPr>
      <t xml:space="preserve">Lighting efficacy in dwelling units or sleeping units is in accordance with one of the following: </t>
    </r>
  </si>
  <si>
    <r>
      <t>701.4.5 Boiler piping.</t>
    </r>
    <r>
      <rPr>
        <sz val="10"/>
        <rFont val="Calibri"/>
        <family val="2"/>
        <scheme val="minor"/>
      </rPr>
      <t xml:space="preserve"> Boiler piping in unconditioned space supplying and returning heated water or steam is insulated. </t>
    </r>
  </si>
  <si>
    <r>
      <t>702.2.2 Energy performance analysis.</t>
    </r>
    <r>
      <rPr>
        <sz val="10"/>
        <color theme="1"/>
        <rFont val="Calibri"/>
        <family val="2"/>
        <scheme val="minor"/>
      </rPr>
      <t xml:space="preserve"> Energy savings levels above the ICC IECC are determined through an analysis that includes improvements in building envelope, air infiltration, heating system efficiencies, cooling system efficiencies, duct sealing, water heating system efficiencies, lighting, appliances, and on-site renewable energy. Points are assigned using the following formula:</t>
    </r>
  </si>
  <si>
    <r>
      <t xml:space="preserve">703.1.1 Building thermal envelope compliance. </t>
    </r>
    <r>
      <rPr>
        <sz val="10"/>
        <rFont val="Calibri"/>
        <family val="2"/>
        <scheme val="minor"/>
      </rPr>
      <t xml:space="preserve">The building thermal envelope is in compliance with Section 703.1.1.1 or 703.1.1.2. </t>
    </r>
  </si>
  <si>
    <r>
      <t>703.1.1.1 Maximum UA and SHGC.</t>
    </r>
    <r>
      <rPr>
        <sz val="10"/>
        <rFont val="Calibri"/>
        <family val="2"/>
        <scheme val="minor"/>
      </rPr>
      <t xml:space="preserve"> For IECC residential buildings, the total building UA is less than or equal to the total maximum UA as computed by ICC IECC Section R402.1.5. The SHGC requirements for fenestration in Table R402.1.2 are also met. For IECC commercial buildings, the total UA is less than or equal to the sum of the UA for ICC IECC Tables C402.1.4 and C402.4, including the U-factor times the area and C-factor or F-factor times the perimeter. The SHGC requirements for fenestration in Table C402.4 are also met. The total UA proposed and baseline calculations are documented. REScheck or COMcheck is deemed to provide UA calculation documentation.</t>
    </r>
  </si>
  <si>
    <r>
      <t>703.1.1.2 Prescriptive R-values and fenestration requirements</t>
    </r>
    <r>
      <rPr>
        <sz val="10"/>
        <rFont val="Calibri"/>
        <family val="2"/>
        <scheme val="minor"/>
      </rPr>
      <t>. The building thermal envelope is in accordance with the insulation and fenestration requirements of ICC IECC Table R402.1.2 or Tables C402.1.3. The fenestration U-factors and SHGC’s are in accordance with Table 703.2.5.1 or ICC IECC Table C402.4.</t>
    </r>
  </si>
  <si>
    <r>
      <t xml:space="preserve">703.1.2 Building envelope leakage. </t>
    </r>
    <r>
      <rPr>
        <sz val="10"/>
        <rFont val="Calibri"/>
        <family val="2"/>
        <scheme val="minor"/>
      </rPr>
      <t xml:space="preserve">The building thermal envelope is in accordance with ICC IECC R402.4.1.2 or C402.5 as applicable. </t>
    </r>
  </si>
  <si>
    <r>
      <t>703.2.1 UA improvement.</t>
    </r>
    <r>
      <rPr>
        <sz val="10"/>
        <rFont val="Calibri"/>
        <family val="2"/>
        <scheme val="minor"/>
      </rPr>
      <t xml:space="preserve"> The total building thermal envelope UA is less than or equal to the baseline total UA resulting from the U-factors provided in Table 703.2.1(a) or ICC IECC Tables C402.1.4 and C402.4, as applicable. Where insulation is used to achieve the UA improvement, the insulation installation is in accordance with Grade 1 meeting Section 701.4.3.2.1 as verified by a third-party. Total UA is documented using a RESCheck, COMCheck, or equivalent report to verify the baseline and the UA improvement. </t>
    </r>
  </si>
  <si>
    <r>
      <t>Baseline U-Factors</t>
    </r>
    <r>
      <rPr>
        <b/>
        <vertAlign val="superscript"/>
        <sz val="10"/>
        <color theme="1"/>
        <rFont val="Calibri"/>
        <family val="2"/>
        <scheme val="minor"/>
      </rPr>
      <t>a</t>
    </r>
  </si>
  <si>
    <t>Compared to Baseline UA</t>
  </si>
  <si>
    <t>Exception: For the Tropical Climate Zone, crawl space, basement, and floor u-factors are excluded from the total building thermal envelope UA improvement calculation.</t>
  </si>
  <si>
    <t>Max Envelope Leakage Rate
(ELR50)</t>
  </si>
  <si>
    <t>Where ELR50 = CFM50 / Shell Area</t>
  </si>
  <si>
    <r>
      <t xml:space="preserve">Table </t>
    </r>
    <r>
      <rPr>
        <b/>
        <sz val="10"/>
        <color rgb="FF000000"/>
        <rFont val="Calibri"/>
        <family val="2"/>
        <scheme val="minor"/>
      </rPr>
      <t>703.2.4(a)</t>
    </r>
  </si>
  <si>
    <r>
      <t xml:space="preserve">Table </t>
    </r>
    <r>
      <rPr>
        <b/>
        <sz val="10"/>
        <color rgb="FF000000"/>
        <rFont val="Calibri"/>
        <family val="2"/>
        <scheme val="minor"/>
      </rPr>
      <t>703.2.4(b)</t>
    </r>
  </si>
  <si>
    <r>
      <t>703.2.4 Building envelope leakage</t>
    </r>
    <r>
      <rPr>
        <sz val="10"/>
        <color theme="1"/>
        <rFont val="Calibri"/>
        <family val="2"/>
        <scheme val="minor"/>
      </rPr>
      <t>. The maximum building envelope leakage rate is in accordance with Table 703.2.4a or Table 703.2.4b and whole building ventilation is provided in accordance with Section 902.2.1.</t>
    </r>
  </si>
  <si>
    <t>Per Table 703.2.4a or 703.2.4b</t>
  </si>
  <si>
    <t>0.30*</t>
  </si>
  <si>
    <t>Exception: For Sun-tempered designs meeting the requirements of Section 11.703.7.1, the SHGC is permitted to be 0.40 or higher on south facing glass.</t>
  </si>
  <si>
    <t>*Exception: A maximum U-factor of 0.32 shall apply in climate zones 5-8 to vertical fenestration products installed in buildings located: (i) above 4000 feet in elevation above sea level or (ii) in windborne debris regions where protection of openings is provided by fenestration as required under IRC section R301.2.1.2.</t>
  </si>
  <si>
    <r>
      <t xml:space="preserve">703.3.1 </t>
    </r>
    <r>
      <rPr>
        <sz val="10"/>
        <rFont val="Calibri"/>
        <family val="2"/>
        <scheme val="minor"/>
      </rPr>
      <t xml:space="preserve">Combination space heating and water heating system (combo system) is installed using either a coil from the water heater connected to an air handler to provide heat for the building, dwelling unit or sleeping unit, or a space heating boiler using an indirect-fired water heater. Devices have a minimum combined annual efficiency of 0.80 and a minimum water heating recovery efficiency of 0.87.  </t>
    </r>
  </si>
  <si>
    <r>
      <t xml:space="preserve">    </t>
    </r>
    <r>
      <rPr>
        <sz val="10"/>
        <color theme="1"/>
        <rFont val="Calibri"/>
        <family val="2"/>
      </rPr>
      <t>≥12.0 HSPF</t>
    </r>
  </si>
  <si>
    <r>
      <t xml:space="preserve">    </t>
    </r>
    <r>
      <rPr>
        <sz val="10"/>
        <color theme="1"/>
        <rFont val="Calibri"/>
        <family val="2"/>
      </rPr>
      <t>≥25 SEER</t>
    </r>
  </si>
  <si>
    <t xml:space="preserve">Note for Tropical Climate Zone and Climate Zones 2B, 3B, and 4B: points awarded per fan where AC is not installed in the dwelling unit or sleeping unit (Max 8 points), and where points awarded in Section 703.3.8 for these specific climate zones, points shall not be awarded in Section 703.3.7 </t>
  </si>
  <si>
    <r>
      <t xml:space="preserve">703.3.8 </t>
    </r>
    <r>
      <rPr>
        <sz val="10"/>
        <color theme="1"/>
        <rFont val="Calibri"/>
        <family val="2"/>
        <scheme val="minor"/>
      </rPr>
      <t>Whole-building or whole-dwelling unit or whole-sleeping unit fan(s) with insulated louvers and a sealed enclosure is installed.</t>
    </r>
  </si>
  <si>
    <r>
      <t>703.5.1</t>
    </r>
    <r>
      <rPr>
        <sz val="10"/>
        <color theme="1"/>
        <rFont val="Calibri"/>
        <family val="2"/>
        <scheme val="minor"/>
      </rPr>
      <t xml:space="preserve"> Water heater Uniform Energy Factor (UEF) is in accordance with the following:</t>
    </r>
  </si>
  <si>
    <t>Where multiple systems are used, points awarded based on the system with the lowest efficiency.</t>
  </si>
  <si>
    <t>Water heater design is based on only 1 (one) water heater per dwelling unit, based on approved methods from IPC or ASPE or manufacturer specifications.</t>
  </si>
  <si>
    <t>All table values are based on water heaters with medium water draws as defined by the US DOE text procedures (55 gallons per day).</t>
  </si>
  <si>
    <t>Storage Water Heater, Rated Storage Volume &gt; 20 Gallons and ≤ 55 Gallons, Medium Water Draw</t>
  </si>
  <si>
    <t xml:space="preserve">    Energy Factor: 0.65 to &lt;0.78</t>
  </si>
  <si>
    <t xml:space="preserve">    Energy Factor: ≥0.78</t>
  </si>
  <si>
    <t>Storage Water Heater, Rated Storage Volume &gt; 55 Gallons and ≤ 100 Gallons, Medium Water Draw</t>
  </si>
  <si>
    <t>Storage Water Heater with Input Rate Greater than 75,000 Btu/h (Commercial)</t>
  </si>
  <si>
    <t xml:space="preserve">    Thermal Efficiency: 0.90 to &lt; 0.95</t>
  </si>
  <si>
    <t xml:space="preserve">    Thermal Efficiency: ≥0.95</t>
  </si>
  <si>
    <t>Storage Water Heater with Input Rate Greater than 75,000 Btu/H (Commercial), In Buildings with High-Capacity Service Water-Heating Systems (1,000,000 Btu/h or Greater)</t>
  </si>
  <si>
    <t xml:space="preserve">    Thermal Efficiency: 0.92 to &lt; 0.95</t>
  </si>
  <si>
    <t>Instantaneous Water Heater, Rated Storage Volume &lt; 2 Gallons and Input Rate of &gt; 50,000 Btu/h, Medium Water Draw</t>
  </si>
  <si>
    <t xml:space="preserve">    Energy Factor: 0.89 to &lt; 0.94</t>
  </si>
  <si>
    <t xml:space="preserve">    Energy Factor: ≥0.94</t>
  </si>
  <si>
    <t>Storage Water Heater, Rated Storage Volume ≥ 20 Gallons and ≤ 55 Gallons, Medium Water Draw</t>
  </si>
  <si>
    <t xml:space="preserve">    Energy Factor: 0.94 to &lt;1.0</t>
  </si>
  <si>
    <t xml:space="preserve">    Energy Factor: 1.0 to &lt;1.5</t>
  </si>
  <si>
    <t xml:space="preserve">    Energy Factor: 1.5 to &lt;2.0</t>
  </si>
  <si>
    <t xml:space="preserve">    Energy Factor: 2.0 to &lt;2.2</t>
  </si>
  <si>
    <t xml:space="preserve">    Energy Factor: 2.2 to &lt;2.5</t>
  </si>
  <si>
    <t xml:space="preserve">    Energy Factor: 2.5 to &lt;3.0</t>
  </si>
  <si>
    <t xml:space="preserve">    Energy Factor: ≥3.0</t>
  </si>
  <si>
    <t>Storage Water Heater, Rated Storage Volume ≥ 55 Gallons and ≤ 120 Gallons, Medium Water Draw</t>
  </si>
  <si>
    <t xml:space="preserve">    Energy Factor: 3.0 to &lt;3.5</t>
  </si>
  <si>
    <t xml:space="preserve">    Energy Factor: ≥3.5</t>
  </si>
  <si>
    <t>Electric Tabletop Water Heating (Tabletop Water Heater, Rated Storage Volume ≥ 20 Gallons and ≤ 120 Gallons, Medium Water Draw)</t>
  </si>
  <si>
    <t>Electric Instantaneous Water Heating (Instantaneous Electric Water Heater, Rated Storage Volume &lt; 2 Gallons, Medium Water Draw)</t>
  </si>
  <si>
    <t>Electric Grid Enabled Water Heating (Grid Enabled Storage Water Heater, Rated Storage Volume ≥ 75 Gallons, Medium Water Draw)</t>
  </si>
  <si>
    <t>Oil water heating (Oil water heating, &lt; 50 gallons, Medium water draw)</t>
  </si>
  <si>
    <t>Storage Water Heater, Rated Storage Volume of Backup Water Heater is ≥ 0.1 Gallon and ≤ 55 Gallons, Medium Water Draw</t>
  </si>
  <si>
    <t>Storage Water Heater, Rated Storage Volume of Backup Water Heater is &gt;55 Gallons, Medium Water Draw</t>
  </si>
  <si>
    <r>
      <t>703.5.5</t>
    </r>
    <r>
      <rPr>
        <sz val="10"/>
        <rFont val="Calibri"/>
        <family val="2"/>
        <scheme val="minor"/>
      </rPr>
      <t xml:space="preserve"> </t>
    </r>
    <r>
      <rPr>
        <b/>
        <sz val="10"/>
        <rFont val="Calibri"/>
        <family val="2"/>
        <scheme val="minor"/>
      </rPr>
      <t xml:space="preserve">Solar water heater. </t>
    </r>
    <r>
      <rPr>
        <sz val="10"/>
        <rFont val="Calibri"/>
        <family val="2"/>
        <scheme val="minor"/>
      </rPr>
      <t>SRCC (Solar Rating &amp; Certification Corporation) OG 300 rated, or equivalent, solar domestic water heating system is installed. Solar Energy Factor (SEF) as defined by SRCC is in accordance with Table 703.5.5(a) and Table 703.5.5(b).</t>
    </r>
  </si>
  <si>
    <t xml:space="preserve">A minimum of 80 percent of the exterior lighting wattage has a minimum efficacy of 61 lumens per watt or is solar-powered.  </t>
  </si>
  <si>
    <t>Vertical glazing area is between 5 and 7 percent of the gross conditioned floor area on the south face [also see Section 703.7.1(8)] and glazing U-factors meet Table 703.2.5.2(a).</t>
  </si>
  <si>
    <t>Vertical glazing area is less than 2 percent of the gross conditioned floor area on the west face, and glazing meets Table 703.2.5.2(a).</t>
  </si>
  <si>
    <t>Vertical glazing area is less than 4 percent of the gross conditioned floor area on the east face, and glazing meets Table 703.2.5.2(a).</t>
  </si>
  <si>
    <t>Vertical glazing area is less than 8 percent of the gross conditioned floor area on the north face, and glazing meets Table 703.2.5.2(a).</t>
  </si>
  <si>
    <t>shades and insulated wells are used, and all glazing meets Table 703.2.5.2(a)</t>
  </si>
  <si>
    <t>Multifamily Building Note: The site is designed such that at least 40 percent of the multifamily dwelling or sleeping units have one south facing wall (within 15 degrees) containing at least 50 percent of glazing for entire unit, Effective shading is required for passive solar control on all south facing glazing. The floor area of at least 15 feet from the south facing perimeter glazing is massive and exposed to capture solar heat during the day and reradiate at night.</t>
  </si>
  <si>
    <t>Windows and/or venting skylights are located to facilitate cross and stack effect ventilation.</t>
  </si>
  <si>
    <r>
      <t>704.1 ERI target compliance.</t>
    </r>
    <r>
      <rPr>
        <sz val="10"/>
        <rFont val="Calibri"/>
        <family val="2"/>
        <scheme val="minor"/>
      </rPr>
      <t xml:space="preserve"> Compliance with the energy chapter shall be permitted to be based on the EPA National ERI Target Procedure for Energy Star Certified Homes. Points from Section 704 (ERI Target) shall not be combined with points from Section 702 (Performance Path) or Section 703 (Prescriptive Path).</t>
    </r>
  </si>
  <si>
    <t>Dwelling ratings shall be submitted to a Rating Certification Body approved by the Adopting Entity for calculating points under this section.</t>
  </si>
  <si>
    <r>
      <t>704.2 Point calculation.</t>
    </r>
    <r>
      <rPr>
        <sz val="10"/>
        <rFont val="Calibri"/>
        <family val="2"/>
        <scheme val="minor"/>
      </rPr>
      <t xml:space="preserve"> Points for Section 704 shall be computed based on Step “1” of the EPA National ERI Target Procedure. Points shall be computed individually for each building as follows:</t>
    </r>
  </si>
  <si>
    <t>30 + (Number of National ERI Points less than EnergyStar National ERI Target for that building) * 2.</t>
  </si>
  <si>
    <r>
      <t xml:space="preserve">705.2.1.1 Interior lighting. </t>
    </r>
    <r>
      <rPr>
        <sz val="10"/>
        <rFont val="Calibri"/>
        <family val="2"/>
        <scheme val="minor"/>
      </rPr>
      <t>In dwelling units or sleeping units, permanently installed interior lighting fixtures are controlled with an occupancy sensor, or dimmer:</t>
    </r>
  </si>
  <si>
    <r>
      <t>705.5.1</t>
    </r>
    <r>
      <rPr>
        <sz val="10"/>
        <rFont val="Calibri"/>
        <family val="2"/>
        <scheme val="minor"/>
      </rPr>
      <t xml:space="preserve"> Meet one or both of the following:</t>
    </r>
  </si>
  <si>
    <t xml:space="preserve">HVAC contractor is certified by the Air Conditioning Contractors of Americas Quality Assured Program (ACCA/QA) or by an EPA-recognized HVAC Quality Installation Training Oversight Organization (H-QUITO) or equivalent. </t>
  </si>
  <si>
    <t xml:space="preserve">HVAC installation technician(s) is certified by North American Technician Excellence, Inc. (NATE) or equivalent. </t>
  </si>
  <si>
    <t>705.5.3</t>
  </si>
  <si>
    <r>
      <t>705.5.3</t>
    </r>
    <r>
      <rPr>
        <sz val="10"/>
        <rFont val="Calibri"/>
        <family val="2"/>
        <scheme val="minor"/>
      </rPr>
      <t xml:space="preserve"> HVAC Design is verified by 3rd party as follows:</t>
    </r>
  </si>
  <si>
    <t xml:space="preserve">The ENERGY STAR HVAC Design and Rater Design Review Checklists are completed and correct. </t>
  </si>
  <si>
    <t xml:space="preserve">HVAC Installation is inspected and conforms to HVAC design documents and plans. </t>
  </si>
  <si>
    <r>
      <t>705.6.1</t>
    </r>
    <r>
      <rPr>
        <sz val="10"/>
        <rFont val="Calibri"/>
        <family val="2"/>
        <scheme val="minor"/>
      </rPr>
      <t xml:space="preserve"> Third-party on-site inspection is conducted to verify compliance with all of the following, as applicable. Minimum of two inspections are performed: one inspection after insulation is installed and prior to covering, and another inspection upon completion of the building. Where multiple buildings or dwelling units of the same model or sleeping units of the same model are built by the same builder, a representative sample inspection of a minimum of 15 percent of the buildings or dwelling units or sleeping units is permitted.  </t>
    </r>
  </si>
  <si>
    <t>(Points awarded only for buildings where building envelope leakage testing is not required by ICC IECC.)</t>
  </si>
  <si>
    <r>
      <t xml:space="preserve">705.6.2.2 HVAC airflow testing. </t>
    </r>
    <r>
      <rPr>
        <sz val="10"/>
        <color theme="1"/>
        <rFont val="Calibri"/>
        <family val="2"/>
        <scheme val="minor"/>
      </rPr>
      <t>Balanced HVAC airflows are demonstrated by flow hood or other acceptable flow measurement tool by a third party. Test results are in accordance with the following:</t>
    </r>
  </si>
  <si>
    <t>piping serving more than one dwelling unit or sleeping unit</t>
  </si>
  <si>
    <r>
      <t>705.6.4.2</t>
    </r>
    <r>
      <rPr>
        <sz val="10"/>
        <rFont val="Calibri"/>
        <family val="2"/>
        <scheme val="minor"/>
      </rPr>
      <t xml:space="preserve"> Potable hot water demand re-circulation system(s) that serves every unit in a multifamily building is installed in place of a standard circulation pump and control. </t>
    </r>
  </si>
  <si>
    <r>
      <t>706.1 Energy consumption control.</t>
    </r>
    <r>
      <rPr>
        <sz val="10"/>
        <rFont val="Calibri"/>
        <family val="2"/>
        <scheme val="minor"/>
      </rPr>
      <t xml:space="preserve"> A whole-building or whole-dwelling unit or whole-sleeping unit device or system is installed that controls or monitors energy consumption.  </t>
    </r>
  </si>
  <si>
    <t xml:space="preserve">Builder selects a renewable energy service plan provided by the local electrical utility for interim (temporary) electric service, or purchases renewable energy certificates (RECs) to cover electricity used. The builder’s local administrative office has renewable energy service or has otherwise been paired with RECs. Green-ecertified (or equivalent) is required for renewable electricity purchases. </t>
  </si>
  <si>
    <t xml:space="preserve">Building is Solar-Ready in compliance with IECC Appendix A Solar Ready Provisions. </t>
  </si>
  <si>
    <t xml:space="preserve">An on-site renewable energy system(s) is installed on the property. </t>
  </si>
  <si>
    <t xml:space="preserve">An on-site renewable energy system(s) and a battery energy storage system are installed on the property. </t>
  </si>
  <si>
    <t>[Points awarded in this section shall not be combined with points for renewable energy in another section of this chapter. The solar-ready zone roof area in #1 is area per dwelling unit. Points in item #2 and #3 shall be divided by the number of dwelling units.]</t>
  </si>
  <si>
    <r>
      <t xml:space="preserve">Multifamily Building Note: </t>
    </r>
    <r>
      <rPr>
        <i/>
        <sz val="10"/>
        <color rgb="FF000000"/>
        <rFont val="Calibri"/>
        <family val="2"/>
        <scheme val="minor"/>
      </rPr>
      <t>Conditioned common area and non-residential space is excluded for the purpose of calculating number of units.</t>
    </r>
  </si>
  <si>
    <t>706.5</t>
  </si>
  <si>
    <r>
      <t>706.5 On-site renewable energy system.</t>
    </r>
    <r>
      <rPr>
        <sz val="10"/>
        <rFont val="Calibri"/>
        <family val="2"/>
        <scheme val="minor"/>
      </rPr>
      <t xml:space="preserve"> One of the following options is implemented</t>
    </r>
  </si>
  <si>
    <t>2 per kW</t>
  </si>
  <si>
    <t>2 per kW,
1 per 2 kWh</t>
  </si>
  <si>
    <r>
      <t xml:space="preserve">706.8 Electrical vehicle charging station. </t>
    </r>
    <r>
      <rPr>
        <sz val="10"/>
        <rFont val="Calibri"/>
        <family val="2"/>
        <scheme val="minor"/>
      </rPr>
      <t xml:space="preserve">A Level 2 (208/240V 40-80 amp) or Level 3 electric vehicle charging station is installed on the building site. (Note: Charging station shall not be included in the building energy consumption.) </t>
    </r>
  </si>
  <si>
    <t>706.9</t>
  </si>
  <si>
    <r>
      <t xml:space="preserve">706.9 CNG vehicle fueling station. </t>
    </r>
    <r>
      <rPr>
        <sz val="10"/>
        <rFont val="Calibri"/>
        <family val="2"/>
        <scheme val="minor"/>
      </rPr>
      <t xml:space="preserve">A CNG vehicle residential fueling appliance is installed on the building site. The CNG fueling appliances shall be listed in accordance with ANSI/CSA NGV 5.1 and installed in accordance to the appliance manufacturer’s installation instructions. (Note: The fueling appliance shall not be included in the building energy consumption.) </t>
    </r>
  </si>
  <si>
    <t>706.10</t>
  </si>
  <si>
    <r>
      <t xml:space="preserve">706.10 Automatic demand response.  </t>
    </r>
    <r>
      <rPr>
        <sz val="10"/>
        <color theme="1"/>
        <rFont val="Calibri"/>
        <family val="2"/>
        <scheme val="minor"/>
      </rPr>
      <t>Automatic demand response system is installed that curtails energy usage upon a signal from the utility or an energy service provider is installed.</t>
    </r>
  </si>
  <si>
    <t>(where points awarded in Section 706.10, points shall not be awarded in Section 706.3 and 706.7)</t>
  </si>
  <si>
    <t xml:space="preserve">Use alternative refrigerant with a GWP &lt; 1000 </t>
  </si>
  <si>
    <t xml:space="preserve">Do not use refrigerants </t>
  </si>
  <si>
    <t xml:space="preserve">For a multifamily building, the owner has contracted with a third-party utility benchmarking service with at least five (5) years of experience in utility data management and analysis to perform a monthly analysis of whole-building energy and water consumption for a minimum of 1 year. </t>
  </si>
  <si>
    <t xml:space="preserve">The building owner commits to reporting energy data using U.S. Environmental Protection Agency’s ENERGY STAR Portfolio Manager for a minimum of three years. </t>
  </si>
  <si>
    <t xml:space="preserve">Building entry vestibule. </t>
  </si>
  <si>
    <t xml:space="preserve">Revolving entrance doors. </t>
  </si>
  <si>
    <t>706.11</t>
  </si>
  <si>
    <t>706.12</t>
  </si>
  <si>
    <t>706.13</t>
  </si>
  <si>
    <t>706.14</t>
  </si>
  <si>
    <t>706.15</t>
  </si>
  <si>
    <r>
      <t xml:space="preserve">706.15 Entryway air seal. </t>
    </r>
    <r>
      <rPr>
        <sz val="10"/>
        <rFont val="Calibri"/>
        <family val="2"/>
        <scheme val="minor"/>
      </rPr>
      <t>For multifamily buildings, where not required by the building or energy code, to slow the movement of unconditioned air from outdoors to indoors at the main building entrance, the following is installed:</t>
    </r>
  </si>
  <si>
    <t>706.14 Third-party utility benchmarking service.</t>
  </si>
  <si>
    <r>
      <t xml:space="preserve">706.13 Alternative refrigerant. </t>
    </r>
    <r>
      <rPr>
        <sz val="10"/>
        <rFont val="Calibri"/>
        <family val="2"/>
        <scheme val="minor"/>
      </rPr>
      <t>Use of the following in mechanical space cooling systems for dwellings.</t>
    </r>
  </si>
  <si>
    <r>
      <t xml:space="preserve">706.11 Grid-interactive battery storage system. </t>
    </r>
    <r>
      <rPr>
        <sz val="10"/>
        <rFont val="Calibri"/>
        <family val="2"/>
        <scheme val="minor"/>
      </rPr>
      <t xml:space="preserve">A grid-interactive battery storage system of not less than 6 kWh of available capacity is installed. </t>
    </r>
  </si>
  <si>
    <r>
      <t xml:space="preserve">701.4.3.3 Multifamily air leakage alternative. </t>
    </r>
    <r>
      <rPr>
        <sz val="10"/>
        <color theme="1"/>
        <rFont val="Calibri"/>
        <family val="2"/>
        <scheme val="minor"/>
      </rPr>
      <t>Multifamily buildings four or more stories in height and in compliance with IECC section C402.5 (Air leakage-thermal envelope) are deemed to comply with Sections 701.4.3.1 and 701.4.3.2.</t>
    </r>
  </si>
  <si>
    <r>
      <t>801.0 Intent.</t>
    </r>
    <r>
      <rPr>
        <sz val="10"/>
        <color theme="1"/>
        <rFont val="Calibri"/>
        <family val="2"/>
        <scheme val="minor"/>
      </rPr>
      <t xml:space="preserve"> Implement measures that reduce indoor and outdoor water usage. Implement measures that include collection and use of alternative sources of water. Implement measures that treat water on site.</t>
    </r>
  </si>
  <si>
    <r>
      <t>802.2 Water-conserving appliances.</t>
    </r>
    <r>
      <rPr>
        <sz val="10"/>
        <color theme="1"/>
        <rFont val="Calibri"/>
        <family val="2"/>
        <scheme val="minor"/>
      </rPr>
      <t xml:space="preserve"> Energy Star or equivalent water-conserving appliances are installed. </t>
    </r>
  </si>
  <si>
    <t>802.6.1</t>
  </si>
  <si>
    <r>
      <t>802.6</t>
    </r>
    <r>
      <rPr>
        <sz val="10"/>
        <color theme="1"/>
        <rFont val="Calibri"/>
        <family val="2"/>
        <scheme val="minor"/>
      </rPr>
      <t xml:space="preserve"> </t>
    </r>
    <r>
      <rPr>
        <b/>
        <sz val="10"/>
        <color theme="1"/>
        <rFont val="Calibri"/>
        <family val="2"/>
        <scheme val="minor"/>
      </rPr>
      <t>Irrigation systems</t>
    </r>
  </si>
  <si>
    <t>802.6.2</t>
  </si>
  <si>
    <t>802.6.3</t>
  </si>
  <si>
    <t>802.6.4</t>
  </si>
  <si>
    <r>
      <t>802.6.4</t>
    </r>
    <r>
      <rPr>
        <sz val="10"/>
        <color theme="1"/>
        <rFont val="Calibri"/>
        <family val="2"/>
        <scheme val="minor"/>
      </rPr>
      <t xml:space="preserve"> The irrigation system(s) is controlled by a smart controller or no irrigation is installed.</t>
    </r>
  </si>
  <si>
    <t>802.6.5</t>
  </si>
  <si>
    <r>
      <t>802.7 Rainwater collection and distribution.</t>
    </r>
    <r>
      <rPr>
        <sz val="10"/>
        <color theme="1"/>
        <rFont val="Calibri"/>
        <family val="2"/>
      </rPr>
      <t xml:space="preserve"> Rainwater collection and distribution is provided. </t>
    </r>
  </si>
  <si>
    <t>802.7.1</t>
  </si>
  <si>
    <r>
      <t xml:space="preserve">802.7.1 </t>
    </r>
    <r>
      <rPr>
        <sz val="10"/>
        <color theme="1"/>
        <rFont val="Calibri"/>
        <family val="2"/>
      </rPr>
      <t>Rainwater is used for irrigation in accordance with one of the following:</t>
    </r>
  </si>
  <si>
    <t>802.7.2</t>
  </si>
  <si>
    <r>
      <t>802.7.2</t>
    </r>
    <r>
      <rPr>
        <sz val="10"/>
        <color theme="1"/>
        <rFont val="Calibri"/>
        <family val="2"/>
        <scheme val="minor"/>
      </rPr>
      <t xml:space="preserve"> Rainwater is used for indoor domestic demand as follows. The system is designed by a professional certified by The American Rainwater Catchment Systems Association or equivalent.</t>
    </r>
  </si>
  <si>
    <t>803 INNOVATIVE PRACTICES</t>
  </si>
  <si>
    <r>
      <t>803.1 Reclaimed, gray, or recycled water</t>
    </r>
    <r>
      <rPr>
        <sz val="10"/>
        <color theme="1"/>
        <rFont val="Calibri"/>
        <family val="2"/>
        <scheme val="minor"/>
      </rPr>
      <t>. Reclaimed, gray, or recycled water is used as permitted by applicable code.</t>
    </r>
  </si>
  <si>
    <r>
      <t xml:space="preserve">803.2 Reclaimed water, graywater, or rainwater pre-piping. </t>
    </r>
    <r>
      <rPr>
        <sz val="10"/>
        <color theme="1"/>
        <rFont val="Calibri"/>
        <family val="2"/>
        <scheme val="minor"/>
      </rPr>
      <t>Reclaimed, graywater, or rainwater systems are rough plumbed (and permanently marked, tagged or labeled) into buildings for future use.</t>
    </r>
  </si>
  <si>
    <r>
      <t>803.4 Engineered biological system or intensive bioremediation system.</t>
    </r>
    <r>
      <rPr>
        <sz val="10"/>
        <color theme="1"/>
        <rFont val="Calibri"/>
        <family val="2"/>
        <scheme val="minor"/>
      </rPr>
      <t xml:space="preserve"> An engineered biological system or intensive bioremediation system is installed and the treated water is used on site. Design and implementation are approved by appropriate regional authority.</t>
    </r>
  </si>
  <si>
    <r>
      <t xml:space="preserve">803.5 Recirculating humidifier. </t>
    </r>
    <r>
      <rPr>
        <sz val="10"/>
        <color theme="1"/>
        <rFont val="Calibri"/>
        <family val="2"/>
        <scheme val="minor"/>
      </rPr>
      <t>Where a humidifier is required, a recirculating humidifier is used in lieu of a traditional “flow through” type.</t>
    </r>
  </si>
  <si>
    <r>
      <t xml:space="preserve">803.6 Advanced wastewater treatment system. </t>
    </r>
    <r>
      <rPr>
        <sz val="10"/>
        <color theme="1"/>
        <rFont val="Calibri"/>
        <family val="2"/>
        <scheme val="minor"/>
      </rPr>
      <t>Advanced wastewater (aerobic) treatment system is installed and treated water is used on site.</t>
    </r>
  </si>
  <si>
    <t>803.5</t>
  </si>
  <si>
    <t>803.6</t>
  </si>
  <si>
    <r>
      <t>802.1 Indoor hot water usage.</t>
    </r>
    <r>
      <rPr>
        <sz val="10"/>
        <color theme="1"/>
        <rFont val="Calibri"/>
        <family val="2"/>
        <scheme val="minor"/>
      </rPr>
      <t xml:space="preserve"> Indoor hot water supply system is in accordance with one of the practices listed in items (1) through (5). The maximum water volume from the source of hot water to the termination of the fixture supply is determined in accordance with Tables 802.1(1) or 802.1(2). The maximum pipe length from the source of hot water to the termination of the fixture supply is 50 feet.</t>
    </r>
  </si>
  <si>
    <t>802</t>
  </si>
  <si>
    <t>802 PRESCRIPTIVE PATH</t>
  </si>
  <si>
    <t xml:space="preserve">clothes washer, or </t>
  </si>
  <si>
    <t xml:space="preserve">clothes washer with an Integrated Water Factor of 3.8 or less </t>
  </si>
  <si>
    <r>
      <t>802.3 Water usage metering.</t>
    </r>
    <r>
      <rPr>
        <sz val="10"/>
        <color theme="1"/>
        <rFont val="Calibri"/>
        <family val="2"/>
        <scheme val="minor"/>
      </rPr>
      <t xml:space="preserve"> Water meters are installed meeting the following:</t>
    </r>
  </si>
  <si>
    <t xml:space="preserve">Single-Family Buildings: Water Usage Metering: </t>
  </si>
  <si>
    <t xml:space="preserve">Where not otherwise required by the local AHJ, installation of a meter for water consumed from any source associated with the building or building site. </t>
  </si>
  <si>
    <t xml:space="preserve">Each water meter shall be capable of communicating water consumption data remotely for the dwelling unit occupant and be capable of providing daily data with electronic data storage and reporting capability that can produce reports for daily, monthly, and yearly water consumption. (Fire sprinkler systems are not required to be metered). </t>
  </si>
  <si>
    <t xml:space="preserve">Multi-Family Buildings: Water Usage Metering: </t>
  </si>
  <si>
    <t>2 per unique meter</t>
  </si>
  <si>
    <t>2 per sensor package</t>
  </si>
  <si>
    <t>2 per unique use meter</t>
  </si>
  <si>
    <t>(Points earned in Section 802.3(2) shall not exceed 50% of the total points earned for Chapter 8)</t>
  </si>
  <si>
    <t>802.4</t>
  </si>
  <si>
    <r>
      <t>802.4 Showerheads.</t>
    </r>
    <r>
      <rPr>
        <sz val="10"/>
        <color theme="1"/>
        <rFont val="Calibri"/>
        <family val="2"/>
        <scheme val="minor"/>
      </rPr>
      <t xml:space="preserve"> Showerheads are in accordance with the following:</t>
    </r>
  </si>
  <si>
    <t>802.5.1</t>
  </si>
  <si>
    <t>802.5.2</t>
  </si>
  <si>
    <t>The total maximum combined flow rate of all showerheads in a shower compartment with floor area of 2600 square inches or less is equal or less than 2.0 gpm. For each additional 1300 square inches or any portion thereof of shower compartment floor area, an additional 2.0 gpm combined showerhead flow rate is allowed. Showerheads shall comply with ASME A112.18.1/CSA B125.1 and shall meet the performance criteria of the U.S. EPA WaterSense Specification for showerheads. Showerheads shall be served by an automatic compensating valve that complies with ASSE 1016/ASME A112.1016/CSA B125.16 or ASME A112.18.1/CSA B125.1 and specifically designed to provide thermal shock and scald protection at the flow rate of the showerhead.</t>
  </si>
  <si>
    <t>(Points awarded per shower compartment. In multifamily buildings, the average of the points assigned to individual dwelling units or sleeping units may be used as the number of points awarded for this practice, rounded to the nearest whole number.)</t>
  </si>
  <si>
    <t xml:space="preserve">maximum of 1.8 gpm </t>
  </si>
  <si>
    <t xml:space="preserve">maximum of 1.5 gpm </t>
  </si>
  <si>
    <t>802.5 Faucets</t>
  </si>
  <si>
    <r>
      <t>802.5.1</t>
    </r>
    <r>
      <rPr>
        <sz val="10"/>
        <color theme="1"/>
        <rFont val="Calibri"/>
        <family val="2"/>
        <scheme val="minor"/>
      </rPr>
      <t xml:space="preserve"> Install water-efficient lavatory faucets with flow rates not more than 1.5 gpm (5.68 L/m), tested in compliance with ASME A112.18.1/CSA B125.1 and meeting the performance criteria of the EPA WaterSense High-Efficiency Lavatory Faucet Specification:</t>
    </r>
  </si>
  <si>
    <t>802.5</t>
  </si>
  <si>
    <r>
      <t xml:space="preserve">802.5.2 </t>
    </r>
    <r>
      <rPr>
        <sz val="10"/>
        <color theme="1"/>
        <rFont val="Calibri"/>
        <family val="2"/>
        <scheme val="minor"/>
      </rPr>
      <t>Water-efficient residential kitchen faucets are installed in accordance with ASME A112.18.1/CSA B125.1. Residential kitchen faucets may temporarily increase the flow above the maximum rate but not to exceed 2.2 gpm.</t>
    </r>
  </si>
  <si>
    <t xml:space="preserve">All residential kitchen faucets have a maximum flow rate of 1.8 gpm. </t>
  </si>
  <si>
    <t xml:space="preserve">All residential kitchen faucets have a maximum flow rate of 1.5 gpm. </t>
  </si>
  <si>
    <t>802.5.3</t>
  </si>
  <si>
    <r>
      <t xml:space="preserve">802.5.3 </t>
    </r>
    <r>
      <rPr>
        <sz val="10"/>
        <color theme="1"/>
        <rFont val="Calibri"/>
        <family val="2"/>
        <scheme val="minor"/>
      </rPr>
      <t>Self-closing valve, motion sensor, metering, or pedal-activated faucet is installed to enable intermittent on/off operation.</t>
    </r>
  </si>
  <si>
    <t xml:space="preserve">1 Additional </t>
  </si>
  <si>
    <t xml:space="preserve">Flow rate ≤ 1.5 gpm for all lavatory faucets in the dwelling unit(s) or sleeping unit(s) </t>
  </si>
  <si>
    <t xml:space="preserve">Flow rate ≤ 1.5 gpm for all lavatory faucets in the dwelling unit(s), and at least one bathroom has faucets with flow rates ≤ 1.2 gpm </t>
  </si>
  <si>
    <t xml:space="preserve">Flow rate ≤ 1.2 gpm for all lavatory faucets in the dwelling unit(s) </t>
  </si>
  <si>
    <t>Flow rate ≤ 1.5 gpm (*all faucets in a bathroom are in compliance)</t>
  </si>
  <si>
    <t>Flow rate ≤ 1.2 gpm (*all faucets in a bathroom are in compliance)</t>
  </si>
  <si>
    <t>(Points awarded for each bathroom. In multifamily buildings, the average of the points assigned to individual dwelling units or sleeping units may be used as the number of points awarded for this practice, rounded to the nearest whole number.)</t>
  </si>
  <si>
    <t xml:space="preserve">2 (6 Max) </t>
  </si>
  <si>
    <t xml:space="preserve">8 Additional </t>
  </si>
  <si>
    <t xml:space="preserve">12 Additional </t>
  </si>
  <si>
    <t>802.5.4</t>
  </si>
  <si>
    <r>
      <t>802.5.4 Water closets and urinals.</t>
    </r>
    <r>
      <rPr>
        <sz val="10"/>
        <color theme="1"/>
        <rFont val="Calibri"/>
        <family val="2"/>
        <scheme val="minor"/>
      </rPr>
      <t xml:space="preserve"> Water closets and urinals are in accordance with the following:</t>
    </r>
  </si>
  <si>
    <t xml:space="preserve">All water closets are in accordance with Section 802.5.4(2). </t>
  </si>
  <si>
    <t xml:space="preserve">All water closets are in accordance with Section 802.5.4(2) and one or more of the following are installed: </t>
  </si>
  <si>
    <t xml:space="preserve">Gold and emerald levels: All water closets and urinals are in accordance with Section 802.5.4. </t>
  </si>
  <si>
    <t>(Points awarded per fixture. In multifamily buildings, the average of the points assigned to individual dwelling units or sleeping units may be used as the number of points awarded for this practice, rounded to the nearest whole number.)</t>
  </si>
  <si>
    <t>4 
12 Max</t>
  </si>
  <si>
    <t>2 Additional
6 Max</t>
  </si>
  <si>
    <t>2 Additional</t>
  </si>
  <si>
    <t>12 Additional</t>
  </si>
  <si>
    <t>One or more urinals with a flush volume of 0.5 gallons (1.9L) or less when tested in accordance with ASME A112.19.2/CSA B45.1.</t>
  </si>
  <si>
    <t>Water closets that have an effective flush volume of 1.2 gallons or less.</t>
  </si>
  <si>
    <t>(Points awarded per toilet. In multifamily buildings, the average of the points assigned to individual dwelling units or sleeping units may be used as the number of points awarded for this practice, rounded to the nearest whole number.)</t>
  </si>
  <si>
    <t xml:space="preserve">One or more composting or waterless toilets and/or nonwater urinals. Nonwater urinals shall be tested in accordance with ASME A112.19.2/CSA B45.1. </t>
  </si>
  <si>
    <r>
      <t xml:space="preserve">802.6.1 </t>
    </r>
    <r>
      <rPr>
        <sz val="10"/>
        <color theme="1"/>
        <rFont val="Calibri"/>
        <family val="2"/>
        <scheme val="minor"/>
      </rPr>
      <t xml:space="preserve">Where an irrigation system is installed, an irrigation plan and implementation are executed by a qualified professional or equivalent. </t>
    </r>
  </si>
  <si>
    <r>
      <t xml:space="preserve">802.6.2 </t>
    </r>
    <r>
      <rPr>
        <sz val="10"/>
        <color theme="1"/>
        <rFont val="Calibri"/>
        <family val="2"/>
        <scheme val="minor"/>
      </rPr>
      <t xml:space="preserve">Irrigation sprinkler nozzles shall be tested according to ANSI standard ASABE/ICC 802-2014 Landscape Irrigation Sprinkler and Emitter Standard by an accredited third party laboratory. </t>
    </r>
  </si>
  <si>
    <r>
      <t xml:space="preserve">802.6.3 </t>
    </r>
    <r>
      <rPr>
        <sz val="10"/>
        <color theme="1"/>
        <rFont val="Calibri"/>
        <family val="2"/>
        <scheme val="minor"/>
      </rPr>
      <t>Drip irrigation is installed.</t>
    </r>
  </si>
  <si>
    <t xml:space="preserve">Irrigation controllers shall be in accordance with the performance criteria of the EPA WaterSense program  </t>
  </si>
  <si>
    <t xml:space="preserve">No irrigation is installed and a landscape plan is developed in accordance with Section 503.5, as applicable. </t>
  </si>
  <si>
    <r>
      <t xml:space="preserve">802.6.5 Commissioning and water use reduction for irrigation systems.
</t>
    </r>
    <r>
      <rPr>
        <i/>
        <sz val="10"/>
        <color theme="1"/>
        <rFont val="Calibri"/>
        <family val="2"/>
        <scheme val="minor"/>
      </rPr>
      <t>[Points are not additive per each section.]</t>
    </r>
  </si>
  <si>
    <t xml:space="preserve">All irrigation zones utilize pressure regulation so emission devices (sprinklers and drip emitters) operate at manufacturer’s recommended operating pressure. </t>
  </si>
  <si>
    <t xml:space="preserve">Where dripline tubing is installed, a filter with mesh size in accordance with the manufacturer’s recommendation is installed on all drip zones. </t>
  </si>
  <si>
    <t xml:space="preserve">Utilize spray bodies that incorporate an in-stem or external flow shut-off device. </t>
  </si>
  <si>
    <t xml:space="preserve">For irrigation systems installed on sloped sites, either an in-stem or external check valve is utilized for each spray body. </t>
  </si>
  <si>
    <t xml:space="preserve">Where an irrigation system is installed, a flow sensing device is installed to monitor and alert the controller when flows are outside design range. </t>
  </si>
  <si>
    <r>
      <t xml:space="preserve">802.8 Sediment filters. </t>
    </r>
    <r>
      <rPr>
        <sz val="10"/>
        <color theme="1"/>
        <rFont val="Calibri"/>
        <family val="2"/>
        <scheme val="minor"/>
      </rPr>
      <t xml:space="preserve">Water filter is installed to reduce sediment and protect plumbing fixtures for the whole building or the entire dwelling unit.  </t>
    </r>
  </si>
  <si>
    <t>802.9 Water treatment devices.</t>
  </si>
  <si>
    <t>802.9.1</t>
  </si>
  <si>
    <r>
      <t xml:space="preserve">802.9.1 </t>
    </r>
    <r>
      <rPr>
        <sz val="10"/>
        <color theme="1"/>
        <rFont val="Calibri"/>
        <family val="2"/>
        <scheme val="minor"/>
      </rPr>
      <t>Water Softeners shall not be installed where the supplied water hardness is less than 8.0 grains per gallon measured as total calcium carbonate equivalents. Water softeners shall be listed to NSF 44 and a rated salt efficiency of 3400 grains of total hardness per 1.0 pound of salt based on sodium chloride equivalency. Devices shall not discharge more than 4.0 gallons of water per 1000 grains of hardness removed during the service or recharge cycle.</t>
    </r>
  </si>
  <si>
    <t xml:space="preserve">No water softener. </t>
  </si>
  <si>
    <t xml:space="preserve">Water softener installed to supply softened water only to domestic water heater. </t>
  </si>
  <si>
    <t>802.9.2</t>
  </si>
  <si>
    <r>
      <t xml:space="preserve">802.9.2 </t>
    </r>
    <r>
      <rPr>
        <sz val="10"/>
        <color theme="1"/>
        <rFont val="Calibri"/>
        <family val="2"/>
        <scheme val="minor"/>
      </rPr>
      <t>Reverse Osmosis (R/O) water treatment systems shall be listed to NSF 58 and shall include automatic shut-off valve to prevent water discharge when storage tank is full.</t>
    </r>
  </si>
  <si>
    <t xml:space="preserve">No R/O system. </t>
  </si>
  <si>
    <t xml:space="preserve">Combined capacity of all R/O systems does not exceed 0.75 gallons. </t>
  </si>
  <si>
    <t>802.10 Pools and spas.</t>
  </si>
  <si>
    <t>802.10.1</t>
  </si>
  <si>
    <r>
      <t xml:space="preserve">802.10.1 </t>
    </r>
    <r>
      <rPr>
        <sz val="10"/>
        <color theme="1"/>
        <rFont val="Calibri"/>
        <family val="2"/>
        <scheme val="minor"/>
      </rPr>
      <t>Pools and Spas with water surface area greater than 36 square feet and connected to a water supply shall have a dedicated meter to measure the amount of water supplied to the pool or spa.</t>
    </r>
  </si>
  <si>
    <t xml:space="preserve">Automated motorized non-permeable pool cover that covers the entire pool surface. </t>
  </si>
  <si>
    <t>802.10</t>
  </si>
  <si>
    <t>(Points awarded for either Section 803.1(1) or 803.1(2), not both.)</t>
  </si>
  <si>
    <t>(Points awarded for either Section 803.6 or 803.1, not both.)</t>
  </si>
  <si>
    <r>
      <t xml:space="preserve">803.3 Automatic leak detection and control devices. </t>
    </r>
    <r>
      <rPr>
        <sz val="10"/>
        <color theme="1"/>
        <rFont val="Calibri"/>
        <family val="2"/>
        <scheme val="minor"/>
      </rPr>
      <t xml:space="preserve">One of the following devices is installed. Where a fire sprinkler system is present, ensure the device will be installed to not interfere with the operation of the fire sprinkler system.  </t>
    </r>
  </si>
  <si>
    <t>automatic water leak detection and control devices</t>
  </si>
  <si>
    <t>automatic water leak detection and shutoff devices</t>
  </si>
  <si>
    <r>
      <t>804.2 Water efficiency rating levels.</t>
    </r>
    <r>
      <rPr>
        <sz val="10"/>
        <color theme="1"/>
        <rFont val="Calibri"/>
        <family val="2"/>
        <scheme val="minor"/>
      </rPr>
      <t xml:space="preserve"> In lieu of threshold levels for Chapter 8 in Table 303, rating levels for Section 804.1 are in accordance with Table 804.2.</t>
    </r>
  </si>
  <si>
    <r>
      <t>804.3 Water efficiency NGBS points equivalency.</t>
    </r>
    <r>
      <rPr>
        <sz val="10"/>
        <color theme="1"/>
        <rFont val="Calibri"/>
        <family val="2"/>
        <scheme val="minor"/>
      </rPr>
      <t xml:space="preserve"> The additional points for use with Table 303 from the Chapter 8 Water Efficiency Category are determined in accordance with equation 804.3.</t>
    </r>
  </si>
  <si>
    <t>Equation 804.3</t>
  </si>
  <si>
    <t>NGBS = WRI x (-2.29) + 181.7</t>
  </si>
  <si>
    <t>804 PERFORMANCE PATH</t>
  </si>
  <si>
    <t>WRI</t>
  </si>
  <si>
    <r>
      <t xml:space="preserve">901.1.4 </t>
    </r>
    <r>
      <rPr>
        <sz val="10"/>
        <color theme="1"/>
        <rFont val="Calibri"/>
        <family val="2"/>
        <scheme val="minor"/>
      </rPr>
      <t xml:space="preserve">Gas-fired fireplaces and direct heating equipment is listed and is installed in accordance with the NFPA 54, ICC IFGC, or the applicable local gas appliance installation code. Gas-fired fireplaces within dwelling units or sleeping units and direct heating equipment are vented to the outdoors. Alcohol burning devices and kerosene heaters are vented to the outdoors. </t>
    </r>
  </si>
  <si>
    <t>Factory-built, wood-burning fireplaces are in accordance with the certification requirements of UL 127 and are an EPA Phase 2 Emission Level Qualified Model.</t>
  </si>
  <si>
    <r>
      <t>901.12 Furniture and Furnishings.</t>
    </r>
    <r>
      <rPr>
        <sz val="10"/>
        <rFont val="Calibri"/>
        <family val="2"/>
        <scheme val="minor"/>
      </rPr>
      <t xml:space="preserve"> In a multifamily building, all furniture in common areas shall have VOC emission levels in accordance with ANSI/BIFMA e3-Furniture Sustainability Standard sections 7.6.1 and 7.6.2, tested in accordance with ANSI/BIFMA Standard Method M7.1. </t>
    </r>
  </si>
  <si>
    <r>
      <t>901.15 Non-smoking areas.</t>
    </r>
    <r>
      <rPr>
        <sz val="10"/>
        <color theme="1"/>
        <rFont val="Calibri"/>
        <family val="2"/>
        <scheme val="minor"/>
      </rPr>
      <t xml:space="preserve"> Environmental tobacco smoke is minimized by one or more of the following:</t>
    </r>
  </si>
  <si>
    <r>
      <t>901.14 Building entrance pollutants control.</t>
    </r>
    <r>
      <rPr>
        <sz val="10"/>
        <color theme="1"/>
        <rFont val="Calibri"/>
        <family val="2"/>
        <scheme val="minor"/>
      </rPr>
      <t xml:space="preserve"> Pollutants are controlled at all main building entrances by one of the following methods: </t>
    </r>
  </si>
  <si>
    <r>
      <t>901.13 Carbon monoxide (CO) alarms.</t>
    </r>
    <r>
      <rPr>
        <sz val="10"/>
        <color theme="1"/>
        <rFont val="Calibri"/>
        <family val="2"/>
        <scheme val="minor"/>
      </rPr>
      <t xml:space="preserve"> A carbon monoxide (CO) alarm is provided in accordance with the IRC Section R315.</t>
    </r>
  </si>
  <si>
    <t>901.15</t>
  </si>
  <si>
    <t>Operable windows, operable skylights, or sliding glass doors with a total area of at least 15 percent of the total conditioned floor area are provided.</t>
  </si>
  <si>
    <t>902.1.6</t>
  </si>
  <si>
    <r>
      <t xml:space="preserve">902.1.6 Ventilation for Multifamily Common Spaces. </t>
    </r>
    <r>
      <rPr>
        <sz val="10"/>
        <rFont val="Calibri"/>
        <family val="2"/>
        <scheme val="minor"/>
      </rPr>
      <t xml:space="preserve">Systems are implemented and are in accordance with the specifications of ASHRAE 62.1 and an explanation of the operation and importance of the ventilation system is included in 1002.1 and 1002.2 of NGBS. </t>
    </r>
  </si>
  <si>
    <t xml:space="preserve">Ventilation air is preconditioned by a system not specified above </t>
  </si>
  <si>
    <r>
      <t>902.2.2</t>
    </r>
    <r>
      <rPr>
        <sz val="10"/>
        <color theme="1"/>
        <rFont val="Calibri"/>
        <family val="2"/>
        <scheme val="minor"/>
      </rPr>
      <t xml:space="preserve"> Ventilation airflow is tested to achieve the design fan airflow in accordance with ANSI/RESNET/ICC 380 and Section 902.2.1.</t>
    </r>
  </si>
  <si>
    <t>902.3</t>
  </si>
  <si>
    <r>
      <t>902.3 Radon reduction measures.</t>
    </r>
    <r>
      <rPr>
        <sz val="10"/>
        <rFont val="Calibri"/>
        <family val="2"/>
        <scheme val="minor"/>
      </rPr>
      <t xml:space="preserve"> Radon reduction measures are in accordance with ICC IRC Appendix F or 902.3.1. Radon Zones as identified by the AHJ or, if the zone is not identified by the AHJ, as defined in Figure 9(1).</t>
    </r>
  </si>
  <si>
    <t xml:space="preserve">a passive radon system is installed </t>
  </si>
  <si>
    <t xml:space="preserve">an active radon system is installed </t>
  </si>
  <si>
    <t>902.3.1</t>
  </si>
  <si>
    <r>
      <t>902.3.1 Radon reduction option.</t>
    </r>
    <r>
      <rPr>
        <sz val="10"/>
        <rFont val="Calibri"/>
        <family val="2"/>
        <scheme val="minor"/>
      </rPr>
      <t xml:space="preserve"> This option requires section 902.3.2.1 through 902.3.2.7.</t>
    </r>
  </si>
  <si>
    <t>902.3.1.1</t>
  </si>
  <si>
    <r>
      <t>902.3.1.1 Soil-gas barriers and base course.</t>
    </r>
    <r>
      <rPr>
        <sz val="10"/>
        <rFont val="Calibri"/>
        <family val="2"/>
        <scheme val="minor"/>
      </rPr>
      <t xml:space="preserve"> A base course in accordance with Section 506.2.2 of the IRC shall be installed below slabs and foundations. There shall be a continuous gas-permeable base course under each soil-gas retarder that is separated by foundation walls or footings. Between slabs and the base course, damp proofing or water proofing shall be installed in accordance with Section 406 of the IRC. Punctures, tears and gaps around penetrations of the soil-gas retarder shall be repaired or covered with an additional soil-gas retarder. The soil-gas retarder shall be a continuous6-mil (0.15 mm) polyethylene or an approved equivalent.</t>
    </r>
  </si>
  <si>
    <t>902.3.1.2</t>
  </si>
  <si>
    <r>
      <t>902.3.1.2 Soil gas collection.</t>
    </r>
    <r>
      <rPr>
        <sz val="10"/>
        <rFont val="Calibri"/>
        <family val="2"/>
        <scheme val="minor"/>
      </rPr>
      <t xml:space="preserve"> There shall be an unobstructed path for soil gas flow between the void space installed in the base course and the vent through the roof. Soil gases below the foundation shall be collected by a perforated pipe with a diameter of not less than 4 inches (10 cm) and not less than 5 feet (1.5 m) in total length. A tee fitting or equivalent method shall provide two horizontal openings to the radon collection. The tee fitting shall be designed to prevent clogging of the radon collection path. Alternately the soil gas collection shall be by approved radon collection mats or an equivalent approved method.</t>
    </r>
  </si>
  <si>
    <t>902.3.1.3</t>
  </si>
  <si>
    <r>
      <t>902.3.1.3 Soil gas entry routes.</t>
    </r>
    <r>
      <rPr>
        <sz val="10"/>
        <rFont val="Calibri"/>
        <family val="2"/>
        <scheme val="minor"/>
      </rPr>
      <t xml:space="preserve"> Openings in slabs, soil-gas retarders, and joints such as, but not limited to, plumbing, ground water control systems, soil-gas vent pipes, piping and structural supports, shall be sealed against air leakage at the penetrations. The sealant shall be a polyurethane caulk, expanding foam or other approved method. Foundation walls shall comply with Section 103.2.3 of the IRC. Sumps shall be sealed in accordance with Section 103.2.2 of the IRC. Sump pits and sump lids intended for ground water control shall not be connected to the sub-slab soil-gas exhaust system.</t>
    </r>
  </si>
  <si>
    <t>902.3.1.4</t>
  </si>
  <si>
    <r>
      <t>902.3.1.4 Soil gas vent.</t>
    </r>
    <r>
      <rPr>
        <sz val="10"/>
        <rFont val="Calibri"/>
        <family val="2"/>
        <scheme val="minor"/>
      </rPr>
      <t xml:space="preserve"> A gas-tight pipe vent shall extend from the soil gas permeable layer though the roof. The vent pipe size shall not be reduced at any location as it goes from gas collection to the roof. Exposed and visible interior vent pipes shall be identified with not less than one label reading “Radon Reduction System” on each floor and in habitable attics.</t>
    </r>
  </si>
  <si>
    <t>902.3.1.5</t>
  </si>
  <si>
    <r>
      <t>902.3.1.5 Vent pipe diameter.</t>
    </r>
    <r>
      <rPr>
        <sz val="10"/>
        <rFont val="Calibri"/>
        <family val="2"/>
        <scheme val="minor"/>
      </rPr>
      <t xml:space="preserve"> The minimum vent pipe diameter shall be as specified in Table 902.3.2.5.</t>
    </r>
  </si>
  <si>
    <t>902.3.1.6</t>
  </si>
  <si>
    <r>
      <t>902.3.1.6 Multiple vented areas.</t>
    </r>
    <r>
      <rPr>
        <sz val="10"/>
        <rFont val="Calibri"/>
        <family val="2"/>
        <scheme val="minor"/>
      </rPr>
      <t xml:space="preserve"> In dwellings where interior footings or other barriers separate the soil-gas permeable layer, each area shall be fitted with an individual vent pipe. Vent pipes shall connect to a single vent that terminates above the roof or each individual vent pipe shall terminate separately above the roof.</t>
    </r>
  </si>
  <si>
    <t>902.3.1.7</t>
  </si>
  <si>
    <r>
      <t>902.3.1.7 Fan.</t>
    </r>
    <r>
      <rPr>
        <sz val="10"/>
        <rFont val="Calibri"/>
        <family val="2"/>
        <scheme val="minor"/>
      </rPr>
      <t xml:space="preserve"> Each sub-slab soil-gas exhaust system shall include a fan, or dedicated space for the post-construction installation of a fan. The electrical supply for the fan shall be located within 6 feet (1.8 m) of the fan. Fan is not required to be on a dedicated circuit.</t>
    </r>
  </si>
  <si>
    <t>902.3.2</t>
  </si>
  <si>
    <r>
      <t>902.3.2 Radon testing.</t>
    </r>
    <r>
      <rPr>
        <sz val="10"/>
        <rFont val="Calibri"/>
        <family val="2"/>
        <scheme val="minor"/>
      </rPr>
      <t xml:space="preserve"> Radon testing is mandatory for Zone 1.</t>
    </r>
  </si>
  <si>
    <r>
      <t>Exceptions:</t>
    </r>
    <r>
      <rPr>
        <sz val="10"/>
        <rFont val="Calibri"/>
        <family val="2"/>
        <scheme val="minor"/>
      </rPr>
      <t xml:space="preserve"> </t>
    </r>
  </si>
  <si>
    <t>(2) Testing is not mandatory where the occupied space is located above an unenclosed open space.</t>
  </si>
  <si>
    <t xml:space="preserve">Testing specifications. Testing is performance as specified in (a) through (j). </t>
  </si>
  <si>
    <t>Testing is performed after the residence passes its airtightness test.</t>
  </si>
  <si>
    <t>Testing is performed after the radon control system installation is complete. If the system has an active fan, the residence shall be tested with the fan operating.</t>
  </si>
  <si>
    <t>Testing is performed at the lowest level within a dwelling unit which will be occupied, even if the space is not finished.</t>
  </si>
  <si>
    <t>Testing is not performed in a closet, hallway, stairway, laundry room, furnace room, kitchen or bathroom.</t>
  </si>
  <si>
    <t>Testing shall be performed by the builder, a registered design professional, or an approved third party.</t>
  </si>
  <si>
    <t xml:space="preserve">Testing shall extend at least 48 hours or to the minimum specified by the manufacturer, which ever is longer. </t>
  </si>
  <si>
    <t>Written radon test results shall be provided by the test lab or testing party. Written test results shall be included with construction documents.</t>
  </si>
  <si>
    <t xml:space="preserve">An additional pre-paid test kit shall be provided for the homeowner to use when they choose. The test kit shall include mailing or emailing the results from the testing lab to the homeowner. </t>
  </si>
  <si>
    <t>Where the radon test result is 4 pCi/L or greater, the fan for the radon vent pipe shall be installed.</t>
  </si>
  <si>
    <t xml:space="preserve">Testing results. A radon test done in accordance with 902.3.1 and completed before occupancy receives a results of 2 pCi/L or less. </t>
  </si>
  <si>
    <t>ICC IRC F</t>
  </si>
  <si>
    <t>Exception:</t>
  </si>
  <si>
    <t>902.4</t>
  </si>
  <si>
    <t>902.5</t>
  </si>
  <si>
    <t>If HVAC systems are to be operated, during construction, all return grilles have a temporary MERV 8 or higher filter installed in a manner ensuring no leakage around the filter.</t>
  </si>
  <si>
    <t xml:space="preserve">Verify that no visible signs of discoloration and microbial growth on ceilings, walls or floors, or other building assemblies Or If minor microbial growth is observed (less than within a total area of 25 square feet) in homes or multifamily buildings, reference EPA Document 402-K-02-003 (A Brief Guide to Mold, Moisture, and Your Home) for guidance on how to properly remediate the issue. If microbial growth is observed, on a larger scale in homes or multifamily buildings (greater than 25 sq ft), reference EPA document 402-k-01-001 (Mold Remediation in Schools and Commercial Buildings) for guidance on how to properly remediate the issue. </t>
  </si>
  <si>
    <t xml:space="preserve">Verify that there are no visible signs of water damage or pooling. If signs of water damage or pooling are observed, verify that the source of the leak has been repaired, and that damaged materials are either properly dried or replaced as needed. </t>
  </si>
  <si>
    <t>904.3</t>
  </si>
  <si>
    <r>
      <t>904.3 Microbial growth &amp; moisture inspection and remediation.</t>
    </r>
    <r>
      <rPr>
        <sz val="10"/>
        <rFont val="Calibri"/>
        <family val="2"/>
        <scheme val="minor"/>
      </rPr>
      <t xml:space="preserve"> A visual inspection is performed to confirm the following:</t>
    </r>
  </si>
  <si>
    <t>905.3</t>
  </si>
  <si>
    <r>
      <t>905.3 Enhanced air filtration.</t>
    </r>
    <r>
      <rPr>
        <sz val="10"/>
        <rFont val="Calibri"/>
        <family val="2"/>
        <scheme val="minor"/>
      </rPr>
      <t xml:space="preserve"> Meet all of the following. </t>
    </r>
  </si>
  <si>
    <t>Design for and install a secondary filter rack space for activated carbon filters.</t>
  </si>
  <si>
    <t>Provide the manufacturer’s recommended filter maintenance schedule to the homeowner or building manager.</t>
  </si>
  <si>
    <t>905.4</t>
  </si>
  <si>
    <t>Whole-dwelling mechanical ventilation systems.</t>
  </si>
  <si>
    <t>A maintenance plan for active recreation and play spaces (e.g., playgrounds, ground markings, exercise equipment.</t>
  </si>
  <si>
    <t>Whole-dwelling mechanical ventilation systems</t>
  </si>
  <si>
    <t>1002.5</t>
  </si>
  <si>
    <t>1002.6</t>
  </si>
  <si>
    <r>
      <t>1002.5 Multifamily occupant manual.</t>
    </r>
    <r>
      <rPr>
        <sz val="10"/>
        <color theme="1"/>
        <rFont val="Calibri"/>
        <family val="2"/>
        <scheme val="minor"/>
      </rPr>
      <t xml:space="preserve"> An occupant manual is compiled and distributed in accordance with Section 1002.0.</t>
    </r>
    <r>
      <rPr>
        <b/>
        <sz val="10"/>
        <color theme="1"/>
        <rFont val="Calibri"/>
        <family val="2"/>
        <scheme val="minor"/>
      </rPr>
      <t xml:space="preserve"> </t>
    </r>
    <r>
      <rPr>
        <i/>
        <sz val="10"/>
        <color theme="1"/>
        <rFont val="Calibri"/>
        <family val="2"/>
        <scheme val="minor"/>
      </rPr>
      <t xml:space="preserve">[Points awarded for non-mandatory items.] </t>
    </r>
  </si>
  <si>
    <t xml:space="preserve">NGBS certificate </t>
  </si>
  <si>
    <t xml:space="preserve">List of green building features </t>
  </si>
  <si>
    <t xml:space="preserve">Operations manuals for all appliances and occupant operated equipment including lighting and ventilation controls, thermostats, etc. </t>
  </si>
  <si>
    <t>Information on recycling and composting programs</t>
  </si>
  <si>
    <t>Information on purchasing renewable energy from utility</t>
  </si>
  <si>
    <t>Information on energy efficient replacement lamps</t>
  </si>
  <si>
    <t>List of practices to save water and energy</t>
  </si>
  <si>
    <t>Local public transportation options</t>
  </si>
  <si>
    <t>Explanation of benefits of green cleaning</t>
  </si>
  <si>
    <r>
      <t>1002.6 Training of multifamily occupants.</t>
    </r>
    <r>
      <rPr>
        <sz val="10"/>
        <color theme="1"/>
        <rFont val="Calibri"/>
        <family val="2"/>
        <scheme val="minor"/>
      </rPr>
      <t xml:space="preserve"> Prepare a training outline, video or website that familiarizes occupants with their role in maintaining the green goals of the project. Include all equipment that the occupant(s) is expected to operate including but not limited. </t>
    </r>
  </si>
  <si>
    <t>Lighting controls</t>
  </si>
  <si>
    <t>Ventilation controls</t>
  </si>
  <si>
    <t>Thermostat operation and programming</t>
  </si>
  <si>
    <t>Appliances operation</t>
  </si>
  <si>
    <t>Recycling and composting</t>
  </si>
  <si>
    <t>Water heater setting and hot water use</t>
  </si>
  <si>
    <t>1 per 2 items</t>
  </si>
  <si>
    <t>1005</t>
  </si>
  <si>
    <t xml:space="preserve">1005  INNOVATIVE PRACTICES </t>
  </si>
  <si>
    <t>1005.1</t>
  </si>
  <si>
    <r>
      <t xml:space="preserve">1005.1 Appraisals. </t>
    </r>
    <r>
      <rPr>
        <sz val="10"/>
        <color theme="1"/>
        <rFont val="Calibri"/>
        <family val="2"/>
        <scheme val="minor"/>
      </rPr>
      <t>One or more of the following is implemented:</t>
    </r>
  </si>
  <si>
    <t xml:space="preserve">Energy rating or projected usage data is posted in an appropriate location in the home, or public posting so that an appraiser can access the energy data for an energy efficiency property valuation. </t>
  </si>
  <si>
    <t xml:space="preserve">An Appraisal Institute Form 820.05 “Residential Green and Energy Addendum” or Form 821 “Commercial Green and energy Efficient Addendum” that consider NGBS, LEED, ENERGY STAR certifications and equivalent programs, is completed for the appraiser by a qualified professional or builder to use in performing the valuation of the property. </t>
  </si>
  <si>
    <t xml:space="preserve">NGBS certification information or one of the Appraisal Institute Forms cited in (2) above is uploaded to a multiple listing service (MLS) or equivalent database so that appraisers can access it to compare property valuations. </t>
  </si>
  <si>
    <t>Home Innovation makes key certification details available, but MLS organizations need to take affirmative action to ensure data is received and made publicly available. Contact us for more details.</t>
  </si>
  <si>
    <t>500</t>
  </si>
  <si>
    <t>703.3</t>
  </si>
  <si>
    <t>611.1</t>
  </si>
  <si>
    <t>504</t>
  </si>
  <si>
    <t>NOTE: 5 Points must be taken in 503.5(1)-(7) for a Full Landscape Plan in order to receive points for 802.6.4(3).</t>
  </si>
  <si>
    <t>See Table 802.1(1)</t>
  </si>
  <si>
    <t>See Table 802.1(2)</t>
  </si>
  <si>
    <t>back to 802.1</t>
  </si>
  <si>
    <t>Table 802.1(1)</t>
  </si>
  <si>
    <t>Table 802.1(2)</t>
  </si>
  <si>
    <t>floors:</t>
  </si>
  <si>
    <t>from overview:</t>
  </si>
  <si>
    <t>ELR:</t>
  </si>
  <si>
    <t>CHAPTER 13: COMMERCIAL SPACES NEW CONSTRUCTION</t>
  </si>
  <si>
    <t>13.101.1</t>
  </si>
  <si>
    <r>
      <t xml:space="preserve">13.101.1 Intent. </t>
    </r>
    <r>
      <rPr>
        <sz val="10"/>
        <rFont val="Calibri"/>
        <family val="2"/>
        <scheme val="minor"/>
      </rPr>
      <t>This chapter shall provide green requirements for the non-residential portion(s) of a mixed-use building.</t>
    </r>
  </si>
  <si>
    <t>13.101.2</t>
  </si>
  <si>
    <r>
      <t>13.101.2 Scope.</t>
    </r>
    <r>
      <rPr>
        <sz val="10"/>
        <rFont val="Calibri"/>
        <family val="2"/>
        <scheme val="minor"/>
      </rPr>
      <t xml:space="preserve"> The provisions of this Chapter shall apply to the design, construction, addition, and alteration of non-residential portion(s) of a mixed-use building.</t>
    </r>
  </si>
  <si>
    <t>13.102.1</t>
  </si>
  <si>
    <r>
      <t>13.102.1 Compliance.</t>
    </r>
    <r>
      <rPr>
        <sz val="10"/>
        <rFont val="Calibri"/>
        <family val="2"/>
        <scheme val="minor"/>
      </rPr>
      <t xml:space="preserve"> The non-residential portion(s) of a mixed-use building shall comply with all of the provisions of this chapter as applicable. The provisions of this Chapter are mandatory.</t>
    </r>
  </si>
  <si>
    <t>13.102.1.1</t>
  </si>
  <si>
    <r>
      <t>13.102.1.1 Core and shell compliance.</t>
    </r>
    <r>
      <rPr>
        <sz val="10"/>
        <rFont val="Calibri"/>
        <family val="2"/>
        <scheme val="minor"/>
      </rPr>
      <t xml:space="preserve"> The exterior air barrier, insulation, air sealing, and fenestration, are verified to the requirements of this chapter at the time of certification.</t>
    </r>
  </si>
  <si>
    <t>13.102.1.2</t>
  </si>
  <si>
    <r>
      <t>13.102.1.2 Full mixed-use building compliance.</t>
    </r>
    <r>
      <rPr>
        <sz val="10"/>
        <rFont val="Calibri"/>
        <family val="2"/>
        <scheme val="minor"/>
      </rPr>
      <t xml:space="preserve"> Residential and non-residential spaces are verified to the requirements of this standard at the time of certification. The residential portions of the building are verified to the requirements of Chapters 5 through 10 of this standard. The non-residential portion(s) of the building must comply with the requirements of this chapter.</t>
    </r>
  </si>
  <si>
    <t>13.102.1.3</t>
  </si>
  <si>
    <r>
      <t>13.102.1.3 Additions and alterations.</t>
    </r>
    <r>
      <rPr>
        <sz val="10"/>
        <rFont val="Calibri"/>
        <family val="2"/>
        <scheme val="minor"/>
      </rPr>
      <t xml:space="preserve"> The provisions of this Chapter shall only apply to areas of the building that are exposed or created during the remodel of mixed-use building(s) complying with Section 305, Green Remodeling.</t>
    </r>
  </si>
  <si>
    <t>13.103.1</t>
  </si>
  <si>
    <r>
      <t xml:space="preserve">13.103.1 Bicycle parking. </t>
    </r>
    <r>
      <rPr>
        <sz val="10"/>
        <rFont val="Calibri"/>
        <family val="2"/>
        <scheme val="minor"/>
      </rPr>
      <t>Bicycle parking shall comply with section 103.1.1 through 103.1.2</t>
    </r>
  </si>
  <si>
    <t>13.103.1.1</t>
  </si>
  <si>
    <r>
      <t xml:space="preserve">13.103.1.1 Minimum number of spaces. </t>
    </r>
    <r>
      <rPr>
        <sz val="10"/>
        <rFont val="Calibri"/>
        <family val="2"/>
        <scheme val="minor"/>
      </rPr>
      <t>The minimum number of required bicycle parking spaces shall be 4 parking spaces.</t>
    </r>
  </si>
  <si>
    <t>The number of bicycle parking spaces shall be allowed to be reduced subject to Adopting Entity approval,</t>
  </si>
  <si>
    <t>Bicycle parking shall not be required where the total non-residential conditioned space in the building is less than 1,000 square feet.</t>
  </si>
  <si>
    <t>The minimum number of spaces shall be permitted to be reduced by the authority having jurisdiction based on the occupants expected use of public transit or walking to the building.</t>
  </si>
  <si>
    <t>13.103.1.2</t>
  </si>
  <si>
    <r>
      <t xml:space="preserve">13.103.1.2 Location. </t>
    </r>
    <r>
      <rPr>
        <sz val="10"/>
        <rFont val="Calibri"/>
        <family val="2"/>
        <scheme val="minor"/>
      </rPr>
      <t>The bicycle parking must be located on the same building site or within the building. It must be located within 100 ft. of, and visible from the main entrance.</t>
    </r>
  </si>
  <si>
    <t>13.104</t>
  </si>
  <si>
    <t xml:space="preserve">13.104 Resource Efficiency. </t>
  </si>
  <si>
    <t>13.104.1</t>
  </si>
  <si>
    <t xml:space="preserve">13.104.1 Enhanced Durability. </t>
  </si>
  <si>
    <t>13.104.1.1</t>
  </si>
  <si>
    <r>
      <t xml:space="preserve">13.104.1.1 Capillary Break. </t>
    </r>
    <r>
      <rPr>
        <sz val="10"/>
        <rFont val="Calibri"/>
        <family val="2"/>
        <scheme val="minor"/>
      </rPr>
      <t>A capillary break and vapor retarder shall be installed under the concrete slabs in accordance with ICC IBC Sections 1907, excluding exception #3 and 1805.2.1.</t>
    </r>
  </si>
  <si>
    <t>13.104.1.2</t>
  </si>
  <si>
    <r>
      <t xml:space="preserve">13.104.1.2 Foundation drainage. </t>
    </r>
    <r>
      <rPr>
        <sz val="10"/>
        <rFont val="Calibri"/>
        <family val="2"/>
        <scheme val="minor"/>
      </rPr>
      <t>Where required by the ICC IBC for habitable and usable spaces below grade, exterior drain tile is installed.</t>
    </r>
  </si>
  <si>
    <t>13.104.1.3</t>
  </si>
  <si>
    <r>
      <t xml:space="preserve">13.104.1.3 Dampproof walls. </t>
    </r>
    <r>
      <rPr>
        <sz val="10"/>
        <rFont val="Calibri"/>
        <family val="2"/>
        <scheme val="minor"/>
      </rPr>
      <t>Walls that retain earth, and encloses interior space are required to be dampproof per ICC IBC Section 1805.</t>
    </r>
  </si>
  <si>
    <t>13.104.1.4</t>
  </si>
  <si>
    <r>
      <t xml:space="preserve">13.104.1.4 Water-resistive barrier. </t>
    </r>
    <r>
      <rPr>
        <sz val="10"/>
        <rFont val="Calibri"/>
        <family val="2"/>
        <scheme val="minor"/>
      </rPr>
      <t>Where required by the ICC IBC, a water-resistive barrier and/or drainage plane system is installed behind exterior cladding.</t>
    </r>
  </si>
  <si>
    <t>13.104.1.5</t>
  </si>
  <si>
    <r>
      <t xml:space="preserve">13.104.1.5 Flashing. </t>
    </r>
    <r>
      <rPr>
        <sz val="10"/>
        <rFont val="Calibri"/>
        <family val="2"/>
        <scheme val="minor"/>
      </rPr>
      <t xml:space="preserve">Flashing is provided as follows to minimize water entry into wall and roof assemblies and to direct water to exterior surfaces or exterior water-resistive barriers for drainage. Flashing details are provided in the construction documents and are in accordance with the fenestration manufacturer’s instructions, the flashing manufacturer’s instructions, or as detailed by a registered design professional. </t>
    </r>
    <r>
      <rPr>
        <b/>
        <sz val="10"/>
        <rFont val="Calibri"/>
        <family val="2"/>
        <scheme val="minor"/>
      </rPr>
      <t xml:space="preserve">
</t>
    </r>
    <r>
      <rPr>
        <sz val="10"/>
        <rFont val="Calibri"/>
        <family val="2"/>
        <scheme val="minor"/>
      </rPr>
      <t>Flashing is installed at the following locations, as applicable unless in conflict with manufacturer’s installation instructions:</t>
    </r>
  </si>
  <si>
    <t>Around exterior fenestrations, skylights, and doors</t>
  </si>
  <si>
    <t>At roof valleys</t>
  </si>
  <si>
    <t>At all building-to-deck, -balcony, -porch, and -stair intersections</t>
  </si>
  <si>
    <t>At roof-to-wall intersections, at roof-to-chimney intersections, at wall-to-chimney intersections, and at parapets</t>
  </si>
  <si>
    <t>At ends of and under masonry, wood, or metal copings and sills</t>
  </si>
  <si>
    <t>Above projecting wood trim</t>
  </si>
  <si>
    <t>At built-in roof gutters, and</t>
  </si>
  <si>
    <t>Drip edge is installed at eave and rake edges</t>
  </si>
  <si>
    <t>Window and door head and jamb flashing is either self-adhered or liquid applied</t>
  </si>
  <si>
    <t>Flashing is installed at exterior windows and doors</t>
  </si>
  <si>
    <t>Through-wall flashing is installed at transitions between wall cladding materials or wall construction types</t>
  </si>
  <si>
    <t>Flashing is installed at the expansion joint in stucco walls</t>
  </si>
  <si>
    <t>13.104.1.6</t>
  </si>
  <si>
    <r>
      <t xml:space="preserve">13.104.1.6 Tile backing materials. </t>
    </r>
    <r>
      <rPr>
        <sz val="10"/>
        <rFont val="Calibri"/>
        <family val="2"/>
        <scheme val="minor"/>
      </rPr>
      <t>Tile backing materials installed under tiled surfaces in wet areas are in accordance with ASTM C1178, C1278, C1288, or C1325. Tile shall not be installed over paper-faced gypsum board in wet areas.</t>
    </r>
  </si>
  <si>
    <t>13.104.1.7</t>
  </si>
  <si>
    <r>
      <t xml:space="preserve">13.104.1.7 Ice barrier. </t>
    </r>
    <r>
      <rPr>
        <sz val="10"/>
        <rFont val="Calibri"/>
        <family val="2"/>
        <scheme val="minor"/>
      </rPr>
      <t>In areas where there has been a history of ice forming along the eaves causing a backup of water, an ice barrier is installed in accordance with the ICC IBC at roof eaves of pitched roofs and extends a minimum of 24 inches (610 mm) inside the exterior wall line of the building.</t>
    </r>
  </si>
  <si>
    <t>13.104.1.8</t>
  </si>
  <si>
    <r>
      <t xml:space="preserve">13.104.1.8 Architectural features. </t>
    </r>
    <r>
      <rPr>
        <sz val="10"/>
        <rFont val="Calibri"/>
        <family val="2"/>
        <scheme val="minor"/>
      </rPr>
      <t>Architectural features that increase the potential for water intrusion are avoided, and must comply with the following:</t>
    </r>
  </si>
  <si>
    <t>Horizontal ledgers are sloped away to provide gravity drainage as appropriate for the application.</t>
  </si>
  <si>
    <t>No roof configurations that create horizontal valleys in roof design, unless directed to a drain on a flat roof.</t>
  </si>
  <si>
    <t>No recessed windows and architectural features that trap water on horizontal surfaces</t>
  </si>
  <si>
    <t>13.104.1.9</t>
  </si>
  <si>
    <r>
      <t xml:space="preserve">13.104.1.9 Moisture control measures. </t>
    </r>
    <r>
      <rPr>
        <sz val="10"/>
        <rFont val="Calibri"/>
        <family val="2"/>
        <scheme val="minor"/>
      </rPr>
      <t>Moisture control measures for newly installed materials are in accordance with the following:</t>
    </r>
  </si>
  <si>
    <t>Building materials with visible mold are not installed or are cleaned or encapsulated prior to concealment and closing</t>
  </si>
  <si>
    <t>Insulation in cavities is dry in accordance with manufacturer’s installation instructions when enclosed (e.g., with drywall)</t>
  </si>
  <si>
    <t>13.104.2</t>
  </si>
  <si>
    <r>
      <t xml:space="preserve">13.104.2 Construction material and waste management plan. </t>
    </r>
    <r>
      <rPr>
        <sz val="10"/>
        <rFont val="Calibri"/>
        <family val="2"/>
        <scheme val="minor"/>
      </rPr>
      <t>A written construction waste management plan is posted at the jobsite, and implemented.</t>
    </r>
  </si>
  <si>
    <t>13.104.3</t>
  </si>
  <si>
    <r>
      <t xml:space="preserve">13.104.3 Core and shell material selection. </t>
    </r>
    <r>
      <rPr>
        <sz val="10"/>
        <rFont val="Calibri"/>
        <family val="2"/>
        <scheme val="minor"/>
      </rPr>
      <t>The core and shell of the non-residential portion of the building must contain similar green material selections of the residential portion of the building, and must comply with the additional provisions of this section.</t>
    </r>
  </si>
  <si>
    <t>13.104.3.1</t>
  </si>
  <si>
    <r>
      <t xml:space="preserve">13.104.3.1 Material selection. </t>
    </r>
    <r>
      <rPr>
        <sz val="10"/>
        <rFont val="Calibri"/>
        <family val="2"/>
        <scheme val="minor"/>
      </rPr>
      <t>At least six of these sections must be met from the following:</t>
    </r>
  </si>
  <si>
    <t>13.104.4</t>
  </si>
  <si>
    <r>
      <t xml:space="preserve">13.104.4 Recycling and composting. </t>
    </r>
    <r>
      <rPr>
        <sz val="10"/>
        <rFont val="Calibri"/>
        <family val="2"/>
        <scheme val="minor"/>
      </rPr>
      <t>A readily accessible space(s) adequate to accommodate the recycling and composting containers for materials accepted in local recycling/composting programs is provided and identified on the floorplan.</t>
    </r>
  </si>
  <si>
    <t>13.105</t>
  </si>
  <si>
    <t xml:space="preserve">13.105 Energy Efficiency. </t>
  </si>
  <si>
    <t>13.105.1</t>
  </si>
  <si>
    <r>
      <t xml:space="preserve">13.105.1 Building thermal envelope insulation. </t>
    </r>
    <r>
      <rPr>
        <sz val="10"/>
        <rFont val="Calibri"/>
        <family val="2"/>
        <scheme val="minor"/>
      </rPr>
      <t>The non-residential portion of the building must comply with the insulation requirements of Sections C402.1 through C402.3 of the ICC IECC as applicable, and Section 105.1.1. A UA tradeoff shall be allowed for sections 105.1 and 105.2 is equal to or less than the IECC UA.</t>
    </r>
  </si>
  <si>
    <r>
      <t>Maximum UA.</t>
    </r>
    <r>
      <rPr>
        <sz val="10"/>
        <rFont val="Calibri"/>
        <family val="2"/>
        <scheme val="minor"/>
      </rPr>
      <t xml:space="preserve"> For IECC residential, the total building UA is less than or equal to the total maximum UA as computed by 2015 IECC Section R02.1.5. For IECC commercial, the total UA is less than or equal to the sum of the UA for 2015 IECC Tables C402.1.4 and C402.4, including the U-factor times the area and C-factor or F-factor times the perimeter. The total UA proposed and baseline calculations are documented. REScheck or COMcheck is deemed to provide UA calculation documentation.</t>
    </r>
  </si>
  <si>
    <t>13.105.1.1</t>
  </si>
  <si>
    <r>
      <t xml:space="preserve">13.105.1.1 Insulation installation. </t>
    </r>
    <r>
      <rPr>
        <sz val="10"/>
        <rFont val="Calibri"/>
        <family val="2"/>
        <scheme val="minor"/>
      </rPr>
      <t>Insulation installed in the thermal envelope shall be visually inspected for compliance with Grade I installation. Grade II insulation is only permitted where exterior continuous insulation is installed. Grade III insulation installation is not permitted.</t>
    </r>
  </si>
  <si>
    <t>13.105.2</t>
  </si>
  <si>
    <r>
      <t xml:space="preserve">13.105.2 Building thermal envelope fenestration. </t>
    </r>
    <r>
      <rPr>
        <sz val="10"/>
        <rFont val="Calibri"/>
        <family val="2"/>
        <scheme val="minor"/>
      </rPr>
      <t>The non-residential portion of the building shall be in accordance with the requirements of Section C402.4 of the International Energy Conservation Code as applicable.</t>
    </r>
  </si>
  <si>
    <t>13.105.3</t>
  </si>
  <si>
    <r>
      <t xml:space="preserve">13.105.3 Building thermal envelope air sealing. </t>
    </r>
    <r>
      <rPr>
        <sz val="10"/>
        <rFont val="Calibri"/>
        <family val="2"/>
        <scheme val="minor"/>
      </rPr>
      <t>The building thermal envelope is durably sealed to limit infiltration. The sealing methods between dissimilar materials allow for differential expansion and contraction. The following are caulked, gasketed, weather-stripped or otherwise sealed with an air barrier material, suitable film, or solid material:</t>
    </r>
  </si>
  <si>
    <t>All joints, seams and penetrations</t>
  </si>
  <si>
    <t>Site-built windows, doors and skylights</t>
  </si>
  <si>
    <t>Openings between window and door assemblies and their respective jambs and framing</t>
  </si>
  <si>
    <t>Utility penetrations</t>
  </si>
  <si>
    <t>Dropped ceilings or chases adjacent to the thermal envelope</t>
  </si>
  <si>
    <t>Knee walls</t>
  </si>
  <si>
    <t>Walls and ceilings separating the garage from conditioned spaces</t>
  </si>
  <si>
    <t>Behind tubs and showers on exterior walls</t>
  </si>
  <si>
    <t>Cantilevers</t>
  </si>
  <si>
    <t>Attic access openings</t>
  </si>
  <si>
    <t>Rim joists junction</t>
  </si>
  <si>
    <t>Other sources of infiltration</t>
  </si>
  <si>
    <t>13.105.3.1</t>
  </si>
  <si>
    <r>
      <t xml:space="preserve">13.105.3.1 Air barrier verification. </t>
    </r>
    <r>
      <rPr>
        <sz val="10"/>
        <rFont val="Calibri"/>
        <family val="2"/>
        <scheme val="minor"/>
      </rPr>
      <t>If not previously verified, the air barrier shall be visually inspected to demonstrate compliance with Table 701.4.3.2(2) and shall comply with the requirements of IECC C402.5.</t>
    </r>
  </si>
  <si>
    <t>13.105.4</t>
  </si>
  <si>
    <r>
      <t xml:space="preserve">13.105.4 Energy metering. </t>
    </r>
    <r>
      <rPr>
        <sz val="10"/>
        <rFont val="Calibri"/>
        <family val="2"/>
        <scheme val="minor"/>
      </rPr>
      <t xml:space="preserve">Energy metering shall be provided for each tenant individually for the non-residential portions of the building.
</t>
    </r>
    <r>
      <rPr>
        <b/>
        <sz val="10"/>
        <rFont val="Calibri"/>
        <family val="2"/>
        <scheme val="minor"/>
      </rPr>
      <t>Exception:</t>
    </r>
    <r>
      <rPr>
        <sz val="10"/>
        <rFont val="Calibri"/>
        <family val="2"/>
        <scheme val="minor"/>
      </rPr>
      <t xml:space="preserve"> non-residential spaces under 10,000 square feet.</t>
    </r>
  </si>
  <si>
    <t>13.105.5</t>
  </si>
  <si>
    <r>
      <t xml:space="preserve">13.105.5 Efficiency of HVAC equipment. </t>
    </r>
    <r>
      <rPr>
        <sz val="10"/>
        <rFont val="Calibri"/>
        <family val="2"/>
        <scheme val="minor"/>
      </rPr>
      <t>HVAC equipment shall meet the minimum efficiency requirements listed in Tables C403.3.2(1) through C403.3.2(7) of the International Energy Conservation Code.</t>
    </r>
  </si>
  <si>
    <t>13.105.6</t>
  </si>
  <si>
    <r>
      <t xml:space="preserve">13.105.6 Efficiency of Service Water Heating equipment. </t>
    </r>
    <r>
      <rPr>
        <sz val="10"/>
        <rFont val="Calibri"/>
        <family val="2"/>
        <scheme val="minor"/>
      </rPr>
      <t>Service Water Heating equipment shall meet the minimum efficiency requirements listed in ICC IECC Table C404.2.</t>
    </r>
  </si>
  <si>
    <t>13.105.7</t>
  </si>
  <si>
    <r>
      <t xml:space="preserve">13.105.7 Lighting. </t>
    </r>
    <r>
      <rPr>
        <sz val="10"/>
        <rFont val="Calibri"/>
        <family val="2"/>
        <scheme val="minor"/>
      </rPr>
      <t>The total interior lighting power allowance shall be less than the total lighting power allowance in accordance with Section C405.3.2 of the International Energy Conservation Code.</t>
    </r>
  </si>
  <si>
    <t>13.105.8</t>
  </si>
  <si>
    <t xml:space="preserve">13.105.8 Commissioning. </t>
  </si>
  <si>
    <t>13.105.8.1</t>
  </si>
  <si>
    <r>
      <t xml:space="preserve">13.105.8.1 Mechanical and service water heating systems. </t>
    </r>
    <r>
      <rPr>
        <sz val="10"/>
        <rFont val="Calibri"/>
        <family val="2"/>
        <scheme val="minor"/>
      </rPr>
      <t>Mechanical and service water heating systems shall comply with ICC IECC Section C408.2.</t>
    </r>
  </si>
  <si>
    <t>13.105.9</t>
  </si>
  <si>
    <r>
      <t xml:space="preserve">13.105.9 Calculation of heating and cooling loads. </t>
    </r>
    <r>
      <rPr>
        <sz val="10"/>
        <rFont val="Calibri"/>
        <family val="2"/>
        <scheme val="minor"/>
      </rPr>
      <t>Design loads associated with heating, ventilating and air conditioning of the building shall be determined in accordance with ANSI/ASHRAE/ACCA Standard 183 or by an approved equivalent computational procedure and using the design parameters specified in Chapter 3 of the ICC IECC. Heating and cooling loads shall be adjusted to account for load reductions that are achieved where energy recovery systems are utilized in the HVAC system in accordance with the ASHRAE HVAC Systems and Equipment Handbook or an approved equivalent computational procedure.</t>
    </r>
  </si>
  <si>
    <t>13.105.10</t>
  </si>
  <si>
    <r>
      <t xml:space="preserve">13.105.10 Duct air sealing. </t>
    </r>
    <r>
      <rPr>
        <sz val="10"/>
        <rFont val="Calibri"/>
        <family val="2"/>
        <scheme val="minor"/>
      </rPr>
      <t>Ductwork shall be constructed in accordance with the ICC IMC.</t>
    </r>
  </si>
  <si>
    <t>13.105.11</t>
  </si>
  <si>
    <r>
      <t xml:space="preserve">13.105.11 Heated-water circulation and temperature maintenance. </t>
    </r>
    <r>
      <rPr>
        <sz val="10"/>
        <rFont val="Calibri"/>
        <family val="2"/>
        <scheme val="minor"/>
      </rPr>
      <t>Where installed, heated- water circulation systems shall be in accordance with Section 105.11.1. Heat trace temperature maintenance systems shall be in accordance with Section 105.11.2. Controls for hot water storage shall be in accordance with Section 105.11.3.  Automatic controls, temperature sensors, and pumps shall be in a location that is accessible. Manual controls shall be in a location with ready access.</t>
    </r>
  </si>
  <si>
    <t>13.105.11.1</t>
  </si>
  <si>
    <r>
      <t xml:space="preserve">13.105.11.1 Circulation systems. </t>
    </r>
    <r>
      <rPr>
        <sz val="10"/>
        <rFont val="Calibri"/>
        <family val="2"/>
        <scheme val="minor"/>
      </rPr>
      <t>Heated-water circulation systems shall be provided with a circulation pump. The system return pipe shall be a dedicated return pipe, or a cold water supply pipe. Gravity and thermos-syphon circulation systems shall be prohibited. Controls for circulation hot water system pumps shall start the pump based on the identification of a demand for hot water. The controls shall automatically turn off the pump when the water in the circulation loop is at the desired temperature and when there is not a demand for hot water.</t>
    </r>
  </si>
  <si>
    <t>13.105.11.2</t>
  </si>
  <si>
    <r>
      <t xml:space="preserve">13.105.11.2 Heat trace systems. </t>
    </r>
    <r>
      <rPr>
        <sz val="10"/>
        <rFont val="Calibri"/>
        <family val="2"/>
        <scheme val="minor"/>
      </rPr>
      <t>Electric heat trace systems shall comply with IECC 505.1. Controls for such systems shall be able to automatically adjust the energy input to the heat tracing to maintain the desired water temperature in the piping in accordance with the times when heated water is used in the occupancy. Heat trace shall be arranged to be turned off automatically when there is not a demand for hot water.</t>
    </r>
  </si>
  <si>
    <t>13.105.11.3</t>
  </si>
  <si>
    <r>
      <t xml:space="preserve">13.105.11.3 Controls for hot water storage. </t>
    </r>
    <r>
      <rPr>
        <sz val="10"/>
        <rFont val="Calibri"/>
        <family val="2"/>
        <scheme val="minor"/>
      </rPr>
      <t>The controls on pumps that circulate water between a water heater and a heated water storage tank shall limit the operation of the pump from the heating cycle startup to not greater than 5 minutes are the end of the cycle.</t>
    </r>
  </si>
  <si>
    <t>13.105.12</t>
  </si>
  <si>
    <r>
      <t xml:space="preserve">13.105.12 Energy options. </t>
    </r>
    <r>
      <rPr>
        <sz val="10"/>
        <rFont val="Calibri"/>
        <family val="2"/>
        <scheme val="minor"/>
      </rPr>
      <t>Non-residential portions of the building shall comply with one of the three options below:</t>
    </r>
  </si>
  <si>
    <t>13.105.12.1</t>
  </si>
  <si>
    <r>
      <t xml:space="preserve">13.105.12.1. </t>
    </r>
    <r>
      <rPr>
        <sz val="10"/>
        <rFont val="Calibri"/>
        <family val="2"/>
        <scheme val="minor"/>
      </rPr>
      <t>Energy requirements shall be met if modeling in accordance with C407 shows a 10% reduction in energy from the IECC.</t>
    </r>
  </si>
  <si>
    <t>13.105.12.2</t>
  </si>
  <si>
    <r>
      <t xml:space="preserve">13.105.12.2. </t>
    </r>
    <r>
      <rPr>
        <sz val="10"/>
        <rFont val="Calibri"/>
        <family val="2"/>
        <scheme val="minor"/>
      </rPr>
      <t>Energy requirements shall be met if modeling in accordance with ASHRAE 90.1 Appendix G shows a 10% reduction in energy cost from the prescribed levels.</t>
    </r>
  </si>
  <si>
    <t>13.105.12.3</t>
  </si>
  <si>
    <r>
      <t xml:space="preserve">13.105.12.3. </t>
    </r>
    <r>
      <rPr>
        <sz val="10"/>
        <rFont val="Calibri"/>
        <family val="2"/>
        <scheme val="minor"/>
      </rPr>
      <t>Energy requirements shall be met if at least two options in IECC Section C406 are met.</t>
    </r>
  </si>
  <si>
    <t>13.106</t>
  </si>
  <si>
    <t xml:space="preserve">13.106 Water efficiency and conservation. </t>
  </si>
  <si>
    <t>13.106.1</t>
  </si>
  <si>
    <r>
      <t xml:space="preserve">13.106.1 Fitting and fixture consumption. </t>
    </r>
    <r>
      <rPr>
        <sz val="10"/>
        <rFont val="Calibri"/>
        <family val="2"/>
        <scheme val="minor"/>
      </rPr>
      <t xml:space="preserve">Plumbing fixtures and fixture fittings shall comply with the maximum flow rates specified in Table 106.1. Plumbing fixtures and fixture fittings in Table 106.1 shall have a manufacturer’s designation for flow rate.
</t>
    </r>
    <r>
      <rPr>
        <b/>
        <sz val="10"/>
        <rFont val="Calibri"/>
        <family val="2"/>
        <scheme val="minor"/>
      </rPr>
      <t>Exceptions:</t>
    </r>
    <r>
      <rPr>
        <sz val="10"/>
        <rFont val="Calibri"/>
        <family val="2"/>
        <scheme val="minor"/>
      </rPr>
      <t xml:space="preserve"> The following fixtures and devices shall not be required to comply with the reduced flow rates in Table 106.1.</t>
    </r>
  </si>
  <si>
    <t>Clinical sinks having a maximum water consumption of 4.5 gallons (17 L) per flush.</t>
  </si>
  <si>
    <t>Service sinks faucets, tub fillers, pot fillers, laboratory faucets, utility faucets, and other fittings designed primarily for filling operations.</t>
  </si>
  <si>
    <t>Fixtures, fittings, and devices whose primary purpose is safety.</t>
  </si>
  <si>
    <t>13.106.2</t>
  </si>
  <si>
    <r>
      <t xml:space="preserve">13.106.2 Once-through cooling for appliances and equipment. </t>
    </r>
    <r>
      <rPr>
        <sz val="10"/>
        <rFont val="Calibri"/>
        <family val="2"/>
        <scheme val="minor"/>
      </rPr>
      <t>Once-through or single-pass cooling with potable or municipal reclaimed water is prohibited.</t>
    </r>
  </si>
  <si>
    <t>13.106.3</t>
  </si>
  <si>
    <r>
      <t xml:space="preserve">13.106.3 Clothes washers. </t>
    </r>
    <r>
      <rPr>
        <sz val="10"/>
        <rFont val="Calibri"/>
        <family val="2"/>
        <scheme val="minor"/>
      </rPr>
      <t>Clothes washers rated with an IWF (integrated water factor), MEF (modified energy factor), or IMEF (integrated modified energy factor), shall be rated as follows:</t>
    </r>
  </si>
  <si>
    <t>Residential Clothes Washers, Front-loading, &gt; 2.5 cu-ft
maximum IWF 3.2 minimum IMEF 2.76</t>
  </si>
  <si>
    <t>Residential Clothes Washers, T op-loading, &gt; 2.5 cu-ft
maximum 4.3 IWF, minimum IMEF 2.06</t>
  </si>
  <si>
    <t>Residential Clothes Washers (≤ 2.5 cu-ft)
maximum 4.2 IWF, minimum IMEF 2.07</t>
  </si>
  <si>
    <t>Commercial Clothes Washers
maximum 4.0 IWF, minimum MEF 2.20</t>
  </si>
  <si>
    <t>13.106.4</t>
  </si>
  <si>
    <t xml:space="preserve">13.106.4 Food Service. </t>
  </si>
  <si>
    <t>13.106.4.1</t>
  </si>
  <si>
    <r>
      <t xml:space="preserve">13.106.4.1 Dipper wells. </t>
    </r>
    <r>
      <rPr>
        <sz val="10"/>
        <rFont val="Calibri"/>
        <family val="2"/>
        <scheme val="minor"/>
      </rPr>
      <t>The water supply to a dipper well shall have a shutoff valve and flow control valve. The maximum flow shall not exceed 1 gpm (3.78 lpm) at a supply pressure of 60 psi (413.7 kPa). The dipper well shall have a manufacturer’s designation of flow rate.</t>
    </r>
  </si>
  <si>
    <t>13.106.4.2</t>
  </si>
  <si>
    <r>
      <t xml:space="preserve">13.106.4.2 Food waste disposal. </t>
    </r>
    <r>
      <rPr>
        <sz val="10"/>
        <rFont val="Calibri"/>
        <family val="2"/>
        <scheme val="minor"/>
      </rPr>
      <t>The disposal of food wastes that are collected as part of preparing ware for one or more of the following shall accomplish washing:</t>
    </r>
  </si>
  <si>
    <t>A food strainer (scrapper) basket that is emptied into a trash can.</t>
  </si>
  <si>
    <t>A garbage grinder where the water flow into the food waste disposer is controlled by a load sensing device such that the water flow does not exceed 1 gpm under no-load operating conditions and 8 gpm under full-load operating conditions.</t>
  </si>
  <si>
    <t>A pulper or mechanical strainer that uses not more than 2 gpm of potable water.</t>
  </si>
  <si>
    <t>13.106.4.3</t>
  </si>
  <si>
    <r>
      <t xml:space="preserve">13.106.4.3 Pre-rinse spray heads. </t>
    </r>
    <r>
      <rPr>
        <sz val="10"/>
        <rFont val="Calibri"/>
        <family val="2"/>
        <scheme val="minor"/>
      </rPr>
      <t xml:space="preserve">Food service pre-rinse spray heads shall have a manufacturers designation of flow rate, shall comply with the maximum flow rate in Table 1305.1, and shall shut off </t>
    </r>
    <r>
      <rPr>
        <i/>
        <sz val="10"/>
        <rFont val="Calibri"/>
        <family val="2"/>
        <scheme val="minor"/>
      </rPr>
      <t>automatically</t>
    </r>
    <r>
      <rPr>
        <sz val="10"/>
        <rFont val="Calibri"/>
        <family val="2"/>
        <scheme val="minor"/>
      </rPr>
      <t xml:space="preserve"> when released.</t>
    </r>
  </si>
  <si>
    <t>13.106.4.4</t>
  </si>
  <si>
    <r>
      <t xml:space="preserve">13.106.4.4 Hand washing faucets. </t>
    </r>
    <r>
      <rPr>
        <sz val="10"/>
        <rFont val="Calibri"/>
        <family val="2"/>
        <scheme val="minor"/>
      </rPr>
      <t>Faucets for hand washing sinks in food service preparation and serving areas shall be of the self-closing type.</t>
    </r>
  </si>
  <si>
    <t>13.106.5</t>
  </si>
  <si>
    <r>
      <t xml:space="preserve">13.106.5. Water softeners. </t>
    </r>
    <r>
      <rPr>
        <sz val="10"/>
        <rFont val="Calibri"/>
        <family val="2"/>
        <scheme val="minor"/>
      </rPr>
      <t>Water softeners shall comply with Sections 13.106.5.1 through 13.106.5.3.</t>
    </r>
  </si>
  <si>
    <t>13.106.5.1</t>
  </si>
  <si>
    <r>
      <t xml:space="preserve">13.106.5.1 Demand initiated regeneration. </t>
    </r>
    <r>
      <rPr>
        <sz val="10"/>
        <rFont val="Calibri"/>
        <family val="2"/>
        <scheme val="minor"/>
      </rPr>
      <t>Water softeners shall be equipped with demand- initiated regeneration control systems. Such control systems shall automatically initiate the regeneration cycle after determining the depletion, or impending depletion of softening capacity.</t>
    </r>
  </si>
  <si>
    <t>13.106.5.2</t>
  </si>
  <si>
    <r>
      <t xml:space="preserve">13.106.5.2 Water consumption. </t>
    </r>
    <r>
      <rPr>
        <sz val="10"/>
        <rFont val="Calibri"/>
        <family val="2"/>
        <scheme val="minor"/>
      </rPr>
      <t>Water softeners shall have a maximum water consumption during regeneration of 5 gal (18.9 L) per 1000 grains of hardness removed as measured in accordance with NSF 44.</t>
    </r>
  </si>
  <si>
    <t>13.106.5.3</t>
  </si>
  <si>
    <r>
      <t xml:space="preserve">13.106.5.3 Waste connections. </t>
    </r>
    <r>
      <rPr>
        <sz val="10"/>
        <rFont val="Calibri"/>
        <family val="2"/>
        <scheme val="minor"/>
      </rPr>
      <t xml:space="preserve">Waste water from water softener regeneration shall not discharge to reclaimed, gray water or rainwater water collection systems and shall discharge in accordance with the </t>
    </r>
    <r>
      <rPr>
        <i/>
        <sz val="10"/>
        <rFont val="Calibri"/>
        <family val="2"/>
        <scheme val="minor"/>
      </rPr>
      <t>International Plumbing Code</t>
    </r>
    <r>
      <rPr>
        <sz val="10"/>
        <rFont val="Calibri"/>
        <family val="2"/>
        <scheme val="minor"/>
      </rPr>
      <t>.</t>
    </r>
  </si>
  <si>
    <t>13.106.6</t>
  </si>
  <si>
    <r>
      <t xml:space="preserve">13.106.6 Heat exchangers. </t>
    </r>
    <r>
      <rPr>
        <sz val="10"/>
        <rFont val="Calibri"/>
        <family val="2"/>
        <scheme val="minor"/>
      </rPr>
      <t>Once-through or single-pass cooling with potable or municipal reclaimed water is prohibited. Heat exchangers shall be connected to a recirculating water system such as a chilled water loop, cooling tower loop, or similar recirculating system.</t>
    </r>
  </si>
  <si>
    <t>13.107</t>
  </si>
  <si>
    <t xml:space="preserve">13.107 Indoor Air Quality. </t>
  </si>
  <si>
    <t>13.107.1</t>
  </si>
  <si>
    <r>
      <t xml:space="preserve">13.107.1 Carpets. </t>
    </r>
    <r>
      <rPr>
        <sz val="10"/>
        <rFont val="Calibri"/>
        <family val="2"/>
        <scheme val="minor"/>
      </rPr>
      <t>Carpeting is not installed adjacent to water closets and bathing and or shower fixtures.</t>
    </r>
  </si>
  <si>
    <t>13.107.1.1</t>
  </si>
  <si>
    <r>
      <t xml:space="preserve">13.107.1.1 Entry. </t>
    </r>
    <r>
      <rPr>
        <sz val="10"/>
        <rFont val="Calibri"/>
        <family val="2"/>
        <scheme val="minor"/>
      </rPr>
      <t>The primary entryway from the outdoors shall include one of the following:</t>
    </r>
  </si>
  <si>
    <t>Permanent walk-off mat that allows access for cleaning (e.g., grating with catch basin); or</t>
  </si>
  <si>
    <t>Roll-out mat that will be maintained on a weekly basis by a contracted service.</t>
  </si>
  <si>
    <t>13.107.2</t>
  </si>
  <si>
    <r>
      <t xml:space="preserve">13.107.2 Prohibited materials. </t>
    </r>
    <r>
      <rPr>
        <sz val="10"/>
        <rFont val="Calibri"/>
        <family val="2"/>
        <scheme val="minor"/>
      </rPr>
      <t>The use of the following materials shall be prohibited:</t>
    </r>
  </si>
  <si>
    <t>Asbestos-containing materials</t>
  </si>
  <si>
    <t>Urea-formaldehyde foam insulation</t>
  </si>
  <si>
    <t>13.107.3</t>
  </si>
  <si>
    <r>
      <t xml:space="preserve">13.107.3 Product emissions. </t>
    </r>
    <r>
      <rPr>
        <sz val="10"/>
        <rFont val="Calibri"/>
        <family val="2"/>
        <scheme val="minor"/>
      </rPr>
      <t>At least five types of the following product categories must meet their respective section of the Standard referenced below:</t>
    </r>
  </si>
  <si>
    <t>13.107.4</t>
  </si>
  <si>
    <r>
      <t xml:space="preserve">13.107.4 Fireplaces and appliances. </t>
    </r>
    <r>
      <rPr>
        <sz val="10"/>
        <rFont val="Calibri"/>
        <family val="2"/>
        <scheme val="minor"/>
      </rPr>
      <t>Where located within buildings, fireplaces, solid fuel-burning appliances, vented decorative gas appliances, vented gas fireplace heaters and decorative gas appliances for installation in fireplaces shall comply with Sections 107.4.1 through 107.4.5.</t>
    </r>
  </si>
  <si>
    <t>13.107.4.1</t>
  </si>
  <si>
    <r>
      <t xml:space="preserve">13.107.4.1 Venting and combustion air. </t>
    </r>
    <r>
      <rPr>
        <sz val="10"/>
        <rFont val="Calibri"/>
        <family val="2"/>
        <scheme val="minor"/>
      </rPr>
      <t>Fireplaces and fuel-burning appliances shall be vented to the outdoors and shall be provided with combustion air provided from the outdoors in accordance with the International Mechanical Code and the International Fuel Gas Code. Solid-fuel-burning fireplaces shall be provided with a means to tightly close off the chimney flue and combustion air openings when the fireplace is not in use.</t>
    </r>
  </si>
  <si>
    <t>13.107.4.2</t>
  </si>
  <si>
    <r>
      <t xml:space="preserve">13.107.4.2 Wood-fired appliances. </t>
    </r>
    <r>
      <rPr>
        <sz val="10"/>
        <rFont val="Calibri"/>
        <family val="2"/>
        <scheme val="minor"/>
      </rPr>
      <t>Wood stoves and wood-burning fireplace inserts shall be listed and, additionally, shall be labeled in accordance with the applicable requirement.</t>
    </r>
  </si>
  <si>
    <t>Factory-built, wood-burning fireplaces are in accordance with the certification requirements of UL 127.</t>
  </si>
  <si>
    <t>Wood stove and fireplace inserts, as defined in UL 1482 Section 3.8, are in accordance with the certification requirements of UL 1482.</t>
  </si>
  <si>
    <t>13.107.4.3</t>
  </si>
  <si>
    <r>
      <t xml:space="preserve">13.107.4.3 Biomass appliances. </t>
    </r>
    <r>
      <rPr>
        <sz val="10"/>
        <rFont val="Calibri"/>
        <family val="2"/>
        <scheme val="minor"/>
      </rPr>
      <t>Biomass fireplaces, stoves and inserts shall be listed and labeled in accordance with ASTM E 1509 or UL 1482. Biomass furnaces shall be listed and labeled in accordance with CSA B366.1 or UL 391. Biomass boilers shall be listed and labeled in accordance with CSA B366.1 or UL 2523.</t>
    </r>
  </si>
  <si>
    <t>13.107.4.4</t>
  </si>
  <si>
    <r>
      <t xml:space="preserve">13.107.4.4 Gas-fireplaces. </t>
    </r>
    <r>
      <rPr>
        <sz val="10"/>
        <rFont val="Calibri"/>
        <family val="2"/>
        <scheme val="minor"/>
      </rPr>
      <t>Gas-fired fireplaces and direct heating equipment is listed and is installed in accordance with the NFPA 54, ICC IFGC, or the applicable local gas appliance installation code. Gas-fired fireplaces within dwelling units and direct heating equipment are vented to the outdoors.</t>
    </r>
  </si>
  <si>
    <t>13.107.4.5</t>
  </si>
  <si>
    <r>
      <t xml:space="preserve">13.107.4.5 Unvented. </t>
    </r>
    <r>
      <rPr>
        <sz val="10"/>
        <rFont val="Calibri"/>
        <family val="2"/>
        <scheme val="minor"/>
      </rPr>
      <t>Unvented room heaters and unvented decorative appliances, including alcohol burning, shall be prohibited.</t>
    </r>
  </si>
  <si>
    <t>13.107.5</t>
  </si>
  <si>
    <r>
      <t xml:space="preserve">13.107.5 Protection of HVAC system openings. </t>
    </r>
    <r>
      <rPr>
        <sz val="10"/>
        <rFont val="Calibri"/>
        <family val="2"/>
        <scheme val="minor"/>
      </rPr>
      <t>HVAC supply and return duct and equipment openings shall be protected during dust-producing operations of construction.</t>
    </r>
  </si>
  <si>
    <t>13.107.6</t>
  </si>
  <si>
    <r>
      <t xml:space="preserve">13.107.6 Garages. </t>
    </r>
    <r>
      <rPr>
        <sz val="10"/>
        <rFont val="Calibri"/>
        <family val="2"/>
        <scheme val="minor"/>
      </rPr>
      <t>Attached garages are in accordance with the following:</t>
    </r>
  </si>
  <si>
    <t>A continuous air barrier is provided separating the garage space from the conditioned spaces.</t>
  </si>
  <si>
    <t>13.107.7</t>
  </si>
  <si>
    <r>
      <t xml:space="preserve">13.107.7 Spot Ventilation. </t>
    </r>
    <r>
      <rPr>
        <sz val="10"/>
        <rFont val="Calibri"/>
        <family val="2"/>
        <scheme val="minor"/>
      </rPr>
      <t>Exhaust systems shall be provided in accordance with Chapter 5 of the ICC IMC or ASHRAE 62.1.</t>
    </r>
  </si>
  <si>
    <t>13.107.8</t>
  </si>
  <si>
    <t xml:space="preserve">13.107.8 Building Ventilation Systems. </t>
  </si>
  <si>
    <t>13.107.8.1</t>
  </si>
  <si>
    <r>
      <t xml:space="preserve">13.107.8.1 Building Ventilation. </t>
    </r>
    <r>
      <rPr>
        <sz val="10"/>
        <rFont val="Calibri"/>
        <family val="2"/>
        <scheme val="minor"/>
      </rPr>
      <t>Ventilation shall be provided to non-residential spaces in accordance with Chapter 4 of the ICC IMC or ASHRAE 62.1.</t>
    </r>
  </si>
  <si>
    <t>13.107.8.2</t>
  </si>
  <si>
    <r>
      <t xml:space="preserve">13.107.8.2 Air filters. </t>
    </r>
    <r>
      <rPr>
        <sz val="10"/>
        <rFont val="Calibri"/>
        <family val="2"/>
        <scheme val="minor"/>
      </rPr>
      <t>Air filters with a minimum MERV rating of 6 are installed on central forced air systems and are accessible.</t>
    </r>
  </si>
  <si>
    <t>13.107.9</t>
  </si>
  <si>
    <r>
      <t xml:space="preserve">13.107.9 Radon system. </t>
    </r>
    <r>
      <rPr>
        <sz val="10"/>
        <rFont val="Calibri"/>
        <family val="2"/>
        <scheme val="minor"/>
      </rPr>
      <t>Commercial spaces in building located in Zone 1 shall comply with section 902.3.</t>
    </r>
  </si>
  <si>
    <t>13.108</t>
  </si>
  <si>
    <t xml:space="preserve">13.108 Operation, Maintenance, and Building Owner Education. </t>
  </si>
  <si>
    <t>13.108.1</t>
  </si>
  <si>
    <r>
      <t xml:space="preserve">13.108.1 OPERATION AND MAINTENANCE MANUALS FOR TENANTS. </t>
    </r>
    <r>
      <rPr>
        <sz val="10"/>
        <rFont val="Calibri"/>
        <family val="2"/>
        <scheme val="minor"/>
      </rPr>
      <t>Manuals are provided to the initial tenants of the non-residential space regarding the operation, and maintenance of the building. Paper or digital format manuals are to include information regarding those aspects of the building’s maintenance, and operation that are within the area of responsibilities of the respective tenant. One or more responsible parties are to receive a copy of all documentation for archival purposes.</t>
    </r>
  </si>
  <si>
    <t>A narrative detailing the importance of operating in a green building. This narrative is included in all responsible parties’ manuals.</t>
  </si>
  <si>
    <t>A list of practices to conserve water and energy which require maintenance.</t>
  </si>
  <si>
    <t>Information on opportunities to purchase renewable energy from local utilities or national green power providers.</t>
  </si>
  <si>
    <t>Information on local and on-site recycling and hazardous waste disposal programs.</t>
  </si>
  <si>
    <t>Local public transportation options for employees.</t>
  </si>
  <si>
    <t>13.108.2</t>
  </si>
  <si>
    <t>Provisions of this Chapter verified at the time of building Certification for the respective space that shall be maintained as part of the Tenant Finish Out</t>
  </si>
  <si>
    <t>Provisions of this Chapter NOT verified at the time of building Certification for the respective space that shall be included in the Tenant Finish Out Construction Documents.</t>
  </si>
  <si>
    <t>A list of minimum green building material specifications that are to be included in the Tenant Finish Out Construction Documents based on the materials that were installed in the residential portion of the building.</t>
  </si>
  <si>
    <t>Ch. 13</t>
  </si>
  <si>
    <t>Full</t>
  </si>
  <si>
    <t>Core &amp; Shell</t>
  </si>
  <si>
    <r>
      <t xml:space="preserve">13.108.2 TENANT FINISH-OUT MANUAL. </t>
    </r>
    <r>
      <rPr>
        <sz val="10"/>
        <rFont val="Calibri"/>
        <family val="2"/>
        <scheme val="minor"/>
      </rPr>
      <t>Manuals are provided to the tenants of the non-residential space prior to the start of construction regarding the design and construction of the non-residential portion of the building. Paper or digital format manuals are to include information regarding those aspects of the design and construction that are within the area of responsibilities of the respective tenant. One or more responsible parties are to receive a copy of all documentation for archival purposes.</t>
    </r>
  </si>
  <si>
    <r>
      <t xml:space="preserve">611.1.1 Industry-wide declaration. </t>
    </r>
    <r>
      <rPr>
        <sz val="10"/>
        <color theme="1"/>
        <rFont val="Calibri"/>
        <family val="2"/>
      </rPr>
      <t xml:space="preserve">A Type III industry-wide environmental product declaration (EPD) is submitted for each product. Where the program operator explicitly recognizes the EPD as representative of the product group on a National level, it is considered industry-wide. In the case where an industry-wide EPD represents only a subset of an industry group, as opposed to being industry-wide, the manufacturer is required be explicitly recognized as a participant by the EPD program operator. All EPDs are required to be consistent with ISO Standards 14025 and 21930 with at least a cradle-to-gate scope. </t>
    </r>
    <r>
      <rPr>
        <b/>
        <sz val="10"/>
        <color theme="1"/>
        <rFont val="Calibri"/>
        <family val="2"/>
      </rPr>
      <t>(Each product complying with Section 611.1.1 shall be counted as one product for compliance with Section 611.1.)</t>
    </r>
  </si>
  <si>
    <r>
      <t xml:space="preserve">611.1.2 Product Specific Declaration. </t>
    </r>
    <r>
      <rPr>
        <sz val="10"/>
        <color theme="1"/>
        <rFont val="Calibri"/>
        <family val="2"/>
      </rPr>
      <t xml:space="preserve">A product specific Type III EPD are submitted for each product. The product specific declaration shall be manufacturer specific for an individual product or product family. All Type III EPDs are required to be certified as complying, at a minimum, with the goal and scope for the cradle-to-gate requirements in accordance with ISO Standards 14025 and 21930.  </t>
    </r>
    <r>
      <rPr>
        <b/>
        <sz val="10"/>
        <color theme="1"/>
        <rFont val="Calibri"/>
        <family val="2"/>
      </rPr>
      <t>(Each product complying with Section 611.1.2 shall be counted as two products for compliance with Section 611.1.)</t>
    </r>
  </si>
  <si>
    <r>
      <t>902.3.1 Radon reduction option.</t>
    </r>
    <r>
      <rPr>
        <sz val="10"/>
        <rFont val="Calibri"/>
        <family val="2"/>
        <scheme val="minor"/>
      </rPr>
      <t xml:space="preserve"> This option requires section 902.3.1.1 through 902.3.1.7.</t>
    </r>
  </si>
  <si>
    <t>5.0.0</t>
  </si>
  <si>
    <t>2006 IRC</t>
  </si>
  <si>
    <r>
      <t>801.1 Mandatory requirements.</t>
    </r>
    <r>
      <rPr>
        <sz val="10"/>
        <color theme="1"/>
        <rFont val="Calibri"/>
        <family val="2"/>
        <scheme val="minor"/>
      </rPr>
      <t xml:space="preserve"> The building shall comply with Section 802 (Prescriptive Path) and 803 (Innovative Practices) or Section 804 (Performance Path). Points from Section 804 (Performance Path) shall not be combined with points from Section 802 (Prescriptive Path) or Section 803 (Innovative Practices). The mandatory provisions of Section 802 (Prescriptive Path) are required when using the Water Rating Index of Section 804 (Performance Path) for Chapter 8 Water Efficiency compliance.</t>
    </r>
  </si>
  <si>
    <t>If Core &amp; Shell is selected, the project will undergo a Rough inspection. If Full Fit-Out is selected, the project will undergo both Rough and Final inspections. This page can be used for both parts of the Verification phase.</t>
  </si>
  <si>
    <t>COMMERCIAL SPACE:</t>
  </si>
  <si>
    <r>
      <t xml:space="preserve">If the project is pursuing Commercial Space certification, either Core &amp; Shell or Full Fit-Out, complete verification using the </t>
    </r>
    <r>
      <rPr>
        <b/>
        <sz val="11"/>
        <color theme="1"/>
        <rFont val="Calibri"/>
        <family val="2"/>
        <scheme val="minor"/>
      </rPr>
      <t>Ver. Rpt. (Commercial)</t>
    </r>
    <r>
      <rPr>
        <sz val="11"/>
        <color theme="1"/>
        <rFont val="Calibri"/>
        <family val="2"/>
        <scheme val="minor"/>
      </rPr>
      <t xml:space="preserve"> page. At the top of the page, select the pathway pursued.</t>
    </r>
  </si>
  <si>
    <t>other points:</t>
  </si>
  <si>
    <t>reduced:</t>
  </si>
  <si>
    <t>temp points:</t>
  </si>
  <si>
    <t>Points Reduced</t>
  </si>
  <si>
    <r>
      <t>705.6.2.1 Air leakage validation of building or dwelling units or sleeping units.</t>
    </r>
    <r>
      <rPr>
        <sz val="10"/>
        <color theme="1"/>
        <rFont val="Calibri"/>
        <family val="2"/>
        <scheme val="minor"/>
      </rPr>
      <t xml:space="preserve"> A visual inspection is performed as described in 701.4.3.2(2) and air leakage testing is performed in accordance with ASTM E779 or ASTM E1827.</t>
    </r>
  </si>
  <si>
    <t>Table 703.2.5.2(a),
703.2.5.2(b), 
703.2.5.2(c)</t>
  </si>
  <si>
    <t>Date(s) of Visit</t>
  </si>
  <si>
    <t>Number of Units Available for Inspection</t>
  </si>
  <si>
    <t>Number of Units Inspected (Identify Initial Set and Sampled)</t>
  </si>
  <si>
    <r>
      <rPr>
        <b/>
        <sz val="11"/>
        <color theme="1"/>
        <rFont val="Calibri"/>
        <family val="2"/>
        <scheme val="minor"/>
      </rPr>
      <t>Sampled Units</t>
    </r>
    <r>
      <rPr>
        <sz val="11"/>
        <color theme="1"/>
        <rFont val="Calibri"/>
        <family val="2"/>
        <scheme val="minor"/>
      </rPr>
      <t xml:space="preserve"> – If sampling was performed, either complete table below </t>
    </r>
    <r>
      <rPr>
        <u/>
        <sz val="11"/>
        <color theme="1"/>
        <rFont val="Calibri"/>
        <family val="2"/>
        <scheme val="minor"/>
      </rPr>
      <t>or</t>
    </r>
    <r>
      <rPr>
        <sz val="11"/>
        <color theme="1"/>
        <rFont val="Calibri"/>
        <family val="2"/>
        <scheme val="minor"/>
      </rPr>
      <t xml:space="preserve"> submit separate file (Excel or Word) with notes about which units were available and sampled.</t>
    </r>
  </si>
  <si>
    <t>Electric</t>
  </si>
  <si>
    <t xml:space="preserve">    ductwork entirely inside the building's thermal envelope</t>
  </si>
  <si>
    <t>choice:</t>
  </si>
  <si>
    <t>Building includes commercial space pursuing Commercial Space certification?</t>
  </si>
  <si>
    <t>dstCommercial</t>
  </si>
  <si>
    <t>ddCommercial</t>
  </si>
  <si>
    <t>verCommercial</t>
  </si>
  <si>
    <t>2009 IBC</t>
  </si>
  <si>
    <t>2012 IBC</t>
  </si>
  <si>
    <t>2015 IBC</t>
  </si>
  <si>
    <t>2018 IBC</t>
  </si>
  <si>
    <t>ddBuildingCodeMF</t>
  </si>
  <si>
    <t>NOTE: For Core &amp; Shell projects, practice is required if ducts are installed.</t>
  </si>
  <si>
    <t>Section C402.4 of the IECC</t>
  </si>
  <si>
    <t>NOTE: For Code &amp; Shell projects, practice is recommended but not required.</t>
  </si>
  <si>
    <r>
      <t xml:space="preserve">505.5 Multifamily &amp; mixed-use community garden(s). </t>
    </r>
    <r>
      <rPr>
        <sz val="10"/>
        <color theme="1"/>
        <rFont val="Calibri"/>
        <family val="2"/>
        <scheme val="minor"/>
      </rPr>
      <t>A portion of the lot is established as a community garden(s), available to residents of the lot, to provide for local food production to residents or area consumers.</t>
    </r>
  </si>
  <si>
    <r>
      <t xml:space="preserve">602.1.1.1 </t>
    </r>
    <r>
      <rPr>
        <sz val="10"/>
        <color theme="1"/>
        <rFont val="Calibri"/>
        <family val="2"/>
        <scheme val="minor"/>
      </rPr>
      <t>A capillary break and vapor retarder are installed at concrete slabs in accordance with ICC IRC Sections R506.2.2 and R506.2.3 or ICC IBC Sections 1907 and 1805.4.1.</t>
    </r>
  </si>
  <si>
    <t>ERI Target</t>
  </si>
  <si>
    <r>
      <t>701.1 Mandatory requirements.</t>
    </r>
    <r>
      <rPr>
        <sz val="10"/>
        <color theme="1"/>
        <rFont val="Calibri"/>
        <family val="2"/>
        <scheme val="minor"/>
      </rPr>
      <t xml:space="preserve"> The building shall comply with Section 702 (Performance Path), Section 703 (Prescriptive Path), or Section 704 (ERI Target Path). Items listed as “mandatory” in Section 701.4 apply to all Paths. Unless otherwise noted, buildings in the Tropical Climate Zone shall comply with Climate Zone 1 requirements.</t>
    </r>
  </si>
  <si>
    <r>
      <t>701.2 Emerald level points.</t>
    </r>
    <r>
      <rPr>
        <sz val="10"/>
        <color theme="1"/>
        <rFont val="Calibri"/>
        <family val="2"/>
        <scheme val="minor"/>
      </rPr>
      <t xml:space="preserve"> The Performance Path (Section 702) or the ERI Target Path (Section 704) shall be used to achieve the emerald level.</t>
    </r>
  </si>
  <si>
    <r>
      <t>702.1</t>
    </r>
    <r>
      <rPr>
        <sz val="10"/>
        <color theme="1"/>
        <rFont val="Calibri"/>
        <family val="2"/>
        <scheme val="minor"/>
      </rPr>
      <t xml:space="preserve"> </t>
    </r>
    <r>
      <rPr>
        <b/>
        <sz val="10"/>
        <color theme="1"/>
        <rFont val="Calibri"/>
        <family val="2"/>
        <scheme val="minor"/>
      </rPr>
      <t xml:space="preserve">Point allocation. </t>
    </r>
    <r>
      <rPr>
        <sz val="10"/>
        <color theme="1"/>
        <rFont val="Calibri"/>
        <family val="2"/>
        <scheme val="minor"/>
      </rPr>
      <t>Points from Section 702 (Performance Path) shall not be combined with points from Section 703 (Prescriptive Path) or Section 704 (ERI Target Path).</t>
    </r>
  </si>
  <si>
    <t>704 ERI TARGET PATH</t>
  </si>
  <si>
    <t xml:space="preserve">NOTE: In the assigned Notes area, list products that comply with manufacturers and ISO registrars. </t>
  </si>
  <si>
    <t>_1</t>
  </si>
  <si>
    <t>_2</t>
  </si>
  <si>
    <t>leakage</t>
  </si>
  <si>
    <t>• A batch can either consist of single-family homes or multifamily buildings; however, only NGBS Green Master Verifiers can batch multifamily.</t>
  </si>
  <si>
    <t>• All buildings must have substantially the same construction type and the same heating and cooling systems.</t>
  </si>
  <si>
    <t>• All inspections of the same type (rough or final) must be completed before submitting the report. All buildings must be inspected, and the inspection dates need to be included for each address.</t>
  </si>
  <si>
    <t>• All buildings within a batch listed earn the same certification level. Mandatory practices and points are only awarded for items that all buildings meet. Where applicable, the energy efficiency report for the worst-case in the batch must be submitted and values entered within the verification report.</t>
  </si>
  <si>
    <t>Air leakage from 701.4.3.2 or 705.6.2.1:</t>
  </si>
  <si>
    <t>Electric Heat Pump Heating for Multifamily Buildings Four or More Stories in Height</t>
  </si>
  <si>
    <t>Sampling rate is potentially below threshold required within Home Innovation’s Sampling Protocol. NGBS Green Master Verifiers and Experienced Multifamily Verifiers (1,000+ verified units) are eligible to verify at a lower rate. See VRG for more details.</t>
  </si>
  <si>
    <t>Sampling rate is below threshold required within Home Innovation’s Sampling Protocol. See VRG for more details.</t>
  </si>
  <si>
    <t>611 PRODUCT DECLARATIONS</t>
  </si>
  <si>
    <t>ICC IRC F plus fan</t>
  </si>
  <si>
    <t>Final WRI Score</t>
  </si>
  <si>
    <t>water path:</t>
  </si>
  <si>
    <t>[Points shall not be awarded in this section for solar thermal or geothermal systems that provide space heating, space cooling, or water heating, Points for these systems are awarded in Section 703.]</t>
  </si>
  <si>
    <t>[Where onsite renewable energy is included in Section 702 Performance Path or 704 ERI Target Path, Section 706.5 shall not be awarded.]</t>
  </si>
  <si>
    <t>© Home Innovation Research Labs, Inc., 2020. All rights reserved.</t>
  </si>
  <si>
    <t>NOTE: List which options from C406 that were met in the assigned Notes field.</t>
  </si>
  <si>
    <t>For a component to comply with this practice, a minimum of 75 percent of all products in that component category must be sourced regionally, e.g., stone veneer category – 75 percent or more of the stone veneer on a project must be sourced regionally.</t>
  </si>
  <si>
    <t>Major component</t>
  </si>
  <si>
    <t>Minor component</t>
  </si>
  <si>
    <t>2 per each component</t>
  </si>
  <si>
    <t>1 per each component</t>
  </si>
  <si>
    <t>Points awarded shall not be combined with points for renewable energy in another section of this chapter. Points shall not be awarded for solar thermal or geothermal systems that provide space heating, space cooling, or water heating, points for these systems are awarded in § 703. Where onsite renewable energy is included in § 702 Performance Path or 704 ERI Target Path, § 706.5 shall not be awarded. The solar-ready zone roof area in #1 is area per dwelling unit. Points in item #2 and #3 shall be divided by the number of dwelling units.</t>
  </si>
  <si>
    <t>128 ounces (1 gallons) [per 802.1(1)]</t>
  </si>
  <si>
    <t>64 ounces (0.5 gallon) [per 802.1(2)]</t>
  </si>
  <si>
    <t>32 ounces (0.25 gallon) [per 802.1(3)]</t>
  </si>
  <si>
    <t>24 ounces  (0.19 gallons [per 802.1(4)]</t>
  </si>
  <si>
    <t>a. Maximum pipe length figures apply when the entire pipe run is one nominal diameter only. Where multiple pipe diameters are used, the combined volume shall not exceed the volume limitation in Section 802.1.</t>
  </si>
  <si>
    <t>1 SF / 4 MF</t>
  </si>
  <si>
    <r>
      <t>905.4 Sound barrier.</t>
    </r>
    <r>
      <rPr>
        <sz val="10"/>
        <rFont val="Calibri"/>
        <family val="2"/>
        <scheme val="minor"/>
      </rPr>
      <t xml:space="preserve"> Provide room-to-room privacy between bedrooms and adjacent living spaces within dwelling units or homes by achieving an articulation index (AI) between 0 and 0.15 per the criteria below. </t>
    </r>
    <r>
      <rPr>
        <b/>
        <sz val="10"/>
        <rFont val="Calibri"/>
        <family val="2"/>
        <scheme val="minor"/>
      </rPr>
      <t xml:space="preserve">
</t>
    </r>
    <r>
      <rPr>
        <i/>
        <sz val="10"/>
        <rFont val="Calibri"/>
        <family val="2"/>
        <scheme val="minor"/>
      </rPr>
      <t>Articulation Index 0 to 0.05 = STC greater than 55 (NIC greater than 47)
Articulation Index 0.05 to 0.15 = STC 52 to 55 (NIC 44 to 47)</t>
    </r>
  </si>
  <si>
    <r>
      <t>701.1.4 Alternative bronze and silver level compliance</t>
    </r>
    <r>
      <rPr>
        <sz val="10"/>
        <color theme="1"/>
        <rFont val="Calibri"/>
        <family val="2"/>
        <scheme val="minor"/>
      </rPr>
      <t>. As an alternative, any building that qualifies as an ENERGY STAR Version 3.0 Certified Home or ENERGY STAR Multifamily High Rise Version 1.0 Rev. 03 building or demonstrates compliance with the 2018 IECC or Chapter 11 of the 2018 IRC achieves the bronze level for Chapter 7. As an alternative, any building that qualifies as an ENERGY STAR Version 3.1 Certified Home or ENERGY STAR Multifamily High Rise Version 1.0 Rev. 03 (with the baseline at ASHRAE 90.1-2010) building achieves the silver level for Chapter 7. As an alternative in the Tropical Climate Zone, any building that meets all of the requirements in IECC Section R401.2.1 (Tropical Zone) achieves the silver level for Chapter 7. The buildings achieving compliance under Section 701.1.4 are not eligible for achieving a rating level above silver.</t>
    </r>
  </si>
  <si>
    <t>_m</t>
  </si>
  <si>
    <t>NOTE: Identify the LCA tool utilized and the person who completed the analysis.</t>
  </si>
  <si>
    <t>Note: Explain N/A</t>
  </si>
  <si>
    <t>901 POLLUTANT SOURCE CONTROL</t>
  </si>
  <si>
    <t>Testing is performed with a commercially available test kit or with a continuous radon monitor that can be calibrated. Testing shall be in accordance with the testing device manufacturer’s instructions.</t>
  </si>
  <si>
    <t>A water closet is installed with an effective flush volume of 1.28 gallons (4.85 L) or less in accordance with ASME A112.19.2/CSA B45.1 or ASME A112.19.14 as applicable. Tank-type water closets shall be in accordance with the performance criteria of the U.S. EPA WaterSense Specification for Tank-Type Toilets.</t>
  </si>
  <si>
    <t>This tool follows 3 distinct phases: the Design phase, Rough Verification, and Final Verification.
While the Design Phase is not required to earn certification, it is helpful in the overall process.
Two Verification phases ARE required, with one occurring following rough-in and the second occurring after construction is complete.</t>
  </si>
  <si>
    <r>
      <t xml:space="preserve">501.1 Lot. </t>
    </r>
    <r>
      <rPr>
        <sz val="10"/>
        <color theme="1"/>
        <rFont val="Calibri"/>
        <family val="2"/>
      </rPr>
      <t xml:space="preserve"> Lot is selected in accordance with § 501.1(1) or § 501.1(2).</t>
    </r>
  </si>
  <si>
    <t>A lot is selected within a site certified to this Standard or equivalent</t>
  </si>
  <si>
    <t>A lot is selected to minimize environmental impact by one or more of the following:</t>
  </si>
  <si>
    <t>613</t>
  </si>
  <si>
    <t>613 RESILIENT CONSTRUCTION</t>
  </si>
  <si>
    <t>Certificate of Certification for land development. Verify with Home Innovation that site attained NGBS Green certification or verify development is certified by an equivalent program.</t>
  </si>
  <si>
    <t>For (a) evidence that land adjacent to lot was previously developed for at least 5 years previously; for (b) evidence that lot itself was previously developed; and for (c) evidence that lot is a brownfield. Brownfields must be recognized by EPA to earn points.</t>
  </si>
  <si>
    <t>Map showing location of transportation relative to the building on the lot.</t>
  </si>
  <si>
    <t>Map showing distance is based driving from the lot and not from the community entrance.</t>
  </si>
  <si>
    <t>Review of site plan.  Infrastructure in the community should be considered applicable to this practice.</t>
  </si>
  <si>
    <t>Map or approved site plan showing location of committed community resources relative to lot.</t>
  </si>
  <si>
    <t>Documentation: Go to EPA Points for Smart Location Practices. Click OPEN IN MAP VIEWER box in upper right. Enter home address for property seeking certification search box in upper right. Make sure LEGEND button clicked on left side. Use Legend to determine points based on color of the address on map.</t>
  </si>
  <si>
    <t>Site plan showing location of designated bicycle parking and racks.</t>
  </si>
  <si>
    <t>Site plan showing location of car-share services and/or shuttle and possibly contracts or commitment from car sharing companies.</t>
  </si>
  <si>
    <t>Map that shows bike sharing docks are within ½ mile from site OR confirmation that dockless bikes are available to residents. If the latter, please confirm that the dockless bikes are not merely a pilot that might not be continued in the future. Access to scooters are an acceptable alternative to bike sharing.</t>
  </si>
  <si>
    <t>Written project mission statement, goals, and specific team member roles identified. Points can be awarded if the developer of the community establishes a team for this purpose with identified roles and written goals, objectives, and a mission statement, and the covenants for homes built in the community support the mission. 
Verify mission statement includes goals and team member roles. When applicable, it must be subdivision or lot specific. The mission statement may include other green objectives such as energy, but it must include lot design objectives. For lots without environmentally sensitive areas, if a project team is established with identified roles and a written goals, objective, and mission statement, and the building covenants in the community support the mission, points may be awarded.</t>
  </si>
  <si>
    <t>Natural resource inventory that includes lot specific information and is signed by qualified professional.</t>
  </si>
  <si>
    <t>Written conservation plan that includes the lot. There must be high priority resources on the lot or in the development. Examples of high priority resources include trees, waterways, snags, micro-habitats, etc.</t>
  </si>
  <si>
    <t>Statement from professional that s/he directed plan implementation to protect the high priority resources.</t>
  </si>
  <si>
    <t>Evidence of site supervisor training. Review builder’s standard written training program and/or training certificate.</t>
  </si>
  <si>
    <t>Review plan for compliance.</t>
  </si>
  <si>
    <t>Hydrological study report applicable to the lot and statement that the intent of the requirement is met.</t>
  </si>
  <si>
    <t>Report from qualified professional stating intent of the requirement has been met through the site plan.</t>
  </si>
  <si>
    <t>Construction schedule. Verify that schedule limited soil exposure to 14-day EPA guideline or less. Verify visually that the state of the lot is consistent with the schedule. Un-stabilized soil exposure should be limited to 14 days or less if that area will not be further disturbed during a 21-day period. The construction schedule must include specific activities at specific stages to address stabilization.</t>
  </si>
  <si>
    <t>Plans &amp; scopes of work showing alternative means used.</t>
  </si>
  <si>
    <t>Hydrologic study report verifying intent of the requirement has been met.</t>
  </si>
  <si>
    <t>Site assessment and plan that identifies important existing permeable soils, natural drainage ways and other water features. Photos or other document showing water &amp; natural drainage prior to development.</t>
  </si>
  <si>
    <t>Engineer's report showing storm event for which points are claimed will not result in rainwater leaving the lot</t>
  </si>
  <si>
    <t>Lot specific plan by qualified landscape professional for any of these sub practices.</t>
  </si>
  <si>
    <t>The tool, available both online and as a Microsoft Excel spreadsheet format on the WaterSense website (https://www.epa.gov/watersense/water-budget-tool), guides the user through the water budget calculation in three parts. The final part of the tool displays the water allowance and water requirement calculated for the designed landscape. The LWR must be less than the allotted amount for the landscape design to meet the criterion in the specification.</t>
  </si>
  <si>
    <t>Confirm that turf planted is compliant. List of TWCA grasses is available here (https://www.tgwca.org/list-of-qualified-products.html).</t>
  </si>
  <si>
    <t xml:space="preserve">Calculation showing % of lot (minus building footprint &amp; hardscape) that is turf. </t>
  </si>
  <si>
    <t>Landscape plan by qualified landscape professional showing plants and their respective watering needs.</t>
  </si>
  <si>
    <t>Landscape plan by qualified landscape professional. The wind breaks are intended to protect the lot.</t>
  </si>
  <si>
    <t>Pest management plan.</t>
  </si>
  <si>
    <t>Development-wide or lot-specific wildlife management plan by a qualified professional.</t>
  </si>
  <si>
    <t>Lot specific plan showing no sensitive areas.</t>
  </si>
  <si>
    <t>Lot specific plan showing original location of sensitive areas. Plan by qualified professional showing appropriate mitigation or restoration steps.</t>
  </si>
  <si>
    <t>Demolition waste management plan.</t>
  </si>
  <si>
    <t>Review list of practices implemented from 503.3.</t>
  </si>
  <si>
    <t>Review landscape plan to determine which trees and vegetation are designation for preservation.</t>
  </si>
  <si>
    <t>Landscape plan.</t>
  </si>
  <si>
    <t>Invoice or other evidence from qualified arborist.</t>
  </si>
  <si>
    <t>Storm water pollution prevention plan.</t>
  </si>
  <si>
    <t>As-built construction schedule.</t>
  </si>
  <si>
    <t>Invoice or evidence from landscape contractor.</t>
  </si>
  <si>
    <t>Plans and scope of work showing alternative means used.</t>
  </si>
  <si>
    <t>Inspection reports of stormwater best management practices.</t>
  </si>
  <si>
    <t>Document with local regulations.</t>
  </si>
  <si>
    <t>Calculation showing percent of hardscape on the lot included in heat island minimization. Manufacturer’s literature with SRI data.</t>
  </si>
  <si>
    <t>Manufacturer’s literature with SRI data.</t>
  </si>
  <si>
    <t xml:space="preserve">Site and/or landscape plan. For (b) verify operation months for any farmers market and/or farm stand. </t>
  </si>
  <si>
    <t>Plan specs. These points are only available for multifamily.</t>
  </si>
  <si>
    <t xml:space="preserve">Intersection Density = Total number of intersections, including dead ends / Area in square miles. </t>
  </si>
  <si>
    <t>Plan specs showing signage.</t>
  </si>
  <si>
    <t>Plans review.</t>
  </si>
  <si>
    <t>Engineer’s statement of design report showing performance-based design meeting the intent of the practice.</t>
  </si>
  <si>
    <t>Detailed framing or structural plans, material quantity lists and on-site cut lists for framing, structural materials, and sheathing materials are provided.</t>
  </si>
  <si>
    <t>List of materials and manufacture’s literature (unless pre-finished is obvious) that do not get site finished. Note if used at 90%, 50%, or 35% level.</t>
  </si>
  <si>
    <t>Plans/specifications AND scope of work(s) detailing how mandatory requirement has been met. Photo(s) showing installation. Report from certified professional when the building code exceptions are used.</t>
  </si>
  <si>
    <t>Plans showing exterior drain tile for foundation, if applicable. Photo(s) showing installation.</t>
  </si>
  <si>
    <t>If wet insulation is used, provide documentation of moisture content before enclosure.</t>
  </si>
  <si>
    <t>Moisture sampling data by builder or 3rd party.</t>
  </si>
  <si>
    <t>Flooring manufacturer’s recommendations for moisture content. Moisture sampling data by builder or 3rd party.</t>
  </si>
  <si>
    <t>Hygrothermal analysis, such as WUFI.</t>
  </si>
  <si>
    <t>Plans, specification, or scope of work showing WRB or drainage plane.</t>
  </si>
  <si>
    <t>Plans/construction documents showing flashing details at all required locations.</t>
  </si>
  <si>
    <t>Projection factor calculations = overhang width/ height to the overhang (Measure height from sill of window or door to the overhang). See illustration in the definition section of standard.</t>
  </si>
  <si>
    <t>Manufacturer’s literature/specification/labeling showing ASTM compliance. Plans/specifications and scope of work showing installation.</t>
  </si>
  <si>
    <t>Plans showing ice barrier.</t>
  </si>
  <si>
    <t>Manufacturer’s literature demonstrating compliance.</t>
  </si>
  <si>
    <t>Manufacturer’s literature showing ENERGY STAR Cool Roof or equivalent.</t>
  </si>
  <si>
    <t>Manufacturer's literature showing SRI, alongwith slope calculations.</t>
  </si>
  <si>
    <t>List of the type and quantity of salvaged materials used on this building. Demonstrate that the installed cost of the salvaged materials to be = to or &gt;1% of total construction costs.</t>
  </si>
  <si>
    <t>List materials used and manufacturer’s literature showing source and amount of energy used in manufacturing.</t>
  </si>
  <si>
    <t>List the materials or components and manufacturing location used in the home that are extracted, processed, and manufactured within 500 miles.</t>
  </si>
  <si>
    <t>LCA report.</t>
  </si>
  <si>
    <t>Documented whole-building LCA report.</t>
  </si>
  <si>
    <t>Documented ISO 14044 LCA report comparing at least two products intended for the same application.</t>
  </si>
  <si>
    <t>Documented ISO 14044 LCA comparing at least two assemblies intended for the same application.</t>
  </si>
  <si>
    <t>Type III industry-wide environmental product declaration for each product.</t>
  </si>
  <si>
    <t>Type III Environmental Product Declaration for each product.</t>
  </si>
  <si>
    <t>Signed statement and plans by a licensed design professional (such as an architect or an engineer) or equivalent that the design and construction practices implemented in the building enhance the resilience and durability of the structure by designing and building to forces generated by; flooding, snow, wind or seismic (as applicable) to the desired level above the base design.</t>
  </si>
  <si>
    <r>
      <t>Software report indicating at least compliance with the 2018 IECC requirement for the relevant climate location. Acceptable software includes, among others, REM/Rate, Open Studio, or Energy Gauge.</t>
    </r>
    <r>
      <rPr>
        <sz val="10"/>
        <color rgb="FFC00000"/>
        <rFont val="Calibri"/>
        <family val="2"/>
        <scheme val="minor"/>
      </rPr>
      <t xml:space="preserve"> </t>
    </r>
    <r>
      <rPr>
        <sz val="10"/>
        <color theme="1"/>
        <rFont val="Calibri"/>
        <family val="2"/>
        <scheme val="minor"/>
      </rPr>
      <t>The same software report can be used to support performance point claim in Section 702.</t>
    </r>
  </si>
  <si>
    <t xml:space="preserve">ERI report showing confirmed features and energy performance. </t>
  </si>
  <si>
    <t>ENERGY STAR certificate and energy performance report showing confirmed features and energy performance that demonstrates that meeting that the building qualifies for ENERGY STAR and which version, or statement from a qualified energy professional that the building meets the IECC’s Tropical Climate Zone requirements.</t>
  </si>
  <si>
    <t>3rd party report/statement showing design has been reviewed to ensure energy efficient performance or specific prescriptive details are adequately implemented in the building’s design, and to ensure proper integration of various energy efficient technologies. In Climate Zone 1, PE must sign off that the system will maintain the cooling season indoor humidity less than the ASHRAE Simplified method for Design Indoor RH (70%) if the system size is not consistent with Manual S.</t>
  </si>
  <si>
    <t>Software output report for this building using ACCA Manual J AND Manual S or equivalent.</t>
  </si>
  <si>
    <t xml:space="preserve">Statement from qualified professional. </t>
  </si>
  <si>
    <t>For buildings with ducted systems provide product spec or trade contractor’s scope of work to confirm use of duct sealing using UL 181 tape, mastic, gaskets, or an IRC or ICC/IMC approved system.</t>
  </si>
  <si>
    <t>Software output report for this building using ACCA Manual D or equivalent.</t>
  </si>
  <si>
    <t>Blower door report by qualified professional, signed by the party conducting the test.</t>
  </si>
  <si>
    <t>COMcheck.</t>
  </si>
  <si>
    <t>Manufacturer’s literature stating compliance with the practice.</t>
  </si>
  <si>
    <t xml:space="preserve">Energy performance report showing energy savings levels above ICC IECC. See Energy Efficiency Modeling Policy for details on eligible software and accepted approaches. For multifamily projects employing building average or unit-by-unit modeling approaches, submit analysis showing the units modeled and corresponding performance. This can be submitted as an Excel table or another file format. </t>
  </si>
  <si>
    <r>
      <t>Energy performance report showing energy savings levels above ICC IECC. See Energy Efficiency Modeling Policy</t>
    </r>
    <r>
      <rPr>
        <sz val="10"/>
        <color rgb="FFC00000"/>
        <rFont val="Calibri"/>
        <family val="2"/>
        <scheme val="minor"/>
      </rPr>
      <t xml:space="preserve"> </t>
    </r>
    <r>
      <rPr>
        <sz val="10"/>
        <color theme="1"/>
        <rFont val="Calibri"/>
        <family val="2"/>
        <scheme val="minor"/>
      </rPr>
      <t>for details on eligible software and accepted approaches. For multifamily projects employing building average or unit-by-unit modeling approaches, submit analysis showing the units modeled and corresponding performance. This can be submitted as an Excel table or another file format. The 2018 IECC must be the basis for this analysis.
Ekotrope has a 2020 NGBS Green report that demonstrates compliance with this practice. RemRate is working on developing a 2020 NGBS report.</t>
    </r>
  </si>
  <si>
    <t>Energy analysis report.</t>
  </si>
  <si>
    <t>RESCheck or COMCheck or other equivalent analysis method showing the percent improvement for UA improvement over an analysis using the values provided in Table 703.1.1(a). For projects that used to use 2012 NGBS 701.1.3 Alternative bronze level compliance, this is the practice that you may now want to consider for 2015 NGBS Chapter 7 compliance. Compliance with 701.1.1 earns 30 points toward Bronze certification.</t>
  </si>
  <si>
    <t>RESCheck or COMCheck or other equivalent analysis method demonstrating compliance.</t>
  </si>
  <si>
    <t>R402.4.1.2 Testing. The building or dwelling unit shall be tested and verified as having an air leakage rate of not exceeding 5 air changes per hour in Climate Zones 1 and 2, and 3 air changes per hour in Climate Zones 3 through 8. Testing shall be conducted with a blower door at a pressure of 0.2 inches w.g. (50 Pascals).</t>
  </si>
  <si>
    <t>RESCheck 4.0.1 or other equivalent analysis method showing the percent improvement for UA improvement over an analysis using the values provided in Table 703.2.1(a). Documentation of 3rd party insulation installation grading results.</t>
  </si>
  <si>
    <t>Manufacturer’s literature indicating conformance to ASTM C1371.</t>
  </si>
  <si>
    <t>Test report showing ACH50 or ELR50.</t>
  </si>
  <si>
    <t>Manufacturer’s literature. For products to comply, it is not simply enough for them to have an ENERGY STAR label. The product must meet the ENERGY STAR product specifications in Chapter 14. Verifiers must ensure that the products/appliances installed meet these eligibility criteria.</t>
  </si>
  <si>
    <t>3rd party duct leakage test report.</t>
  </si>
  <si>
    <t>Manufacturer’s literature or labels, or documentation demonstrating equivalent to ENERGY STAR requirements. For products to comply, it is not simply enough for them to have an ENERGY STAR label. The product must meet the ENERGY STAR product specifications in Chapter 14. Verifiers must ensure that the products/appliances installed meet these eligibility criteria.</t>
  </si>
  <si>
    <t>Manufacturer’s literature or labels. For products to comply, it is not simply enough for them to have an ENERGY STAR label. The product must meet the ENERGY STAR product specifications in Chapter 14. Verifiers must ensure that the products/appliances installed meet these eligibility criteria.</t>
  </si>
  <si>
    <t>Window label or other documentation showing glazing.</t>
  </si>
  <si>
    <t>EPA National ERI Target Procedure.</t>
  </si>
  <si>
    <t>Point calculation using the EPA Procedure above.</t>
  </si>
  <si>
    <t>Building plans.</t>
  </si>
  <si>
    <t>Completed ENERGY STAR checklists.</t>
  </si>
  <si>
    <t>HVAC design documents and plans.</t>
  </si>
  <si>
    <t>Report signed by qualified 3rd party showing design and actual flows at each supply and return indicating compliance with balanced flow requirement.</t>
  </si>
  <si>
    <t>Building plan review.</t>
  </si>
  <si>
    <t>For (1) contract with benchmarking service at least 1 year in duration.</t>
  </si>
  <si>
    <t>For (2) proof of a Portfolio Manager account for the building.</t>
  </si>
  <si>
    <t>For products to comply, it is not enough solely to have an ENERGY STAR label. The product must meet the ENERGY STAR product specifications in Chapter 14 REFERENCED DOCUMENTS. Verifiers must ensure that the products/appliances installed meet the program performance criteria.</t>
  </si>
  <si>
    <t>Review irrigation plan and confirm prepared by qualified professional.</t>
  </si>
  <si>
    <t>Nozzle performance test results by an accredited third-party laboratory and results are posted on Smart Water Application Technologies (https://www.epa.gov/watersense/water-budget-tool) website or similar.</t>
  </si>
  <si>
    <t>Plan and statement from WaterSense professional indicating compliance.</t>
  </si>
  <si>
    <t>Written report from a qualified water commissioning agent that the irrigation system meets any of the above practices.</t>
  </si>
  <si>
    <t>Building and/or site plan.</t>
  </si>
  <si>
    <t>Manufacturer’s specifications.</t>
  </si>
  <si>
    <t>Confirm greywater reclaimed or recycled is compliant with IRC Appendix O and as permitted by local building code.</t>
  </si>
  <si>
    <t>See WRI VRG section for more details</t>
  </si>
  <si>
    <t>Manufacturer’s literature or label on product.</t>
  </si>
  <si>
    <t>Manufacturer’s literature showing 3rd party certification.</t>
  </si>
  <si>
    <t>Scope of work or specification showing products to be installed.</t>
  </si>
  <si>
    <t>Scope of work or specification showing products to be installed. Manufacturer's literature showing 3rd party certification.</t>
  </si>
  <si>
    <t>Manufacturer’s literature showing 3rd party certification for other materials. Scope of work or specification showing products to be installed.</t>
  </si>
  <si>
    <t>List of interior coatings used, amount used, %, and VOC criteria. Manufacturer’s literature showing VOC. Scopes of work or specifications showing which materials were to be used.</t>
  </si>
  <si>
    <t>List of all colorants used, amount used, %, and VOC criteria. Manufacturer’s literature showing VOC as listed. Scopes of work or specifications showing which materials were to be used.</t>
  </si>
  <si>
    <t>List of interior coatings used, amount used, %, and VOC criteria. Manufacturer’s literature showing VOC and product certification. Scopes of work or specifications showing which materials were to be used.</t>
  </si>
  <si>
    <t>List of all interior sealants used, amount, %, and VOC criteria. Manufacturer’s literature showing VOC and product certification when applicable.</t>
  </si>
  <si>
    <t>Manufacturer’s literature or product marking showing compliance.</t>
  </si>
  <si>
    <t>Manufacturer’s literature or product marking showing compliance with UL 2034 and UL 217.</t>
  </si>
  <si>
    <t>3rd party test report showing compliance as installed.</t>
  </si>
  <si>
    <t>ENERGY STAR label or literature for basic fans or fans below 1 sone. For products to comply, it is not enough to have an ENERGY STAR label. The product must meet the ENERGY STAR product specifications in Chapter 14. Verifiers must ensure that the products/appliances installed meet these eligibility criteria.</t>
  </si>
  <si>
    <t xml:space="preserve">Review building plans and confirm that the calculations on the plan. </t>
  </si>
  <si>
    <t>Statement from qualified professional indicating system complies with Appendix B. Confirm that relevant building manual includes explanation of the operation and importance of the ventilation system.</t>
  </si>
  <si>
    <t>None for passive system. Plans/specifications for active systems.</t>
  </si>
  <si>
    <t>Review completed radon test results and ensure that the result is included with the construction documents in the building manual. Verifier must confirm that radon test complies with all requirements of practice.</t>
  </si>
  <si>
    <t>Review plans for location of secondary filter rack.</t>
  </si>
  <si>
    <t>Building plans should confirm the intent to have a sound barrier that meets the criteria above.</t>
  </si>
  <si>
    <t>Confirm on building plans and check manufacturer literature to confirm lamp enclosure is NEMA-rated.</t>
  </si>
  <si>
    <t>Verifier should review homeowner’s manual that addresses the required 3 items and any of the listed additional optional items.</t>
  </si>
  <si>
    <t>Verifier must review building construction manual that addresses the mandatory 3 items (a certificate placeholder is acceptable) plus at least 2 of the listed additional optional items. Verify the expected process to deliver manual(s) to the responsible party.</t>
  </si>
  <si>
    <t>Review the operations manual that includes both mandatory items and at least 2 from the list of optional items.</t>
  </si>
  <si>
    <t>Review the maintenance manual that addresses the mandatory item and at least 4 of the optional items.</t>
  </si>
  <si>
    <t>Review of the manual that addresses the mandatory items and the additional items for points.</t>
  </si>
  <si>
    <t xml:space="preserve">Review of training outline, video, or website for occupants. </t>
  </si>
  <si>
    <t>Visual confirmation and/or photos of the construction signs visible on site during construction.</t>
  </si>
  <si>
    <t>Photos, screen shots of web pages, or copies of marketing materials that include www.ngbs.com.</t>
  </si>
  <si>
    <t>Analysis or reports from appropriate building modeling software used during design by the design team to estimate expected annual energy and water use for the building. The expected energy and water use will set the performance baseline for the building and the calculations must be included in the building owner’s manual.
	Building owner’s manual must include a plan where actual energy and water use can be compared to the expected energy and water use. The plan must provide for measurement and verification of the energy and water use at least every four years after initial occupancy. The building owner can select to review energy and water use at a more frequent schedule. Further, if the building owner’s manual must energy or water use exceed the design baseline by more than 20% on an annualized basis, the owner will further investigate and resolve any issues found or recommend further corrections or modifications to meet the efficiency standards.</t>
  </si>
  <si>
    <t>Verification system, such as automated monitoring equipment, is installed that provides a means to measure energy and water usage.</t>
  </si>
  <si>
    <t>Review of Form 820.05.</t>
  </si>
  <si>
    <t>Construction activities are scheduled such that disturbed soil that is to be left unworked for more than 21 days is stabilized within 14 days.</t>
  </si>
  <si>
    <t xml:space="preserve">NGBS Green is a site-verified certification. All homes or buildings seeking certification must undergo visually inspection and testing by an accredited NGBS Green Verifier. Each building typically has two inspections—a rough inspection before drywall is installed and another once construction has been completed. Some practices will require site inspection, while others require a combination of site inspection and documentation or testing by a qualified professional. Documents, plans, and specifications are required for verification. See below for the documentation that the verifier will need to award points toward certification. </t>
  </si>
  <si>
    <t>Check photo or Google maps for neighboring buildings or other development.</t>
  </si>
  <si>
    <t>Look for sidewalk in foreground or check Google Maps.</t>
  </si>
  <si>
    <t>Use best judgment to confirm slope angle.</t>
  </si>
  <si>
    <t>Look for retaining walls and similar.</t>
  </si>
  <si>
    <t>For single-family, look for downspout system. (Multifamily buildings may not have visible system.)</t>
  </si>
  <si>
    <t>Does the photo show that plants have been installed? Do the plants look reasonable for the local climate (use your best judgment)?</t>
  </si>
  <si>
    <t xml:space="preserve">Does the photo show that plants have been installed? </t>
  </si>
  <si>
    <t>Does the photo show that turf has been installed?</t>
  </si>
  <si>
    <t>Are similar plants grouped?</t>
  </si>
  <si>
    <t>Do you see shade trees installed near building walls?</t>
  </si>
  <si>
    <t xml:space="preserve">Do you see trees installed as wind break? </t>
  </si>
  <si>
    <t>At rough, is a mulch pile or similar evident?</t>
  </si>
  <si>
    <t>Can you see any wildlife habitat, gardens, or outdoor lighting?</t>
  </si>
  <si>
    <t>Can you see any environmentally sensitive areas that may have been impacted by construction?</t>
  </si>
  <si>
    <t>Look for fencing around trees. Look at condition of preserved trees.</t>
  </si>
  <si>
    <t>Look for silt fence. Is it present? Does it appear damaged?</t>
  </si>
  <si>
    <t>Look for silt fence and safety fencing. Is it present? Does it appear damaged?</t>
  </si>
  <si>
    <t>Can you see a pile of topsoil?</t>
  </si>
  <si>
    <t>Look at length of driveway in photo or Google Maps.</t>
  </si>
  <si>
    <t>Look for parking garage.</t>
  </si>
  <si>
    <t>Look for trees or other shading.</t>
  </si>
  <si>
    <t>Look for concrete driveway.</t>
  </si>
  <si>
    <t>Look for white or light colored roof.</t>
  </si>
  <si>
    <t>Look at photo and the number of units entered on the 'Overview' tab. Does the number of units seem reasonable based on the photo?</t>
  </si>
  <si>
    <t>Can you see retail space (typically on the 1st floor)?</t>
  </si>
  <si>
    <t>Look at the size of the building and, if multifamily, the number of units. Does the unit size seem reasonable?</t>
  </si>
  <si>
    <t>Is the building 2 or more stories in height?</t>
  </si>
  <si>
    <t>Look for Tyvek or green OSB walls with tape.</t>
  </si>
  <si>
    <t>Look for flashing around windows, doors, and other locations.</t>
  </si>
  <si>
    <t>Look at front door and estimate # covered doors. (Garage entrance should not be counted.)</t>
  </si>
  <si>
    <t>Look for roof overhangs.</t>
  </si>
  <si>
    <t>Do you see any flat surfaces where water may pool?</t>
  </si>
  <si>
    <t>Look for a vegetated roof system.</t>
  </si>
  <si>
    <t>Look for gutters and downspouts.</t>
  </si>
  <si>
    <t>Look at the slope and confirm (use your best judgment).</t>
  </si>
  <si>
    <t>Look for drains and swales.</t>
  </si>
  <si>
    <t>Look for steps at entry doors.</t>
  </si>
  <si>
    <t>Look for window shades.</t>
  </si>
  <si>
    <t>Look for trellises, awnings, and other shading.</t>
  </si>
  <si>
    <t>Look for overhangs.</t>
  </si>
  <si>
    <t>Look for outdoor lighting.</t>
  </si>
  <si>
    <t>Look for solar panels or other renewable energy system.</t>
  </si>
  <si>
    <t>Look for chimney.</t>
  </si>
  <si>
    <t>Look for garage.</t>
  </si>
  <si>
    <t>Look for mat at entrance. Does it appear to be fixed?</t>
  </si>
  <si>
    <t>instructions</t>
  </si>
  <si>
    <t>_</t>
  </si>
  <si>
    <t xml:space="preserve">    UEF: 0.65 to &lt;0.78</t>
  </si>
  <si>
    <t xml:space="preserve">    UEF: ≥0.78</t>
  </si>
  <si>
    <t xml:space="preserve">    UEF: 0.89 to &lt; 0.94</t>
  </si>
  <si>
    <t xml:space="preserve">    UEF: ≥0.94</t>
  </si>
  <si>
    <t xml:space="preserve">    UEF: 0.94 to &lt;1.0</t>
  </si>
  <si>
    <t xml:space="preserve">    UEF: 1.0 to &lt;1.5</t>
  </si>
  <si>
    <t xml:space="preserve">    UEF: 1.5 to &lt;2.0</t>
  </si>
  <si>
    <t xml:space="preserve">    UEF: 2.0 to &lt;2.2</t>
  </si>
  <si>
    <t xml:space="preserve">    UEF: 2.2 to &lt;2.5</t>
  </si>
  <si>
    <t xml:space="preserve">    UEF: 2.5 to &lt;3.0</t>
  </si>
  <si>
    <t xml:space="preserve">    UEF: ≥3.0</t>
  </si>
  <si>
    <t xml:space="preserve">    UEF: 3.0 to &lt;3.5</t>
  </si>
  <si>
    <t xml:space="preserve">    UEF: ≥3.5</t>
  </si>
  <si>
    <t>Percent above NGBS Reference Home:</t>
  </si>
  <si>
    <t>Points = 30 + (percent above NGBS Reference Home) * 2</t>
  </si>
  <si>
    <r>
      <t>703.1.3 Duct Testing.</t>
    </r>
    <r>
      <rPr>
        <sz val="10"/>
        <color theme="1"/>
        <rFont val="Calibri"/>
        <family val="2"/>
        <scheme val="minor"/>
      </rPr>
      <t xml:space="preserve">  The duct system is in accordance with IECC R403.3.2 through R403.3.5 as applicable.</t>
    </r>
  </si>
  <si>
    <r>
      <t>703.1.3 Duct Testing.</t>
    </r>
    <r>
      <rPr>
        <sz val="10"/>
        <color theme="1"/>
        <rFont val="Calibri"/>
        <family val="2"/>
        <scheme val="minor"/>
      </rPr>
      <t xml:space="preserve">  The duct system is in accordance with ICC IECC R403.3.2 through R403.3.5 as applicable.</t>
    </r>
  </si>
  <si>
    <r>
      <t>701.1.1 Minimum Performance Path requirements.</t>
    </r>
    <r>
      <rPr>
        <sz val="10"/>
        <color theme="1"/>
        <rFont val="Calibri"/>
        <family val="2"/>
        <scheme val="minor"/>
      </rPr>
      <t xml:space="preserve"> A building complying with § 702 shall include a minimum of two practices from § 705, or a minimum of one practice from § 705 and a minimum of one practice from § 706.</t>
    </r>
  </si>
  <si>
    <r>
      <t>701.1.2 Minimum Prescriptive Path requirements.</t>
    </r>
    <r>
      <rPr>
        <sz val="10"/>
        <color theme="1"/>
        <rFont val="Calibri"/>
        <family val="2"/>
        <scheme val="minor"/>
      </rPr>
      <t xml:space="preserve"> A building complying with § 703 shall obtain a minimum of 30 points from § 703 and shall include a minimum of two practices from § 705, or a minimum of one practice from § 705 and a minimum of one practice from § 706.</t>
    </r>
  </si>
  <si>
    <r>
      <t xml:space="preserve">701.1.3 ERI Target Path requirements.  </t>
    </r>
    <r>
      <rPr>
        <sz val="10"/>
        <color theme="1"/>
        <rFont val="Calibri"/>
        <family val="2"/>
        <scheme val="minor"/>
      </rPr>
      <t>A building complying with § 704 shall obtain a minimum of 30 points from § 704 and shall include a minimum of two practices from § 705, or a minimum of one practice from § 705 and a minimum of one practice from § 706.</t>
    </r>
    <r>
      <rPr>
        <b/>
        <sz val="10"/>
        <color theme="1"/>
        <rFont val="Calibri"/>
        <family val="2"/>
        <scheme val="minor"/>
      </rPr>
      <t xml:space="preserve">  </t>
    </r>
  </si>
  <si>
    <t>Majority Unconditioned</t>
  </si>
  <si>
    <t>Plan review.</t>
  </si>
  <si>
    <t>Plans/specifications AND scope of work(s) detailing how requirement has been met. Photo(s) showing installation. Report from certified professional when the building code exceptions are used.</t>
  </si>
  <si>
    <t>Plans/specifications showing damp-proofing.</t>
  </si>
  <si>
    <t>Manufacturer’s literature/specification/labeling showing ASTM or other compliance. Plans/specifications and scope of work showing installation.</t>
  </si>
  <si>
    <r>
      <rPr>
        <b/>
        <sz val="10"/>
        <color theme="1"/>
        <rFont val="Calibri"/>
        <family val="2"/>
        <scheme val="minor"/>
      </rPr>
      <t xml:space="preserve">REQUIRED FOR CORE &amp; SHELL. </t>
    </r>
    <r>
      <rPr>
        <sz val="10"/>
        <color theme="1"/>
        <rFont val="Calibri"/>
        <family val="2"/>
        <scheme val="minor"/>
      </rPr>
      <t>None.</t>
    </r>
  </si>
  <si>
    <t>Review construction waste management plan.</t>
  </si>
  <si>
    <r>
      <rPr>
        <b/>
        <sz val="10"/>
        <color theme="1"/>
        <rFont val="Calibri"/>
        <family val="2"/>
        <scheme val="minor"/>
      </rPr>
      <t xml:space="preserve">REQUIRED FOR CORE &amp; SHELL. </t>
    </r>
    <r>
      <rPr>
        <sz val="10"/>
        <color theme="1"/>
        <rFont val="Calibri"/>
        <family val="2"/>
        <scheme val="minor"/>
      </rPr>
      <t>See corresponding Chapter 6 practice.</t>
    </r>
  </si>
  <si>
    <r>
      <rPr>
        <b/>
        <sz val="10"/>
        <color theme="1"/>
        <rFont val="Calibri"/>
        <family val="2"/>
        <scheme val="minor"/>
      </rPr>
      <t xml:space="preserve">REQUIRED FOR CORE &amp; SHELL. </t>
    </r>
    <r>
      <rPr>
        <sz val="10"/>
        <color theme="1"/>
        <rFont val="Calibri"/>
        <family val="2"/>
        <scheme val="minor"/>
      </rPr>
      <t>COMcheck analysis.</t>
    </r>
  </si>
  <si>
    <t>REScheck or COMcheck output, for either full building or commercial space.</t>
  </si>
  <si>
    <r>
      <t xml:space="preserve">REQUIRED FOR CORE &amp; SHELL. </t>
    </r>
    <r>
      <rPr>
        <sz val="10"/>
        <color theme="1"/>
        <rFont val="Calibri"/>
        <family val="2"/>
        <scheme val="minor"/>
      </rPr>
      <t>COMcheck or other equivalent analysis method demonstrating compliance.</t>
    </r>
  </si>
  <si>
    <r>
      <rPr>
        <b/>
        <sz val="10"/>
        <color theme="1"/>
        <rFont val="Calibri"/>
        <family val="2"/>
        <scheme val="minor"/>
      </rPr>
      <t>REQUIRED FOR CORE &amp; SHELL.</t>
    </r>
    <r>
      <rPr>
        <sz val="10"/>
        <color theme="1"/>
        <rFont val="Calibri"/>
        <family val="2"/>
        <scheme val="minor"/>
      </rPr>
      <t xml:space="preserve"> Drawing, specifications, scopes of work detailing air sealing that is not readily inspected during the rough inspection.</t>
    </r>
  </si>
  <si>
    <r>
      <rPr>
        <b/>
        <sz val="10"/>
        <color theme="1"/>
        <rFont val="Calibri"/>
        <family val="2"/>
        <scheme val="minor"/>
      </rPr>
      <t>REQUIRED FOR CORE &amp; SHELL.</t>
    </r>
    <r>
      <rPr>
        <sz val="10"/>
        <color theme="1"/>
        <rFont val="Calibri"/>
        <family val="2"/>
        <scheme val="minor"/>
      </rPr>
      <t xml:space="preserve"> None.</t>
    </r>
  </si>
  <si>
    <t>Plan review and manufacturer’s literature.</t>
  </si>
  <si>
    <t>Software output report for this building.</t>
  </si>
  <si>
    <r>
      <rPr>
        <b/>
        <sz val="10"/>
        <color theme="1"/>
        <rFont val="Calibri"/>
        <family val="2"/>
        <scheme val="minor"/>
      </rPr>
      <t xml:space="preserve">REQUIRED FOR CORE &amp; SHELL. </t>
    </r>
    <r>
      <rPr>
        <sz val="10"/>
        <color theme="1"/>
        <rFont val="Calibri"/>
        <family val="2"/>
        <scheme val="minor"/>
      </rPr>
      <t>Plan review.</t>
    </r>
  </si>
  <si>
    <t>Energy performance report showing energy savings levels above ICC IECC. See Energy Efficiency Modeling Policy in VRG Part I for details on eligible software and accepted approaches. This can be submitted as an Excel table or another file format. The 2018 IECC must be the basis for this analysis.</t>
  </si>
  <si>
    <t>Energy performance report showing energy savings levels.</t>
  </si>
  <si>
    <t>Review of manufacturer’s literature for fixtures.</t>
  </si>
  <si>
    <t>Review of manufacturer’s literature.</t>
  </si>
  <si>
    <t>(1) None or (2) review contract.</t>
  </si>
  <si>
    <r>
      <rPr>
        <b/>
        <sz val="10"/>
        <color theme="1"/>
        <rFont val="Calibri"/>
        <family val="2"/>
        <scheme val="minor"/>
      </rPr>
      <t>REQUIRED FOR CORE &amp; SHELL.</t>
    </r>
    <r>
      <rPr>
        <sz val="10"/>
        <color theme="1"/>
        <rFont val="Calibri"/>
        <family val="2"/>
        <scheme val="minor"/>
      </rPr>
      <t xml:space="preserve"> Plan review.</t>
    </r>
  </si>
  <si>
    <t>Refer to the Chapter 9 requirements for the relevant practice.</t>
  </si>
  <si>
    <t>Refer to 902.3 for instructions and guidance. Also see Multifamily Radon Testing Policy.</t>
  </si>
  <si>
    <t>Review manual to make sure it is compliant with sub-practices.</t>
  </si>
  <si>
    <t>NGBS Scoring for New Construction
ICC 700-2020 National Green Building Standard®</t>
  </si>
  <si>
    <r>
      <t xml:space="preserve">This workbook allows you to score a new multifamily or mixed-use building  to the ICC 700-2020 National Green Building Standard®. </t>
    </r>
    <r>
      <rPr>
        <u/>
        <sz val="11"/>
        <color theme="1"/>
        <rFont val="Calibri"/>
        <family val="2"/>
        <scheme val="minor"/>
      </rPr>
      <t>This workbook includes sections for the residential portions of the building, as well as a section for use when commercial space certification is being pursued.</t>
    </r>
    <r>
      <rPr>
        <sz val="11"/>
        <color theme="1"/>
        <rFont val="Calibri"/>
        <family val="2"/>
        <scheme val="minor"/>
      </rPr>
      <t xml:space="preserve"> Use of the NGBS Green Scoring Tool is the required entry point for Home Innovation's NGBS Green Certification. This workbook is intended to be used in conjunction with the publication ICC 700-2020 National Green Building Standard®. Please read the instructions below. </t>
    </r>
    <r>
      <rPr>
        <b/>
        <sz val="11"/>
        <color rgb="FFFF0000"/>
        <rFont val="Calibri"/>
        <family val="2"/>
        <scheme val="minor"/>
      </rPr>
      <t>Excel 2013 or 2016 is required.</t>
    </r>
  </si>
  <si>
    <r>
      <t xml:space="preserve">This workbook allows you to score a new single-family home to the ICC 700-2020 National Green Building Standard®. Use of the NGBS Green Scoring Tool is the required entry point for Home Innovation's NGBS Green Certification. This workbook is intended to be used in conjunction with the publication ICC 700-2020 National Green Building Standard®. Please read the instructions below. </t>
    </r>
    <r>
      <rPr>
        <b/>
        <sz val="11"/>
        <color rgb="FFFF0000"/>
        <rFont val="Calibri"/>
        <family val="2"/>
        <scheme val="minor"/>
      </rPr>
      <t>Excel 2013 or 2016 is required.</t>
    </r>
  </si>
  <si>
    <t>5.0.1</t>
  </si>
  <si>
    <t>fixed some missing dropdowns</t>
  </si>
  <si>
    <t>5.0.2</t>
  </si>
  <si>
    <t>bug fix</t>
  </si>
  <si>
    <t>5.0.3</t>
  </si>
  <si>
    <t>Adjuntas</t>
  </si>
  <si>
    <t>Aguada</t>
  </si>
  <si>
    <t>Aguadilla</t>
  </si>
  <si>
    <t>Aguas Buenas</t>
  </si>
  <si>
    <t>Aibonito</t>
  </si>
  <si>
    <t>Anasco</t>
  </si>
  <si>
    <t>Arecibo</t>
  </si>
  <si>
    <t>Arroyo</t>
  </si>
  <si>
    <t>Barceloneta</t>
  </si>
  <si>
    <t>Barranquitas</t>
  </si>
  <si>
    <t>Bayamon</t>
  </si>
  <si>
    <t>Cabo Rojo</t>
  </si>
  <si>
    <t>Caguas</t>
  </si>
  <si>
    <t>Camuy</t>
  </si>
  <si>
    <t>Canovanas</t>
  </si>
  <si>
    <t>Carolina</t>
  </si>
  <si>
    <t>Catano</t>
  </si>
  <si>
    <t>Cayey</t>
  </si>
  <si>
    <t>Ceiba</t>
  </si>
  <si>
    <t>Ciales</t>
  </si>
  <si>
    <t>Cidra</t>
  </si>
  <si>
    <t>Coamo</t>
  </si>
  <si>
    <t>Comerio</t>
  </si>
  <si>
    <t>Corozal</t>
  </si>
  <si>
    <t>Culebra</t>
  </si>
  <si>
    <t>Dorado</t>
  </si>
  <si>
    <t>Fajardo</t>
  </si>
  <si>
    <t>Guanica</t>
  </si>
  <si>
    <t>Guayama</t>
  </si>
  <si>
    <t>Guayanilla</t>
  </si>
  <si>
    <t>Guaynabo</t>
  </si>
  <si>
    <t>Gurabo</t>
  </si>
  <si>
    <t>Hatillo</t>
  </si>
  <si>
    <t>Hormigueros</t>
  </si>
  <si>
    <t>Humacao</t>
  </si>
  <si>
    <t>Isabela</t>
  </si>
  <si>
    <t>Jayuya</t>
  </si>
  <si>
    <t>Juana Diaz</t>
  </si>
  <si>
    <t>Juncos</t>
  </si>
  <si>
    <t>Lajas</t>
  </si>
  <si>
    <t>Lares</t>
  </si>
  <si>
    <t>Las Marias</t>
  </si>
  <si>
    <t>Las Piedras</t>
  </si>
  <si>
    <t>Loiza</t>
  </si>
  <si>
    <t>Luquillo</t>
  </si>
  <si>
    <t>Manati</t>
  </si>
  <si>
    <t>Maricao</t>
  </si>
  <si>
    <t>Maunabo</t>
  </si>
  <si>
    <t>Mayaguez</t>
  </si>
  <si>
    <t>Moca</t>
  </si>
  <si>
    <t>Morovis</t>
  </si>
  <si>
    <t>Naguabo</t>
  </si>
  <si>
    <t>Naranjito</t>
  </si>
  <si>
    <t>Orocovis</t>
  </si>
  <si>
    <t>Patillas</t>
  </si>
  <si>
    <t>Penuelas</t>
  </si>
  <si>
    <t>Ponce</t>
  </si>
  <si>
    <t>Quebradillas</t>
  </si>
  <si>
    <t>Rincon</t>
  </si>
  <si>
    <t>Rio Grande</t>
  </si>
  <si>
    <t>Sabana Grande</t>
  </si>
  <si>
    <t>Salinas</t>
  </si>
  <si>
    <t>San German</t>
  </si>
  <si>
    <t>San Juan</t>
  </si>
  <si>
    <t>San Lorenzo</t>
  </si>
  <si>
    <t>San Sebastian</t>
  </si>
  <si>
    <t>Santa Isabel</t>
  </si>
  <si>
    <t>Toa Alta</t>
  </si>
  <si>
    <t>Toa Baja</t>
  </si>
  <si>
    <t>Trujillo Alto</t>
  </si>
  <si>
    <t>Utuado</t>
  </si>
  <si>
    <t>Vega Alta</t>
  </si>
  <si>
    <t>Vega Baja</t>
  </si>
  <si>
    <t>Vieques</t>
  </si>
  <si>
    <t>Villalba</t>
  </si>
  <si>
    <t>Yabucoa</t>
  </si>
  <si>
    <t>Yauco</t>
  </si>
  <si>
    <r>
      <t>A minimum percent (</t>
    </r>
    <r>
      <rPr>
        <i/>
        <sz val="10"/>
        <rFont val="Calibri"/>
        <family val="2"/>
        <scheme val="minor"/>
      </rPr>
      <t>95%</t>
    </r>
    <r>
      <rPr>
        <sz val="10"/>
        <rFont val="Calibri"/>
        <family val="2"/>
        <scheme val="minor"/>
      </rPr>
      <t>) of the total hard-wired interior luminaires or lamps qualify as ENERGY STAR, DesignLights Consortium (DLC), or applicable equivalent.</t>
    </r>
  </si>
  <si>
    <t>EPA National ERI Target:</t>
  </si>
  <si>
    <t>ERI As Designed:</t>
  </si>
  <si>
    <t>Exempt</t>
  </si>
  <si>
    <t>fixed rough comm. sig. dropdowns, added "Exempt" to 703.4.4, changed text of 703.6.1, 704.2 redone, 802.10.1 added.</t>
  </si>
  <si>
    <t>Notes:</t>
  </si>
  <si>
    <t>5.0.4</t>
  </si>
  <si>
    <t>fixed ch. 7 design max level</t>
  </si>
  <si>
    <t>Ch8Path</t>
  </si>
  <si>
    <t>ReportType</t>
  </si>
  <si>
    <t>All rights reserved.  This document is protected by U.S. copyright law. Requirements from ICC 700-2020 National Green Building Standard® © 2020 National Association of Home Builders of the U.S. - used by permission.  Home Innovation authorizes use of this document only by those individuals/organizations participating in Home Innovation's NGBS Green program and solely for purpose of seeking NGBS Green certification from the Home Innovation Research Labs.</t>
  </si>
  <si>
    <t>5.0.5</t>
  </si>
  <si>
    <t>Resilience</t>
  </si>
  <si>
    <t>Universal Design</t>
  </si>
  <si>
    <t>Smart Home</t>
  </si>
  <si>
    <t>Wellness</t>
  </si>
  <si>
    <t>Zero Water</t>
  </si>
  <si>
    <t>Net Zero Energy</t>
  </si>
  <si>
    <t>SECTION 1: ENHANCED RESILIENCE</t>
  </si>
  <si>
    <t>Requirements:</t>
  </si>
  <si>
    <t>SECTION 2: RENEWABLE ENERGY AND BATTERY ENERGY STORAGE SYSTEMS</t>
  </si>
  <si>
    <t>613.5 Enhanced resilience - 30% above base design</t>
  </si>
  <si>
    <t>613.6 Enhanced resilience - 40% above base design</t>
  </si>
  <si>
    <t>613.7 Enhanced resilience - 50% above base design</t>
  </si>
  <si>
    <t>706.5(3) On-site renewable energy system and battery energy storage system</t>
  </si>
  <si>
    <t>Additional Requirements</t>
  </si>
  <si>
    <t>Identify resilient construction features and benefits are described in homeowner or multifamily occupant manual.</t>
  </si>
  <si>
    <t xml:space="preserve">UNIVERSAL DESIGN </t>
  </si>
  <si>
    <t>612.3(8) Light switches are rocker-style switches</t>
  </si>
  <si>
    <t>612.3(9) Wireless or voice-activated control of HVAC, lighting, alarm systems, window treatments, or door locks</t>
  </si>
  <si>
    <t xml:space="preserve">	Meet mandatory practices.</t>
  </si>
  <si>
    <t>612.3(1) No-step entrance</t>
  </si>
  <si>
    <t>612.3(2) Accessible route from entrance to visiting room and bathroom</t>
  </si>
  <si>
    <t>612.3(3) Accessible route from entrance to bedroom</t>
  </si>
  <si>
    <t>612.3(4) Blocking or equivalent installed for future installation of grab bars</t>
  </si>
  <si>
    <t>612.3(5) Door handles are levers</t>
  </si>
  <si>
    <t>612.3(6) Sink, lavatory, and exterior door handles comply with ICC A117.1</t>
  </si>
  <si>
    <t>612.3(7) Power receptacles placed 15-48" above finished floor</t>
  </si>
  <si>
    <t xml:space="preserve">SECTION 1: LIGHTING &amp; LIGHTING CONTROLS /WINDOW SHADING </t>
  </si>
  <si>
    <t>Meet applicable mandatory practice.</t>
  </si>
  <si>
    <t>612.3(9) Automated or voice-activated control of HVAC, lighting, alarm system or door locks</t>
  </si>
  <si>
    <t>703.7.2 Automated Solar Protection</t>
  </si>
  <si>
    <t>705.2.1.1(1 or 2) Interior Lighting Controls</t>
  </si>
  <si>
    <t>705.2.1.2 Exterior Lighting Controls</t>
  </si>
  <si>
    <t>705.2.3 Lighting Outlets</t>
  </si>
  <si>
    <t>705.2.1.3(1-2) Multifamily Common Areas</t>
  </si>
  <si>
    <t>705.2.1.4(1-2) Multifamily Occupancy Controls</t>
  </si>
  <si>
    <t>1-2</t>
  </si>
  <si>
    <t xml:space="preserve">SECTION 2: ENERGY &amp; WATER CONSUMPTION CONTROL  </t>
  </si>
  <si>
    <t>Requirements</t>
  </si>
  <si>
    <t>706.1(1) Remote, Programmable Thermostat</t>
  </si>
  <si>
    <t>706.10 Automatic Demand Response</t>
  </si>
  <si>
    <t>706.11 Grid-Interactive Battery Storage</t>
  </si>
  <si>
    <t>1004.1(2) Verification System for Post-Occupancy Monitoring</t>
  </si>
  <si>
    <t>706.1(2-5) Energy Consumption Control</t>
  </si>
  <si>
    <t>706.3 Smart Appliances and Systems</t>
  </si>
  <si>
    <t>SECTION 3: SMART CONTROLS FOR WATER EFFICIENCY</t>
  </si>
  <si>
    <t>802.6.4(1) Smart Irrigation Controller</t>
  </si>
  <si>
    <t>802.6.5(5) Irrigation Flow Sensing Device</t>
  </si>
  <si>
    <t>802.10.1(1) Automated Motorized Non-Permeable Pool Cover</t>
  </si>
  <si>
    <t>803.3(1-2) Automatic Leak Detection and Control Device</t>
  </si>
  <si>
    <t xml:space="preserve">	Meet applicable mandatory practice.
</t>
  </si>
  <si>
    <t xml:space="preserve">SECTION 4: VENTILATION &amp; HUMIDITY CONTROL </t>
  </si>
  <si>
    <t>706.12 Smart Ventilation</t>
  </si>
  <si>
    <t>905.1 Humidity Monitoring System</t>
  </si>
  <si>
    <t>Identify smart home features and potential for conserving energy or water in homeowner or multifamily occupant manual.</t>
  </si>
  <si>
    <t xml:space="preserve">SECTION 1: AIR </t>
  </si>
  <si>
    <t xml:space="preserve">	Meet all applicable mandatory practices._x000D_
</t>
  </si>
  <si>
    <t>901.1.1 Natural draft furnaces and boilers not located in conditioned space</t>
  </si>
  <si>
    <t>901.1.5 Vented Natural Gas and Propane Fireplaces</t>
  </si>
  <si>
    <t>902.2.1 Building Ventilation Systems</t>
  </si>
  <si>
    <t>901.1.2 Air handling equipment not installed in garage</t>
  </si>
  <si>
    <t>902.1.6 Ventilation for Multifamily Common Spaces</t>
  </si>
  <si>
    <t>901.2.2 No Fireplaces, Woodstoves, Pellet Stoves, or Masonry Heaters are Installed</t>
  </si>
  <si>
    <t>902.4 HVAC System Protection</t>
  </si>
  <si>
    <t>904.1 IAQ During Construction</t>
  </si>
  <si>
    <t>904.2 IAQ Post-Construction</t>
  </si>
  <si>
    <t>902.2.4 MERV Filters 14 or Greater</t>
  </si>
  <si>
    <t xml:space="preserve">SECTION 2: MOVEMENT </t>
  </si>
  <si>
    <t xml:space="preserve">	Select at least one item from Group A._x000D_
</t>
  </si>
  <si>
    <t>GROUP A</t>
  </si>
  <si>
    <t>501.2(3) Pedestrian Activity</t>
  </si>
  <si>
    <t>501.2(4) Walkability</t>
  </si>
  <si>
    <t>GROUP B</t>
  </si>
  <si>
    <t>501.2(5) Bicycle Use</t>
  </si>
  <si>
    <t>501.2(6) Bicycle Parking</t>
  </si>
  <si>
    <t>501.2(1) Pedestrian access to mass transit system</t>
  </si>
  <si>
    <t>501.2(8) Access to bike sharing program</t>
  </si>
  <si>
    <t>505.4 Mixed-use development</t>
  </si>
  <si>
    <t xml:space="preserve">SECTION 3: MOISTURE MANAGEMENT </t>
  </si>
  <si>
    <t xml:space="preserve">	Meet mandatory practice._x000D_
</t>
  </si>
  <si>
    <t>602.1.7.1(1, 3) Moisture Control Measures</t>
  </si>
  <si>
    <t>602.1.12 Roof Overhangs</t>
  </si>
  <si>
    <t>602.1.10 Exterior Doors</t>
  </si>
  <si>
    <t>2-6</t>
  </si>
  <si>
    <t>SECTION 4: COMFORT</t>
  </si>
  <si>
    <t>903.3 Relative humidity</t>
  </si>
  <si>
    <t>905.1 Humidity monitoring system</t>
  </si>
  <si>
    <t>3-9</t>
  </si>
  <si>
    <t xml:space="preserve">SECTION 5: NOURISHMENT </t>
  </si>
  <si>
    <t>505.5(a) Community garden</t>
  </si>
  <si>
    <t>505.5(b) Proximity to market/farm stand</t>
  </si>
  <si>
    <t>SECTION 6: LIGHT</t>
  </si>
  <si>
    <t>703.7.2 Window Shading</t>
  </si>
  <si>
    <t>706.1(5) Lighting Control System</t>
  </si>
  <si>
    <t>SECTION 7: SOUND</t>
  </si>
  <si>
    <t>905.4 Sound Barrier</t>
  </si>
  <si>
    <t xml:space="preserve">SECTION 8: MATERIALS </t>
  </si>
  <si>
    <t>612.2 Sustainable Products</t>
  </si>
  <si>
    <t>901.5 Low/no- formaldehyde cabinets</t>
  </si>
  <si>
    <t>901.7 Low-emission floor materials</t>
  </si>
  <si>
    <t>901.8 Low-emission wall coverings</t>
  </si>
  <si>
    <t>901.12 Low-VOC furniture and furnishings</t>
  </si>
  <si>
    <t>3-8</t>
  </si>
  <si>
    <t>1-8</t>
  </si>
  <si>
    <t xml:space="preserve">SECTION 9: ACCESS TO NATURE </t>
  </si>
  <si>
    <t>503.6(1) Wildlife gardens</t>
  </si>
  <si>
    <t>503.6(2) Certified backyard wildlife</t>
  </si>
  <si>
    <t>503.6(3) Wildlife corridor or other preserved area</t>
  </si>
  <si>
    <t>WRI:</t>
  </si>
  <si>
    <t>Building Envelope</t>
  </si>
  <si>
    <t>Roof R-Value:</t>
  </si>
  <si>
    <t>Floor R-Value:</t>
  </si>
  <si>
    <t>Wall R-Value:</t>
  </si>
  <si>
    <t>Describe Wall Section:</t>
  </si>
  <si>
    <t>Window-Wall Ratio:</t>
  </si>
  <si>
    <t>Window U-Value:</t>
  </si>
  <si>
    <t>Window SHGC:</t>
  </si>
  <si>
    <t>Window Description:</t>
  </si>
  <si>
    <t>Exterior Shading Devices:</t>
  </si>
  <si>
    <t>Air Leakage Test Results:</t>
  </si>
  <si>
    <t>Air Sealing Protocol Description:</t>
  </si>
  <si>
    <t>Lighting</t>
  </si>
  <si>
    <t>Describe Lighting Design &amp; Control Strategy:</t>
  </si>
  <si>
    <t>HVAC System Characteristics (Check all included technologies and note efficiency values)</t>
  </si>
  <si>
    <t>Gas and Propane Heater</t>
  </si>
  <si>
    <t>Gas Boiler</t>
  </si>
  <si>
    <t>Oil Boiler</t>
  </si>
  <si>
    <t>Radiant and Hydronic Space Heating</t>
  </si>
  <si>
    <t>Electric Heat Pump</t>
  </si>
  <si>
    <t>Gas Engine-Driven Heat Pump Heating</t>
  </si>
  <si>
    <t>Gas Engine-Driven Heat Pump Cooling</t>
  </si>
  <si>
    <t>Water Source Cooling and Heating</t>
  </si>
  <si>
    <t>Describe Mechanical System:</t>
  </si>
  <si>
    <t>Ventilation</t>
  </si>
  <si>
    <t>Spot Ventilation Only:</t>
  </si>
  <si>
    <t>Building Ventilation Systems:</t>
  </si>
  <si>
    <t>Energy Storage</t>
  </si>
  <si>
    <t xml:space="preserve">Oil Furnace </t>
  </si>
  <si>
    <t>Renewable Energy System Characteristics</t>
  </si>
  <si>
    <t xml:space="preserve">Describe systems here. Submit photos of installed on-site systems and appropriate documentation (e.g., solar installer design report, power purchase agreement, or renewable energy credit certificate) of installed system. </t>
  </si>
  <si>
    <r>
      <rPr>
        <b/>
        <sz val="11"/>
        <color theme="1"/>
        <rFont val="Calibri"/>
        <family val="2"/>
        <scheme val="minor"/>
      </rPr>
      <t>Solar electric (PV)</t>
    </r>
    <r>
      <rPr>
        <sz val="11"/>
        <color theme="1"/>
        <rFont val="Calibri"/>
        <family val="2"/>
        <scheme val="minor"/>
      </rPr>
      <t>: array size and output per capacity nameplate, panel quantity, type and brand, inverter quantity, type and location(s).</t>
    </r>
  </si>
  <si>
    <r>
      <rPr>
        <b/>
        <sz val="11"/>
        <color theme="1"/>
        <rFont val="Calibri"/>
        <family val="2"/>
        <scheme val="minor"/>
      </rPr>
      <t>Wind</t>
    </r>
    <r>
      <rPr>
        <sz val="11"/>
        <color theme="1"/>
        <rFont val="Calibri"/>
        <family val="2"/>
        <scheme val="minor"/>
      </rPr>
      <t xml:space="preserve">: (If onsite: note turbine size and output in peak kw, inverter type, brand and location. If off-site, note farm location, overall size, and purchased share of energy expected.) </t>
    </r>
  </si>
  <si>
    <r>
      <rPr>
        <b/>
        <sz val="11"/>
        <color theme="1"/>
        <rFont val="Calibri"/>
        <family val="2"/>
        <scheme val="minor"/>
      </rPr>
      <t>Have Renewable Energy Credits been retained?</t>
    </r>
    <r>
      <rPr>
        <sz val="11"/>
        <color theme="1"/>
        <rFont val="Calibri"/>
        <family val="2"/>
        <scheme val="minor"/>
      </rPr>
      <t xml:space="preserve"> If yes, describe amount (KWh) and plan for recurring purchase, if any. </t>
    </r>
  </si>
  <si>
    <t xml:space="preserve">Meet one of the below practices. </t>
  </si>
  <si>
    <t xml:space="preserve">Meet mandatory practice. </t>
  </si>
  <si>
    <t>1-3</t>
  </si>
  <si>
    <t>Total Points:</t>
  </si>
  <si>
    <t>selected:</t>
  </si>
  <si>
    <t>Resilience:</t>
  </si>
  <si>
    <t>Universal Design:</t>
  </si>
  <si>
    <t>Smart Home:</t>
  </si>
  <si>
    <t>Wellness:</t>
  </si>
  <si>
    <t>Zero Water:</t>
  </si>
  <si>
    <t>Net Zero Energy:</t>
  </si>
  <si>
    <t>1-5 (MF Only)</t>
  </si>
  <si>
    <t>10 (SF Only)</t>
  </si>
  <si>
    <t>Type of Lighting Description:</t>
  </si>
  <si>
    <t>Daylighting Features Description:</t>
  </si>
  <si>
    <t>Occupancy Sensors Description:</t>
  </si>
  <si>
    <t>Battery Storage Description:</t>
  </si>
  <si>
    <t>Practices</t>
  </si>
  <si>
    <t xml:space="preserve">Select optional practices to contribute toward meeting overall point total (18 required).  </t>
  </si>
  <si>
    <t>2-3 (MF Only)</t>
  </si>
  <si>
    <t>Meet at least 3 optional practices. These practices contribute toward meeting the overall point total (29 required).</t>
  </si>
  <si>
    <t>3 (MF Only)</t>
  </si>
  <si>
    <t xml:space="preserve">Select optional practices from Group B to contribute toward meeting overall point total (29 required). </t>
  </si>
  <si>
    <t>505.10(a) Indoor area for adult exercise and/or children's play equipment (MF Only)</t>
  </si>
  <si>
    <t>505.10(b) Courtyard, garden, terrace, or roof space for play/recreation (MF Only)</t>
  </si>
  <si>
    <t>2-8 (MF Only)</t>
  </si>
  <si>
    <t>8 (MF Only)</t>
  </si>
  <si>
    <t xml:space="preserve">Select optional practices to contribute toward meeting overall point total (29 required).  </t>
  </si>
  <si>
    <t xml:space="preserve">Select optional practices to contribute toward meeting overall point total (29 required).  
</t>
  </si>
  <si>
    <t>3-9 (MF Only)</t>
  </si>
  <si>
    <t>2 (MF Only)</t>
  </si>
  <si>
    <t xml:space="preserve">Select optional practices to contribute toward meeting overall point total (29 required). 
</t>
  </si>
  <si>
    <t>I certify that the above requirements were met based on documentation review and on-site inspection. The features identified above were verified in accordance with the NGBS and guidance in the Verifier Agreement and Verifier’s Resource Guide.
My company did not supply product, participate in the physical construction of this project, or operate otherwise that would compromise the independent of my verification services.</t>
  </si>
  <si>
    <t xml:space="preserve">Achieve a minimum of 15 points from the following practices. These practices contribute toward meeting the overall point total (29 required).
</t>
  </si>
  <si>
    <t>Select optional practices to contribute toward meeting overall point total (18 required).</t>
  </si>
  <si>
    <t>See Section Header</t>
  </si>
  <si>
    <t>vntBadgesSmartSect3</t>
  </si>
  <si>
    <t>dntBadgesSmartSect3</t>
  </si>
  <si>
    <t>desBadgesRoofRVal</t>
  </si>
  <si>
    <t>desBadgesFloorRVal</t>
  </si>
  <si>
    <t>desBadgesWallRVal</t>
  </si>
  <si>
    <t>desBadgesWindowWallRatio</t>
  </si>
  <si>
    <t>desBadgesWindowUVal</t>
  </si>
  <si>
    <t>desBadgesSHGC</t>
  </si>
  <si>
    <t>desBadgesPropane</t>
  </si>
  <si>
    <t>desBadgesOilFurnace</t>
  </si>
  <si>
    <t>desBadgesGasBoiler</t>
  </si>
  <si>
    <t>desBadgesOilBoiler</t>
  </si>
  <si>
    <t>desBadgesRadiant</t>
  </si>
  <si>
    <t>desBadgesElectricHeat</t>
  </si>
  <si>
    <t>desBadgesGEDHPHeating</t>
  </si>
  <si>
    <t>desBadgesElectricAC</t>
  </si>
  <si>
    <t>desBadgesGEHHPCooling</t>
  </si>
  <si>
    <t>desBadgesWaterSourceHC</t>
  </si>
  <si>
    <t>desBadgesGroundSourceHP</t>
  </si>
  <si>
    <t>desBadgesSpotVent</t>
  </si>
  <si>
    <t>desBadgesBuildingVent</t>
  </si>
  <si>
    <t>desBadgesResilienceAdditional</t>
  </si>
  <si>
    <t>desBadges703_7_2</t>
  </si>
  <si>
    <t>desBadges802_6_4_1</t>
  </si>
  <si>
    <t>desBadges802_6_5_5</t>
  </si>
  <si>
    <t>desBadges802_10_1_1</t>
  </si>
  <si>
    <t>desBadges803_3_1</t>
  </si>
  <si>
    <t>desBadgesSmartAdd</t>
  </si>
  <si>
    <t>dntBadgesRoofRVal</t>
  </si>
  <si>
    <t>dntBadgesFloorRVal</t>
  </si>
  <si>
    <t>dntBadgesWallRVal</t>
  </si>
  <si>
    <t>dntBadgesWallDesc</t>
  </si>
  <si>
    <t>dntBadgesWindowWallRatio</t>
  </si>
  <si>
    <t>dntBadgesWindowUVal</t>
  </si>
  <si>
    <t>dntBadgesSHGC</t>
  </si>
  <si>
    <t>dntBadgesWindowDesc</t>
  </si>
  <si>
    <t>dntBadgesExteriorShading</t>
  </si>
  <si>
    <t>dntBadgesAirLeakage</t>
  </si>
  <si>
    <t>dntBadgesAirSealing</t>
  </si>
  <si>
    <t>dntBadgesLightingType</t>
  </si>
  <si>
    <t>dntBadgesDaylighting</t>
  </si>
  <si>
    <t>dntBadgesOccSensor</t>
  </si>
  <si>
    <t>dntBadgesLightingDesign</t>
  </si>
  <si>
    <t>dntBadgesPropane</t>
  </si>
  <si>
    <t>dntBadgesOilFurnace</t>
  </si>
  <si>
    <t>dntBadgesGasBoiler</t>
  </si>
  <si>
    <t>dntBadgesOilBoiler</t>
  </si>
  <si>
    <t>dntBadgesRadiant</t>
  </si>
  <si>
    <t>dntBadgesElectricHeat</t>
  </si>
  <si>
    <t>dntBadgesGEDHPHeating</t>
  </si>
  <si>
    <t>dntBadgesElectricAC</t>
  </si>
  <si>
    <t>dntBadgesGEHHPCooling</t>
  </si>
  <si>
    <t>dntBadgesWaterSourceHC</t>
  </si>
  <si>
    <t>dntBadgesGroundSourceHP</t>
  </si>
  <si>
    <t>dntBadgesHVACDesc</t>
  </si>
  <si>
    <t>dntBadgesSpotVent</t>
  </si>
  <si>
    <t>dntBadgesBuildingVent</t>
  </si>
  <si>
    <t>dntBadgesBatteryStorage</t>
  </si>
  <si>
    <t>dntBadgesSolar</t>
  </si>
  <si>
    <t>dntBadgesWind</t>
  </si>
  <si>
    <t>dntBadgesEnergyCredits</t>
  </si>
  <si>
    <t>dntBadgesResilienceSect1</t>
  </si>
  <si>
    <t>dntBadgesResilienceSect2</t>
  </si>
  <si>
    <t>dntBadgesResilienceAdditional</t>
  </si>
  <si>
    <t>dntBadgesSmartSect1</t>
  </si>
  <si>
    <t>dntBadgesSmartSect2</t>
  </si>
  <si>
    <t>dntBadgesSmartSect4</t>
  </si>
  <si>
    <t>dntBadgesSmartAdd</t>
  </si>
  <si>
    <t>dntBadgesWellnessSect1</t>
  </si>
  <si>
    <t>dntBadgesWellnessSect2</t>
  </si>
  <si>
    <t>dntBadgesWellnessSect3</t>
  </si>
  <si>
    <t>dntBadgesWellnessSect4</t>
  </si>
  <si>
    <t>dntBadgesWellnessSect5</t>
  </si>
  <si>
    <t>dntBadgesWellnessSect6</t>
  </si>
  <si>
    <t>dntBadgesWellnessSect7</t>
  </si>
  <si>
    <t>dntBadgesWellnessSect8</t>
  </si>
  <si>
    <t>dntBadgesWellnessSect9</t>
  </si>
  <si>
    <t>verBadgesRoofRVal</t>
  </si>
  <si>
    <t>verBadgesFloorRVal</t>
  </si>
  <si>
    <t>verBadgesWallRVal</t>
  </si>
  <si>
    <t>verBadgesWindowWallRatio</t>
  </si>
  <si>
    <t>verBadgesWindowUVal</t>
  </si>
  <si>
    <t>verBadgesSHGC</t>
  </si>
  <si>
    <t>verBadgesPropane</t>
  </si>
  <si>
    <t>verBadgesOilFurnace</t>
  </si>
  <si>
    <t>verBadgesGasBoiler</t>
  </si>
  <si>
    <t>verBadgesOilBoiler</t>
  </si>
  <si>
    <t>verBadgesRadiant</t>
  </si>
  <si>
    <t>verBadgesElectricHeat</t>
  </si>
  <si>
    <t>verBadgesGEDHPHeating</t>
  </si>
  <si>
    <t>verBadgesElectricAC</t>
  </si>
  <si>
    <t>verBadgesGEHHPCooling</t>
  </si>
  <si>
    <t>verBadgesWaterSourceHC</t>
  </si>
  <si>
    <t>verBadgesGroundSourceHP</t>
  </si>
  <si>
    <t>verBadgesSpotVent</t>
  </si>
  <si>
    <t>verBadgesBuildingVent</t>
  </si>
  <si>
    <t>verBadgesResilienceAdditional</t>
  </si>
  <si>
    <t>verBadges703_7_2</t>
  </si>
  <si>
    <t>verBadges802_6_4_1</t>
  </si>
  <si>
    <t>verBadges802_6_5_5</t>
  </si>
  <si>
    <t>verBadges802_10_1_1</t>
  </si>
  <si>
    <t>verBadges803_3_1</t>
  </si>
  <si>
    <t>verBadgesSmartAdd</t>
  </si>
  <si>
    <t>vntBadgesRoofRVal</t>
  </si>
  <si>
    <t>vntBadgesFloorRVal</t>
  </si>
  <si>
    <t>vntBadgesWallRVal</t>
  </si>
  <si>
    <t>vntBadgesWallDesc</t>
  </si>
  <si>
    <t>vntBadgesWindowWallRatio</t>
  </si>
  <si>
    <t>vntBadgesWindowUVal</t>
  </si>
  <si>
    <t>vntBadgesSHGC</t>
  </si>
  <si>
    <t>vntBadgesWindowDesc</t>
  </si>
  <si>
    <t>vntBadgesExteriorShading</t>
  </si>
  <si>
    <t>vntBadgesAirLeakage</t>
  </si>
  <si>
    <t>vntBadgesAirSealing</t>
  </si>
  <si>
    <t>vntBadgesLightingType</t>
  </si>
  <si>
    <t>vntBadgesDaylighting</t>
  </si>
  <si>
    <t>vntBadgesOccSensor</t>
  </si>
  <si>
    <t>vntBadgesLightingDesign</t>
  </si>
  <si>
    <t>vntBadgesPropane</t>
  </si>
  <si>
    <t>vntBadgesOilFurnace</t>
  </si>
  <si>
    <t>vntBadgesGasBoiler</t>
  </si>
  <si>
    <t>vntBadgesOilBoiler</t>
  </si>
  <si>
    <t>vntBadgesRadiant</t>
  </si>
  <si>
    <t>vntBadgesElectricHeat</t>
  </si>
  <si>
    <t>vntBadgesGEDHPHeating</t>
  </si>
  <si>
    <t>vntBadgesElectricAC</t>
  </si>
  <si>
    <t>vntBadgesGEHHPCooling</t>
  </si>
  <si>
    <t>vntBadgesWaterSourceHC</t>
  </si>
  <si>
    <t>vntBadgesGroundSourceHP</t>
  </si>
  <si>
    <t>vntBadgesHVACDesc</t>
  </si>
  <si>
    <t>vntBadgesSpotVent</t>
  </si>
  <si>
    <t>vntBadgesBuildingVent</t>
  </si>
  <si>
    <t>vntBadgesBatteryStorage</t>
  </si>
  <si>
    <t>vntBadgesSolar</t>
  </si>
  <si>
    <t>vntBadgesWind</t>
  </si>
  <si>
    <t>vntBadgesEnergyCredits</t>
  </si>
  <si>
    <t>vntBadgesResilienceSect1</t>
  </si>
  <si>
    <t>vntBadgesResilienceSect2</t>
  </si>
  <si>
    <t>vntBadgesResilienceAdditional</t>
  </si>
  <si>
    <t>vntBadgesSmartSect1</t>
  </si>
  <si>
    <t>vntBadgesSmartSect2</t>
  </si>
  <si>
    <t>vntBadgesSmartSect4</t>
  </si>
  <si>
    <t>vntBadgesSmartAdd</t>
  </si>
  <si>
    <t>vntBadgesWellnessSect1</t>
  </si>
  <si>
    <t>vntBadgesWellnessSect2</t>
  </si>
  <si>
    <t>vntBadgesWellnessSect3</t>
  </si>
  <si>
    <t>vntBadgesWellnessSect4</t>
  </si>
  <si>
    <t>vntBadgesWellnessSect5</t>
  </si>
  <si>
    <t>vntBadgesWellnessSect6</t>
  </si>
  <si>
    <t>vntBadgesWellnessSect7</t>
  </si>
  <si>
    <t>vntBadgesWellnessSect8</t>
  </si>
  <si>
    <t>vntBadgesWellnessSect9</t>
  </si>
  <si>
    <t>updated copyright date, added WRI sheets, added Badges sheets, updated appendices</t>
  </si>
  <si>
    <t>901.12 Furniture and Furnishing</t>
  </si>
  <si>
    <t>UL GREENGUARD Gold Scientific Certifications Systems (SCS) Indoor Advantage Gold Program BIFMA level certification where 7.6.1 and 7.6.2 are proven to be achieved</t>
  </si>
  <si>
    <t xml:space="preserve">APPENDIX B </t>
  </si>
  <si>
    <t>B100</t>
  </si>
  <si>
    <r>
      <t>B101.2 Scope.</t>
    </r>
    <r>
      <rPr>
        <sz val="10"/>
        <color theme="1"/>
        <rFont val="Arial"/>
        <family val="2"/>
      </rPr>
      <t xml:space="preserve"> Appendix B provides examples of third-party programs for indoor environmental quality that can be used to demonstrate compliance with the applicable provisions of this Standard.</t>
    </r>
  </si>
  <si>
    <r>
      <t>B101.1 Applicability of Appendix B.</t>
    </r>
    <r>
      <rPr>
        <sz val="10"/>
        <color theme="1"/>
        <rFont val="Arial"/>
        <family val="2"/>
      </rPr>
      <t xml:space="preserve"> Appendix B is not part of this Standard. </t>
    </r>
  </si>
  <si>
    <t>TABLE B200(1)</t>
  </si>
  <si>
    <t>B200</t>
  </si>
  <si>
    <t>TABLE B200(2)</t>
  </si>
  <si>
    <r>
      <t xml:space="preserve">602.1.10 Exterior doors. </t>
    </r>
    <r>
      <rPr>
        <sz val="10"/>
        <color theme="1"/>
        <rFont val="Calibri"/>
        <family val="2"/>
        <scheme val="minor"/>
      </rPr>
      <t>Entries at exterior door assemblies, inclusive of side lights (if any), are covered by one of the following methods to protect the building from the effects of precipitation and solar radiation. Either a storm door or a projection factor of 0.375 minimum is provided. Eastern- and western-facing entries in Climate Zones 1, 2, and 3, as determined in accordance with Figure 6(1) or Appendix A, have either a storm door or a projection factor of 1.0 minimum, unless protected from direct solar radiation by other means (e.g., screen wall, vegetation).</t>
    </r>
  </si>
  <si>
    <r>
      <t xml:space="preserve">706.12 Smart ventilation. </t>
    </r>
    <r>
      <rPr>
        <sz val="10"/>
        <rFont val="Calibri"/>
        <family val="2"/>
        <scheme val="minor"/>
      </rPr>
      <t xml:space="preserve">A whole-building ventilation systems is installed with automatic ventilation controls to limit ventilation during periods of extreme temperature, extreme humidity, and/or during times of peak utility loads and is in accordance with the specifications of ASHRAE Standard 62.2-2010 Section 4. </t>
    </r>
  </si>
  <si>
    <r>
      <t>804.1 Performance Path.</t>
    </r>
    <r>
      <rPr>
        <sz val="10"/>
        <color theme="1"/>
        <rFont val="Calibri"/>
        <family val="2"/>
        <scheme val="minor"/>
      </rPr>
      <t xml:space="preserve"> The index score for the Performance Path shall be calculated in accordance with Appendix D Water Rating Index (WRI) or equivalent methodology.</t>
    </r>
  </si>
  <si>
    <t>For one- and two-family dwelling units, a 100 cfm (47 L/s) or greater ducted or 70 cfm (33 L/s) cfm or greater unducted wall exhaust fan is installed and vented to the outdoors and is designed and installed for continuous operation or has controls (e.g., motion detectors, pressure switches) that activate operation for a minimum of 1 hour when either human passage door or roll-up automatic doors are operated. For ducted exhaust fans, the fan airflow rating and duct sizing are in accordance with ASHRAE Standard 62.2-2007 Section 7.3.</t>
  </si>
  <si>
    <r>
      <t xml:space="preserve">The composite wood used in wood cabinets is in accordance with CARB </t>
    </r>
    <r>
      <rPr>
        <i/>
        <sz val="10"/>
        <color theme="1"/>
        <rFont val="Calibri"/>
        <family val="2"/>
        <scheme val="minor"/>
      </rPr>
      <t>Composite Wood Air Toxic Contaminant Measure Standard</t>
    </r>
    <r>
      <rPr>
        <sz val="10"/>
        <color theme="1"/>
        <rFont val="Calibri"/>
        <family val="2"/>
        <scheme val="minor"/>
      </rPr>
      <t xml:space="preserve"> or equivalent as certified by a third-party program such as, but not limited to, those in Appendix B.</t>
    </r>
  </si>
  <si>
    <r>
      <t>901.7</t>
    </r>
    <r>
      <rPr>
        <sz val="10"/>
        <color theme="1"/>
        <rFont val="Calibri"/>
        <family val="2"/>
        <scheme val="minor"/>
      </rPr>
      <t xml:space="preserve"> </t>
    </r>
    <r>
      <rPr>
        <b/>
        <sz val="10"/>
        <color theme="1"/>
        <rFont val="Calibri"/>
        <family val="2"/>
        <scheme val="minor"/>
      </rPr>
      <t>Floor materials.</t>
    </r>
    <r>
      <rPr>
        <sz val="10"/>
        <color theme="1"/>
        <rFont val="Calibri"/>
        <family val="2"/>
        <scheme val="minor"/>
      </rPr>
      <t xml:space="preserve"> The following types of finished flooring materials are used.  The materials have emission levels in accordance with CDPH/EHLB Standard Method v1.1. Product is tested by a laboratory with the CDPH/EHLB Standard Method v1.1 within the laboratory scope of accreditation to ISO/IEC 17025 and certified by a third-party program accredited to ISO 17065, such as, but not limited to, those in Appendix B. </t>
    </r>
  </si>
  <si>
    <r>
      <t>901.8</t>
    </r>
    <r>
      <rPr>
        <sz val="10"/>
        <color theme="1"/>
        <rFont val="Calibri"/>
        <family val="2"/>
        <scheme val="minor"/>
      </rPr>
      <t xml:space="preserve"> </t>
    </r>
    <r>
      <rPr>
        <b/>
        <sz val="10"/>
        <color theme="1"/>
        <rFont val="Calibri"/>
        <family val="2"/>
        <scheme val="minor"/>
      </rPr>
      <t>Wall coverings.</t>
    </r>
    <r>
      <rPr>
        <sz val="10"/>
        <color theme="1"/>
        <rFont val="Calibri"/>
        <family val="2"/>
        <scheme val="minor"/>
      </rPr>
      <t xml:space="preserve"> A minimum of 10 percent of the interior wall surfaces are covered and a minimum of 85 percent of wall coverings are in accordance with the emission concentration limits of CDPH/EHLB Standard Method v1.1. Emission levels are determined by a laboratory accredited to ISO/IEC 17025 and the CDPH/EHLB Standard Method v1.1 is in its scope. The product is certified by a third-party program accredited to ISO 17065, such as, but not limited to, those in Appendix B.</t>
    </r>
  </si>
  <si>
    <r>
      <t>901.9.3</t>
    </r>
    <r>
      <rPr>
        <sz val="10"/>
        <color theme="1"/>
        <rFont val="Calibri"/>
        <family val="2"/>
        <scheme val="minor"/>
      </rPr>
      <t xml:space="preserve"> Site-applied interior architectural coatings, which are inside the waterproofing envelope, are in accordance with the emission levels of CDPH/EHLB Standard Method v1.1. Emission levels are determined by a laboratory accredited to ISO/IEC 17025 and the CDPH/EHLB Standard Method v1.1 in its scope of accreditation. The product is certified by a third-party program accredited to ISO 17065, such as, but not limited to, those found in Appendix B. </t>
    </r>
  </si>
  <si>
    <t xml:space="preserve">The emission levels are in accordance with CDPH/EHLB Standard Method v1.1. Emission levels are determined by a laboratory accredited to ISO/IEC 17025 and the CDPH/EHLB Standard Method v1.1 is in its scope of accreditation. The product is certified by a third-party program accredited to ISO 17065, such as, but not limited to, those found in Appendix B. </t>
  </si>
  <si>
    <r>
      <t>901.11</t>
    </r>
    <r>
      <rPr>
        <sz val="10"/>
        <color theme="1"/>
        <rFont val="Calibri"/>
        <family val="2"/>
        <scheme val="minor"/>
      </rPr>
      <t xml:space="preserve"> </t>
    </r>
    <r>
      <rPr>
        <b/>
        <sz val="10"/>
        <color theme="1"/>
        <rFont val="Calibri"/>
        <family val="2"/>
        <scheme val="minor"/>
      </rPr>
      <t>Insulation.</t>
    </r>
    <r>
      <rPr>
        <sz val="10"/>
        <color theme="1"/>
        <rFont val="Calibri"/>
        <family val="2"/>
        <scheme val="minor"/>
      </rPr>
      <t xml:space="preserve"> Emissions of 85 percent of wall, ceiling, and floor insulation materials are in accordance with the emission levels of CDPH/EHLB Standard Method v1.1. Emission levels are determined by a laboratory accredited to ISO/IEC 17025 and the CDPH/EHLB Standard Method v1.1 is in its scope of accreditation. Insulation is certified by a third-party program accredited to ISO 17065, such as, but not limited to, those in Appendix B. </t>
    </r>
  </si>
  <si>
    <r>
      <t xml:space="preserve">902.2.1 </t>
    </r>
    <r>
      <rPr>
        <sz val="10"/>
        <color theme="1"/>
        <rFont val="Calibri"/>
        <family val="2"/>
        <scheme val="minor"/>
      </rPr>
      <t xml:space="preserve">One of the following whole building ventilation systems is implemented and is in accordance with the specifications of ASHRAE Standard 62.2-2010 Section 4 and an explanation of the operation and importance of the ventilation system is </t>
    </r>
    <r>
      <rPr>
        <b/>
        <sz val="10"/>
        <color theme="1"/>
        <rFont val="Calibri"/>
        <family val="2"/>
        <scheme val="minor"/>
      </rPr>
      <t>included in either 1001.1(9) or 1002.2(11)</t>
    </r>
    <r>
      <rPr>
        <sz val="10"/>
        <color theme="1"/>
        <rFont val="Calibri"/>
        <family val="2"/>
        <scheme val="minor"/>
      </rPr>
      <t>.</t>
    </r>
  </si>
  <si>
    <t>5.0.6</t>
  </si>
  <si>
    <t>Modeler’s Credential:</t>
  </si>
  <si>
    <t>AEE BESA</t>
  </si>
  <si>
    <t>BEMP</t>
  </si>
  <si>
    <t>ES MFHR LP</t>
  </si>
  <si>
    <t>HERS Rater</t>
  </si>
  <si>
    <t>erroring related to 703.1.2, added energy modeler fields, fixed error in points available for 503.5 in Verification Report, removed WRI</t>
  </si>
  <si>
    <t>5.0.7</t>
  </si>
  <si>
    <t>701.1 note mandatory indication fixed in Ver. Rep., 503.7 multiselect changed to dropdown, corrected various availability logic, fixed 705/706 count rough error</t>
  </si>
  <si>
    <t>ddMetNotMetNA</t>
  </si>
  <si>
    <t>desBadges901_1_1</t>
  </si>
  <si>
    <t>desBadges901_1_5</t>
  </si>
  <si>
    <t>5.0.8</t>
  </si>
  <si>
    <t>finalized Wellness Badge changes</t>
  </si>
  <si>
    <t>desBadges903_3</t>
  </si>
  <si>
    <t>verBadges901_1_1</t>
  </si>
  <si>
    <t>verBadges901_1_3</t>
  </si>
  <si>
    <t>verBadges903_3</t>
  </si>
  <si>
    <t>5.1.0</t>
  </si>
  <si>
    <t>corrected 609.1 in Commercial</t>
  </si>
  <si>
    <t>5.1.1</t>
  </si>
  <si>
    <t>corrected Wellness Badge requirements</t>
  </si>
  <si>
    <t>5.1.2</t>
  </si>
  <si>
    <t>fixed mandatory note indication for 602.1.15 on Verification page, corrected 505.6 availability to MF only, Resilience Badge requirements corrected</t>
  </si>
  <si>
    <t>5.1.3</t>
  </si>
  <si>
    <t>Test results (pCi/L):</t>
  </si>
  <si>
    <t>NOTE: 5 Points must be taken in 503.5(1)-(7) for a Full Landscape Plan in order to receive points for 802.6.4(2).</t>
  </si>
  <si>
    <t>backend fix, removed some page breaks from Verification Report, test result field added to 902.3.2(1), energy modeler field added, corrected error logic for 802.6.1</t>
  </si>
  <si>
    <t>5.1.4</t>
  </si>
  <si>
    <t>Please indicate energy modeler’s professional credential and, in the notes field, their name. When selecting “Other,” enter professional credentials (e.g., engineer, architect) within the notes field.</t>
  </si>
  <si>
    <t>corrected availability logic in Chapter 8 Verification Report, added "other" to modeler credential</t>
  </si>
  <si>
    <t>5.1.5</t>
  </si>
  <si>
    <t>Water Sense</t>
  </si>
  <si>
    <t>LEAKS:</t>
  </si>
  <si>
    <t>Performance or Prescriptive Path?</t>
  </si>
  <si>
    <t>Pressure-loss test on all water supplies detects no leaks.</t>
  </si>
  <si>
    <t>Free of visible leaks from hot water delivery system.</t>
  </si>
  <si>
    <t>Free of visible leaks from toilet(s), as determined through visual assessment and by conducting a dye tablet test in each toilet to ensure the flapper is not leaking.</t>
  </si>
  <si>
    <t>Free of visible leaks from bathroom faucets(s).</t>
  </si>
  <si>
    <t>Free of visible leaks from showerhead(s).</t>
  </si>
  <si>
    <t>Free of visible leaks from bathroom tub faucet(s), i.e., tub spout(s), when showerhead(s) is activated, as determined through visual assessment after showerhead has been activated for one minute.</t>
  </si>
  <si>
    <t>Free of visible leaks from kitchen and other sink faucet(s).</t>
  </si>
  <si>
    <t>Free of visible leaks from other fixtures or appliances (e.g., clothes washers, dishwashers, hose bibs, irrigation systems) at point of use of connection to water distribution system.</t>
  </si>
  <si>
    <t>Performance</t>
  </si>
  <si>
    <t>Prescriptive</t>
  </si>
  <si>
    <t>TOILETS:</t>
  </si>
  <si>
    <t>Toilets are WaterSense labeled.</t>
  </si>
  <si>
    <t>802.5.4(3)</t>
  </si>
  <si>
    <t>LAVATORY FAUCETS:</t>
  </si>
  <si>
    <t>SHOWERHEADS:</t>
  </si>
  <si>
    <t>Showerheads are WaterSense labeled.</t>
  </si>
  <si>
    <t>802.4(1)</t>
  </si>
  <si>
    <t>WATER EFFICIENCY:</t>
  </si>
  <si>
    <t>Achieve a Water Rating Index score of 64 or lower.</t>
  </si>
  <si>
    <t>KITCHEN FAUCETS:</t>
  </si>
  <si>
    <t>place an "x" or short text in this column if there's an issue</t>
  </si>
  <si>
    <t>No Photo Review</t>
  </si>
  <si>
    <t>No Points</t>
  </si>
  <si>
    <t>902.3(2) points now automatic, fixed some Wellness badge qualification logic, backend changes</t>
  </si>
  <si>
    <t>Photo</t>
  </si>
  <si>
    <t>Issue</t>
  </si>
  <si>
    <t xml:space="preserve">901.15(1-2) Non-Smoking Areas </t>
  </si>
  <si>
    <t>Mandatory (MF)</t>
  </si>
  <si>
    <t>4 (SF Only)</t>
  </si>
  <si>
    <t>dd801_1</t>
  </si>
  <si>
    <t>Project Elevation (ft. above sea level):</t>
  </si>
  <si>
    <t>dstElevation</t>
  </si>
  <si>
    <t>ft.</t>
  </si>
  <si>
    <t>verElevation</t>
  </si>
  <si>
    <t>ddAltBronze</t>
  </si>
  <si>
    <t>ddAltSilver</t>
  </si>
  <si>
    <t>ENERGY STAR v3.0</t>
  </si>
  <si>
    <t>Ch 11 of 2018 IRC</t>
  </si>
  <si>
    <t>ENERGY STAR v3.1</t>
  </si>
  <si>
    <t>IECC R401.2.1 (Tropical)</t>
  </si>
  <si>
    <t>ES MFHR/MFNC</t>
  </si>
  <si>
    <t>ES MFHR/MFNC (90.1)</t>
  </si>
  <si>
    <t>Option:</t>
  </si>
  <si>
    <t>Certificate will indicate a deviation due to project elevation.</t>
  </si>
  <si>
    <t>5.2.1</t>
  </si>
  <si>
    <t>WaterSense</t>
  </si>
  <si>
    <t>logic fixes for Smart Home and Wellness Badges, elevation field on design pages and relevant warnings in Ch 7, additional detail entry for 701.1.4, corrected points for 501.2(4)(b)</t>
  </si>
  <si>
    <t>5.2.2</t>
  </si>
  <si>
    <t>802.5.1(5)</t>
  </si>
  <si>
    <t>Where landscaping is planned, install native plants that are adapted for the local climate.</t>
  </si>
  <si>
    <t>503.5(2)</t>
  </si>
  <si>
    <t>No irrigation or landscaping planned:</t>
  </si>
  <si>
    <t>IRRIGATION:</t>
  </si>
  <si>
    <t>Spray sprinkler systems: pressure-regulating valves and WaterSense labeled spray sprinkler bodies are installed.</t>
  </si>
  <si>
    <t>802.6.5(1)</t>
  </si>
  <si>
    <t>This item applies to spray sprinkler irrigation; this does not apply to areas with micro-irrigation or drip irrigation.</t>
  </si>
  <si>
    <t>Spray sprinkler body must be WaterSense labeled. An irrigation sprinkler nozzle tested in accordance with ASABE/ICC 802 Landscape Irrigation Sprinkler and Emitter Standard does not satisfy this item. NGBS practice 802.6.2 contributes toward but does not fully satisfy the intent of this practice.</t>
  </si>
  <si>
    <t>Smart irrigation controllers are installed and WaterSense labeled.</t>
  </si>
  <si>
    <t>802.6.4(1)</t>
  </si>
  <si>
    <t>https://www.epa.gov/watersense/irrigation-controllers</t>
  </si>
  <si>
    <t>Confirm that the controllers are WaterSense labeled and featured on:</t>
  </si>
  <si>
    <t>It is insufficient to be in accordance with the performance criteria without certifying through EPA.</t>
  </si>
  <si>
    <t>Irrigation system is designed, installed, and/or audited by an irrigation professional certified through a WaterSense labeled program.</t>
  </si>
  <si>
    <t>https://www.epa.gov/watersense/irrigation-pro</t>
  </si>
  <si>
    <t>Professional must be certified through a WaterSense labeled program and listed at:</t>
  </si>
  <si>
    <t>All kitchen faucets have a maximum flow rate of 1.5 gpm.</t>
  </si>
  <si>
    <t>802.5.2(2)</t>
  </si>
  <si>
    <t>APPLIANCES:</t>
  </si>
  <si>
    <t>When installed, clothes washer is ENERGY STAR or equivalent with an Integrated Water Factor of 3.8 or less.</t>
  </si>
  <si>
    <t>802.2(3)</t>
  </si>
  <si>
    <t>When installed, dishwasher is ENERGY STAR or equivalent.</t>
  </si>
  <si>
    <t>None installed:</t>
  </si>
  <si>
    <t>HOT WATER DISTRIBUTION:</t>
  </si>
  <si>
    <t>The maximum volume from the water heater to the termination of the fixture supply at furthest fixture is 64 ounces (0.5 gallon).</t>
  </si>
  <si>
    <t>802.1(2)</t>
  </si>
  <si>
    <t>ADDITIONAL PRACTICES FOR MULTIFAMILY:</t>
  </si>
  <si>
    <t>Implement additional efficiency for toilets, showerheads, or hot water distribution systems.</t>
  </si>
  <si>
    <t>OPTION A: All installed toilets have a maximum flush volume of 1.1 gpf.</t>
  </si>
  <si>
    <t>OPTION B: Showerheads have a maximum flow rate of 1.8 gpm.</t>
  </si>
  <si>
    <t>802.4(2)</t>
  </si>
  <si>
    <t>OPTION C: A central hot water recirculation system is implemented in multifamily buildings in which the hot water line distance from the recirculating loop to the engineered parallel piping system (i.e., manifold system) is less than 30 ft. (9,144 mm) and the parallel piping to the fixture fittings contains a maximum of 64 ounces (0.5 gallons).</t>
  </si>
  <si>
    <t>802.1(5)</t>
  </si>
  <si>
    <t>802.2(1) (also qualifies for 703.6.2(2))</t>
  </si>
  <si>
    <t>qualified for prescriptive:</t>
  </si>
  <si>
    <t>qualified for performance:</t>
  </si>
  <si>
    <t>WaterSense:</t>
  </si>
  <si>
    <r>
      <rPr>
        <i/>
        <sz val="11"/>
        <color theme="1"/>
        <rFont val="Calibri"/>
        <family val="2"/>
        <scheme val="minor"/>
      </rPr>
      <t>Exception</t>
    </r>
    <r>
      <rPr>
        <sz val="11"/>
        <color theme="1"/>
        <rFont val="Calibri"/>
        <family val="2"/>
        <scheme val="minor"/>
      </rPr>
      <t>: if no certified irrigation professionals are accepting new work in the city, county, or metropolitan area where the building is located, this requirement can be satisfied with an audit conducted by a non-certified irrigation professional using the ASABE S636 Landscape Irrigation System Uniformity and Application Rate Testing Protocol to complete the irrigation audit. Use of this exemption must be documented and retained with the verifier’s records.</t>
    </r>
  </si>
  <si>
    <t>WaterSenseLeaks1</t>
  </si>
  <si>
    <t>WaterSenseLeaks2</t>
  </si>
  <si>
    <t>WaterSenseLeaks3</t>
  </si>
  <si>
    <t>WaterSenseLeaks4</t>
  </si>
  <si>
    <t>WaterSenseLeaks5</t>
  </si>
  <si>
    <t>WaterSenseLeaks6</t>
  </si>
  <si>
    <t>WaterSenseLeaks7</t>
  </si>
  <si>
    <t>WaterSenseLeaks8</t>
  </si>
  <si>
    <t>WaterSenseToilet</t>
  </si>
  <si>
    <t>WaterSenseLavFaucet</t>
  </si>
  <si>
    <t>WaterSenseShowerheads</t>
  </si>
  <si>
    <t>WaterSenseIrrigation</t>
  </si>
  <si>
    <t>WaterSenseOptionA</t>
  </si>
  <si>
    <t>WaterSenseDishwasher</t>
  </si>
  <si>
    <t>WaterSenseClothesWasher</t>
  </si>
  <si>
    <t>fixed points error on 501.1, added WaterSense</t>
  </si>
  <si>
    <t>5.2.3</t>
  </si>
  <si>
    <t>Removed Verifier Reminder</t>
  </si>
  <si>
    <t>5.2.4</t>
  </si>
  <si>
    <t>corrected Mandatory indication for 701.4.3.1; 703.2.5 not mandatory for Tropical, corrected error indication on Rough Comm. Sig. page</t>
  </si>
  <si>
    <t>5.2.5</t>
  </si>
  <si>
    <t>Rough-In Test:</t>
  </si>
  <si>
    <t>Postconstruction Test:</t>
  </si>
  <si>
    <t>corrected informational display of unit count for 706.5, increased maximum allowed answer for 706.5(3), 602.1.1.1 now allows "N/A" with mandatory note, 703.1.3 test results now need to be entered, 11.705.2.4 no longer available if there are no heating or cooling systems</t>
  </si>
  <si>
    <t>ver7Path</t>
  </si>
  <si>
    <t>5.2.6</t>
  </si>
  <si>
    <t>corrected an error that excluded the ERI path in Ch 7 from Emerald</t>
  </si>
  <si>
    <t>Solar Thermal</t>
  </si>
  <si>
    <t>Tank Volume (gallons):</t>
  </si>
  <si>
    <t>Maximum Heating Rate (Btu/hr):</t>
  </si>
  <si>
    <t>Geothermal</t>
  </si>
  <si>
    <t>Maximum Power (hp):</t>
  </si>
  <si>
    <t>Surface Temperature of Fluid (F):</t>
  </si>
  <si>
    <t>Estimated Reservoir Temperature at 6,500 Feet (F):</t>
  </si>
  <si>
    <t>Number of Wells Drilled:</t>
  </si>
  <si>
    <t>Efficiency (%):</t>
  </si>
  <si>
    <r>
      <t>Collector Area (ft</t>
    </r>
    <r>
      <rPr>
        <vertAlign val="superscript"/>
        <sz val="11"/>
        <color theme="1"/>
        <rFont val="Calibri"/>
        <family val="2"/>
        <scheme val="minor"/>
      </rPr>
      <t>2</t>
    </r>
    <r>
      <rPr>
        <sz val="11"/>
        <color theme="1"/>
        <rFont val="Calibri"/>
        <family val="2"/>
        <scheme val="minor"/>
      </rPr>
      <t>):</t>
    </r>
  </si>
  <si>
    <r>
      <t>Area of Geothermal Field (mi</t>
    </r>
    <r>
      <rPr>
        <vertAlign val="superscript"/>
        <sz val="11"/>
        <color theme="1"/>
        <rFont val="Calibri"/>
        <family val="2"/>
        <scheme val="minor"/>
      </rPr>
      <t>2</t>
    </r>
    <r>
      <rPr>
        <sz val="11"/>
        <color theme="1"/>
        <rFont val="Calibri"/>
        <family val="2"/>
        <scheme val="minor"/>
      </rPr>
      <t>):</t>
    </r>
  </si>
  <si>
    <t>Collector Slope(degrees):</t>
  </si>
  <si>
    <t>Efficiency(%):</t>
  </si>
  <si>
    <t>desBadgesSolarThermalArea</t>
  </si>
  <si>
    <t>desBadgesSolarThermalSlope</t>
  </si>
  <si>
    <t>desBadgesSolarThermalEfficiency</t>
  </si>
  <si>
    <t>desBadgesSolarThermalTankVolume</t>
  </si>
  <si>
    <t>desBadgesSolarThermalHeatingRate</t>
  </si>
  <si>
    <t>desBadgesGeothermalPower</t>
  </si>
  <si>
    <t>desBadgesGeothermalSurfaceTemp</t>
  </si>
  <si>
    <t>desBadgesGeothermalResTemp</t>
  </si>
  <si>
    <t>desBadgesGeothermalFieldArea</t>
  </si>
  <si>
    <t>desBadgesGeothermalWells</t>
  </si>
  <si>
    <t>desBadgesGeothermalEfficiency</t>
  </si>
  <si>
    <t>dntBadgesSolarThermalArea</t>
  </si>
  <si>
    <t>dntBadgesGeothermalPower</t>
  </si>
  <si>
    <t>ddWellnessException</t>
  </si>
  <si>
    <t>505.10(a)</t>
  </si>
  <si>
    <t>505.10(b)</t>
  </si>
  <si>
    <t>505.10(a) &amp; (b)</t>
  </si>
  <si>
    <r>
      <rPr>
        <i/>
        <sz val="11"/>
        <color theme="1"/>
        <rFont val="Calibri"/>
        <family val="2"/>
        <scheme val="minor"/>
      </rPr>
      <t>Exception</t>
    </r>
    <r>
      <rPr>
        <sz val="11"/>
        <color theme="1"/>
        <rFont val="Calibri"/>
        <family val="2"/>
        <scheme val="minor"/>
      </rPr>
      <t>: single-family homes unable to comply with 501.2(3) or 501.2(4) due to the low surrounding developmental density can meet this requirement if they demonstrate that they are within walking distance (0.5 mile) from a community facility that meet the intent of 505.10(a) or 505.10(b), such as a public park or sports facility.</t>
    </r>
  </si>
  <si>
    <t>desBadgesWellnessException</t>
  </si>
  <si>
    <t>5.2.7</t>
  </si>
  <si>
    <t>Version 1.2 / Revised September 2021</t>
  </si>
  <si>
    <t>verBadgesWellnessException</t>
  </si>
  <si>
    <t>verBadgesSolarThermalArea</t>
  </si>
  <si>
    <t>verBadgesSolarThermalSlope</t>
  </si>
  <si>
    <t>verBadgesSolarThermalEfficiency</t>
  </si>
  <si>
    <t>verBadgesSolarThermalTankVolume</t>
  </si>
  <si>
    <t>verBadgesSolarThermalHeatingRate</t>
  </si>
  <si>
    <t>verBadgesGeothermalPower</t>
  </si>
  <si>
    <t>verBadgesGeothermalSurfaceTemp</t>
  </si>
  <si>
    <t>verBadgesGeothermalResTemp</t>
  </si>
  <si>
    <t>verBadgesGeothermalFieldArea</t>
  </si>
  <si>
    <t>verBadgesGeothermalWells</t>
  </si>
  <si>
    <t>verBadgesGeothermalEfficiency</t>
  </si>
  <si>
    <t>vntBadgesSolarThermalArea</t>
  </si>
  <si>
    <t>vntBadgesGeothermalPower</t>
  </si>
  <si>
    <t>Electric Air Conditioner</t>
  </si>
  <si>
    <t>&gt;=4 story MF:</t>
  </si>
  <si>
    <t>Met; Tested</t>
  </si>
  <si>
    <t>Met; Not Tested</t>
  </si>
  <si>
    <t>Summary After ROUGH Inspection</t>
  </si>
  <si>
    <t>See separate summary page for Commercial Space compliance.</t>
  </si>
  <si>
    <t>Summary After FINAL Inspection</t>
  </si>
  <si>
    <t>"</t>
  </si>
  <si>
    <t>Corrected some Ch 7 calculations to check for &gt;= 4 stories rather than &gt;4 stories, 703.1.3 no longer requires test results when testing not required, 703.1 points no longer awarded in Tropical Zone</t>
  </si>
  <si>
    <r>
      <t xml:space="preserve">When the rough portion of the Verification phase is complete, move on to the </t>
    </r>
    <r>
      <rPr>
        <b/>
        <sz val="11"/>
        <color theme="1"/>
        <rFont val="Calibri"/>
        <family val="2"/>
        <scheme val="minor"/>
      </rPr>
      <t>Rough Summary</t>
    </r>
    <r>
      <rPr>
        <sz val="11"/>
        <color theme="1"/>
        <rFont val="Calibri"/>
        <family val="2"/>
        <scheme val="minor"/>
      </rPr>
      <t xml:space="preserve"> page. Fill out the necessary information before submitting the file to Home Innovation.</t>
    </r>
  </si>
  <si>
    <r>
      <t xml:space="preserve">When the final portion of the Verification phase is complete, move to the </t>
    </r>
    <r>
      <rPr>
        <b/>
        <sz val="11"/>
        <color theme="1"/>
        <rFont val="Calibri"/>
        <family val="2"/>
        <scheme val="minor"/>
      </rPr>
      <t>Final Summary</t>
    </r>
    <r>
      <rPr>
        <sz val="11"/>
        <color theme="1"/>
        <rFont val="Calibri"/>
        <family val="2"/>
        <scheme val="minor"/>
      </rPr>
      <t xml:space="preserve"> page. Fill out necessary information before submitting the file to Home Innovation.</t>
    </r>
  </si>
  <si>
    <r>
      <t xml:space="preserve">When the verification is complete, move to the </t>
    </r>
    <r>
      <rPr>
        <b/>
        <sz val="11"/>
        <color theme="1"/>
        <rFont val="Calibri"/>
        <family val="2"/>
        <scheme val="minor"/>
      </rPr>
      <t>Comm. Summary</t>
    </r>
    <r>
      <rPr>
        <sz val="11"/>
        <color theme="1"/>
        <rFont val="Calibri"/>
        <family val="2"/>
        <scheme val="minor"/>
      </rPr>
      <t xml:space="preserve"> page. Fill out the necessary information before submitting to Home Innovation.</t>
    </r>
  </si>
  <si>
    <t>City</t>
  </si>
  <si>
    <t>Zip</t>
  </si>
  <si>
    <t>• A batch can consist of 2-50 buildings.</t>
  </si>
  <si>
    <t>• Batch submission is at the discretion of the verifier. A building can be removed from a batch at any time and submitted separately.</t>
  </si>
  <si>
    <t>• All buildings within a batch must be built by the same builder and be located within the same county.</t>
  </si>
  <si>
    <t>• Photos for each building are to be submitted, each titled with their respective Project ID.</t>
  </si>
  <si>
    <t>Enter on Rough Summary page</t>
  </si>
  <si>
    <t>Solar Thermal and Geothermal sections added to Net Zero Energy badge, SF exception added to Wellness badge, signatures removed and page names changed</t>
  </si>
  <si>
    <t>5.2.8</t>
  </si>
  <si>
    <t>Corrected leakage display for 703.2.4, 13.104.1.9 changed to Core &amp; Shell, 902.3.1 is now considered passive and has had its points adjusted</t>
  </si>
  <si>
    <t>See 701.4.3.1</t>
  </si>
  <si>
    <t>703.1.2 no longer unavailable when 701.4.3.3 exception selected</t>
  </si>
  <si>
    <t>5.2.9</t>
  </si>
  <si>
    <t>Dominican Republic</t>
  </si>
  <si>
    <t>DR</t>
  </si>
  <si>
    <t>Azua</t>
  </si>
  <si>
    <t>Baoruco</t>
  </si>
  <si>
    <t>Barahona</t>
  </si>
  <si>
    <t>Dajabón</t>
  </si>
  <si>
    <t>Distrito Nacional</t>
  </si>
  <si>
    <t>Duarte</t>
  </si>
  <si>
    <t>Elías Piña</t>
  </si>
  <si>
    <t>El Seibo</t>
  </si>
  <si>
    <t>Espaillat</t>
  </si>
  <si>
    <t>Hato Mayor</t>
  </si>
  <si>
    <t>Hermanas Mirabal</t>
  </si>
  <si>
    <t>Independencia</t>
  </si>
  <si>
    <t>La Altagracia</t>
  </si>
  <si>
    <t>La Romana</t>
  </si>
  <si>
    <t>La Vega</t>
  </si>
  <si>
    <t>María Trinidad Sánchez</t>
  </si>
  <si>
    <t>Monseñor Nouel</t>
  </si>
  <si>
    <t>Monte Cristi</t>
  </si>
  <si>
    <t>Monte Plata</t>
  </si>
  <si>
    <t>Pedernales</t>
  </si>
  <si>
    <t>Peravia</t>
  </si>
  <si>
    <t>Puerto Plata</t>
  </si>
  <si>
    <t>Samaná</t>
  </si>
  <si>
    <t>Sánchez Ramírez</t>
  </si>
  <si>
    <t>San Cristóbal</t>
  </si>
  <si>
    <t>San José de Ocoa</t>
  </si>
  <si>
    <t>San Pedro de Macorís</t>
  </si>
  <si>
    <t>Santiago</t>
  </si>
  <si>
    <t>Santiago Rodríguez</t>
  </si>
  <si>
    <t>Santo Domingo</t>
  </si>
  <si>
    <t>Valverde</t>
  </si>
  <si>
    <t>All shower compartments in the dwelling unit(s) or sleeping unit(s) and common areas meet the requirements of 802.4(1) and all showerheads are in accordance with one of the following:</t>
  </si>
  <si>
    <t>added Dominican Republic to location options; corrected text of 802.4(2), 13.105.5, 13.105.6, and 13.105.11.3; changed 505.3 to dropdown; added note to 13.105.8.1</t>
  </si>
  <si>
    <t>5.2.10</t>
  </si>
  <si>
    <t>Corrected Points Filter for 505.6; Corrected final level capping for "Alternate Bronze"</t>
  </si>
  <si>
    <t>GRESB Checklist</t>
  </si>
  <si>
    <t>DRE1 ESG strategy during development</t>
  </si>
  <si>
    <t>• Biodiversity and habitat</t>
  </si>
  <si>
    <t>• Building safety</t>
  </si>
  <si>
    <t>• Energy consumption</t>
  </si>
  <si>
    <t>• Greenhouse gas emissions</t>
  </si>
  <si>
    <t>• Health and well-being</t>
  </si>
  <si>
    <t>• Indoor environmental quality</t>
  </si>
  <si>
    <t>• Life-cycle assessments/embodied carbon</t>
  </si>
  <si>
    <t>• Location and transportation</t>
  </si>
  <si>
    <t>• Material sourcing</t>
  </si>
  <si>
    <t>• Net-zero/carbon neutral design</t>
  </si>
  <si>
    <t>• Pollution prevention</t>
  </si>
  <si>
    <t>• Renewable energy</t>
  </si>
  <si>
    <t>• Resilience to catastrophe/disaster</t>
  </si>
  <si>
    <t>• Site selection and land use</t>
  </si>
  <si>
    <t>• Sustainable procurement</t>
  </si>
  <si>
    <t>• Waste management</t>
  </si>
  <si>
    <t>• Water consumption</t>
  </si>
  <si>
    <t>DRE2 Site selection requirements</t>
  </si>
  <si>
    <t>• Connect to multi-modal transit networks</t>
  </si>
  <si>
    <t>• Locate projects within existing developed areas</t>
  </si>
  <si>
    <t>• Protect, restore, and conserve aquatic ecosystems</t>
  </si>
  <si>
    <t>• Protect, restore, and conserve farmland</t>
  </si>
  <si>
    <t xml:space="preserve">• Protect, restore, and conserve floodplain functions </t>
  </si>
  <si>
    <t xml:space="preserve">• Protect, restore, and conserve habitats for native, threatened and endangered species </t>
  </si>
  <si>
    <t>• Protect, restore, and conserve historical and heritage sites</t>
  </si>
  <si>
    <t>• Redevelop brownfield sites</t>
  </si>
  <si>
    <t>DRE3 Site Design and Construction Requirements</t>
  </si>
  <si>
    <t xml:space="preserve">• Manage waste by diverting construction and demolition materials from disposal </t>
  </si>
  <si>
    <t xml:space="preserve">• Manage waste by diverting reusable vegetation, rocks, and soil from disposal </t>
  </si>
  <si>
    <t>• Minimize light pollution to the surrounding community</t>
  </si>
  <si>
    <t>• Minimize noise pollution to the surrounding community</t>
  </si>
  <si>
    <t>• Perform environmental site assessment</t>
  </si>
  <si>
    <t>• Protect air quality during construction</t>
  </si>
  <si>
    <t xml:space="preserve">• Protect and restore habitat and soils disturbed during construction and/or during previous development </t>
  </si>
  <si>
    <t xml:space="preserve">• Protect surface water and aquatic ecosystems by controlling and retaining construction pollutants </t>
  </si>
  <si>
    <t>DMA1 Materials selection requirements</t>
  </si>
  <si>
    <t xml:space="preserve">Requirement for disclosure about the environmental and/or health attributes of building materials </t>
  </si>
  <si>
    <t>• Environmental Product Declarations</t>
  </si>
  <si>
    <t>• Health Product Declarations</t>
  </si>
  <si>
    <t>Material characteristics specification</t>
  </si>
  <si>
    <t>• Locally extracted or recovered materials</t>
  </si>
  <si>
    <t>• Low embodied carbon materials</t>
  </si>
  <si>
    <t>• Low-emitting VOC materials</t>
  </si>
  <si>
    <t>• Materials and packaging that can easily be recycled</t>
  </si>
  <si>
    <t xml:space="preserve">• Materials that disclose environmental impacts </t>
  </si>
  <si>
    <t xml:space="preserve">• Materials that disclose potential health hazards </t>
  </si>
  <si>
    <t>• Rapidly renewable materials and recycled content materials</t>
  </si>
  <si>
    <t>• “Red list” of prohibited materials or ingredients that should not be used on the basis of their human and/or environmental impacts</t>
  </si>
  <si>
    <t xml:space="preserve">• Third-party certified wood-based materials and products </t>
  </si>
  <si>
    <t>DMA2.1 Life cycle assessments</t>
  </si>
  <si>
    <t>Does the entity assess the life cycle emissions of its development projects?</t>
  </si>
  <si>
    <t>DEN1 Energy efficiency requirements</t>
  </si>
  <si>
    <t>Requirements for planning and design include</t>
  </si>
  <si>
    <t>• Development and implementation of a commissioning plan</t>
  </si>
  <si>
    <t>• Integrative design process</t>
  </si>
  <si>
    <t>• To exceed relevant energy codes or standards</t>
  </si>
  <si>
    <t>• Requirements for minimum energy use intensity post-occupancy</t>
  </si>
  <si>
    <t>Common energy efficiency measures</t>
  </si>
  <si>
    <t>• Air conditioning</t>
  </si>
  <si>
    <t>• Commissioning</t>
  </si>
  <si>
    <t>• Energy modeling</t>
  </si>
  <si>
    <t>• High-efficiency equipment and appliances</t>
  </si>
  <si>
    <t>• Lighting</t>
  </si>
  <si>
    <t>• Occupant controls</t>
  </si>
  <si>
    <t>• Passive Design</t>
  </si>
  <si>
    <t>• Space Heating</t>
  </si>
  <si>
    <t>• Ventilation</t>
  </si>
  <si>
    <t>• Water Heating</t>
  </si>
  <si>
    <t xml:space="preserve">Operational energy efficiency monitoring </t>
  </si>
  <si>
    <t>• Building energy management systems</t>
  </si>
  <si>
    <t>• Energy use analytics</t>
  </si>
  <si>
    <t>• Post-construction energy monitoring</t>
  </si>
  <si>
    <t>• Sub-meter</t>
  </si>
  <si>
    <t>DEN2.1 On-site renewable energy</t>
  </si>
  <si>
    <t>• Average design target for the fraction of total energy demand met with on-site renewable energy</t>
  </si>
  <si>
    <t>DWT1 Water conservation strategy</t>
  </si>
  <si>
    <t xml:space="preserve">Requirements for planning and design </t>
  </si>
  <si>
    <t>• Integrative design for water conservation</t>
  </si>
  <si>
    <t>• Requirements for indoor water efficiency</t>
  </si>
  <si>
    <t>• Requirements for outdoor water efficiency</t>
  </si>
  <si>
    <t>• Requirements for process water efficiency</t>
  </si>
  <si>
    <t>• Requirements for water supply</t>
  </si>
  <si>
    <t>• Requirements for minimum water use intensity post-occupancy</t>
  </si>
  <si>
    <t>Common water efficiency measures</t>
  </si>
  <si>
    <t>• Commissioning of water systems</t>
  </si>
  <si>
    <t>• Drip/smart irrigation</t>
  </si>
  <si>
    <t>• Drought tolerant/low-water landscaping</t>
  </si>
  <si>
    <t>• High-efficiency/dry fixtures</t>
  </si>
  <si>
    <t>• Leak detection system</t>
  </si>
  <si>
    <t>• Occupant sensors</t>
  </si>
  <si>
    <t>• On-site wastewater treatment</t>
  </si>
  <si>
    <t>• Reuse of stormwater and greywater for non-potable applications</t>
  </si>
  <si>
    <t>Operational water efficiency monitoring</t>
  </si>
  <si>
    <t>• Post-construction water monitoring</t>
  </si>
  <si>
    <t>• Water use analytics</t>
  </si>
  <si>
    <t>DWS1 Waste management strategy</t>
  </si>
  <si>
    <t>Management and construction practices</t>
  </si>
  <si>
    <t>Construction waste signage</t>
  </si>
  <si>
    <t>Diversion rate requirements</t>
  </si>
  <si>
    <t>Education of employees/contractors on waste management</t>
  </si>
  <si>
    <t>Incentives for contractors for recovering, reusing and recycling building materials</t>
  </si>
  <si>
    <t>Targets for waste stream recovery, reuse and recycling</t>
  </si>
  <si>
    <t>Waste management plans</t>
  </si>
  <si>
    <t>Waste separation facilities</t>
  </si>
  <si>
    <t>On-site waste monitoring</t>
  </si>
  <si>
    <t>Hazardous waste monitoring/audit</t>
  </si>
  <si>
    <t>Non-hazardous waste monitoring/audit</t>
  </si>
  <si>
    <t>DSE1 Health and Well-being</t>
  </si>
  <si>
    <t>Requirements for planning and design</t>
  </si>
  <si>
    <t>• Health Impact Assessment</t>
  </si>
  <si>
    <t>• Integrated planning process</t>
  </si>
  <si>
    <t>• Other planning processes</t>
  </si>
  <si>
    <t>Common occupant health and well-being measures</t>
  </si>
  <si>
    <t>• Acoustic comfort</t>
  </si>
  <si>
    <t>• Active design features</t>
  </si>
  <si>
    <t>• Biophilic design</t>
  </si>
  <si>
    <t>• Daylight</t>
  </si>
  <si>
    <t>• Ergonomic workplace</t>
  </si>
  <si>
    <t>• Humidity</t>
  </si>
  <si>
    <t>• Illumination</t>
  </si>
  <si>
    <t>• Inclusive design</t>
  </si>
  <si>
    <t>• Indoor air quality</t>
  </si>
  <si>
    <t>• Natural ventilation</t>
  </si>
  <si>
    <t>• Physical activity</t>
  </si>
  <si>
    <t>• Thermal comfort</t>
  </si>
  <si>
    <t>• Water quality</t>
  </si>
  <si>
    <t>Provisions to verify health and well-being performance include</t>
  </si>
  <si>
    <t>• Occupant education</t>
  </si>
  <si>
    <t xml:space="preserve">• Post-construction health and well-being monitoring (e.g. occupant comfort and satisfaction) </t>
  </si>
  <si>
    <t>DBC1.1 Green building standard requirements</t>
  </si>
  <si>
    <t>Does the entity’s development portfolio include projects that are aligned with green building rating standards?</t>
  </si>
  <si>
    <t>• 1-The entity requires projects to align with requirements of a third-party green building rating system but does not require certification</t>
  </si>
  <si>
    <t>• 2-The entity requires projects to achieve certification  with a green building rating system but does not require a specific level of certification</t>
  </si>
  <si>
    <t>• 3-The entity requires projects to achieve a specific level of certification</t>
  </si>
  <si>
    <t>2020 NGBS Practice or NGBS Green+ Certification</t>
  </si>
  <si>
    <t>503.1 Natural resources, 503.6 Wildlife habitat and 503.7 (2) Environmentally sensitive areas</t>
  </si>
  <si>
    <t>706.1 Energy consumption control</t>
  </si>
  <si>
    <t>NGBS Green Building Certification (Bronze, Silver, Gold or Emerald)</t>
  </si>
  <si>
    <t>NGBS Green+ WELLNESS Certification</t>
  </si>
  <si>
    <t>904 Indoor Air Quality</t>
  </si>
  <si>
    <t>610 Life Cycle Assessment</t>
  </si>
  <si>
    <t>501.2 Multi-modal transportation</t>
  </si>
  <si>
    <t>608.1 Resource-efficient materials and 609.1 Regional Materials</t>
  </si>
  <si>
    <t>NGBS Green+ NET ZERO ENERGY Certification</t>
  </si>
  <si>
    <t>902 Pollutant Control</t>
  </si>
  <si>
    <t>706.2 Renewable energy service plan and 706.5 On-site renewable energy system</t>
  </si>
  <si>
    <t>613 Resilient Construction and NGBS Green+ Resilience Certification</t>
  </si>
  <si>
    <t>501.1 Lot</t>
  </si>
  <si>
    <t>605.2 Construction waste management plan</t>
  </si>
  <si>
    <t>Water Rating Index (WRI) Score and NGBS Green+ ZERO WATER</t>
  </si>
  <si>
    <t>503.7 (2) Environmentally sensitive areas</t>
  </si>
  <si>
    <t>503.4 Stormwater management</t>
  </si>
  <si>
    <t>503.6 Wildlife Habitat</t>
  </si>
  <si>
    <t xml:space="preserve">501.1 (2)(c) Lot </t>
  </si>
  <si>
    <t>503.8 Demolition of existing building and 605 Recycled Construction Waste</t>
  </si>
  <si>
    <t>605.3 (a) On-site recycling</t>
  </si>
  <si>
    <t>503.4 Stormwater management and 503.1 Natural resources</t>
  </si>
  <si>
    <t>504.3 Soil Disturbance and erosion implementation</t>
  </si>
  <si>
    <t>611.1 Product Declarations</t>
  </si>
  <si>
    <t>609.1 Regional Materials</t>
  </si>
  <si>
    <t>606.3 Manufacturing energy and 610 Life Cycle Assessment</t>
  </si>
  <si>
    <t>901.4 Wood Materials, 901.5 Cabinets, 901.7 Floor Materials, 901.8 Wall Coverings, 901.9 Interior Architecural coatings, 901.10 Interior Adhesives and Sealants, 901.11 Insulation, 901.12 Furniture and Furnishings</t>
  </si>
  <si>
    <t>605.4 Recycled Construction Materials</t>
  </si>
  <si>
    <t>604 Recycled- Content Building Materials</t>
  </si>
  <si>
    <t>606.2 Wood-based products</t>
  </si>
  <si>
    <t>Section 610 Life Cycle Assessment</t>
  </si>
  <si>
    <t>Chapter 7</t>
  </si>
  <si>
    <t>701.4.1.1 HVAC Systems, 703.3 HVAC Equipment Efficiency and 705.5 HVAC Design and Installation</t>
  </si>
  <si>
    <t>703.6.2 Appliances</t>
  </si>
  <si>
    <t>705.2.1 Lighting Controls and 706.1 Energy Consumption Controls</t>
  </si>
  <si>
    <t>703.3 HVAC Equipment Efficiency</t>
  </si>
  <si>
    <t>703.5.1 Water Heating System</t>
  </si>
  <si>
    <t>706.14 Third party utility benchmarking</t>
  </si>
  <si>
    <t>1004.1 (2) Verification System</t>
  </si>
  <si>
    <t>705.7 Submetering System</t>
  </si>
  <si>
    <t>706.5 On-site renewable energy system</t>
  </si>
  <si>
    <t>Chapter 8, Water Rating Index (WRI) Score and NGBS Green+ ZERO WATER</t>
  </si>
  <si>
    <t>802.6.5 Commissioning and water use reduction for irrigation systems</t>
  </si>
  <si>
    <t>802.6.3 Drip irrigation and 802.6.4 (1) Smart irrigation controller</t>
  </si>
  <si>
    <t>503.5 (1),(4),(5) Landscape plan</t>
  </si>
  <si>
    <t>802.2  Water-conserving appliances</t>
  </si>
  <si>
    <t>803.3 Automatic leak detection and control devices</t>
  </si>
  <si>
    <t>802.5.3 Self-closing valve, motion sensor, metering or pedal activated faucet</t>
  </si>
  <si>
    <t>803.6 Advanced wastewater treatment system</t>
  </si>
  <si>
    <t>803.1 Reclaimed, grey or recycled water and 802.7 Rainwater collection and distribution</t>
  </si>
  <si>
    <t>802.3 Water usage metering</t>
  </si>
  <si>
    <t>1002.2 (5) Operations manual</t>
  </si>
  <si>
    <t>607.1 Recycling and composting</t>
  </si>
  <si>
    <t>605.1 Hazardous waste</t>
  </si>
  <si>
    <t>905.4 Sound barrier</t>
  </si>
  <si>
    <t>501.2 Multi-modal transportation, 505.4 Mixed-use development, 505.10 Exercise and recreational space</t>
  </si>
  <si>
    <t>606.1 Biobased products; 505.2 Heat island mitigation; 505.5 Community garden</t>
  </si>
  <si>
    <t>705.5.1 HVAC design and installation and 705.6.1 Installation and performance verification</t>
  </si>
  <si>
    <t>703.2.5 Fenestration and 703.7.2 Window shading and 705.2.2 TDDs and Skylights</t>
  </si>
  <si>
    <t>905.1 Humidity monitoring system and 903.3 Relative humidity</t>
  </si>
  <si>
    <t>505.10 (c) Active play/ recreation areas are illuminated at night and 705.2.1.2 Exterior lighting</t>
  </si>
  <si>
    <t>612.3 Universal design elements and NGBS Green+ UNIVERSAL DESIGN</t>
  </si>
  <si>
    <t>905.3 Enhanced air ventilations</t>
  </si>
  <si>
    <t>902.1 Spot ventilation and 902.2 Building ventilation systems</t>
  </si>
  <si>
    <t>612.3(9) Universal Design and 705.2.1 Lighting controls</t>
  </si>
  <si>
    <t>505.10 Exercise and recreational space</t>
  </si>
  <si>
    <t>802.9 Water treatment devices</t>
  </si>
  <si>
    <r>
      <t xml:space="preserve">1001.2 Training of initial homeowners </t>
    </r>
    <r>
      <rPr>
        <u/>
        <sz val="11"/>
        <rFont val="Calibri"/>
        <family val="2"/>
        <scheme val="minor"/>
      </rPr>
      <t>OR</t>
    </r>
    <r>
      <rPr>
        <sz val="11"/>
        <rFont val="Calibri"/>
        <family val="2"/>
        <scheme val="minor"/>
      </rPr>
      <t xml:space="preserve"> 1002.6 Training of multifamily occupants</t>
    </r>
  </si>
  <si>
    <t>• Climate/climate change adaptation</t>
  </si>
  <si>
    <t>• Green building certifications</t>
  </si>
  <si>
    <t>5.2.11</t>
  </si>
  <si>
    <t>The Global Real Estate Sustainability Benchmarking, or GRESB, is a framework that measures the ESG (Environmental, Social and Governance) performance of a company's real estate portfolio. Real estate developers and property managers will self-report their building performance and operations information to GRESB, where it is validated and benchmarked against the companies’ peers. To learn more about GRESB, visit www.gresb.com.
Green building certifications like NGBS Green offer credible validation of ESG efforts and can contribute toward a higher GRESB score and/or ranking. By pursuing NGBS Green Certification, investors and property managers can fulfill many indicators within the "Development" section of GRESB. Visit www.HomeInnovation.com/ESG to learn more.
This NGBS-GRESB checklist identifies the GRESB indicators that are fulfilled by NGBS compliance. The checklist is for informational purposes; GRESB indicators that are "met" on this checklist are not guaranteed. When reporting to GRESB, proper and sufficient evidence is required to receive credit.</t>
  </si>
  <si>
    <t>703.7.3 Passive Cooling Design and 703.7.4 Passive solar heating design</t>
  </si>
  <si>
    <t>905.5</t>
  </si>
  <si>
    <r>
      <t>905.5 Evaporative coil mold prevention.</t>
    </r>
    <r>
      <rPr>
        <sz val="10"/>
        <rFont val="Calibri"/>
        <family val="2"/>
        <scheme val="minor"/>
      </rPr>
      <t xml:space="preserve"> For buildings with a mechanical system for cooling, ultraviolet lamps are installed on the cooling coils and drain pans of the mechanical system supplies. Lamps produce ultraviolet radiation at a wavelength of 254 nm so as not to generate ozone. Lamps have ballasts housed in a NEMA-rated enclosure. </t>
    </r>
  </si>
  <si>
    <t>Added GRESB sheets, adjusted error logic for 901.13, 905.5 number corrected</t>
  </si>
  <si>
    <t>5.2.12</t>
  </si>
  <si>
    <t>corrected points calc for 1002.5</t>
  </si>
  <si>
    <t>5.2.13</t>
  </si>
  <si>
    <t>DEN2.2 Net zero carbon design and standards</t>
  </si>
  <si>
    <t>Does the entity’s portfolio include any buildings designed to meet net zero carbon?</t>
  </si>
  <si>
    <t>The entity’s definition of “net zero carbon” includes:</t>
  </si>
  <si>
    <r>
      <rPr>
        <sz val="8"/>
        <rFont val="Calibri"/>
        <family val="2"/>
      </rPr>
      <t xml:space="preserve">● </t>
    </r>
    <r>
      <rPr>
        <sz val="11"/>
        <rFont val="Calibri"/>
        <family val="2"/>
      </rPr>
      <t>Net zero carbon - construction</t>
    </r>
  </si>
  <si>
    <r>
      <rPr>
        <sz val="8"/>
        <rFont val="Calibri"/>
        <family val="2"/>
      </rPr>
      <t xml:space="preserve">● </t>
    </r>
    <r>
      <rPr>
        <sz val="11"/>
        <rFont val="Calibri"/>
        <family val="2"/>
      </rPr>
      <t>Net zero carbon - operational energy</t>
    </r>
  </si>
  <si>
    <r>
      <rPr>
        <sz val="8"/>
        <rFont val="Calibri"/>
        <family val="2"/>
      </rPr>
      <t xml:space="preserve">● </t>
    </r>
    <r>
      <rPr>
        <sz val="11"/>
        <rFont val="Calibri"/>
        <family val="2"/>
      </rPr>
      <t>Other: ____________</t>
    </r>
  </si>
  <si>
    <t>The entity uses net zero carbon code/standard:</t>
  </si>
  <si>
    <r>
      <rPr>
        <sz val="8"/>
        <rFont val="Calibri"/>
        <family val="2"/>
      </rPr>
      <t xml:space="preserve">● </t>
    </r>
    <r>
      <rPr>
        <sz val="11"/>
        <rFont val="Calibri"/>
        <family val="2"/>
      </rPr>
      <t>National/local green building council standard</t>
    </r>
  </si>
  <si>
    <r>
      <rPr>
        <sz val="8"/>
        <rFont val="Calibri"/>
        <family val="2"/>
      </rPr>
      <t xml:space="preserve">● </t>
    </r>
    <r>
      <rPr>
        <sz val="11"/>
        <rFont val="Calibri"/>
        <family val="2"/>
      </rPr>
      <t>National/local government standard</t>
    </r>
  </si>
  <si>
    <r>
      <rPr>
        <sz val="8"/>
        <rFont val="Calibri"/>
        <family val="2"/>
      </rPr>
      <t xml:space="preserve">● </t>
    </r>
    <r>
      <rPr>
        <sz val="11"/>
        <rFont val="Calibri"/>
        <family val="2"/>
      </rPr>
      <t>International standard</t>
    </r>
  </si>
  <si>
    <t>NGBS Green+ NET ZERO ENERGY</t>
  </si>
  <si>
    <t>701.4.1.1 HVAC Systems, 703.3 HVAC Equipment Efficiency and 705.5 HVAC Verification and Installation</t>
  </si>
  <si>
    <t>703.7.3 Passive Cooling Verification and 703.7.4 Passive solar heating Verification</t>
  </si>
  <si>
    <t>705.5.1 HVAC Verification and installation and 705.6.1 Installation and performance verification</t>
  </si>
  <si>
    <t>612.3 Universal Verification elements and NGBS Green+ UNIVERSAL Verification</t>
  </si>
  <si>
    <t>612.3(9) Universal Verification and 705.2.1 Lighting controls</t>
  </si>
  <si>
    <t>corrected points formula for 602.1.12, added new GRESB section</t>
  </si>
  <si>
    <t>500 LOT DESIGN, PREPARATION AND DEVELOPMENT</t>
  </si>
  <si>
    <t>5.2.14</t>
  </si>
  <si>
    <t>max ACH:</t>
  </si>
  <si>
    <t>max ELR:</t>
  </si>
  <si>
    <t>SAMPLING – MULTIFAMILY AND SINGLE-FAMILY BUILD-TO-RENT.</t>
  </si>
  <si>
    <t>fixed a broken Excel link; some minor indicating text added or adjusted; 703.1.2 ELR limit now considers number of stories; sampling now allowed for SF build-to-rent</t>
  </si>
  <si>
    <t>Weyerhaeuser NextPhase Site Solutions</t>
  </si>
  <si>
    <t>BamCore Prime Wall System / Superior Walls Insulated Precast Concrete Walls</t>
  </si>
  <si>
    <t>Weyerhaeuser Trus Joist</t>
  </si>
  <si>
    <t>Boise Cascade Versa-Lam / Boise Cascade Versa-Rim</t>
  </si>
  <si>
    <t>Insinkerator Food Waste Disposer</t>
  </si>
  <si>
    <t>NGBS Green Verifier</t>
  </si>
  <si>
    <t>Niagara Corp. Toilets</t>
  </si>
  <si>
    <t>Timberlake Kitchen and Bathroom Cabinetry</t>
  </si>
  <si>
    <t>ABC Builder</t>
  </si>
  <si>
    <t>Durham</t>
  </si>
  <si>
    <t>Electric Air Conditiner</t>
  </si>
  <si>
    <t>123 Example Drive</t>
  </si>
  <si>
    <t>Lot 1A</t>
  </si>
  <si>
    <t>27703</t>
  </si>
  <si>
    <t/>
  </si>
  <si>
    <t>BamCore Prime Wall System</t>
  </si>
  <si>
    <t>Hardie™ Weather Barrier</t>
  </si>
  <si>
    <t>Hardie™ Pro-Flashing</t>
  </si>
  <si>
    <t>Hardie® Backer Cement Boards with MoldBLock® Technology</t>
  </si>
  <si>
    <t>Aeroseal Aerosol Air Duct Sealing</t>
  </si>
  <si>
    <t>Boise Cascade BCI® Joists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</si>
</sst>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quot;)&quot;"/>
    <numFmt numFmtId="165" formatCode="0&quot; square feet&quot;"/>
    <numFmt numFmtId="166" formatCode="0.0%"/>
    <numFmt numFmtId="167" formatCode="0&quot; products&quot;"/>
    <numFmt numFmtId="168" formatCode="0.0"/>
    <numFmt numFmtId="169" formatCode="0.000"/>
    <numFmt numFmtId="170" formatCode="0&quot; inches&quot;"/>
    <numFmt numFmtId="171" formatCode="0&quot; Additional&quot;"/>
    <numFmt numFmtId="172" formatCode="0&quot; system(s)&quot;"/>
    <numFmt numFmtId="173" formatCode="0&quot; kW&quot;"/>
    <numFmt numFmtId="174" formatCode="&quot;per &quot;0&quot; square feet&quot;"/>
    <numFmt numFmtId="175" formatCode="0&quot; luminaires&quot;"/>
    <numFmt numFmtId="176" formatCode="0&quot; timer(s)&quot;"/>
    <numFmt numFmtId="177" formatCode="0&quot; humidistat(s)&quot;"/>
    <numFmt numFmtId="178" formatCode="0&quot; fan(s)&quot;"/>
    <numFmt numFmtId="179" formatCode="0_);[Red]\(0\)"/>
    <numFmt numFmtId="180" formatCode="mm/dd/yy;@"/>
    <numFmt numFmtId="181" formatCode="0&quot; kWh&quot;"/>
    <numFmt numFmtId="182" formatCode="0&quot; meter(s)&quot;"/>
    <numFmt numFmtId="183" formatCode="0&quot; sensor package(s)&quot;"/>
    <numFmt numFmtId="184" formatCode="0&quot; unit(s)&quot;"/>
    <numFmt numFmtId="185" formatCode="0.000&quot; units per acre&quot;"/>
    <numFmt numFmtId="186" formatCode="0.0&quot; pCi/L&quot;"/>
    <numFmt numFmtId="187" formatCode="0&quot; gallons&quot;"/>
    <numFmt numFmtId="188" formatCode="0&quot; degrees&quot;"/>
    <numFmt numFmtId="189" formatCode="0&quot; hp&quot;"/>
    <numFmt numFmtId="190" formatCode="0&quot; degrees F&quot;"/>
    <numFmt numFmtId="191" formatCode="0&quot; square miles&quot;"/>
    <numFmt numFmtId="192" formatCode="0&quot; BTU/hr&quot;"/>
  </numFmts>
  <fonts count="10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4"/>
      <color theme="1"/>
      <name val="Calibri"/>
      <family val="2"/>
      <scheme val="minor"/>
    </font>
    <font>
      <u/>
      <sz val="10"/>
      <color indexed="12"/>
      <name val="Calibri"/>
      <family val="2"/>
      <scheme val="minor"/>
    </font>
    <font>
      <sz val="14"/>
      <color theme="0"/>
      <name val="Calibri"/>
      <family val="2"/>
      <scheme val="minor"/>
    </font>
    <font>
      <u/>
      <sz val="11"/>
      <color theme="11"/>
      <name val="Calibri"/>
      <family val="2"/>
      <scheme val="minor"/>
    </font>
    <font>
      <b/>
      <sz val="11"/>
      <color rgb="FFFF0000"/>
      <name val="Calibri"/>
      <family val="2"/>
      <scheme val="minor"/>
    </font>
    <font>
      <sz val="9"/>
      <color theme="0"/>
      <name val="Calibri"/>
      <family val="2"/>
      <scheme val="minor"/>
    </font>
    <font>
      <b/>
      <sz val="10"/>
      <color theme="1"/>
      <name val="Calibri"/>
      <family val="2"/>
      <scheme val="minor"/>
    </font>
    <font>
      <b/>
      <sz val="10"/>
      <color theme="1"/>
      <name val="Calibri"/>
      <family val="2"/>
    </font>
    <font>
      <sz val="10"/>
      <color theme="1"/>
      <name val="Calibri"/>
      <family val="2"/>
    </font>
    <font>
      <sz val="11"/>
      <color rgb="FF37CBFF"/>
      <name val="Calibri"/>
      <family val="2"/>
      <scheme val="minor"/>
    </font>
    <font>
      <sz val="10"/>
      <name val="Calibri"/>
      <family val="2"/>
    </font>
    <font>
      <sz val="12"/>
      <color theme="0"/>
      <name val="Calibri"/>
      <family val="2"/>
      <scheme val="minor"/>
    </font>
    <font>
      <i/>
      <sz val="10"/>
      <color theme="1"/>
      <name val="Calibri"/>
      <family val="2"/>
      <scheme val="minor"/>
    </font>
    <font>
      <b/>
      <sz val="12"/>
      <name val="Calibri"/>
      <family val="2"/>
    </font>
    <font>
      <vertAlign val="superscript"/>
      <sz val="10"/>
      <color theme="1"/>
      <name val="Calibri"/>
      <family val="2"/>
      <scheme val="minor"/>
    </font>
    <font>
      <b/>
      <vertAlign val="superscript"/>
      <sz val="10"/>
      <color theme="1"/>
      <name val="Calibri"/>
      <family val="2"/>
      <scheme val="minor"/>
    </font>
    <font>
      <b/>
      <i/>
      <sz val="10"/>
      <color theme="1"/>
      <name val="Calibri"/>
      <family val="2"/>
      <scheme val="minor"/>
    </font>
    <font>
      <sz val="7"/>
      <color theme="1"/>
      <name val="Times New Roman"/>
      <family val="1"/>
    </font>
    <font>
      <sz val="10"/>
      <color rgb="FF000000"/>
      <name val="Calibri"/>
      <family val="2"/>
      <scheme val="minor"/>
    </font>
    <font>
      <i/>
      <sz val="10"/>
      <color theme="1"/>
      <name val="Symbol"/>
      <family val="1"/>
      <charset val="2"/>
    </font>
    <font>
      <b/>
      <sz val="10"/>
      <color rgb="FFFF0000"/>
      <name val="Calibri"/>
      <family val="2"/>
      <scheme val="minor"/>
    </font>
    <font>
      <vertAlign val="subscript"/>
      <sz val="10"/>
      <color theme="1"/>
      <name val="Calibri"/>
      <family val="2"/>
    </font>
    <font>
      <i/>
      <vertAlign val="subscript"/>
      <sz val="10"/>
      <color theme="1"/>
      <name val="Calibri"/>
      <family val="2"/>
    </font>
    <font>
      <b/>
      <sz val="10"/>
      <color rgb="FF000000"/>
      <name val="Calibri"/>
      <family val="2"/>
      <scheme val="minor"/>
    </font>
    <font>
      <b/>
      <sz val="10"/>
      <color theme="0"/>
      <name val="Calibri"/>
      <family val="2"/>
      <scheme val="minor"/>
    </font>
    <font>
      <b/>
      <sz val="10"/>
      <color theme="0"/>
      <name val="Calibri"/>
      <family val="2"/>
    </font>
    <font>
      <sz val="11"/>
      <name val="Calibri"/>
      <family val="2"/>
      <scheme val="minor"/>
    </font>
    <font>
      <i/>
      <vertAlign val="superscript"/>
      <sz val="10"/>
      <color theme="1"/>
      <name val="Calibri"/>
      <family val="2"/>
      <scheme val="minor"/>
    </font>
    <font>
      <sz val="10"/>
      <color rgb="FFFF0000"/>
      <name val="Calibri"/>
      <family val="2"/>
      <scheme val="minor"/>
    </font>
    <font>
      <sz val="10"/>
      <color rgb="FF000000"/>
      <name val="Calibri"/>
      <family val="2"/>
    </font>
    <font>
      <sz val="7"/>
      <color rgb="FF000000"/>
      <name val="Times New Roman"/>
      <family val="1"/>
    </font>
    <font>
      <vertAlign val="superscript"/>
      <sz val="10"/>
      <color rgb="FF000000"/>
      <name val="Calibri"/>
      <family val="2"/>
      <scheme val="minor"/>
    </font>
    <font>
      <u/>
      <sz val="10"/>
      <color theme="1"/>
      <name val="Calibri"/>
      <family val="2"/>
    </font>
    <font>
      <vertAlign val="superscript"/>
      <sz val="10"/>
      <color theme="1"/>
      <name val="Calibri"/>
      <family val="2"/>
    </font>
    <font>
      <b/>
      <sz val="10"/>
      <color rgb="FF000000"/>
      <name val="Calibri"/>
      <family val="2"/>
    </font>
    <font>
      <b/>
      <sz val="10"/>
      <name val="Calibri"/>
      <family val="2"/>
      <scheme val="minor"/>
    </font>
    <font>
      <b/>
      <vertAlign val="superscript"/>
      <sz val="10"/>
      <color theme="1"/>
      <name val="Calibri"/>
      <family val="2"/>
    </font>
    <font>
      <sz val="8"/>
      <color theme="1"/>
      <name val="Calibri"/>
      <family val="2"/>
    </font>
    <font>
      <u/>
      <sz val="10"/>
      <color theme="10"/>
      <name val="Calibri"/>
      <family val="2"/>
      <scheme val="minor"/>
    </font>
    <font>
      <sz val="10"/>
      <color theme="0"/>
      <name val="Calibri"/>
      <family val="2"/>
      <scheme val="minor"/>
    </font>
    <font>
      <b/>
      <u/>
      <sz val="10"/>
      <color theme="10"/>
      <name val="Calibri"/>
      <family val="2"/>
      <scheme val="minor"/>
    </font>
    <font>
      <b/>
      <sz val="16"/>
      <color theme="1"/>
      <name val="Calibri"/>
      <family val="2"/>
      <scheme val="minor"/>
    </font>
    <font>
      <b/>
      <sz val="11"/>
      <name val="Calibri"/>
      <family val="2"/>
      <scheme val="minor"/>
    </font>
    <font>
      <b/>
      <sz val="11"/>
      <name val="Wingdings"/>
      <charset val="2"/>
    </font>
    <font>
      <sz val="8"/>
      <color theme="0" tint="-0.499984740745262"/>
      <name val="Calibri"/>
      <family val="2"/>
      <scheme val="minor"/>
    </font>
    <font>
      <i/>
      <sz val="8"/>
      <color theme="1"/>
      <name val="Calibri"/>
      <family val="2"/>
      <scheme val="minor"/>
    </font>
    <font>
      <i/>
      <sz val="8"/>
      <color theme="0" tint="-0.499984740745262"/>
      <name val="Calibri"/>
      <family val="2"/>
      <scheme val="minor"/>
    </font>
    <font>
      <i/>
      <sz val="11"/>
      <color theme="1"/>
      <name val="Calibri"/>
      <family val="2"/>
      <scheme val="minor"/>
    </font>
    <font>
      <sz val="10"/>
      <name val="Calibri"/>
      <family val="2"/>
      <scheme val="minor"/>
    </font>
    <font>
      <u/>
      <sz val="14"/>
      <color theme="0"/>
      <name val="Calibri"/>
      <family val="2"/>
      <scheme val="minor"/>
    </font>
    <font>
      <b/>
      <u/>
      <sz val="11"/>
      <color theme="1"/>
      <name val="Calibri"/>
      <family val="2"/>
      <scheme val="minor"/>
    </font>
    <font>
      <u/>
      <sz val="11"/>
      <color theme="10"/>
      <name val="Calibri"/>
      <family val="2"/>
      <scheme val="minor"/>
    </font>
    <font>
      <sz val="8"/>
      <color theme="1"/>
      <name val="Calibri"/>
      <family val="2"/>
      <scheme val="minor"/>
    </font>
    <font>
      <sz val="10"/>
      <color theme="1"/>
      <name val="Arial"/>
      <family val="2"/>
    </font>
    <font>
      <b/>
      <sz val="10"/>
      <color theme="1"/>
      <name val="Arial"/>
      <family val="2"/>
    </font>
    <font>
      <b/>
      <sz val="10"/>
      <color theme="0"/>
      <name val="Arial"/>
      <family val="2"/>
    </font>
    <font>
      <i/>
      <sz val="10"/>
      <color theme="1"/>
      <name val="Arial"/>
      <family val="2"/>
    </font>
    <font>
      <b/>
      <sz val="16"/>
      <color theme="1"/>
      <name val="Arial"/>
      <family val="2"/>
    </font>
    <font>
      <b/>
      <sz val="12"/>
      <color theme="1"/>
      <name val="Arial"/>
      <family val="2"/>
    </font>
    <font>
      <b/>
      <sz val="14"/>
      <color theme="0"/>
      <name val="Calibri"/>
      <family val="2"/>
      <scheme val="minor"/>
    </font>
    <font>
      <b/>
      <sz val="16"/>
      <color theme="0"/>
      <name val="Calibri"/>
      <family val="2"/>
      <scheme val="minor"/>
    </font>
    <font>
      <sz val="16"/>
      <color theme="0"/>
      <name val="Calibri"/>
      <family val="2"/>
      <scheme val="minor"/>
    </font>
    <font>
      <i/>
      <sz val="8"/>
      <color theme="0"/>
      <name val="Calibri"/>
      <family val="2"/>
      <scheme val="minor"/>
    </font>
    <font>
      <u/>
      <sz val="11"/>
      <color theme="1"/>
      <name val="Calibri"/>
      <family val="2"/>
      <scheme val="minor"/>
    </font>
    <font>
      <i/>
      <sz val="10"/>
      <name val="Calibri"/>
      <family val="2"/>
      <scheme val="minor"/>
    </font>
    <font>
      <b/>
      <sz val="10"/>
      <color rgb="FFFFFFFF"/>
      <name val="Calibri"/>
      <family val="2"/>
      <scheme val="minor"/>
    </font>
    <font>
      <b/>
      <i/>
      <sz val="10"/>
      <color rgb="FF000000"/>
      <name val="Calibri"/>
      <family val="2"/>
      <scheme val="minor"/>
    </font>
    <font>
      <i/>
      <sz val="10"/>
      <color rgb="FF000000"/>
      <name val="Calibri"/>
      <family val="2"/>
      <scheme val="minor"/>
    </font>
    <font>
      <b/>
      <sz val="10"/>
      <color theme="0" tint="-0.14996795556505021"/>
      <name val="Calibri"/>
      <family val="2"/>
      <scheme val="minor"/>
    </font>
    <font>
      <sz val="10"/>
      <color rgb="FFC00000"/>
      <name val="Calibri"/>
      <family val="2"/>
      <scheme val="minor"/>
    </font>
    <font>
      <sz val="8"/>
      <name val="Calibri"/>
      <family val="2"/>
      <scheme val="minor"/>
    </font>
    <font>
      <sz val="20"/>
      <color theme="1"/>
      <name val="Calibri"/>
      <family val="2"/>
      <scheme val="minor"/>
    </font>
    <font>
      <b/>
      <sz val="24"/>
      <color theme="1"/>
      <name val="Calibri"/>
      <family val="2"/>
      <scheme val="minor"/>
    </font>
    <font>
      <b/>
      <sz val="8"/>
      <color theme="1"/>
      <name val="Calibri"/>
      <family val="2"/>
      <scheme val="minor"/>
    </font>
    <font>
      <vertAlign val="superscript"/>
      <sz val="11"/>
      <color theme="1"/>
      <name val="Calibri"/>
      <family val="2"/>
      <scheme val="minor"/>
    </font>
    <font>
      <b/>
      <sz val="12"/>
      <color theme="1"/>
      <name val="Calibri"/>
      <family val="2"/>
      <scheme val="minor"/>
    </font>
    <font>
      <b/>
      <sz val="12"/>
      <color theme="9" tint="-0.249977111117893"/>
      <name val="Calibri"/>
      <family val="2"/>
      <scheme val="minor"/>
    </font>
    <font>
      <sz val="11"/>
      <color theme="1" tint="0.34998626667073579"/>
      <name val="Calibri"/>
      <family val="2"/>
      <scheme val="minor"/>
    </font>
    <font>
      <sz val="11"/>
      <color theme="0" tint="-0.499984740745262"/>
      <name val="Calibri"/>
      <family val="2"/>
      <scheme val="minor"/>
    </font>
    <font>
      <i/>
      <sz val="11"/>
      <color theme="0"/>
      <name val="Calibri"/>
      <family val="2"/>
      <scheme val="minor"/>
    </font>
    <font>
      <u/>
      <sz val="11"/>
      <name val="Calibri"/>
      <family val="2"/>
      <scheme val="minor"/>
    </font>
    <font>
      <sz val="11"/>
      <color theme="9" tint="-0.249977111117893"/>
      <name val="Calibri"/>
      <family val="2"/>
      <scheme val="minor"/>
    </font>
    <font>
      <b/>
      <sz val="11"/>
      <name val="Calibri"/>
      <family val="2"/>
    </font>
    <font>
      <sz val="11"/>
      <color theme="1"/>
      <name val="Calibri"/>
      <family val="2"/>
    </font>
    <font>
      <i/>
      <sz val="11"/>
      <name val="Calibri"/>
      <family val="2"/>
    </font>
    <font>
      <sz val="11"/>
      <color rgb="FF595959"/>
      <name val="Calibri"/>
      <family val="2"/>
    </font>
    <font>
      <sz val="11"/>
      <name val="Calibri"/>
      <family val="2"/>
    </font>
    <font>
      <sz val="8"/>
      <name val="Calibri"/>
      <family val="2"/>
    </font>
    <font>
      <b/>
      <sz val="11"/>
      <color rgb="FFFFFFFF"/>
      <name val="Calibri"/>
      <family val="2"/>
      <scheme val="minor"/>
    </font>
    <font>
      <sz val="11"/>
      <color rgb="FFFFFFFF"/>
      <name val="Calibri"/>
      <family val="2"/>
      <scheme val="minor"/>
    </font>
  </fonts>
  <fills count="54">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rgb="FF92D050"/>
        <bgColor indexed="64"/>
      </patternFill>
    </fill>
    <fill>
      <patternFill patternType="solid">
        <fgColor rgb="FFFF0000"/>
        <bgColor indexed="64"/>
      </patternFill>
    </fill>
    <fill>
      <patternFill patternType="solid">
        <fgColor theme="4" tint="0.79998168889431442"/>
        <bgColor indexed="64"/>
      </patternFill>
    </fill>
    <fill>
      <patternFill patternType="solid">
        <fgColor rgb="FFFFFF99"/>
        <bgColor indexed="64"/>
      </patternFill>
    </fill>
    <fill>
      <patternFill patternType="solid">
        <fgColor rgb="FF37CBFF"/>
        <bgColor indexed="64"/>
      </patternFill>
    </fill>
    <fill>
      <patternFill patternType="darkDown">
        <fgColor theme="0"/>
        <bgColor rgb="FFFFFF00"/>
      </patternFill>
    </fill>
    <fill>
      <patternFill patternType="solid">
        <fgColor theme="0"/>
        <bgColor indexed="64"/>
      </patternFill>
    </fill>
    <fill>
      <patternFill patternType="darkGrid">
        <bgColor rgb="FF37CBFF"/>
      </patternFill>
    </fill>
    <fill>
      <patternFill patternType="solid">
        <fgColor theme="1"/>
        <bgColor indexed="64"/>
      </patternFill>
    </fill>
    <fill>
      <patternFill patternType="solid">
        <fgColor rgb="FFD9D9D9"/>
        <bgColor indexed="64"/>
      </patternFill>
    </fill>
    <fill>
      <patternFill patternType="solid">
        <fgColor rgb="FF000000"/>
        <bgColor indexed="64"/>
      </patternFill>
    </fill>
    <fill>
      <patternFill patternType="solid">
        <fgColor rgb="FFFFD700"/>
        <bgColor indexed="64"/>
      </patternFill>
    </fill>
    <fill>
      <patternFill patternType="solid">
        <fgColor rgb="FFFFFFFF"/>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79998168889431442"/>
        <bgColor indexed="64"/>
      </patternFill>
    </fill>
    <fill>
      <patternFill patternType="solid">
        <fgColor rgb="FFE2EFDA"/>
        <bgColor rgb="FF000000"/>
      </patternFill>
    </fill>
    <fill>
      <patternFill patternType="solid">
        <fgColor theme="9" tint="0.39997558519241921"/>
        <bgColor rgb="FF000000"/>
      </patternFill>
    </fill>
  </fills>
  <borders count="1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rgb="FF002060"/>
      </left>
      <right style="thin">
        <color rgb="FF002060"/>
      </right>
      <top style="thin">
        <color rgb="FF002060"/>
      </top>
      <bottom style="thin">
        <color rgb="FF00206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FFC000"/>
      </left>
      <right style="thin">
        <color rgb="FFFFC000"/>
      </right>
      <top style="thin">
        <color rgb="FFFFC000"/>
      </top>
      <bottom style="thin">
        <color rgb="FFFFC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top/>
      <bottom/>
      <diagonal/>
    </border>
    <border>
      <left/>
      <right style="thin">
        <color auto="1"/>
      </right>
      <top/>
      <bottom style="double">
        <color indexed="64"/>
      </bottom>
      <diagonal/>
    </border>
    <border>
      <left/>
      <right/>
      <top/>
      <bottom style="double">
        <color indexed="64"/>
      </bottom>
      <diagonal/>
    </border>
    <border>
      <left style="thin">
        <color auto="1"/>
      </left>
      <right style="thin">
        <color auto="1"/>
      </right>
      <top style="thin">
        <color auto="1"/>
      </top>
      <bottom style="double">
        <color indexed="64"/>
      </bottom>
      <diagonal/>
    </border>
    <border>
      <left/>
      <right/>
      <top style="double">
        <color indexed="64"/>
      </top>
      <bottom/>
      <diagonal/>
    </border>
    <border>
      <left style="thin">
        <color auto="1"/>
      </left>
      <right style="thin">
        <color auto="1"/>
      </right>
      <top style="double">
        <color indexed="64"/>
      </top>
      <bottom style="thin">
        <color auto="1"/>
      </bottom>
      <diagonal/>
    </border>
    <border>
      <left/>
      <right/>
      <top style="double">
        <color indexed="64"/>
      </top>
      <bottom style="double">
        <color indexed="64"/>
      </bottom>
      <diagonal/>
    </border>
    <border>
      <left style="thin">
        <color auto="1"/>
      </left>
      <right style="thin">
        <color auto="1"/>
      </right>
      <top style="double">
        <color indexed="64"/>
      </top>
      <bottom style="double">
        <color indexed="64"/>
      </bottom>
      <diagonal/>
    </border>
    <border>
      <left style="thin">
        <color auto="1"/>
      </left>
      <right style="thin">
        <color auto="1"/>
      </right>
      <top style="double">
        <color indexed="64"/>
      </top>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top/>
      <bottom/>
      <diagonal/>
    </border>
    <border>
      <left/>
      <right style="thick">
        <color theme="9" tint="-0.24994659260841701"/>
      </right>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bottom style="thick">
        <color theme="9" tint="-0.24994659260841701"/>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rgb="FFFFC000"/>
      </left>
      <right style="thin">
        <color rgb="FFFFC000"/>
      </right>
      <top style="thin">
        <color rgb="FFFFC000"/>
      </top>
      <bottom/>
      <diagonal/>
    </border>
    <border>
      <left style="thin">
        <color rgb="FFFFC000"/>
      </left>
      <right style="thin">
        <color rgb="FFFFC000"/>
      </right>
      <top/>
      <bottom/>
      <diagonal/>
    </border>
    <border>
      <left style="thin">
        <color rgb="FFFFC000"/>
      </left>
      <right style="thin">
        <color rgb="FFFFC000"/>
      </right>
      <top/>
      <bottom style="thin">
        <color rgb="FFFFC000"/>
      </bottom>
      <diagonal/>
    </border>
    <border>
      <left style="thin">
        <color rgb="FFFFC000"/>
      </left>
      <right style="thin">
        <color rgb="FFFFC000"/>
      </right>
      <top style="thin">
        <color rgb="FFFFC000"/>
      </top>
      <bottom style="thin">
        <color auto="1"/>
      </bottom>
      <diagonal/>
    </border>
    <border>
      <left style="thin">
        <color rgb="FFFFC000"/>
      </left>
      <right style="thin">
        <color rgb="FFFFC000"/>
      </right>
      <top style="thin">
        <color rgb="FFFFC000"/>
      </top>
      <bottom style="double">
        <color auto="1"/>
      </bottom>
      <diagonal/>
    </border>
    <border>
      <left/>
      <right style="thin">
        <color auto="1"/>
      </right>
      <top style="double">
        <color auto="1"/>
      </top>
      <bottom/>
      <diagonal/>
    </border>
    <border>
      <left style="thin">
        <color auto="1"/>
      </left>
      <right style="thin">
        <color auto="1"/>
      </right>
      <top/>
      <bottom style="double">
        <color indexed="64"/>
      </bottom>
      <diagonal/>
    </border>
    <border>
      <left/>
      <right style="thin">
        <color auto="1"/>
      </right>
      <top style="thin">
        <color auto="1"/>
      </top>
      <bottom style="double">
        <color indexed="64"/>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left>
      <right style="thin">
        <color indexed="64"/>
      </right>
      <top style="thin">
        <color auto="1"/>
      </top>
      <bottom/>
      <diagonal/>
    </border>
    <border>
      <left style="thin">
        <color theme="0"/>
      </left>
      <right style="thin">
        <color indexed="64"/>
      </right>
      <top/>
      <bottom/>
      <diagonal/>
    </border>
    <border>
      <left/>
      <right/>
      <top style="double">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right style="medium">
        <color indexed="64"/>
      </right>
      <top/>
      <bottom/>
      <diagonal/>
    </border>
    <border>
      <left/>
      <right style="medium">
        <color indexed="64"/>
      </right>
      <top/>
      <bottom style="medium">
        <color rgb="FF000000"/>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medium">
        <color indexed="64"/>
      </left>
      <right style="medium">
        <color indexed="64"/>
      </right>
      <top style="medium">
        <color indexed="64"/>
      </top>
      <bottom style="medium">
        <color indexed="64"/>
      </bottom>
      <diagonal/>
    </border>
    <border>
      <left style="thin">
        <color rgb="FFFFC000"/>
      </left>
      <right/>
      <top/>
      <bottom/>
      <diagonal/>
    </border>
    <border>
      <left style="thin">
        <color theme="0" tint="-0.14996795556505021"/>
      </left>
      <right style="thin">
        <color auto="1"/>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theme="9" tint="-0.24994659260841701"/>
      </left>
      <right style="thin">
        <color auto="1"/>
      </right>
      <top style="thin">
        <color theme="9" tint="-0.24994659260841701"/>
      </top>
      <bottom style="thin">
        <color theme="9" tint="-0.24994659260841701"/>
      </bottom>
      <diagonal/>
    </border>
    <border>
      <left style="thin">
        <color auto="1"/>
      </left>
      <right style="thin">
        <color auto="1"/>
      </right>
      <top style="thin">
        <color theme="9" tint="-0.24994659260841701"/>
      </top>
      <bottom style="thin">
        <color theme="9" tint="-0.24994659260841701"/>
      </bottom>
      <diagonal/>
    </border>
    <border>
      <left style="thin">
        <color auto="1"/>
      </left>
      <right style="thin">
        <color theme="9" tint="-0.24994659260841701"/>
      </right>
      <top style="thin">
        <color theme="9" tint="-0.24994659260841701"/>
      </top>
      <bottom style="thin">
        <color theme="9" tint="-0.24994659260841701"/>
      </bottom>
      <diagonal/>
    </border>
    <border>
      <left/>
      <right/>
      <top style="thin">
        <color rgb="FFFFC000"/>
      </top>
      <bottom/>
      <diagonal/>
    </border>
    <border>
      <left/>
      <right style="thick">
        <color rgb="FFFFFFFF"/>
      </right>
      <top/>
      <bottom/>
      <diagonal/>
    </border>
    <border>
      <left style="thick">
        <color rgb="FFFFFFFF"/>
      </left>
      <right/>
      <top/>
      <bottom style="thick">
        <color rgb="FF666666"/>
      </bottom>
      <diagonal/>
    </border>
    <border>
      <left/>
      <right/>
      <top/>
      <bottom style="thick">
        <color rgb="FF666666"/>
      </bottom>
      <diagonal/>
    </border>
    <border>
      <left/>
      <right/>
      <top style="thin">
        <color auto="1"/>
      </top>
      <bottom style="double">
        <color indexed="64"/>
      </bottom>
      <diagonal/>
    </border>
    <border>
      <left/>
      <right style="thick">
        <color rgb="FFFFFFFF"/>
      </right>
      <top/>
      <bottom style="double">
        <color indexed="64"/>
      </bottom>
      <diagonal/>
    </border>
    <border>
      <left style="thick">
        <color rgb="FFFFFFFF"/>
      </left>
      <right/>
      <top style="double">
        <color indexed="64"/>
      </top>
      <bottom/>
      <diagonal/>
    </border>
    <border>
      <left style="thick">
        <color rgb="FFFFFFFF"/>
      </left>
      <right/>
      <top/>
      <bottom/>
      <diagonal/>
    </border>
    <border>
      <left style="thick">
        <color rgb="FFFFFFFF"/>
      </left>
      <right/>
      <top/>
      <bottom style="double">
        <color indexed="64"/>
      </bottom>
      <diagonal/>
    </border>
    <border>
      <left/>
      <right style="thick">
        <color rgb="FFFFFFFF"/>
      </right>
      <top style="thin">
        <color auto="1"/>
      </top>
      <bottom/>
      <diagonal/>
    </border>
    <border>
      <left style="thin">
        <color rgb="FFFFC000"/>
      </left>
      <right style="thin">
        <color rgb="FFFFC000"/>
      </right>
      <top/>
      <bottom style="double">
        <color indexed="64"/>
      </bottom>
      <diagonal/>
    </border>
    <border>
      <left/>
      <right/>
      <top/>
      <bottom style="thin">
        <color rgb="FFFFC000"/>
      </bottom>
      <diagonal/>
    </border>
    <border>
      <left style="thin">
        <color rgb="FFFFC000"/>
      </left>
      <right/>
      <top style="thin">
        <color rgb="FFFFC000"/>
      </top>
      <bottom style="thin">
        <color auto="1"/>
      </bottom>
      <diagonal/>
    </border>
    <border>
      <left style="thin">
        <color rgb="FFFFC000"/>
      </left>
      <right/>
      <top style="thin">
        <color rgb="FFFFC000"/>
      </top>
      <bottom style="thin">
        <color rgb="FFFFC000"/>
      </bottom>
      <diagonal/>
    </border>
    <border>
      <left style="thin">
        <color rgb="FFFFC000"/>
      </left>
      <right/>
      <top style="thin">
        <color rgb="FFFFC000"/>
      </top>
      <bottom style="double">
        <color auto="1"/>
      </bottom>
      <diagonal/>
    </border>
    <border>
      <left style="thin">
        <color rgb="FFFFC000"/>
      </left>
      <right/>
      <top style="thin">
        <color rgb="FFFFC000"/>
      </top>
      <bottom/>
      <diagonal/>
    </border>
    <border>
      <left style="thin">
        <color rgb="FFFFC000"/>
      </left>
      <right/>
      <top/>
      <bottom style="thin">
        <color rgb="FFFFC000"/>
      </bottom>
      <diagonal/>
    </border>
    <border>
      <left style="thin">
        <color auto="1"/>
      </left>
      <right/>
      <top/>
      <bottom style="double">
        <color indexed="64"/>
      </bottom>
      <diagonal/>
    </border>
  </borders>
  <cellStyleXfs count="68">
    <xf numFmtId="0" fontId="0" fillId="0" borderId="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0" applyNumberFormat="0" applyBorder="0" applyAlignment="0" applyProtection="0"/>
    <xf numFmtId="0" fontId="9" fillId="6" borderId="4" applyNumberFormat="0" applyAlignment="0" applyProtection="0"/>
    <xf numFmtId="0" fontId="10" fillId="7" borderId="5" applyNumberFormat="0" applyAlignment="0" applyProtection="0"/>
    <xf numFmtId="0" fontId="11" fillId="7" borderId="4" applyNumberFormat="0" applyAlignment="0" applyProtection="0"/>
    <xf numFmtId="0" fontId="12" fillId="0" borderId="6" applyNumberFormat="0" applyFill="0" applyAlignment="0" applyProtection="0"/>
    <xf numFmtId="0" fontId="13" fillId="8" borderId="7" applyNumberFormat="0" applyAlignment="0" applyProtection="0"/>
    <xf numFmtId="0" fontId="14" fillId="0" borderId="0" applyNumberFormat="0" applyFill="0" applyBorder="0" applyAlignment="0" applyProtection="0"/>
    <xf numFmtId="0" fontId="1" fillId="9"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7" fillId="33" borderId="0" applyNumberFormat="0" applyBorder="0" applyAlignment="0" applyProtection="0"/>
    <xf numFmtId="0" fontId="1" fillId="38" borderId="10" applyNumberFormat="0" applyFont="0" applyAlignment="0">
      <protection locked="0"/>
    </xf>
    <xf numFmtId="0" fontId="1" fillId="39" borderId="10" applyNumberFormat="0" applyFont="0" applyAlignment="0">
      <protection locked="0"/>
    </xf>
    <xf numFmtId="0" fontId="20" fillId="0" borderId="0" applyNumberFormat="0" applyFill="0" applyBorder="0" applyAlignment="0" applyProtection="0"/>
    <xf numFmtId="0" fontId="21" fillId="34" borderId="0" applyNumberFormat="0" applyBorder="0" applyAlignment="0"/>
    <xf numFmtId="0" fontId="1" fillId="35" borderId="10" applyNumberFormat="0" applyFont="0" applyAlignment="0">
      <alignment horizontal="center" vertical="center"/>
    </xf>
    <xf numFmtId="0" fontId="1" fillId="36" borderId="10" applyNumberFormat="0" applyFont="0" applyAlignment="0"/>
    <xf numFmtId="0" fontId="1" fillId="37" borderId="10" applyNumberFormat="0" applyFont="0" applyAlignment="0">
      <protection locked="0"/>
    </xf>
    <xf numFmtId="0" fontId="1" fillId="37" borderId="10" applyFont="0">
      <alignment horizontal="left" vertical="top" wrapText="1"/>
      <protection locked="0"/>
    </xf>
    <xf numFmtId="0" fontId="20" fillId="0" borderId="0" applyNumberFormat="0" applyFill="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 fillId="0" borderId="0" applyNumberFormat="0" applyBorder="0" applyAlignment="0" applyProtection="0">
      <alignment horizontal="left"/>
    </xf>
    <xf numFmtId="0" fontId="22" fillId="0" borderId="0" applyNumberFormat="0" applyFill="0" applyBorder="0" applyAlignment="0" applyProtection="0"/>
    <xf numFmtId="0" fontId="1" fillId="0" borderId="0" applyFont="0" applyFill="0" applyBorder="0">
      <alignment horizontal="center" vertical="center"/>
    </xf>
    <xf numFmtId="0" fontId="24" fillId="34" borderId="18">
      <alignment vertical="center" wrapText="1"/>
    </xf>
    <xf numFmtId="0" fontId="1" fillId="35" borderId="10" applyFont="0" applyAlignment="0">
      <alignment horizontal="center" vertical="center"/>
    </xf>
    <xf numFmtId="164" fontId="29" fillId="40" borderId="14">
      <alignment horizontal="left" vertical="top" wrapText="1"/>
    </xf>
    <xf numFmtId="0" fontId="1" fillId="37" borderId="10" applyFont="0">
      <alignment horizontal="left" vertical="top" wrapText="1"/>
    </xf>
    <xf numFmtId="0" fontId="70" fillId="0" borderId="0" applyNumberFormat="0" applyFill="0" applyBorder="0" applyAlignment="0" applyProtection="0"/>
  </cellStyleXfs>
  <cellXfs count="1341">
    <xf numFmtId="0" fontId="0" fillId="0" borderId="0" xfId="0"/>
    <xf numFmtId="0" fontId="0" fillId="2" borderId="0" xfId="0" applyFill="1"/>
    <xf numFmtId="0" fontId="0" fillId="0" borderId="0" xfId="0" applyAlignment="1">
      <alignment horizontal="left"/>
    </xf>
    <xf numFmtId="0" fontId="0" fillId="0" borderId="0" xfId="0" applyAlignment="1">
      <alignment horizontal="left" vertical="top"/>
    </xf>
    <xf numFmtId="0" fontId="18" fillId="0" borderId="0" xfId="0" applyFont="1"/>
    <xf numFmtId="0" fontId="0" fillId="2" borderId="0" xfId="0" applyFill="1" applyAlignment="1">
      <alignment horizontal="left"/>
    </xf>
    <xf numFmtId="0" fontId="0" fillId="0" borderId="0" xfId="0" applyAlignment="1">
      <alignment horizontal="right"/>
    </xf>
    <xf numFmtId="0" fontId="0" fillId="38" borderId="10" xfId="47" applyFont="1" applyAlignment="1">
      <alignment horizontal="left"/>
      <protection locked="0"/>
    </xf>
    <xf numFmtId="0" fontId="0" fillId="39" borderId="10" xfId="48" applyFont="1" applyAlignment="1">
      <alignment horizontal="left"/>
      <protection locked="0"/>
    </xf>
    <xf numFmtId="0" fontId="0" fillId="39" borderId="10" xfId="48" applyFont="1">
      <protection locked="0"/>
    </xf>
    <xf numFmtId="0" fontId="21" fillId="34" borderId="0" xfId="50" applyAlignment="1">
      <alignment horizontal="left"/>
    </xf>
    <xf numFmtId="0" fontId="21" fillId="34" borderId="0" xfId="50" applyAlignment="1"/>
    <xf numFmtId="49" fontId="0" fillId="0" borderId="0" xfId="0" applyNumberFormat="1"/>
    <xf numFmtId="49" fontId="18" fillId="0" borderId="0" xfId="0" applyNumberFormat="1" applyFont="1"/>
    <xf numFmtId="49" fontId="21" fillId="34" borderId="0" xfId="50" applyNumberFormat="1"/>
    <xf numFmtId="0" fontId="21" fillId="34" borderId="0" xfId="50"/>
    <xf numFmtId="49" fontId="21" fillId="34" borderId="0" xfId="50" applyNumberFormat="1" applyAlignment="1">
      <alignment horizontal="center" vertical="center"/>
    </xf>
    <xf numFmtId="0" fontId="28" fillId="39" borderId="10" xfId="48" applyFont="1">
      <protection locked="0"/>
    </xf>
    <xf numFmtId="49" fontId="18" fillId="0" borderId="0" xfId="0" quotePrefix="1" applyNumberFormat="1" applyFont="1"/>
    <xf numFmtId="49" fontId="25" fillId="0" borderId="0" xfId="0" applyNumberFormat="1" applyFont="1"/>
    <xf numFmtId="0" fontId="0" fillId="0" borderId="10" xfId="0" applyBorder="1" applyAlignment="1">
      <alignment horizontal="center"/>
    </xf>
    <xf numFmtId="0" fontId="0" fillId="0" borderId="0" xfId="0" applyAlignment="1">
      <alignment horizontal="center"/>
    </xf>
    <xf numFmtId="0" fontId="24" fillId="34" borderId="18" xfId="63" applyAlignment="1">
      <alignment vertical="center"/>
    </xf>
    <xf numFmtId="0" fontId="24" fillId="34" borderId="18" xfId="63" applyAlignment="1">
      <alignment horizontal="center" vertical="center" wrapText="1"/>
    </xf>
    <xf numFmtId="0" fontId="0" fillId="0" borderId="0" xfId="62" applyFont="1">
      <alignment horizontal="center" vertical="center"/>
    </xf>
    <xf numFmtId="0" fontId="0" fillId="41" borderId="10" xfId="48" applyFont="1" applyFill="1" applyAlignment="1" applyProtection="1">
      <alignment horizontal="left"/>
    </xf>
    <xf numFmtId="0" fontId="0" fillId="41" borderId="10" xfId="47" applyFont="1" applyFill="1" applyAlignment="1" applyProtection="1">
      <alignment horizontal="left"/>
    </xf>
    <xf numFmtId="0" fontId="0" fillId="41" borderId="10" xfId="48" applyFont="1" applyFill="1" applyProtection="1"/>
    <xf numFmtId="0" fontId="28" fillId="38" borderId="10" xfId="47" applyFont="1">
      <protection locked="0"/>
    </xf>
    <xf numFmtId="0" fontId="30" fillId="34" borderId="19" xfId="50" applyFont="1" applyBorder="1" applyAlignment="1"/>
    <xf numFmtId="0" fontId="25" fillId="0" borderId="0" xfId="0" applyFont="1" applyAlignment="1">
      <alignment horizontal="left"/>
    </xf>
    <xf numFmtId="0" fontId="25" fillId="0" borderId="0" xfId="0" applyFont="1" applyAlignment="1">
      <alignment horizontal="left" vertical="top"/>
    </xf>
    <xf numFmtId="0" fontId="25" fillId="0" borderId="0" xfId="0" applyFont="1"/>
    <xf numFmtId="0" fontId="0" fillId="0" borderId="0" xfId="0" applyAlignment="1">
      <alignment vertical="center"/>
    </xf>
    <xf numFmtId="0" fontId="21" fillId="34" borderId="0" xfId="50" applyAlignment="1">
      <alignment horizontal="center" vertical="center"/>
    </xf>
    <xf numFmtId="0" fontId="21" fillId="34" borderId="0" xfId="50" applyAlignment="1">
      <alignment horizontal="left" vertical="top"/>
    </xf>
    <xf numFmtId="0" fontId="0" fillId="37" borderId="10" xfId="54" applyFont="1">
      <alignment horizontal="left" vertical="top" wrapText="1"/>
      <protection locked="0"/>
    </xf>
    <xf numFmtId="49" fontId="18" fillId="0" borderId="0" xfId="0" applyNumberFormat="1" applyFont="1" applyAlignment="1">
      <alignment horizontal="left"/>
    </xf>
    <xf numFmtId="49" fontId="25" fillId="0" borderId="0" xfId="0" applyNumberFormat="1" applyFont="1" applyAlignment="1">
      <alignment horizontal="left"/>
    </xf>
    <xf numFmtId="49" fontId="21" fillId="34" borderId="0" xfId="50" applyNumberFormat="1" applyAlignment="1">
      <alignment horizontal="left" vertical="top"/>
    </xf>
    <xf numFmtId="0" fontId="25" fillId="0" borderId="0" xfId="0" applyFont="1" applyAlignment="1">
      <alignment horizontal="center" vertical="center"/>
    </xf>
    <xf numFmtId="0" fontId="0" fillId="0" borderId="0" xfId="0" applyAlignment="1">
      <alignment horizontal="center" vertical="center"/>
    </xf>
    <xf numFmtId="0" fontId="21" fillId="34" borderId="0" xfId="50" applyAlignment="1">
      <alignment vertical="top"/>
    </xf>
    <xf numFmtId="0" fontId="18" fillId="0" borderId="0" xfId="0" applyFont="1" applyAlignment="1">
      <alignment vertical="top"/>
    </xf>
    <xf numFmtId="0" fontId="21" fillId="34" borderId="0" xfId="50" applyAlignment="1">
      <alignment vertical="top" wrapText="1"/>
    </xf>
    <xf numFmtId="0" fontId="25" fillId="0" borderId="0" xfId="0" applyFont="1" applyAlignment="1">
      <alignment vertical="top"/>
    </xf>
    <xf numFmtId="0" fontId="0" fillId="0" borderId="0" xfId="0" applyAlignment="1">
      <alignment vertical="top"/>
    </xf>
    <xf numFmtId="49" fontId="25" fillId="0" borderId="0" xfId="0" applyNumberFormat="1" applyFont="1" applyAlignment="1">
      <alignment vertical="top"/>
    </xf>
    <xf numFmtId="49" fontId="21" fillId="34" borderId="0" xfId="50" applyNumberFormat="1" applyAlignment="1">
      <alignment vertical="top"/>
    </xf>
    <xf numFmtId="49" fontId="25" fillId="0" borderId="0" xfId="0" quotePrefix="1" applyNumberFormat="1" applyFont="1" applyAlignment="1">
      <alignment vertical="top"/>
    </xf>
    <xf numFmtId="49" fontId="18" fillId="0" borderId="0" xfId="0" applyNumberFormat="1" applyFont="1" applyAlignment="1">
      <alignment vertical="top"/>
    </xf>
    <xf numFmtId="0" fontId="0" fillId="0" borderId="0" xfId="62" applyFont="1" applyBorder="1">
      <alignment horizontal="center" vertical="center"/>
    </xf>
    <xf numFmtId="49" fontId="25" fillId="0" borderId="31" xfId="0" applyNumberFormat="1" applyFont="1" applyBorder="1" applyAlignment="1">
      <alignment vertical="top"/>
    </xf>
    <xf numFmtId="0" fontId="18" fillId="0" borderId="31" xfId="0" applyFont="1" applyBorder="1" applyAlignment="1">
      <alignment vertical="top"/>
    </xf>
    <xf numFmtId="0" fontId="0" fillId="0" borderId="31" xfId="62" applyFont="1" applyBorder="1">
      <alignment horizontal="center" vertical="center"/>
    </xf>
    <xf numFmtId="0" fontId="0" fillId="0" borderId="31" xfId="0" applyBorder="1"/>
    <xf numFmtId="0" fontId="28" fillId="39" borderId="32" xfId="48" applyFont="1" applyBorder="1">
      <protection locked="0"/>
    </xf>
    <xf numFmtId="49" fontId="18" fillId="0" borderId="31" xfId="0" applyNumberFormat="1" applyFont="1" applyBorder="1" applyAlignment="1">
      <alignment vertical="top"/>
    </xf>
    <xf numFmtId="0" fontId="25" fillId="0" borderId="31" xfId="0" applyFont="1" applyBorder="1" applyAlignment="1">
      <alignment vertical="top"/>
    </xf>
    <xf numFmtId="0" fontId="0" fillId="0" borderId="33" xfId="0" applyBorder="1"/>
    <xf numFmtId="0" fontId="25" fillId="0" borderId="33" xfId="0" applyFont="1" applyBorder="1" applyAlignment="1">
      <alignment horizontal="left" vertical="top"/>
    </xf>
    <xf numFmtId="49" fontId="18" fillId="0" borderId="33" xfId="0" applyNumberFormat="1" applyFont="1" applyBorder="1" applyAlignment="1">
      <alignment vertical="top"/>
    </xf>
    <xf numFmtId="9" fontId="1" fillId="39" borderId="10" xfId="48" applyNumberFormat="1" applyFont="1" applyAlignment="1">
      <alignment horizontal="center" vertical="center"/>
      <protection locked="0"/>
    </xf>
    <xf numFmtId="49" fontId="25" fillId="0" borderId="31" xfId="0" quotePrefix="1" applyNumberFormat="1" applyFont="1" applyBorder="1" applyAlignment="1">
      <alignment vertical="top"/>
    </xf>
    <xf numFmtId="0" fontId="0" fillId="0" borderId="30" xfId="0" applyBorder="1"/>
    <xf numFmtId="0" fontId="0" fillId="0" borderId="28" xfId="0" applyBorder="1"/>
    <xf numFmtId="49" fontId="25" fillId="0" borderId="33" xfId="0" applyNumberFormat="1" applyFont="1" applyBorder="1" applyAlignment="1">
      <alignment vertical="top"/>
    </xf>
    <xf numFmtId="0" fontId="0" fillId="0" borderId="31" xfId="0" applyBorder="1" applyAlignment="1">
      <alignment vertical="top"/>
    </xf>
    <xf numFmtId="0" fontId="0" fillId="0" borderId="35" xfId="0" applyBorder="1"/>
    <xf numFmtId="0" fontId="28" fillId="39" borderId="17" xfId="48" applyFont="1" applyBorder="1">
      <protection locked="0"/>
    </xf>
    <xf numFmtId="0" fontId="28" fillId="39" borderId="36" xfId="48" applyFont="1" applyBorder="1">
      <protection locked="0"/>
    </xf>
    <xf numFmtId="0" fontId="0" fillId="0" borderId="0" xfId="0" quotePrefix="1"/>
    <xf numFmtId="0" fontId="0" fillId="0" borderId="31" xfId="0" applyBorder="1" applyAlignment="1">
      <alignment horizontal="center" vertical="center"/>
    </xf>
    <xf numFmtId="0" fontId="0" fillId="37" borderId="36" xfId="54" applyFont="1" applyBorder="1">
      <alignment horizontal="left" vertical="top" wrapText="1"/>
      <protection locked="0"/>
    </xf>
    <xf numFmtId="49" fontId="18" fillId="0" borderId="0" xfId="0" applyNumberFormat="1" applyFont="1" applyAlignment="1">
      <alignment horizontal="center"/>
    </xf>
    <xf numFmtId="0" fontId="18" fillId="0" borderId="0" xfId="0" applyFont="1" applyAlignment="1">
      <alignment horizontal="center" vertical="center"/>
    </xf>
    <xf numFmtId="0" fontId="27" fillId="0" borderId="25" xfId="0" applyFont="1" applyBorder="1" applyAlignment="1">
      <alignment horizontal="center" vertical="center"/>
    </xf>
    <xf numFmtId="0" fontId="27" fillId="0" borderId="12" xfId="0" applyFont="1" applyBorder="1" applyAlignment="1">
      <alignment horizontal="center" vertical="center"/>
    </xf>
    <xf numFmtId="0" fontId="26" fillId="0" borderId="21" xfId="0" applyFont="1" applyBorder="1" applyAlignment="1">
      <alignment horizontal="center" vertical="center" wrapText="1"/>
    </xf>
    <xf numFmtId="0" fontId="26" fillId="0" borderId="12" xfId="0" applyFont="1" applyBorder="1" applyAlignment="1">
      <alignment horizontal="center" vertical="center"/>
    </xf>
    <xf numFmtId="0" fontId="26" fillId="0" borderId="10" xfId="0" applyFont="1" applyBorder="1" applyAlignment="1">
      <alignment horizontal="center" vertical="center"/>
    </xf>
    <xf numFmtId="0" fontId="21" fillId="34" borderId="38" xfId="50" applyBorder="1" applyAlignment="1">
      <alignment vertical="center"/>
    </xf>
    <xf numFmtId="0" fontId="21" fillId="34" borderId="39" xfId="50" applyBorder="1" applyAlignment="1">
      <alignment vertical="center"/>
    </xf>
    <xf numFmtId="0" fontId="21" fillId="34" borderId="40" xfId="50" applyBorder="1" applyAlignment="1">
      <alignment vertical="center"/>
    </xf>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57" fillId="0" borderId="0" xfId="57" applyBorder="1"/>
    <xf numFmtId="0" fontId="18" fillId="0" borderId="0" xfId="0" applyFont="1" applyAlignment="1">
      <alignment vertical="top" wrapText="1"/>
    </xf>
    <xf numFmtId="0" fontId="26" fillId="0" borderId="0" xfId="0" applyFont="1" applyAlignment="1">
      <alignment horizontal="right" vertical="top" wrapText="1"/>
    </xf>
    <xf numFmtId="0" fontId="25" fillId="0" borderId="0" xfId="0" applyFont="1" applyAlignment="1">
      <alignment horizontal="right" vertical="top" wrapText="1"/>
    </xf>
    <xf numFmtId="0" fontId="18" fillId="0" borderId="0" xfId="0" applyFont="1" applyAlignment="1">
      <alignment horizontal="left"/>
    </xf>
    <xf numFmtId="0" fontId="25" fillId="0" borderId="0" xfId="0" applyFont="1" applyAlignment="1">
      <alignment horizontal="center"/>
    </xf>
    <xf numFmtId="0" fontId="25" fillId="0" borderId="0" xfId="0" applyFont="1" applyAlignment="1">
      <alignment vertical="top" wrapText="1"/>
    </xf>
    <xf numFmtId="0" fontId="0" fillId="37" borderId="15" xfId="54" applyFont="1" applyBorder="1">
      <alignment horizontal="left" vertical="top" wrapText="1"/>
      <protection locked="0"/>
    </xf>
    <xf numFmtId="166" fontId="45" fillId="39" borderId="10" xfId="48" applyNumberFormat="1" applyFont="1">
      <protection locked="0"/>
    </xf>
    <xf numFmtId="0" fontId="0" fillId="37" borderId="32" xfId="54" applyFont="1" applyBorder="1">
      <alignment horizontal="left" vertical="top" wrapText="1"/>
      <protection locked="0"/>
    </xf>
    <xf numFmtId="167" fontId="45" fillId="39" borderId="10" xfId="48" applyNumberFormat="1" applyFont="1">
      <protection locked="0"/>
    </xf>
    <xf numFmtId="49" fontId="25" fillId="0" borderId="26" xfId="0" applyNumberFormat="1" applyFont="1" applyBorder="1" applyAlignment="1">
      <alignment vertical="top"/>
    </xf>
    <xf numFmtId="0" fontId="18" fillId="0" borderId="26" xfId="0" applyFont="1" applyBorder="1" applyAlignment="1">
      <alignment vertical="top"/>
    </xf>
    <xf numFmtId="0" fontId="0" fillId="0" borderId="26" xfId="62" applyFont="1" applyBorder="1">
      <alignment horizontal="center" vertical="center"/>
    </xf>
    <xf numFmtId="49" fontId="18" fillId="0" borderId="26" xfId="0" applyNumberFormat="1" applyFont="1" applyBorder="1" applyAlignment="1">
      <alignment vertical="top"/>
    </xf>
    <xf numFmtId="0" fontId="0" fillId="0" borderId="26" xfId="0" applyBorder="1"/>
    <xf numFmtId="49" fontId="25" fillId="0" borderId="26" xfId="0" quotePrefix="1" applyNumberFormat="1" applyFont="1" applyBorder="1" applyAlignment="1">
      <alignment vertical="top"/>
    </xf>
    <xf numFmtId="0" fontId="25" fillId="0" borderId="33" xfId="0" applyFont="1" applyBorder="1" applyAlignment="1">
      <alignment horizontal="left"/>
    </xf>
    <xf numFmtId="0" fontId="18" fillId="0" borderId="33" xfId="0" applyFont="1" applyBorder="1"/>
    <xf numFmtId="0" fontId="18" fillId="0" borderId="33" xfId="0" applyFont="1" applyBorder="1" applyAlignment="1">
      <alignment vertical="top"/>
    </xf>
    <xf numFmtId="0" fontId="43" fillId="0" borderId="0" xfId="0" applyFont="1" applyAlignment="1">
      <alignment horizontal="center" vertical="center"/>
    </xf>
    <xf numFmtId="0" fontId="0" fillId="0" borderId="52" xfId="0" applyBorder="1"/>
    <xf numFmtId="0" fontId="28" fillId="39" borderId="15" xfId="48" applyFont="1" applyBorder="1">
      <protection locked="0"/>
    </xf>
    <xf numFmtId="0" fontId="25" fillId="0" borderId="0" xfId="0" applyFont="1" applyAlignment="1">
      <alignment horizontal="right" vertical="top"/>
    </xf>
    <xf numFmtId="0" fontId="0" fillId="39" borderId="34" xfId="48" applyFont="1" applyBorder="1">
      <protection locked="0"/>
    </xf>
    <xf numFmtId="0" fontId="25" fillId="0" borderId="31" xfId="0" applyFont="1" applyBorder="1" applyAlignment="1">
      <alignment horizontal="left"/>
    </xf>
    <xf numFmtId="49" fontId="25" fillId="0" borderId="31" xfId="0" applyNumberFormat="1" applyFont="1" applyBorder="1"/>
    <xf numFmtId="165" fontId="45" fillId="39" borderId="34" xfId="48" applyNumberFormat="1" applyFont="1" applyBorder="1">
      <protection locked="0"/>
    </xf>
    <xf numFmtId="0" fontId="25" fillId="0" borderId="23" xfId="0" applyFont="1" applyBorder="1" applyAlignment="1">
      <alignment horizontal="left"/>
    </xf>
    <xf numFmtId="0" fontId="18" fillId="0" borderId="23" xfId="0" applyFont="1" applyBorder="1"/>
    <xf numFmtId="0" fontId="18" fillId="0" borderId="23" xfId="0" applyFont="1" applyBorder="1" applyAlignment="1">
      <alignment vertical="top"/>
    </xf>
    <xf numFmtId="0" fontId="0" fillId="0" borderId="23" xfId="0" applyBorder="1"/>
    <xf numFmtId="166" fontId="45" fillId="39" borderId="34" xfId="48" applyNumberFormat="1" applyFont="1" applyBorder="1">
      <protection locked="0"/>
    </xf>
    <xf numFmtId="49" fontId="25" fillId="0" borderId="33" xfId="0" applyNumberFormat="1" applyFont="1" applyBorder="1"/>
    <xf numFmtId="0" fontId="16" fillId="35" borderId="35" xfId="0" applyFont="1" applyFill="1" applyBorder="1"/>
    <xf numFmtId="0" fontId="0" fillId="35" borderId="35" xfId="0" applyFill="1" applyBorder="1"/>
    <xf numFmtId="0" fontId="0" fillId="35" borderId="35" xfId="0" applyFill="1" applyBorder="1" applyAlignment="1">
      <alignment vertical="center"/>
    </xf>
    <xf numFmtId="0" fontId="0" fillId="35" borderId="35" xfId="0" applyFill="1" applyBorder="1" applyAlignment="1">
      <alignment horizontal="center" vertical="center"/>
    </xf>
    <xf numFmtId="0" fontId="57" fillId="35" borderId="35" xfId="57" applyFill="1" applyBorder="1"/>
    <xf numFmtId="0" fontId="35" fillId="0" borderId="0" xfId="0" applyFont="1" applyAlignment="1">
      <alignment horizontal="left" vertical="top" wrapText="1"/>
    </xf>
    <xf numFmtId="49" fontId="25" fillId="0" borderId="26" xfId="0" applyNumberFormat="1" applyFont="1" applyBorder="1"/>
    <xf numFmtId="49" fontId="25" fillId="0" borderId="21" xfId="0" applyNumberFormat="1" applyFont="1" applyBorder="1"/>
    <xf numFmtId="0" fontId="18" fillId="0" borderId="21" xfId="0" applyFont="1" applyBorder="1" applyAlignment="1">
      <alignment vertical="top"/>
    </xf>
    <xf numFmtId="49" fontId="25" fillId="0" borderId="23" xfId="0" applyNumberFormat="1" applyFont="1" applyBorder="1"/>
    <xf numFmtId="0" fontId="18" fillId="0" borderId="26" xfId="0" applyFont="1" applyBorder="1"/>
    <xf numFmtId="0" fontId="0" fillId="0" borderId="21" xfId="0" applyBorder="1"/>
    <xf numFmtId="49" fontId="25" fillId="0" borderId="21" xfId="0" applyNumberFormat="1" applyFont="1" applyBorder="1" applyAlignment="1">
      <alignment vertical="top"/>
    </xf>
    <xf numFmtId="49" fontId="25" fillId="0" borderId="23" xfId="0" quotePrefix="1" applyNumberFormat="1" applyFont="1" applyBorder="1" applyAlignment="1">
      <alignment vertical="top"/>
    </xf>
    <xf numFmtId="0" fontId="25" fillId="0" borderId="23" xfId="0" applyFont="1" applyBorder="1" applyAlignment="1">
      <alignment vertical="top"/>
    </xf>
    <xf numFmtId="0" fontId="25" fillId="0" borderId="26" xfId="0" applyFont="1" applyBorder="1" applyAlignment="1">
      <alignment horizontal="left"/>
    </xf>
    <xf numFmtId="0" fontId="25" fillId="0" borderId="26" xfId="0" applyFont="1" applyBorder="1" applyAlignment="1">
      <alignment vertical="top"/>
    </xf>
    <xf numFmtId="49" fontId="25" fillId="0" borderId="21" xfId="0" quotePrefix="1" applyNumberFormat="1" applyFont="1" applyBorder="1" applyAlignment="1">
      <alignment vertical="top"/>
    </xf>
    <xf numFmtId="0" fontId="25" fillId="0" borderId="21" xfId="0" applyFont="1" applyBorder="1" applyAlignment="1">
      <alignment vertical="top"/>
    </xf>
    <xf numFmtId="0" fontId="25" fillId="0" borderId="26" xfId="0" applyFont="1" applyBorder="1" applyAlignment="1">
      <alignment horizontal="right" vertical="top" wrapText="1"/>
    </xf>
    <xf numFmtId="168" fontId="25" fillId="0" borderId="0" xfId="0" applyNumberFormat="1" applyFont="1" applyAlignment="1">
      <alignment horizontal="left"/>
    </xf>
    <xf numFmtId="2" fontId="25" fillId="0" borderId="0" xfId="0" applyNumberFormat="1" applyFont="1" applyAlignment="1">
      <alignment horizontal="left"/>
    </xf>
    <xf numFmtId="0" fontId="27" fillId="0" borderId="0" xfId="0" applyFont="1" applyAlignment="1">
      <alignment horizontal="right" wrapText="1"/>
    </xf>
    <xf numFmtId="0" fontId="18" fillId="0" borderId="0" xfId="0" applyFont="1" applyAlignment="1">
      <alignment wrapText="1"/>
    </xf>
    <xf numFmtId="0" fontId="26" fillId="0" borderId="0" xfId="0" applyFont="1" applyAlignment="1">
      <alignment horizontal="right" vertical="center" wrapText="1"/>
    </xf>
    <xf numFmtId="0" fontId="26" fillId="0" borderId="0" xfId="0" applyFont="1" applyAlignment="1">
      <alignment horizontal="right" wrapText="1"/>
    </xf>
    <xf numFmtId="0" fontId="25" fillId="0" borderId="0" xfId="0" applyFont="1" applyAlignment="1">
      <alignment wrapText="1"/>
    </xf>
    <xf numFmtId="0" fontId="21" fillId="34" borderId="0" xfId="50" applyAlignment="1">
      <alignment horizontal="left" vertical="top" wrapText="1"/>
    </xf>
    <xf numFmtId="49" fontId="21" fillId="34" borderId="0" xfId="50" applyNumberFormat="1" applyAlignment="1">
      <alignment horizontal="left" vertical="top" wrapText="1"/>
    </xf>
    <xf numFmtId="49" fontId="25" fillId="0" borderId="0" xfId="0" applyNumberFormat="1" applyFont="1" applyAlignment="1">
      <alignment vertical="top" wrapText="1"/>
    </xf>
    <xf numFmtId="49" fontId="25" fillId="0" borderId="0" xfId="0" quotePrefix="1" applyNumberFormat="1" applyFont="1" applyAlignment="1">
      <alignment vertical="top" wrapText="1"/>
    </xf>
    <xf numFmtId="0" fontId="27" fillId="0" borderId="0" xfId="0" applyFont="1" applyAlignment="1">
      <alignment horizontal="justify" vertical="top" wrapText="1"/>
    </xf>
    <xf numFmtId="0" fontId="31" fillId="0" borderId="0" xfId="0" applyFont="1" applyAlignment="1">
      <alignment vertical="top" wrapText="1"/>
    </xf>
    <xf numFmtId="49" fontId="25" fillId="0" borderId="0" xfId="0" applyNumberFormat="1" applyFont="1" applyAlignment="1">
      <alignment horizontal="center" vertical="top" wrapText="1"/>
    </xf>
    <xf numFmtId="0" fontId="42" fillId="0" borderId="0" xfId="0" applyFont="1" applyAlignment="1">
      <alignment vertical="top" wrapText="1"/>
    </xf>
    <xf numFmtId="0" fontId="18" fillId="0" borderId="0" xfId="0" applyFont="1" applyAlignment="1">
      <alignment horizontal="right" vertical="top" wrapText="1"/>
    </xf>
    <xf numFmtId="0" fontId="25" fillId="0" borderId="0" xfId="0" applyFont="1" applyAlignment="1">
      <alignment horizontal="center" vertical="top" wrapText="1"/>
    </xf>
    <xf numFmtId="0" fontId="18" fillId="0" borderId="31" xfId="0" applyFont="1" applyBorder="1"/>
    <xf numFmtId="0" fontId="18" fillId="0" borderId="31" xfId="0" applyFont="1" applyBorder="1" applyAlignment="1">
      <alignment horizontal="center" vertical="center"/>
    </xf>
    <xf numFmtId="0" fontId="18" fillId="0" borderId="26" xfId="0" applyFont="1" applyBorder="1" applyAlignment="1">
      <alignment wrapText="1"/>
    </xf>
    <xf numFmtId="0" fontId="18" fillId="0" borderId="21" xfId="0" applyFont="1" applyBorder="1"/>
    <xf numFmtId="0" fontId="18" fillId="0" borderId="21" xfId="0" applyFont="1" applyBorder="1" applyAlignment="1">
      <alignment wrapText="1"/>
    </xf>
    <xf numFmtId="0" fontId="18" fillId="0" borderId="23" xfId="0" applyFont="1" applyBorder="1" applyAlignment="1">
      <alignment horizontal="center" vertical="center"/>
    </xf>
    <xf numFmtId="0" fontId="18" fillId="0" borderId="23" xfId="0" applyFont="1" applyBorder="1" applyAlignment="1">
      <alignment wrapText="1"/>
    </xf>
    <xf numFmtId="0" fontId="0" fillId="39" borderId="17" xfId="48" applyFont="1" applyBorder="1">
      <protection locked="0"/>
    </xf>
    <xf numFmtId="0" fontId="0" fillId="0" borderId="54" xfId="0" applyBorder="1"/>
    <xf numFmtId="0" fontId="57" fillId="35" borderId="35" xfId="57" applyFill="1" applyBorder="1" applyProtection="1">
      <protection locked="0"/>
    </xf>
    <xf numFmtId="164" fontId="57" fillId="40" borderId="14" xfId="57" applyNumberFormat="1" applyFill="1" applyBorder="1" applyAlignment="1" applyProtection="1">
      <alignment horizontal="left" vertical="top" wrapText="1"/>
      <protection locked="0"/>
    </xf>
    <xf numFmtId="0" fontId="57" fillId="0" borderId="0" xfId="57" applyBorder="1" applyProtection="1">
      <protection locked="0"/>
    </xf>
    <xf numFmtId="0" fontId="26" fillId="0" borderId="33" xfId="0" applyFont="1" applyBorder="1" applyAlignment="1">
      <alignment horizontal="left" vertical="top" wrapText="1"/>
    </xf>
    <xf numFmtId="0" fontId="0" fillId="0" borderId="63" xfId="0" applyBorder="1"/>
    <xf numFmtId="0" fontId="0" fillId="0" borderId="0" xfId="0" applyAlignment="1">
      <alignment horizontal="left" wrapText="1"/>
    </xf>
    <xf numFmtId="0" fontId="27" fillId="0" borderId="0" xfId="0" applyFont="1" applyAlignment="1">
      <alignment horizontal="left" vertical="top" wrapText="1"/>
    </xf>
    <xf numFmtId="0" fontId="27" fillId="0" borderId="10" xfId="0" applyFont="1" applyBorder="1" applyAlignment="1">
      <alignment horizontal="center" vertical="center"/>
    </xf>
    <xf numFmtId="0" fontId="18" fillId="0" borderId="21" xfId="0" applyFont="1" applyBorder="1" applyAlignment="1">
      <alignment horizontal="left" vertical="top" wrapText="1"/>
    </xf>
    <xf numFmtId="0" fontId="18" fillId="0" borderId="21" xfId="0" applyFont="1" applyBorder="1" applyAlignment="1">
      <alignment vertical="top" wrapText="1"/>
    </xf>
    <xf numFmtId="0" fontId="36" fillId="0" borderId="0" xfId="0" applyFont="1" applyAlignment="1">
      <alignment horizontal="justify" vertical="top" wrapText="1"/>
    </xf>
    <xf numFmtId="164" fontId="29" fillId="40" borderId="51" xfId="65" applyBorder="1">
      <alignment horizontal="left" vertical="top" wrapText="1"/>
    </xf>
    <xf numFmtId="169" fontId="18" fillId="0" borderId="10" xfId="0" applyNumberFormat="1" applyFont="1" applyBorder="1" applyAlignment="1">
      <alignment horizontal="center" vertical="center" wrapText="1"/>
    </xf>
    <xf numFmtId="169" fontId="18" fillId="0" borderId="10" xfId="0" applyNumberFormat="1" applyFont="1" applyBorder="1" applyAlignment="1">
      <alignment horizontal="center" vertical="center"/>
    </xf>
    <xf numFmtId="0" fontId="27" fillId="0" borderId="12" xfId="0" applyFont="1" applyBorder="1" applyAlignment="1">
      <alignment horizontal="center" vertical="center" wrapText="1"/>
    </xf>
    <xf numFmtId="0" fontId="37" fillId="0" borderId="0" xfId="0" applyFont="1" applyAlignment="1">
      <alignment horizontal="center" vertical="center"/>
    </xf>
    <xf numFmtId="0" fontId="18" fillId="0" borderId="10" xfId="0" applyFont="1" applyBorder="1" applyAlignment="1">
      <alignment horizontal="center" vertical="center" wrapText="1"/>
    </xf>
    <xf numFmtId="2" fontId="27" fillId="0" borderId="12" xfId="0" applyNumberFormat="1" applyFont="1" applyBorder="1" applyAlignment="1">
      <alignment horizontal="center" vertical="center" wrapText="1"/>
    </xf>
    <xf numFmtId="0" fontId="18" fillId="0" borderId="10" xfId="0" applyFont="1" applyBorder="1" applyAlignment="1">
      <alignment horizontal="center" wrapText="1"/>
    </xf>
    <xf numFmtId="0" fontId="25" fillId="0" borderId="10"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0" xfId="0" applyFont="1" applyBorder="1" applyAlignment="1">
      <alignment horizontal="center" vertical="center"/>
    </xf>
    <xf numFmtId="0" fontId="42" fillId="0" borderId="10" xfId="0" applyFont="1" applyBorder="1" applyAlignment="1">
      <alignment horizontal="center" vertical="center"/>
    </xf>
    <xf numFmtId="0" fontId="26" fillId="0" borderId="12" xfId="0" applyFont="1" applyBorder="1" applyAlignment="1">
      <alignment horizontal="center" vertical="center" wrapText="1"/>
    </xf>
    <xf numFmtId="1" fontId="18" fillId="0" borderId="10" xfId="0" applyNumberFormat="1" applyFont="1" applyBorder="1" applyAlignment="1">
      <alignment horizontal="center" vertical="center" wrapText="1"/>
    </xf>
    <xf numFmtId="1" fontId="27" fillId="0" borderId="12" xfId="0" applyNumberFormat="1" applyFont="1" applyBorder="1" applyAlignment="1">
      <alignment horizontal="center" vertical="center" wrapText="1"/>
    </xf>
    <xf numFmtId="16" fontId="0" fillId="0" borderId="0" xfId="0" applyNumberFormat="1"/>
    <xf numFmtId="49" fontId="18" fillId="0" borderId="10" xfId="0" applyNumberFormat="1" applyFont="1" applyBorder="1" applyAlignment="1">
      <alignment horizontal="center" vertical="center" wrapText="1"/>
    </xf>
    <xf numFmtId="49" fontId="27" fillId="0" borderId="12" xfId="0" applyNumberFormat="1" applyFont="1" applyBorder="1" applyAlignment="1">
      <alignment horizontal="center" vertical="center" wrapText="1"/>
    </xf>
    <xf numFmtId="49" fontId="25" fillId="0" borderId="10" xfId="0" applyNumberFormat="1" applyFont="1" applyBorder="1" applyAlignment="1">
      <alignment horizontal="center" vertical="center" wrapText="1"/>
    </xf>
    <xf numFmtId="49" fontId="42" fillId="0" borderId="10" xfId="0" applyNumberFormat="1" applyFont="1" applyBorder="1" applyAlignment="1">
      <alignment horizontal="center" vertical="center"/>
    </xf>
    <xf numFmtId="49" fontId="25" fillId="0" borderId="10" xfId="0" applyNumberFormat="1" applyFont="1" applyBorder="1" applyAlignment="1">
      <alignment horizontal="center" vertical="center"/>
    </xf>
    <xf numFmtId="2" fontId="18" fillId="0" borderId="10" xfId="0" applyNumberFormat="1" applyFont="1" applyBorder="1" applyAlignment="1">
      <alignment horizontal="center" vertical="center" wrapText="1"/>
    </xf>
    <xf numFmtId="2" fontId="18" fillId="0" borderId="10" xfId="0" applyNumberFormat="1" applyFont="1" applyBorder="1" applyAlignment="1">
      <alignment horizontal="center" vertical="center"/>
    </xf>
    <xf numFmtId="49" fontId="18" fillId="0" borderId="10" xfId="0" applyNumberFormat="1" applyFont="1" applyBorder="1" applyAlignment="1">
      <alignment horizontal="center"/>
    </xf>
    <xf numFmtId="0" fontId="18" fillId="0" borderId="10" xfId="0" applyFont="1" applyBorder="1" applyAlignment="1">
      <alignment horizontal="center"/>
    </xf>
    <xf numFmtId="0" fontId="43" fillId="43" borderId="15" xfId="0" applyFont="1" applyFill="1" applyBorder="1" applyAlignment="1">
      <alignment horizontal="center" vertical="center" wrapText="1"/>
    </xf>
    <xf numFmtId="0" fontId="18" fillId="0" borderId="15" xfId="0" applyFont="1" applyBorder="1" applyAlignment="1">
      <alignment horizontal="center" vertical="center" wrapText="1"/>
    </xf>
    <xf numFmtId="0" fontId="27" fillId="0" borderId="10" xfId="0" applyFont="1" applyBorder="1" applyAlignment="1">
      <alignment horizontal="center" vertical="center" wrapText="1"/>
    </xf>
    <xf numFmtId="0" fontId="16" fillId="0" borderId="0" xfId="0" applyFont="1" applyAlignment="1">
      <alignment horizontal="center"/>
    </xf>
    <xf numFmtId="0" fontId="27" fillId="0" borderId="64" xfId="0" applyFont="1" applyBorder="1" applyAlignment="1">
      <alignment horizontal="center" vertical="center"/>
    </xf>
    <xf numFmtId="0" fontId="26" fillId="0" borderId="64" xfId="0" applyFont="1" applyBorder="1" applyAlignment="1">
      <alignment horizontal="center" vertical="center"/>
    </xf>
    <xf numFmtId="0" fontId="26" fillId="0" borderId="64" xfId="0" applyFont="1" applyBorder="1" applyAlignment="1">
      <alignment horizontal="center" vertical="center" wrapText="1"/>
    </xf>
    <xf numFmtId="49" fontId="0" fillId="39" borderId="10" xfId="48" applyNumberFormat="1" applyFont="1" applyAlignment="1">
      <alignment horizontal="left"/>
      <protection locked="0"/>
    </xf>
    <xf numFmtId="0" fontId="16" fillId="0" borderId="25" xfId="0" applyFont="1" applyBorder="1" applyAlignment="1">
      <alignment horizontal="right" vertical="center"/>
    </xf>
    <xf numFmtId="0" fontId="16" fillId="0" borderId="12" xfId="0" applyFont="1" applyBorder="1" applyAlignment="1">
      <alignment horizontal="right" vertical="center"/>
    </xf>
    <xf numFmtId="9" fontId="0" fillId="0" borderId="0" xfId="0" applyNumberFormat="1"/>
    <xf numFmtId="0" fontId="16" fillId="0" borderId="0" xfId="0" applyFont="1"/>
    <xf numFmtId="170" fontId="45" fillId="39" borderId="10" xfId="48" applyNumberFormat="1" applyFont="1">
      <protection locked="0"/>
    </xf>
    <xf numFmtId="164" fontId="29" fillId="40" borderId="14" xfId="65">
      <alignment horizontal="left" vertical="top" wrapText="1"/>
    </xf>
    <xf numFmtId="0" fontId="18" fillId="0" borderId="10" xfId="0" applyFont="1" applyBorder="1" applyAlignment="1">
      <alignment horizontal="center" vertical="center"/>
    </xf>
    <xf numFmtId="0" fontId="53" fillId="0" borderId="75" xfId="0" applyFont="1" applyBorder="1" applyAlignment="1">
      <alignment horizontal="center" vertical="center" wrapText="1"/>
    </xf>
    <xf numFmtId="0" fontId="53" fillId="0" borderId="76" xfId="0" applyFont="1" applyBorder="1" applyAlignment="1">
      <alignment horizontal="center" vertical="center" wrapText="1"/>
    </xf>
    <xf numFmtId="0" fontId="53" fillId="0" borderId="64" xfId="0" applyFont="1" applyBorder="1" applyAlignment="1">
      <alignment horizontal="center" vertical="center" wrapText="1"/>
    </xf>
    <xf numFmtId="49" fontId="48" fillId="0" borderId="65" xfId="0" applyNumberFormat="1" applyFont="1" applyBorder="1" applyAlignment="1">
      <alignment horizontal="center" vertical="center" wrapText="1"/>
    </xf>
    <xf numFmtId="0" fontId="48" fillId="0" borderId="64" xfId="0" applyFont="1" applyBorder="1" applyAlignment="1">
      <alignment horizontal="center" vertical="center" wrapText="1"/>
    </xf>
    <xf numFmtId="2" fontId="48" fillId="0" borderId="64" xfId="0" applyNumberFormat="1" applyFont="1" applyBorder="1" applyAlignment="1">
      <alignment horizontal="center" vertical="center" wrapText="1"/>
    </xf>
    <xf numFmtId="0" fontId="48" fillId="0" borderId="65" xfId="0" applyFont="1" applyBorder="1" applyAlignment="1">
      <alignment horizontal="center" vertical="center" wrapText="1"/>
    </xf>
    <xf numFmtId="0" fontId="0" fillId="39" borderId="10" xfId="48" applyFont="1" applyAlignment="1">
      <protection locked="0"/>
    </xf>
    <xf numFmtId="0" fontId="18" fillId="0" borderId="26" xfId="0" applyFont="1" applyBorder="1" applyAlignment="1">
      <alignment vertical="top" wrapText="1"/>
    </xf>
    <xf numFmtId="0" fontId="18" fillId="0" borderId="31" xfId="0" applyFont="1" applyBorder="1" applyAlignment="1">
      <alignment vertical="top" wrapText="1"/>
    </xf>
    <xf numFmtId="49" fontId="25" fillId="0" borderId="31" xfId="0" applyNumberFormat="1" applyFont="1" applyBorder="1" applyAlignment="1">
      <alignment horizontal="left"/>
    </xf>
    <xf numFmtId="0" fontId="25" fillId="0" borderId="31" xfId="0" applyFont="1" applyBorder="1" applyAlignment="1">
      <alignment horizontal="right" vertical="top" wrapText="1"/>
    </xf>
    <xf numFmtId="0" fontId="25" fillId="0" borderId="35" xfId="0" applyFont="1" applyBorder="1" applyAlignment="1">
      <alignment horizontal="left"/>
    </xf>
    <xf numFmtId="0" fontId="18" fillId="0" borderId="35" xfId="0" applyFont="1" applyBorder="1"/>
    <xf numFmtId="0" fontId="25" fillId="0" borderId="35" xfId="0" applyFont="1" applyBorder="1" applyAlignment="1">
      <alignment vertical="top" wrapText="1"/>
    </xf>
    <xf numFmtId="0" fontId="25" fillId="0" borderId="35" xfId="0" applyFont="1" applyBorder="1" applyAlignment="1">
      <alignment horizontal="center" vertical="center"/>
    </xf>
    <xf numFmtId="0" fontId="28" fillId="39" borderId="34" xfId="48" applyFont="1" applyBorder="1">
      <protection locked="0"/>
    </xf>
    <xf numFmtId="172" fontId="45" fillId="39" borderId="10" xfId="48" applyNumberFormat="1" applyFont="1">
      <protection locked="0"/>
    </xf>
    <xf numFmtId="171" fontId="25" fillId="0" borderId="26" xfId="0" applyNumberFormat="1" applyFont="1" applyBorder="1" applyAlignment="1">
      <alignment horizontal="center" vertical="center"/>
    </xf>
    <xf numFmtId="173" fontId="45" fillId="39" borderId="10" xfId="48" applyNumberFormat="1" applyFont="1">
      <protection locked="0"/>
    </xf>
    <xf numFmtId="175" fontId="45" fillId="39" borderId="10" xfId="48" applyNumberFormat="1" applyFont="1">
      <protection locked="0"/>
    </xf>
    <xf numFmtId="2" fontId="45" fillId="39" borderId="10" xfId="48" applyNumberFormat="1" applyFont="1">
      <protection locked="0"/>
    </xf>
    <xf numFmtId="0" fontId="0" fillId="2" borderId="0" xfId="0" applyFill="1" applyAlignment="1">
      <alignment horizontal="right"/>
    </xf>
    <xf numFmtId="0" fontId="43" fillId="34" borderId="0" xfId="50" applyFont="1" applyAlignment="1">
      <alignment horizontal="center" vertical="center"/>
    </xf>
    <xf numFmtId="0" fontId="26" fillId="0" borderId="69" xfId="0" applyFont="1" applyBorder="1" applyAlignment="1">
      <alignment horizontal="center" vertical="center" wrapText="1"/>
    </xf>
    <xf numFmtId="9" fontId="1" fillId="39" borderId="10" xfId="48" applyNumberFormat="1" applyFont="1" applyAlignment="1">
      <alignment horizontal="right" vertical="center"/>
      <protection locked="0"/>
    </xf>
    <xf numFmtId="0" fontId="27" fillId="0" borderId="64" xfId="0" applyFont="1" applyBorder="1" applyAlignment="1">
      <alignment horizontal="center" vertical="center" wrapText="1"/>
    </xf>
    <xf numFmtId="0" fontId="27" fillId="0" borderId="65" xfId="0" applyFont="1" applyBorder="1" applyAlignment="1">
      <alignment horizontal="left" vertical="center" wrapText="1" indent="1"/>
    </xf>
    <xf numFmtId="0" fontId="27" fillId="0" borderId="69" xfId="0" applyFont="1" applyBorder="1" applyAlignment="1">
      <alignment horizontal="center" vertical="center" wrapText="1"/>
    </xf>
    <xf numFmtId="0" fontId="27" fillId="0" borderId="80" xfId="0" applyFont="1" applyBorder="1" applyAlignment="1">
      <alignment horizontal="left" vertical="center" wrapText="1" indent="1"/>
    </xf>
    <xf numFmtId="0" fontId="27" fillId="0" borderId="75" xfId="0" applyFont="1" applyBorder="1" applyAlignment="1">
      <alignment horizontal="center" vertical="center" wrapText="1"/>
    </xf>
    <xf numFmtId="0" fontId="27" fillId="0" borderId="66" xfId="0" applyFont="1" applyBorder="1" applyAlignment="1">
      <alignment horizontal="left" vertical="center" wrapText="1" indent="1"/>
    </xf>
    <xf numFmtId="0" fontId="26" fillId="0" borderId="65" xfId="0" applyFont="1" applyBorder="1" applyAlignment="1">
      <alignment horizontal="center" vertical="center" wrapText="1"/>
    </xf>
    <xf numFmtId="0" fontId="27" fillId="44" borderId="64" xfId="0" applyFont="1" applyFill="1" applyBorder="1" applyAlignment="1">
      <alignment horizontal="center" vertical="center" wrapText="1"/>
    </xf>
    <xf numFmtId="0" fontId="27" fillId="44" borderId="65" xfId="0" applyFont="1" applyFill="1" applyBorder="1" applyAlignment="1">
      <alignment vertical="center" wrapText="1"/>
    </xf>
    <xf numFmtId="0" fontId="27" fillId="0" borderId="65" xfId="0" applyFont="1" applyBorder="1" applyAlignment="1">
      <alignment vertical="center" wrapText="1"/>
    </xf>
    <xf numFmtId="0" fontId="26" fillId="0" borderId="80" xfId="0" applyFont="1" applyBorder="1" applyAlignment="1">
      <alignment horizontal="center" vertical="center" wrapText="1"/>
    </xf>
    <xf numFmtId="0" fontId="27" fillId="0" borderId="65" xfId="0" applyFont="1" applyBorder="1" applyAlignment="1">
      <alignment horizontal="center" vertical="center" wrapText="1"/>
    </xf>
    <xf numFmtId="0" fontId="27" fillId="0" borderId="10" xfId="0" applyFont="1" applyBorder="1" applyAlignment="1">
      <alignment vertical="center" wrapText="1"/>
    </xf>
    <xf numFmtId="0" fontId="27" fillId="0" borderId="17"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5" xfId="0" applyFont="1" applyBorder="1" applyAlignment="1">
      <alignment horizontal="center" vertical="center" wrapText="1"/>
    </xf>
    <xf numFmtId="0" fontId="26" fillId="0" borderId="10" xfId="0" applyFont="1" applyBorder="1" applyAlignment="1">
      <alignment horizontal="center" vertical="center" wrapText="1"/>
    </xf>
    <xf numFmtId="0" fontId="27" fillId="0" borderId="15" xfId="0" applyFont="1" applyBorder="1" applyAlignment="1">
      <alignment vertical="center" wrapText="1"/>
    </xf>
    <xf numFmtId="0" fontId="27" fillId="0" borderId="17" xfId="0" applyFont="1" applyBorder="1" applyAlignment="1">
      <alignment vertical="center" wrapText="1"/>
    </xf>
    <xf numFmtId="0" fontId="27" fillId="0" borderId="16" xfId="0" applyFont="1" applyBorder="1" applyAlignment="1">
      <alignment vertical="center" wrapText="1"/>
    </xf>
    <xf numFmtId="0" fontId="18" fillId="0" borderId="0" xfId="0" applyFont="1" applyAlignment="1">
      <alignment horizontal="left" vertical="top" wrapText="1"/>
    </xf>
    <xf numFmtId="0" fontId="25" fillId="0" borderId="33" xfId="0" applyFont="1" applyBorder="1" applyAlignment="1">
      <alignment horizontal="center" vertical="center"/>
    </xf>
    <xf numFmtId="0" fontId="25" fillId="0" borderId="26" xfId="0" applyFont="1" applyBorder="1" applyAlignment="1">
      <alignment horizontal="center" vertical="center"/>
    </xf>
    <xf numFmtId="0" fontId="39" fillId="0" borderId="0" xfId="0" applyFont="1" applyAlignment="1">
      <alignment horizontal="center" vertical="center"/>
    </xf>
    <xf numFmtId="0" fontId="25" fillId="0" borderId="31" xfId="0" applyFont="1" applyBorder="1" applyAlignment="1">
      <alignment horizontal="center" vertical="center"/>
    </xf>
    <xf numFmtId="0" fontId="25" fillId="0" borderId="0" xfId="0" applyFont="1" applyAlignment="1">
      <alignment horizontal="center" vertical="center" wrapText="1"/>
    </xf>
    <xf numFmtId="0" fontId="25" fillId="0" borderId="0" xfId="62" applyFont="1">
      <alignment horizontal="center" vertical="center"/>
    </xf>
    <xf numFmtId="0" fontId="26" fillId="0" borderId="0" xfId="0" applyFont="1" applyAlignment="1">
      <alignment horizontal="center" vertical="center"/>
    </xf>
    <xf numFmtId="0" fontId="25" fillId="0" borderId="33" xfId="0" applyFont="1" applyBorder="1" applyAlignment="1">
      <alignment vertical="top" wrapText="1"/>
    </xf>
    <xf numFmtId="0" fontId="25" fillId="0" borderId="31" xfId="0" applyFont="1" applyBorder="1" applyAlignment="1">
      <alignment vertical="top" wrapText="1"/>
    </xf>
    <xf numFmtId="0" fontId="57" fillId="0" borderId="0" xfId="57" applyAlignment="1" applyProtection="1">
      <alignment horizontal="left" vertical="top" wrapText="1"/>
      <protection locked="0"/>
    </xf>
    <xf numFmtId="0" fontId="18" fillId="0" borderId="21" xfId="0" applyFont="1" applyBorder="1" applyAlignment="1">
      <alignment horizontal="center" vertical="center"/>
    </xf>
    <xf numFmtId="0" fontId="25" fillId="0" borderId="21" xfId="0" applyFont="1" applyBorder="1" applyAlignment="1">
      <alignment horizontal="center" vertical="center"/>
    </xf>
    <xf numFmtId="2" fontId="0" fillId="0" borderId="0" xfId="0" applyNumberFormat="1"/>
    <xf numFmtId="0" fontId="0" fillId="37" borderId="53" xfId="54" applyFont="1" applyBorder="1">
      <alignment horizontal="left" vertical="top" wrapText="1"/>
      <protection locked="0"/>
    </xf>
    <xf numFmtId="0" fontId="18" fillId="0" borderId="26" xfId="0" applyFont="1" applyBorder="1" applyAlignment="1">
      <alignment horizontal="left" vertical="top" wrapText="1"/>
    </xf>
    <xf numFmtId="0" fontId="25" fillId="0" borderId="23" xfId="0" applyFont="1" applyBorder="1" applyAlignment="1">
      <alignment horizontal="center" vertical="center"/>
    </xf>
    <xf numFmtId="0" fontId="26" fillId="0" borderId="0" xfId="0" applyFont="1" applyAlignment="1">
      <alignment horizontal="center" vertical="center" wrapText="1"/>
    </xf>
    <xf numFmtId="164" fontId="29" fillId="40" borderId="50" xfId="65" applyBorder="1">
      <alignment horizontal="left" vertical="top" wrapText="1"/>
    </xf>
    <xf numFmtId="0" fontId="25" fillId="0" borderId="26" xfId="0" applyFont="1" applyBorder="1" applyAlignment="1">
      <alignment horizontal="center" vertical="center" wrapText="1"/>
    </xf>
    <xf numFmtId="0" fontId="18" fillId="0" borderId="23" xfId="0" applyFont="1" applyBorder="1" applyAlignment="1">
      <alignment vertical="top" wrapText="1"/>
    </xf>
    <xf numFmtId="0" fontId="0" fillId="0" borderId="12" xfId="0" applyBorder="1" applyAlignment="1">
      <alignment horizontal="left"/>
    </xf>
    <xf numFmtId="0" fontId="0" fillId="0" borderId="21" xfId="0" applyBorder="1" applyAlignment="1">
      <alignment horizontal="left"/>
    </xf>
    <xf numFmtId="0" fontId="0" fillId="0" borderId="13" xfId="0" applyBorder="1" applyAlignment="1">
      <alignment horizontal="left"/>
    </xf>
    <xf numFmtId="0" fontId="26" fillId="0" borderId="26" xfId="0" applyFont="1" applyBorder="1" applyAlignment="1">
      <alignment horizontal="center" vertical="center" wrapText="1"/>
    </xf>
    <xf numFmtId="0" fontId="25" fillId="0" borderId="26" xfId="0" applyFont="1" applyBorder="1" applyAlignment="1">
      <alignment horizontal="center"/>
    </xf>
    <xf numFmtId="168" fontId="25" fillId="0" borderId="31" xfId="0" applyNumberFormat="1" applyFont="1" applyBorder="1" applyAlignment="1">
      <alignment horizontal="left"/>
    </xf>
    <xf numFmtId="168" fontId="25" fillId="0" borderId="33" xfId="0" applyNumberFormat="1" applyFont="1" applyBorder="1" applyAlignment="1">
      <alignment horizontal="left"/>
    </xf>
    <xf numFmtId="0" fontId="18" fillId="0" borderId="31" xfId="0" applyFont="1" applyBorder="1" applyAlignment="1">
      <alignment horizontal="left"/>
    </xf>
    <xf numFmtId="0" fontId="57" fillId="0" borderId="31" xfId="57" applyBorder="1" applyAlignment="1" applyProtection="1">
      <alignment horizontal="left" vertical="top" wrapText="1"/>
      <protection locked="0"/>
    </xf>
    <xf numFmtId="176" fontId="45" fillId="39" borderId="10" xfId="48" applyNumberFormat="1" applyFont="1">
      <protection locked="0"/>
    </xf>
    <xf numFmtId="178" fontId="45" fillId="39" borderId="10" xfId="48" applyNumberFormat="1" applyFont="1">
      <protection locked="0"/>
    </xf>
    <xf numFmtId="2" fontId="0" fillId="2" borderId="0" xfId="0" applyNumberFormat="1" applyFill="1"/>
    <xf numFmtId="9" fontId="45" fillId="39" borderId="10" xfId="48" applyNumberFormat="1" applyFont="1">
      <protection locked="0"/>
    </xf>
    <xf numFmtId="168" fontId="45" fillId="39" borderId="10" xfId="48" applyNumberFormat="1" applyFont="1">
      <protection locked="0"/>
    </xf>
    <xf numFmtId="0" fontId="18" fillId="0" borderId="0" xfId="0" applyFont="1" applyAlignment="1">
      <alignment vertical="center"/>
    </xf>
    <xf numFmtId="0" fontId="58" fillId="34" borderId="0" xfId="50" applyFont="1" applyAlignment="1">
      <alignment vertical="center"/>
    </xf>
    <xf numFmtId="0" fontId="25" fillId="0" borderId="26" xfId="62" applyFont="1" applyBorder="1">
      <alignment horizontal="center" vertical="center"/>
    </xf>
    <xf numFmtId="0" fontId="25" fillId="0" borderId="31" xfId="62" applyFont="1" applyBorder="1">
      <alignment horizontal="center" vertical="center"/>
    </xf>
    <xf numFmtId="0" fontId="18" fillId="0" borderId="0" xfId="62" applyFont="1" applyBorder="1">
      <alignment horizontal="center" vertical="center"/>
    </xf>
    <xf numFmtId="0" fontId="18" fillId="0" borderId="31" xfId="62" applyFont="1" applyBorder="1">
      <alignment horizontal="center" vertical="center"/>
    </xf>
    <xf numFmtId="0" fontId="58" fillId="34" borderId="0" xfId="50" applyFont="1" applyAlignment="1">
      <alignment horizontal="center" vertical="center"/>
    </xf>
    <xf numFmtId="0" fontId="18" fillId="0" borderId="33"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58" fillId="34" borderId="0" xfId="50" applyFont="1"/>
    <xf numFmtId="0" fontId="25" fillId="0" borderId="33" xfId="0" applyFont="1" applyBorder="1"/>
    <xf numFmtId="0" fontId="18" fillId="0" borderId="31" xfId="0" applyFont="1" applyBorder="1" applyAlignment="1">
      <alignment vertical="center"/>
    </xf>
    <xf numFmtId="1" fontId="45" fillId="39" borderId="10" xfId="48" applyNumberFormat="1" applyFont="1">
      <protection locked="0"/>
    </xf>
    <xf numFmtId="49" fontId="25" fillId="0" borderId="31" xfId="0" applyNumberFormat="1" applyFont="1" applyBorder="1" applyAlignment="1">
      <alignment vertical="top" wrapText="1"/>
    </xf>
    <xf numFmtId="0" fontId="18" fillId="0" borderId="33" xfId="0" applyFont="1" applyBorder="1" applyAlignment="1">
      <alignment vertical="top" wrapText="1"/>
    </xf>
    <xf numFmtId="0" fontId="18" fillId="0" borderId="35" xfId="0" applyFont="1" applyBorder="1" applyAlignment="1">
      <alignment vertical="top" wrapText="1"/>
    </xf>
    <xf numFmtId="0" fontId="26" fillId="0" borderId="31" xfId="0" applyFont="1" applyBorder="1" applyAlignment="1">
      <alignment horizontal="center" vertical="center" wrapText="1"/>
    </xf>
    <xf numFmtId="0" fontId="26" fillId="0" borderId="0" xfId="0" applyFont="1" applyAlignment="1">
      <alignment vertical="top" wrapText="1"/>
    </xf>
    <xf numFmtId="0" fontId="18" fillId="0" borderId="26" xfId="0" applyFont="1" applyBorder="1" applyAlignment="1">
      <alignment horizontal="left"/>
    </xf>
    <xf numFmtId="0" fontId="26" fillId="0" borderId="31" xfId="0" applyFont="1" applyBorder="1" applyAlignment="1">
      <alignment horizontal="justify" vertical="top" wrapText="1"/>
    </xf>
    <xf numFmtId="0" fontId="28" fillId="39" borderId="53" xfId="48" applyFont="1" applyBorder="1">
      <protection locked="0"/>
    </xf>
    <xf numFmtId="0" fontId="57" fillId="0" borderId="26" xfId="57" applyBorder="1" applyAlignment="1" applyProtection="1">
      <alignment horizontal="left" vertical="top" wrapText="1"/>
      <protection locked="0"/>
    </xf>
    <xf numFmtId="177" fontId="45" fillId="39" borderId="10" xfId="48" applyNumberFormat="1" applyFont="1">
      <protection locked="0"/>
    </xf>
    <xf numFmtId="0" fontId="25" fillId="0" borderId="23" xfId="0" applyFont="1" applyBorder="1" applyAlignment="1">
      <alignment vertical="top" wrapText="1"/>
    </xf>
    <xf numFmtId="49" fontId="25" fillId="0" borderId="26" xfId="0" applyNumberFormat="1" applyFont="1" applyBorder="1" applyAlignment="1">
      <alignment vertical="top" wrapText="1"/>
    </xf>
    <xf numFmtId="0" fontId="0" fillId="2" borderId="26" xfId="0" applyFill="1" applyBorder="1"/>
    <xf numFmtId="0" fontId="0" fillId="2" borderId="23" xfId="0" applyFill="1" applyBorder="1"/>
    <xf numFmtId="0" fontId="25" fillId="0" borderId="26" xfId="0" applyFont="1" applyBorder="1" applyAlignment="1">
      <alignment vertical="top" wrapText="1"/>
    </xf>
    <xf numFmtId="0" fontId="25" fillId="0" borderId="23" xfId="0" applyFont="1" applyBorder="1"/>
    <xf numFmtId="0" fontId="25" fillId="0" borderId="26" xfId="0" applyFont="1" applyBorder="1"/>
    <xf numFmtId="0" fontId="25" fillId="0" borderId="21" xfId="0" applyFont="1" applyBorder="1"/>
    <xf numFmtId="0" fontId="25" fillId="0" borderId="21" xfId="0" applyFont="1" applyBorder="1" applyAlignment="1">
      <alignment vertical="top" wrapText="1"/>
    </xf>
    <xf numFmtId="0" fontId="25" fillId="0" borderId="81" xfId="0" applyFont="1" applyBorder="1" applyAlignment="1">
      <alignment horizontal="center" vertical="center"/>
    </xf>
    <xf numFmtId="0" fontId="0" fillId="0" borderId="27" xfId="0" applyBorder="1"/>
    <xf numFmtId="0" fontId="0" fillId="0" borderId="24" xfId="0" applyBorder="1"/>
    <xf numFmtId="0" fontId="31" fillId="0" borderId="26" xfId="0" applyFont="1" applyBorder="1" applyAlignment="1">
      <alignment vertical="top" wrapText="1"/>
    </xf>
    <xf numFmtId="49" fontId="25" fillId="0" borderId="26" xfId="0" applyNumberFormat="1" applyFont="1" applyBorder="1" applyAlignment="1">
      <alignment horizontal="center" vertical="top" wrapText="1"/>
    </xf>
    <xf numFmtId="174" fontId="0" fillId="0" borderId="31" xfId="0" applyNumberFormat="1" applyBorder="1" applyAlignment="1">
      <alignment horizontal="left"/>
    </xf>
    <xf numFmtId="49" fontId="25" fillId="0" borderId="31" xfId="0" applyNumberFormat="1" applyFont="1" applyBorder="1" applyAlignment="1">
      <alignment horizontal="center" vertical="top" wrapText="1"/>
    </xf>
    <xf numFmtId="0" fontId="0" fillId="0" borderId="0" xfId="0" applyAlignment="1">
      <alignment vertical="top" wrapText="1"/>
    </xf>
    <xf numFmtId="0" fontId="0" fillId="0" borderId="26" xfId="0" applyBorder="1" applyAlignment="1">
      <alignment vertical="top" wrapText="1"/>
    </xf>
    <xf numFmtId="49" fontId="25" fillId="0" borderId="23" xfId="0" applyNumberFormat="1" applyFont="1" applyBorder="1" applyAlignment="1">
      <alignment vertical="top" wrapText="1"/>
    </xf>
    <xf numFmtId="49" fontId="25" fillId="0" borderId="21" xfId="0" applyNumberFormat="1" applyFont="1" applyBorder="1" applyAlignment="1">
      <alignment vertical="top" wrapText="1"/>
    </xf>
    <xf numFmtId="49" fontId="25" fillId="0" borderId="21" xfId="0" quotePrefix="1" applyNumberFormat="1" applyFont="1" applyBorder="1" applyAlignment="1">
      <alignment vertical="top" wrapText="1"/>
    </xf>
    <xf numFmtId="0" fontId="27" fillId="0" borderId="26" xfId="0" applyFont="1" applyBorder="1" applyAlignment="1">
      <alignment horizontal="justify" vertical="top" wrapText="1"/>
    </xf>
    <xf numFmtId="0" fontId="25" fillId="0" borderId="21" xfId="62" applyFont="1" applyBorder="1">
      <alignment horizontal="center" vertical="center"/>
    </xf>
    <xf numFmtId="49" fontId="25" fillId="0" borderId="21" xfId="0" applyNumberFormat="1" applyFont="1" applyBorder="1" applyAlignment="1">
      <alignment horizontal="center" vertical="top" wrapText="1"/>
    </xf>
    <xf numFmtId="49" fontId="25" fillId="0" borderId="23" xfId="0" applyNumberFormat="1" applyFont="1" applyBorder="1" applyAlignment="1">
      <alignment horizontal="center" vertical="top" wrapText="1"/>
    </xf>
    <xf numFmtId="0" fontId="0" fillId="0" borderId="10" xfId="0" applyBorder="1"/>
    <xf numFmtId="0" fontId="16" fillId="0" borderId="10" xfId="0" applyFont="1" applyBorder="1" applyAlignment="1">
      <alignment horizontal="center" vertical="center"/>
    </xf>
    <xf numFmtId="0" fontId="16" fillId="0" borderId="0" xfId="0" applyFont="1" applyAlignment="1">
      <alignment horizontal="center" wrapText="1"/>
    </xf>
    <xf numFmtId="0" fontId="0" fillId="0" borderId="10" xfId="0" applyBorder="1" applyAlignment="1">
      <alignment horizontal="right" indent="2"/>
    </xf>
    <xf numFmtId="0" fontId="60" fillId="0" borderId="0" xfId="0" applyFont="1"/>
    <xf numFmtId="0" fontId="16" fillId="0" borderId="10" xfId="0" applyFont="1" applyBorder="1" applyAlignment="1">
      <alignment horizontal="right" indent="2"/>
    </xf>
    <xf numFmtId="179" fontId="16" fillId="0" borderId="10" xfId="0" applyNumberFormat="1" applyFont="1" applyBorder="1"/>
    <xf numFmtId="0" fontId="16" fillId="0" borderId="10" xfId="0" applyFont="1" applyBorder="1" applyAlignment="1">
      <alignment vertical="top"/>
    </xf>
    <xf numFmtId="0" fontId="62" fillId="0" borderId="10" xfId="60" applyFont="1" applyBorder="1" applyAlignment="1">
      <alignment horizontal="center"/>
    </xf>
    <xf numFmtId="0" fontId="61" fillId="0" borderId="10" xfId="60" applyFont="1" applyBorder="1" applyAlignment="1"/>
    <xf numFmtId="0" fontId="16" fillId="0" borderId="10" xfId="0" applyFont="1" applyBorder="1"/>
    <xf numFmtId="179" fontId="16" fillId="0" borderId="0" xfId="0" applyNumberFormat="1" applyFont="1"/>
    <xf numFmtId="0" fontId="19" fillId="0" borderId="0" xfId="0" applyFont="1" applyAlignment="1">
      <alignment horizontal="center" vertical="center"/>
    </xf>
    <xf numFmtId="0" fontId="61" fillId="0" borderId="0" xfId="60" applyFont="1" applyBorder="1" applyAlignment="1"/>
    <xf numFmtId="0" fontId="0" fillId="0" borderId="0" xfId="64" applyFont="1" applyFill="1" applyBorder="1" applyAlignment="1">
      <alignment horizontal="left"/>
    </xf>
    <xf numFmtId="0" fontId="0" fillId="0" borderId="0" xfId="64" applyFont="1" applyFill="1" applyBorder="1" applyAlignment="1">
      <alignment horizontal="center"/>
    </xf>
    <xf numFmtId="0" fontId="0" fillId="41" borderId="0" xfId="0" applyFill="1"/>
    <xf numFmtId="0" fontId="16" fillId="0" borderId="10" xfId="0" applyFont="1" applyBorder="1" applyAlignment="1">
      <alignment horizontal="center" vertical="center" wrapText="1"/>
    </xf>
    <xf numFmtId="0" fontId="0" fillId="0" borderId="15" xfId="0" applyBorder="1" applyAlignment="1">
      <alignment horizontal="left" vertical="center"/>
    </xf>
    <xf numFmtId="0" fontId="0" fillId="0" borderId="15" xfId="0" applyBorder="1" applyAlignment="1">
      <alignment horizontal="center" vertical="center"/>
    </xf>
    <xf numFmtId="0" fontId="0" fillId="0" borderId="15" xfId="0" applyBorder="1" applyAlignment="1">
      <alignment horizontal="center"/>
    </xf>
    <xf numFmtId="0" fontId="0" fillId="0" borderId="16" xfId="0" applyBorder="1" applyAlignment="1">
      <alignment horizontal="left" vertical="center"/>
    </xf>
    <xf numFmtId="0" fontId="0" fillId="0" borderId="16" xfId="0" applyBorder="1" applyAlignment="1">
      <alignment horizontal="center" vertical="center"/>
    </xf>
    <xf numFmtId="0" fontId="0" fillId="0" borderId="16" xfId="0" applyBorder="1" applyAlignment="1">
      <alignment horizontal="center"/>
    </xf>
    <xf numFmtId="0" fontId="0" fillId="0" borderId="17" xfId="0" applyBorder="1" applyAlignment="1">
      <alignment horizontal="left" vertical="center" wrapText="1"/>
    </xf>
    <xf numFmtId="0" fontId="0" fillId="0" borderId="17" xfId="0" applyBorder="1" applyAlignment="1">
      <alignment horizontal="center" vertical="center"/>
    </xf>
    <xf numFmtId="0" fontId="0" fillId="0" borderId="17" xfId="0" applyBorder="1" applyAlignment="1">
      <alignment horizontal="center"/>
    </xf>
    <xf numFmtId="0" fontId="0" fillId="41" borderId="0" xfId="0" applyFill="1" applyAlignment="1">
      <alignment horizontal="left"/>
    </xf>
    <xf numFmtId="0" fontId="0" fillId="41" borderId="0" xfId="0" applyFill="1" applyAlignment="1">
      <alignment horizontal="center"/>
    </xf>
    <xf numFmtId="0" fontId="16" fillId="0" borderId="0" xfId="0" applyFont="1" applyAlignment="1">
      <alignment horizontal="right"/>
    </xf>
    <xf numFmtId="0" fontId="65" fillId="0" borderId="0" xfId="0" applyFont="1" applyAlignment="1">
      <alignment horizontal="left" vertical="center"/>
    </xf>
    <xf numFmtId="0" fontId="65" fillId="0" borderId="0" xfId="0" applyFont="1" applyAlignment="1">
      <alignment vertical="center"/>
    </xf>
    <xf numFmtId="180" fontId="0" fillId="0" borderId="0" xfId="0" applyNumberFormat="1"/>
    <xf numFmtId="0" fontId="0" fillId="0" borderId="0" xfId="64" applyFont="1" applyFill="1" applyBorder="1" applyAlignment="1"/>
    <xf numFmtId="0" fontId="0" fillId="0" borderId="0" xfId="52" applyFont="1" applyFill="1" applyBorder="1" applyAlignment="1"/>
    <xf numFmtId="0" fontId="0" fillId="39" borderId="10" xfId="48" applyFont="1" applyProtection="1"/>
    <xf numFmtId="0" fontId="0" fillId="38" borderId="10" xfId="47" applyFont="1" applyProtection="1"/>
    <xf numFmtId="0" fontId="0" fillId="35" borderId="10" xfId="64" applyFont="1" applyAlignment="1"/>
    <xf numFmtId="0" fontId="0" fillId="36" borderId="11" xfId="0" applyFill="1" applyBorder="1"/>
    <xf numFmtId="0" fontId="0" fillId="37" borderId="10" xfId="54" applyFont="1" applyProtection="1">
      <alignment horizontal="left" vertical="top" wrapText="1"/>
    </xf>
    <xf numFmtId="0" fontId="0" fillId="42" borderId="10" xfId="48" applyFont="1" applyFill="1" applyProtection="1"/>
    <xf numFmtId="0" fontId="0" fillId="0" borderId="0" xfId="64" applyFont="1" applyFill="1" applyBorder="1" applyAlignment="1">
      <alignment horizontal="left" vertical="top"/>
    </xf>
    <xf numFmtId="0" fontId="16" fillId="0" borderId="12" xfId="0" applyFont="1" applyBorder="1" applyAlignment="1">
      <alignment horizontal="right"/>
    </xf>
    <xf numFmtId="0" fontId="16" fillId="0" borderId="21" xfId="0" applyFont="1" applyBorder="1"/>
    <xf numFmtId="0" fontId="16" fillId="0" borderId="13" xfId="0" applyFont="1" applyBorder="1"/>
    <xf numFmtId="0" fontId="13" fillId="0" borderId="10" xfId="60" applyBorder="1" applyAlignment="1"/>
    <xf numFmtId="0" fontId="0" fillId="37" borderId="10" xfId="66" applyFont="1">
      <alignment horizontal="left" vertical="top" wrapText="1"/>
    </xf>
    <xf numFmtId="0" fontId="0" fillId="37" borderId="32" xfId="66" applyFont="1" applyBorder="1">
      <alignment horizontal="left" vertical="top" wrapText="1"/>
    </xf>
    <xf numFmtId="0" fontId="25" fillId="0" borderId="31" xfId="0" applyFont="1" applyBorder="1" applyAlignment="1">
      <alignment horizontal="center"/>
    </xf>
    <xf numFmtId="0" fontId="0" fillId="0" borderId="0" xfId="0" applyAlignment="1">
      <alignment horizontal="left" vertical="top" wrapText="1"/>
    </xf>
    <xf numFmtId="0" fontId="0" fillId="39" borderId="0" xfId="0" applyFill="1"/>
    <xf numFmtId="0" fontId="18" fillId="0" borderId="0" xfId="0" applyFont="1" applyAlignment="1">
      <alignment horizontal="left" vertical="top"/>
    </xf>
    <xf numFmtId="49" fontId="25" fillId="0" borderId="0" xfId="0" applyNumberFormat="1" applyFont="1" applyAlignment="1">
      <alignment horizontal="left" vertical="top"/>
    </xf>
    <xf numFmtId="0" fontId="25" fillId="0" borderId="26" xfId="0" applyFont="1" applyBorder="1" applyAlignment="1">
      <alignment horizontal="left" vertical="top"/>
    </xf>
    <xf numFmtId="0" fontId="25" fillId="0" borderId="31" xfId="0" applyFont="1" applyBorder="1" applyAlignment="1">
      <alignment horizontal="left" vertical="top"/>
    </xf>
    <xf numFmtId="0" fontId="25" fillId="0" borderId="23" xfId="0" applyFont="1" applyBorder="1" applyAlignment="1">
      <alignment horizontal="left" vertical="top"/>
    </xf>
    <xf numFmtId="0" fontId="25" fillId="0" borderId="35" xfId="0" applyFont="1" applyBorder="1" applyAlignment="1">
      <alignment horizontal="left" vertical="top"/>
    </xf>
    <xf numFmtId="49" fontId="25" fillId="0" borderId="31" xfId="0" applyNumberFormat="1" applyFont="1" applyBorder="1" applyAlignment="1">
      <alignment horizontal="left" vertical="top"/>
    </xf>
    <xf numFmtId="168" fontId="25" fillId="0" borderId="0" xfId="0" applyNumberFormat="1" applyFont="1" applyAlignment="1">
      <alignment horizontal="left" vertical="top"/>
    </xf>
    <xf numFmtId="2" fontId="25" fillId="0" borderId="0" xfId="0" applyNumberFormat="1" applyFont="1" applyAlignment="1">
      <alignment horizontal="left" vertical="top"/>
    </xf>
    <xf numFmtId="168" fontId="25" fillId="0" borderId="31" xfId="0" applyNumberFormat="1" applyFont="1" applyBorder="1" applyAlignment="1">
      <alignment horizontal="left" vertical="top"/>
    </xf>
    <xf numFmtId="168" fontId="25" fillId="0" borderId="33" xfId="0" applyNumberFormat="1" applyFont="1" applyBorder="1" applyAlignment="1">
      <alignment horizontal="left" vertical="top"/>
    </xf>
    <xf numFmtId="49" fontId="18" fillId="0" borderId="0" xfId="0" applyNumberFormat="1" applyFont="1" applyAlignment="1">
      <alignment horizontal="left" vertical="top"/>
    </xf>
    <xf numFmtId="49" fontId="18" fillId="0" borderId="31" xfId="0" applyNumberFormat="1" applyFont="1" applyBorder="1" applyAlignment="1">
      <alignment horizontal="left" vertical="top"/>
    </xf>
    <xf numFmtId="49" fontId="25" fillId="0" borderId="33" xfId="0" applyNumberFormat="1" applyFont="1" applyBorder="1" applyAlignment="1">
      <alignment horizontal="left" vertical="top"/>
    </xf>
    <xf numFmtId="0" fontId="25" fillId="0" borderId="21" xfId="0" applyFont="1" applyBorder="1" applyAlignment="1">
      <alignment horizontal="left" vertical="top"/>
    </xf>
    <xf numFmtId="49" fontId="25" fillId="0" borderId="26" xfId="0" applyNumberFormat="1" applyFont="1" applyBorder="1" applyAlignment="1">
      <alignment horizontal="left" vertical="top"/>
    </xf>
    <xf numFmtId="49" fontId="25" fillId="0" borderId="0" xfId="0" quotePrefix="1" applyNumberFormat="1" applyFont="1" applyAlignment="1">
      <alignment horizontal="left" vertical="top"/>
    </xf>
    <xf numFmtId="49" fontId="18" fillId="0" borderId="26" xfId="0" applyNumberFormat="1" applyFont="1" applyBorder="1" applyAlignment="1">
      <alignment horizontal="left" vertical="top"/>
    </xf>
    <xf numFmtId="49" fontId="18" fillId="0" borderId="33" xfId="0" applyNumberFormat="1" applyFont="1" applyBorder="1" applyAlignment="1">
      <alignment horizontal="left" vertical="top"/>
    </xf>
    <xf numFmtId="49" fontId="25" fillId="0" borderId="26" xfId="0" quotePrefix="1" applyNumberFormat="1" applyFont="1" applyBorder="1" applyAlignment="1">
      <alignment horizontal="left" vertical="top"/>
    </xf>
    <xf numFmtId="49" fontId="25" fillId="0" borderId="31" xfId="0" quotePrefix="1" applyNumberFormat="1" applyFont="1" applyBorder="1" applyAlignment="1">
      <alignment horizontal="left" vertical="top"/>
    </xf>
    <xf numFmtId="49" fontId="25" fillId="0" borderId="21" xfId="0" applyNumberFormat="1" applyFont="1" applyBorder="1" applyAlignment="1">
      <alignment horizontal="left" vertical="top"/>
    </xf>
    <xf numFmtId="49" fontId="25" fillId="0" borderId="23" xfId="0" quotePrefix="1" applyNumberFormat="1" applyFont="1" applyBorder="1" applyAlignment="1">
      <alignment horizontal="left" vertical="top"/>
    </xf>
    <xf numFmtId="49" fontId="25" fillId="0" borderId="23" xfId="0" applyNumberFormat="1" applyFont="1" applyBorder="1" applyAlignment="1">
      <alignment horizontal="left" vertical="top"/>
    </xf>
    <xf numFmtId="49" fontId="25" fillId="0" borderId="21" xfId="0" quotePrefix="1" applyNumberFormat="1" applyFont="1" applyBorder="1" applyAlignment="1">
      <alignment horizontal="left" vertical="top"/>
    </xf>
    <xf numFmtId="49" fontId="25" fillId="0" borderId="0" xfId="0" applyNumberFormat="1" applyFont="1" applyAlignment="1">
      <alignment horizontal="left" vertical="top" wrapText="1"/>
    </xf>
    <xf numFmtId="49" fontId="25" fillId="0" borderId="26" xfId="0" applyNumberFormat="1" applyFont="1" applyBorder="1" applyAlignment="1">
      <alignment horizontal="left" vertical="top" wrapText="1"/>
    </xf>
    <xf numFmtId="49" fontId="25" fillId="0" borderId="0" xfId="0" quotePrefix="1" applyNumberFormat="1" applyFont="1" applyAlignment="1">
      <alignment horizontal="left" vertical="top" wrapText="1"/>
    </xf>
    <xf numFmtId="49" fontId="25" fillId="0" borderId="23" xfId="0" applyNumberFormat="1" applyFont="1" applyBorder="1" applyAlignment="1">
      <alignment horizontal="left" vertical="top" wrapText="1"/>
    </xf>
    <xf numFmtId="49" fontId="25" fillId="0" borderId="21" xfId="0" applyNumberFormat="1" applyFont="1" applyBorder="1" applyAlignment="1">
      <alignment horizontal="left" vertical="top" wrapText="1"/>
    </xf>
    <xf numFmtId="49" fontId="25" fillId="0" borderId="21" xfId="0" quotePrefix="1" applyNumberFormat="1" applyFont="1" applyBorder="1" applyAlignment="1">
      <alignment horizontal="left" vertical="top" wrapText="1"/>
    </xf>
    <xf numFmtId="49" fontId="25" fillId="0" borderId="31" xfId="0" applyNumberFormat="1" applyFont="1" applyBorder="1" applyAlignment="1">
      <alignment horizontal="left" vertical="top" wrapText="1"/>
    </xf>
    <xf numFmtId="0" fontId="0" fillId="35" borderId="0" xfId="0" applyFill="1"/>
    <xf numFmtId="0" fontId="0" fillId="2" borderId="0" xfId="0" applyFill="1" applyAlignment="1">
      <alignment vertical="top"/>
    </xf>
    <xf numFmtId="0" fontId="21" fillId="34" borderId="0" xfId="50" applyAlignment="1">
      <alignment horizontal="center"/>
    </xf>
    <xf numFmtId="49" fontId="0" fillId="38" borderId="10" xfId="47" applyNumberFormat="1" applyFont="1" applyAlignment="1">
      <protection locked="0"/>
    </xf>
    <xf numFmtId="49" fontId="0" fillId="39" borderId="10" xfId="48" applyNumberFormat="1" applyFont="1">
      <protection locked="0"/>
    </xf>
    <xf numFmtId="14" fontId="0" fillId="39" borderId="10" xfId="48" applyNumberFormat="1" applyFont="1">
      <protection locked="0"/>
    </xf>
    <xf numFmtId="0" fontId="72" fillId="0" borderId="0" xfId="0" applyFont="1" applyAlignment="1">
      <alignment horizontal="justify" vertical="center"/>
    </xf>
    <xf numFmtId="0" fontId="77" fillId="0" borderId="0" xfId="0" applyFont="1" applyAlignment="1">
      <alignment horizontal="center" vertical="center"/>
    </xf>
    <xf numFmtId="0" fontId="77" fillId="0" borderId="0" xfId="0" applyFont="1" applyAlignment="1">
      <alignment horizontal="left" vertical="center"/>
    </xf>
    <xf numFmtId="0" fontId="0" fillId="38" borderId="10" xfId="47" applyFont="1">
      <protection locked="0"/>
    </xf>
    <xf numFmtId="49" fontId="0" fillId="38" borderId="10" xfId="47" applyNumberFormat="1" applyFont="1" applyAlignment="1">
      <alignment horizontal="left"/>
      <protection locked="0"/>
    </xf>
    <xf numFmtId="0" fontId="16" fillId="0" borderId="0" xfId="0" applyFont="1" applyAlignment="1">
      <alignment vertical="top"/>
    </xf>
    <xf numFmtId="49" fontId="21" fillId="34" borderId="0" xfId="50" applyNumberFormat="1" applyAlignment="1">
      <alignment horizontal="left"/>
    </xf>
    <xf numFmtId="0" fontId="0" fillId="0" borderId="0" xfId="0" applyProtection="1">
      <protection locked="0"/>
    </xf>
    <xf numFmtId="49" fontId="0" fillId="0" borderId="0" xfId="0" applyNumberFormat="1" applyAlignment="1">
      <alignment horizontal="right"/>
    </xf>
    <xf numFmtId="14" fontId="0" fillId="0" borderId="0" xfId="0" applyNumberFormat="1"/>
    <xf numFmtId="49" fontId="18" fillId="0" borderId="0" xfId="0" applyNumberFormat="1" applyFont="1" applyAlignment="1">
      <alignment horizontal="left" vertical="top" wrapText="1"/>
    </xf>
    <xf numFmtId="49" fontId="18" fillId="0" borderId="0" xfId="0" quotePrefix="1" applyNumberFormat="1" applyFont="1" applyAlignment="1">
      <alignment horizontal="left" vertical="top"/>
    </xf>
    <xf numFmtId="0" fontId="24" fillId="34" borderId="0" xfId="63" applyBorder="1" applyAlignment="1">
      <alignment vertical="center"/>
    </xf>
    <xf numFmtId="0" fontId="24" fillId="34" borderId="18" xfId="63" applyAlignment="1">
      <alignment horizontal="center" vertical="center"/>
    </xf>
    <xf numFmtId="49" fontId="18" fillId="0" borderId="0" xfId="0" applyNumberFormat="1" applyFont="1" applyProtection="1">
      <protection locked="0"/>
    </xf>
    <xf numFmtId="49" fontId="18" fillId="0" borderId="0" xfId="0" quotePrefix="1" applyNumberFormat="1" applyFont="1" applyProtection="1">
      <protection locked="0"/>
    </xf>
    <xf numFmtId="49" fontId="0" fillId="0" borderId="0" xfId="0" applyNumberFormat="1" applyProtection="1">
      <protection locked="0"/>
    </xf>
    <xf numFmtId="49" fontId="18" fillId="0" borderId="0" xfId="0" applyNumberFormat="1" applyFont="1" applyAlignment="1" applyProtection="1">
      <alignment horizontal="left"/>
      <protection locked="0"/>
    </xf>
    <xf numFmtId="49" fontId="25" fillId="0" borderId="0" xfId="0" applyNumberFormat="1" applyFont="1" applyAlignment="1" applyProtection="1">
      <alignment horizontal="left"/>
      <protection locked="0"/>
    </xf>
    <xf numFmtId="0" fontId="39" fillId="2" borderId="26" xfId="0" applyFont="1" applyFill="1" applyBorder="1" applyAlignment="1">
      <alignment horizontal="center" vertical="center"/>
    </xf>
    <xf numFmtId="0" fontId="39" fillId="2" borderId="0" xfId="0" applyFont="1" applyFill="1" applyAlignment="1">
      <alignment horizontal="center" vertical="center"/>
    </xf>
    <xf numFmtId="0" fontId="39" fillId="2" borderId="21" xfId="0" applyFont="1" applyFill="1" applyBorder="1" applyAlignment="1">
      <alignment horizontal="center" vertical="center"/>
    </xf>
    <xf numFmtId="49" fontId="0" fillId="39" borderId="10" xfId="48" applyNumberFormat="1" applyFont="1" applyAlignment="1">
      <protection locked="0"/>
    </xf>
    <xf numFmtId="0" fontId="81" fillId="0" borderId="0" xfId="0" applyFont="1"/>
    <xf numFmtId="0" fontId="25" fillId="0" borderId="0" xfId="62" applyFont="1" applyBorder="1">
      <alignment horizontal="center" vertical="center"/>
    </xf>
    <xf numFmtId="0" fontId="16" fillId="0" borderId="31" xfId="0" applyFont="1" applyBorder="1" applyAlignment="1">
      <alignment horizontal="center" vertical="center"/>
    </xf>
    <xf numFmtId="0" fontId="16" fillId="0" borderId="26" xfId="0" applyFont="1" applyBorder="1" applyAlignment="1">
      <alignment horizontal="center" vertical="center"/>
    </xf>
    <xf numFmtId="0" fontId="0" fillId="46" borderId="0" xfId="0" applyFill="1"/>
    <xf numFmtId="49" fontId="18" fillId="0" borderId="0" xfId="0" applyNumberFormat="1" applyFont="1" applyAlignment="1">
      <alignment horizontal="right" vertical="top"/>
    </xf>
    <xf numFmtId="49" fontId="25" fillId="0" borderId="23" xfId="0" applyNumberFormat="1" applyFont="1" applyBorder="1" applyAlignment="1">
      <alignment vertical="top"/>
    </xf>
    <xf numFmtId="0" fontId="0" fillId="0" borderId="23" xfId="62" applyFont="1" applyBorder="1">
      <alignment horizontal="center" vertical="center"/>
    </xf>
    <xf numFmtId="0" fontId="67" fillId="0" borderId="0" xfId="0" applyFont="1" applyAlignment="1">
      <alignment horizontal="left" vertical="top" wrapText="1"/>
    </xf>
    <xf numFmtId="49" fontId="18" fillId="0" borderId="23" xfId="0" applyNumberFormat="1" applyFont="1" applyBorder="1" applyAlignment="1">
      <alignment horizontal="right" vertical="top"/>
    </xf>
    <xf numFmtId="49" fontId="18" fillId="0" borderId="26" xfId="0" applyNumberFormat="1" applyFont="1" applyBorder="1" applyAlignment="1">
      <alignment horizontal="right" vertical="top"/>
    </xf>
    <xf numFmtId="49" fontId="18" fillId="0" borderId="31" xfId="0" applyNumberFormat="1" applyFont="1" applyBorder="1" applyAlignment="1">
      <alignment horizontal="right" vertical="top"/>
    </xf>
    <xf numFmtId="0" fontId="67" fillId="0" borderId="31" xfId="0" applyFont="1" applyBorder="1" applyAlignment="1">
      <alignment horizontal="left" vertical="top" wrapText="1"/>
    </xf>
    <xf numFmtId="0" fontId="25" fillId="0" borderId="31" xfId="0" applyFont="1" applyBorder="1"/>
    <xf numFmtId="165" fontId="45" fillId="39" borderId="10" xfId="48" applyNumberFormat="1" applyFont="1">
      <protection locked="0"/>
    </xf>
    <xf numFmtId="0" fontId="67" fillId="0" borderId="26" xfId="0" applyFont="1" applyBorder="1" applyAlignment="1">
      <alignment horizontal="left" vertical="top" wrapText="1"/>
    </xf>
    <xf numFmtId="0" fontId="67" fillId="0" borderId="21" xfId="0" applyFont="1" applyBorder="1" applyAlignment="1">
      <alignment horizontal="left" vertical="top" wrapText="1"/>
    </xf>
    <xf numFmtId="0" fontId="54" fillId="0" borderId="21" xfId="0" applyFont="1" applyBorder="1" applyAlignment="1">
      <alignment horizontal="left" vertical="top" wrapText="1"/>
    </xf>
    <xf numFmtId="0" fontId="54" fillId="0" borderId="0" xfId="0" applyFont="1" applyAlignment="1">
      <alignment horizontal="left" vertical="top" wrapText="1"/>
    </xf>
    <xf numFmtId="49" fontId="25" fillId="0" borderId="0" xfId="0" applyNumberFormat="1" applyFont="1" applyAlignment="1">
      <alignment horizontal="right" vertical="top"/>
    </xf>
    <xf numFmtId="49" fontId="25" fillId="0" borderId="26" xfId="0" applyNumberFormat="1" applyFont="1" applyBorder="1" applyAlignment="1">
      <alignment horizontal="right" vertical="top"/>
    </xf>
    <xf numFmtId="0" fontId="37" fillId="0" borderId="10" xfId="0" applyFont="1" applyBorder="1" applyAlignment="1">
      <alignment horizontal="center" vertical="center" wrapText="1"/>
    </xf>
    <xf numFmtId="0" fontId="42" fillId="0" borderId="10" xfId="0" applyFont="1" applyBorder="1" applyAlignment="1">
      <alignment horizontal="center" vertical="center" wrapText="1"/>
    </xf>
    <xf numFmtId="0" fontId="54" fillId="0" borderId="0" xfId="0" applyFont="1" applyAlignment="1">
      <alignment vertical="top" wrapText="1"/>
    </xf>
    <xf numFmtId="0" fontId="18" fillId="0" borderId="31" xfId="0" applyFont="1" applyBorder="1" applyAlignment="1">
      <alignment horizontal="left" vertical="top" wrapText="1"/>
    </xf>
    <xf numFmtId="0" fontId="25" fillId="0" borderId="0" xfId="0" applyFont="1" applyAlignment="1">
      <alignment horizontal="left" vertical="top" wrapText="1"/>
    </xf>
    <xf numFmtId="0" fontId="0" fillId="0" borderId="13" xfId="0" applyBorder="1"/>
    <xf numFmtId="0" fontId="16" fillId="0" borderId="0" xfId="0" applyFont="1" applyAlignment="1">
      <alignment horizontal="center" vertical="center"/>
    </xf>
    <xf numFmtId="0" fontId="25" fillId="0" borderId="108" xfId="62" applyFont="1" applyBorder="1">
      <alignment horizontal="center" vertical="center"/>
    </xf>
    <xf numFmtId="49" fontId="25" fillId="0" borderId="31" xfId="0" applyNumberFormat="1" applyFont="1" applyBorder="1" applyAlignment="1">
      <alignment horizontal="right" vertical="top"/>
    </xf>
    <xf numFmtId="181" fontId="45" fillId="39" borderId="10" xfId="48" applyNumberFormat="1" applyFont="1">
      <protection locked="0"/>
    </xf>
    <xf numFmtId="0" fontId="16" fillId="0" borderId="26" xfId="0" applyFont="1" applyBorder="1" applyAlignment="1">
      <alignment horizontal="center"/>
    </xf>
    <xf numFmtId="0" fontId="16" fillId="0" borderId="31" xfId="0" applyFont="1" applyBorder="1" applyAlignment="1">
      <alignment horizontal="center"/>
    </xf>
    <xf numFmtId="0" fontId="25" fillId="0" borderId="105" xfId="0" applyFont="1" applyBorder="1" applyAlignment="1">
      <alignment horizontal="left" vertical="top" wrapText="1"/>
    </xf>
    <xf numFmtId="0" fontId="18" fillId="0" borderId="0" xfId="0" applyFont="1" applyAlignment="1">
      <alignment horizontal="left" vertical="center"/>
    </xf>
    <xf numFmtId="49" fontId="25" fillId="0" borderId="26" xfId="0" applyNumberFormat="1" applyFont="1" applyBorder="1" applyAlignment="1">
      <alignment horizontal="left"/>
    </xf>
    <xf numFmtId="0" fontId="0" fillId="37" borderId="15" xfId="66" applyFont="1" applyBorder="1">
      <alignment horizontal="left" vertical="top" wrapText="1"/>
    </xf>
    <xf numFmtId="0" fontId="18" fillId="0" borderId="105" xfId="0" applyFont="1" applyBorder="1" applyAlignment="1">
      <alignment horizontal="left" vertical="top" wrapText="1"/>
    </xf>
    <xf numFmtId="0" fontId="25" fillId="0" borderId="0" xfId="0" applyFont="1" applyAlignment="1">
      <alignment horizontal="left" vertical="center"/>
    </xf>
    <xf numFmtId="182" fontId="45" fillId="39" borderId="10" xfId="48" applyNumberFormat="1" applyFont="1">
      <protection locked="0"/>
    </xf>
    <xf numFmtId="183" fontId="45" fillId="39" borderId="10" xfId="48" applyNumberFormat="1" applyFont="1">
      <protection locked="0"/>
    </xf>
    <xf numFmtId="0" fontId="25" fillId="0" borderId="31" xfId="0" applyFont="1" applyBorder="1" applyAlignment="1">
      <alignment horizontal="left" vertical="center"/>
    </xf>
    <xf numFmtId="0" fontId="25" fillId="0" borderId="26" xfId="0" applyFont="1" applyBorder="1" applyAlignment="1">
      <alignment horizontal="left" vertical="center"/>
    </xf>
    <xf numFmtId="0" fontId="24" fillId="34" borderId="0" xfId="63" applyBorder="1" applyAlignment="1">
      <alignment horizontal="left" vertical="center"/>
    </xf>
    <xf numFmtId="0" fontId="0" fillId="0" borderId="31" xfId="0" applyBorder="1" applyAlignment="1">
      <alignment horizontal="left"/>
    </xf>
    <xf numFmtId="0" fontId="18" fillId="0" borderId="33" xfId="0" applyFont="1" applyBorder="1" applyAlignment="1">
      <alignment horizontal="left"/>
    </xf>
    <xf numFmtId="0" fontId="0" fillId="35" borderId="35" xfId="0" applyFill="1" applyBorder="1" applyAlignment="1">
      <alignment horizontal="left"/>
    </xf>
    <xf numFmtId="49" fontId="18" fillId="0" borderId="21" xfId="0" applyNumberFormat="1" applyFont="1" applyBorder="1" applyAlignment="1">
      <alignment horizontal="right" vertical="top"/>
    </xf>
    <xf numFmtId="49" fontId="18" fillId="0" borderId="0" xfId="0" applyNumberFormat="1" applyFont="1" applyAlignment="1">
      <alignment horizontal="left" vertical="center"/>
    </xf>
    <xf numFmtId="0" fontId="0" fillId="0" borderId="108" xfId="0" applyBorder="1"/>
    <xf numFmtId="49" fontId="18" fillId="0" borderId="31" xfId="0" applyNumberFormat="1" applyFont="1" applyBorder="1" applyAlignment="1">
      <alignment horizontal="left"/>
    </xf>
    <xf numFmtId="49" fontId="25" fillId="0" borderId="0" xfId="0" applyNumberFormat="1" applyFont="1" applyAlignment="1">
      <alignment horizontal="left" vertical="center"/>
    </xf>
    <xf numFmtId="49" fontId="25" fillId="0" borderId="31" xfId="0" applyNumberFormat="1" applyFont="1" applyBorder="1" applyAlignment="1">
      <alignment horizontal="left" vertical="center"/>
    </xf>
    <xf numFmtId="49" fontId="25" fillId="0" borderId="26" xfId="0" applyNumberFormat="1" applyFont="1" applyBorder="1" applyAlignment="1">
      <alignment horizontal="left" vertical="center"/>
    </xf>
    <xf numFmtId="49" fontId="21" fillId="34" borderId="0" xfId="50" applyNumberFormat="1" applyAlignment="1">
      <alignment horizontal="right" vertical="top"/>
    </xf>
    <xf numFmtId="0" fontId="67" fillId="0" borderId="0" xfId="0" applyFont="1" applyAlignment="1">
      <alignment vertical="top" wrapText="1"/>
    </xf>
    <xf numFmtId="0" fontId="67" fillId="0" borderId="26" xfId="0" applyFont="1" applyBorder="1" applyAlignment="1">
      <alignment vertical="top" wrapText="1"/>
    </xf>
    <xf numFmtId="49" fontId="18" fillId="0" borderId="23" xfId="0" applyNumberFormat="1" applyFont="1" applyBorder="1" applyAlignment="1">
      <alignment horizontal="left" vertical="top"/>
    </xf>
    <xf numFmtId="0" fontId="21" fillId="34" borderId="0" xfId="50" applyBorder="1" applyAlignment="1">
      <alignment horizontal="center" vertical="center"/>
    </xf>
    <xf numFmtId="0" fontId="21" fillId="34" borderId="0" xfId="50" applyBorder="1"/>
    <xf numFmtId="0" fontId="39" fillId="2" borderId="23" xfId="0" applyFont="1" applyFill="1" applyBorder="1" applyAlignment="1">
      <alignment horizontal="center" vertical="center"/>
    </xf>
    <xf numFmtId="0" fontId="0" fillId="0" borderId="13" xfId="0" applyBorder="1" applyAlignment="1">
      <alignment horizontal="left" vertical="center"/>
    </xf>
    <xf numFmtId="0" fontId="0" fillId="0" borderId="27" xfId="0" applyBorder="1" applyAlignment="1">
      <alignment horizontal="left" vertical="center"/>
    </xf>
    <xf numFmtId="0" fontId="0" fillId="37" borderId="53" xfId="66" applyFont="1" applyBorder="1">
      <alignment horizontal="left" vertical="top" wrapText="1"/>
    </xf>
    <xf numFmtId="0" fontId="25" fillId="0" borderId="23" xfId="0" applyFont="1" applyBorder="1" applyAlignment="1">
      <alignment horizontal="left" vertical="center"/>
    </xf>
    <xf numFmtId="49" fontId="25" fillId="0" borderId="23" xfId="0" applyNumberFormat="1" applyFont="1" applyBorder="1" applyAlignment="1">
      <alignment horizontal="right" vertical="top"/>
    </xf>
    <xf numFmtId="49" fontId="25" fillId="0" borderId="21" xfId="0" applyNumberFormat="1" applyFont="1" applyBorder="1" applyAlignment="1">
      <alignment horizontal="right" vertical="top"/>
    </xf>
    <xf numFmtId="0" fontId="21" fillId="34" borderId="0" xfId="50" applyBorder="1" applyAlignment="1">
      <alignment horizontal="left"/>
    </xf>
    <xf numFmtId="0" fontId="21" fillId="34" borderId="0" xfId="50" applyBorder="1" applyAlignment="1">
      <alignment vertical="top"/>
    </xf>
    <xf numFmtId="164" fontId="29" fillId="40" borderId="47" xfId="65" applyBorder="1">
      <alignment horizontal="left" vertical="top" wrapText="1"/>
    </xf>
    <xf numFmtId="0" fontId="54" fillId="0" borderId="26" xfId="0" applyFont="1" applyBorder="1" applyAlignment="1">
      <alignment horizontal="left" vertical="top" wrapText="1"/>
    </xf>
    <xf numFmtId="0" fontId="25" fillId="0" borderId="108" xfId="0" applyFont="1" applyBorder="1" applyAlignment="1">
      <alignment horizontal="center" vertical="center"/>
    </xf>
    <xf numFmtId="0" fontId="18" fillId="0" borderId="108" xfId="0" applyFont="1" applyBorder="1" applyAlignment="1">
      <alignment horizontal="center" vertical="center"/>
    </xf>
    <xf numFmtId="0" fontId="43" fillId="34" borderId="0" xfId="50" applyFont="1" applyBorder="1" applyAlignment="1">
      <alignment horizontal="center" vertical="center"/>
    </xf>
    <xf numFmtId="0" fontId="58" fillId="34" borderId="0" xfId="50" applyFont="1" applyBorder="1" applyAlignment="1">
      <alignment horizontal="center" vertical="center"/>
    </xf>
    <xf numFmtId="49" fontId="21" fillId="34" borderId="0" xfId="50" applyNumberFormat="1" applyBorder="1" applyAlignment="1">
      <alignment horizontal="left" vertical="top" wrapText="1"/>
    </xf>
    <xf numFmtId="0" fontId="58" fillId="34" borderId="0" xfId="50" applyFont="1" applyBorder="1"/>
    <xf numFmtId="0" fontId="0" fillId="37" borderId="36" xfId="66" applyFont="1" applyBorder="1">
      <alignment horizontal="left" vertical="top" wrapText="1"/>
    </xf>
    <xf numFmtId="49" fontId="25" fillId="0" borderId="33" xfId="0" applyNumberFormat="1" applyFont="1" applyBorder="1" applyAlignment="1">
      <alignment horizontal="right" vertical="top"/>
    </xf>
    <xf numFmtId="0" fontId="0" fillId="2" borderId="26" xfId="0" applyFill="1" applyBorder="1" applyAlignment="1">
      <alignment horizontal="right"/>
    </xf>
    <xf numFmtId="0" fontId="1" fillId="0" borderId="0" xfId="62" applyFont="1" applyBorder="1">
      <alignment horizontal="center" vertical="center"/>
    </xf>
    <xf numFmtId="0" fontId="1" fillId="0" borderId="31" xfId="62" applyFont="1" applyBorder="1">
      <alignment horizontal="center" vertical="center"/>
    </xf>
    <xf numFmtId="0" fontId="17" fillId="34" borderId="0" xfId="50" applyFont="1" applyAlignment="1">
      <alignment horizontal="center" vertical="center"/>
    </xf>
    <xf numFmtId="0" fontId="0" fillId="0" borderId="33" xfId="0" applyBorder="1" applyAlignment="1">
      <alignment horizontal="center" vertical="center"/>
    </xf>
    <xf numFmtId="0" fontId="0" fillId="0" borderId="26" xfId="0" applyBorder="1" applyAlignment="1">
      <alignment horizontal="center" vertical="center"/>
    </xf>
    <xf numFmtId="0" fontId="0" fillId="0" borderId="21" xfId="0" applyBorder="1" applyAlignment="1">
      <alignment horizontal="center" vertical="center"/>
    </xf>
    <xf numFmtId="0" fontId="0" fillId="0" borderId="35" xfId="0" applyBorder="1" applyAlignment="1">
      <alignment horizontal="center" vertical="center"/>
    </xf>
    <xf numFmtId="49" fontId="17" fillId="34" borderId="0" xfId="50" applyNumberFormat="1" applyFont="1" applyAlignment="1">
      <alignment horizontal="center" vertical="center"/>
    </xf>
    <xf numFmtId="0" fontId="17" fillId="34" borderId="0" xfId="50" applyFont="1" applyBorder="1" applyAlignment="1">
      <alignment horizontal="center" vertical="center"/>
    </xf>
    <xf numFmtId="0" fontId="17" fillId="34" borderId="0" xfId="50" applyFont="1"/>
    <xf numFmtId="0" fontId="0" fillId="0" borderId="23" xfId="0" applyBorder="1" applyAlignment="1">
      <alignment horizontal="center" vertical="center"/>
    </xf>
    <xf numFmtId="0" fontId="0" fillId="0" borderId="108" xfId="0" applyBorder="1" applyAlignment="1">
      <alignment horizontal="center" vertical="center"/>
    </xf>
    <xf numFmtId="49" fontId="58" fillId="34" borderId="0" xfId="50" applyNumberFormat="1" applyFont="1" applyAlignment="1">
      <alignment horizontal="center" vertical="center"/>
    </xf>
    <xf numFmtId="0" fontId="16" fillId="0" borderId="10" xfId="0" applyFont="1" applyBorder="1" applyAlignment="1">
      <alignment horizontal="center" wrapText="1"/>
    </xf>
    <xf numFmtId="0" fontId="16" fillId="0" borderId="10" xfId="0" applyFont="1" applyBorder="1" applyAlignment="1">
      <alignment horizontal="center"/>
    </xf>
    <xf numFmtId="0" fontId="57" fillId="0" borderId="0" xfId="57" applyAlignment="1" applyProtection="1">
      <alignment horizontal="center" vertical="center" wrapText="1"/>
      <protection locked="0"/>
    </xf>
    <xf numFmtId="49" fontId="18" fillId="39" borderId="10" xfId="48" applyNumberFormat="1" applyFont="1" applyAlignment="1">
      <alignment horizontal="right"/>
      <protection locked="0"/>
    </xf>
    <xf numFmtId="184" fontId="18" fillId="39" borderId="10" xfId="48" applyNumberFormat="1" applyFont="1" applyAlignment="1">
      <alignment horizontal="right"/>
      <protection locked="0"/>
    </xf>
    <xf numFmtId="0" fontId="54" fillId="0" borderId="33" xfId="0" applyFont="1" applyBorder="1" applyAlignment="1">
      <alignment horizontal="left" vertical="top" wrapText="1"/>
    </xf>
    <xf numFmtId="0" fontId="16" fillId="41" borderId="0" xfId="0" quotePrefix="1" applyFont="1" applyFill="1"/>
    <xf numFmtId="0" fontId="0" fillId="41" borderId="0" xfId="0" applyFill="1" applyAlignment="1">
      <alignment horizontal="left" indent="1"/>
    </xf>
    <xf numFmtId="0" fontId="0" fillId="0" borderId="0" xfId="0" applyAlignment="1">
      <alignment vertical="center" wrapText="1"/>
    </xf>
    <xf numFmtId="2" fontId="0" fillId="0" borderId="27" xfId="0" applyNumberFormat="1" applyBorder="1"/>
    <xf numFmtId="0" fontId="0" fillId="0" borderId="0" xfId="0" applyAlignment="1">
      <alignment wrapText="1"/>
    </xf>
    <xf numFmtId="0" fontId="21" fillId="34" borderId="21" xfId="50" applyBorder="1" applyAlignment="1">
      <alignment horizontal="left"/>
    </xf>
    <xf numFmtId="0" fontId="21" fillId="34" borderId="21" xfId="50" applyBorder="1"/>
    <xf numFmtId="0" fontId="21" fillId="34" borderId="21" xfId="50" applyBorder="1" applyAlignment="1">
      <alignment vertical="top"/>
    </xf>
    <xf numFmtId="49" fontId="21" fillId="34" borderId="21" xfId="50" applyNumberFormat="1" applyBorder="1" applyAlignment="1">
      <alignment horizontal="left" vertical="top" wrapText="1"/>
    </xf>
    <xf numFmtId="0" fontId="43" fillId="34" borderId="21" xfId="50" applyFont="1" applyBorder="1" applyAlignment="1">
      <alignment horizontal="center" vertical="center"/>
    </xf>
    <xf numFmtId="0" fontId="58" fillId="34" borderId="21" xfId="50" applyFont="1" applyBorder="1"/>
    <xf numFmtId="0" fontId="58" fillId="34" borderId="21" xfId="50" applyFont="1" applyBorder="1" applyAlignment="1">
      <alignment horizontal="center" vertical="center"/>
    </xf>
    <xf numFmtId="0" fontId="67" fillId="0" borderId="23" xfId="0" applyFont="1" applyBorder="1" applyAlignment="1">
      <alignment horizontal="left" vertical="top" wrapText="1"/>
    </xf>
    <xf numFmtId="0" fontId="25" fillId="0" borderId="33" xfId="0" applyFont="1" applyBorder="1" applyAlignment="1">
      <alignment horizontal="left" vertical="top" wrapText="1"/>
    </xf>
    <xf numFmtId="0" fontId="25" fillId="0" borderId="31" xfId="0" applyFont="1" applyBorder="1" applyAlignment="1">
      <alignment horizontal="left" vertical="top" wrapText="1"/>
    </xf>
    <xf numFmtId="0" fontId="54" fillId="0" borderId="31" xfId="0" applyFont="1" applyBorder="1" applyAlignment="1">
      <alignment vertical="top" wrapText="1"/>
    </xf>
    <xf numFmtId="0" fontId="67" fillId="0" borderId="105" xfId="0" applyFont="1" applyBorder="1" applyAlignment="1">
      <alignment horizontal="left" vertical="top" wrapText="1"/>
    </xf>
    <xf numFmtId="0" fontId="26" fillId="0" borderId="0" xfId="0" applyFont="1" applyAlignment="1">
      <alignment horizontal="left" vertical="top" wrapText="1"/>
    </xf>
    <xf numFmtId="0" fontId="27" fillId="0" borderId="26" xfId="0" applyFont="1" applyBorder="1" applyAlignment="1">
      <alignment horizontal="left" vertical="top" wrapText="1"/>
    </xf>
    <xf numFmtId="0" fontId="18" fillId="0" borderId="10" xfId="0" applyFont="1" applyBorder="1" applyAlignment="1">
      <alignment horizontal="left" vertical="top" wrapText="1"/>
    </xf>
    <xf numFmtId="0" fontId="67" fillId="0" borderId="10" xfId="0" applyFont="1" applyBorder="1" applyAlignment="1">
      <alignment horizontal="left" vertical="top" wrapText="1"/>
    </xf>
    <xf numFmtId="0" fontId="16" fillId="39" borderId="10" xfId="48" applyFont="1" applyAlignment="1">
      <alignment horizontal="center" wrapText="1"/>
      <protection locked="0"/>
    </xf>
    <xf numFmtId="0" fontId="0" fillId="38" borderId="10" xfId="47" applyFont="1" applyAlignment="1">
      <alignment horizontal="center" wrapText="1"/>
      <protection locked="0"/>
    </xf>
    <xf numFmtId="0" fontId="21" fillId="34" borderId="0" xfId="50" applyAlignment="1">
      <alignment wrapText="1"/>
    </xf>
    <xf numFmtId="0" fontId="57" fillId="0" borderId="0" xfId="57" applyAlignment="1" applyProtection="1">
      <alignment wrapText="1"/>
      <protection locked="0"/>
    </xf>
    <xf numFmtId="0" fontId="0" fillId="0" borderId="26" xfId="0" applyBorder="1" applyAlignment="1">
      <alignment wrapText="1"/>
    </xf>
    <xf numFmtId="49" fontId="18" fillId="0" borderId="23" xfId="0" applyNumberFormat="1" applyFont="1" applyBorder="1" applyAlignment="1">
      <alignment vertical="top"/>
    </xf>
    <xf numFmtId="0" fontId="24" fillId="34" borderId="18" xfId="63">
      <alignment vertical="center" wrapText="1"/>
    </xf>
    <xf numFmtId="0" fontId="0" fillId="35" borderId="35" xfId="0" applyFill="1" applyBorder="1" applyAlignment="1">
      <alignment wrapText="1"/>
    </xf>
    <xf numFmtId="185" fontId="0" fillId="0" borderId="0" xfId="0" applyNumberFormat="1"/>
    <xf numFmtId="174" fontId="0" fillId="0" borderId="0" xfId="0" applyNumberFormat="1" applyAlignment="1">
      <alignment horizontal="left"/>
    </xf>
    <xf numFmtId="0" fontId="18" fillId="0" borderId="15" xfId="0" applyFont="1" applyBorder="1" applyAlignment="1">
      <alignment horizontal="left" vertical="top" wrapText="1"/>
    </xf>
    <xf numFmtId="0" fontId="18" fillId="0" borderId="17" xfId="0" applyFont="1" applyBorder="1" applyAlignment="1">
      <alignment horizontal="left" vertical="top" wrapText="1"/>
    </xf>
    <xf numFmtId="0" fontId="18" fillId="34" borderId="10" xfId="0" applyFont="1" applyFill="1" applyBorder="1" applyAlignment="1">
      <alignment horizontal="left" vertical="top" wrapText="1"/>
    </xf>
    <xf numFmtId="0" fontId="57" fillId="0" borderId="10" xfId="57" applyBorder="1" applyAlignment="1" applyProtection="1">
      <alignment horizontal="left" vertical="top" wrapText="1"/>
      <protection locked="0"/>
    </xf>
    <xf numFmtId="0" fontId="24" fillId="34" borderId="20" xfId="63" applyBorder="1" applyAlignment="1">
      <alignment vertical="center"/>
    </xf>
    <xf numFmtId="0" fontId="0" fillId="38" borderId="0" xfId="0" applyFill="1" applyAlignment="1">
      <alignment horizontal="center" vertical="center"/>
    </xf>
    <xf numFmtId="0" fontId="1" fillId="0" borderId="26" xfId="62" applyFont="1" applyBorder="1">
      <alignment horizontal="center" vertical="center"/>
    </xf>
    <xf numFmtId="0" fontId="1" fillId="0" borderId="23" xfId="62" applyFont="1" applyBorder="1">
      <alignment horizontal="center" vertical="center"/>
    </xf>
    <xf numFmtId="0" fontId="1" fillId="0" borderId="0" xfId="62" applyFont="1">
      <alignment horizontal="center" vertical="center"/>
    </xf>
    <xf numFmtId="0" fontId="21" fillId="34" borderId="0" xfId="50" applyBorder="1" applyAlignment="1">
      <alignment wrapText="1"/>
    </xf>
    <xf numFmtId="0" fontId="21" fillId="34" borderId="0" xfId="50" applyBorder="1" applyAlignment="1">
      <alignment vertical="top" wrapText="1"/>
    </xf>
    <xf numFmtId="164" fontId="29" fillId="40" borderId="116" xfId="65" applyBorder="1">
      <alignment horizontal="left" vertical="top" wrapText="1"/>
    </xf>
    <xf numFmtId="164" fontId="29" fillId="40" borderId="117" xfId="65" applyBorder="1">
      <alignment horizontal="left" vertical="top" wrapText="1"/>
    </xf>
    <xf numFmtId="0" fontId="21" fillId="34" borderId="0" xfId="50" applyBorder="1" applyAlignment="1">
      <alignment horizontal="left" vertical="top" wrapText="1"/>
    </xf>
    <xf numFmtId="164" fontId="29" fillId="40" borderId="118" xfId="65" applyBorder="1">
      <alignment horizontal="left" vertical="top" wrapText="1"/>
    </xf>
    <xf numFmtId="0" fontId="57" fillId="0" borderId="0" xfId="57" applyBorder="1" applyAlignment="1" applyProtection="1">
      <alignment horizontal="left" vertical="top" wrapText="1"/>
      <protection locked="0"/>
    </xf>
    <xf numFmtId="164" fontId="29" fillId="40" borderId="119" xfId="65" applyBorder="1">
      <alignment horizontal="left" vertical="top" wrapText="1"/>
    </xf>
    <xf numFmtId="0" fontId="57" fillId="0" borderId="0" xfId="57" applyBorder="1" applyAlignment="1" applyProtection="1">
      <alignment wrapText="1"/>
      <protection locked="0"/>
    </xf>
    <xf numFmtId="164" fontId="57" fillId="40" borderId="117" xfId="57" applyNumberFormat="1" applyFill="1" applyBorder="1" applyAlignment="1" applyProtection="1">
      <alignment horizontal="left" vertical="top" wrapText="1"/>
      <protection locked="0"/>
    </xf>
    <xf numFmtId="0" fontId="0" fillId="0" borderId="10" xfId="0" applyBorder="1" applyAlignment="1">
      <alignment horizontal="left" vertical="top" wrapText="1"/>
    </xf>
    <xf numFmtId="0" fontId="18" fillId="0" borderId="15" xfId="0" applyFont="1" applyBorder="1" applyAlignment="1">
      <alignment vertical="top" wrapText="1"/>
    </xf>
    <xf numFmtId="0" fontId="18" fillId="0" borderId="10" xfId="0" applyFont="1" applyBorder="1" applyAlignment="1">
      <alignment vertical="top" wrapText="1"/>
    </xf>
    <xf numFmtId="0" fontId="25" fillId="0" borderId="26" xfId="0" applyFont="1" applyBorder="1" applyAlignment="1">
      <alignment horizontal="left" vertical="top" wrapText="1"/>
    </xf>
    <xf numFmtId="0" fontId="25" fillId="0" borderId="23" xfId="0" applyFont="1" applyBorder="1" applyAlignment="1">
      <alignment horizontal="left" vertical="top" wrapText="1"/>
    </xf>
    <xf numFmtId="0" fontId="16" fillId="0" borderId="0" xfId="0" applyFont="1" applyAlignment="1">
      <alignment horizontal="left" vertical="top"/>
    </xf>
    <xf numFmtId="49" fontId="78" fillId="34" borderId="0" xfId="50" applyNumberFormat="1" applyFont="1" applyAlignment="1">
      <alignment horizontal="left" vertical="top"/>
    </xf>
    <xf numFmtId="0" fontId="16" fillId="0" borderId="31" xfId="0" applyFont="1" applyBorder="1" applyAlignment="1">
      <alignment horizontal="left" vertical="top"/>
    </xf>
    <xf numFmtId="0" fontId="16" fillId="0" borderId="26" xfId="0" applyFont="1" applyBorder="1" applyAlignment="1">
      <alignment horizontal="left" vertical="top"/>
    </xf>
    <xf numFmtId="0" fontId="78" fillId="34" borderId="0" xfId="50" applyFont="1" applyAlignment="1">
      <alignment horizontal="left" vertical="top"/>
    </xf>
    <xf numFmtId="0" fontId="16" fillId="0" borderId="23" xfId="0" applyFont="1" applyBorder="1" applyAlignment="1">
      <alignment horizontal="left" vertical="top"/>
    </xf>
    <xf numFmtId="0" fontId="16" fillId="0" borderId="33" xfId="0" applyFont="1" applyBorder="1" applyAlignment="1">
      <alignment horizontal="left" vertical="top"/>
    </xf>
    <xf numFmtId="0" fontId="16" fillId="0" borderId="21" xfId="0" applyFont="1" applyBorder="1" applyAlignment="1">
      <alignment horizontal="left" vertical="top"/>
    </xf>
    <xf numFmtId="0" fontId="78" fillId="34" borderId="0" xfId="50" applyFont="1" applyBorder="1" applyAlignment="1">
      <alignment horizontal="left" vertical="top"/>
    </xf>
    <xf numFmtId="0" fontId="78" fillId="34" borderId="21" xfId="50" applyFont="1" applyBorder="1" applyAlignment="1">
      <alignment horizontal="left" vertical="top"/>
    </xf>
    <xf numFmtId="0" fontId="25" fillId="0" borderId="21" xfId="0" applyFont="1" applyBorder="1" applyAlignment="1">
      <alignment horizontal="left" vertical="top" wrapText="1"/>
    </xf>
    <xf numFmtId="0" fontId="16" fillId="0" borderId="0" xfId="0" applyFont="1" applyAlignment="1">
      <alignment horizontal="left" vertical="top" wrapText="1"/>
    </xf>
    <xf numFmtId="0" fontId="16" fillId="0" borderId="26" xfId="0" applyFont="1" applyBorder="1" applyAlignment="1">
      <alignment horizontal="left" vertical="top" wrapText="1"/>
    </xf>
    <xf numFmtId="0" fontId="78" fillId="34" borderId="0" xfId="50" applyFont="1" applyAlignment="1">
      <alignment horizontal="left" vertical="top" wrapText="1"/>
    </xf>
    <xf numFmtId="0" fontId="25" fillId="0" borderId="35" xfId="0" applyFont="1" applyBorder="1" applyAlignment="1">
      <alignment horizontal="left" vertical="top" wrapText="1"/>
    </xf>
    <xf numFmtId="49" fontId="78" fillId="34" borderId="0" xfId="50" applyNumberFormat="1" applyFont="1"/>
    <xf numFmtId="0" fontId="25" fillId="0" borderId="33" xfId="0" applyFont="1" applyBorder="1" applyAlignment="1">
      <alignment vertical="top"/>
    </xf>
    <xf numFmtId="0" fontId="16" fillId="0" borderId="26" xfId="0" applyFont="1" applyBorder="1"/>
    <xf numFmtId="0" fontId="16" fillId="0" borderId="31" xfId="0" applyFont="1" applyBorder="1"/>
    <xf numFmtId="0" fontId="0" fillId="0" borderId="31" xfId="0" applyBorder="1" applyAlignment="1">
      <alignment horizontal="right"/>
    </xf>
    <xf numFmtId="3" fontId="0" fillId="0" borderId="0" xfId="0" applyNumberFormat="1"/>
    <xf numFmtId="0" fontId="0" fillId="0" borderId="0" xfId="0" quotePrefix="1" applyAlignment="1">
      <alignment horizontal="center"/>
    </xf>
    <xf numFmtId="3" fontId="16" fillId="0" borderId="10" xfId="0" applyNumberFormat="1" applyFont="1" applyBorder="1" applyAlignment="1">
      <alignment horizontal="center" vertical="center"/>
    </xf>
    <xf numFmtId="0" fontId="66" fillId="0" borderId="0" xfId="0" applyFont="1"/>
    <xf numFmtId="0" fontId="90" fillId="0" borderId="30" xfId="0" applyFont="1" applyBorder="1" applyAlignment="1">
      <alignment horizontal="center" vertical="center"/>
    </xf>
    <xf numFmtId="0" fontId="0" fillId="0" borderId="0" xfId="0" applyAlignment="1">
      <alignment horizontal="center" vertical="center" wrapText="1"/>
    </xf>
    <xf numFmtId="0" fontId="70" fillId="0" borderId="0" xfId="57" applyFont="1" applyAlignment="1" applyProtection="1">
      <alignment horizontal="right"/>
      <protection locked="0"/>
    </xf>
    <xf numFmtId="0" fontId="16" fillId="39" borderId="10" xfId="48" applyFont="1" applyAlignment="1">
      <alignment horizontal="center"/>
      <protection locked="0"/>
    </xf>
    <xf numFmtId="186" fontId="45" fillId="39" borderId="10" xfId="48" applyNumberFormat="1" applyFont="1">
      <protection locked="0"/>
    </xf>
    <xf numFmtId="0" fontId="0" fillId="0" borderId="0" xfId="0" applyAlignment="1">
      <alignment horizontal="right" vertical="center"/>
    </xf>
    <xf numFmtId="0" fontId="0" fillId="0" borderId="21" xfId="0" applyBorder="1" applyAlignment="1">
      <alignment horizontal="center"/>
    </xf>
    <xf numFmtId="0" fontId="0" fillId="0" borderId="21" xfId="0" quotePrefix="1" applyBorder="1" applyAlignment="1">
      <alignment horizontal="center"/>
    </xf>
    <xf numFmtId="0" fontId="13" fillId="0" borderId="0" xfId="60" applyBorder="1" applyAlignment="1" applyProtection="1">
      <protection locked="0"/>
    </xf>
    <xf numFmtId="0" fontId="0" fillId="0" borderId="0" xfId="0" applyAlignment="1" applyProtection="1">
      <alignment horizontal="left" vertical="center"/>
      <protection locked="0"/>
    </xf>
    <xf numFmtId="0" fontId="45" fillId="34" borderId="0" xfId="50" applyFont="1" applyProtection="1">
      <protection locked="0"/>
    </xf>
    <xf numFmtId="0" fontId="21" fillId="34" borderId="0" xfId="50" applyProtection="1">
      <protection locked="0"/>
    </xf>
    <xf numFmtId="0" fontId="0" fillId="37" borderId="10" xfId="66" applyFont="1" applyProtection="1">
      <alignment horizontal="left" vertical="top" wrapText="1"/>
      <protection locked="0"/>
    </xf>
    <xf numFmtId="0" fontId="0" fillId="0" borderId="31" xfId="0" applyBorder="1" applyProtection="1">
      <protection locked="0"/>
    </xf>
    <xf numFmtId="0" fontId="0" fillId="0" borderId="63" xfId="0" applyBorder="1" applyProtection="1">
      <protection locked="0"/>
    </xf>
    <xf numFmtId="0" fontId="0" fillId="37" borderId="53" xfId="66" applyFont="1" applyBorder="1" applyProtection="1">
      <alignment horizontal="left" vertical="top" wrapText="1"/>
      <protection locked="0"/>
    </xf>
    <xf numFmtId="0" fontId="0" fillId="0" borderId="33" xfId="0" applyBorder="1" applyProtection="1">
      <protection locked="0"/>
    </xf>
    <xf numFmtId="0" fontId="0" fillId="0" borderId="26" xfId="0" applyBorder="1" applyProtection="1">
      <protection locked="0"/>
    </xf>
    <xf numFmtId="0" fontId="0" fillId="37" borderId="32" xfId="66" applyFont="1" applyBorder="1" applyProtection="1">
      <alignment horizontal="left" vertical="top" wrapText="1"/>
      <protection locked="0"/>
    </xf>
    <xf numFmtId="0" fontId="0" fillId="37" borderId="13" xfId="66" applyFont="1" applyBorder="1" applyProtection="1">
      <alignment horizontal="left" vertical="top" wrapText="1"/>
      <protection locked="0"/>
    </xf>
    <xf numFmtId="0" fontId="21" fillId="34" borderId="0" xfId="50" applyBorder="1" applyProtection="1">
      <protection locked="0"/>
    </xf>
    <xf numFmtId="0" fontId="21" fillId="34" borderId="21" xfId="50" applyBorder="1" applyProtection="1">
      <protection locked="0"/>
    </xf>
    <xf numFmtId="0" fontId="0" fillId="37" borderId="15" xfId="66" applyFont="1" applyBorder="1" applyProtection="1">
      <alignment horizontal="left" vertical="top" wrapText="1"/>
      <protection locked="0"/>
    </xf>
    <xf numFmtId="0" fontId="13" fillId="0" borderId="31" xfId="60" applyBorder="1" applyAlignment="1">
      <alignment horizontal="left" vertical="top" wrapText="1"/>
    </xf>
    <xf numFmtId="0" fontId="13" fillId="0" borderId="0" xfId="60" applyBorder="1" applyAlignment="1">
      <alignment horizontal="left" vertical="top" wrapText="1"/>
    </xf>
    <xf numFmtId="0" fontId="70" fillId="0" borderId="0" xfId="57" applyFont="1"/>
    <xf numFmtId="0" fontId="0" fillId="0" borderId="26" xfId="0" applyBorder="1" applyAlignment="1">
      <alignment horizontal="right"/>
    </xf>
    <xf numFmtId="0" fontId="0" fillId="0" borderId="26" xfId="0" applyBorder="1" applyAlignment="1">
      <alignment vertical="top"/>
    </xf>
    <xf numFmtId="9" fontId="45" fillId="39" borderId="32" xfId="48" applyNumberFormat="1" applyFont="1" applyBorder="1">
      <protection locked="0"/>
    </xf>
    <xf numFmtId="187" fontId="45" fillId="39" borderId="10" xfId="48" applyNumberFormat="1" applyFont="1">
      <protection locked="0"/>
    </xf>
    <xf numFmtId="188" fontId="45" fillId="39" borderId="10" xfId="48" applyNumberFormat="1" applyFont="1">
      <protection locked="0"/>
    </xf>
    <xf numFmtId="189" fontId="45" fillId="39" borderId="10" xfId="48" applyNumberFormat="1" applyFont="1">
      <protection locked="0"/>
    </xf>
    <xf numFmtId="190" fontId="45" fillId="39" borderId="10" xfId="48" applyNumberFormat="1" applyFont="1">
      <protection locked="0"/>
    </xf>
    <xf numFmtId="191" fontId="45" fillId="39" borderId="10" xfId="48" applyNumberFormat="1" applyFont="1">
      <protection locked="0"/>
    </xf>
    <xf numFmtId="192" fontId="45" fillId="39" borderId="10" xfId="48" applyNumberFormat="1" applyFont="1">
      <protection locked="0"/>
    </xf>
    <xf numFmtId="166" fontId="45" fillId="39" borderId="32" xfId="48" applyNumberFormat="1" applyFont="1" applyBorder="1">
      <protection locked="0"/>
    </xf>
    <xf numFmtId="49" fontId="0" fillId="0" borderId="0" xfId="0" quotePrefix="1" applyNumberFormat="1" applyAlignment="1">
      <alignment horizontal="right"/>
    </xf>
    <xf numFmtId="0" fontId="16" fillId="0" borderId="12" xfId="0" applyFont="1" applyBorder="1" applyAlignment="1">
      <alignment horizontal="center"/>
    </xf>
    <xf numFmtId="0" fontId="1" fillId="0" borderId="0" xfId="0" applyFont="1"/>
    <xf numFmtId="0" fontId="0" fillId="0" borderId="17" xfId="0" applyBorder="1"/>
    <xf numFmtId="0" fontId="0" fillId="0" borderId="10" xfId="0" applyBorder="1" applyAlignment="1">
      <alignment wrapText="1"/>
    </xf>
    <xf numFmtId="0" fontId="79" fillId="48" borderId="0" xfId="0" applyFont="1" applyFill="1" applyAlignment="1">
      <alignment horizontal="center" vertical="center"/>
    </xf>
    <xf numFmtId="0" fontId="16" fillId="49" borderId="10" xfId="0" applyFont="1" applyFill="1" applyBorder="1"/>
    <xf numFmtId="0" fontId="0" fillId="0" borderId="16" xfId="0" applyBorder="1"/>
    <xf numFmtId="0" fontId="95" fillId="0" borderId="0" xfId="0" applyFont="1" applyAlignment="1">
      <alignment horizontal="center" vertical="center"/>
    </xf>
    <xf numFmtId="0" fontId="0" fillId="0" borderId="15" xfId="0" applyBorder="1"/>
    <xf numFmtId="0" fontId="0" fillId="0" borderId="16" xfId="0" applyBorder="1" applyAlignment="1">
      <alignment wrapText="1"/>
    </xf>
    <xf numFmtId="0" fontId="0" fillId="0" borderId="15" xfId="0" applyBorder="1" applyAlignment="1">
      <alignment wrapText="1"/>
    </xf>
    <xf numFmtId="0" fontId="0" fillId="0" borderId="17" xfId="0" applyBorder="1" applyAlignment="1">
      <alignment wrapText="1"/>
    </xf>
    <xf numFmtId="0" fontId="96" fillId="0" borderId="15" xfId="0" applyFont="1" applyBorder="1" applyAlignment="1">
      <alignment vertical="center" wrapText="1"/>
    </xf>
    <xf numFmtId="0" fontId="96" fillId="0" borderId="16" xfId="0" applyFont="1" applyBorder="1"/>
    <xf numFmtId="0" fontId="66" fillId="0" borderId="10" xfId="0" applyFont="1" applyBorder="1"/>
    <xf numFmtId="0" fontId="96" fillId="0" borderId="15" xfId="0" applyFont="1" applyBorder="1"/>
    <xf numFmtId="0" fontId="97" fillId="0" borderId="15" xfId="0" applyFont="1" applyBorder="1" applyAlignment="1">
      <alignment wrapText="1"/>
    </xf>
    <xf numFmtId="0" fontId="45" fillId="0" borderId="16" xfId="0" applyFont="1" applyBorder="1" applyAlignment="1">
      <alignment wrapText="1"/>
    </xf>
    <xf numFmtId="0" fontId="97" fillId="0" borderId="16" xfId="0" applyFont="1" applyBorder="1" applyAlignment="1">
      <alignment wrapText="1"/>
    </xf>
    <xf numFmtId="0" fontId="45" fillId="0" borderId="17" xfId="0" applyFont="1" applyBorder="1" applyAlignment="1">
      <alignment wrapText="1"/>
    </xf>
    <xf numFmtId="0" fontId="16" fillId="49" borderId="10" xfId="0" applyFont="1" applyFill="1" applyBorder="1" applyAlignment="1">
      <alignment wrapText="1"/>
    </xf>
    <xf numFmtId="0" fontId="0" fillId="0" borderId="16" xfId="0" applyBorder="1" applyAlignment="1">
      <alignment vertical="center"/>
    </xf>
    <xf numFmtId="0" fontId="98" fillId="0" borderId="0" xfId="0" applyFont="1" applyAlignment="1">
      <alignment horizontal="right"/>
    </xf>
    <xf numFmtId="0" fontId="66" fillId="0" borderId="15" xfId="0" applyFont="1" applyBorder="1" applyAlignment="1">
      <alignment wrapText="1"/>
    </xf>
    <xf numFmtId="0" fontId="79" fillId="50" borderId="0" xfId="0" applyFont="1" applyFill="1" applyAlignment="1">
      <alignment horizontal="center" vertical="center"/>
    </xf>
    <xf numFmtId="0" fontId="45" fillId="51" borderId="0" xfId="0" applyFont="1" applyFill="1" applyAlignment="1">
      <alignment horizontal="left" vertical="center" readingOrder="1"/>
    </xf>
    <xf numFmtId="0" fontId="0" fillId="51" borderId="0" xfId="0" applyFill="1" applyAlignment="1">
      <alignment vertical="center"/>
    </xf>
    <xf numFmtId="0" fontId="0" fillId="51" borderId="0" xfId="0" applyFill="1" applyAlignment="1">
      <alignment horizontal="left"/>
    </xf>
    <xf numFmtId="0" fontId="97" fillId="51" borderId="0" xfId="0" applyFont="1" applyFill="1" applyAlignment="1">
      <alignment vertical="center"/>
    </xf>
    <xf numFmtId="0" fontId="0" fillId="49" borderId="0" xfId="0" applyFill="1"/>
    <xf numFmtId="0" fontId="0" fillId="51" borderId="0" xfId="0" applyFill="1"/>
    <xf numFmtId="0" fontId="45" fillId="51" borderId="0" xfId="0" applyFont="1" applyFill="1"/>
    <xf numFmtId="0" fontId="100" fillId="0" borderId="0" xfId="0" applyFont="1" applyAlignment="1">
      <alignment horizontal="center"/>
    </xf>
    <xf numFmtId="0" fontId="101" fillId="53" borderId="10" xfId="0" applyFont="1" applyFill="1" applyBorder="1" applyAlignment="1">
      <alignment vertical="center" wrapText="1"/>
    </xf>
    <xf numFmtId="0" fontId="103" fillId="0" borderId="15" xfId="0" applyFont="1" applyBorder="1" applyAlignment="1">
      <alignment vertical="center" wrapText="1"/>
    </xf>
    <xf numFmtId="0" fontId="104" fillId="0" borderId="16" xfId="0" applyFont="1" applyBorder="1" applyAlignment="1">
      <alignment vertical="center" wrapText="1"/>
    </xf>
    <xf numFmtId="0" fontId="105" fillId="0" borderId="16" xfId="0" applyFont="1" applyBorder="1" applyAlignment="1">
      <alignment vertical="center" wrapText="1"/>
    </xf>
    <xf numFmtId="0" fontId="105" fillId="0" borderId="17" xfId="0" applyFont="1" applyBorder="1" applyAlignment="1">
      <alignment vertical="center" wrapText="1"/>
    </xf>
    <xf numFmtId="0" fontId="102" fillId="52" borderId="21" xfId="0" applyFont="1" applyFill="1" applyBorder="1" applyAlignment="1">
      <alignment vertical="center"/>
    </xf>
    <xf numFmtId="0" fontId="107" fillId="0" borderId="10" xfId="60" applyFont="1" applyBorder="1" applyAlignment="1"/>
    <xf numFmtId="0" fontId="107" fillId="0" borderId="0" xfId="60" applyFont="1">
      <alignment horizontal="left"/>
    </xf>
    <xf numFmtId="0" fontId="108" fillId="0" borderId="0" xfId="0" applyFont="1"/>
    <xf numFmtId="0" fontId="107" fillId="0" borderId="31" xfId="60" applyFont="1" applyBorder="1" applyAlignment="1">
      <alignment horizontal="left" vertical="top" wrapText="1"/>
    </xf>
    <xf numFmtId="0" fontId="107" fillId="0" borderId="0" xfId="60" applyFont="1" applyBorder="1" applyAlignment="1">
      <alignment horizontal="left" vertical="top" wrapText="1"/>
    </xf>
    <xf numFmtId="0" fontId="107" fillId="0" borderId="0" xfId="60" applyFont="1" applyAlignment="1"/>
    <xf numFmtId="0" fontId="107" fillId="0" borderId="0" xfId="60" applyFont="1" applyAlignment="1">
      <alignment horizontal="left"/>
    </xf>
    <xf numFmtId="0" fontId="107" fillId="0" borderId="0" xfId="60" applyFont="1" applyAlignment="1" applyProtection="1"/>
    <xf numFmtId="0" fontId="107" fillId="0" borderId="0" xfId="60" applyFont="1" applyAlignment="1" applyProtection="1">
      <alignment horizontal="left"/>
    </xf>
    <xf numFmtId="0" fontId="0" fillId="41" borderId="0" xfId="0" applyFill="1" applyAlignment="1">
      <alignment textRotation="90"/>
    </xf>
    <xf numFmtId="0" fontId="17" fillId="41" borderId="0" xfId="0" applyFont="1" applyFill="1" applyAlignment="1">
      <alignment horizontal="right"/>
    </xf>
    <xf numFmtId="0" fontId="0" fillId="41" borderId="0" xfId="0" quotePrefix="1" applyFill="1"/>
    <xf numFmtId="0" fontId="0" fillId="41" borderId="0" xfId="0" applyFill="1" applyAlignment="1">
      <alignment horizontal="center" vertical="center" textRotation="90"/>
    </xf>
    <xf numFmtId="0" fontId="0" fillId="41" borderId="0" xfId="0" applyFill="1" applyAlignment="1">
      <alignment horizontal="center" vertical="top" textRotation="90"/>
    </xf>
    <xf numFmtId="0" fontId="16" fillId="41" borderId="0" xfId="0" applyFont="1" applyFill="1"/>
    <xf numFmtId="49" fontId="18" fillId="41" borderId="0" xfId="0" applyNumberFormat="1" applyFont="1" applyFill="1"/>
    <xf numFmtId="49" fontId="0" fillId="41" borderId="0" xfId="0" applyNumberFormat="1" applyFill="1"/>
    <xf numFmtId="49" fontId="18" fillId="41" borderId="0" xfId="0" quotePrefix="1" applyNumberFormat="1" applyFont="1" applyFill="1"/>
    <xf numFmtId="49" fontId="0" fillId="41" borderId="0" xfId="0" quotePrefix="1" applyNumberFormat="1" applyFill="1"/>
    <xf numFmtId="49" fontId="18" fillId="41" borderId="0" xfId="0" applyNumberFormat="1" applyFont="1" applyFill="1" applyAlignment="1">
      <alignment vertical="top"/>
    </xf>
    <xf numFmtId="49" fontId="18" fillId="41" borderId="0" xfId="0" applyNumberFormat="1" applyFont="1" applyFill="1" applyAlignment="1">
      <alignment horizontal="right" vertical="top"/>
    </xf>
    <xf numFmtId="49" fontId="18" fillId="41" borderId="0" xfId="0" applyNumberFormat="1" applyFont="1" applyFill="1" applyAlignment="1">
      <alignment horizontal="left"/>
    </xf>
    <xf numFmtId="49" fontId="18" fillId="41" borderId="0" xfId="0" applyNumberFormat="1" applyFont="1" applyFill="1" applyAlignment="1">
      <alignment horizontal="left" vertical="top"/>
    </xf>
    <xf numFmtId="49" fontId="25" fillId="41" borderId="0" xfId="0" applyNumberFormat="1" applyFont="1" applyFill="1" applyAlignment="1">
      <alignment horizontal="left"/>
    </xf>
    <xf numFmtId="49" fontId="18" fillId="41" borderId="0" xfId="0" applyNumberFormat="1" applyFont="1" applyFill="1" applyAlignment="1">
      <alignment horizontal="left" vertical="top" wrapText="1"/>
    </xf>
    <xf numFmtId="49" fontId="0" fillId="41" borderId="0" xfId="0" applyNumberFormat="1" applyFill="1" applyProtection="1">
      <protection locked="0"/>
    </xf>
    <xf numFmtId="0" fontId="0" fillId="41" borderId="0" xfId="0" applyFill="1" applyAlignment="1">
      <alignment horizontal="left" vertical="top"/>
    </xf>
    <xf numFmtId="49" fontId="25" fillId="41" borderId="0" xfId="0" applyNumberFormat="1" applyFont="1" applyFill="1"/>
    <xf numFmtId="49" fontId="18" fillId="41" borderId="0" xfId="0" applyNumberFormat="1" applyFont="1" applyFill="1" applyAlignment="1">
      <alignment horizontal="center"/>
    </xf>
    <xf numFmtId="49" fontId="18" fillId="41" borderId="0" xfId="0" applyNumberFormat="1" applyFont="1" applyFill="1" applyAlignment="1">
      <alignment horizontal="left" vertical="center"/>
    </xf>
    <xf numFmtId="49" fontId="18" fillId="41" borderId="0" xfId="0" applyNumberFormat="1" applyFont="1" applyFill="1" applyProtection="1">
      <protection locked="0"/>
    </xf>
    <xf numFmtId="0" fontId="18" fillId="41" borderId="0" xfId="0" applyFont="1" applyFill="1" applyAlignment="1">
      <alignment horizontal="left" vertical="center"/>
    </xf>
    <xf numFmtId="49" fontId="0" fillId="41" borderId="0" xfId="0" applyNumberFormat="1" applyFill="1" applyAlignment="1">
      <alignment horizontal="left"/>
    </xf>
    <xf numFmtId="49" fontId="18" fillId="41" borderId="0" xfId="0" applyNumberFormat="1" applyFont="1" applyFill="1" applyAlignment="1" applyProtection="1">
      <alignment horizontal="left"/>
      <protection locked="0"/>
    </xf>
    <xf numFmtId="49" fontId="18" fillId="41" borderId="0" xfId="0" quotePrefix="1" applyNumberFormat="1" applyFont="1" applyFill="1" applyAlignment="1">
      <alignment horizontal="left" vertical="top"/>
    </xf>
    <xf numFmtId="0" fontId="18" fillId="41" borderId="0" xfId="0" applyFont="1" applyFill="1" applyAlignment="1">
      <alignment horizontal="left" vertical="top"/>
    </xf>
    <xf numFmtId="0" fontId="18" fillId="41" borderId="0" xfId="0" applyFont="1" applyFill="1"/>
    <xf numFmtId="0" fontId="0" fillId="41" borderId="0" xfId="0" applyFill="1" applyAlignment="1">
      <alignment horizontal="right"/>
    </xf>
    <xf numFmtId="49" fontId="0" fillId="39" borderId="17" xfId="48" applyNumberFormat="1" applyFont="1" applyBorder="1">
      <protection locked="0"/>
    </xf>
    <xf numFmtId="0" fontId="0" fillId="0" borderId="0" xfId="0" applyAlignment="1">
      <alignment horizontal="left" vertical="top" wrapText="1"/>
    </xf>
    <xf numFmtId="0" fontId="69" fillId="0" borderId="0" xfId="0" applyFont="1" applyAlignment="1">
      <alignment horizontal="left" vertical="top" wrapText="1"/>
    </xf>
    <xf numFmtId="0" fontId="68" fillId="34" borderId="0" xfId="50" applyFont="1" applyAlignment="1" applyProtection="1">
      <protection locked="0"/>
    </xf>
    <xf numFmtId="0" fontId="21" fillId="34" borderId="0" xfId="50" applyAlignment="1"/>
    <xf numFmtId="0" fontId="23" fillId="0" borderId="0" xfId="0" applyFont="1"/>
    <xf numFmtId="0" fontId="0" fillId="0" borderId="0" xfId="0" applyAlignment="1">
      <alignment wrapText="1"/>
    </xf>
    <xf numFmtId="0" fontId="70" fillId="0" borderId="0" xfId="57" applyFont="1" applyAlignment="1" applyProtection="1">
      <alignment horizontal="left" vertical="top" wrapText="1"/>
      <protection locked="0"/>
    </xf>
    <xf numFmtId="0" fontId="0" fillId="0" borderId="10" xfId="0" applyBorder="1" applyAlignment="1">
      <alignment horizontal="center" vertical="center"/>
    </xf>
    <xf numFmtId="0" fontId="19" fillId="0" borderId="10" xfId="0" applyFont="1" applyBorder="1" applyAlignment="1">
      <alignment horizontal="center" vertical="center" wrapText="1"/>
    </xf>
    <xf numFmtId="0" fontId="31" fillId="0" borderId="10" xfId="0" applyFont="1" applyBorder="1" applyAlignment="1">
      <alignment horizontal="center" vertical="top" wrapText="1"/>
    </xf>
    <xf numFmtId="0" fontId="0" fillId="0" borderId="0" xfId="0" applyAlignment="1">
      <alignment horizontal="center"/>
    </xf>
    <xf numFmtId="0" fontId="21" fillId="34" borderId="0" xfId="50" applyAlignment="1">
      <alignment horizontal="right"/>
    </xf>
    <xf numFmtId="14" fontId="21" fillId="34" borderId="23" xfId="50" applyNumberFormat="1" applyBorder="1" applyAlignment="1">
      <alignment horizontal="left"/>
    </xf>
    <xf numFmtId="0" fontId="0" fillId="0" borderId="0" xfId="0" applyAlignment="1">
      <alignment horizontal="left"/>
    </xf>
    <xf numFmtId="0" fontId="70" fillId="0" borderId="0" xfId="57" applyFont="1" applyAlignment="1" applyProtection="1">
      <alignment horizontal="left"/>
      <protection locked="0"/>
    </xf>
    <xf numFmtId="0" fontId="23" fillId="0" borderId="0" xfId="0" applyFont="1" applyAlignment="1">
      <alignment horizontal="left" vertical="top" wrapText="1"/>
    </xf>
    <xf numFmtId="0" fontId="16" fillId="0" borderId="0" xfId="0" applyFont="1" applyAlignment="1">
      <alignment horizontal="right"/>
    </xf>
    <xf numFmtId="0" fontId="107" fillId="0" borderId="0" xfId="60" applyFont="1" applyAlignment="1">
      <alignment horizontal="right"/>
    </xf>
    <xf numFmtId="0" fontId="13" fillId="0" borderId="0" xfId="60" applyAlignment="1">
      <alignment horizontal="right"/>
    </xf>
    <xf numFmtId="0" fontId="0" fillId="39" borderId="10" xfId="48" applyFont="1" applyAlignment="1">
      <alignment horizontal="left"/>
      <protection locked="0"/>
    </xf>
    <xf numFmtId="0" fontId="1" fillId="38" borderId="12" xfId="47" applyFont="1" applyBorder="1" applyAlignment="1">
      <alignment horizontal="left"/>
      <protection locked="0"/>
    </xf>
    <xf numFmtId="0" fontId="1" fillId="38" borderId="13" xfId="47" applyFont="1" applyBorder="1" applyAlignment="1">
      <alignment horizontal="left"/>
      <protection locked="0"/>
    </xf>
    <xf numFmtId="0" fontId="16" fillId="0" borderId="22" xfId="0" applyFont="1" applyBorder="1" applyAlignment="1">
      <alignment horizontal="right"/>
    </xf>
    <xf numFmtId="0" fontId="16" fillId="0" borderId="24" xfId="0" applyFont="1" applyBorder="1" applyAlignment="1">
      <alignment horizontal="right"/>
    </xf>
    <xf numFmtId="0" fontId="57" fillId="0" borderId="29" xfId="57" applyBorder="1" applyAlignment="1" applyProtection="1">
      <alignment horizontal="center" vertical="center" wrapText="1"/>
      <protection locked="0"/>
    </xf>
    <xf numFmtId="0" fontId="57" fillId="0" borderId="0" xfId="57" applyAlignment="1" applyProtection="1">
      <alignment horizontal="center" vertical="center" wrapText="1"/>
      <protection locked="0"/>
    </xf>
    <xf numFmtId="0" fontId="0" fillId="39" borderId="12" xfId="48" applyFont="1" applyBorder="1" applyAlignment="1">
      <alignment horizontal="left"/>
      <protection locked="0"/>
    </xf>
    <xf numFmtId="0" fontId="0" fillId="39" borderId="21" xfId="48" applyFont="1" applyBorder="1" applyAlignment="1">
      <alignment horizontal="left"/>
      <protection locked="0"/>
    </xf>
    <xf numFmtId="0" fontId="0" fillId="39" borderId="13" xfId="48" applyFont="1" applyBorder="1" applyAlignment="1">
      <alignment horizontal="left"/>
      <protection locked="0"/>
    </xf>
    <xf numFmtId="0" fontId="0" fillId="38" borderId="10" xfId="47" applyFont="1" applyAlignment="1">
      <alignment horizontal="left"/>
      <protection locked="0"/>
    </xf>
    <xf numFmtId="0" fontId="0" fillId="0" borderId="22" xfId="0" applyBorder="1" applyAlignment="1">
      <alignment wrapText="1"/>
    </xf>
    <xf numFmtId="0" fontId="0" fillId="0" borderId="24" xfId="0" applyBorder="1" applyAlignment="1">
      <alignment wrapText="1"/>
    </xf>
    <xf numFmtId="0" fontId="0" fillId="0" borderId="29" xfId="0" applyBorder="1" applyAlignment="1">
      <alignment wrapText="1"/>
    </xf>
    <xf numFmtId="0" fontId="0" fillId="0" borderId="28" xfId="0" applyBorder="1" applyAlignment="1">
      <alignment wrapText="1"/>
    </xf>
    <xf numFmtId="0" fontId="0" fillId="0" borderId="25" xfId="0" applyBorder="1" applyAlignment="1">
      <alignment wrapText="1"/>
    </xf>
    <xf numFmtId="0" fontId="0" fillId="0" borderId="27" xfId="0" applyBorder="1" applyAlignment="1">
      <alignment wrapText="1"/>
    </xf>
    <xf numFmtId="0" fontId="0" fillId="39" borderId="17" xfId="48" applyFont="1" applyBorder="1" applyAlignment="1">
      <alignment horizontal="left"/>
      <protection locked="0"/>
    </xf>
    <xf numFmtId="0" fontId="0" fillId="38" borderId="12" xfId="47" applyFont="1" applyBorder="1" applyAlignment="1">
      <alignment horizontal="left"/>
      <protection locked="0"/>
    </xf>
    <xf numFmtId="0" fontId="0" fillId="38" borderId="21" xfId="47" applyFont="1" applyBorder="1" applyAlignment="1">
      <alignment horizontal="left"/>
      <protection locked="0"/>
    </xf>
    <xf numFmtId="0" fontId="0" fillId="38" borderId="13" xfId="47" applyFont="1" applyBorder="1" applyAlignment="1">
      <alignment horizontal="left"/>
      <protection locked="0"/>
    </xf>
    <xf numFmtId="0" fontId="107" fillId="0" borderId="0" xfId="60" applyFont="1" applyAlignment="1">
      <alignment horizontal="right" wrapText="1"/>
    </xf>
    <xf numFmtId="0" fontId="13" fillId="0" borderId="0" xfId="60" applyAlignment="1">
      <alignment horizontal="right" wrapText="1"/>
    </xf>
    <xf numFmtId="0" fontId="0" fillId="39" borderId="22" xfId="48" applyFont="1" applyBorder="1" applyAlignment="1">
      <alignment horizontal="left" vertical="top" wrapText="1"/>
      <protection locked="0"/>
    </xf>
    <xf numFmtId="0" fontId="0" fillId="39" borderId="23" xfId="48" applyFont="1" applyBorder="1" applyAlignment="1">
      <alignment horizontal="left" vertical="top" wrapText="1"/>
      <protection locked="0"/>
    </xf>
    <xf numFmtId="0" fontId="0" fillId="39" borderId="24" xfId="48" applyFont="1" applyBorder="1" applyAlignment="1">
      <alignment horizontal="left" vertical="top" wrapText="1"/>
      <protection locked="0"/>
    </xf>
    <xf numFmtId="0" fontId="0" fillId="39" borderId="25" xfId="48" applyFont="1" applyBorder="1" applyAlignment="1">
      <alignment horizontal="left" vertical="top" wrapText="1"/>
      <protection locked="0"/>
    </xf>
    <xf numFmtId="0" fontId="0" fillId="39" borderId="26" xfId="48" applyFont="1" applyBorder="1" applyAlignment="1">
      <alignment horizontal="left" vertical="top" wrapText="1"/>
      <protection locked="0"/>
    </xf>
    <xf numFmtId="0" fontId="0" fillId="39" borderId="27" xfId="48" applyFont="1" applyBorder="1" applyAlignment="1">
      <alignment horizontal="left" vertical="top" wrapText="1"/>
      <protection locked="0"/>
    </xf>
    <xf numFmtId="0" fontId="0" fillId="0" borderId="22" xfId="0" applyBorder="1" applyAlignment="1">
      <alignment horizontal="left" wrapText="1"/>
    </xf>
    <xf numFmtId="0" fontId="0" fillId="0" borderId="23" xfId="0" applyBorder="1" applyAlignment="1">
      <alignment horizontal="left" wrapText="1"/>
    </xf>
    <xf numFmtId="0" fontId="0" fillId="0" borderId="24" xfId="0" applyBorder="1" applyAlignment="1">
      <alignment horizontal="left" wrapText="1"/>
    </xf>
    <xf numFmtId="0" fontId="0" fillId="0" borderId="25" xfId="0" applyBorder="1" applyAlignment="1">
      <alignment horizontal="left" wrapText="1"/>
    </xf>
    <xf numFmtId="0" fontId="0" fillId="0" borderId="26" xfId="0" applyBorder="1" applyAlignment="1">
      <alignment horizontal="left" wrapText="1"/>
    </xf>
    <xf numFmtId="0" fontId="0" fillId="0" borderId="27" xfId="0" applyBorder="1" applyAlignment="1">
      <alignment horizontal="left" wrapText="1"/>
    </xf>
    <xf numFmtId="0" fontId="16" fillId="0" borderId="0" xfId="0" applyFont="1"/>
    <xf numFmtId="0" fontId="0" fillId="0" borderId="0" xfId="0"/>
    <xf numFmtId="0" fontId="16" fillId="0" borderId="0" xfId="0" applyFont="1" applyAlignment="1">
      <alignment horizontal="right" vertical="center"/>
    </xf>
    <xf numFmtId="0" fontId="16" fillId="0" borderId="0" xfId="0" applyFont="1" applyAlignment="1">
      <alignment horizontal="right" vertical="center" wrapText="1"/>
    </xf>
    <xf numFmtId="0" fontId="0" fillId="0" borderId="0" xfId="0" applyAlignment="1">
      <alignment horizontal="right"/>
    </xf>
    <xf numFmtId="0" fontId="18" fillId="0" borderId="0" xfId="0" applyFont="1" applyAlignment="1">
      <alignment horizontal="left" vertical="top" wrapText="1"/>
    </xf>
    <xf numFmtId="0" fontId="18" fillId="0" borderId="26" xfId="0" applyFont="1" applyBorder="1" applyAlignment="1">
      <alignment horizontal="left" vertical="top" wrapText="1"/>
    </xf>
    <xf numFmtId="0" fontId="0" fillId="37" borderId="17" xfId="54" applyFont="1" applyBorder="1">
      <alignment horizontal="left" vertical="top" wrapText="1"/>
      <protection locked="0"/>
    </xf>
    <xf numFmtId="0" fontId="0" fillId="37" borderId="10" xfId="54" applyFont="1">
      <alignment horizontal="left" vertical="top" wrapText="1"/>
      <protection locked="0"/>
    </xf>
    <xf numFmtId="0" fontId="25" fillId="0" borderId="0" xfId="0" applyFont="1" applyAlignment="1">
      <alignment horizontal="center" vertical="center"/>
    </xf>
    <xf numFmtId="0" fontId="25" fillId="0" borderId="26" xfId="0" applyFont="1" applyBorder="1" applyAlignment="1">
      <alignment horizontal="center" vertical="center"/>
    </xf>
    <xf numFmtId="0" fontId="18" fillId="0" borderId="23" xfId="0" applyFont="1" applyBorder="1" applyAlignment="1">
      <alignment vertical="top" wrapText="1"/>
    </xf>
    <xf numFmtId="0" fontId="18" fillId="0" borderId="26" xfId="0" applyFont="1" applyBorder="1" applyAlignment="1">
      <alignment vertical="top" wrapText="1"/>
    </xf>
    <xf numFmtId="0" fontId="25" fillId="0" borderId="23" xfId="0" applyFont="1" applyBorder="1" applyAlignment="1">
      <alignment horizontal="center" vertical="center"/>
    </xf>
    <xf numFmtId="0" fontId="18" fillId="0" borderId="23" xfId="0" applyFont="1" applyBorder="1" applyAlignment="1">
      <alignment horizontal="center" vertical="center"/>
    </xf>
    <xf numFmtId="0" fontId="18" fillId="0" borderId="26" xfId="0" applyFont="1" applyBorder="1" applyAlignment="1">
      <alignment horizontal="center" vertical="center"/>
    </xf>
    <xf numFmtId="0" fontId="67" fillId="0" borderId="0" xfId="0" applyFont="1" applyAlignment="1">
      <alignment horizontal="left" vertical="top" wrapText="1"/>
    </xf>
    <xf numFmtId="0" fontId="67" fillId="0" borderId="31" xfId="0" applyFont="1" applyBorder="1" applyAlignment="1">
      <alignment horizontal="left" vertical="top" wrapText="1"/>
    </xf>
    <xf numFmtId="0" fontId="25" fillId="0" borderId="31" xfId="0" applyFont="1" applyBorder="1" applyAlignment="1">
      <alignment horizontal="center" vertical="center"/>
    </xf>
    <xf numFmtId="0" fontId="67" fillId="0" borderId="23" xfId="0" applyFont="1" applyBorder="1" applyAlignment="1">
      <alignment horizontal="left" vertical="top" wrapText="1"/>
    </xf>
    <xf numFmtId="0" fontId="0" fillId="37" borderId="32" xfId="54" applyFont="1" applyBorder="1">
      <alignment horizontal="left" vertical="top" wrapText="1"/>
      <protection locked="0"/>
    </xf>
    <xf numFmtId="0" fontId="25" fillId="0" borderId="33"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Alignment="1">
      <alignment horizontal="center" vertical="center"/>
    </xf>
    <xf numFmtId="0" fontId="18" fillId="0" borderId="31" xfId="0" applyFont="1" applyBorder="1" applyAlignment="1">
      <alignment horizontal="center" vertical="center"/>
    </xf>
    <xf numFmtId="0" fontId="0" fillId="0" borderId="0" xfId="0" applyAlignment="1">
      <alignment horizontal="center" vertical="center"/>
    </xf>
    <xf numFmtId="0" fontId="0" fillId="0" borderId="26" xfId="0" applyBorder="1" applyAlignment="1">
      <alignment horizontal="center" vertical="center"/>
    </xf>
    <xf numFmtId="0" fontId="18" fillId="0" borderId="23" xfId="0" applyFont="1" applyBorder="1" applyAlignment="1">
      <alignment horizontal="left" vertical="top" wrapText="1"/>
    </xf>
    <xf numFmtId="0" fontId="25" fillId="0" borderId="33" xfId="0" applyFont="1" applyBorder="1" applyAlignment="1">
      <alignment horizontal="left" vertical="top" wrapText="1"/>
    </xf>
    <xf numFmtId="0" fontId="25" fillId="0" borderId="0" xfId="0" applyFont="1" applyAlignment="1">
      <alignment horizontal="left" vertical="top" wrapText="1"/>
    </xf>
    <xf numFmtId="0" fontId="18" fillId="0" borderId="31" xfId="0" applyFont="1" applyBorder="1" applyAlignment="1">
      <alignment horizontal="left" vertical="top" wrapText="1"/>
    </xf>
    <xf numFmtId="0" fontId="0" fillId="37" borderId="34" xfId="54" applyFont="1" applyBorder="1">
      <alignment horizontal="left" vertical="top" wrapText="1"/>
      <protection locked="0"/>
    </xf>
    <xf numFmtId="0" fontId="54" fillId="0" borderId="0" xfId="0" applyFont="1" applyAlignment="1">
      <alignment vertical="top" wrapText="1"/>
    </xf>
    <xf numFmtId="0" fontId="67" fillId="0" borderId="26" xfId="0" applyFont="1" applyBorder="1" applyAlignment="1">
      <alignment horizontal="left" vertical="top" wrapText="1"/>
    </xf>
    <xf numFmtId="0" fontId="25" fillId="0" borderId="0" xfId="0" applyFont="1" applyAlignment="1">
      <alignment horizontal="center" vertical="center" wrapText="1"/>
    </xf>
    <xf numFmtId="0" fontId="25" fillId="0" borderId="23" xfId="62" applyFont="1" applyBorder="1">
      <alignment horizontal="center" vertical="center"/>
    </xf>
    <xf numFmtId="0" fontId="25" fillId="0" borderId="0" xfId="62" applyFont="1" applyBorder="1">
      <alignment horizontal="center" vertical="center"/>
    </xf>
    <xf numFmtId="0" fontId="25" fillId="0" borderId="26" xfId="62" applyFont="1" applyBorder="1">
      <alignment horizontal="center" vertical="center"/>
    </xf>
    <xf numFmtId="0" fontId="18" fillId="0" borderId="21" xfId="0" applyFont="1" applyBorder="1" applyAlignment="1">
      <alignment horizontal="center" vertical="center"/>
    </xf>
    <xf numFmtId="0" fontId="18" fillId="0" borderId="0" xfId="0" applyFont="1" applyAlignment="1">
      <alignment vertical="top" wrapText="1"/>
    </xf>
    <xf numFmtId="0" fontId="25" fillId="0" borderId="31" xfId="0" applyFont="1" applyBorder="1" applyAlignment="1">
      <alignment horizontal="left" vertical="top" wrapText="1"/>
    </xf>
    <xf numFmtId="0" fontId="0" fillId="37" borderId="15" xfId="54" applyFont="1" applyBorder="1">
      <alignment horizontal="left" vertical="top" wrapText="1"/>
      <protection locked="0"/>
    </xf>
    <xf numFmtId="0" fontId="0" fillId="37" borderId="16" xfId="54" applyFont="1" applyBorder="1">
      <alignment horizontal="left" vertical="top" wrapText="1"/>
      <protection locked="0"/>
    </xf>
    <xf numFmtId="0" fontId="0" fillId="37" borderId="53" xfId="54" applyFont="1" applyBorder="1">
      <alignment horizontal="left" vertical="top" wrapText="1"/>
      <protection locked="0"/>
    </xf>
    <xf numFmtId="0" fontId="54" fillId="0" borderId="33" xfId="0" applyFont="1" applyBorder="1" applyAlignment="1">
      <alignment vertical="top" wrapText="1"/>
    </xf>
    <xf numFmtId="0" fontId="54" fillId="0" borderId="31" xfId="0" applyFont="1" applyBorder="1" applyAlignment="1">
      <alignment vertical="top" wrapText="1"/>
    </xf>
    <xf numFmtId="164" fontId="29" fillId="40" borderId="14" xfId="65">
      <alignment horizontal="left" vertical="top" wrapText="1"/>
    </xf>
    <xf numFmtId="49" fontId="16" fillId="0" borderId="0" xfId="0" applyNumberFormat="1" applyFont="1" applyAlignment="1">
      <alignment horizontal="center" textRotation="90"/>
    </xf>
    <xf numFmtId="0" fontId="0" fillId="0" borderId="10" xfId="0" applyBorder="1"/>
    <xf numFmtId="0" fontId="18" fillId="0" borderId="0" xfId="62" applyFont="1" applyBorder="1">
      <alignment horizontal="center" vertical="center"/>
    </xf>
    <xf numFmtId="0" fontId="18" fillId="0" borderId="26" xfId="62" applyFont="1" applyBorder="1">
      <alignment horizontal="center" vertical="center"/>
    </xf>
    <xf numFmtId="0" fontId="24" fillId="34" borderId="18" xfId="63" applyAlignment="1">
      <alignment vertical="center"/>
    </xf>
    <xf numFmtId="0" fontId="18" fillId="0" borderId="0" xfId="62" applyFont="1">
      <alignment horizontal="center" vertical="center"/>
    </xf>
    <xf numFmtId="0" fontId="25" fillId="0" borderId="0" xfId="62" applyFont="1">
      <alignment horizontal="center" vertical="center"/>
    </xf>
    <xf numFmtId="0" fontId="0" fillId="0" borderId="31" xfId="0" applyBorder="1" applyAlignment="1">
      <alignment horizontal="center" vertical="center"/>
    </xf>
    <xf numFmtId="0" fontId="0" fillId="37" borderId="37" xfId="54" applyFont="1" applyBorder="1">
      <alignment horizontal="left" vertical="top" wrapText="1"/>
      <protection locked="0"/>
    </xf>
    <xf numFmtId="0" fontId="18" fillId="0" borderId="23" xfId="62" applyFont="1" applyBorder="1">
      <alignment horizontal="center" vertical="center"/>
    </xf>
    <xf numFmtId="0" fontId="18" fillId="0" borderId="104" xfId="0" applyFont="1" applyBorder="1" applyAlignment="1">
      <alignment vertical="top" wrapText="1"/>
    </xf>
    <xf numFmtId="0" fontId="16" fillId="0" borderId="10" xfId="0" applyFont="1" applyBorder="1" applyAlignment="1">
      <alignment horizontal="left" vertical="center" indent="10"/>
    </xf>
    <xf numFmtId="0" fontId="16" fillId="0" borderId="10" xfId="0" applyFont="1" applyBorder="1" applyAlignment="1">
      <alignment horizontal="left" indent="10"/>
    </xf>
    <xf numFmtId="0" fontId="24" fillId="34" borderId="61" xfId="63" applyBorder="1" applyAlignment="1">
      <alignment vertical="center"/>
    </xf>
    <xf numFmtId="0" fontId="24" fillId="34" borderId="62" xfId="63" applyBorder="1" applyAlignment="1">
      <alignment vertical="center"/>
    </xf>
    <xf numFmtId="0" fontId="16" fillId="0" borderId="12" xfId="0" applyFont="1" applyBorder="1" applyAlignment="1">
      <alignment horizontal="left" vertical="center" indent="10"/>
    </xf>
    <xf numFmtId="0" fontId="16" fillId="0" borderId="21" xfId="0" applyFont="1" applyBorder="1" applyAlignment="1">
      <alignment horizontal="left" vertical="center" indent="10"/>
    </xf>
    <xf numFmtId="0" fontId="16" fillId="0" borderId="13" xfId="0" applyFont="1" applyBorder="1" applyAlignment="1">
      <alignment horizontal="left" vertical="center" indent="10"/>
    </xf>
    <xf numFmtId="14" fontId="0" fillId="0" borderId="12" xfId="0" applyNumberFormat="1" applyBorder="1" applyAlignment="1">
      <alignment horizontal="center" vertical="center"/>
    </xf>
    <xf numFmtId="0" fontId="0" fillId="0" borderId="21" xfId="0" applyBorder="1" applyAlignment="1">
      <alignment horizontal="center" vertical="center"/>
    </xf>
    <xf numFmtId="0" fontId="0" fillId="0" borderId="13" xfId="0" applyBorder="1" applyAlignment="1">
      <alignment horizontal="center" vertical="center"/>
    </xf>
    <xf numFmtId="0" fontId="24" fillId="34" borderId="19" xfId="63" applyBorder="1" applyAlignment="1">
      <alignment vertical="center"/>
    </xf>
    <xf numFmtId="0" fontId="24" fillId="34" borderId="0" xfId="63" applyBorder="1" applyAlignment="1">
      <alignment vertical="center"/>
    </xf>
    <xf numFmtId="0" fontId="24" fillId="34" borderId="20" xfId="63" applyBorder="1" applyAlignment="1">
      <alignment vertical="center"/>
    </xf>
    <xf numFmtId="0" fontId="24" fillId="34" borderId="18" xfId="63">
      <alignment vertical="center" wrapText="1"/>
    </xf>
    <xf numFmtId="0" fontId="54" fillId="0" borderId="0" xfId="0" applyFont="1" applyAlignment="1">
      <alignment horizontal="left" vertical="top" wrapText="1"/>
    </xf>
    <xf numFmtId="0" fontId="54" fillId="0" borderId="26" xfId="0" applyFont="1" applyBorder="1" applyAlignment="1">
      <alignment horizontal="left" vertical="top" wrapText="1"/>
    </xf>
    <xf numFmtId="0" fontId="54" fillId="0" borderId="23" xfId="0" applyFont="1" applyBorder="1" applyAlignment="1">
      <alignment horizontal="left" vertical="top" wrapText="1"/>
    </xf>
    <xf numFmtId="0" fontId="54" fillId="0" borderId="105" xfId="0" applyFont="1" applyBorder="1" applyAlignment="1">
      <alignment horizontal="left" vertical="top" wrapText="1"/>
    </xf>
    <xf numFmtId="0" fontId="39" fillId="2" borderId="0" xfId="0" applyFont="1" applyFill="1" applyAlignment="1">
      <alignment horizontal="center" vertical="center"/>
    </xf>
    <xf numFmtId="0" fontId="39" fillId="2" borderId="31" xfId="0" applyFont="1" applyFill="1" applyBorder="1" applyAlignment="1">
      <alignment horizontal="center" vertical="center"/>
    </xf>
    <xf numFmtId="0" fontId="67" fillId="0" borderId="105" xfId="0" applyFont="1" applyBorder="1" applyAlignment="1">
      <alignment horizontal="left" vertical="top" wrapText="1"/>
    </xf>
    <xf numFmtId="0" fontId="18" fillId="0" borderId="31" xfId="0" applyFont="1" applyBorder="1" applyAlignment="1">
      <alignment vertical="top" wrapText="1"/>
    </xf>
    <xf numFmtId="0" fontId="25" fillId="0" borderId="26" xfId="0" applyFont="1" applyBorder="1" applyAlignment="1">
      <alignment horizontal="left" vertical="top" wrapText="1"/>
    </xf>
    <xf numFmtId="0" fontId="39" fillId="2" borderId="26" xfId="0" applyFont="1" applyFill="1" applyBorder="1" applyAlignment="1">
      <alignment horizontal="center" vertical="center"/>
    </xf>
    <xf numFmtId="0" fontId="26" fillId="0" borderId="0" xfId="0" applyFont="1" applyAlignment="1">
      <alignment horizontal="center" vertical="center" wrapText="1"/>
    </xf>
    <xf numFmtId="0" fontId="25" fillId="0" borderId="33" xfId="0" applyFont="1" applyBorder="1" applyAlignment="1">
      <alignment horizontal="center" vertical="center" wrapText="1"/>
    </xf>
    <xf numFmtId="164" fontId="29" fillId="40" borderId="47" xfId="65" applyBorder="1">
      <alignment horizontal="left" vertical="top" wrapText="1"/>
    </xf>
    <xf numFmtId="164" fontId="29" fillId="40" borderId="48" xfId="65" applyBorder="1">
      <alignment horizontal="left" vertical="top" wrapText="1"/>
    </xf>
    <xf numFmtId="0" fontId="25" fillId="0" borderId="0" xfId="0" applyFont="1" applyAlignment="1">
      <alignment horizontal="right" vertical="top" wrapText="1"/>
    </xf>
    <xf numFmtId="0" fontId="26" fillId="0" borderId="0" xfId="0" applyFont="1" applyAlignment="1">
      <alignment horizontal="left" vertical="top" wrapText="1"/>
    </xf>
    <xf numFmtId="0" fontId="27" fillId="0" borderId="23" xfId="0" applyFont="1" applyBorder="1" applyAlignment="1">
      <alignment horizontal="left" vertical="top" wrapText="1"/>
    </xf>
    <xf numFmtId="0" fontId="27" fillId="0" borderId="0" xfId="0" applyFont="1" applyAlignment="1">
      <alignment horizontal="left" vertical="top" wrapText="1"/>
    </xf>
    <xf numFmtId="0" fontId="39" fillId="2" borderId="33" xfId="0" applyFont="1" applyFill="1" applyBorder="1" applyAlignment="1">
      <alignment horizontal="center" vertical="center"/>
    </xf>
    <xf numFmtId="0" fontId="39" fillId="2" borderId="0" xfId="0" applyFont="1" applyFill="1" applyAlignment="1">
      <alignment horizontal="center" vertical="center" wrapText="1"/>
    </xf>
    <xf numFmtId="0" fontId="39" fillId="2" borderId="26" xfId="0" applyFont="1" applyFill="1" applyBorder="1" applyAlignment="1">
      <alignment horizontal="center" vertical="center" wrapText="1"/>
    </xf>
    <xf numFmtId="164" fontId="29" fillId="40" borderId="49" xfId="65" applyBorder="1">
      <alignment horizontal="left" vertical="top" wrapText="1"/>
    </xf>
    <xf numFmtId="164" fontId="29" fillId="40" borderId="50" xfId="65" applyBorder="1">
      <alignment horizontal="left" vertical="top" wrapText="1"/>
    </xf>
    <xf numFmtId="0" fontId="25" fillId="0" borderId="115" xfId="0" applyFont="1" applyBorder="1" applyAlignment="1">
      <alignment horizontal="right" vertical="top" wrapText="1"/>
    </xf>
    <xf numFmtId="0" fontId="25" fillId="0" borderId="23" xfId="0" applyFont="1" applyBorder="1" applyAlignment="1">
      <alignment horizontal="left" vertical="top" wrapText="1"/>
    </xf>
    <xf numFmtId="0" fontId="25" fillId="0" borderId="26" xfId="0" applyFont="1" applyBorder="1" applyAlignment="1">
      <alignment horizontal="center" vertical="center" wrapText="1"/>
    </xf>
    <xf numFmtId="0" fontId="26" fillId="0" borderId="33" xfId="0" applyFont="1" applyBorder="1" applyAlignment="1">
      <alignment horizontal="center" vertical="center" wrapText="1"/>
    </xf>
    <xf numFmtId="0" fontId="59" fillId="0" borderId="23" xfId="57" applyFont="1" applyBorder="1" applyAlignment="1" applyProtection="1">
      <alignment horizontal="center" vertical="center" wrapText="1"/>
      <protection locked="0"/>
    </xf>
    <xf numFmtId="0" fontId="59" fillId="0" borderId="0" xfId="57" applyFont="1" applyBorder="1" applyAlignment="1" applyProtection="1">
      <alignment horizontal="center" vertical="center" wrapText="1"/>
      <protection locked="0"/>
    </xf>
    <xf numFmtId="0" fontId="59" fillId="0" borderId="26" xfId="57" applyFont="1" applyBorder="1" applyAlignment="1" applyProtection="1">
      <alignment horizontal="center" vertical="center" wrapText="1"/>
      <protection locked="0"/>
    </xf>
    <xf numFmtId="0" fontId="59" fillId="0" borderId="0" xfId="57" applyFont="1" applyAlignment="1" applyProtection="1">
      <alignment horizontal="center" vertical="center" wrapText="1"/>
      <protection locked="0"/>
    </xf>
    <xf numFmtId="0" fontId="39" fillId="2" borderId="23" xfId="0" applyFont="1" applyFill="1" applyBorder="1" applyAlignment="1">
      <alignment horizontal="center" vertical="center"/>
    </xf>
    <xf numFmtId="0" fontId="0" fillId="0" borderId="0" xfId="0" applyAlignment="1">
      <alignment horizontal="center" vertical="center" wrapText="1"/>
    </xf>
    <xf numFmtId="0" fontId="0" fillId="0" borderId="26" xfId="0" applyBorder="1" applyAlignment="1">
      <alignment horizontal="center" vertical="center" wrapText="1"/>
    </xf>
    <xf numFmtId="0" fontId="57" fillId="0" borderId="23" xfId="57" applyBorder="1" applyAlignment="1" applyProtection="1">
      <alignment horizontal="center" vertical="center" wrapText="1"/>
      <protection locked="0"/>
    </xf>
    <xf numFmtId="0" fontId="57" fillId="0" borderId="26" xfId="57" applyBorder="1" applyAlignment="1" applyProtection="1">
      <alignment horizontal="center" vertical="center" wrapText="1"/>
      <protection locked="0"/>
    </xf>
    <xf numFmtId="0" fontId="25" fillId="0" borderId="23" xfId="0" applyFont="1" applyBorder="1" applyAlignment="1">
      <alignment horizontal="center" vertical="center" wrapText="1"/>
    </xf>
    <xf numFmtId="0" fontId="57" fillId="0" borderId="0" xfId="57" applyBorder="1" applyAlignment="1" applyProtection="1">
      <alignment horizontal="center" vertical="center" wrapText="1"/>
      <protection locked="0"/>
    </xf>
    <xf numFmtId="0" fontId="25" fillId="0" borderId="0" xfId="0" applyFont="1" applyAlignment="1">
      <alignment vertical="top" wrapText="1"/>
    </xf>
    <xf numFmtId="0" fontId="25" fillId="0" borderId="26" xfId="0" applyFont="1" applyBorder="1" applyAlignment="1">
      <alignment vertical="top" wrapText="1"/>
    </xf>
    <xf numFmtId="0" fontId="25" fillId="0" borderId="23" xfId="0" applyFont="1" applyBorder="1" applyAlignment="1">
      <alignment vertical="top" wrapText="1"/>
    </xf>
    <xf numFmtId="164" fontId="29" fillId="40" borderId="51" xfId="65" applyBorder="1">
      <alignment horizontal="left" vertical="top" wrapText="1"/>
    </xf>
    <xf numFmtId="0" fontId="25" fillId="36" borderId="33" xfId="52" applyFont="1" applyBorder="1" applyAlignment="1">
      <alignment horizontal="center" vertical="center" wrapText="1"/>
    </xf>
    <xf numFmtId="0" fontId="25" fillId="36" borderId="31" xfId="52" applyFont="1" applyBorder="1" applyAlignment="1">
      <alignment horizontal="center" vertical="center"/>
    </xf>
    <xf numFmtId="0" fontId="25" fillId="36" borderId="23" xfId="52" applyFont="1" applyBorder="1" applyAlignment="1">
      <alignment horizontal="center" vertical="center" wrapText="1"/>
    </xf>
    <xf numFmtId="0" fontId="25" fillId="36" borderId="0" xfId="52" applyFont="1" applyBorder="1" applyAlignment="1">
      <alignment horizontal="center" vertical="center" wrapText="1"/>
    </xf>
    <xf numFmtId="0" fontId="25" fillId="36" borderId="26" xfId="52" applyFont="1" applyBorder="1" applyAlignment="1">
      <alignment horizontal="center" vertical="center" wrapText="1"/>
    </xf>
    <xf numFmtId="0" fontId="24" fillId="34" borderId="18" xfId="63" applyAlignment="1">
      <alignment horizontal="center" vertical="center"/>
    </xf>
    <xf numFmtId="0" fontId="27" fillId="0" borderId="0" xfId="0" applyFont="1" applyAlignment="1">
      <alignment horizontal="justify" vertical="top" wrapText="1"/>
    </xf>
    <xf numFmtId="0" fontId="54" fillId="0" borderId="33" xfId="0" applyFont="1" applyBorder="1" applyAlignment="1">
      <alignment horizontal="left" vertical="top" wrapText="1"/>
    </xf>
    <xf numFmtId="0" fontId="54" fillId="0" borderId="31" xfId="0" applyFont="1" applyBorder="1" applyAlignment="1">
      <alignment horizontal="left" vertical="top" wrapText="1"/>
    </xf>
    <xf numFmtId="0" fontId="42" fillId="0" borderId="0" xfId="0" applyFont="1" applyAlignment="1">
      <alignment horizontal="left" vertical="top" wrapText="1"/>
    </xf>
    <xf numFmtId="0" fontId="42" fillId="0" borderId="0" xfId="0" applyFont="1" applyAlignment="1">
      <alignment vertical="top" wrapText="1"/>
    </xf>
    <xf numFmtId="0" fontId="42" fillId="0" borderId="26" xfId="0" applyFont="1" applyBorder="1" applyAlignment="1">
      <alignment vertical="top" wrapText="1"/>
    </xf>
    <xf numFmtId="0" fontId="18" fillId="0" borderId="0" xfId="0" applyFont="1" applyAlignment="1">
      <alignment horizontal="right" vertical="top" wrapText="1"/>
    </xf>
    <xf numFmtId="0" fontId="85" fillId="44" borderId="0" xfId="0" applyFont="1" applyFill="1" applyAlignment="1">
      <alignment horizontal="left" vertical="top" wrapText="1"/>
    </xf>
    <xf numFmtId="0" fontId="85" fillId="44" borderId="31" xfId="0" applyFont="1" applyFill="1" applyBorder="1" applyAlignment="1">
      <alignment horizontal="left" vertical="top" wrapText="1"/>
    </xf>
    <xf numFmtId="0" fontId="16" fillId="0" borderId="0" xfId="0" applyFont="1" applyAlignment="1">
      <alignment horizontal="center" vertical="center"/>
    </xf>
    <xf numFmtId="0" fontId="16" fillId="0" borderId="26" xfId="0" applyFont="1" applyBorder="1" applyAlignment="1">
      <alignment horizontal="center" vertical="center"/>
    </xf>
    <xf numFmtId="0" fontId="16" fillId="0" borderId="31" xfId="0" applyFont="1" applyBorder="1" applyAlignment="1">
      <alignment horizontal="center" vertical="center"/>
    </xf>
    <xf numFmtId="0" fontId="54" fillId="0" borderId="0" xfId="0" applyFont="1" applyAlignment="1">
      <alignment horizontal="center" vertical="center" wrapText="1"/>
    </xf>
    <xf numFmtId="0" fontId="54" fillId="0" borderId="26" xfId="0" applyFont="1" applyBorder="1" applyAlignment="1">
      <alignment horizontal="center" vertical="center" wrapText="1"/>
    </xf>
    <xf numFmtId="0" fontId="26" fillId="0" borderId="33" xfId="0" applyFont="1" applyBorder="1" applyAlignment="1">
      <alignment vertical="top" wrapText="1"/>
    </xf>
    <xf numFmtId="0" fontId="26" fillId="0" borderId="0" xfId="0" applyFont="1" applyAlignment="1">
      <alignment vertical="top" wrapText="1"/>
    </xf>
    <xf numFmtId="0" fontId="25" fillId="0" borderId="31" xfId="0" applyFont="1" applyBorder="1" applyAlignment="1">
      <alignment horizontal="center" vertical="center" wrapText="1"/>
    </xf>
    <xf numFmtId="0" fontId="25" fillId="0" borderId="33" xfId="0" applyFont="1" applyBorder="1" applyAlignment="1">
      <alignment vertical="top" wrapText="1"/>
    </xf>
    <xf numFmtId="0" fontId="25" fillId="0" borderId="31" xfId="0" applyFont="1" applyBorder="1" applyAlignment="1">
      <alignment vertical="top" wrapText="1"/>
    </xf>
    <xf numFmtId="0" fontId="25" fillId="0" borderId="26" xfId="0" applyFont="1" applyBorder="1" applyAlignment="1">
      <alignment horizontal="right" vertical="top" wrapText="1"/>
    </xf>
    <xf numFmtId="0" fontId="84" fillId="0" borderId="0" xfId="60" applyFont="1" applyAlignment="1">
      <alignment horizontal="center" vertical="center" wrapText="1"/>
    </xf>
    <xf numFmtId="0" fontId="87" fillId="0" borderId="0" xfId="60" applyFont="1" applyAlignment="1">
      <alignment horizontal="center" vertical="center" wrapText="1"/>
    </xf>
    <xf numFmtId="0" fontId="26" fillId="0" borderId="0" xfId="0" applyFont="1" applyAlignment="1">
      <alignment horizontal="center" vertical="center"/>
    </xf>
    <xf numFmtId="0" fontId="26" fillId="0" borderId="26" xfId="0" applyFont="1" applyBorder="1" applyAlignment="1">
      <alignment horizontal="center" vertical="center"/>
    </xf>
    <xf numFmtId="0" fontId="25" fillId="0" borderId="105" xfId="0" applyFont="1" applyBorder="1" applyAlignment="1">
      <alignment horizontal="left" vertical="top" wrapText="1"/>
    </xf>
    <xf numFmtId="0" fontId="25" fillId="0" borderId="109" xfId="0" applyFont="1" applyBorder="1" applyAlignment="1">
      <alignment horizontal="left" vertical="top" wrapText="1"/>
    </xf>
    <xf numFmtId="0" fontId="26" fillId="0" borderId="0" xfId="0" applyFont="1" applyAlignment="1">
      <alignment horizontal="right" vertical="top" wrapText="1"/>
    </xf>
    <xf numFmtId="0" fontId="16" fillId="0" borderId="23" xfId="0" applyFont="1" applyBorder="1" applyAlignment="1">
      <alignment horizontal="center" vertical="center"/>
    </xf>
    <xf numFmtId="0" fontId="67" fillId="0" borderId="0" xfId="0" applyFont="1" applyAlignment="1">
      <alignment vertical="top" wrapText="1"/>
    </xf>
    <xf numFmtId="0" fontId="67" fillId="0" borderId="31" xfId="0" applyFont="1" applyBorder="1" applyAlignment="1">
      <alignment vertical="top" wrapText="1"/>
    </xf>
    <xf numFmtId="0" fontId="0" fillId="0" borderId="33" xfId="0" applyBorder="1" applyAlignment="1">
      <alignment horizontal="center" vertical="center"/>
    </xf>
    <xf numFmtId="0" fontId="67" fillId="0" borderId="26" xfId="0" applyFont="1" applyBorder="1" applyAlignment="1">
      <alignment vertical="top" wrapText="1"/>
    </xf>
    <xf numFmtId="0" fontId="54" fillId="0" borderId="23" xfId="0" applyFont="1" applyBorder="1" applyAlignment="1">
      <alignment vertical="top" wrapText="1"/>
    </xf>
    <xf numFmtId="0" fontId="54" fillId="0" borderId="26" xfId="0" applyFont="1" applyBorder="1" applyAlignment="1">
      <alignment vertical="top" wrapText="1"/>
    </xf>
    <xf numFmtId="0" fontId="0" fillId="0" borderId="23" xfId="0" applyBorder="1" applyAlignment="1">
      <alignment horizontal="center" vertical="center"/>
    </xf>
    <xf numFmtId="0" fontId="25" fillId="0" borderId="110" xfId="0" applyFont="1" applyBorder="1" applyAlignment="1">
      <alignment horizontal="center" vertical="center"/>
    </xf>
    <xf numFmtId="0" fontId="25" fillId="0" borderId="111" xfId="0" applyFont="1" applyBorder="1" applyAlignment="1">
      <alignment horizontal="center" vertical="center"/>
    </xf>
    <xf numFmtId="0" fontId="25" fillId="0" borderId="112" xfId="0" applyFont="1" applyBorder="1" applyAlignment="1">
      <alignment horizontal="center" vertical="center"/>
    </xf>
    <xf numFmtId="0" fontId="54" fillId="0" borderId="105" xfId="0" applyFont="1" applyBorder="1" applyAlignment="1">
      <alignment vertical="top" wrapText="1"/>
    </xf>
    <xf numFmtId="0" fontId="25" fillId="0" borderId="31" xfId="0" applyFont="1" applyBorder="1" applyAlignment="1">
      <alignment horizontal="right" vertical="top" wrapText="1"/>
    </xf>
    <xf numFmtId="0" fontId="26" fillId="0" borderId="26" xfId="0" applyFont="1" applyBorder="1" applyAlignment="1">
      <alignment horizontal="right" vertical="top" wrapText="1"/>
    </xf>
    <xf numFmtId="0" fontId="0" fillId="0" borderId="31" xfId="0" applyBorder="1" applyAlignment="1">
      <alignment wrapText="1"/>
    </xf>
    <xf numFmtId="0" fontId="18" fillId="0" borderId="113" xfId="0" applyFont="1" applyBorder="1" applyAlignment="1">
      <alignment vertical="top" wrapText="1"/>
    </xf>
    <xf numFmtId="0" fontId="18" fillId="0" borderId="109" xfId="0" applyFont="1" applyBorder="1" applyAlignment="1">
      <alignment vertical="top" wrapText="1"/>
    </xf>
    <xf numFmtId="0" fontId="18" fillId="38" borderId="0" xfId="0" applyFont="1" applyFill="1" applyAlignment="1">
      <alignment horizontal="center" vertical="center"/>
    </xf>
    <xf numFmtId="0" fontId="39" fillId="2" borderId="31" xfId="0" applyFont="1" applyFill="1" applyBorder="1" applyAlignment="1">
      <alignment horizontal="center" vertical="center" wrapText="1"/>
    </xf>
    <xf numFmtId="0" fontId="18" fillId="0" borderId="15" xfId="0" applyFont="1" applyBorder="1" applyAlignment="1">
      <alignment horizontal="left" vertical="top" wrapText="1"/>
    </xf>
    <xf numFmtId="0" fontId="18" fillId="0" borderId="17" xfId="0" applyFont="1"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18" fillId="0" borderId="16" xfId="0" applyFont="1" applyBorder="1" applyAlignment="1">
      <alignment horizontal="left" vertical="top" wrapText="1"/>
    </xf>
    <xf numFmtId="0" fontId="0" fillId="41" borderId="0" xfId="0" applyFill="1" applyAlignment="1">
      <alignment textRotation="90"/>
    </xf>
    <xf numFmtId="0" fontId="0" fillId="0" borderId="0" xfId="0" applyAlignment="1">
      <alignment textRotation="90"/>
    </xf>
    <xf numFmtId="0" fontId="71" fillId="0" borderId="0" xfId="0" applyFont="1" applyAlignment="1">
      <alignment horizontal="center" vertical="top" wrapText="1"/>
    </xf>
    <xf numFmtId="0" fontId="71" fillId="0" borderId="26" xfId="0" applyFont="1" applyBorder="1" applyAlignment="1">
      <alignment horizontal="center" vertical="top" wrapText="1"/>
    </xf>
    <xf numFmtId="164" fontId="29" fillId="40" borderId="117" xfId="65" applyBorder="1">
      <alignment horizontal="left" vertical="top" wrapText="1"/>
    </xf>
    <xf numFmtId="164" fontId="29" fillId="40" borderId="119" xfId="65" applyBorder="1">
      <alignment horizontal="left" vertical="top" wrapText="1"/>
    </xf>
    <xf numFmtId="164" fontId="29" fillId="40" borderId="81" xfId="65" applyBorder="1">
      <alignment horizontal="left" vertical="top" wrapText="1"/>
    </xf>
    <xf numFmtId="164" fontId="29" fillId="40" borderId="116" xfId="65" applyBorder="1">
      <alignment horizontal="left" vertical="top" wrapText="1"/>
    </xf>
    <xf numFmtId="164" fontId="29" fillId="40" borderId="118" xfId="65" applyBorder="1">
      <alignment horizontal="left" vertical="top" wrapText="1"/>
    </xf>
    <xf numFmtId="164" fontId="29" fillId="40" borderId="120" xfId="65" applyBorder="1">
      <alignment horizontal="left" vertical="top" wrapText="1"/>
    </xf>
    <xf numFmtId="0" fontId="83" fillId="0" borderId="0" xfId="0" applyFont="1" applyAlignment="1">
      <alignment horizontal="left" vertical="top" wrapText="1"/>
    </xf>
    <xf numFmtId="0" fontId="17" fillId="0" borderId="0" xfId="0" applyFont="1" applyAlignment="1">
      <alignment horizontal="center" wrapText="1"/>
    </xf>
    <xf numFmtId="0" fontId="18" fillId="0" borderId="15" xfId="0" applyFont="1" applyBorder="1" applyAlignment="1">
      <alignment vertical="top" wrapText="1"/>
    </xf>
    <xf numFmtId="0" fontId="18" fillId="0" borderId="16" xfId="0" applyFont="1" applyBorder="1" applyAlignment="1">
      <alignment vertical="top" wrapText="1"/>
    </xf>
    <xf numFmtId="0" fontId="18" fillId="0" borderId="10" xfId="0" applyFont="1" applyBorder="1" applyAlignment="1">
      <alignment horizontal="left" vertical="top" wrapText="1"/>
    </xf>
    <xf numFmtId="0" fontId="67" fillId="0" borderId="10" xfId="0" applyFont="1" applyBorder="1" applyAlignment="1">
      <alignment horizontal="left" vertical="top" wrapText="1"/>
    </xf>
    <xf numFmtId="0" fontId="0" fillId="0" borderId="10" xfId="0" applyBorder="1" applyAlignment="1">
      <alignment horizontal="left" vertical="top" wrapText="1"/>
    </xf>
    <xf numFmtId="164" fontId="29" fillId="40" borderId="114" xfId="65" applyBorder="1">
      <alignment horizontal="left" vertical="top" wrapText="1"/>
    </xf>
    <xf numFmtId="0" fontId="18" fillId="0" borderId="17" xfId="0" applyFont="1" applyBorder="1" applyAlignment="1">
      <alignment vertical="top" wrapText="1"/>
    </xf>
    <xf numFmtId="0" fontId="25" fillId="0" borderId="15" xfId="0" applyFont="1" applyBorder="1" applyAlignment="1">
      <alignment vertical="top" wrapText="1"/>
    </xf>
    <xf numFmtId="0" fontId="25" fillId="0" borderId="17" xfId="0" applyFont="1" applyBorder="1" applyAlignment="1">
      <alignment vertical="top" wrapText="1"/>
    </xf>
    <xf numFmtId="0" fontId="19" fillId="0" borderId="12" xfId="0" applyFont="1" applyBorder="1" applyAlignment="1">
      <alignment horizontal="center" vertical="center"/>
    </xf>
    <xf numFmtId="0" fontId="19" fillId="0" borderId="21" xfId="0" applyFont="1" applyBorder="1" applyAlignment="1">
      <alignment horizontal="center" vertical="center"/>
    </xf>
    <xf numFmtId="0" fontId="19" fillId="0" borderId="13" xfId="0" applyFont="1" applyBorder="1" applyAlignment="1">
      <alignment horizontal="center" vertical="center"/>
    </xf>
    <xf numFmtId="0" fontId="16" fillId="0" borderId="10" xfId="0" applyFont="1" applyBorder="1" applyAlignment="1">
      <alignment horizontal="center" wrapText="1"/>
    </xf>
    <xf numFmtId="0" fontId="16" fillId="0" borderId="10" xfId="0" applyFont="1" applyBorder="1" applyAlignment="1">
      <alignment horizontal="center"/>
    </xf>
    <xf numFmtId="0" fontId="91" fillId="0" borderId="0" xfId="0" applyFont="1" applyAlignment="1">
      <alignment horizontal="left"/>
    </xf>
    <xf numFmtId="0" fontId="91" fillId="0" borderId="31" xfId="0" applyFont="1" applyBorder="1" applyAlignment="1">
      <alignment horizontal="left"/>
    </xf>
    <xf numFmtId="0" fontId="92" fillId="0" borderId="22" xfId="0" applyFont="1" applyBorder="1" applyAlignment="1">
      <alignment horizontal="center" vertical="center" wrapText="1"/>
    </xf>
    <xf numFmtId="0" fontId="92" fillId="0" borderId="23" xfId="0" applyFont="1" applyBorder="1" applyAlignment="1">
      <alignment horizontal="center" vertical="center" wrapText="1"/>
    </xf>
    <xf numFmtId="0" fontId="92" fillId="0" borderId="24" xfId="0" applyFont="1" applyBorder="1" applyAlignment="1">
      <alignment horizontal="center" vertical="center" wrapText="1"/>
    </xf>
    <xf numFmtId="0" fontId="92" fillId="0" borderId="121" xfId="0" applyFont="1" applyBorder="1" applyAlignment="1">
      <alignment horizontal="center" vertical="center" wrapText="1"/>
    </xf>
    <xf numFmtId="0" fontId="92" fillId="0" borderId="31" xfId="0" applyFont="1" applyBorder="1" applyAlignment="1">
      <alignment horizontal="center" vertical="center" wrapText="1"/>
    </xf>
    <xf numFmtId="0" fontId="92" fillId="0" borderId="30" xfId="0" applyFont="1" applyBorder="1" applyAlignment="1">
      <alignment horizontal="center" vertical="center" wrapText="1"/>
    </xf>
    <xf numFmtId="0" fontId="18" fillId="0" borderId="16" xfId="0" applyFont="1" applyBorder="1" applyAlignment="1">
      <alignment horizontal="left" vertical="center" wrapText="1"/>
    </xf>
    <xf numFmtId="0" fontId="18" fillId="0" borderId="17" xfId="0" applyFont="1" applyBorder="1" applyAlignment="1">
      <alignment horizontal="left" vertical="center" wrapText="1"/>
    </xf>
    <xf numFmtId="0" fontId="94" fillId="0" borderId="0" xfId="0" applyFont="1" applyAlignment="1">
      <alignment horizontal="center" vertical="center"/>
    </xf>
    <xf numFmtId="0" fontId="0" fillId="0" borderId="17" xfId="0" applyBorder="1"/>
    <xf numFmtId="0" fontId="90" fillId="0" borderId="23" xfId="0" applyFont="1" applyBorder="1" applyAlignment="1">
      <alignment horizontal="center" vertical="center"/>
    </xf>
    <xf numFmtId="0" fontId="90" fillId="0" borderId="24" xfId="0" applyFont="1" applyBorder="1" applyAlignment="1">
      <alignment horizontal="center" vertical="center"/>
    </xf>
    <xf numFmtId="0" fontId="90" fillId="0" borderId="31" xfId="0" applyFont="1" applyBorder="1" applyAlignment="1">
      <alignment horizontal="center" vertical="center"/>
    </xf>
    <xf numFmtId="0" fontId="90" fillId="0" borderId="30" xfId="0" applyFont="1" applyBorder="1" applyAlignment="1">
      <alignment horizontal="center" vertical="center"/>
    </xf>
    <xf numFmtId="0" fontId="16" fillId="0" borderId="10" xfId="0" applyFont="1" applyBorder="1" applyAlignment="1">
      <alignment horizontal="center" vertical="center"/>
    </xf>
    <xf numFmtId="0" fontId="0" fillId="0" borderId="10" xfId="0" applyBorder="1" applyAlignment="1">
      <alignment wrapText="1"/>
    </xf>
    <xf numFmtId="0" fontId="16" fillId="0" borderId="10" xfId="0" applyFont="1" applyBorder="1"/>
    <xf numFmtId="0" fontId="16" fillId="0" borderId="12" xfId="0" applyFont="1" applyBorder="1"/>
    <xf numFmtId="0" fontId="16" fillId="0" borderId="21" xfId="0" applyFont="1" applyBorder="1"/>
    <xf numFmtId="0" fontId="16" fillId="0" borderId="13" xfId="0" applyFont="1" applyBorder="1"/>
    <xf numFmtId="0" fontId="0" fillId="0" borderId="12" xfId="0" applyBorder="1"/>
    <xf numFmtId="0" fontId="0" fillId="0" borderId="21" xfId="0" applyBorder="1"/>
    <xf numFmtId="0" fontId="0" fillId="0" borderId="13" xfId="0" applyBorder="1"/>
    <xf numFmtId="0" fontId="90" fillId="0" borderId="22" xfId="0" applyFont="1" applyBorder="1" applyAlignment="1">
      <alignment horizontal="center" vertical="center"/>
    </xf>
    <xf numFmtId="0" fontId="90" fillId="0" borderId="121" xfId="0" applyFont="1" applyBorder="1" applyAlignment="1">
      <alignment horizontal="center" vertical="center"/>
    </xf>
    <xf numFmtId="49" fontId="0" fillId="0" borderId="0" xfId="0" applyNumberFormat="1" applyAlignment="1">
      <alignment horizontal="center"/>
    </xf>
    <xf numFmtId="0" fontId="0" fillId="0" borderId="0" xfId="0" quotePrefix="1" applyAlignment="1">
      <alignment horizontal="center"/>
    </xf>
    <xf numFmtId="0" fontId="16" fillId="0" borderId="15" xfId="0" applyFont="1" applyBorder="1" applyAlignment="1">
      <alignment horizontal="center" vertical="center"/>
    </xf>
    <xf numFmtId="0" fontId="16" fillId="0" borderId="16" xfId="0" applyFont="1" applyBorder="1" applyAlignment="1">
      <alignment horizontal="center" vertical="center"/>
    </xf>
    <xf numFmtId="0" fontId="16" fillId="0" borderId="17" xfId="0" applyFont="1" applyBorder="1" applyAlignment="1">
      <alignment horizontal="center" vertical="center"/>
    </xf>
    <xf numFmtId="0" fontId="0" fillId="0" borderId="0" xfId="0" applyAlignment="1">
      <alignment vertical="top" wrapText="1"/>
    </xf>
    <xf numFmtId="0" fontId="0" fillId="0" borderId="26" xfId="0" applyBorder="1" applyAlignment="1">
      <alignment vertical="top" wrapText="1"/>
    </xf>
    <xf numFmtId="0" fontId="70" fillId="0" borderId="0" xfId="57" applyFont="1" applyBorder="1" applyAlignment="1" applyProtection="1">
      <alignment vertical="top"/>
      <protection locked="0"/>
    </xf>
    <xf numFmtId="0" fontId="0" fillId="0" borderId="23" xfId="0" applyBorder="1" applyAlignment="1">
      <alignment wrapText="1"/>
    </xf>
    <xf numFmtId="0" fontId="0" fillId="0" borderId="26" xfId="0" applyBorder="1" applyAlignment="1">
      <alignment wrapText="1"/>
    </xf>
    <xf numFmtId="0" fontId="0" fillId="0" borderId="26" xfId="0" applyBorder="1" applyAlignment="1">
      <alignment horizontal="center"/>
    </xf>
    <xf numFmtId="0" fontId="16" fillId="0" borderId="28" xfId="0" applyFont="1" applyBorder="1" applyAlignment="1">
      <alignment horizontal="right"/>
    </xf>
    <xf numFmtId="0" fontId="0" fillId="41" borderId="10" xfId="48" applyFont="1" applyFill="1" applyAlignment="1" applyProtection="1">
      <alignment horizontal="left"/>
    </xf>
    <xf numFmtId="0" fontId="0" fillId="41" borderId="10" xfId="47" applyFont="1" applyFill="1" applyAlignment="1" applyProtection="1">
      <alignment horizontal="left"/>
    </xf>
    <xf numFmtId="0" fontId="0" fillId="0" borderId="10" xfId="0" applyBorder="1" applyProtection="1">
      <protection locked="0"/>
    </xf>
    <xf numFmtId="0" fontId="21" fillId="34" borderId="19" xfId="50" applyBorder="1" applyAlignment="1"/>
    <xf numFmtId="0" fontId="21" fillId="34" borderId="0" xfId="50" applyBorder="1" applyAlignment="1"/>
    <xf numFmtId="0" fontId="21" fillId="34" borderId="20" xfId="50" applyBorder="1" applyAlignment="1"/>
    <xf numFmtId="0" fontId="0" fillId="0" borderId="12" xfId="0" applyBorder="1" applyAlignment="1">
      <alignment horizontal="left"/>
    </xf>
    <xf numFmtId="0" fontId="0" fillId="0" borderId="21" xfId="0" applyBorder="1" applyAlignment="1">
      <alignment horizontal="left"/>
    </xf>
    <xf numFmtId="0" fontId="0" fillId="0" borderId="13" xfId="0" applyBorder="1" applyAlignment="1">
      <alignment horizontal="left"/>
    </xf>
    <xf numFmtId="0" fontId="0" fillId="38" borderId="10" xfId="47" applyFont="1" applyAlignment="1">
      <alignment horizontal="left" vertical="top"/>
      <protection locked="0"/>
    </xf>
    <xf numFmtId="0" fontId="1" fillId="38" borderId="10" xfId="47" applyFont="1" applyAlignment="1">
      <alignment horizontal="left"/>
      <protection locked="0"/>
    </xf>
    <xf numFmtId="0" fontId="1" fillId="41" borderId="12" xfId="47" applyFont="1" applyFill="1" applyBorder="1" applyAlignment="1" applyProtection="1">
      <alignment horizontal="left"/>
    </xf>
    <xf numFmtId="0" fontId="1" fillId="41" borderId="13" xfId="47" applyFont="1" applyFill="1" applyBorder="1" applyAlignment="1" applyProtection="1">
      <alignment horizontal="left"/>
    </xf>
    <xf numFmtId="0" fontId="107" fillId="0" borderId="0" xfId="60" applyFont="1" applyBorder="1" applyAlignment="1">
      <alignment horizontal="right"/>
    </xf>
    <xf numFmtId="0" fontId="13" fillId="0" borderId="0" xfId="60" applyBorder="1" applyAlignment="1">
      <alignment horizontal="right"/>
    </xf>
    <xf numFmtId="0" fontId="13" fillId="0" borderId="82" xfId="60" applyBorder="1" applyAlignment="1">
      <alignment horizontal="right"/>
    </xf>
    <xf numFmtId="0" fontId="0" fillId="41" borderId="22" xfId="48" applyFont="1" applyFill="1" applyBorder="1" applyAlignment="1" applyProtection="1">
      <alignment horizontal="left" vertical="top" wrapText="1"/>
    </xf>
    <xf numFmtId="0" fontId="0" fillId="41" borderId="23" xfId="48" applyFont="1" applyFill="1" applyBorder="1" applyAlignment="1" applyProtection="1">
      <alignment horizontal="left" vertical="top" wrapText="1"/>
    </xf>
    <xf numFmtId="0" fontId="0" fillId="41" borderId="24" xfId="48" applyFont="1" applyFill="1" applyBorder="1" applyAlignment="1" applyProtection="1">
      <alignment horizontal="left" vertical="top" wrapText="1"/>
    </xf>
    <xf numFmtId="0" fontId="0" fillId="41" borderId="25" xfId="48" applyFont="1" applyFill="1" applyBorder="1" applyAlignment="1" applyProtection="1">
      <alignment horizontal="left" vertical="top" wrapText="1"/>
    </xf>
    <xf numFmtId="0" fontId="0" fillId="41" borderId="26" xfId="48" applyFont="1" applyFill="1" applyBorder="1" applyAlignment="1" applyProtection="1">
      <alignment horizontal="left" vertical="top" wrapText="1"/>
    </xf>
    <xf numFmtId="0" fontId="0" fillId="41" borderId="27" xfId="48" applyFont="1" applyFill="1" applyBorder="1" applyAlignment="1" applyProtection="1">
      <alignment horizontal="left" vertical="top" wrapText="1"/>
    </xf>
    <xf numFmtId="0" fontId="0" fillId="0" borderId="0" xfId="0" applyAlignment="1">
      <alignment horizontal="left" wrapText="1"/>
    </xf>
    <xf numFmtId="0" fontId="0" fillId="0" borderId="22" xfId="0" applyBorder="1" applyAlignment="1">
      <alignment horizontal="left" vertical="top" wrapText="1"/>
    </xf>
    <xf numFmtId="0" fontId="0" fillId="0" borderId="23"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0" fillId="38" borderId="10" xfId="47" applyFont="1">
      <protection locked="0"/>
    </xf>
    <xf numFmtId="164" fontId="32" fillId="40" borderId="29" xfId="65" applyFont="1" applyBorder="1" applyAlignment="1">
      <alignment horizontal="center" vertical="center" wrapText="1"/>
    </xf>
    <xf numFmtId="164" fontId="32" fillId="40" borderId="0" xfId="65" applyFont="1" applyBorder="1" applyAlignment="1">
      <alignment horizontal="center" vertical="center" wrapText="1"/>
    </xf>
    <xf numFmtId="164" fontId="32" fillId="40" borderId="28" xfId="65" applyFont="1" applyBorder="1" applyAlignment="1">
      <alignment horizontal="center" vertical="center" wrapText="1"/>
    </xf>
    <xf numFmtId="164" fontId="32" fillId="40" borderId="25" xfId="65" applyFont="1" applyBorder="1" applyAlignment="1">
      <alignment horizontal="center" vertical="center" wrapText="1"/>
    </xf>
    <xf numFmtId="164" fontId="32" fillId="40" borderId="26" xfId="65" applyFont="1" applyBorder="1" applyAlignment="1">
      <alignment horizontal="center" vertical="center" wrapText="1"/>
    </xf>
    <xf numFmtId="164" fontId="32" fillId="40" borderId="27" xfId="65" applyFont="1" applyBorder="1" applyAlignment="1">
      <alignment horizontal="center" vertical="center" wrapText="1"/>
    </xf>
    <xf numFmtId="0" fontId="78" fillId="0" borderId="55" xfId="60" applyFont="1" applyBorder="1" applyAlignment="1">
      <alignment horizontal="center" vertical="center"/>
    </xf>
    <xf numFmtId="0" fontId="78" fillId="0" borderId="56" xfId="60" applyFont="1" applyBorder="1" applyAlignment="1">
      <alignment horizontal="center" vertical="center"/>
    </xf>
    <xf numFmtId="0" fontId="78" fillId="0" borderId="57" xfId="60" applyFont="1" applyBorder="1" applyAlignment="1">
      <alignment horizontal="center" vertical="center"/>
    </xf>
    <xf numFmtId="0" fontId="78" fillId="0" borderId="58" xfId="60" applyFont="1" applyBorder="1" applyAlignment="1">
      <alignment horizontal="center" vertical="center"/>
    </xf>
    <xf numFmtId="0" fontId="78" fillId="0" borderId="59" xfId="60" applyFont="1" applyBorder="1" applyAlignment="1">
      <alignment horizontal="center" vertical="center"/>
    </xf>
    <xf numFmtId="0" fontId="78" fillId="0" borderId="60" xfId="60" applyFont="1" applyBorder="1" applyAlignment="1">
      <alignment horizontal="center" vertical="center"/>
    </xf>
    <xf numFmtId="0" fontId="0" fillId="0" borderId="22" xfId="0" applyBorder="1" applyAlignment="1">
      <alignment horizontal="center" vertical="center"/>
    </xf>
    <xf numFmtId="0" fontId="0" fillId="0" borderId="24" xfId="0" applyBorder="1" applyAlignment="1">
      <alignment horizontal="center" vertical="center"/>
    </xf>
    <xf numFmtId="0" fontId="0" fillId="0" borderId="29" xfId="0" applyBorder="1" applyAlignment="1">
      <alignment horizontal="center" vertical="center"/>
    </xf>
    <xf numFmtId="0" fontId="0" fillId="0" borderId="28" xfId="0" applyBorder="1" applyAlignment="1">
      <alignment horizontal="center" vertical="center"/>
    </xf>
    <xf numFmtId="0" fontId="0" fillId="0" borderId="25" xfId="0" applyBorder="1" applyAlignment="1">
      <alignment horizontal="center" vertical="center"/>
    </xf>
    <xf numFmtId="0" fontId="0" fillId="0" borderId="27" xfId="0" applyBorder="1" applyAlignment="1">
      <alignment horizontal="center" vertical="center"/>
    </xf>
    <xf numFmtId="0" fontId="0" fillId="0" borderId="15" xfId="0" applyBorder="1" applyAlignment="1">
      <alignment horizontal="left" vertical="top" wrapText="1"/>
    </xf>
    <xf numFmtId="0" fontId="60" fillId="0" borderId="15" xfId="0" applyFont="1" applyBorder="1" applyAlignment="1">
      <alignment horizontal="center" vertical="center" wrapText="1"/>
    </xf>
    <xf numFmtId="0" fontId="60" fillId="0" borderId="16" xfId="0" applyFont="1" applyBorder="1" applyAlignment="1">
      <alignment horizontal="center" vertical="center" wrapText="1"/>
    </xf>
    <xf numFmtId="164" fontId="29" fillId="40" borderId="14" xfId="65" applyAlignment="1">
      <alignment horizontal="center" vertical="center" wrapText="1"/>
    </xf>
    <xf numFmtId="49" fontId="0" fillId="0" borderId="15" xfId="0" applyNumberFormat="1" applyBorder="1" applyAlignment="1">
      <alignment horizontal="left" vertical="top" wrapText="1"/>
    </xf>
    <xf numFmtId="49" fontId="0" fillId="0" borderId="17" xfId="0" applyNumberFormat="1" applyBorder="1" applyAlignment="1">
      <alignment horizontal="left" vertical="top" wrapText="1"/>
    </xf>
    <xf numFmtId="0" fontId="18" fillId="0" borderId="105" xfId="0" applyFont="1" applyBorder="1" applyAlignment="1">
      <alignment vertical="top" wrapText="1"/>
    </xf>
    <xf numFmtId="0" fontId="0" fillId="37" borderId="10" xfId="66" applyFont="1">
      <alignment horizontal="left" vertical="top" wrapText="1"/>
    </xf>
    <xf numFmtId="0" fontId="0" fillId="37" borderId="32" xfId="66" applyFont="1" applyBorder="1">
      <alignment horizontal="left" vertical="top" wrapText="1"/>
    </xf>
    <xf numFmtId="0" fontId="0" fillId="37" borderId="10" xfId="66" applyFont="1" applyProtection="1">
      <alignment horizontal="left" vertical="top" wrapText="1"/>
      <protection locked="0"/>
    </xf>
    <xf numFmtId="0" fontId="0" fillId="37" borderId="17" xfId="66" applyFont="1" applyBorder="1" applyProtection="1">
      <alignment horizontal="left" vertical="top" wrapText="1"/>
      <protection locked="0"/>
    </xf>
    <xf numFmtId="0" fontId="0" fillId="37" borderId="32" xfId="66" applyFont="1" applyBorder="1" applyProtection="1">
      <alignment horizontal="left" vertical="top" wrapText="1"/>
      <protection locked="0"/>
    </xf>
    <xf numFmtId="0" fontId="0" fillId="37" borderId="15" xfId="66" applyFont="1" applyBorder="1" applyProtection="1">
      <alignment horizontal="left" vertical="top" wrapText="1"/>
      <protection locked="0"/>
    </xf>
    <xf numFmtId="0" fontId="0" fillId="37" borderId="34" xfId="66" applyFont="1" applyBorder="1" applyProtection="1">
      <alignment horizontal="left" vertical="top" wrapText="1"/>
      <protection locked="0"/>
    </xf>
    <xf numFmtId="0" fontId="0" fillId="37" borderId="37" xfId="66" applyFont="1" applyBorder="1" applyProtection="1">
      <alignment horizontal="left" vertical="top" wrapText="1"/>
      <protection locked="0"/>
    </xf>
    <xf numFmtId="0" fontId="0" fillId="37" borderId="53" xfId="66" applyFont="1" applyBorder="1" applyProtection="1">
      <alignment horizontal="left" vertical="top" wrapText="1"/>
      <protection locked="0"/>
    </xf>
    <xf numFmtId="0" fontId="0" fillId="37" borderId="16" xfId="66" applyFont="1" applyBorder="1" applyProtection="1">
      <alignment horizontal="left" vertical="top" wrapText="1"/>
      <protection locked="0"/>
    </xf>
    <xf numFmtId="0" fontId="79" fillId="34" borderId="61" xfId="63" applyFont="1" applyBorder="1" applyAlignment="1" applyProtection="1">
      <alignment horizontal="center" vertical="center"/>
      <protection locked="0"/>
    </xf>
    <xf numFmtId="0" fontId="80" fillId="34" borderId="62" xfId="63" applyFont="1" applyBorder="1" applyAlignment="1" applyProtection="1">
      <alignment horizontal="center" vertical="center"/>
      <protection locked="0"/>
    </xf>
    <xf numFmtId="0" fontId="0" fillId="37" borderId="13" xfId="66" applyFont="1" applyBorder="1" applyProtection="1">
      <alignment horizontal="left" vertical="top" wrapText="1"/>
      <protection locked="0"/>
    </xf>
    <xf numFmtId="0" fontId="0" fillId="37" borderId="54" xfId="66" applyFont="1" applyBorder="1" applyProtection="1">
      <alignment horizontal="left" vertical="top" wrapText="1"/>
      <protection locked="0"/>
    </xf>
    <xf numFmtId="0" fontId="0" fillId="37" borderId="27" xfId="66" applyFont="1" applyBorder="1" applyProtection="1">
      <alignment horizontal="left" vertical="top" wrapText="1"/>
      <protection locked="0"/>
    </xf>
    <xf numFmtId="0" fontId="0" fillId="41" borderId="0" xfId="0" applyFill="1" applyAlignment="1">
      <alignment horizontal="center" vertical="center" textRotation="90"/>
    </xf>
    <xf numFmtId="0" fontId="0" fillId="41" borderId="28" xfId="0" applyFill="1" applyBorder="1" applyAlignment="1">
      <alignment horizontal="center" vertical="center" textRotation="90"/>
    </xf>
    <xf numFmtId="0" fontId="0" fillId="37" borderId="17" xfId="66" applyFont="1" applyBorder="1">
      <alignment horizontal="left" vertical="top" wrapText="1"/>
    </xf>
    <xf numFmtId="0" fontId="0" fillId="37" borderId="34" xfId="66" applyFont="1" applyBorder="1">
      <alignment horizontal="left" vertical="top" wrapText="1"/>
    </xf>
    <xf numFmtId="0" fontId="0" fillId="37" borderId="15" xfId="66" applyFont="1" applyBorder="1">
      <alignment horizontal="left" vertical="top" wrapText="1"/>
    </xf>
    <xf numFmtId="0" fontId="0" fillId="37" borderId="16" xfId="66" applyFont="1" applyBorder="1">
      <alignment horizontal="left" vertical="top" wrapText="1"/>
    </xf>
    <xf numFmtId="0" fontId="0" fillId="37" borderId="53" xfId="66" applyFont="1" applyBorder="1">
      <alignment horizontal="left" vertical="top" wrapText="1"/>
    </xf>
    <xf numFmtId="0" fontId="1" fillId="0" borderId="0" xfId="62" applyFont="1" applyBorder="1">
      <alignment horizontal="center" vertical="center"/>
    </xf>
    <xf numFmtId="0" fontId="1" fillId="0" borderId="26" xfId="62" applyFont="1" applyBorder="1">
      <alignment horizontal="center" vertical="center"/>
    </xf>
    <xf numFmtId="0" fontId="1" fillId="0" borderId="23" xfId="62" applyFont="1" applyBorder="1">
      <alignment horizontal="center" vertical="center"/>
    </xf>
    <xf numFmtId="0" fontId="107" fillId="0" borderId="12" xfId="60" applyFont="1" applyBorder="1" applyAlignment="1"/>
    <xf numFmtId="0" fontId="13" fillId="0" borderId="13" xfId="60" applyBorder="1" applyAlignment="1"/>
    <xf numFmtId="0" fontId="0" fillId="0" borderId="21" xfId="0" applyBorder="1" applyAlignment="1">
      <alignment horizontal="left" vertical="center"/>
    </xf>
    <xf numFmtId="0" fontId="0" fillId="0" borderId="13"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16" fillId="0" borderId="10" xfId="0" applyFont="1" applyBorder="1" applyAlignment="1">
      <alignment horizontal="right"/>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9" xfId="0" applyBorder="1" applyAlignment="1">
      <alignment horizontal="center"/>
    </xf>
    <xf numFmtId="0" fontId="0" fillId="0" borderId="28" xfId="0" applyBorder="1" applyAlignment="1">
      <alignment horizontal="center"/>
    </xf>
    <xf numFmtId="0" fontId="0" fillId="0" borderId="25" xfId="0" applyBorder="1" applyAlignment="1">
      <alignment horizontal="center"/>
    </xf>
    <xf numFmtId="0" fontId="0" fillId="0" borderId="27" xfId="0" applyBorder="1" applyAlignment="1">
      <alignment horizontal="center"/>
    </xf>
    <xf numFmtId="0" fontId="0" fillId="0" borderId="10" xfId="0" applyBorder="1" applyAlignment="1">
      <alignment horizontal="left"/>
    </xf>
    <xf numFmtId="0" fontId="1" fillId="0" borderId="0" xfId="62" applyFont="1">
      <alignment horizontal="center" vertical="center"/>
    </xf>
    <xf numFmtId="0" fontId="0" fillId="37" borderId="37" xfId="66" applyFont="1" applyBorder="1">
      <alignment horizontal="left" vertical="top" wrapText="1"/>
    </xf>
    <xf numFmtId="0" fontId="0" fillId="37" borderId="12" xfId="54" applyFont="1" applyBorder="1">
      <alignment horizontal="left" vertical="top" wrapText="1"/>
      <protection locked="0"/>
    </xf>
    <xf numFmtId="0" fontId="0" fillId="38" borderId="0" xfId="0" applyFill="1" applyAlignment="1">
      <alignment horizontal="center" vertical="center"/>
    </xf>
    <xf numFmtId="49" fontId="0" fillId="38" borderId="10" xfId="47" applyNumberFormat="1" applyFont="1" applyAlignment="1">
      <alignment horizontal="left" vertical="top"/>
      <protection locked="0"/>
    </xf>
    <xf numFmtId="49" fontId="0" fillId="38" borderId="10" xfId="47" applyNumberFormat="1" applyFont="1" applyAlignment="1">
      <alignment horizontal="left" vertical="top" wrapText="1"/>
      <protection locked="0"/>
    </xf>
    <xf numFmtId="49" fontId="0" fillId="38" borderId="10" xfId="47" applyNumberFormat="1" applyFont="1" applyAlignment="1">
      <alignment horizontal="left"/>
      <protection locked="0"/>
    </xf>
    <xf numFmtId="0" fontId="65" fillId="0" borderId="0" xfId="0" applyFont="1" applyAlignment="1">
      <alignment horizontal="left" vertical="center"/>
    </xf>
    <xf numFmtId="0" fontId="16" fillId="0" borderId="31" xfId="0" applyFont="1" applyBorder="1" applyAlignment="1">
      <alignment horizontal="left"/>
    </xf>
    <xf numFmtId="0" fontId="64" fillId="37" borderId="10" xfId="66" applyFont="1">
      <alignment horizontal="left" vertical="top" wrapText="1"/>
    </xf>
    <xf numFmtId="0" fontId="13" fillId="0" borderId="12" xfId="60" applyBorder="1" applyAlignment="1"/>
    <xf numFmtId="0" fontId="0" fillId="41" borderId="0" xfId="0" applyFill="1" applyAlignment="1">
      <alignment horizontal="left" indent="1"/>
    </xf>
    <xf numFmtId="49" fontId="0" fillId="39" borderId="12" xfId="48" applyNumberFormat="1" applyFont="1" applyBorder="1">
      <protection locked="0"/>
    </xf>
    <xf numFmtId="49" fontId="0" fillId="39" borderId="13" xfId="48" applyNumberFormat="1" applyFont="1" applyBorder="1">
      <protection locked="0"/>
    </xf>
    <xf numFmtId="49" fontId="18" fillId="39" borderId="10" xfId="48" applyNumberFormat="1" applyFont="1" applyAlignment="1">
      <alignment horizontal="left"/>
      <protection locked="0"/>
    </xf>
    <xf numFmtId="0" fontId="0" fillId="39" borderId="22" xfId="48" applyNumberFormat="1" applyFont="1" applyBorder="1" applyAlignment="1" applyProtection="1">
      <alignment horizontal="center" vertical="center"/>
    </xf>
    <xf numFmtId="0" fontId="0" fillId="39" borderId="29" xfId="48" applyNumberFormat="1" applyFont="1" applyBorder="1" applyAlignment="1" applyProtection="1">
      <alignment horizontal="center" vertical="center"/>
    </xf>
    <xf numFmtId="0" fontId="0" fillId="39" borderId="25" xfId="48" applyNumberFormat="1" applyFont="1" applyBorder="1" applyAlignment="1" applyProtection="1">
      <alignment horizontal="center" vertical="center"/>
    </xf>
    <xf numFmtId="49" fontId="0" fillId="39" borderId="10" xfId="48" applyNumberFormat="1" applyFont="1">
      <protection locked="0"/>
    </xf>
    <xf numFmtId="0" fontId="0" fillId="0" borderId="0" xfId="0" applyAlignment="1">
      <alignment horizontal="left" vertical="top"/>
    </xf>
    <xf numFmtId="0" fontId="16" fillId="0" borderId="0" xfId="0" applyFont="1" applyAlignment="1">
      <alignment horizontal="right" vertical="top"/>
    </xf>
    <xf numFmtId="49" fontId="0" fillId="39" borderId="10" xfId="48" applyNumberFormat="1" applyFont="1" applyAlignment="1">
      <alignment horizontal="left" vertical="top" wrapText="1"/>
      <protection locked="0"/>
    </xf>
    <xf numFmtId="0" fontId="107" fillId="0" borderId="0" xfId="60" applyFont="1" applyBorder="1" applyAlignment="1">
      <alignment vertical="center"/>
    </xf>
    <xf numFmtId="0" fontId="13" fillId="0" borderId="0" xfId="60" applyBorder="1" applyAlignment="1">
      <alignment vertical="center"/>
    </xf>
    <xf numFmtId="0" fontId="16" fillId="0" borderId="15" xfId="0" applyFont="1" applyBorder="1" applyAlignment="1">
      <alignment horizontal="center" wrapText="1"/>
    </xf>
    <xf numFmtId="0" fontId="16" fillId="0" borderId="17" xfId="0" applyFont="1" applyBorder="1" applyAlignment="1">
      <alignment horizontal="center" wrapText="1"/>
    </xf>
    <xf numFmtId="0" fontId="107" fillId="0" borderId="0" xfId="60" applyFont="1" applyAlignment="1"/>
    <xf numFmtId="0" fontId="13" fillId="0" borderId="0" xfId="60" applyAlignment="1"/>
    <xf numFmtId="49" fontId="0" fillId="39" borderId="10" xfId="48" applyNumberFormat="1" applyFont="1" applyAlignment="1">
      <alignment horizontal="left"/>
      <protection locked="0"/>
    </xf>
    <xf numFmtId="49" fontId="0" fillId="38" borderId="22" xfId="47" applyNumberFormat="1" applyFont="1" applyBorder="1" applyAlignment="1">
      <alignment horizontal="left" vertical="top" wrapText="1"/>
      <protection locked="0"/>
    </xf>
    <xf numFmtId="49" fontId="0" fillId="38" borderId="23" xfId="47" applyNumberFormat="1" applyFont="1" applyBorder="1" applyAlignment="1">
      <alignment horizontal="left" vertical="top" wrapText="1"/>
      <protection locked="0"/>
    </xf>
    <xf numFmtId="49" fontId="0" fillId="38" borderId="24" xfId="47" applyNumberFormat="1" applyFont="1" applyBorder="1" applyAlignment="1">
      <alignment horizontal="left" vertical="top" wrapText="1"/>
      <protection locked="0"/>
    </xf>
    <xf numFmtId="49" fontId="0" fillId="38" borderId="29" xfId="47" applyNumberFormat="1" applyFont="1" applyBorder="1" applyAlignment="1">
      <alignment horizontal="left" vertical="top" wrapText="1"/>
      <protection locked="0"/>
    </xf>
    <xf numFmtId="49" fontId="0" fillId="38" borderId="0" xfId="47" applyNumberFormat="1" applyFont="1" applyBorder="1" applyAlignment="1">
      <alignment horizontal="left" vertical="top" wrapText="1"/>
      <protection locked="0"/>
    </xf>
    <xf numFmtId="49" fontId="0" fillId="38" borderId="28" xfId="47" applyNumberFormat="1" applyFont="1" applyBorder="1" applyAlignment="1">
      <alignment horizontal="left" vertical="top" wrapText="1"/>
      <protection locked="0"/>
    </xf>
    <xf numFmtId="49" fontId="0" fillId="38" borderId="25" xfId="47" applyNumberFormat="1" applyFont="1" applyBorder="1" applyAlignment="1">
      <alignment horizontal="left" vertical="top" wrapText="1"/>
      <protection locked="0"/>
    </xf>
    <xf numFmtId="49" fontId="0" fillId="38" borderId="26" xfId="47" applyNumberFormat="1" applyFont="1" applyBorder="1" applyAlignment="1">
      <alignment horizontal="left" vertical="top" wrapText="1"/>
      <protection locked="0"/>
    </xf>
    <xf numFmtId="49" fontId="0" fillId="38" borderId="27" xfId="47" applyNumberFormat="1" applyFont="1" applyBorder="1" applyAlignment="1">
      <alignment horizontal="left" vertical="top" wrapText="1"/>
      <protection locked="0"/>
    </xf>
    <xf numFmtId="0" fontId="45" fillId="0" borderId="0" xfId="0" applyFont="1" applyAlignment="1">
      <alignment horizontal="left"/>
    </xf>
    <xf numFmtId="0" fontId="16" fillId="0" borderId="0" xfId="0" applyFont="1" applyAlignment="1">
      <alignment horizontal="left"/>
    </xf>
    <xf numFmtId="0" fontId="0" fillId="0" borderId="0" xfId="0" applyAlignment="1">
      <alignment horizontal="center" wrapText="1"/>
    </xf>
    <xf numFmtId="0" fontId="107" fillId="0" borderId="0" xfId="60" applyFont="1" applyBorder="1" applyAlignment="1">
      <alignment wrapText="1"/>
    </xf>
    <xf numFmtId="0" fontId="13" fillId="0" borderId="0" xfId="60" applyBorder="1" applyAlignment="1">
      <alignment wrapText="1"/>
    </xf>
    <xf numFmtId="0" fontId="107" fillId="0" borderId="23" xfId="60" applyFont="1" applyBorder="1" applyAlignment="1">
      <alignment wrapText="1"/>
    </xf>
    <xf numFmtId="0" fontId="13" fillId="0" borderId="0" xfId="60" applyAlignment="1">
      <alignment wrapText="1"/>
    </xf>
    <xf numFmtId="0" fontId="0" fillId="41" borderId="0" xfId="0" applyFill="1" applyAlignment="1">
      <alignment horizontal="left" vertical="center" wrapText="1" indent="1"/>
    </xf>
    <xf numFmtId="0" fontId="0" fillId="41" borderId="0" xfId="0" applyFill="1" applyAlignment="1">
      <alignment horizontal="left" wrapText="1" indent="1"/>
    </xf>
    <xf numFmtId="0" fontId="16" fillId="0" borderId="10" xfId="0" applyFont="1" applyBorder="1" applyAlignment="1">
      <alignment horizontal="center" vertical="center" wrapText="1"/>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16" fillId="0" borderId="0" xfId="0" applyFont="1" applyAlignment="1">
      <alignment horizontal="left" vertical="center"/>
    </xf>
    <xf numFmtId="49" fontId="0" fillId="38" borderId="10" xfId="47" applyNumberFormat="1" applyFont="1" applyAlignment="1">
      <alignment horizontal="center"/>
      <protection locked="0"/>
    </xf>
    <xf numFmtId="49" fontId="0" fillId="38" borderId="22" xfId="47" applyNumberFormat="1" applyFont="1" applyBorder="1" applyAlignment="1">
      <alignment horizontal="center" wrapText="1"/>
      <protection locked="0"/>
    </xf>
    <xf numFmtId="49" fontId="0" fillId="38" borderId="23" xfId="47" applyNumberFormat="1" applyFont="1" applyBorder="1" applyAlignment="1">
      <alignment horizontal="center" wrapText="1"/>
      <protection locked="0"/>
    </xf>
    <xf numFmtId="49" fontId="0" fillId="38" borderId="24" xfId="47" applyNumberFormat="1" applyFont="1" applyBorder="1" applyAlignment="1">
      <alignment horizontal="center" wrapText="1"/>
      <protection locked="0"/>
    </xf>
    <xf numFmtId="49" fontId="0" fillId="38" borderId="29" xfId="47" applyNumberFormat="1" applyFont="1" applyBorder="1" applyAlignment="1">
      <alignment horizontal="center" wrapText="1"/>
      <protection locked="0"/>
    </xf>
    <xf numFmtId="49" fontId="0" fillId="38" borderId="0" xfId="47" applyNumberFormat="1" applyFont="1" applyBorder="1" applyAlignment="1">
      <alignment horizontal="center" wrapText="1"/>
      <protection locked="0"/>
    </xf>
    <xf numFmtId="49" fontId="0" fillId="38" borderId="28" xfId="47" applyNumberFormat="1" applyFont="1" applyBorder="1" applyAlignment="1">
      <alignment horizontal="center" wrapText="1"/>
      <protection locked="0"/>
    </xf>
    <xf numFmtId="49" fontId="0" fillId="38" borderId="25" xfId="47" applyNumberFormat="1" applyFont="1" applyBorder="1" applyAlignment="1">
      <alignment horizontal="center" wrapText="1"/>
      <protection locked="0"/>
    </xf>
    <xf numFmtId="49" fontId="0" fillId="38" borderId="26" xfId="47" applyNumberFormat="1" applyFont="1" applyBorder="1" applyAlignment="1">
      <alignment horizontal="center" wrapText="1"/>
      <protection locked="0"/>
    </xf>
    <xf numFmtId="49" fontId="0" fillId="38" borderId="27" xfId="47" applyNumberFormat="1" applyFont="1" applyBorder="1" applyAlignment="1">
      <alignment horizontal="center" wrapText="1"/>
      <protection locked="0"/>
    </xf>
    <xf numFmtId="0" fontId="76" fillId="0" borderId="0" xfId="0" applyFont="1" applyAlignment="1">
      <alignment horizontal="left" vertical="center" wrapText="1"/>
    </xf>
    <xf numFmtId="0" fontId="75" fillId="0" borderId="10" xfId="0" applyFont="1" applyBorder="1" applyAlignment="1">
      <alignment vertical="center" wrapText="1"/>
    </xf>
    <xf numFmtId="0" fontId="75" fillId="0" borderId="86" xfId="0" applyFont="1" applyBorder="1" applyAlignment="1">
      <alignment vertical="center" wrapText="1"/>
    </xf>
    <xf numFmtId="0" fontId="70" fillId="0" borderId="10" xfId="67" applyBorder="1" applyAlignment="1">
      <alignment vertical="center" wrapText="1"/>
    </xf>
    <xf numFmtId="0" fontId="70" fillId="0" borderId="86" xfId="67" applyBorder="1" applyAlignment="1">
      <alignment vertical="center" wrapText="1"/>
    </xf>
    <xf numFmtId="0" fontId="75" fillId="0" borderId="84" xfId="0" applyFont="1" applyBorder="1" applyAlignment="1">
      <alignment vertical="center" wrapText="1"/>
    </xf>
    <xf numFmtId="0" fontId="75" fillId="0" borderId="83" xfId="0" applyFont="1" applyBorder="1" applyAlignment="1">
      <alignment vertical="center" wrapText="1"/>
    </xf>
    <xf numFmtId="0" fontId="73" fillId="0" borderId="28" xfId="0" applyFont="1" applyBorder="1" applyAlignment="1">
      <alignment horizontal="center" vertical="center" wrapText="1"/>
    </xf>
    <xf numFmtId="0" fontId="73" fillId="0" borderId="16" xfId="0" applyFont="1" applyBorder="1" applyAlignment="1">
      <alignment horizontal="center" vertical="center" wrapText="1"/>
    </xf>
    <xf numFmtId="0" fontId="73" fillId="0" borderId="29" xfId="0" applyFont="1" applyBorder="1" applyAlignment="1">
      <alignment horizontal="center" vertical="center" wrapText="1"/>
    </xf>
    <xf numFmtId="0" fontId="73" fillId="0" borderId="97" xfId="0" applyFont="1" applyBorder="1" applyAlignment="1">
      <alignment horizontal="center" vertical="center" wrapText="1"/>
    </xf>
    <xf numFmtId="0" fontId="73" fillId="0" borderId="96" xfId="0" applyFont="1" applyBorder="1" applyAlignment="1">
      <alignment horizontal="center" vertical="center" wrapText="1"/>
    </xf>
    <xf numFmtId="0" fontId="73" fillId="0" borderId="95" xfId="0" applyFont="1" applyBorder="1" applyAlignment="1">
      <alignment horizontal="center" vertical="center" wrapText="1"/>
    </xf>
    <xf numFmtId="0" fontId="72" fillId="0" borderId="100" xfId="0" applyFont="1" applyBorder="1" applyAlignment="1">
      <alignment vertical="center" wrapText="1"/>
    </xf>
    <xf numFmtId="0" fontId="72" fillId="0" borderId="99" xfId="0" applyFont="1" applyBorder="1" applyAlignment="1">
      <alignment vertical="center" wrapText="1"/>
    </xf>
    <xf numFmtId="0" fontId="72" fillId="0" borderId="87" xfId="0" applyFont="1" applyBorder="1" applyAlignment="1">
      <alignment vertical="center" wrapText="1"/>
    </xf>
    <xf numFmtId="0" fontId="72" fillId="0" borderId="10" xfId="0" applyFont="1" applyBorder="1" applyAlignment="1">
      <alignment vertical="center" wrapText="1"/>
    </xf>
    <xf numFmtId="0" fontId="72" fillId="0" borderId="85" xfId="0" applyFont="1" applyBorder="1" applyAlignment="1">
      <alignment vertical="center" wrapText="1"/>
    </xf>
    <xf numFmtId="0" fontId="72" fillId="0" borderId="84" xfId="0" applyFont="1" applyBorder="1" applyAlignment="1">
      <alignment vertical="center" wrapText="1"/>
    </xf>
    <xf numFmtId="0" fontId="73" fillId="0" borderId="94" xfId="0" applyFont="1" applyBorder="1" applyAlignment="1">
      <alignment horizontal="center" vertical="center" wrapText="1"/>
    </xf>
    <xf numFmtId="0" fontId="73" fillId="0" borderId="93" xfId="0" applyFont="1" applyBorder="1" applyAlignment="1">
      <alignment horizontal="center" vertical="center" wrapText="1"/>
    </xf>
    <xf numFmtId="0" fontId="73" fillId="0" borderId="92" xfId="0" applyFont="1" applyBorder="1" applyAlignment="1">
      <alignment horizontal="center" vertical="center" wrapText="1"/>
    </xf>
    <xf numFmtId="0" fontId="75" fillId="0" borderId="17" xfId="0" applyFont="1" applyBorder="1" applyAlignment="1">
      <alignment vertical="center" wrapText="1"/>
    </xf>
    <xf numFmtId="0" fontId="75" fillId="0" borderId="90" xfId="0" applyFont="1" applyBorder="1" applyAlignment="1">
      <alignment vertical="center" wrapText="1"/>
    </xf>
    <xf numFmtId="0" fontId="73" fillId="0" borderId="73" xfId="0" applyFont="1" applyBorder="1" applyAlignment="1">
      <alignment horizontal="center" vertical="center" wrapText="1"/>
    </xf>
    <xf numFmtId="0" fontId="73" fillId="0" borderId="89" xfId="0" applyFont="1" applyBorder="1" applyAlignment="1">
      <alignment horizontal="center" vertical="center" wrapText="1"/>
    </xf>
    <xf numFmtId="0" fontId="73" fillId="0" borderId="72" xfId="0" applyFont="1" applyBorder="1" applyAlignment="1">
      <alignment horizontal="center" vertical="center" wrapText="1"/>
    </xf>
    <xf numFmtId="0" fontId="73" fillId="0" borderId="68" xfId="0" applyFont="1" applyBorder="1" applyAlignment="1">
      <alignment horizontal="center" vertical="center" wrapText="1"/>
    </xf>
    <xf numFmtId="0" fontId="73" fillId="0" borderId="74" xfId="0" applyFont="1" applyBorder="1" applyAlignment="1">
      <alignment horizontal="center" vertical="center" wrapText="1"/>
    </xf>
    <xf numFmtId="0" fontId="73" fillId="0" borderId="64" xfId="0" applyFont="1" applyBorder="1" applyAlignment="1">
      <alignment horizontal="center" vertical="center" wrapText="1"/>
    </xf>
    <xf numFmtId="0" fontId="72" fillId="0" borderId="91" xfId="0" applyFont="1" applyBorder="1" applyAlignment="1">
      <alignment vertical="center" wrapText="1"/>
    </xf>
    <xf numFmtId="0" fontId="72" fillId="0" borderId="17" xfId="0" applyFont="1" applyBorder="1" applyAlignment="1">
      <alignment vertical="center" wrapText="1"/>
    </xf>
    <xf numFmtId="0" fontId="72" fillId="0" borderId="86" xfId="0" applyFont="1" applyBorder="1" applyAlignment="1">
      <alignment vertical="center" wrapText="1"/>
    </xf>
    <xf numFmtId="0" fontId="73" fillId="0" borderId="0" xfId="0" applyFont="1" applyAlignment="1">
      <alignment horizontal="justify" vertical="center" wrapText="1"/>
    </xf>
    <xf numFmtId="0" fontId="73" fillId="0" borderId="0" xfId="0" applyFont="1" applyAlignment="1">
      <alignment horizontal="justify" vertical="top" wrapText="1"/>
    </xf>
    <xf numFmtId="0" fontId="74" fillId="45" borderId="88" xfId="0" applyFont="1" applyFill="1" applyBorder="1" applyAlignment="1">
      <alignment vertical="center" wrapText="1"/>
    </xf>
    <xf numFmtId="0" fontId="74" fillId="45" borderId="0" xfId="0" applyFont="1" applyFill="1" applyAlignment="1">
      <alignment vertical="center" wrapText="1"/>
    </xf>
    <xf numFmtId="0" fontId="72" fillId="0" borderId="0" xfId="0" applyFont="1" applyAlignment="1">
      <alignment horizontal="justify" vertical="center" wrapText="1"/>
    </xf>
    <xf numFmtId="0" fontId="73" fillId="0" borderId="0" xfId="0" applyFont="1" applyAlignment="1">
      <alignment horizontal="center" vertical="center" wrapText="1"/>
    </xf>
    <xf numFmtId="0" fontId="72" fillId="0" borderId="98" xfId="0" applyFont="1" applyBorder="1" applyAlignment="1">
      <alignment vertical="center" wrapText="1"/>
    </xf>
    <xf numFmtId="0" fontId="72" fillId="0" borderId="83" xfId="0" applyFont="1" applyBorder="1" applyAlignment="1">
      <alignment vertical="center" wrapText="1"/>
    </xf>
    <xf numFmtId="0" fontId="27" fillId="0" borderId="0" xfId="0" applyFont="1" applyAlignment="1">
      <alignment vertical="center" wrapText="1"/>
    </xf>
    <xf numFmtId="0" fontId="26" fillId="0" borderId="12" xfId="0" applyFont="1" applyBorder="1" applyAlignment="1">
      <alignment horizontal="center" vertical="center" wrapText="1"/>
    </xf>
    <xf numFmtId="0" fontId="26" fillId="0" borderId="13" xfId="0" applyFont="1" applyBorder="1" applyAlignment="1">
      <alignment horizontal="center" vertical="center" wrapText="1"/>
    </xf>
    <xf numFmtId="0" fontId="27" fillId="0" borderId="12" xfId="0" applyFont="1" applyBorder="1" applyAlignment="1">
      <alignment horizontal="center" vertical="center"/>
    </xf>
    <xf numFmtId="0" fontId="27" fillId="0" borderId="13" xfId="0" applyFont="1" applyBorder="1" applyAlignment="1">
      <alignment horizontal="center" vertical="center"/>
    </xf>
    <xf numFmtId="0" fontId="26" fillId="0" borderId="10" xfId="0" applyFont="1" applyBorder="1" applyAlignment="1">
      <alignment horizontal="center" vertical="center"/>
    </xf>
    <xf numFmtId="0" fontId="27" fillId="0" borderId="10" xfId="0" applyFont="1" applyBorder="1" applyAlignment="1">
      <alignment horizontal="center" vertical="center"/>
    </xf>
    <xf numFmtId="0" fontId="26" fillId="0" borderId="26" xfId="0" applyFont="1" applyBorder="1" applyAlignment="1">
      <alignment horizontal="center" vertical="center" wrapText="1"/>
    </xf>
    <xf numFmtId="0" fontId="57" fillId="0" borderId="0" xfId="57" applyAlignment="1" applyProtection="1">
      <alignment horizontal="left" vertical="top" wrapText="1"/>
      <protection locked="0"/>
    </xf>
    <xf numFmtId="0" fontId="57" fillId="37" borderId="77" xfId="57" applyFill="1" applyBorder="1" applyAlignment="1" applyProtection="1">
      <alignment horizontal="center"/>
      <protection locked="0"/>
    </xf>
    <xf numFmtId="0" fontId="57" fillId="37" borderId="78" xfId="57" applyFill="1" applyBorder="1" applyAlignment="1" applyProtection="1">
      <alignment horizontal="center"/>
      <protection locked="0"/>
    </xf>
    <xf numFmtId="0" fontId="57" fillId="37" borderId="79" xfId="57" applyFill="1" applyBorder="1" applyAlignment="1" applyProtection="1">
      <alignment horizontal="center"/>
      <protection locked="0"/>
    </xf>
    <xf numFmtId="0" fontId="57" fillId="37" borderId="46" xfId="57" applyFill="1" applyBorder="1" applyAlignment="1" applyProtection="1">
      <alignment horizontal="center"/>
      <protection locked="0"/>
    </xf>
    <xf numFmtId="0" fontId="26" fillId="0" borderId="12" xfId="0" applyFont="1" applyBorder="1" applyAlignment="1">
      <alignment horizontal="center" vertical="center"/>
    </xf>
    <xf numFmtId="0" fontId="26" fillId="0" borderId="13" xfId="0" applyFont="1" applyBorder="1" applyAlignment="1">
      <alignment horizontal="center" vertical="center"/>
    </xf>
    <xf numFmtId="0" fontId="44" fillId="43" borderId="12" xfId="0" applyFont="1" applyFill="1" applyBorder="1" applyAlignment="1">
      <alignment horizontal="center" vertical="center" wrapText="1"/>
    </xf>
    <xf numFmtId="0" fontId="44" fillId="43" borderId="21" xfId="0" applyFont="1" applyFill="1" applyBorder="1" applyAlignment="1">
      <alignment horizontal="center" vertical="center" wrapText="1"/>
    </xf>
    <xf numFmtId="0" fontId="44" fillId="43" borderId="13" xfId="0" applyFont="1" applyFill="1" applyBorder="1" applyAlignment="1">
      <alignment horizontal="center" vertical="center" wrapText="1"/>
    </xf>
    <xf numFmtId="0" fontId="44" fillId="43" borderId="21" xfId="0" applyFont="1" applyFill="1" applyBorder="1" applyAlignment="1">
      <alignment horizontal="center" vertical="top" wrapText="1"/>
    </xf>
    <xf numFmtId="0" fontId="26" fillId="0" borderId="15" xfId="0" applyFont="1" applyBorder="1" applyAlignment="1">
      <alignment horizontal="center" vertical="center" wrapText="1"/>
    </xf>
    <xf numFmtId="0" fontId="26" fillId="0" borderId="17" xfId="0" applyFont="1" applyBorder="1" applyAlignment="1">
      <alignment horizontal="center" vertical="center" wrapText="1"/>
    </xf>
    <xf numFmtId="0" fontId="57" fillId="37" borderId="10" xfId="57" applyFill="1" applyBorder="1" applyAlignment="1" applyProtection="1">
      <alignment horizontal="center"/>
      <protection locked="0"/>
    </xf>
    <xf numFmtId="0" fontId="57" fillId="0" borderId="41" xfId="57" applyBorder="1" applyAlignment="1" applyProtection="1">
      <alignment horizontal="center"/>
    </xf>
    <xf numFmtId="0" fontId="57" fillId="0" borderId="0" xfId="57" applyBorder="1" applyAlignment="1" applyProtection="1">
      <alignment horizontal="center"/>
    </xf>
    <xf numFmtId="0" fontId="21" fillId="34" borderId="38" xfId="50" applyBorder="1" applyAlignment="1">
      <alignment vertical="center"/>
    </xf>
    <xf numFmtId="0" fontId="21" fillId="34" borderId="39" xfId="50" applyBorder="1" applyAlignment="1">
      <alignment vertical="center"/>
    </xf>
    <xf numFmtId="0" fontId="21" fillId="34" borderId="40" xfId="50" applyBorder="1" applyAlignment="1">
      <alignment vertical="center"/>
    </xf>
    <xf numFmtId="0" fontId="18" fillId="0" borderId="10" xfId="0" applyFont="1" applyBorder="1" applyAlignment="1">
      <alignment horizontal="left" vertical="top"/>
    </xf>
    <xf numFmtId="0" fontId="25" fillId="0" borderId="26" xfId="0" applyFont="1" applyBorder="1" applyAlignment="1">
      <alignment horizontal="center" wrapText="1"/>
    </xf>
    <xf numFmtId="0" fontId="26" fillId="0" borderId="0" xfId="0" applyFont="1" applyAlignment="1">
      <alignment horizontal="center" vertical="top" wrapText="1"/>
    </xf>
    <xf numFmtId="0" fontId="48" fillId="0" borderId="22" xfId="0" applyFont="1" applyBorder="1" applyAlignment="1">
      <alignment horizontal="left" vertical="top" wrapText="1"/>
    </xf>
    <xf numFmtId="0" fontId="48" fillId="0" borderId="23" xfId="0" applyFont="1" applyBorder="1" applyAlignment="1">
      <alignment horizontal="left" vertical="top" wrapText="1"/>
    </xf>
    <xf numFmtId="0" fontId="48" fillId="0" borderId="24" xfId="0" applyFont="1" applyBorder="1" applyAlignment="1">
      <alignment horizontal="left" vertical="top" wrapText="1"/>
    </xf>
    <xf numFmtId="0" fontId="48" fillId="0" borderId="29" xfId="0" applyFont="1" applyBorder="1" applyAlignment="1">
      <alignment horizontal="left" vertical="top" wrapText="1"/>
    </xf>
    <xf numFmtId="0" fontId="48" fillId="0" borderId="0" xfId="0" applyFont="1" applyAlignment="1">
      <alignment horizontal="left" vertical="top" wrapText="1"/>
    </xf>
    <xf numFmtId="0" fontId="48" fillId="0" borderId="28" xfId="0" applyFont="1" applyBorder="1" applyAlignment="1">
      <alignment horizontal="left" vertical="top" wrapText="1"/>
    </xf>
    <xf numFmtId="0" fontId="37" fillId="0" borderId="25" xfId="0" applyFont="1" applyBorder="1" applyAlignment="1">
      <alignment horizontal="left" vertical="top" wrapText="1"/>
    </xf>
    <xf numFmtId="0" fontId="37" fillId="0" borderId="26" xfId="0" applyFont="1" applyBorder="1" applyAlignment="1">
      <alignment horizontal="left" vertical="top" wrapText="1"/>
    </xf>
    <xf numFmtId="0" fontId="37" fillId="0" borderId="27" xfId="0" applyFont="1" applyBorder="1" applyAlignment="1">
      <alignment horizontal="left" vertical="top" wrapText="1"/>
    </xf>
    <xf numFmtId="0" fontId="71" fillId="0" borderId="10" xfId="0" applyFont="1" applyBorder="1" applyAlignment="1">
      <alignment vertical="center" wrapText="1"/>
    </xf>
    <xf numFmtId="0" fontId="18" fillId="0" borderId="10" xfId="0" applyFont="1" applyBorder="1" applyAlignment="1">
      <alignment horizontal="left" wrapText="1"/>
    </xf>
    <xf numFmtId="0" fontId="25" fillId="0" borderId="0" xfId="0" applyFont="1" applyAlignment="1">
      <alignment horizontal="center" wrapText="1"/>
    </xf>
    <xf numFmtId="0" fontId="18" fillId="0" borderId="12" xfId="0" applyFont="1" applyBorder="1" applyAlignment="1">
      <alignment horizontal="center" vertical="center"/>
    </xf>
    <xf numFmtId="0" fontId="18" fillId="0" borderId="13" xfId="0" applyFont="1" applyBorder="1" applyAlignment="1">
      <alignment horizontal="center" vertical="center"/>
    </xf>
    <xf numFmtId="0" fontId="18" fillId="0" borderId="22"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25" xfId="0" applyFont="1" applyBorder="1" applyAlignment="1">
      <alignment horizontal="center" vertical="center" wrapText="1"/>
    </xf>
    <xf numFmtId="0" fontId="43" fillId="43" borderId="12" xfId="0" applyFont="1" applyFill="1" applyBorder="1" applyAlignment="1">
      <alignment horizontal="center"/>
    </xf>
    <xf numFmtId="0" fontId="43" fillId="43" borderId="21" xfId="0" applyFont="1" applyFill="1" applyBorder="1" applyAlignment="1">
      <alignment horizontal="center"/>
    </xf>
    <xf numFmtId="0" fontId="43" fillId="43" borderId="13" xfId="0" applyFont="1" applyFill="1" applyBorder="1" applyAlignment="1">
      <alignment horizontal="center"/>
    </xf>
    <xf numFmtId="0" fontId="42" fillId="47" borderId="106" xfId="0" applyFont="1" applyFill="1" applyBorder="1" applyAlignment="1">
      <alignment horizontal="center" vertical="center" wrapText="1"/>
    </xf>
    <xf numFmtId="0" fontId="42" fillId="47" borderId="107" xfId="0" applyFont="1" applyFill="1" applyBorder="1" applyAlignment="1">
      <alignment horizontal="center" vertical="center" wrapText="1"/>
    </xf>
    <xf numFmtId="0" fontId="18" fillId="0" borderId="10" xfId="0" applyFont="1" applyBorder="1" applyAlignment="1">
      <alignment horizontal="center" vertical="center"/>
    </xf>
    <xf numFmtId="0" fontId="25" fillId="0" borderId="0" xfId="0" applyFont="1" applyAlignment="1">
      <alignment horizontal="center"/>
    </xf>
    <xf numFmtId="0" fontId="25" fillId="47" borderId="0" xfId="0" applyFont="1" applyFill="1" applyAlignment="1">
      <alignment horizontal="center" vertical="center" wrapText="1"/>
    </xf>
    <xf numFmtId="0" fontId="25" fillId="0" borderId="22"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25" xfId="0" applyFont="1" applyBorder="1" applyAlignment="1">
      <alignment horizontal="center" vertical="center" wrapText="1"/>
    </xf>
    <xf numFmtId="0" fontId="25" fillId="0" borderId="12" xfId="0" applyFont="1" applyBorder="1" applyAlignment="1">
      <alignment horizontal="center" vertical="center"/>
    </xf>
    <xf numFmtId="0" fontId="25" fillId="0" borderId="21" xfId="0" applyFont="1" applyBorder="1" applyAlignment="1">
      <alignment horizontal="center" vertical="center"/>
    </xf>
    <xf numFmtId="0" fontId="25" fillId="0" borderId="13" xfId="0" applyFont="1" applyBorder="1" applyAlignment="1">
      <alignment horizontal="center" vertical="center"/>
    </xf>
    <xf numFmtId="0" fontId="18" fillId="0" borderId="10" xfId="0" applyFont="1" applyBorder="1" applyAlignment="1">
      <alignment vertical="center" wrapText="1"/>
    </xf>
    <xf numFmtId="0" fontId="42" fillId="47" borderId="0" xfId="0" applyFont="1" applyFill="1" applyAlignment="1">
      <alignment horizontal="center" vertical="center" wrapText="1"/>
    </xf>
    <xf numFmtId="0" fontId="42" fillId="0" borderId="10" xfId="0" applyFont="1" applyBorder="1" applyAlignment="1">
      <alignment horizontal="center" vertical="center" wrapText="1"/>
    </xf>
    <xf numFmtId="0" fontId="84" fillId="45" borderId="10" xfId="0" applyFont="1" applyFill="1" applyBorder="1" applyAlignment="1">
      <alignment horizontal="center" vertical="center" wrapText="1"/>
    </xf>
    <xf numFmtId="0" fontId="71" fillId="0" borderId="23" xfId="0" applyFont="1" applyBorder="1" applyAlignment="1">
      <alignment vertical="center" wrapText="1"/>
    </xf>
    <xf numFmtId="0" fontId="64" fillId="0" borderId="0" xfId="0" applyFont="1" applyAlignment="1">
      <alignment vertical="center" wrapText="1"/>
    </xf>
    <xf numFmtId="0" fontId="18" fillId="0" borderId="1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17" xfId="0" applyFont="1" applyBorder="1" applyAlignment="1">
      <alignment horizontal="center" vertical="center" wrapText="1"/>
    </xf>
    <xf numFmtId="0" fontId="43" fillId="43" borderId="15" xfId="0" applyFont="1" applyFill="1" applyBorder="1" applyAlignment="1">
      <alignment horizontal="center" vertical="center" wrapText="1"/>
    </xf>
    <xf numFmtId="0" fontId="43" fillId="43" borderId="17" xfId="0" applyFont="1" applyFill="1" applyBorder="1" applyAlignment="1">
      <alignment horizontal="center" vertical="center" wrapText="1"/>
    </xf>
    <xf numFmtId="0" fontId="26" fillId="0" borderId="67" xfId="0" applyFont="1" applyBorder="1" applyAlignment="1">
      <alignment horizontal="center" vertical="center" textRotation="90" wrapText="1"/>
    </xf>
    <xf numFmtId="0" fontId="26" fillId="0" borderId="66" xfId="0" applyFont="1" applyBorder="1" applyAlignment="1">
      <alignment horizontal="center" vertical="center" textRotation="90" wrapText="1"/>
    </xf>
    <xf numFmtId="0" fontId="26" fillId="0" borderId="65" xfId="0" applyFont="1" applyBorder="1" applyAlignment="1">
      <alignment horizontal="center" vertical="center" textRotation="90" wrapText="1"/>
    </xf>
    <xf numFmtId="0" fontId="26" fillId="0" borderId="74" xfId="0" applyFont="1" applyBorder="1" applyAlignment="1">
      <alignment horizontal="center" vertical="center"/>
    </xf>
    <xf numFmtId="0" fontId="26" fillId="44" borderId="73" xfId="0" applyFont="1" applyFill="1" applyBorder="1" applyAlignment="1">
      <alignment horizontal="center" vertical="center"/>
    </xf>
    <xf numFmtId="0" fontId="26" fillId="44" borderId="72" xfId="0" applyFont="1" applyFill="1" applyBorder="1" applyAlignment="1">
      <alignment horizontal="center" vertical="center"/>
    </xf>
    <xf numFmtId="0" fontId="26" fillId="44" borderId="68" xfId="0" applyFont="1" applyFill="1" applyBorder="1" applyAlignment="1">
      <alignment horizontal="center" vertical="center"/>
    </xf>
    <xf numFmtId="0" fontId="26" fillId="44" borderId="64" xfId="0" applyFont="1" applyFill="1" applyBorder="1" applyAlignment="1">
      <alignment horizontal="center" vertical="center"/>
    </xf>
    <xf numFmtId="0" fontId="26" fillId="0" borderId="71" xfId="0" applyFont="1" applyBorder="1" applyAlignment="1">
      <alignment horizontal="center" vertical="center" wrapText="1"/>
    </xf>
    <xf numFmtId="0" fontId="26" fillId="0" borderId="70" xfId="0" applyFont="1" applyBorder="1" applyAlignment="1">
      <alignment horizontal="center" vertical="center" wrapText="1"/>
    </xf>
    <xf numFmtId="0" fontId="26" fillId="0" borderId="69" xfId="0" applyFont="1" applyBorder="1" applyAlignment="1">
      <alignment horizontal="center" vertical="center" wrapText="1"/>
    </xf>
    <xf numFmtId="0" fontId="57" fillId="37" borderId="101" xfId="57" applyFill="1" applyBorder="1" applyAlignment="1" applyProtection="1">
      <alignment horizontal="center"/>
      <protection locked="0"/>
    </xf>
    <xf numFmtId="0" fontId="57" fillId="37" borderId="102" xfId="57" applyFill="1" applyBorder="1" applyAlignment="1" applyProtection="1">
      <alignment horizontal="center"/>
      <protection locked="0"/>
    </xf>
    <xf numFmtId="0" fontId="57" fillId="37" borderId="103" xfId="57" applyFill="1" applyBorder="1" applyAlignment="1" applyProtection="1">
      <alignment horizontal="center"/>
      <protection locked="0"/>
    </xf>
    <xf numFmtId="0" fontId="25" fillId="0" borderId="10" xfId="0" applyFont="1" applyBorder="1" applyAlignment="1">
      <alignment horizontal="center"/>
    </xf>
    <xf numFmtId="0" fontId="25" fillId="0" borderId="26" xfId="0" applyFont="1" applyBorder="1" applyAlignment="1">
      <alignment horizontal="center"/>
    </xf>
    <xf numFmtId="0" fontId="25" fillId="0" borderId="15"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0" xfId="0" applyFont="1" applyBorder="1" applyAlignment="1">
      <alignment horizontal="center" vertical="center" wrapText="1"/>
    </xf>
    <xf numFmtId="0" fontId="53" fillId="0" borderId="67" xfId="0" applyFont="1" applyBorder="1" applyAlignment="1">
      <alignment horizontal="center" vertical="center" wrapText="1"/>
    </xf>
    <xf numFmtId="0" fontId="53" fillId="0" borderId="65" xfId="0" applyFont="1" applyBorder="1" applyAlignment="1">
      <alignment horizontal="center" vertical="center" wrapText="1"/>
    </xf>
    <xf numFmtId="0" fontId="26" fillId="0" borderId="74" xfId="0" applyFont="1" applyBorder="1" applyAlignment="1">
      <alignment horizontal="center" vertical="center" wrapText="1"/>
    </xf>
    <xf numFmtId="0" fontId="27" fillId="0" borderId="0" xfId="0" applyFont="1" applyAlignment="1">
      <alignment horizontal="left" vertical="center"/>
    </xf>
    <xf numFmtId="0" fontId="56" fillId="0" borderId="0" xfId="0" applyFont="1" applyAlignment="1">
      <alignment horizontal="left" vertical="top" wrapText="1"/>
    </xf>
  </cellXfs>
  <cellStyles count="68">
    <cellStyle name="20% - Accent1" xfId="24" builtinId="30" hidden="1"/>
    <cellStyle name="20% - Accent2" xfId="28" builtinId="34" hidden="1"/>
    <cellStyle name="20% - Accent3" xfId="32" builtinId="38" hidden="1"/>
    <cellStyle name="20% - Accent4" xfId="36" builtinId="42" hidden="1"/>
    <cellStyle name="20% - Accent5" xfId="40" builtinId="46" hidden="1"/>
    <cellStyle name="20% - Accent6" xfId="44" builtinId="50" hidden="1"/>
    <cellStyle name="40% - Accent1" xfId="25" builtinId="31" hidden="1"/>
    <cellStyle name="40% - Accent2" xfId="29" builtinId="35" hidden="1"/>
    <cellStyle name="40% - Accent3" xfId="33" builtinId="39" hidden="1"/>
    <cellStyle name="40% - Accent4" xfId="37" builtinId="43" hidden="1"/>
    <cellStyle name="40% - Accent5" xfId="41" builtinId="47" hidden="1"/>
    <cellStyle name="40% - Accent6" xfId="45" builtinId="51" hidden="1"/>
    <cellStyle name="60% - Accent1" xfId="26" builtinId="32" hidden="1"/>
    <cellStyle name="60% - Accent2" xfId="30" builtinId="36" hidden="1"/>
    <cellStyle name="60% - Accent3" xfId="34" builtinId="40" hidden="1"/>
    <cellStyle name="60% - Accent4" xfId="38" builtinId="44" hidden="1"/>
    <cellStyle name="60% - Accent5" xfId="42" builtinId="48" hidden="1"/>
    <cellStyle name="60% - Accent6" xfId="46" builtinId="52" hidden="1"/>
    <cellStyle name="Accent1" xfId="23" builtinId="29" hidden="1"/>
    <cellStyle name="Accent2" xfId="27" builtinId="33" hidden="1"/>
    <cellStyle name="Accent3" xfId="31" builtinId="37" hidden="1"/>
    <cellStyle name="Accent4" xfId="35" builtinId="41" hidden="1"/>
    <cellStyle name="Accent5" xfId="39" builtinId="45" hidden="1"/>
    <cellStyle name="Accent6" xfId="43" builtinId="49" hidden="1"/>
    <cellStyle name="Answered" xfId="64" xr:uid="{00000000-0005-0000-0000-000018000000}"/>
    <cellStyle name="Bad" xfId="12" builtinId="27" hidden="1"/>
    <cellStyle name="Calculation" xfId="16" builtinId="22" hidden="1"/>
    <cellStyle name="Calculation" xfId="51" builtinId="22" hidden="1" customBuiltin="1"/>
    <cellStyle name="Check Cell" xfId="18" builtinId="23" hidden="1"/>
    <cellStyle name="Comma" xfId="1" builtinId="3" hidden="1"/>
    <cellStyle name="Comma [0]" xfId="2" builtinId="6" hidden="1"/>
    <cellStyle name="Currency" xfId="3" builtinId="4" hidden="1"/>
    <cellStyle name="Currency [0]" xfId="4" builtinId="7" hidden="1"/>
    <cellStyle name="Explanatory Text" xfId="21" builtinId="53" hidden="1"/>
    <cellStyle name="Followed Hyperlink" xfId="56" builtinId="9" hidden="1"/>
    <cellStyle name="Followed Hyperlink" xfId="58" builtinId="9" hidden="1"/>
    <cellStyle name="Followed Hyperlink" xfId="59" builtinId="9" hidden="1"/>
    <cellStyle name="Followed Hyperlink" xfId="61" builtinId="9" hidden="1"/>
    <cellStyle name="Good" xfId="11" builtinId="26" hidden="1"/>
    <cellStyle name="Heading 1" xfId="7" builtinId="16" hidden="1"/>
    <cellStyle name="Heading 2" xfId="8" builtinId="17" hidden="1"/>
    <cellStyle name="Heading 3" xfId="9" builtinId="18" hidden="1"/>
    <cellStyle name="Heading 4" xfId="10" builtinId="19" hidden="1"/>
    <cellStyle name="Hidden" xfId="60" xr:uid="{00000000-0005-0000-0000-00002B000000}"/>
    <cellStyle name="Hyperlink" xfId="49" builtinId="8" hidden="1"/>
    <cellStyle name="Hyperlink" xfId="55" builtinId="8" hidden="1"/>
    <cellStyle name="Hyperlink" xfId="57" builtinId="8" customBuiltin="1"/>
    <cellStyle name="Hyperlink 2" xfId="67" xr:uid="{00000000-0005-0000-0000-00002F000000}"/>
    <cellStyle name="Input" xfId="14" builtinId="20" hidden="1"/>
    <cellStyle name="Linked Cell" xfId="17" builtinId="24" hidden="1"/>
    <cellStyle name="Main Title" xfId="50" xr:uid="{00000000-0005-0000-0000-000032000000}"/>
    <cellStyle name="Mandatory" xfId="47" xr:uid="{00000000-0005-0000-0000-000033000000}"/>
    <cellStyle name="Neutral" xfId="13" builtinId="28" hidden="1"/>
    <cellStyle name="Normal" xfId="0" builtinId="0"/>
    <cellStyle name="Normal Entry" xfId="48" xr:uid="{00000000-0005-0000-0000-000036000000}"/>
    <cellStyle name="Note" xfId="20" builtinId="10" hidden="1"/>
    <cellStyle name="Note" xfId="53" builtinId="10" hidden="1" customBuiltin="1"/>
    <cellStyle name="Note Entry" xfId="54" xr:uid="{00000000-0005-0000-0000-000039000000}"/>
    <cellStyle name="Note Entry 2" xfId="66" xr:uid="{00000000-0005-0000-0000-00003A000000}"/>
    <cellStyle name="Output" xfId="15" builtinId="21" hidden="1"/>
    <cellStyle name="Percent" xfId="5" builtinId="5" hidden="1"/>
    <cellStyle name="Points" xfId="62" xr:uid="{00000000-0005-0000-0000-00003D000000}"/>
    <cellStyle name="Section Header" xfId="63" xr:uid="{00000000-0005-0000-0000-00003E000000}"/>
    <cellStyle name="Title" xfId="6" builtinId="15" hidden="1"/>
    <cellStyle name="Total" xfId="22" builtinId="25" hidden="1"/>
    <cellStyle name="Warning" xfId="52" xr:uid="{00000000-0005-0000-0000-000041000000}"/>
    <cellStyle name="Warning Text" xfId="19" builtinId="11" hidden="1"/>
    <cellStyle name="Warnings" xfId="65" xr:uid="{00000000-0005-0000-0000-000043000000}"/>
  </cellStyles>
  <dxfs count="5815">
    <dxf>
      <font>
        <b/>
        <i val="0"/>
        <color theme="1"/>
      </font>
      <fill>
        <patternFill>
          <bgColor rgb="FFFFFF00"/>
        </patternFill>
      </fill>
      <border>
        <left style="thin">
          <color auto="1"/>
        </left>
        <right style="thin">
          <color auto="1"/>
        </right>
        <top style="thin">
          <color auto="1"/>
        </top>
        <bottom style="thin">
          <color auto="1"/>
        </bottom>
      </border>
    </dxf>
    <dxf>
      <fill>
        <patternFill patternType="lightGray"/>
      </fill>
    </dxf>
    <dxf>
      <fill>
        <patternFill patternType="lightGray"/>
      </fill>
    </dxf>
    <dxf>
      <fill>
        <patternFill patternType="lightGray"/>
      </fill>
    </dxf>
    <dxf>
      <fill>
        <patternFill patternType="lightGray"/>
      </fill>
    </dxf>
    <dxf>
      <font>
        <b/>
        <i val="0"/>
        <color theme="1"/>
      </font>
      <fill>
        <patternFill>
          <bgColor rgb="FFFF0000"/>
        </patternFill>
      </fill>
    </dxf>
    <dxf>
      <fill>
        <patternFill patternType="lightGray"/>
      </fill>
    </dxf>
    <dxf>
      <fill>
        <patternFill patternType="lightGray"/>
      </fill>
    </dxf>
    <dxf>
      <fill>
        <patternFill>
          <bgColor rgb="FFFFFF99"/>
        </patternFill>
      </fill>
    </dxf>
    <dxf>
      <fill>
        <patternFill>
          <bgColor rgb="FF92D050"/>
        </patternFill>
      </fill>
    </dxf>
    <dxf>
      <fill>
        <patternFill>
          <bgColor rgb="FFFFFF99"/>
        </patternFill>
      </fill>
    </dxf>
    <dxf>
      <fill>
        <patternFill>
          <bgColor rgb="FF92D050"/>
        </patternFill>
      </fill>
    </dxf>
    <dxf>
      <fill>
        <patternFill>
          <bgColor rgb="FFFFFF99"/>
        </patternFill>
      </fill>
    </dxf>
    <dxf>
      <fill>
        <patternFill>
          <bgColor rgb="FF92D050"/>
        </patternFill>
      </fill>
    </dxf>
    <dxf>
      <font>
        <color theme="1"/>
      </font>
      <fill>
        <patternFill>
          <bgColor rgb="FFFF0000"/>
        </patternFill>
      </fill>
    </dxf>
    <dxf>
      <fill>
        <patternFill>
          <bgColor rgb="FFFF0000"/>
        </patternFill>
      </fill>
    </dxf>
    <dxf>
      <fill>
        <patternFill>
          <bgColor rgb="FFFF9393"/>
        </patternFill>
      </fill>
    </dxf>
    <dxf>
      <fill>
        <patternFill>
          <bgColor rgb="FF92D050"/>
        </patternFill>
      </fill>
    </dxf>
    <dxf>
      <font>
        <color theme="1"/>
      </font>
      <fill>
        <patternFill>
          <bgColor rgb="FFFF9393"/>
        </patternFill>
      </fill>
    </dxf>
    <dxf>
      <fill>
        <patternFill>
          <bgColor rgb="FF92D050"/>
        </patternFill>
      </fill>
    </dxf>
    <dxf>
      <fill>
        <patternFill>
          <bgColor rgb="FFFFFF99"/>
        </patternFill>
      </fill>
    </dxf>
    <dxf>
      <fill>
        <patternFill>
          <bgColor rgb="FF92D050"/>
        </patternFill>
      </fill>
    </dxf>
    <dxf>
      <font>
        <b/>
        <i val="0"/>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92D050"/>
        </patternFill>
      </fill>
    </dxf>
    <dxf>
      <fill>
        <patternFill>
          <bgColor rgb="FF92D050"/>
        </patternFill>
      </fill>
    </dxf>
    <dxf>
      <fill>
        <patternFill patternType="lightGray"/>
      </fill>
    </dxf>
    <dxf>
      <fill>
        <patternFill patternType="lightGray"/>
      </fill>
    </dxf>
    <dxf>
      <fill>
        <patternFill patternType="lightGray"/>
      </fill>
    </dxf>
    <dxf>
      <fill>
        <patternFill patternType="lightGray"/>
      </fill>
    </dxf>
    <dxf>
      <font>
        <b/>
        <i val="0"/>
        <color theme="1"/>
      </font>
      <fill>
        <patternFill>
          <bgColor rgb="FFFFFF00"/>
        </patternFill>
      </fill>
      <border>
        <left style="thin">
          <color auto="1"/>
        </left>
        <right style="thin">
          <color auto="1"/>
        </right>
        <top style="thin">
          <color auto="1"/>
        </top>
        <bottom style="thin">
          <color auto="1"/>
        </bottom>
      </border>
    </dxf>
    <dxf>
      <font>
        <b/>
        <i val="0"/>
        <color theme="1"/>
      </font>
      <fill>
        <patternFill>
          <bgColor rgb="FFFF0000"/>
        </patternFill>
      </fill>
    </dxf>
    <dxf>
      <fill>
        <patternFill patternType="lightGray"/>
      </fill>
    </dxf>
    <dxf>
      <fill>
        <patternFill patternType="lightGray"/>
      </fill>
    </dxf>
    <dxf>
      <fill>
        <patternFill>
          <bgColor rgb="FFFFFF99"/>
        </patternFill>
      </fill>
    </dxf>
    <dxf>
      <fill>
        <patternFill>
          <bgColor rgb="FF92D050"/>
        </patternFill>
      </fill>
    </dxf>
    <dxf>
      <fill>
        <patternFill>
          <bgColor rgb="FFFFFF99"/>
        </patternFill>
      </fill>
    </dxf>
    <dxf>
      <fill>
        <patternFill>
          <bgColor rgb="FF92D050"/>
        </patternFill>
      </fill>
    </dxf>
    <dxf>
      <font>
        <color theme="1"/>
      </font>
      <fill>
        <patternFill>
          <bgColor rgb="FFFF9393"/>
        </patternFill>
      </fill>
    </dxf>
    <dxf>
      <font>
        <color theme="1"/>
      </font>
      <fill>
        <patternFill>
          <bgColor rgb="FFFF0000"/>
        </patternFill>
      </fill>
    </dxf>
    <dxf>
      <fill>
        <patternFill>
          <bgColor rgb="FFFF0000"/>
        </patternFill>
      </fill>
    </dxf>
    <dxf>
      <fill>
        <patternFill>
          <bgColor rgb="FFFF9393"/>
        </patternFill>
      </fill>
    </dxf>
    <dxf>
      <fill>
        <patternFill>
          <bgColor rgb="FF92D050"/>
        </patternFill>
      </fill>
    </dxf>
    <dxf>
      <fill>
        <patternFill>
          <bgColor rgb="FF92D050"/>
        </patternFill>
      </fill>
    </dxf>
    <dxf>
      <fill>
        <patternFill>
          <bgColor rgb="FFFFFF99"/>
        </patternFill>
      </fill>
    </dxf>
    <dxf>
      <fill>
        <patternFill>
          <bgColor rgb="FF92D050"/>
        </patternFill>
      </fill>
    </dxf>
    <dxf>
      <fill>
        <patternFill>
          <bgColor rgb="FFFFFF99"/>
        </patternFill>
      </fill>
    </dxf>
    <dxf>
      <fill>
        <patternFill>
          <bgColor rgb="FF92D050"/>
        </patternFill>
      </fill>
    </dxf>
    <dxf>
      <font>
        <b/>
        <i val="0"/>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92D050"/>
        </patternFill>
      </fill>
    </dxf>
    <dxf>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ill>
        <patternFill>
          <bgColor rgb="FF92D05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theme="7" tint="0.59996337778862885"/>
        </patternFill>
      </fill>
    </dxf>
    <dxf>
      <fill>
        <patternFill>
          <bgColor theme="7" tint="0.59996337778862885"/>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92D050"/>
        </patternFill>
      </fill>
    </dxf>
    <dxf>
      <fill>
        <patternFill>
          <bgColor rgb="FF92D050"/>
        </patternFill>
      </fill>
    </dxf>
    <dxf>
      <font>
        <color theme="1"/>
      </font>
      <fill>
        <patternFill>
          <bgColor rgb="FFFF0000"/>
        </patternFill>
      </fill>
      <border>
        <left style="thin">
          <color auto="1"/>
        </left>
        <right style="thin">
          <color auto="1"/>
        </right>
        <top style="thin">
          <color auto="1"/>
        </top>
        <bottom style="thin">
          <color auto="1"/>
        </bottom>
        <vertical/>
        <horizontal/>
      </border>
    </dxf>
    <dxf>
      <font>
        <color theme="1"/>
      </font>
      <fill>
        <patternFill>
          <bgColor rgb="FFFF0000"/>
        </patternFill>
      </fill>
      <border>
        <left style="thin">
          <color auto="1"/>
        </left>
        <right style="thin">
          <color auto="1"/>
        </right>
        <top style="thin">
          <color auto="1"/>
        </top>
        <vertical/>
        <horizontal/>
      </border>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FF99"/>
        </patternFill>
      </fill>
    </dxf>
    <dxf>
      <font>
        <color rgb="FFFFFF00"/>
      </font>
      <fill>
        <patternFill>
          <bgColor rgb="FFFF0000"/>
        </patternFill>
      </fill>
      <border>
        <left style="thin">
          <color auto="1"/>
        </left>
        <right style="thin">
          <color auto="1"/>
        </right>
        <top style="thin">
          <color auto="1"/>
        </top>
        <bottom style="thin">
          <color auto="1"/>
        </bottom>
      </border>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FF00"/>
        </patternFill>
      </fill>
    </dxf>
    <dxf>
      <fill>
        <patternFill>
          <bgColor rgb="FF00B050"/>
        </patternFill>
      </fill>
    </dxf>
    <dxf>
      <fill>
        <patternFill>
          <bgColor rgb="FFCC6600"/>
        </patternFill>
      </fill>
    </dxf>
    <dxf>
      <fill>
        <patternFill>
          <bgColor rgb="FFEAEAEA"/>
        </patternFill>
      </fill>
    </dxf>
    <dxf>
      <fill>
        <patternFill>
          <bgColor rgb="FFFFD700"/>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FF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FF00"/>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ill>
        <patternFill>
          <bgColor rgb="FF92D050"/>
        </patternFill>
      </fill>
    </dxf>
    <dxf>
      <fill>
        <patternFill>
          <bgColor rgb="FF92D050"/>
        </patternFill>
      </fill>
    </dxf>
    <dxf>
      <fill>
        <patternFill>
          <bgColor rgb="FF92D050"/>
        </patternFill>
      </fill>
    </dxf>
    <dxf>
      <font>
        <color theme="1"/>
      </font>
      <fill>
        <patternFill>
          <bgColor rgb="FFFF0000"/>
        </patternFill>
      </fill>
    </dxf>
    <dxf>
      <font>
        <color theme="0"/>
      </font>
      <fill>
        <patternFill patternType="none">
          <bgColor auto="1"/>
        </patternFill>
      </fill>
    </dxf>
    <dxf>
      <font>
        <color theme="0"/>
      </font>
      <fill>
        <patternFill patternType="none">
          <bgColor auto="1"/>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patternType="darkGrid">
          <fgColor indexed="64"/>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theme="1"/>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ont>
        <color auto="1"/>
      </font>
      <fill>
        <patternFill>
          <bgColor rgb="FF92D050"/>
        </patternFill>
      </fill>
    </dxf>
    <dxf>
      <font>
        <color auto="1"/>
      </font>
      <fill>
        <patternFill>
          <bgColor rgb="FFFFFF99"/>
        </patternFill>
      </fill>
    </dxf>
    <dxf>
      <font>
        <color auto="1"/>
      </font>
      <fill>
        <patternFill>
          <bgColor rgb="FFFF0000"/>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92D050"/>
        </patternFill>
      </fill>
    </dxf>
    <dxf>
      <fill>
        <patternFill>
          <bgColor rgb="FF92D050"/>
        </patternFill>
      </fill>
    </dxf>
    <dxf>
      <fill>
        <patternFill>
          <bgColor rgb="FF92D050"/>
        </patternFill>
      </fill>
    </dxf>
    <dxf>
      <fill>
        <patternFill>
          <bgColor rgb="FF00B050"/>
        </patternFill>
      </fill>
    </dxf>
    <dxf>
      <fill>
        <patternFill>
          <bgColor rgb="FFCC6600"/>
        </patternFill>
      </fill>
    </dxf>
    <dxf>
      <fill>
        <patternFill>
          <bgColor rgb="FFEAEAEA"/>
        </patternFill>
      </fill>
    </dxf>
    <dxf>
      <fill>
        <patternFill>
          <bgColor rgb="FFFFD700"/>
        </patternFill>
      </fill>
    </dxf>
    <dxf>
      <font>
        <color theme="1"/>
      </font>
      <fill>
        <patternFill>
          <bgColor rgb="FFFF0000"/>
        </patternFill>
      </fill>
    </dxf>
    <dxf>
      <font>
        <color theme="1"/>
      </font>
      <fill>
        <patternFill>
          <bgColor rgb="FFFF0000"/>
        </patternFill>
      </fill>
    </dxf>
    <dxf>
      <font>
        <color theme="1"/>
      </font>
      <fill>
        <patternFill>
          <bgColor rgb="FFFF0000"/>
        </patternFill>
      </fill>
      <border>
        <left style="thin">
          <color auto="1"/>
        </left>
        <right style="thin">
          <color auto="1"/>
        </right>
        <top style="thin">
          <color auto="1"/>
        </top>
        <bottom style="thin">
          <color auto="1"/>
        </bottom>
        <vertical/>
        <horizontal/>
      </border>
    </dxf>
    <dxf>
      <font>
        <color theme="1"/>
      </font>
      <fill>
        <patternFill>
          <bgColor rgb="FFFF0000"/>
        </patternFill>
      </fill>
      <border>
        <left style="thin">
          <color auto="1"/>
        </left>
        <right style="thin">
          <color auto="1"/>
        </right>
        <top style="thin">
          <color auto="1"/>
        </top>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darkGrid">
          <bgColor theme="0"/>
        </patternFill>
      </fill>
    </dxf>
    <dxf>
      <fill>
        <patternFill patternType="darkGrid">
          <bgColor theme="0"/>
        </patternFill>
      </fill>
    </dxf>
    <dxf>
      <fill>
        <patternFill patternType="darkGrid">
          <bgColor theme="0"/>
        </patternFill>
      </fill>
    </dxf>
    <dxf>
      <font>
        <color theme="1"/>
      </font>
    </dxf>
    <dxf>
      <fill>
        <patternFill>
          <bgColor rgb="FF92D050"/>
        </patternFill>
      </fill>
    </dxf>
    <dxf>
      <fill>
        <patternFill>
          <bgColor rgb="FF92D050"/>
        </patternFill>
      </fill>
    </dxf>
    <dxf>
      <fill>
        <patternFill patternType="darkGrid"/>
      </fill>
    </dxf>
    <dxf>
      <fill>
        <patternFill>
          <bgColor rgb="FFFFFF99"/>
        </patternFill>
      </fill>
    </dxf>
    <dxf>
      <font>
        <color rgb="FFFF0000"/>
      </font>
    </dxf>
    <dxf>
      <font>
        <color rgb="FFFF0000"/>
      </font>
    </dxf>
    <dxf>
      <font>
        <color rgb="FFFF0000"/>
      </font>
    </dxf>
    <dxf>
      <font>
        <b/>
        <i val="0"/>
        <color theme="1"/>
      </font>
      <fill>
        <patternFill>
          <bgColor rgb="FFFF0000"/>
        </patternFill>
      </fill>
    </dxf>
    <dxf>
      <fill>
        <patternFill patternType="darkGrid">
          <bgColor theme="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auto="1"/>
      </font>
      <fill>
        <patternFill>
          <bgColor rgb="FFFFFF99"/>
        </patternFill>
      </fill>
    </dxf>
    <dxf>
      <font>
        <color auto="1"/>
      </font>
      <fill>
        <patternFill>
          <bgColor rgb="FF92D050"/>
        </patternFill>
      </fill>
    </dxf>
    <dxf>
      <font>
        <color auto="1"/>
      </font>
      <fill>
        <patternFill>
          <bgColor rgb="FFFF0000"/>
        </patternFill>
      </fill>
    </dxf>
    <dxf>
      <fill>
        <patternFill>
          <bgColor rgb="FFFFFF99"/>
        </patternFill>
      </fill>
    </dxf>
    <dxf>
      <fill>
        <patternFill>
          <bgColor theme="7" tint="0.59996337778862885"/>
        </patternFill>
      </fill>
    </dxf>
    <dxf>
      <fill>
        <patternFill>
          <bgColor theme="7" tint="0.59996337778862885"/>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ill>
        <patternFill patternType="darkGrid">
          <fgColor indexed="64"/>
        </patternFill>
      </fill>
    </dxf>
    <dxf>
      <font>
        <color theme="1"/>
      </font>
      <fill>
        <patternFill>
          <bgColor rgb="FFFF0000"/>
        </patternFill>
      </fill>
    </dxf>
    <dxf>
      <font>
        <color auto="1"/>
      </font>
      <fill>
        <patternFill>
          <bgColor rgb="FF92D050"/>
        </patternFill>
      </fill>
    </dxf>
    <dxf>
      <font>
        <color theme="1"/>
      </font>
      <fill>
        <patternFill patternType="lightGray">
          <bgColor auto="1"/>
        </patternFill>
      </fill>
    </dxf>
    <dxf>
      <font>
        <color theme="1"/>
      </font>
      <fill>
        <patternFill patternType="lightGray">
          <bgColor auto="1"/>
        </patternFill>
      </fill>
    </dxf>
    <dxf>
      <font>
        <color theme="1"/>
      </font>
      <fill>
        <patternFill patternType="lightGray">
          <bgColor auto="1"/>
        </patternFill>
      </fill>
    </dxf>
    <dxf>
      <font>
        <color rgb="FF006100"/>
      </font>
      <fill>
        <patternFill>
          <bgColor rgb="FFC6EFCE"/>
        </patternFill>
      </fill>
    </dxf>
    <dxf>
      <font>
        <color rgb="FF006100"/>
      </font>
      <fill>
        <patternFill>
          <bgColor rgb="FFC6EFCE"/>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00B050"/>
        </patternFill>
      </fill>
    </dxf>
    <dxf>
      <fill>
        <patternFill>
          <bgColor rgb="FFCC6600"/>
        </patternFill>
      </fill>
    </dxf>
    <dxf>
      <fill>
        <patternFill>
          <bgColor rgb="FFEAEAEA"/>
        </patternFill>
      </fill>
    </dxf>
    <dxf>
      <fill>
        <patternFill>
          <bgColor rgb="FFFFD700"/>
        </patternFill>
      </fill>
    </dxf>
    <dxf>
      <font>
        <color theme="1"/>
      </font>
      <fill>
        <patternFill>
          <bgColor rgb="FFFF0000"/>
        </patternFill>
      </fill>
    </dxf>
    <dxf>
      <fill>
        <patternFill>
          <bgColor rgb="FF92D050"/>
        </patternFill>
      </fill>
    </dxf>
    <dxf>
      <font>
        <color theme="1"/>
      </font>
      <fill>
        <patternFill>
          <bgColor rgb="FFFF0000"/>
        </patternFill>
      </fill>
      <border>
        <left style="thin">
          <color auto="1"/>
        </left>
        <right style="thin">
          <color auto="1"/>
        </right>
        <top style="thin">
          <color auto="1"/>
        </top>
        <bottom style="thin">
          <color auto="1"/>
        </bottom>
        <vertical/>
        <horizontal/>
      </border>
    </dxf>
    <dxf>
      <font>
        <color theme="1"/>
      </font>
      <fill>
        <patternFill>
          <bgColor rgb="FFFF0000"/>
        </patternFill>
      </fill>
      <border>
        <left style="thin">
          <color auto="1"/>
        </left>
        <right style="thin">
          <color auto="1"/>
        </right>
        <top style="thin">
          <color auto="1"/>
        </top>
        <vertical/>
        <horizontal/>
      </border>
    </dxf>
    <dxf>
      <font>
        <color theme="1"/>
      </font>
      <fill>
        <patternFill>
          <bgColor rgb="FFFF0000"/>
        </patternFill>
      </fill>
    </dxf>
    <dxf>
      <font>
        <color theme="1"/>
      </font>
      <fill>
        <patternFill>
          <bgColor rgb="FFFF0000"/>
        </patternFill>
      </fill>
    </dxf>
    <dxf>
      <font>
        <color theme="1"/>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FFFF99"/>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ont>
        <color rgb="FFFFFF99"/>
      </font>
      <fill>
        <patternFill>
          <bgColor rgb="FFFFFF99"/>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auto="1"/>
      </font>
      <fill>
        <patternFill>
          <bgColor rgb="FFFF0000"/>
        </patternFill>
      </fill>
    </dxf>
    <dxf>
      <font>
        <color auto="1"/>
      </font>
      <fill>
        <patternFill>
          <bgColor rgb="FF92D050"/>
        </patternFill>
      </fill>
    </dxf>
    <dxf>
      <fill>
        <patternFill patternType="darkGrid">
          <fgColor indexed="64"/>
        </patternFill>
      </fill>
    </dxf>
    <dxf>
      <font>
        <color auto="1"/>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patternType="darkGrid">
          <fgColor indexed="64"/>
        </patternFill>
      </fill>
    </dxf>
    <dxf>
      <fill>
        <patternFill>
          <bgColor rgb="FFFF0000"/>
        </patternFill>
      </fill>
    </dxf>
    <dxf>
      <fill>
        <patternFill>
          <bgColor rgb="FF92D05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92D050"/>
        </patternFill>
      </fill>
    </dxf>
    <dxf>
      <fill>
        <patternFill patternType="darkGrid">
          <fgColor indexed="64"/>
        </patternFill>
      </fill>
    </dxf>
    <dxf>
      <font>
        <color auto="1"/>
      </font>
      <fill>
        <patternFill>
          <bgColor rgb="FFFFFF99"/>
        </patternFill>
      </fill>
    </dxf>
    <dxf>
      <font>
        <color auto="1"/>
      </font>
      <fill>
        <patternFill>
          <bgColor rgb="FFFF0000"/>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ill>
        <patternFill patternType="darkGrid">
          <fgColor indexed="64"/>
        </patternFill>
      </fill>
    </dxf>
    <dxf>
      <font>
        <color auto="1"/>
      </font>
      <fill>
        <patternFill>
          <bgColor rgb="FFFFFF99"/>
        </patternFill>
      </fill>
    </dxf>
    <dxf>
      <font>
        <color auto="1"/>
      </font>
      <fill>
        <patternFill>
          <bgColor rgb="FF92D050"/>
        </patternFill>
      </fill>
    </dxf>
    <dxf>
      <font>
        <color auto="1"/>
      </font>
      <fill>
        <patternFill>
          <bgColor rgb="FFFF0000"/>
        </patternFill>
      </fill>
    </dxf>
    <dxf>
      <font>
        <color auto="1"/>
      </font>
      <fill>
        <patternFill>
          <bgColor rgb="FFFFFF99"/>
        </patternFill>
      </fill>
    </dxf>
    <dxf>
      <font>
        <color auto="1"/>
      </font>
      <fill>
        <patternFill>
          <bgColor rgb="FF92D050"/>
        </patternFill>
      </fill>
    </dxf>
    <dxf>
      <fill>
        <patternFill patternType="darkGrid">
          <fgColor indexed="64"/>
        </patternFill>
      </fill>
    </dxf>
    <dxf>
      <font>
        <color auto="1"/>
      </font>
      <fill>
        <patternFill>
          <bgColor rgb="FFFF000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bgColor rgb="FF92D050"/>
        </patternFill>
      </fill>
    </dxf>
    <dxf>
      <fill>
        <patternFill>
          <bgColor rgb="FFFFFF99"/>
        </patternFill>
      </fill>
    </dxf>
    <dxf>
      <fill>
        <patternFill patternType="darkGrid">
          <fgColor indexed="64"/>
        </patternFill>
      </fill>
    </dxf>
    <dxf>
      <fill>
        <patternFill patternType="darkGrid">
          <fgColor indexed="64"/>
        </patternFill>
      </fill>
    </dxf>
    <dxf>
      <fill>
        <patternFill>
          <bgColor rgb="FFFF0000"/>
        </patternFill>
      </fill>
    </dxf>
    <dxf>
      <fill>
        <patternFill>
          <bgColor rgb="FF92D050"/>
        </patternFill>
      </fill>
    </dxf>
    <dxf>
      <fill>
        <patternFill>
          <bgColor rgb="FFFFFF99"/>
        </patternFill>
      </fill>
    </dxf>
    <dxf>
      <fill>
        <patternFill patternType="darkGrid">
          <fgColor indexed="64"/>
        </patternFill>
      </fill>
    </dxf>
    <dxf>
      <fill>
        <patternFill>
          <bgColor rgb="FFFF0000"/>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ill>
        <patternFill>
          <bgColor rgb="FF92D050"/>
        </patternFill>
      </fill>
    </dxf>
    <dxf>
      <fill>
        <patternFill>
          <bgColor rgb="FFFF0000"/>
        </patternFill>
      </fill>
    </dxf>
    <dxf>
      <fill>
        <patternFill patternType="darkGrid">
          <fgColor indexed="64"/>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bgColor rgb="FF92D050"/>
        </patternFill>
      </fill>
    </dxf>
    <dxf>
      <fill>
        <patternFill>
          <bgColor rgb="FFFFFF99"/>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FFFF99"/>
        </patternFill>
      </fill>
    </dxf>
    <dxf>
      <fill>
        <patternFill patternType="darkGrid">
          <fgColor indexed="64"/>
        </patternFill>
      </fill>
    </dxf>
    <dxf>
      <fill>
        <patternFill>
          <bgColor rgb="FFFF0000"/>
        </patternFill>
      </fill>
    </dxf>
    <dxf>
      <fill>
        <patternFill>
          <bgColor rgb="FF92D05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ill>
        <patternFill>
          <bgColor rgb="FFFFD700"/>
        </patternFill>
      </fill>
    </dxf>
    <dxf>
      <fill>
        <patternFill>
          <bgColor rgb="FFEAEAEA"/>
        </patternFill>
      </fill>
    </dxf>
    <dxf>
      <fill>
        <patternFill>
          <bgColor rgb="FFCC6600"/>
        </patternFill>
      </fill>
    </dxf>
    <dxf>
      <fill>
        <patternFill>
          <bgColor rgb="FF00B05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auto="1"/>
      </font>
      <fill>
        <patternFill>
          <bgColor rgb="FFFF0000"/>
        </patternFill>
      </fill>
    </dxf>
    <dxf>
      <font>
        <color auto="1"/>
      </font>
      <fill>
        <patternFill>
          <bgColor rgb="FFFFFF99"/>
        </patternFill>
      </fill>
    </dxf>
    <dxf>
      <font>
        <color auto="1"/>
      </font>
      <fill>
        <patternFill>
          <bgColor rgb="FF92D050"/>
        </patternFill>
      </fill>
    </dxf>
    <dxf>
      <fill>
        <patternFill patternType="darkGrid">
          <fgColor indexed="64"/>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ont>
        <color auto="1"/>
      </font>
      <fill>
        <patternFill>
          <bgColor rgb="FFFF0000"/>
        </patternFill>
      </fill>
    </dxf>
    <dxf>
      <fill>
        <patternFill patternType="darkGrid">
          <fgColor indexed="64"/>
        </patternFill>
      </fill>
    </dxf>
    <dxf>
      <font>
        <color auto="1"/>
      </font>
      <fill>
        <patternFill>
          <bgColor rgb="FFFFFF99"/>
        </patternFill>
      </fill>
    </dxf>
    <dxf>
      <font>
        <color auto="1"/>
      </font>
      <fill>
        <patternFill>
          <bgColor rgb="FF92D05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patternType="darkGrid">
          <fgColor indexed="64"/>
        </patternFill>
      </fill>
    </dxf>
    <dxf>
      <fill>
        <patternFill>
          <bgColor rgb="FFFFFF99"/>
        </patternFill>
      </fill>
    </dxf>
    <dxf>
      <fill>
        <patternFill>
          <bgColor rgb="FF92D050"/>
        </patternFill>
      </fill>
    </dxf>
    <dxf>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ill>
        <patternFill>
          <bgColor rgb="FFFFFF99"/>
        </patternFill>
      </fill>
    </dxf>
    <dxf>
      <fill>
        <patternFill patternType="darkGrid">
          <fgColor indexed="64"/>
        </patternFill>
      </fill>
    </dxf>
    <dxf>
      <fill>
        <patternFill>
          <bgColor rgb="FFFF0000"/>
        </patternFill>
      </fill>
    </dxf>
    <dxf>
      <fill>
        <patternFill>
          <bgColor rgb="FF92D05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patternType="darkGrid">
          <fgColor indexed="64"/>
        </patternFill>
      </fill>
    </dxf>
    <dxf>
      <fill>
        <patternFill>
          <bgColor rgb="FFFFFF99"/>
        </patternFill>
      </fill>
    </dxf>
    <dxf>
      <fill>
        <patternFill>
          <bgColor rgb="FF92D050"/>
        </patternFill>
      </fill>
    </dxf>
    <dxf>
      <fill>
        <patternFill>
          <bgColor rgb="FFFF0000"/>
        </patternFill>
      </fill>
    </dxf>
    <dxf>
      <fill>
        <patternFill>
          <bgColor rgb="FFFFFF99"/>
        </patternFill>
      </fill>
    </dxf>
    <dxf>
      <fill>
        <patternFill patternType="darkGrid">
          <fgColor indexed="64"/>
        </patternFill>
      </fill>
    </dxf>
    <dxf>
      <fill>
        <patternFill>
          <bgColor rgb="FFFF0000"/>
        </patternFill>
      </fill>
    </dxf>
    <dxf>
      <fill>
        <patternFill>
          <bgColor rgb="FF92D050"/>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FF0000"/>
        </patternFill>
      </fill>
    </dxf>
    <dxf>
      <font>
        <color auto="1"/>
      </font>
      <fill>
        <patternFill>
          <bgColor rgb="FFFFFF99"/>
        </patternFill>
      </fill>
    </dxf>
    <dxf>
      <font>
        <color auto="1"/>
      </font>
      <fill>
        <patternFill>
          <bgColor rgb="FF92D050"/>
        </patternFill>
      </fill>
    </dxf>
    <dxf>
      <fill>
        <patternFill patternType="darkGrid">
          <fgColor indexed="64"/>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ill>
        <patternFill>
          <bgColor rgb="FFFF0000"/>
        </patternFill>
      </fill>
    </dxf>
    <dxf>
      <fill>
        <patternFill>
          <bgColor rgb="FF92D050"/>
        </patternFill>
      </fill>
    </dxf>
    <dxf>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bgColor rgb="FFFF0000"/>
        </patternFill>
      </fill>
    </dxf>
    <dxf>
      <fill>
        <patternFill patternType="darkGrid">
          <fgColor indexed="64"/>
        </patternFill>
      </fill>
    </dxf>
    <dxf>
      <fill>
        <patternFill>
          <bgColor rgb="FFFFFF99"/>
        </patternFill>
      </fill>
    </dxf>
    <dxf>
      <fill>
        <patternFill>
          <bgColor rgb="FF92D050"/>
        </patternFill>
      </fill>
    </dxf>
    <dxf>
      <fill>
        <patternFill>
          <bgColor rgb="FF00B050"/>
        </patternFill>
      </fill>
    </dxf>
    <dxf>
      <fill>
        <patternFill>
          <bgColor rgb="FFEAEAEA"/>
        </patternFill>
      </fill>
    </dxf>
    <dxf>
      <fill>
        <patternFill>
          <bgColor rgb="FFFFD700"/>
        </patternFill>
      </fill>
    </dxf>
    <dxf>
      <fill>
        <patternFill>
          <bgColor rgb="FFCC6600"/>
        </patternFill>
      </fill>
    </dxf>
    <dxf>
      <font>
        <color theme="1"/>
      </font>
      <fill>
        <patternFill>
          <bgColor rgb="FFFF0000"/>
        </patternFill>
      </fill>
    </dxf>
    <dxf>
      <font>
        <color rgb="FFFF0000"/>
      </font>
      <fill>
        <patternFill>
          <bgColor rgb="FFFFFF00"/>
        </patternFill>
      </fill>
    </dxf>
    <dxf>
      <fill>
        <patternFill>
          <bgColor rgb="FF00B050"/>
        </patternFill>
      </fill>
    </dxf>
    <dxf>
      <fill>
        <patternFill>
          <bgColor rgb="FFCC6600"/>
        </patternFill>
      </fill>
    </dxf>
    <dxf>
      <fill>
        <patternFill>
          <bgColor rgb="FFEAEAEA"/>
        </patternFill>
      </fill>
    </dxf>
    <dxf>
      <fill>
        <patternFill>
          <bgColor rgb="FFFFD700"/>
        </patternFill>
      </fill>
    </dxf>
    <dxf>
      <font>
        <color theme="1"/>
      </font>
      <fill>
        <patternFill>
          <bgColor rgb="FFFF0000"/>
        </patternFill>
      </fill>
      <border>
        <left style="thin">
          <color auto="1"/>
        </left>
        <right style="thin">
          <color auto="1"/>
        </right>
        <top style="thin">
          <color auto="1"/>
        </top>
        <bottom style="thin">
          <color auto="1"/>
        </bottom>
        <vertical/>
        <horizontal/>
      </border>
    </dxf>
    <dxf>
      <font>
        <color theme="1"/>
      </font>
      <fill>
        <patternFill>
          <bgColor rgb="FFFF0000"/>
        </patternFill>
      </fill>
      <border>
        <left style="thin">
          <color auto="1"/>
        </left>
        <right style="thin">
          <color auto="1"/>
        </right>
        <top style="thin">
          <color auto="1"/>
        </top>
        <vertical/>
        <horizontal/>
      </border>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FFFF99"/>
        </patternFill>
      </fill>
    </dxf>
    <dxf>
      <fill>
        <patternFill>
          <bgColor rgb="FFFF0000"/>
        </patternFill>
      </fill>
    </dxf>
    <dxf>
      <fill>
        <patternFill patternType="darkGrid">
          <fgColor indexed="64"/>
        </patternFill>
      </fill>
    </dxf>
    <dxf>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92D05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theme="0"/>
      </font>
      <fill>
        <patternFill patternType="none">
          <bgColor auto="1"/>
        </patternFill>
      </fill>
    </dxf>
    <dxf>
      <font>
        <color theme="0"/>
      </font>
      <fill>
        <patternFill patternType="none">
          <bgColor auto="1"/>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theme="1"/>
      </font>
      <fill>
        <patternFill>
          <bgColor rgb="FFFF0000"/>
        </patternFill>
      </fill>
    </dxf>
    <dxf>
      <font>
        <color theme="1"/>
      </font>
      <fill>
        <patternFill>
          <bgColor rgb="FFFF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ill>
        <patternFill>
          <bgColor rgb="FFFF0000"/>
        </patternFill>
      </fill>
    </dxf>
    <dxf>
      <fill>
        <patternFill>
          <bgColor rgb="FFFFFF99"/>
        </patternFill>
      </fill>
    </dxf>
    <dxf>
      <fill>
        <patternFill patternType="darkGrid">
          <fgColor indexed="64"/>
        </patternFill>
      </fill>
    </dxf>
    <dxf>
      <fill>
        <patternFill>
          <bgColor rgb="FF92D05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patternType="darkGrid">
          <fgColor indexed="64"/>
        </patternFill>
      </fill>
    </dxf>
    <dxf>
      <fill>
        <patternFill>
          <bgColor rgb="FFFF0000"/>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92D050"/>
        </patternFill>
      </fill>
    </dxf>
    <dxf>
      <fill>
        <patternFill>
          <bgColor rgb="FFFF0000"/>
        </patternFill>
      </fill>
    </dxf>
    <dxf>
      <fill>
        <patternFill patternType="darkGrid">
          <fgColor indexed="64"/>
        </patternFill>
      </fill>
    </dxf>
    <dxf>
      <fill>
        <patternFill>
          <bgColor rgb="FFFFFF99"/>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patternType="darkGrid">
          <fgColor indexed="64"/>
        </patternFill>
      </fill>
    </dxf>
    <dxf>
      <fill>
        <patternFill>
          <bgColor rgb="FFFF0000"/>
        </patternFill>
      </fill>
    </dxf>
    <dxf>
      <fill>
        <patternFill>
          <bgColor rgb="FF92D050"/>
        </patternFill>
      </fill>
    </dxf>
    <dxf>
      <fill>
        <patternFill>
          <bgColor rgb="FFFFFF99"/>
        </patternFill>
      </fill>
    </dxf>
    <dxf>
      <fill>
        <patternFill patternType="darkGrid">
          <fgColor indexed="64"/>
        </patternFill>
      </fill>
    </dxf>
    <dxf>
      <fill>
        <patternFill>
          <bgColor rgb="FFFF0000"/>
        </patternFill>
      </fill>
    </dxf>
    <dxf>
      <fill>
        <patternFill>
          <bgColor rgb="FF92D050"/>
        </patternFill>
      </fill>
    </dxf>
    <dxf>
      <fill>
        <patternFill>
          <bgColor rgb="FFFF0000"/>
        </patternFill>
      </fill>
    </dxf>
    <dxf>
      <fill>
        <patternFill>
          <bgColor rgb="FFFFFF99"/>
        </patternFill>
      </fill>
    </dxf>
    <dxf>
      <fill>
        <patternFill patternType="darkGrid">
          <fgColor indexed="64"/>
        </patternFill>
      </fill>
    </dxf>
    <dxf>
      <fill>
        <patternFill>
          <bgColor rgb="FF92D050"/>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92D050"/>
        </patternFill>
      </fill>
    </dxf>
    <dxf>
      <fill>
        <patternFill>
          <bgColor rgb="FFFF0000"/>
        </patternFill>
      </fill>
    </dxf>
    <dxf>
      <fill>
        <patternFill patternType="darkGrid">
          <fgColor indexed="64"/>
        </patternFill>
      </fill>
    </dxf>
    <dxf>
      <fill>
        <patternFill patternType="darkGrid">
          <fgColor indexed="64"/>
        </patternFill>
      </fill>
    </dxf>
    <dxf>
      <fill>
        <patternFill>
          <bgColor rgb="FFFFFF99"/>
        </patternFill>
      </fill>
    </dxf>
    <dxf>
      <fill>
        <patternFill>
          <bgColor rgb="FF92D050"/>
        </patternFill>
      </fill>
    </dxf>
    <dxf>
      <fill>
        <patternFill>
          <bgColor rgb="FFFF0000"/>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0000"/>
        </patternFill>
      </fill>
    </dxf>
    <dxf>
      <fill>
        <patternFill>
          <bgColor rgb="FFFFFF99"/>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92D050"/>
        </patternFill>
      </fill>
    </dxf>
    <dxf>
      <fill>
        <patternFill>
          <bgColor rgb="FFFFFF99"/>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92D050"/>
        </patternFill>
      </fill>
    </dxf>
    <dxf>
      <font>
        <color auto="1"/>
      </font>
      <fill>
        <patternFill>
          <bgColor rgb="FFFF0000"/>
        </patternFill>
      </fill>
    </dxf>
    <dxf>
      <fill>
        <patternFill patternType="darkGrid">
          <fgColor indexed="64"/>
        </patternFill>
      </fill>
    </dxf>
    <dxf>
      <font>
        <color rgb="FFFFFF99"/>
      </font>
      <fill>
        <patternFill>
          <bgColor rgb="FFFFFF99"/>
        </patternFill>
      </fill>
    </dxf>
    <dxf>
      <font>
        <color rgb="FFFFFF99"/>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ill>
        <patternFill patternType="darkGrid">
          <fgColor indexed="64"/>
        </patternFill>
      </fill>
    </dxf>
    <dxf>
      <font>
        <color auto="1"/>
      </font>
      <fill>
        <patternFill>
          <bgColor rgb="FFFF0000"/>
        </patternFill>
      </fill>
    </dxf>
    <dxf>
      <font>
        <color rgb="FFFFFF99"/>
      </font>
      <fill>
        <patternFill>
          <bgColor rgb="FFFFFF99"/>
        </patternFill>
      </fill>
    </dxf>
    <dxf>
      <font>
        <color auto="1"/>
      </font>
      <fill>
        <patternFill>
          <bgColor rgb="FF92D05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auto="1"/>
      </font>
      <fill>
        <patternFill>
          <bgColor rgb="FF92D050"/>
        </patternFill>
      </fill>
    </dxf>
    <dxf>
      <fill>
        <patternFill patternType="darkGrid">
          <fgColor indexed="64"/>
        </patternFill>
      </fill>
    </dxf>
    <dxf>
      <font>
        <color auto="1"/>
      </font>
      <fill>
        <patternFill>
          <bgColor rgb="FFFF0000"/>
        </patternFill>
      </fill>
    </dxf>
    <dxf>
      <font>
        <color rgb="FFFFFF99"/>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ill>
        <patternFill>
          <bgColor rgb="FFFF0000"/>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ill>
        <patternFill patternType="darkGrid">
          <fgColor indexed="64"/>
        </patternFill>
      </fill>
    </dxf>
    <dxf>
      <fill>
        <patternFill>
          <bgColor rgb="FFFFFF99"/>
        </patternFill>
      </fill>
    </dxf>
    <dxf>
      <fill>
        <patternFill>
          <bgColor rgb="FFFF0000"/>
        </patternFill>
      </fill>
    </dxf>
    <dxf>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ill>
        <patternFill patternType="darkGrid">
          <fgColor indexed="64"/>
        </patternFill>
      </fill>
    </dxf>
    <dxf>
      <fill>
        <patternFill>
          <bgColor rgb="FFFFFF99"/>
        </patternFill>
      </fill>
    </dxf>
    <dxf>
      <fill>
        <patternFill>
          <bgColor rgb="FF92D050"/>
        </patternFill>
      </fill>
    </dxf>
    <dxf>
      <fill>
        <patternFill>
          <bgColor rgb="FFFF0000"/>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ont>
        <color rgb="FFFFFF99"/>
      </font>
      <fill>
        <patternFill>
          <bgColor rgb="FFFFFF99"/>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patternType="darkGrid">
          <fgColor indexed="64"/>
        </patternFill>
      </fill>
    </dxf>
    <dxf>
      <fill>
        <patternFill>
          <bgColor rgb="FF92D050"/>
        </patternFill>
      </fill>
    </dxf>
    <dxf>
      <fill>
        <patternFill>
          <bgColor rgb="FFFF0000"/>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ill>
        <patternFill>
          <bgColor rgb="FF92D050"/>
        </patternFill>
      </fill>
    </dxf>
    <dxf>
      <fill>
        <patternFill>
          <bgColor rgb="FFFF0000"/>
        </patternFill>
      </fill>
    </dxf>
    <dxf>
      <fill>
        <patternFill>
          <bgColor rgb="FFFFFF99"/>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bgColor rgb="FF92D050"/>
        </patternFill>
      </fill>
    </dxf>
    <dxf>
      <fill>
        <patternFill patternType="darkGrid">
          <fgColor indexed="64"/>
        </patternFill>
      </fill>
    </dxf>
    <dxf>
      <fill>
        <patternFill>
          <bgColor rgb="FFFFFF99"/>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FF00"/>
        </patternFill>
      </fill>
    </dxf>
    <dxf>
      <font>
        <color rgb="FFFF0000"/>
      </font>
      <fill>
        <patternFill>
          <bgColor rgb="FFFFFF00"/>
        </patternFill>
      </fill>
    </dxf>
    <dxf>
      <fill>
        <patternFill>
          <bgColor rgb="FF00B050"/>
        </patternFill>
      </fill>
    </dxf>
    <dxf>
      <fill>
        <patternFill>
          <bgColor rgb="FFEAEAEA"/>
        </patternFill>
      </fill>
    </dxf>
    <dxf>
      <fill>
        <patternFill>
          <bgColor rgb="FFFFD700"/>
        </patternFill>
      </fill>
    </dxf>
    <dxf>
      <fill>
        <patternFill>
          <bgColor rgb="FFCC6600"/>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auto="1"/>
      </font>
      <fill>
        <patternFill>
          <bgColor rgb="FF92D050"/>
        </patternFill>
      </fill>
    </dxf>
    <dxf>
      <fill>
        <patternFill patternType="darkGrid">
          <fgColor indexed="64"/>
        </patternFill>
      </fill>
    </dxf>
    <dxf>
      <font>
        <color auto="1"/>
      </font>
      <fill>
        <patternFill>
          <bgColor rgb="FFFF000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92D050"/>
        </patternFill>
      </fill>
    </dxf>
    <dxf>
      <fill>
        <patternFill>
          <bgColor rgb="FFFFFF99"/>
        </patternFill>
      </fill>
    </dxf>
    <dxf>
      <fill>
        <patternFill patternType="darkGrid">
          <fgColor indexed="64"/>
        </patternFill>
      </fill>
    </dxf>
    <dxf>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patternType="darkGrid">
          <fgColor indexed="64"/>
        </patternFill>
      </fill>
    </dxf>
    <dxf>
      <fill>
        <patternFill>
          <bgColor rgb="FFFF0000"/>
        </patternFill>
      </fill>
    </dxf>
    <dxf>
      <fill>
        <patternFill>
          <bgColor rgb="FF92D050"/>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FF99"/>
        </patternFill>
      </fill>
    </dxf>
    <dxf>
      <fill>
        <patternFill>
          <bgColor rgb="FF92D050"/>
        </patternFill>
      </fill>
    </dxf>
    <dxf>
      <fill>
        <patternFill>
          <bgColor rgb="FFFF0000"/>
        </patternFill>
      </fill>
    </dxf>
    <dxf>
      <fill>
        <patternFill patternType="darkGrid">
          <fgColor indexed="64"/>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bgColor rgb="FFFFFF99"/>
        </patternFill>
      </fill>
    </dxf>
    <dxf>
      <fill>
        <patternFill>
          <bgColor rgb="FF92D050"/>
        </patternFill>
      </fill>
    </dxf>
    <dxf>
      <fill>
        <patternFill patternType="darkTrellis">
          <fgColor indexed="64"/>
        </patternFill>
      </fill>
    </dxf>
    <dxf>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ill>
        <patternFill>
          <bgColor rgb="FFFF0000"/>
        </patternFill>
      </fill>
    </dxf>
    <dxf>
      <fill>
        <patternFill patternType="darkGrid">
          <fgColor indexed="64"/>
        </patternFill>
      </fill>
    </dxf>
    <dxf>
      <fill>
        <patternFill>
          <bgColor rgb="FFFFFF99"/>
        </patternFill>
      </fill>
    </dxf>
    <dxf>
      <fill>
        <patternFill>
          <bgColor rgb="FF92D050"/>
        </patternFill>
      </fill>
    </dxf>
    <dxf>
      <fill>
        <patternFill>
          <bgColor rgb="FFFF0000"/>
        </patternFill>
      </fill>
    </dxf>
    <dxf>
      <fill>
        <patternFill>
          <bgColor rgb="FFFFFF99"/>
        </patternFill>
      </fill>
    </dxf>
    <dxf>
      <fill>
        <patternFill patternType="darkGrid">
          <fgColor indexed="64"/>
        </patternFill>
      </fill>
    </dxf>
    <dxf>
      <fill>
        <patternFill>
          <bgColor rgb="FF92D05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auto="1"/>
      </font>
      <fill>
        <patternFill>
          <bgColor rgb="FF92D05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ill>
        <patternFill>
          <bgColor rgb="FFFF0000"/>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ill>
        <patternFill>
          <bgColor rgb="FFFFD700"/>
        </patternFill>
      </fill>
    </dxf>
    <dxf>
      <fill>
        <patternFill>
          <bgColor rgb="FF00B050"/>
        </patternFill>
      </fill>
    </dxf>
    <dxf>
      <fill>
        <patternFill>
          <bgColor rgb="FFEAEAEA"/>
        </patternFill>
      </fill>
    </dxf>
    <dxf>
      <fill>
        <patternFill>
          <bgColor rgb="FFCC6600"/>
        </patternFill>
      </fill>
    </dxf>
    <dxf>
      <fill>
        <patternFill>
          <bgColor rgb="FF92D050"/>
        </patternFill>
      </fill>
    </dxf>
    <dxf>
      <fill>
        <patternFill>
          <bgColor rgb="FFFFFF99"/>
        </patternFill>
      </fill>
    </dxf>
    <dxf>
      <fill>
        <patternFill patternType="lightGray"/>
      </fill>
    </dxf>
    <dxf>
      <fill>
        <patternFill>
          <bgColor rgb="FF92D050"/>
        </patternFill>
      </fill>
    </dxf>
    <dxf>
      <fill>
        <patternFill>
          <bgColor rgb="FFFF0000"/>
        </patternFill>
      </fill>
    </dxf>
    <dxf>
      <font>
        <color theme="1"/>
      </font>
    </dxf>
    <dxf>
      <font>
        <color rgb="FF92D050"/>
      </font>
      <fill>
        <patternFill>
          <bgColor rgb="FF92D050"/>
        </patternFill>
      </fill>
    </dxf>
    <dxf>
      <fill>
        <patternFill patternType="lightGray"/>
      </fill>
    </dxf>
    <dxf>
      <fill>
        <patternFill patternType="lightGray"/>
      </fill>
    </dxf>
    <dxf>
      <font>
        <color theme="1"/>
      </font>
    </dxf>
    <dxf>
      <font>
        <color theme="1"/>
      </font>
    </dxf>
    <dxf>
      <font>
        <color auto="1"/>
      </font>
      <fill>
        <patternFill>
          <bgColor rgb="FFFFFF99"/>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colors>
    <mruColors>
      <color rgb="FFFFFF99"/>
      <color rgb="FF37CBFF"/>
      <color rgb="FFFF9393"/>
      <color rgb="FFFFB1B1"/>
      <color rgb="FFFFD700"/>
      <color rgb="FF8FE2FF"/>
      <color rgb="FFCC6600"/>
      <color rgb="FFCCFF66"/>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fmlaLink="$G$8" lockText="1" noThreeD="1"/>
</file>

<file path=xl/ctrlProps/ctrlProp10.xml><?xml version="1.0" encoding="utf-8"?>
<formControlPr xmlns="http://schemas.microsoft.com/office/spreadsheetml/2009/9/main" objectType="CheckBox" fmlaLink="$W$43" lockText="1" noThreeD="1"/>
</file>

<file path=xl/ctrlProps/ctrlProp100.xml><?xml version="1.0" encoding="utf-8"?>
<formControlPr xmlns="http://schemas.microsoft.com/office/spreadsheetml/2009/9/main" objectType="CheckBox" fmlaLink="$W$55" lockText="1" noThreeD="1"/>
</file>

<file path=xl/ctrlProps/ctrlProp101.xml><?xml version="1.0" encoding="utf-8"?>
<formControlPr xmlns="http://schemas.microsoft.com/office/spreadsheetml/2009/9/main" objectType="CheckBox" fmlaLink="$W$56" lockText="1" noThreeD="1"/>
</file>

<file path=xl/ctrlProps/ctrlProp102.xml><?xml version="1.0" encoding="utf-8"?>
<formControlPr xmlns="http://schemas.microsoft.com/office/spreadsheetml/2009/9/main" objectType="CheckBox" fmlaLink="$W$80" lockText="1" noThreeD="1"/>
</file>

<file path=xl/ctrlProps/ctrlProp103.xml><?xml version="1.0" encoding="utf-8"?>
<formControlPr xmlns="http://schemas.microsoft.com/office/spreadsheetml/2009/9/main" objectType="CheckBox" fmlaLink="$W$96" lockText="1" noThreeD="1"/>
</file>

<file path=xl/ctrlProps/ctrlProp104.xml><?xml version="1.0" encoding="utf-8"?>
<formControlPr xmlns="http://schemas.microsoft.com/office/spreadsheetml/2009/9/main" objectType="CheckBox" fmlaLink="$W$100" lockText="1" noThreeD="1"/>
</file>

<file path=xl/ctrlProps/ctrlProp105.xml><?xml version="1.0" encoding="utf-8"?>
<formControlPr xmlns="http://schemas.microsoft.com/office/spreadsheetml/2009/9/main" objectType="CheckBox" fmlaLink="$W$101" lockText="1" noThreeD="1"/>
</file>

<file path=xl/ctrlProps/ctrlProp106.xml><?xml version="1.0" encoding="utf-8"?>
<formControlPr xmlns="http://schemas.microsoft.com/office/spreadsheetml/2009/9/main" objectType="CheckBox" fmlaLink="$W$103" lockText="1" noThreeD="1"/>
</file>

<file path=xl/ctrlProps/ctrlProp107.xml><?xml version="1.0" encoding="utf-8"?>
<formControlPr xmlns="http://schemas.microsoft.com/office/spreadsheetml/2009/9/main" objectType="CheckBox" checked="Checked" fmlaLink="$W$105" lockText="1" noThreeD="1"/>
</file>

<file path=xl/ctrlProps/ctrlProp108.xml><?xml version="1.0" encoding="utf-8"?>
<formControlPr xmlns="http://schemas.microsoft.com/office/spreadsheetml/2009/9/main" objectType="CheckBox" fmlaLink="$W$111" lockText="1" noThreeD="1"/>
</file>

<file path=xl/ctrlProps/ctrlProp109.xml><?xml version="1.0" encoding="utf-8"?>
<formControlPr xmlns="http://schemas.microsoft.com/office/spreadsheetml/2009/9/main" objectType="CheckBox" fmlaLink="$W$117" lockText="1" noThreeD="1"/>
</file>

<file path=xl/ctrlProps/ctrlProp11.xml><?xml version="1.0" encoding="utf-8"?>
<formControlPr xmlns="http://schemas.microsoft.com/office/spreadsheetml/2009/9/main" objectType="CheckBox" fmlaLink="$W$59" lockText="1" noThreeD="1"/>
</file>

<file path=xl/ctrlProps/ctrlProp110.xml><?xml version="1.0" encoding="utf-8"?>
<formControlPr xmlns="http://schemas.microsoft.com/office/spreadsheetml/2009/9/main" objectType="CheckBox" fmlaLink="$W$123" lockText="1" noThreeD="1"/>
</file>

<file path=xl/ctrlProps/ctrlProp111.xml><?xml version="1.0" encoding="utf-8"?>
<formControlPr xmlns="http://schemas.microsoft.com/office/spreadsheetml/2009/9/main" objectType="CheckBox" fmlaLink="$W$125" lockText="1" noThreeD="1"/>
</file>

<file path=xl/ctrlProps/ctrlProp112.xml><?xml version="1.0" encoding="utf-8"?>
<formControlPr xmlns="http://schemas.microsoft.com/office/spreadsheetml/2009/9/main" objectType="CheckBox" fmlaLink="$W$131" lockText="1" noThreeD="1"/>
</file>

<file path=xl/ctrlProps/ctrlProp113.xml><?xml version="1.0" encoding="utf-8"?>
<formControlPr xmlns="http://schemas.microsoft.com/office/spreadsheetml/2009/9/main" objectType="CheckBox" fmlaLink="$W$135" lockText="1" noThreeD="1"/>
</file>

<file path=xl/ctrlProps/ctrlProp114.xml><?xml version="1.0" encoding="utf-8"?>
<formControlPr xmlns="http://schemas.microsoft.com/office/spreadsheetml/2009/9/main" objectType="CheckBox" fmlaLink="$W$139" lockText="1" noThreeD="1"/>
</file>

<file path=xl/ctrlProps/ctrlProp115.xml><?xml version="1.0" encoding="utf-8"?>
<formControlPr xmlns="http://schemas.microsoft.com/office/spreadsheetml/2009/9/main" objectType="CheckBox" checked="Checked" fmlaLink="$W$144" lockText="1" noThreeD="1"/>
</file>

<file path=xl/ctrlProps/ctrlProp116.xml><?xml version="1.0" encoding="utf-8"?>
<formControlPr xmlns="http://schemas.microsoft.com/office/spreadsheetml/2009/9/main" objectType="CheckBox" fmlaLink="$W$149" lockText="1" noThreeD="1"/>
</file>

<file path=xl/ctrlProps/ctrlProp117.xml><?xml version="1.0" encoding="utf-8"?>
<formControlPr xmlns="http://schemas.microsoft.com/office/spreadsheetml/2009/9/main" objectType="CheckBox" fmlaLink="$W$151" lockText="1" noThreeD="1"/>
</file>

<file path=xl/ctrlProps/ctrlProp118.xml><?xml version="1.0" encoding="utf-8"?>
<formControlPr xmlns="http://schemas.microsoft.com/office/spreadsheetml/2009/9/main" objectType="CheckBox" fmlaLink="$W$153" lockText="1" noThreeD="1"/>
</file>

<file path=xl/ctrlProps/ctrlProp119.xml><?xml version="1.0" encoding="utf-8"?>
<formControlPr xmlns="http://schemas.microsoft.com/office/spreadsheetml/2009/9/main" objectType="CheckBox" checked="Checked" fmlaLink="$W$165" lockText="1" noThreeD="1"/>
</file>

<file path=xl/ctrlProps/ctrlProp12.xml><?xml version="1.0" encoding="utf-8"?>
<formControlPr xmlns="http://schemas.microsoft.com/office/spreadsheetml/2009/9/main" objectType="CheckBox" fmlaLink="$W$70" lockText="1" noThreeD="1"/>
</file>

<file path=xl/ctrlProps/ctrlProp120.xml><?xml version="1.0" encoding="utf-8"?>
<formControlPr xmlns="http://schemas.microsoft.com/office/spreadsheetml/2009/9/main" objectType="CheckBox" fmlaLink="$W$175" lockText="1" noThreeD="1"/>
</file>

<file path=xl/ctrlProps/ctrlProp121.xml><?xml version="1.0" encoding="utf-8"?>
<formControlPr xmlns="http://schemas.microsoft.com/office/spreadsheetml/2009/9/main" objectType="CheckBox" fmlaLink="$W$178" lockText="1" noThreeD="1"/>
</file>

<file path=xl/ctrlProps/ctrlProp122.xml><?xml version="1.0" encoding="utf-8"?>
<formControlPr xmlns="http://schemas.microsoft.com/office/spreadsheetml/2009/9/main" objectType="CheckBox" fmlaLink="$W$179" lockText="1" noThreeD="1"/>
</file>

<file path=xl/ctrlProps/ctrlProp123.xml><?xml version="1.0" encoding="utf-8"?>
<formControlPr xmlns="http://schemas.microsoft.com/office/spreadsheetml/2009/9/main" objectType="CheckBox" fmlaLink="$W$189" lockText="1" noThreeD="1"/>
</file>

<file path=xl/ctrlProps/ctrlProp124.xml><?xml version="1.0" encoding="utf-8"?>
<formControlPr xmlns="http://schemas.microsoft.com/office/spreadsheetml/2009/9/main" objectType="CheckBox" fmlaLink="$W$191" lockText="1" noThreeD="1"/>
</file>

<file path=xl/ctrlProps/ctrlProp125.xml><?xml version="1.0" encoding="utf-8"?>
<formControlPr xmlns="http://schemas.microsoft.com/office/spreadsheetml/2009/9/main" objectType="CheckBox" checked="Checked" fmlaLink="$W$207" lockText="1" noThreeD="1"/>
</file>

<file path=xl/ctrlProps/ctrlProp126.xml><?xml version="1.0" encoding="utf-8"?>
<formControlPr xmlns="http://schemas.microsoft.com/office/spreadsheetml/2009/9/main" objectType="CheckBox" checked="Checked" fmlaLink="$W$218" lockText="1" noThreeD="1"/>
</file>

<file path=xl/ctrlProps/ctrlProp127.xml><?xml version="1.0" encoding="utf-8"?>
<formControlPr xmlns="http://schemas.microsoft.com/office/spreadsheetml/2009/9/main" objectType="CheckBox" checked="Checked" fmlaLink="$W$219" lockText="1" noThreeD="1"/>
</file>

<file path=xl/ctrlProps/ctrlProp128.xml><?xml version="1.0" encoding="utf-8"?>
<formControlPr xmlns="http://schemas.microsoft.com/office/spreadsheetml/2009/9/main" objectType="CheckBox" fmlaLink="$W$227" lockText="1" noThreeD="1"/>
</file>

<file path=xl/ctrlProps/ctrlProp129.xml><?xml version="1.0" encoding="utf-8"?>
<formControlPr xmlns="http://schemas.microsoft.com/office/spreadsheetml/2009/9/main" objectType="CheckBox" fmlaLink="$W$229" lockText="1" noThreeD="1"/>
</file>

<file path=xl/ctrlProps/ctrlProp13.xml><?xml version="1.0" encoding="utf-8"?>
<formControlPr xmlns="http://schemas.microsoft.com/office/spreadsheetml/2009/9/main" objectType="CheckBox" fmlaLink="$W$72" lockText="1" noThreeD="1"/>
</file>

<file path=xl/ctrlProps/ctrlProp130.xml><?xml version="1.0" encoding="utf-8"?>
<formControlPr xmlns="http://schemas.microsoft.com/office/spreadsheetml/2009/9/main" objectType="CheckBox" fmlaLink="$W$230" lockText="1" noThreeD="1"/>
</file>

<file path=xl/ctrlProps/ctrlProp131.xml><?xml version="1.0" encoding="utf-8"?>
<formControlPr xmlns="http://schemas.microsoft.com/office/spreadsheetml/2009/9/main" objectType="CheckBox" checked="Checked" fmlaLink="$W$233" lockText="1" noThreeD="1"/>
</file>

<file path=xl/ctrlProps/ctrlProp132.xml><?xml version="1.0" encoding="utf-8"?>
<formControlPr xmlns="http://schemas.microsoft.com/office/spreadsheetml/2009/9/main" objectType="CheckBox" checked="Checked" fmlaLink="$W$237" lockText="1" noThreeD="1"/>
</file>

<file path=xl/ctrlProps/ctrlProp133.xml><?xml version="1.0" encoding="utf-8"?>
<formControlPr xmlns="http://schemas.microsoft.com/office/spreadsheetml/2009/9/main" objectType="CheckBox" checked="Checked" fmlaLink="$W$242" lockText="1" noThreeD="1"/>
</file>

<file path=xl/ctrlProps/ctrlProp134.xml><?xml version="1.0" encoding="utf-8"?>
<formControlPr xmlns="http://schemas.microsoft.com/office/spreadsheetml/2009/9/main" objectType="CheckBox" checked="Checked" fmlaLink="$W$244" lockText="1" noThreeD="1"/>
</file>

<file path=xl/ctrlProps/ctrlProp135.xml><?xml version="1.0" encoding="utf-8"?>
<formControlPr xmlns="http://schemas.microsoft.com/office/spreadsheetml/2009/9/main" objectType="CheckBox" fmlaLink="$W$261" lockText="1" noThreeD="1"/>
</file>

<file path=xl/ctrlProps/ctrlProp136.xml><?xml version="1.0" encoding="utf-8"?>
<formControlPr xmlns="http://schemas.microsoft.com/office/spreadsheetml/2009/9/main" objectType="CheckBox" fmlaLink="$W$278" lockText="1" noThreeD="1"/>
</file>

<file path=xl/ctrlProps/ctrlProp137.xml><?xml version="1.0" encoding="utf-8"?>
<formControlPr xmlns="http://schemas.microsoft.com/office/spreadsheetml/2009/9/main" objectType="CheckBox" fmlaLink="$W$291" lockText="1" noThreeD="1"/>
</file>

<file path=xl/ctrlProps/ctrlProp138.xml><?xml version="1.0" encoding="utf-8"?>
<formControlPr xmlns="http://schemas.microsoft.com/office/spreadsheetml/2009/9/main" objectType="CheckBox" fmlaLink="$W$293" lockText="1" noThreeD="1"/>
</file>

<file path=xl/ctrlProps/ctrlProp139.xml><?xml version="1.0" encoding="utf-8"?>
<formControlPr xmlns="http://schemas.microsoft.com/office/spreadsheetml/2009/9/main" objectType="CheckBox" fmlaLink="$W$306" lockText="1" noThreeD="1"/>
</file>

<file path=xl/ctrlProps/ctrlProp14.xml><?xml version="1.0" encoding="utf-8"?>
<formControlPr xmlns="http://schemas.microsoft.com/office/spreadsheetml/2009/9/main" objectType="CheckBox" fmlaLink="$W$74" lockText="1" noThreeD="1"/>
</file>

<file path=xl/ctrlProps/ctrlProp140.xml><?xml version="1.0" encoding="utf-8"?>
<formControlPr xmlns="http://schemas.microsoft.com/office/spreadsheetml/2009/9/main" objectType="CheckBox" fmlaLink="$W$307" lockText="1" noThreeD="1"/>
</file>

<file path=xl/ctrlProps/ctrlProp141.xml><?xml version="1.0" encoding="utf-8"?>
<formControlPr xmlns="http://schemas.microsoft.com/office/spreadsheetml/2009/9/main" objectType="CheckBox" fmlaLink="$W$308" lockText="1" noThreeD="1"/>
</file>

<file path=xl/ctrlProps/ctrlProp142.xml><?xml version="1.0" encoding="utf-8"?>
<formControlPr xmlns="http://schemas.microsoft.com/office/spreadsheetml/2009/9/main" objectType="CheckBox" fmlaLink="$W$309" lockText="1" noThreeD="1"/>
</file>

<file path=xl/ctrlProps/ctrlProp143.xml><?xml version="1.0" encoding="utf-8"?>
<formControlPr xmlns="http://schemas.microsoft.com/office/spreadsheetml/2009/9/main" objectType="CheckBox" fmlaLink="$W$310" lockText="1" noThreeD="1"/>
</file>

<file path=xl/ctrlProps/ctrlProp144.xml><?xml version="1.0" encoding="utf-8"?>
<formControlPr xmlns="http://schemas.microsoft.com/office/spreadsheetml/2009/9/main" objectType="CheckBox" fmlaLink="$W$311" lockText="1" noThreeD="1"/>
</file>

<file path=xl/ctrlProps/ctrlProp145.xml><?xml version="1.0" encoding="utf-8"?>
<formControlPr xmlns="http://schemas.microsoft.com/office/spreadsheetml/2009/9/main" objectType="CheckBox" fmlaLink="$W$312" lockText="1" noThreeD="1"/>
</file>

<file path=xl/ctrlProps/ctrlProp146.xml><?xml version="1.0" encoding="utf-8"?>
<formControlPr xmlns="http://schemas.microsoft.com/office/spreadsheetml/2009/9/main" objectType="CheckBox" fmlaLink="$W$313" lockText="1" noThreeD="1"/>
</file>

<file path=xl/ctrlProps/ctrlProp147.xml><?xml version="1.0" encoding="utf-8"?>
<formControlPr xmlns="http://schemas.microsoft.com/office/spreadsheetml/2009/9/main" objectType="CheckBox" fmlaLink="$W$314" lockText="1" noThreeD="1"/>
</file>

<file path=xl/ctrlProps/ctrlProp148.xml><?xml version="1.0" encoding="utf-8"?>
<formControlPr xmlns="http://schemas.microsoft.com/office/spreadsheetml/2009/9/main" objectType="CheckBox" checked="Checked" fmlaLink="$W$365" lockText="1" noThreeD="1"/>
</file>

<file path=xl/ctrlProps/ctrlProp149.xml><?xml version="1.0" encoding="utf-8"?>
<formControlPr xmlns="http://schemas.microsoft.com/office/spreadsheetml/2009/9/main" objectType="CheckBox" fmlaLink="$W$370" lockText="1" noThreeD="1"/>
</file>

<file path=xl/ctrlProps/ctrlProp15.xml><?xml version="1.0" encoding="utf-8"?>
<formControlPr xmlns="http://schemas.microsoft.com/office/spreadsheetml/2009/9/main" objectType="CheckBox" checked="Checked" fmlaLink="$W$76" lockText="1" noThreeD="1"/>
</file>

<file path=xl/ctrlProps/ctrlProp150.xml><?xml version="1.0" encoding="utf-8"?>
<formControlPr xmlns="http://schemas.microsoft.com/office/spreadsheetml/2009/9/main" objectType="CheckBox" checked="Checked" fmlaLink="$W$376" lockText="1" noThreeD="1"/>
</file>

<file path=xl/ctrlProps/ctrlProp151.xml><?xml version="1.0" encoding="utf-8"?>
<formControlPr xmlns="http://schemas.microsoft.com/office/spreadsheetml/2009/9/main" objectType="CheckBox" fmlaLink="$W$409" lockText="1" noThreeD="1"/>
</file>

<file path=xl/ctrlProps/ctrlProp152.xml><?xml version="1.0" encoding="utf-8"?>
<formControlPr xmlns="http://schemas.microsoft.com/office/spreadsheetml/2009/9/main" objectType="CheckBox" fmlaLink="$W$418" lockText="1" noThreeD="1"/>
</file>

<file path=xl/ctrlProps/ctrlProp153.xml><?xml version="1.0" encoding="utf-8"?>
<formControlPr xmlns="http://schemas.microsoft.com/office/spreadsheetml/2009/9/main" objectType="CheckBox" fmlaLink="$W$426" lockText="1" noThreeD="1"/>
</file>

<file path=xl/ctrlProps/ctrlProp154.xml><?xml version="1.0" encoding="utf-8"?>
<formControlPr xmlns="http://schemas.microsoft.com/office/spreadsheetml/2009/9/main" objectType="CheckBox" fmlaLink="$W$506" lockText="1" noThreeD="1"/>
</file>

<file path=xl/ctrlProps/ctrlProp155.xml><?xml version="1.0" encoding="utf-8"?>
<formControlPr xmlns="http://schemas.microsoft.com/office/spreadsheetml/2009/9/main" objectType="CheckBox" fmlaLink="$W$507" lockText="1" noThreeD="1"/>
</file>

<file path=xl/ctrlProps/ctrlProp156.xml><?xml version="1.0" encoding="utf-8"?>
<formControlPr xmlns="http://schemas.microsoft.com/office/spreadsheetml/2009/9/main" objectType="CheckBox" fmlaLink="$W$509" lockText="1" noThreeD="1"/>
</file>

<file path=xl/ctrlProps/ctrlProp157.xml><?xml version="1.0" encoding="utf-8"?>
<formControlPr xmlns="http://schemas.microsoft.com/office/spreadsheetml/2009/9/main" objectType="CheckBox" fmlaLink="$W$511" lockText="1" noThreeD="1"/>
</file>

<file path=xl/ctrlProps/ctrlProp158.xml><?xml version="1.0" encoding="utf-8"?>
<formControlPr xmlns="http://schemas.microsoft.com/office/spreadsheetml/2009/9/main" objectType="CheckBox" fmlaLink="$W$513" lockText="1" noThreeD="1"/>
</file>

<file path=xl/ctrlProps/ctrlProp159.xml><?xml version="1.0" encoding="utf-8"?>
<formControlPr xmlns="http://schemas.microsoft.com/office/spreadsheetml/2009/9/main" objectType="CheckBox" fmlaLink="$W$515" lockText="1" noThreeD="1"/>
</file>

<file path=xl/ctrlProps/ctrlProp16.xml><?xml version="1.0" encoding="utf-8"?>
<formControlPr xmlns="http://schemas.microsoft.com/office/spreadsheetml/2009/9/main" objectType="CheckBox" fmlaLink="$W$78" lockText="1" noThreeD="1"/>
</file>

<file path=xl/ctrlProps/ctrlProp160.xml><?xml version="1.0" encoding="utf-8"?>
<formControlPr xmlns="http://schemas.microsoft.com/office/spreadsheetml/2009/9/main" objectType="CheckBox" fmlaLink="$W$517" lockText="1" noThreeD="1"/>
</file>

<file path=xl/ctrlProps/ctrlProp161.xml><?xml version="1.0" encoding="utf-8"?>
<formControlPr xmlns="http://schemas.microsoft.com/office/spreadsheetml/2009/9/main" objectType="CheckBox" fmlaLink="$W$521" lockText="1" noThreeD="1"/>
</file>

<file path=xl/ctrlProps/ctrlProp162.xml><?xml version="1.0" encoding="utf-8"?>
<formControlPr xmlns="http://schemas.microsoft.com/office/spreadsheetml/2009/9/main" objectType="CheckBox" fmlaLink="$W$526" lockText="1" noThreeD="1"/>
</file>

<file path=xl/ctrlProps/ctrlProp163.xml><?xml version="1.0" encoding="utf-8"?>
<formControlPr xmlns="http://schemas.microsoft.com/office/spreadsheetml/2009/9/main" objectType="CheckBox" fmlaLink="$W$530" lockText="1" noThreeD="1"/>
</file>

<file path=xl/ctrlProps/ctrlProp164.xml><?xml version="1.0" encoding="utf-8"?>
<formControlPr xmlns="http://schemas.microsoft.com/office/spreadsheetml/2009/9/main" objectType="CheckBox" fmlaLink="$W$532" lockText="1" noThreeD="1"/>
</file>

<file path=xl/ctrlProps/ctrlProp165.xml><?xml version="1.0" encoding="utf-8"?>
<formControlPr xmlns="http://schemas.microsoft.com/office/spreadsheetml/2009/9/main" objectType="CheckBox" fmlaLink="$W$534" lockText="1" noThreeD="1"/>
</file>

<file path=xl/ctrlProps/ctrlProp166.xml><?xml version="1.0" encoding="utf-8"?>
<formControlPr xmlns="http://schemas.microsoft.com/office/spreadsheetml/2009/9/main" objectType="CheckBox" fmlaLink="$W$535" lockText="1" noThreeD="1"/>
</file>

<file path=xl/ctrlProps/ctrlProp167.xml><?xml version="1.0" encoding="utf-8"?>
<formControlPr xmlns="http://schemas.microsoft.com/office/spreadsheetml/2009/9/main" objectType="CheckBox" fmlaLink="$W$536" lockText="1" noThreeD="1"/>
</file>

<file path=xl/ctrlProps/ctrlProp168.xml><?xml version="1.0" encoding="utf-8"?>
<formControlPr xmlns="http://schemas.microsoft.com/office/spreadsheetml/2009/9/main" objectType="CheckBox" checked="Checked" fmlaLink="$W$540" lockText="1" noThreeD="1"/>
</file>

<file path=xl/ctrlProps/ctrlProp169.xml><?xml version="1.0" encoding="utf-8"?>
<formControlPr xmlns="http://schemas.microsoft.com/office/spreadsheetml/2009/9/main" objectType="CheckBox" fmlaLink="$W$220" lockText="1" noThreeD="1"/>
</file>

<file path=xl/ctrlProps/ctrlProp17.xml><?xml version="1.0" encoding="utf-8"?>
<formControlPr xmlns="http://schemas.microsoft.com/office/spreadsheetml/2009/9/main" objectType="CheckBox" fmlaLink="$W$80" lockText="1" noThreeD="1"/>
</file>

<file path=xl/ctrlProps/ctrlProp170.xml><?xml version="1.0" encoding="utf-8"?>
<formControlPr xmlns="http://schemas.microsoft.com/office/spreadsheetml/2009/9/main" objectType="CheckBox" checked="Checked" fmlaLink="$W$275" lockText="1" noThreeD="1"/>
</file>

<file path=xl/ctrlProps/ctrlProp171.xml><?xml version="1.0" encoding="utf-8"?>
<formControlPr xmlns="http://schemas.microsoft.com/office/spreadsheetml/2009/9/main" objectType="CheckBox" checked="Checked" fmlaLink="$W$63" lockText="1" noThreeD="1"/>
</file>

<file path=xl/ctrlProps/ctrlProp172.xml><?xml version="1.0" encoding="utf-8"?>
<formControlPr xmlns="http://schemas.microsoft.com/office/spreadsheetml/2009/9/main" objectType="CheckBox" checked="Checked" fmlaLink="$W$68" lockText="1" noThreeD="1"/>
</file>

<file path=xl/ctrlProps/ctrlProp173.xml><?xml version="1.0" encoding="utf-8"?>
<formControlPr xmlns="http://schemas.microsoft.com/office/spreadsheetml/2009/9/main" objectType="CheckBox" fmlaLink="$W$85" lockText="1" noThreeD="1"/>
</file>

<file path=xl/ctrlProps/ctrlProp174.xml><?xml version="1.0" encoding="utf-8"?>
<formControlPr xmlns="http://schemas.microsoft.com/office/spreadsheetml/2009/9/main" objectType="CheckBox" checked="Checked" fmlaLink="$W$150" lockText="1" noThreeD="1"/>
</file>

<file path=xl/ctrlProps/ctrlProp175.xml><?xml version="1.0" encoding="utf-8"?>
<formControlPr xmlns="http://schemas.microsoft.com/office/spreadsheetml/2009/9/main" objectType="CheckBox" checked="Checked" fmlaLink="$W$170" lockText="1" noThreeD="1"/>
</file>

<file path=xl/ctrlProps/ctrlProp176.xml><?xml version="1.0" encoding="utf-8"?>
<formControlPr xmlns="http://schemas.microsoft.com/office/spreadsheetml/2009/9/main" objectType="CheckBox" checked="Checked" fmlaLink="$W$172" lockText="1" noThreeD="1"/>
</file>

<file path=xl/ctrlProps/ctrlProp177.xml><?xml version="1.0" encoding="utf-8"?>
<formControlPr xmlns="http://schemas.microsoft.com/office/spreadsheetml/2009/9/main" objectType="CheckBox" fmlaLink="$W$179" lockText="1" noThreeD="1"/>
</file>

<file path=xl/ctrlProps/ctrlProp178.xml><?xml version="1.0" encoding="utf-8"?>
<formControlPr xmlns="http://schemas.microsoft.com/office/spreadsheetml/2009/9/main" objectType="CheckBox" checked="Checked" fmlaLink="$W$77" lockText="1" noThreeD="1"/>
</file>

<file path=xl/ctrlProps/ctrlProp179.xml><?xml version="1.0" encoding="utf-8"?>
<formControlPr xmlns="http://schemas.microsoft.com/office/spreadsheetml/2009/9/main" objectType="CheckBox" checked="Checked" fmlaLink="$W$80" lockText="1" noThreeD="1"/>
</file>

<file path=xl/ctrlProps/ctrlProp18.xml><?xml version="1.0" encoding="utf-8"?>
<formControlPr xmlns="http://schemas.microsoft.com/office/spreadsheetml/2009/9/main" objectType="CheckBox" fmlaLink="$W$82" lockText="1" noThreeD="1"/>
</file>

<file path=xl/ctrlProps/ctrlProp180.xml><?xml version="1.0" encoding="utf-8"?>
<formControlPr xmlns="http://schemas.microsoft.com/office/spreadsheetml/2009/9/main" objectType="CheckBox" checked="Checked" fmlaLink="$W$81" lockText="1" noThreeD="1"/>
</file>

<file path=xl/ctrlProps/ctrlProp181.xml><?xml version="1.0" encoding="utf-8"?>
<formControlPr xmlns="http://schemas.microsoft.com/office/spreadsheetml/2009/9/main" objectType="CheckBox" checked="Checked" fmlaLink="$W$121" lockText="1" noThreeD="1"/>
</file>

<file path=xl/ctrlProps/ctrlProp182.xml><?xml version="1.0" encoding="utf-8"?>
<formControlPr xmlns="http://schemas.microsoft.com/office/spreadsheetml/2009/9/main" objectType="CheckBox" checked="Checked" fmlaLink="$W$124" lockText="1" noThreeD="1"/>
</file>

<file path=xl/ctrlProps/ctrlProp183.xml><?xml version="1.0" encoding="utf-8"?>
<formControlPr xmlns="http://schemas.microsoft.com/office/spreadsheetml/2009/9/main" objectType="CheckBox" fmlaLink="$W$173" lockText="1" noThreeD="1"/>
</file>

<file path=xl/ctrlProps/ctrlProp184.xml><?xml version="1.0" encoding="utf-8"?>
<formControlPr xmlns="http://schemas.microsoft.com/office/spreadsheetml/2009/9/main" objectType="CheckBox" checked="Checked" fmlaLink="$W$196" lockText="1" noThreeD="1"/>
</file>

<file path=xl/ctrlProps/ctrlProp185.xml><?xml version="1.0" encoding="utf-8"?>
<formControlPr xmlns="http://schemas.microsoft.com/office/spreadsheetml/2009/9/main" objectType="CheckBox" checked="Checked" fmlaLink="$W$211" lockText="1" noThreeD="1"/>
</file>

<file path=xl/ctrlProps/ctrlProp186.xml><?xml version="1.0" encoding="utf-8"?>
<formControlPr xmlns="http://schemas.microsoft.com/office/spreadsheetml/2009/9/main" objectType="CheckBox" fmlaLink="$W$220" lockText="1" noThreeD="1"/>
</file>

<file path=xl/ctrlProps/ctrlProp187.xml><?xml version="1.0" encoding="utf-8"?>
<formControlPr xmlns="http://schemas.microsoft.com/office/spreadsheetml/2009/9/main" objectType="CheckBox" fmlaLink="$W$229" lockText="1" noThreeD="1"/>
</file>

<file path=xl/ctrlProps/ctrlProp188.xml><?xml version="1.0" encoding="utf-8"?>
<formControlPr xmlns="http://schemas.microsoft.com/office/spreadsheetml/2009/9/main" objectType="CheckBox" fmlaLink="$W$666" lockText="1" noThreeD="1"/>
</file>

<file path=xl/ctrlProps/ctrlProp189.xml><?xml version="1.0" encoding="utf-8"?>
<formControlPr xmlns="http://schemas.microsoft.com/office/spreadsheetml/2009/9/main" objectType="CheckBox" fmlaLink="$W$667" lockText="1" noThreeD="1"/>
</file>

<file path=xl/ctrlProps/ctrlProp19.xml><?xml version="1.0" encoding="utf-8"?>
<formControlPr xmlns="http://schemas.microsoft.com/office/spreadsheetml/2009/9/main" objectType="CheckBox" fmlaLink="$W$91" lockText="1" noThreeD="1"/>
</file>

<file path=xl/ctrlProps/ctrlProp190.xml><?xml version="1.0" encoding="utf-8"?>
<formControlPr xmlns="http://schemas.microsoft.com/office/spreadsheetml/2009/9/main" objectType="CheckBox" fmlaLink="$W$668" lockText="1" noThreeD="1"/>
</file>

<file path=xl/ctrlProps/ctrlProp191.xml><?xml version="1.0" encoding="utf-8"?>
<formControlPr xmlns="http://schemas.microsoft.com/office/spreadsheetml/2009/9/main" objectType="CheckBox" fmlaLink="$W$669" lockText="1" noThreeD="1"/>
</file>

<file path=xl/ctrlProps/ctrlProp192.xml><?xml version="1.0" encoding="utf-8"?>
<formControlPr xmlns="http://schemas.microsoft.com/office/spreadsheetml/2009/9/main" objectType="CheckBox" fmlaLink="$W$671" lockText="1" noThreeD="1"/>
</file>

<file path=xl/ctrlProps/ctrlProp193.xml><?xml version="1.0" encoding="utf-8"?>
<formControlPr xmlns="http://schemas.microsoft.com/office/spreadsheetml/2009/9/main" objectType="CheckBox" fmlaLink="$W$674" lockText="1" noThreeD="1"/>
</file>

<file path=xl/ctrlProps/ctrlProp194.xml><?xml version="1.0" encoding="utf-8"?>
<formControlPr xmlns="http://schemas.microsoft.com/office/spreadsheetml/2009/9/main" objectType="CheckBox" fmlaLink="$W$694" lockText="1" noThreeD="1"/>
</file>

<file path=xl/ctrlProps/ctrlProp195.xml><?xml version="1.0" encoding="utf-8"?>
<formControlPr xmlns="http://schemas.microsoft.com/office/spreadsheetml/2009/9/main" objectType="CheckBox" fmlaLink="$W$695" lockText="1" noThreeD="1"/>
</file>

<file path=xl/ctrlProps/ctrlProp196.xml><?xml version="1.0" encoding="utf-8"?>
<formControlPr xmlns="http://schemas.microsoft.com/office/spreadsheetml/2009/9/main" objectType="CheckBox" fmlaLink="$W$696" lockText="1" noThreeD="1"/>
</file>

<file path=xl/ctrlProps/ctrlProp197.xml><?xml version="1.0" encoding="utf-8"?>
<formControlPr xmlns="http://schemas.microsoft.com/office/spreadsheetml/2009/9/main" objectType="CheckBox" fmlaLink="$W$697" lockText="1" noThreeD="1"/>
</file>

<file path=xl/ctrlProps/ctrlProp198.xml><?xml version="1.0" encoding="utf-8"?>
<formControlPr xmlns="http://schemas.microsoft.com/office/spreadsheetml/2009/9/main" objectType="CheckBox" fmlaLink="$W$698" lockText="1" noThreeD="1"/>
</file>

<file path=xl/ctrlProps/ctrlProp199.xml><?xml version="1.0" encoding="utf-8"?>
<formControlPr xmlns="http://schemas.microsoft.com/office/spreadsheetml/2009/9/main" objectType="CheckBox" fmlaLink="$W$699" lockText="1" noThreeD="1"/>
</file>

<file path=xl/ctrlProps/ctrlProp2.xml><?xml version="1.0" encoding="utf-8"?>
<formControlPr xmlns="http://schemas.microsoft.com/office/spreadsheetml/2009/9/main" objectType="CheckBox" fmlaLink="$W$15" lockText="1" noThreeD="1"/>
</file>

<file path=xl/ctrlProps/ctrlProp20.xml><?xml version="1.0" encoding="utf-8"?>
<formControlPr xmlns="http://schemas.microsoft.com/office/spreadsheetml/2009/9/main" objectType="CheckBox" fmlaLink="$W$92" lockText="1" noThreeD="1"/>
</file>

<file path=xl/ctrlProps/ctrlProp200.xml><?xml version="1.0" encoding="utf-8"?>
<formControlPr xmlns="http://schemas.microsoft.com/office/spreadsheetml/2009/9/main" objectType="CheckBox" fmlaLink="$W$700" lockText="1" noThreeD="1"/>
</file>

<file path=xl/ctrlProps/ctrlProp201.xml><?xml version="1.0" encoding="utf-8"?>
<formControlPr xmlns="http://schemas.microsoft.com/office/spreadsheetml/2009/9/main" objectType="CheckBox" fmlaLink="$W$701" lockText="1" noThreeD="1"/>
</file>

<file path=xl/ctrlProps/ctrlProp202.xml><?xml version="1.0" encoding="utf-8"?>
<formControlPr xmlns="http://schemas.microsoft.com/office/spreadsheetml/2009/9/main" objectType="CheckBox" fmlaLink="$W$704" lockText="1" noThreeD="1"/>
</file>

<file path=xl/ctrlProps/ctrlProp203.xml><?xml version="1.0" encoding="utf-8"?>
<formControlPr xmlns="http://schemas.microsoft.com/office/spreadsheetml/2009/9/main" objectType="CheckBox" fmlaLink="$W$706" lockText="1" noThreeD="1"/>
</file>

<file path=xl/ctrlProps/ctrlProp204.xml><?xml version="1.0" encoding="utf-8"?>
<formControlPr xmlns="http://schemas.microsoft.com/office/spreadsheetml/2009/9/main" objectType="CheckBox" fmlaLink="$W$708" lockText="1" noThreeD="1"/>
</file>

<file path=xl/ctrlProps/ctrlProp205.xml><?xml version="1.0" encoding="utf-8"?>
<formControlPr xmlns="http://schemas.microsoft.com/office/spreadsheetml/2009/9/main" objectType="CheckBox" fmlaLink="$W$725" lockText="1" noThreeD="1"/>
</file>

<file path=xl/ctrlProps/ctrlProp206.xml><?xml version="1.0" encoding="utf-8"?>
<formControlPr xmlns="http://schemas.microsoft.com/office/spreadsheetml/2009/9/main" objectType="CheckBox" fmlaLink="$W$733" lockText="1" noThreeD="1"/>
</file>

<file path=xl/ctrlProps/ctrlProp207.xml><?xml version="1.0" encoding="utf-8"?>
<formControlPr xmlns="http://schemas.microsoft.com/office/spreadsheetml/2009/9/main" objectType="CheckBox" fmlaLink="$W$729" lockText="1" noThreeD="1"/>
</file>

<file path=xl/ctrlProps/ctrlProp208.xml><?xml version="1.0" encoding="utf-8"?>
<formControlPr xmlns="http://schemas.microsoft.com/office/spreadsheetml/2009/9/main" objectType="CheckBox" fmlaLink="$W$730" lockText="1" noThreeD="1"/>
</file>

<file path=xl/ctrlProps/ctrlProp209.xml><?xml version="1.0" encoding="utf-8"?>
<formControlPr xmlns="http://schemas.microsoft.com/office/spreadsheetml/2009/9/main" objectType="CheckBox" fmlaLink="$W$741" lockText="1" noThreeD="1"/>
</file>

<file path=xl/ctrlProps/ctrlProp21.xml><?xml version="1.0" encoding="utf-8"?>
<formControlPr xmlns="http://schemas.microsoft.com/office/spreadsheetml/2009/9/main" objectType="CheckBox" fmlaLink="$W$99" lockText="1" noThreeD="1"/>
</file>

<file path=xl/ctrlProps/ctrlProp210.xml><?xml version="1.0" encoding="utf-8"?>
<formControlPr xmlns="http://schemas.microsoft.com/office/spreadsheetml/2009/9/main" objectType="CheckBox" fmlaLink="$W$561" lockText="1" noThreeD="1"/>
</file>

<file path=xl/ctrlProps/ctrlProp211.xml><?xml version="1.0" encoding="utf-8"?>
<formControlPr xmlns="http://schemas.microsoft.com/office/spreadsheetml/2009/9/main" objectType="CheckBox" fmlaLink="$W$578" lockText="1" noThreeD="1"/>
</file>

<file path=xl/ctrlProps/ctrlProp212.xml><?xml version="1.0" encoding="utf-8"?>
<formControlPr xmlns="http://schemas.microsoft.com/office/spreadsheetml/2009/9/main" objectType="CheckBox" fmlaLink="$W$581" lockText="1" noThreeD="1"/>
</file>

<file path=xl/ctrlProps/ctrlProp213.xml><?xml version="1.0" encoding="utf-8"?>
<formControlPr xmlns="http://schemas.microsoft.com/office/spreadsheetml/2009/9/main" objectType="CheckBox" fmlaLink="$W$586" lockText="1" noThreeD="1"/>
</file>

<file path=xl/ctrlProps/ctrlProp214.xml><?xml version="1.0" encoding="utf-8"?>
<formControlPr xmlns="http://schemas.microsoft.com/office/spreadsheetml/2009/9/main" objectType="CheckBox" checked="Checked" fmlaLink="$W$587" lockText="1" noThreeD="1"/>
</file>

<file path=xl/ctrlProps/ctrlProp215.xml><?xml version="1.0" encoding="utf-8"?>
<formControlPr xmlns="http://schemas.microsoft.com/office/spreadsheetml/2009/9/main" objectType="CheckBox" fmlaLink="$W$597" lockText="1" noThreeD="1"/>
</file>

<file path=xl/ctrlProps/ctrlProp216.xml><?xml version="1.0" encoding="utf-8"?>
<formControlPr xmlns="http://schemas.microsoft.com/office/spreadsheetml/2009/9/main" objectType="CheckBox" fmlaLink="$W$626" lockText="1" noThreeD="1"/>
</file>

<file path=xl/ctrlProps/ctrlProp217.xml><?xml version="1.0" encoding="utf-8"?>
<formControlPr xmlns="http://schemas.microsoft.com/office/spreadsheetml/2009/9/main" objectType="CheckBox" fmlaLink="$W$643" lockText="1" noThreeD="1"/>
</file>

<file path=xl/ctrlProps/ctrlProp218.xml><?xml version="1.0" encoding="utf-8"?>
<formControlPr xmlns="http://schemas.microsoft.com/office/spreadsheetml/2009/9/main" objectType="CheckBox" fmlaLink="$W$655" lockText="1" noThreeD="1"/>
</file>

<file path=xl/ctrlProps/ctrlProp219.xml><?xml version="1.0" encoding="utf-8"?>
<formControlPr xmlns="http://schemas.microsoft.com/office/spreadsheetml/2009/9/main" objectType="CheckBox" fmlaLink="$W$657" lockText="1" noThreeD="1"/>
</file>

<file path=xl/ctrlProps/ctrlProp22.xml><?xml version="1.0" encoding="utf-8"?>
<formControlPr xmlns="http://schemas.microsoft.com/office/spreadsheetml/2009/9/main" objectType="CheckBox" fmlaLink="$W$101" lockText="1" noThreeD="1"/>
</file>

<file path=xl/ctrlProps/ctrlProp220.xml><?xml version="1.0" encoding="utf-8"?>
<formControlPr xmlns="http://schemas.microsoft.com/office/spreadsheetml/2009/9/main" objectType="CheckBox" fmlaLink="$W$659" lockText="1" noThreeD="1"/>
</file>

<file path=xl/ctrlProps/ctrlProp221.xml><?xml version="1.0" encoding="utf-8"?>
<formControlPr xmlns="http://schemas.microsoft.com/office/spreadsheetml/2009/9/main" objectType="CheckBox" fmlaLink="$W$460" lockText="1" noThreeD="1"/>
</file>

<file path=xl/ctrlProps/ctrlProp222.xml><?xml version="1.0" encoding="utf-8"?>
<formControlPr xmlns="http://schemas.microsoft.com/office/spreadsheetml/2009/9/main" objectType="CheckBox" checked="Checked" fmlaLink="$W$455" lockText="1" noThreeD="1"/>
</file>

<file path=xl/ctrlProps/ctrlProp223.xml><?xml version="1.0" encoding="utf-8"?>
<formControlPr xmlns="http://schemas.microsoft.com/office/spreadsheetml/2009/9/main" objectType="CheckBox" checked="Checked" fmlaLink="$W$456" lockText="1" noThreeD="1"/>
</file>

<file path=xl/ctrlProps/ctrlProp224.xml><?xml version="1.0" encoding="utf-8"?>
<formControlPr xmlns="http://schemas.microsoft.com/office/spreadsheetml/2009/9/main" objectType="CheckBox" checked="Checked" fmlaLink="$W$457" lockText="1" noThreeD="1"/>
</file>

<file path=xl/ctrlProps/ctrlProp225.xml><?xml version="1.0" encoding="utf-8"?>
<formControlPr xmlns="http://schemas.microsoft.com/office/spreadsheetml/2009/9/main" objectType="CheckBox" fmlaLink="$W$487" lockText="1" noThreeD="1"/>
</file>

<file path=xl/ctrlProps/ctrlProp226.xml><?xml version="1.0" encoding="utf-8"?>
<formControlPr xmlns="http://schemas.microsoft.com/office/spreadsheetml/2009/9/main" objectType="CheckBox" fmlaLink="$W$495" lockText="1" noThreeD="1"/>
</file>

<file path=xl/ctrlProps/ctrlProp227.xml><?xml version="1.0" encoding="utf-8"?>
<formControlPr xmlns="http://schemas.microsoft.com/office/spreadsheetml/2009/9/main" objectType="CheckBox" fmlaLink="$W$497" lockText="1" noThreeD="1"/>
</file>

<file path=xl/ctrlProps/ctrlProp228.xml><?xml version="1.0" encoding="utf-8"?>
<formControlPr xmlns="http://schemas.microsoft.com/office/spreadsheetml/2009/9/main" objectType="CheckBox" fmlaLink="$W$498" lockText="1" noThreeD="1"/>
</file>

<file path=xl/ctrlProps/ctrlProp229.xml><?xml version="1.0" encoding="utf-8"?>
<formControlPr xmlns="http://schemas.microsoft.com/office/spreadsheetml/2009/9/main" objectType="CheckBox" fmlaLink="$W$499" lockText="1" noThreeD="1"/>
</file>

<file path=xl/ctrlProps/ctrlProp23.xml><?xml version="1.0" encoding="utf-8"?>
<formControlPr xmlns="http://schemas.microsoft.com/office/spreadsheetml/2009/9/main" objectType="CheckBox" fmlaLink="$W$105" lockText="1" noThreeD="1"/>
</file>

<file path=xl/ctrlProps/ctrlProp230.xml><?xml version="1.0" encoding="utf-8"?>
<formControlPr xmlns="http://schemas.microsoft.com/office/spreadsheetml/2009/9/main" objectType="CheckBox" fmlaLink="$W$501" lockText="1" noThreeD="1"/>
</file>

<file path=xl/ctrlProps/ctrlProp231.xml><?xml version="1.0" encoding="utf-8"?>
<formControlPr xmlns="http://schemas.microsoft.com/office/spreadsheetml/2009/9/main" objectType="CheckBox" fmlaLink="$W$504" lockText="1" noThreeD="1"/>
</file>

<file path=xl/ctrlProps/ctrlProp232.xml><?xml version="1.0" encoding="utf-8"?>
<formControlPr xmlns="http://schemas.microsoft.com/office/spreadsheetml/2009/9/main" objectType="CheckBox" fmlaLink="$W$506" lockText="1" noThreeD="1"/>
</file>

<file path=xl/ctrlProps/ctrlProp233.xml><?xml version="1.0" encoding="utf-8"?>
<formControlPr xmlns="http://schemas.microsoft.com/office/spreadsheetml/2009/9/main" objectType="CheckBox" fmlaLink="$W$511" lockText="1" noThreeD="1"/>
</file>

<file path=xl/ctrlProps/ctrlProp234.xml><?xml version="1.0" encoding="utf-8"?>
<formControlPr xmlns="http://schemas.microsoft.com/office/spreadsheetml/2009/9/main" objectType="CheckBox" fmlaLink="$W$513" lockText="1" noThreeD="1"/>
</file>

<file path=xl/ctrlProps/ctrlProp235.xml><?xml version="1.0" encoding="utf-8"?>
<formControlPr xmlns="http://schemas.microsoft.com/office/spreadsheetml/2009/9/main" objectType="CheckBox" fmlaLink="$W$515" lockText="1" noThreeD="1"/>
</file>

<file path=xl/ctrlProps/ctrlProp236.xml><?xml version="1.0" encoding="utf-8"?>
<formControlPr xmlns="http://schemas.microsoft.com/office/spreadsheetml/2009/9/main" objectType="CheckBox" fmlaLink="$W$517" lockText="1" noThreeD="1"/>
</file>

<file path=xl/ctrlProps/ctrlProp237.xml><?xml version="1.0" encoding="utf-8"?>
<formControlPr xmlns="http://schemas.microsoft.com/office/spreadsheetml/2009/9/main" objectType="CheckBox" fmlaLink="$W$448" lockText="1" noThreeD="1"/>
</file>

<file path=xl/ctrlProps/ctrlProp238.xml><?xml version="1.0" encoding="utf-8"?>
<formControlPr xmlns="http://schemas.microsoft.com/office/spreadsheetml/2009/9/main" objectType="CheckBox" fmlaLink="$W$450" lockText="1" noThreeD="1"/>
</file>

<file path=xl/ctrlProps/ctrlProp239.xml><?xml version="1.0" encoding="utf-8"?>
<formControlPr xmlns="http://schemas.microsoft.com/office/spreadsheetml/2009/9/main" objectType="CheckBox" fmlaLink="$W$452" lockText="1" noThreeD="1"/>
</file>

<file path=xl/ctrlProps/ctrlProp24.xml><?xml version="1.0" encoding="utf-8"?>
<formControlPr xmlns="http://schemas.microsoft.com/office/spreadsheetml/2009/9/main" objectType="CheckBox" fmlaLink="$W$109" lockText="1" noThreeD="1"/>
</file>

<file path=xl/ctrlProps/ctrlProp240.xml><?xml version="1.0" encoding="utf-8"?>
<formControlPr xmlns="http://schemas.microsoft.com/office/spreadsheetml/2009/9/main" objectType="CheckBox" fmlaLink="$W$425" lockText="1" noThreeD="1"/>
</file>

<file path=xl/ctrlProps/ctrlProp241.xml><?xml version="1.0" encoding="utf-8"?>
<formControlPr xmlns="http://schemas.microsoft.com/office/spreadsheetml/2009/9/main" objectType="CheckBox" fmlaLink="$W$427" lockText="1" noThreeD="1"/>
</file>

<file path=xl/ctrlProps/ctrlProp242.xml><?xml version="1.0" encoding="utf-8"?>
<formControlPr xmlns="http://schemas.microsoft.com/office/spreadsheetml/2009/9/main" objectType="CheckBox" fmlaLink="$W$423" lockText="1" noThreeD="1"/>
</file>

<file path=xl/ctrlProps/ctrlProp243.xml><?xml version="1.0" encoding="utf-8"?>
<formControlPr xmlns="http://schemas.microsoft.com/office/spreadsheetml/2009/9/main" objectType="CheckBox" fmlaLink="$W$354" lockText="1" noThreeD="1"/>
</file>

<file path=xl/ctrlProps/ctrlProp244.xml><?xml version="1.0" encoding="utf-8"?>
<formControlPr xmlns="http://schemas.microsoft.com/office/spreadsheetml/2009/9/main" objectType="CheckBox" fmlaLink="$W$356" lockText="1" noThreeD="1"/>
</file>

<file path=xl/ctrlProps/ctrlProp245.xml><?xml version="1.0" encoding="utf-8"?>
<formControlPr xmlns="http://schemas.microsoft.com/office/spreadsheetml/2009/9/main" objectType="CheckBox" checked="Checked" fmlaLink="$W$359" lockText="1" noThreeD="1"/>
</file>

<file path=xl/ctrlProps/ctrlProp246.xml><?xml version="1.0" encoding="utf-8"?>
<formControlPr xmlns="http://schemas.microsoft.com/office/spreadsheetml/2009/9/main" objectType="CheckBox" checked="Checked" fmlaLink="$W$360" lockText="1" noThreeD="1"/>
</file>

<file path=xl/ctrlProps/ctrlProp247.xml><?xml version="1.0" encoding="utf-8"?>
<formControlPr xmlns="http://schemas.microsoft.com/office/spreadsheetml/2009/9/main" objectType="CheckBox" checked="Checked" fmlaLink="$W$362" lockText="1" noThreeD="1"/>
</file>

<file path=xl/ctrlProps/ctrlProp248.xml><?xml version="1.0" encoding="utf-8"?>
<formControlPr xmlns="http://schemas.microsoft.com/office/spreadsheetml/2009/9/main" objectType="CheckBox" fmlaLink="$W$348" lockText="1" noThreeD="1"/>
</file>

<file path=xl/ctrlProps/ctrlProp249.xml><?xml version="1.0" encoding="utf-8"?>
<formControlPr xmlns="http://schemas.microsoft.com/office/spreadsheetml/2009/9/main" objectType="CheckBox" fmlaLink="$W$284" lockText="1" noThreeD="1"/>
</file>

<file path=xl/ctrlProps/ctrlProp25.xml><?xml version="1.0" encoding="utf-8"?>
<formControlPr xmlns="http://schemas.microsoft.com/office/spreadsheetml/2009/9/main" objectType="CheckBox" fmlaLink="$W$110" lockText="1" noThreeD="1"/>
</file>

<file path=xl/ctrlProps/ctrlProp250.xml><?xml version="1.0" encoding="utf-8"?>
<formControlPr xmlns="http://schemas.microsoft.com/office/spreadsheetml/2009/9/main" objectType="CheckBox" fmlaLink="$W$328" lockText="1" noThreeD="1"/>
</file>

<file path=xl/ctrlProps/ctrlProp251.xml><?xml version="1.0" encoding="utf-8"?>
<formControlPr xmlns="http://schemas.microsoft.com/office/spreadsheetml/2009/9/main" objectType="CheckBox" fmlaLink="$W$331" lockText="1" noThreeD="1"/>
</file>

<file path=xl/ctrlProps/ctrlProp252.xml><?xml version="1.0" encoding="utf-8"?>
<formControlPr xmlns="http://schemas.microsoft.com/office/spreadsheetml/2009/9/main" objectType="CheckBox" fmlaLink="$W$341" lockText="1" noThreeD="1"/>
</file>

<file path=xl/ctrlProps/ctrlProp253.xml><?xml version="1.0" encoding="utf-8"?>
<formControlPr xmlns="http://schemas.microsoft.com/office/spreadsheetml/2009/9/main" objectType="CheckBox" fmlaLink="$W$645" lockText="1" noThreeD="1"/>
</file>

<file path=xl/ctrlProps/ctrlProp254.xml><?xml version="1.0" encoding="utf-8"?>
<formControlPr xmlns="http://schemas.microsoft.com/office/spreadsheetml/2009/9/main" objectType="CheckBox" fmlaLink="$W$41" lockText="1" noThreeD="1"/>
</file>

<file path=xl/ctrlProps/ctrlProp255.xml><?xml version="1.0" encoding="utf-8"?>
<formControlPr xmlns="http://schemas.microsoft.com/office/spreadsheetml/2009/9/main" objectType="CheckBox" fmlaLink="$W$42" lockText="1" noThreeD="1"/>
</file>

<file path=xl/ctrlProps/ctrlProp256.xml><?xml version="1.0" encoding="utf-8"?>
<formControlPr xmlns="http://schemas.microsoft.com/office/spreadsheetml/2009/9/main" objectType="CheckBox" fmlaLink="$W$45" lockText="1" noThreeD="1"/>
</file>

<file path=xl/ctrlProps/ctrlProp257.xml><?xml version="1.0" encoding="utf-8"?>
<formControlPr xmlns="http://schemas.microsoft.com/office/spreadsheetml/2009/9/main" objectType="CheckBox" fmlaLink="$W$50" lockText="1" noThreeD="1"/>
</file>

<file path=xl/ctrlProps/ctrlProp258.xml><?xml version="1.0" encoding="utf-8"?>
<formControlPr xmlns="http://schemas.microsoft.com/office/spreadsheetml/2009/9/main" objectType="CheckBox" fmlaLink="$W$51" lockText="1" noThreeD="1"/>
</file>

<file path=xl/ctrlProps/ctrlProp259.xml><?xml version="1.0" encoding="utf-8"?>
<formControlPr xmlns="http://schemas.microsoft.com/office/spreadsheetml/2009/9/main" objectType="CheckBox" fmlaLink="$W$52" lockText="1" noThreeD="1"/>
</file>

<file path=xl/ctrlProps/ctrlProp26.xml><?xml version="1.0" encoding="utf-8"?>
<formControlPr xmlns="http://schemas.microsoft.com/office/spreadsheetml/2009/9/main" objectType="CheckBox" fmlaLink="$W$112" lockText="1" noThreeD="1"/>
</file>

<file path=xl/ctrlProps/ctrlProp260.xml><?xml version="1.0" encoding="utf-8"?>
<formControlPr xmlns="http://schemas.microsoft.com/office/spreadsheetml/2009/9/main" objectType="CheckBox" fmlaLink="$W$54" lockText="1" noThreeD="1"/>
</file>

<file path=xl/ctrlProps/ctrlProp261.xml><?xml version="1.0" encoding="utf-8"?>
<formControlPr xmlns="http://schemas.microsoft.com/office/spreadsheetml/2009/9/main" objectType="CheckBox" fmlaLink="$W$55" lockText="1" noThreeD="1"/>
</file>

<file path=xl/ctrlProps/ctrlProp262.xml><?xml version="1.0" encoding="utf-8"?>
<formControlPr xmlns="http://schemas.microsoft.com/office/spreadsheetml/2009/9/main" objectType="CheckBox" fmlaLink="$W$56" lockText="1" noThreeD="1"/>
</file>

<file path=xl/ctrlProps/ctrlProp263.xml><?xml version="1.0" encoding="utf-8"?>
<formControlPr xmlns="http://schemas.microsoft.com/office/spreadsheetml/2009/9/main" objectType="CheckBox" fmlaLink="$W$57" lockText="1" noThreeD="1"/>
</file>

<file path=xl/ctrlProps/ctrlProp264.xml><?xml version="1.0" encoding="utf-8"?>
<formControlPr xmlns="http://schemas.microsoft.com/office/spreadsheetml/2009/9/main" objectType="CheckBox" fmlaLink="$W$59" lockText="1" noThreeD="1"/>
</file>

<file path=xl/ctrlProps/ctrlProp265.xml><?xml version="1.0" encoding="utf-8"?>
<formControlPr xmlns="http://schemas.microsoft.com/office/spreadsheetml/2009/9/main" objectType="CheckBox" fmlaLink="$W$592" lockText="1" noThreeD="1"/>
</file>

<file path=xl/ctrlProps/ctrlProp266.xml><?xml version="1.0" encoding="utf-8"?>
<formControlPr xmlns="http://schemas.microsoft.com/office/spreadsheetml/2009/9/main" objectType="CheckBox" fmlaLink="$W$595" lockText="1" noThreeD="1"/>
</file>

<file path=xl/ctrlProps/ctrlProp267.xml><?xml version="1.0" encoding="utf-8"?>
<formControlPr xmlns="http://schemas.microsoft.com/office/spreadsheetml/2009/9/main" objectType="CheckBox" fmlaLink="$W$606" lockText="1" noThreeD="1"/>
</file>

<file path=xl/ctrlProps/ctrlProp268.xml><?xml version="1.0" encoding="utf-8"?>
<formControlPr xmlns="http://schemas.microsoft.com/office/spreadsheetml/2009/9/main" objectType="CheckBox" fmlaLink="$W$608" lockText="1" noThreeD="1"/>
</file>

<file path=xl/ctrlProps/ctrlProp269.xml><?xml version="1.0" encoding="utf-8"?>
<formControlPr xmlns="http://schemas.microsoft.com/office/spreadsheetml/2009/9/main" objectType="CheckBox" fmlaLink="$W$632" lockText="1" noThreeD="1"/>
</file>

<file path=xl/ctrlProps/ctrlProp27.xml><?xml version="1.0" encoding="utf-8"?>
<formControlPr xmlns="http://schemas.microsoft.com/office/spreadsheetml/2009/9/main" objectType="CheckBox" fmlaLink="$W$113" lockText="1" noThreeD="1"/>
</file>

<file path=xl/ctrlProps/ctrlProp270.xml><?xml version="1.0" encoding="utf-8"?>
<formControlPr xmlns="http://schemas.microsoft.com/office/spreadsheetml/2009/9/main" objectType="CheckBox" fmlaLink="$W$634" lockText="1" noThreeD="1"/>
</file>

<file path=xl/ctrlProps/ctrlProp271.xml><?xml version="1.0" encoding="utf-8"?>
<formControlPr xmlns="http://schemas.microsoft.com/office/spreadsheetml/2009/9/main" objectType="CheckBox" fmlaLink="$W$711" lockText="1" noThreeD="1"/>
</file>

<file path=xl/ctrlProps/ctrlProp272.xml><?xml version="1.0" encoding="utf-8"?>
<formControlPr xmlns="http://schemas.microsoft.com/office/spreadsheetml/2009/9/main" objectType="CheckBox" fmlaLink="$W$746" lockText="1" noThreeD="1"/>
</file>

<file path=xl/ctrlProps/ctrlProp273.xml><?xml version="1.0" encoding="utf-8"?>
<formControlPr xmlns="http://schemas.microsoft.com/office/spreadsheetml/2009/9/main" objectType="CheckBox" fmlaLink="$W$748" lockText="1" noThreeD="1"/>
</file>

<file path=xl/ctrlProps/ctrlProp274.xml><?xml version="1.0" encoding="utf-8"?>
<formControlPr xmlns="http://schemas.microsoft.com/office/spreadsheetml/2009/9/main" objectType="CheckBox" fmlaLink="$W$757" lockText="1" noThreeD="1"/>
</file>

<file path=xl/ctrlProps/ctrlProp275.xml><?xml version="1.0" encoding="utf-8"?>
<formControlPr xmlns="http://schemas.microsoft.com/office/spreadsheetml/2009/9/main" objectType="CheckBox" fmlaLink="$W$761" lockText="1" noThreeD="1"/>
</file>

<file path=xl/ctrlProps/ctrlProp276.xml><?xml version="1.0" encoding="utf-8"?>
<formControlPr xmlns="http://schemas.microsoft.com/office/spreadsheetml/2009/9/main" objectType="CheckBox" fmlaLink="$W$766" lockText="1" noThreeD="1"/>
</file>

<file path=xl/ctrlProps/ctrlProp277.xml><?xml version="1.0" encoding="utf-8"?>
<formControlPr xmlns="http://schemas.microsoft.com/office/spreadsheetml/2009/9/main" objectType="CheckBox" fmlaLink="$W$767" lockText="1" noThreeD="1"/>
</file>

<file path=xl/ctrlProps/ctrlProp278.xml><?xml version="1.0" encoding="utf-8"?>
<formControlPr xmlns="http://schemas.microsoft.com/office/spreadsheetml/2009/9/main" objectType="CheckBox" fmlaLink="$W$736" lockText="1" noThreeD="1"/>
</file>

<file path=xl/ctrlProps/ctrlProp279.xml><?xml version="1.0" encoding="utf-8"?>
<formControlPr xmlns="http://schemas.microsoft.com/office/spreadsheetml/2009/9/main" objectType="CheckBox" checked="Checked" fmlaLink="$W$55" lockText="1" noThreeD="1"/>
</file>

<file path=xl/ctrlProps/ctrlProp28.xml><?xml version="1.0" encoding="utf-8"?>
<formControlPr xmlns="http://schemas.microsoft.com/office/spreadsheetml/2009/9/main" objectType="CheckBox" checked="Checked" fmlaLink="$W$114" lockText="1" noThreeD="1"/>
</file>

<file path=xl/ctrlProps/ctrlProp280.xml><?xml version="1.0" encoding="utf-8"?>
<formControlPr xmlns="http://schemas.microsoft.com/office/spreadsheetml/2009/9/main" objectType="CheckBox" fmlaLink="$W$50" lockText="1" noThreeD="1"/>
</file>

<file path=xl/ctrlProps/ctrlProp281.xml><?xml version="1.0" encoding="utf-8"?>
<formControlPr xmlns="http://schemas.microsoft.com/office/spreadsheetml/2009/9/main" objectType="CheckBox" fmlaLink="$W$131" lockText="1" noThreeD="1"/>
</file>

<file path=xl/ctrlProps/ctrlProp282.xml><?xml version="1.0" encoding="utf-8"?>
<formControlPr xmlns="http://schemas.microsoft.com/office/spreadsheetml/2009/9/main" objectType="CheckBox" fmlaLink="$W$138" lockText="1" noThreeD="1"/>
</file>

<file path=xl/ctrlProps/ctrlProp283.xml><?xml version="1.0" encoding="utf-8"?>
<formControlPr xmlns="http://schemas.microsoft.com/office/spreadsheetml/2009/9/main" objectType="CheckBox" fmlaLink="$W$140" lockText="1" noThreeD="1"/>
</file>

<file path=xl/ctrlProps/ctrlProp284.xml><?xml version="1.0" encoding="utf-8"?>
<formControlPr xmlns="http://schemas.microsoft.com/office/spreadsheetml/2009/9/main" objectType="CheckBox" fmlaLink="$W$156" lockText="1" noThreeD="1"/>
</file>

<file path=xl/ctrlProps/ctrlProp285.xml><?xml version="1.0" encoding="utf-8"?>
<formControlPr xmlns="http://schemas.microsoft.com/office/spreadsheetml/2009/9/main" objectType="CheckBox" checked="Checked" fmlaLink="$W$158" lockText="1" noThreeD="1"/>
</file>

<file path=xl/ctrlProps/ctrlProp286.xml><?xml version="1.0" encoding="utf-8"?>
<formControlPr xmlns="http://schemas.microsoft.com/office/spreadsheetml/2009/9/main" objectType="CheckBox" fmlaLink="$W$164" lockText="1" noThreeD="1"/>
</file>

<file path=xl/ctrlProps/ctrlProp287.xml><?xml version="1.0" encoding="utf-8"?>
<formControlPr xmlns="http://schemas.microsoft.com/office/spreadsheetml/2009/9/main" objectType="CheckBox" fmlaLink="$W$192" lockText="1" noThreeD="1"/>
</file>

<file path=xl/ctrlProps/ctrlProp288.xml><?xml version="1.0" encoding="utf-8"?>
<formControlPr xmlns="http://schemas.microsoft.com/office/spreadsheetml/2009/9/main" objectType="CheckBox" fmlaLink="$W$191" lockText="1" noThreeD="1"/>
</file>

<file path=xl/ctrlProps/ctrlProp289.xml><?xml version="1.0" encoding="utf-8"?>
<formControlPr xmlns="http://schemas.microsoft.com/office/spreadsheetml/2009/9/main" objectType="CheckBox" fmlaLink="$W$233" lockText="1" noThreeD="1"/>
</file>

<file path=xl/ctrlProps/ctrlProp29.xml><?xml version="1.0" encoding="utf-8"?>
<formControlPr xmlns="http://schemas.microsoft.com/office/spreadsheetml/2009/9/main" objectType="CheckBox" fmlaLink="$W$122" lockText="1" noThreeD="1"/>
</file>

<file path=xl/ctrlProps/ctrlProp290.xml><?xml version="1.0" encoding="utf-8"?>
<formControlPr xmlns="http://schemas.microsoft.com/office/spreadsheetml/2009/9/main" objectType="CheckBox" fmlaLink="$W$231" lockText="1" noThreeD="1"/>
</file>

<file path=xl/ctrlProps/ctrlProp291.xml><?xml version="1.0" encoding="utf-8"?>
<formControlPr xmlns="http://schemas.microsoft.com/office/spreadsheetml/2009/9/main" objectType="CheckBox" fmlaLink="$W$228" lockText="1" noThreeD="1"/>
</file>

<file path=xl/ctrlProps/ctrlProp292.xml><?xml version="1.0" encoding="utf-8"?>
<formControlPr xmlns="http://schemas.microsoft.com/office/spreadsheetml/2009/9/main" objectType="CheckBox" fmlaLink="$W$219" lockText="1" noThreeD="1"/>
</file>

<file path=xl/ctrlProps/ctrlProp293.xml><?xml version="1.0" encoding="utf-8"?>
<formControlPr xmlns="http://schemas.microsoft.com/office/spreadsheetml/2009/9/main" objectType="CheckBox" fmlaLink="$W$145" lockText="1" noThreeD="1"/>
</file>

<file path=xl/ctrlProps/ctrlProp294.xml><?xml version="1.0" encoding="utf-8"?>
<formControlPr xmlns="http://schemas.microsoft.com/office/spreadsheetml/2009/9/main" objectType="CheckBox" fmlaLink="$W$149" lockText="1" noThreeD="1"/>
</file>

<file path=xl/ctrlProps/ctrlProp295.xml><?xml version="1.0" encoding="utf-8"?>
<formControlPr xmlns="http://schemas.microsoft.com/office/spreadsheetml/2009/9/main" objectType="CheckBox" fmlaLink="$W$150" lockText="1" noThreeD="1"/>
</file>

<file path=xl/ctrlProps/ctrlProp296.xml><?xml version="1.0" encoding="utf-8"?>
<formControlPr xmlns="http://schemas.microsoft.com/office/spreadsheetml/2009/9/main" objectType="CheckBox" fmlaLink="$W$151" lockText="1" noThreeD="1"/>
</file>

<file path=xl/ctrlProps/ctrlProp297.xml><?xml version="1.0" encoding="utf-8"?>
<formControlPr xmlns="http://schemas.microsoft.com/office/spreadsheetml/2009/9/main" objectType="CheckBox" fmlaLink="$W$166" lockText="1" noThreeD="1"/>
</file>

<file path=xl/ctrlProps/ctrlProp298.xml><?xml version="1.0" encoding="utf-8"?>
<formControlPr xmlns="http://schemas.microsoft.com/office/spreadsheetml/2009/9/main" objectType="CheckBox" fmlaLink="$W$168" lockText="1" noThreeD="1"/>
</file>

<file path=xl/ctrlProps/ctrlProp299.xml><?xml version="1.0" encoding="utf-8"?>
<formControlPr xmlns="http://schemas.microsoft.com/office/spreadsheetml/2009/9/main" objectType="CheckBox" fmlaLink="$W$169" lockText="1" noThreeD="1"/>
</file>

<file path=xl/ctrlProps/ctrlProp3.xml><?xml version="1.0" encoding="utf-8"?>
<formControlPr xmlns="http://schemas.microsoft.com/office/spreadsheetml/2009/9/main" objectType="CheckBox" checked="Checked" fmlaLink="$W$17" lockText="1" noThreeD="1"/>
</file>

<file path=xl/ctrlProps/ctrlProp30.xml><?xml version="1.0" encoding="utf-8"?>
<formControlPr xmlns="http://schemas.microsoft.com/office/spreadsheetml/2009/9/main" objectType="CheckBox" fmlaLink="$W$125" lockText="1" noThreeD="1"/>
</file>

<file path=xl/ctrlProps/ctrlProp300.xml><?xml version="1.0" encoding="utf-8"?>
<formControlPr xmlns="http://schemas.microsoft.com/office/spreadsheetml/2009/9/main" objectType="CheckBox" fmlaLink="$W$171" lockText="1" noThreeD="1"/>
</file>

<file path=xl/ctrlProps/ctrlProp301.xml><?xml version="1.0" encoding="utf-8"?>
<formControlPr xmlns="http://schemas.microsoft.com/office/spreadsheetml/2009/9/main" objectType="CheckBox" fmlaLink="$W$211" lockText="1" noThreeD="1"/>
</file>

<file path=xl/ctrlProps/ctrlProp302.xml><?xml version="1.0" encoding="utf-8"?>
<formControlPr xmlns="http://schemas.microsoft.com/office/spreadsheetml/2009/9/main" objectType="CheckBox" checked="Checked" fmlaLink="$W$12" lockText="1" noThreeD="1"/>
</file>

<file path=xl/ctrlProps/ctrlProp303.xml><?xml version="1.0" encoding="utf-8"?>
<formControlPr xmlns="http://schemas.microsoft.com/office/spreadsheetml/2009/9/main" objectType="CheckBox" fmlaLink="$W$18" lockText="1" noThreeD="1"/>
</file>

<file path=xl/ctrlProps/ctrlProp304.xml><?xml version="1.0" encoding="utf-8"?>
<formControlPr xmlns="http://schemas.microsoft.com/office/spreadsheetml/2009/9/main" objectType="CheckBox" fmlaLink="$W$34" lockText="1" noThreeD="1"/>
</file>

<file path=xl/ctrlProps/ctrlProp305.xml><?xml version="1.0" encoding="utf-8"?>
<formControlPr xmlns="http://schemas.microsoft.com/office/spreadsheetml/2009/9/main" objectType="CheckBox" fmlaLink="$W$55" lockText="1" noThreeD="1"/>
</file>

<file path=xl/ctrlProps/ctrlProp306.xml><?xml version="1.0" encoding="utf-8"?>
<formControlPr xmlns="http://schemas.microsoft.com/office/spreadsheetml/2009/9/main" objectType="CheckBox" fmlaLink="$W$68" lockText="1" noThreeD="1"/>
</file>

<file path=xl/ctrlProps/ctrlProp307.xml><?xml version="1.0" encoding="utf-8"?>
<formControlPr xmlns="http://schemas.microsoft.com/office/spreadsheetml/2009/9/main" objectType="CheckBox" fmlaLink="$W$62" lockText="1" noThreeD="1"/>
</file>

<file path=xl/ctrlProps/ctrlProp308.xml><?xml version="1.0" encoding="utf-8"?>
<formControlPr xmlns="http://schemas.microsoft.com/office/spreadsheetml/2009/9/main" objectType="CheckBox" fmlaLink="$W$91" lockText="1" noThreeD="1"/>
</file>

<file path=xl/ctrlProps/ctrlProp309.xml><?xml version="1.0" encoding="utf-8"?>
<formControlPr xmlns="http://schemas.microsoft.com/office/spreadsheetml/2009/9/main" objectType="CheckBox" checked="Checked" fmlaLink="$W$93" lockText="1" noThreeD="1"/>
</file>

<file path=xl/ctrlProps/ctrlProp31.xml><?xml version="1.0" encoding="utf-8"?>
<formControlPr xmlns="http://schemas.microsoft.com/office/spreadsheetml/2009/9/main" objectType="CheckBox" checked="Checked" fmlaLink="$W$156" lockText="1" noThreeD="1"/>
</file>

<file path=xl/ctrlProps/ctrlProp310.xml><?xml version="1.0" encoding="utf-8"?>
<formControlPr xmlns="http://schemas.microsoft.com/office/spreadsheetml/2009/9/main" objectType="CheckBox" checked="Checked" fmlaLink="$W$96" lockText="1" noThreeD="1"/>
</file>

<file path=xl/ctrlProps/ctrlProp311.xml><?xml version="1.0" encoding="utf-8"?>
<formControlPr xmlns="http://schemas.microsoft.com/office/spreadsheetml/2009/9/main" objectType="CheckBox" fmlaLink="$W$119" lockText="1" noThreeD="1"/>
</file>

<file path=xl/ctrlProps/ctrlProp312.xml><?xml version="1.0" encoding="utf-8"?>
<formControlPr xmlns="http://schemas.microsoft.com/office/spreadsheetml/2009/9/main" objectType="CheckBox" fmlaLink="$W$130" lockText="1" noThreeD="1"/>
</file>

<file path=xl/ctrlProps/ctrlProp313.xml><?xml version="1.0" encoding="utf-8"?>
<formControlPr xmlns="http://schemas.microsoft.com/office/spreadsheetml/2009/9/main" objectType="CheckBox" fmlaLink="$W$132" lockText="1" noThreeD="1"/>
</file>

<file path=xl/ctrlProps/ctrlProp314.xml><?xml version="1.0" encoding="utf-8"?>
<formControlPr xmlns="http://schemas.microsoft.com/office/spreadsheetml/2009/9/main" objectType="CheckBox" fmlaLink="$W$133" lockText="1" noThreeD="1"/>
</file>

<file path=xl/ctrlProps/ctrlProp315.xml><?xml version="1.0" encoding="utf-8"?>
<formControlPr xmlns="http://schemas.microsoft.com/office/spreadsheetml/2009/9/main" objectType="CheckBox" fmlaLink="$W$140" lockText="1" noThreeD="1"/>
</file>

<file path=xl/ctrlProps/ctrlProp316.xml><?xml version="1.0" encoding="utf-8"?>
<formControlPr xmlns="http://schemas.microsoft.com/office/spreadsheetml/2009/9/main" objectType="CheckBox" fmlaLink="$W$149" lockText="1" noThreeD="1"/>
</file>

<file path=xl/ctrlProps/ctrlProp317.xml><?xml version="1.0" encoding="utf-8"?>
<formControlPr xmlns="http://schemas.microsoft.com/office/spreadsheetml/2009/9/main" objectType="CheckBox" fmlaLink="$W$154" lockText="1" noThreeD="1"/>
</file>

<file path=xl/ctrlProps/ctrlProp318.xml><?xml version="1.0" encoding="utf-8"?>
<formControlPr xmlns="http://schemas.microsoft.com/office/spreadsheetml/2009/9/main" objectType="CheckBox" fmlaLink="$W$155" lockText="1" noThreeD="1"/>
</file>

<file path=xl/ctrlProps/ctrlProp319.xml><?xml version="1.0" encoding="utf-8"?>
<formControlPr xmlns="http://schemas.microsoft.com/office/spreadsheetml/2009/9/main" objectType="CheckBox" fmlaLink="$W$159" lockText="1" noThreeD="1"/>
</file>

<file path=xl/ctrlProps/ctrlProp32.xml><?xml version="1.0" encoding="utf-8"?>
<formControlPr xmlns="http://schemas.microsoft.com/office/spreadsheetml/2009/9/main" objectType="CheckBox" fmlaLink="$W$158" lockText="1" noThreeD="1"/>
</file>

<file path=xl/ctrlProps/ctrlProp320.xml><?xml version="1.0" encoding="utf-8"?>
<formControlPr xmlns="http://schemas.microsoft.com/office/spreadsheetml/2009/9/main" objectType="CheckBox" fmlaLink="$W$172" lockText="1" noThreeD="1"/>
</file>

<file path=xl/ctrlProps/ctrlProp321.xml><?xml version="1.0" encoding="utf-8"?>
<formControlPr xmlns="http://schemas.microsoft.com/office/spreadsheetml/2009/9/main" objectType="CheckBox" fmlaLink="$W$173" lockText="1" noThreeD="1"/>
</file>

<file path=xl/ctrlProps/ctrlProp322.xml><?xml version="1.0" encoding="utf-8"?>
<formControlPr xmlns="http://schemas.microsoft.com/office/spreadsheetml/2009/9/main" objectType="CheckBox" fmlaLink="$W$176" lockText="1" noThreeD="1"/>
</file>

<file path=xl/ctrlProps/ctrlProp323.xml><?xml version="1.0" encoding="utf-8"?>
<formControlPr xmlns="http://schemas.microsoft.com/office/spreadsheetml/2009/9/main" objectType="CheckBox" fmlaLink="$W$178" lockText="1" noThreeD="1"/>
</file>

<file path=xl/ctrlProps/ctrlProp324.xml><?xml version="1.0" encoding="utf-8"?>
<formControlPr xmlns="http://schemas.microsoft.com/office/spreadsheetml/2009/9/main" objectType="CheckBox" checked="Checked" fmlaLink="$W$184" lockText="1" noThreeD="1"/>
</file>

<file path=xl/ctrlProps/ctrlProp325.xml><?xml version="1.0" encoding="utf-8"?>
<formControlPr xmlns="http://schemas.microsoft.com/office/spreadsheetml/2009/9/main" objectType="CheckBox" fmlaLink="$W$186" lockText="1" noThreeD="1"/>
</file>

<file path=xl/ctrlProps/ctrlProp326.xml><?xml version="1.0" encoding="utf-8"?>
<formControlPr xmlns="http://schemas.microsoft.com/office/spreadsheetml/2009/9/main" objectType="CheckBox" checked="Checked" fmlaLink="$W$190" lockText="1" noThreeD="1"/>
</file>

<file path=xl/ctrlProps/ctrlProp327.xml><?xml version="1.0" encoding="utf-8"?>
<formControlPr xmlns="http://schemas.microsoft.com/office/spreadsheetml/2009/9/main" objectType="CheckBox" fmlaLink="$W$197" lockText="1" noThreeD="1"/>
</file>

<file path=xl/ctrlProps/ctrlProp328.xml><?xml version="1.0" encoding="utf-8"?>
<formControlPr xmlns="http://schemas.microsoft.com/office/spreadsheetml/2009/9/main" objectType="CheckBox" fmlaLink="$W$208" lockText="1" noThreeD="1"/>
</file>

<file path=xl/ctrlProps/ctrlProp329.xml><?xml version="1.0" encoding="utf-8"?>
<formControlPr xmlns="http://schemas.microsoft.com/office/spreadsheetml/2009/9/main" objectType="CheckBox" fmlaLink="$W$210" lockText="1" noThreeD="1"/>
</file>

<file path=xl/ctrlProps/ctrlProp33.xml><?xml version="1.0" encoding="utf-8"?>
<formControlPr xmlns="http://schemas.microsoft.com/office/spreadsheetml/2009/9/main" objectType="CheckBox" fmlaLink="$W$161" lockText="1" noThreeD="1"/>
</file>

<file path=xl/ctrlProps/ctrlProp330.xml><?xml version="1.0" encoding="utf-8"?>
<formControlPr xmlns="http://schemas.microsoft.com/office/spreadsheetml/2009/9/main" objectType="CheckBox" fmlaLink="$W$212" lockText="1" noThreeD="1"/>
</file>

<file path=xl/ctrlProps/ctrlProp331.xml><?xml version="1.0" encoding="utf-8"?>
<formControlPr xmlns="http://schemas.microsoft.com/office/spreadsheetml/2009/9/main" objectType="CheckBox" fmlaLink="$W$230" lockText="1" noThreeD="1"/>
</file>

<file path=xl/ctrlProps/ctrlProp332.xml><?xml version="1.0" encoding="utf-8"?>
<formControlPr xmlns="http://schemas.microsoft.com/office/spreadsheetml/2009/9/main" objectType="CheckBox" fmlaLink="$W$232" lockText="1" noThreeD="1"/>
</file>

<file path=xl/ctrlProps/ctrlProp333.xml><?xml version="1.0" encoding="utf-8"?>
<formControlPr xmlns="http://schemas.microsoft.com/office/spreadsheetml/2009/9/main" objectType="CheckBox" fmlaLink="$W$235" lockText="1" noThreeD="1"/>
</file>

<file path=xl/ctrlProps/ctrlProp334.xml><?xml version="1.0" encoding="utf-8"?>
<formControlPr xmlns="http://schemas.microsoft.com/office/spreadsheetml/2009/9/main" objectType="CheckBox" checked="Checked" fmlaLink="$W$314" lockText="1" noThreeD="1"/>
</file>

<file path=xl/ctrlProps/ctrlProp335.xml><?xml version="1.0" encoding="utf-8"?>
<formControlPr xmlns="http://schemas.microsoft.com/office/spreadsheetml/2009/9/main" objectType="CheckBox" fmlaLink="$W$316" lockText="1" noThreeD="1"/>
</file>

<file path=xl/ctrlProps/ctrlProp336.xml><?xml version="1.0" encoding="utf-8"?>
<formControlPr xmlns="http://schemas.microsoft.com/office/spreadsheetml/2009/9/main" objectType="CheckBox" fmlaLink="$W$322" lockText="1" noThreeD="1"/>
</file>

<file path=xl/ctrlProps/ctrlProp337.xml><?xml version="1.0" encoding="utf-8"?>
<formControlPr xmlns="http://schemas.microsoft.com/office/spreadsheetml/2009/9/main" objectType="CheckBox" checked="Checked" fmlaLink="$W$324" lockText="1" noThreeD="1"/>
</file>

<file path=xl/ctrlProps/ctrlProp338.xml><?xml version="1.0" encoding="utf-8"?>
<formControlPr xmlns="http://schemas.microsoft.com/office/spreadsheetml/2009/9/main" objectType="CheckBox" fmlaLink="$W$338" lockText="1" noThreeD="1"/>
</file>

<file path=xl/ctrlProps/ctrlProp339.xml><?xml version="1.0" encoding="utf-8"?>
<formControlPr xmlns="http://schemas.microsoft.com/office/spreadsheetml/2009/9/main" objectType="CheckBox" fmlaLink="$W$339" lockText="1" noThreeD="1"/>
</file>

<file path=xl/ctrlProps/ctrlProp34.xml><?xml version="1.0" encoding="utf-8"?>
<formControlPr xmlns="http://schemas.microsoft.com/office/spreadsheetml/2009/9/main" objectType="CheckBox" checked="Checked" fmlaLink="$W$171" lockText="1" noThreeD="1"/>
</file>

<file path=xl/ctrlProps/ctrlProp340.xml><?xml version="1.0" encoding="utf-8"?>
<formControlPr xmlns="http://schemas.microsoft.com/office/spreadsheetml/2009/9/main" objectType="CheckBox" fmlaLink="$W$344" lockText="1" noThreeD="1"/>
</file>

<file path=xl/ctrlProps/ctrlProp341.xml><?xml version="1.0" encoding="utf-8"?>
<formControlPr xmlns="http://schemas.microsoft.com/office/spreadsheetml/2009/9/main" objectType="CheckBox" fmlaLink="$W$349" lockText="1" noThreeD="1"/>
</file>

<file path=xl/ctrlProps/ctrlProp342.xml><?xml version="1.0" encoding="utf-8"?>
<formControlPr xmlns="http://schemas.microsoft.com/office/spreadsheetml/2009/9/main" objectType="CheckBox" fmlaLink="$W$366" lockText="1" noThreeD="1"/>
</file>

<file path=xl/ctrlProps/ctrlProp343.xml><?xml version="1.0" encoding="utf-8"?>
<formControlPr xmlns="http://schemas.microsoft.com/office/spreadsheetml/2009/9/main" objectType="CheckBox" fmlaLink="$W$371" lockText="1" noThreeD="1"/>
</file>

<file path=xl/ctrlProps/ctrlProp344.xml><?xml version="1.0" encoding="utf-8"?>
<formControlPr xmlns="http://schemas.microsoft.com/office/spreadsheetml/2009/9/main" objectType="CheckBox" fmlaLink="$W$135" lockText="1" noThreeD="1"/>
</file>

<file path=xl/ctrlProps/ctrlProp345.xml><?xml version="1.0" encoding="utf-8"?>
<formControlPr xmlns="http://schemas.microsoft.com/office/spreadsheetml/2009/9/main" objectType="CheckBox" fmlaLink="$W$164" lockText="1" noThreeD="1"/>
</file>

<file path=xl/ctrlProps/ctrlProp346.xml><?xml version="1.0" encoding="utf-8"?>
<formControlPr xmlns="http://schemas.microsoft.com/office/spreadsheetml/2009/9/main" objectType="CheckBox" fmlaLink="$W$215" lockText="1" noThreeD="1"/>
</file>

<file path=xl/ctrlProps/ctrlProp347.xml><?xml version="1.0" encoding="utf-8"?>
<formControlPr xmlns="http://schemas.microsoft.com/office/spreadsheetml/2009/9/main" objectType="CheckBox" fmlaLink="$W$286" lockText="1" noThreeD="1"/>
</file>

<file path=xl/ctrlProps/ctrlProp348.xml><?xml version="1.0" encoding="utf-8"?>
<formControlPr xmlns="http://schemas.microsoft.com/office/spreadsheetml/2009/9/main" objectType="CheckBox" fmlaLink="$W$288" lockText="1" noThreeD="1"/>
</file>

<file path=xl/ctrlProps/ctrlProp349.xml><?xml version="1.0" encoding="utf-8"?>
<formControlPr xmlns="http://schemas.microsoft.com/office/spreadsheetml/2009/9/main" objectType="CheckBox" fmlaLink="$W$319" lockText="1" noThreeD="1"/>
</file>

<file path=xl/ctrlProps/ctrlProp35.xml><?xml version="1.0" encoding="utf-8"?>
<formControlPr xmlns="http://schemas.microsoft.com/office/spreadsheetml/2009/9/main" objectType="CheckBox" fmlaLink="$W$172" lockText="1" noThreeD="1"/>
</file>

<file path=xl/ctrlProps/ctrlProp350.xml><?xml version="1.0" encoding="utf-8"?>
<formControlPr xmlns="http://schemas.microsoft.com/office/spreadsheetml/2009/9/main" objectType="CheckBox" checked="Checked" fmlaLink="$W$354" lockText="1" noThreeD="1"/>
</file>

<file path=xl/ctrlProps/ctrlProp351.xml><?xml version="1.0" encoding="utf-8"?>
<formControlPr xmlns="http://schemas.microsoft.com/office/spreadsheetml/2009/9/main" objectType="CheckBox" checked="Checked" fmlaLink="$W$362" lockText="1" noThreeD="1"/>
</file>

<file path=xl/ctrlProps/ctrlProp352.xml><?xml version="1.0" encoding="utf-8"?>
<formControlPr xmlns="http://schemas.microsoft.com/office/spreadsheetml/2009/9/main" objectType="CheckBox" fmlaLink="$W$374" lockText="1" noThreeD="1"/>
</file>

<file path=xl/ctrlProps/ctrlProp353.xml><?xml version="1.0" encoding="utf-8"?>
<formControlPr xmlns="http://schemas.microsoft.com/office/spreadsheetml/2009/9/main" objectType="CheckBox" fmlaLink="$W$375" lockText="1" noThreeD="1"/>
</file>

<file path=xl/ctrlProps/ctrlProp354.xml><?xml version="1.0" encoding="utf-8"?>
<formControlPr xmlns="http://schemas.microsoft.com/office/spreadsheetml/2009/9/main" objectType="CheckBox" fmlaLink="$W$377" lockText="1" noThreeD="1"/>
</file>

<file path=xl/ctrlProps/ctrlProp355.xml><?xml version="1.0" encoding="utf-8"?>
<formControlPr xmlns="http://schemas.microsoft.com/office/spreadsheetml/2009/9/main" objectType="CheckBox" fmlaLink="$W$382" lockText="1" noThreeD="1"/>
</file>

<file path=xl/ctrlProps/ctrlProp356.xml><?xml version="1.0" encoding="utf-8"?>
<formControlPr xmlns="http://schemas.microsoft.com/office/spreadsheetml/2009/9/main" objectType="CheckBox" checked="Checked" fmlaLink="$W$15" lockText="1" noThreeD="1"/>
</file>

<file path=xl/ctrlProps/ctrlProp357.xml><?xml version="1.0" encoding="utf-8"?>
<formControlPr xmlns="http://schemas.microsoft.com/office/spreadsheetml/2009/9/main" objectType="CheckBox" checked="Checked" fmlaLink="$W$16" lockText="1" noThreeD="1"/>
</file>

<file path=xl/ctrlProps/ctrlProp358.xml><?xml version="1.0" encoding="utf-8"?>
<formControlPr xmlns="http://schemas.microsoft.com/office/spreadsheetml/2009/9/main" objectType="CheckBox" checked="Checked" fmlaLink="$W$17" lockText="1" noThreeD="1"/>
</file>

<file path=xl/ctrlProps/ctrlProp359.xml><?xml version="1.0" encoding="utf-8"?>
<formControlPr xmlns="http://schemas.microsoft.com/office/spreadsheetml/2009/9/main" objectType="CheckBox" checked="Checked" fmlaLink="$W$21" lockText="1" noThreeD="1"/>
</file>

<file path=xl/ctrlProps/ctrlProp36.xml><?xml version="1.0" encoding="utf-8"?>
<formControlPr xmlns="http://schemas.microsoft.com/office/spreadsheetml/2009/9/main" objectType="CheckBox" fmlaLink="$W$177" lockText="1" noThreeD="1"/>
</file>

<file path=xl/ctrlProps/ctrlProp360.xml><?xml version="1.0" encoding="utf-8"?>
<formControlPr xmlns="http://schemas.microsoft.com/office/spreadsheetml/2009/9/main" objectType="CheckBox" checked="Checked" fmlaLink="$W$22" lockText="1" noThreeD="1"/>
</file>

<file path=xl/ctrlProps/ctrlProp361.xml><?xml version="1.0" encoding="utf-8"?>
<formControlPr xmlns="http://schemas.microsoft.com/office/spreadsheetml/2009/9/main" objectType="CheckBox" checked="Checked" fmlaLink="$W$23" lockText="1" noThreeD="1"/>
</file>

<file path=xl/ctrlProps/ctrlProp362.xml><?xml version="1.0" encoding="utf-8"?>
<formControlPr xmlns="http://schemas.microsoft.com/office/spreadsheetml/2009/9/main" objectType="CheckBox" checked="Checked" fmlaLink="$W$25" lockText="1" noThreeD="1"/>
</file>

<file path=xl/ctrlProps/ctrlProp363.xml><?xml version="1.0" encoding="utf-8"?>
<formControlPr xmlns="http://schemas.microsoft.com/office/spreadsheetml/2009/9/main" objectType="CheckBox" checked="Checked" fmlaLink="$W$27" lockText="1" noThreeD="1"/>
</file>

<file path=xl/ctrlProps/ctrlProp364.xml><?xml version="1.0" encoding="utf-8"?>
<formControlPr xmlns="http://schemas.microsoft.com/office/spreadsheetml/2009/9/main" objectType="CheckBox" checked="Checked" fmlaLink="$W$28" lockText="1" noThreeD="1"/>
</file>

<file path=xl/ctrlProps/ctrlProp365.xml><?xml version="1.0" encoding="utf-8"?>
<formControlPr xmlns="http://schemas.microsoft.com/office/spreadsheetml/2009/9/main" objectType="CheckBox" checked="Checked" fmlaLink="$W$30" lockText="1" noThreeD="1"/>
</file>

<file path=xl/ctrlProps/ctrlProp366.xml><?xml version="1.0" encoding="utf-8"?>
<formControlPr xmlns="http://schemas.microsoft.com/office/spreadsheetml/2009/9/main" objectType="CheckBox" checked="Checked" fmlaLink="$W$31" lockText="1" noThreeD="1"/>
</file>

<file path=xl/ctrlProps/ctrlProp367.xml><?xml version="1.0" encoding="utf-8"?>
<formControlPr xmlns="http://schemas.microsoft.com/office/spreadsheetml/2009/9/main" objectType="CheckBox" fmlaLink="$W$32" lockText="1" noThreeD="1"/>
</file>

<file path=xl/ctrlProps/ctrlProp368.xml><?xml version="1.0" encoding="utf-8"?>
<formControlPr xmlns="http://schemas.microsoft.com/office/spreadsheetml/2009/9/main" objectType="CheckBox" checked="Checked" fmlaLink="$W$38" lockText="1" noThreeD="1"/>
</file>

<file path=xl/ctrlProps/ctrlProp369.xml><?xml version="1.0" encoding="utf-8"?>
<formControlPr xmlns="http://schemas.microsoft.com/office/spreadsheetml/2009/9/main" objectType="CheckBox" fmlaLink="$W$42" lockText="1" noThreeD="1"/>
</file>

<file path=xl/ctrlProps/ctrlProp37.xml><?xml version="1.0" encoding="utf-8"?>
<formControlPr xmlns="http://schemas.microsoft.com/office/spreadsheetml/2009/9/main" objectType="CheckBox" fmlaLink="$W$179" lockText="1" noThreeD="1"/>
</file>

<file path=xl/ctrlProps/ctrlProp370.xml><?xml version="1.0" encoding="utf-8"?>
<formControlPr xmlns="http://schemas.microsoft.com/office/spreadsheetml/2009/9/main" objectType="CheckBox" fmlaLink="$W$44" lockText="1" noThreeD="1"/>
</file>

<file path=xl/ctrlProps/ctrlProp371.xml><?xml version="1.0" encoding="utf-8"?>
<formControlPr xmlns="http://schemas.microsoft.com/office/spreadsheetml/2009/9/main" objectType="CheckBox" fmlaLink="$W$46" lockText="1" noThreeD="1"/>
</file>

<file path=xl/ctrlProps/ctrlProp372.xml><?xml version="1.0" encoding="utf-8"?>
<formControlPr xmlns="http://schemas.microsoft.com/office/spreadsheetml/2009/9/main" objectType="CheckBox" fmlaLink="$W$47" lockText="1" noThreeD="1"/>
</file>

<file path=xl/ctrlProps/ctrlProp373.xml><?xml version="1.0" encoding="utf-8"?>
<formControlPr xmlns="http://schemas.microsoft.com/office/spreadsheetml/2009/9/main" objectType="CheckBox" fmlaLink="$W$49" lockText="1" noThreeD="1"/>
</file>

<file path=xl/ctrlProps/ctrlProp374.xml><?xml version="1.0" encoding="utf-8"?>
<formControlPr xmlns="http://schemas.microsoft.com/office/spreadsheetml/2009/9/main" objectType="CheckBox" fmlaLink="$W$51" lockText="1" noThreeD="1"/>
</file>

<file path=xl/ctrlProps/ctrlProp375.xml><?xml version="1.0" encoding="utf-8"?>
<formControlPr xmlns="http://schemas.microsoft.com/office/spreadsheetml/2009/9/main" objectType="CheckBox" fmlaLink="$W$52" lockText="1" noThreeD="1"/>
</file>

<file path=xl/ctrlProps/ctrlProp376.xml><?xml version="1.0" encoding="utf-8"?>
<formControlPr xmlns="http://schemas.microsoft.com/office/spreadsheetml/2009/9/main" objectType="CheckBox" fmlaLink="$W$54" lockText="1" noThreeD="1"/>
</file>

<file path=xl/ctrlProps/ctrlProp377.xml><?xml version="1.0" encoding="utf-8"?>
<formControlPr xmlns="http://schemas.microsoft.com/office/spreadsheetml/2009/9/main" objectType="CheckBox" fmlaLink="$W$56" lockText="1" noThreeD="1"/>
</file>

<file path=xl/ctrlProps/ctrlProp378.xml><?xml version="1.0" encoding="utf-8"?>
<formControlPr xmlns="http://schemas.microsoft.com/office/spreadsheetml/2009/9/main" objectType="CheckBox" fmlaLink="$W$58" lockText="1" noThreeD="1"/>
</file>

<file path=xl/ctrlProps/ctrlProp379.xml><?xml version="1.0" encoding="utf-8"?>
<formControlPr xmlns="http://schemas.microsoft.com/office/spreadsheetml/2009/9/main" objectType="CheckBox" fmlaLink="$W$59" lockText="1" noThreeD="1"/>
</file>

<file path=xl/ctrlProps/ctrlProp38.xml><?xml version="1.0" encoding="utf-8"?>
<formControlPr xmlns="http://schemas.microsoft.com/office/spreadsheetml/2009/9/main" objectType="CheckBox" fmlaLink="$W$182" lockText="1" noThreeD="1"/>
</file>

<file path=xl/ctrlProps/ctrlProp380.xml><?xml version="1.0" encoding="utf-8"?>
<formControlPr xmlns="http://schemas.microsoft.com/office/spreadsheetml/2009/9/main" objectType="CheckBox" checked="Checked" fmlaLink="$W$60" lockText="1" noThreeD="1"/>
</file>

<file path=xl/ctrlProps/ctrlProp381.xml><?xml version="1.0" encoding="utf-8"?>
<formControlPr xmlns="http://schemas.microsoft.com/office/spreadsheetml/2009/9/main" objectType="CheckBox" fmlaLink="$W$82" lockText="1" noThreeD="1"/>
</file>

<file path=xl/ctrlProps/ctrlProp382.xml><?xml version="1.0" encoding="utf-8"?>
<formControlPr xmlns="http://schemas.microsoft.com/office/spreadsheetml/2009/9/main" objectType="CheckBox" fmlaLink="$W$85" lockText="1" noThreeD="1"/>
</file>

<file path=xl/ctrlProps/ctrlProp383.xml><?xml version="1.0" encoding="utf-8"?>
<formControlPr xmlns="http://schemas.microsoft.com/office/spreadsheetml/2009/9/main" objectType="CheckBox" fmlaLink="$W$88" lockText="1" noThreeD="1"/>
</file>

<file path=xl/ctrlProps/ctrlProp384.xml><?xml version="1.0" encoding="utf-8"?>
<formControlPr xmlns="http://schemas.microsoft.com/office/spreadsheetml/2009/9/main" objectType="CheckBox" fmlaLink="$W$90" lockText="1" noThreeD="1"/>
</file>

<file path=xl/ctrlProps/ctrlProp385.xml><?xml version="1.0" encoding="utf-8"?>
<formControlPr xmlns="http://schemas.microsoft.com/office/spreadsheetml/2009/9/main" objectType="CheckBox" fmlaLink="$W$91" lockText="1" noThreeD="1"/>
</file>

<file path=xl/ctrlProps/ctrlProp386.xml><?xml version="1.0" encoding="utf-8"?>
<formControlPr xmlns="http://schemas.microsoft.com/office/spreadsheetml/2009/9/main" objectType="CheckBox" fmlaLink="$W$93" lockText="1" noThreeD="1"/>
</file>

<file path=xl/ctrlProps/ctrlProp387.xml><?xml version="1.0" encoding="utf-8"?>
<formControlPr xmlns="http://schemas.microsoft.com/office/spreadsheetml/2009/9/main" objectType="CheckBox" fmlaLink="$W$94" lockText="1" noThreeD="1"/>
</file>

<file path=xl/ctrlProps/ctrlProp388.xml><?xml version="1.0" encoding="utf-8"?>
<formControlPr xmlns="http://schemas.microsoft.com/office/spreadsheetml/2009/9/main" objectType="CheckBox" fmlaLink="$W$95" lockText="1" noThreeD="1"/>
</file>

<file path=xl/ctrlProps/ctrlProp389.xml><?xml version="1.0" encoding="utf-8"?>
<formControlPr xmlns="http://schemas.microsoft.com/office/spreadsheetml/2009/9/main" objectType="CheckBox" fmlaLink="$W$101" lockText="1" noThreeD="1"/>
</file>

<file path=xl/ctrlProps/ctrlProp39.xml><?xml version="1.0" encoding="utf-8"?>
<formControlPr xmlns="http://schemas.microsoft.com/office/spreadsheetml/2009/9/main" objectType="CheckBox" fmlaLink="$W$184" lockText="1" noThreeD="1"/>
</file>

<file path=xl/ctrlProps/ctrlProp390.xml><?xml version="1.0" encoding="utf-8"?>
<formControlPr xmlns="http://schemas.microsoft.com/office/spreadsheetml/2009/9/main" objectType="CheckBox" fmlaLink="$W$103" lockText="1" noThreeD="1"/>
</file>

<file path=xl/ctrlProps/ctrlProp391.xml><?xml version="1.0" encoding="utf-8"?>
<formControlPr xmlns="http://schemas.microsoft.com/office/spreadsheetml/2009/9/main" objectType="CheckBox" fmlaLink="$W$106" lockText="1" noThreeD="1"/>
</file>

<file path=xl/ctrlProps/ctrlProp392.xml><?xml version="1.0" encoding="utf-8"?>
<formControlPr xmlns="http://schemas.microsoft.com/office/spreadsheetml/2009/9/main" objectType="CheckBox" fmlaLink="$W$108" lockText="1" noThreeD="1"/>
</file>

<file path=xl/ctrlProps/ctrlProp393.xml><?xml version="1.0" encoding="utf-8"?>
<formControlPr xmlns="http://schemas.microsoft.com/office/spreadsheetml/2009/9/main" objectType="CheckBox" fmlaLink="$W$111" lockText="1" noThreeD="1"/>
</file>

<file path=xl/ctrlProps/ctrlProp394.xml><?xml version="1.0" encoding="utf-8"?>
<formControlPr xmlns="http://schemas.microsoft.com/office/spreadsheetml/2009/9/main" objectType="CheckBox" fmlaLink="$W$113" lockText="1" noThreeD="1"/>
</file>

<file path=xl/ctrlProps/ctrlProp395.xml><?xml version="1.0" encoding="utf-8"?>
<formControlPr xmlns="http://schemas.microsoft.com/office/spreadsheetml/2009/9/main" objectType="CheckBox" fmlaLink="$W$114" lockText="1" noThreeD="1"/>
</file>

<file path=xl/ctrlProps/ctrlProp396.xml><?xml version="1.0" encoding="utf-8"?>
<formControlPr xmlns="http://schemas.microsoft.com/office/spreadsheetml/2009/9/main" objectType="CheckBox" fmlaLink="$W$116" lockText="1" noThreeD="1"/>
</file>

<file path=xl/ctrlProps/ctrlProp397.xml><?xml version="1.0" encoding="utf-8"?>
<formControlPr xmlns="http://schemas.microsoft.com/office/spreadsheetml/2009/9/main" objectType="CheckBox" fmlaLink="$W$118" lockText="1" noThreeD="1"/>
</file>

<file path=xl/ctrlProps/ctrlProp398.xml><?xml version="1.0" encoding="utf-8"?>
<formControlPr xmlns="http://schemas.microsoft.com/office/spreadsheetml/2009/9/main" objectType="CheckBox" fmlaLink="$W$119" lockText="1" noThreeD="1"/>
</file>

<file path=xl/ctrlProps/ctrlProp399.xml><?xml version="1.0" encoding="utf-8"?>
<formControlPr xmlns="http://schemas.microsoft.com/office/spreadsheetml/2009/9/main" objectType="CheckBox" fmlaLink="$W$122" lockText="1" noThreeD="1"/>
</file>

<file path=xl/ctrlProps/ctrlProp4.xml><?xml version="1.0" encoding="utf-8"?>
<formControlPr xmlns="http://schemas.microsoft.com/office/spreadsheetml/2009/9/main" objectType="CheckBox" fmlaLink="$W$18" lockText="1" noThreeD="1"/>
</file>

<file path=xl/ctrlProps/ctrlProp40.xml><?xml version="1.0" encoding="utf-8"?>
<formControlPr xmlns="http://schemas.microsoft.com/office/spreadsheetml/2009/9/main" objectType="CheckBox" fmlaLink="$W$186" lockText="1" noThreeD="1"/>
</file>

<file path=xl/ctrlProps/ctrlProp400.xml><?xml version="1.0" encoding="utf-8"?>
<formControlPr xmlns="http://schemas.microsoft.com/office/spreadsheetml/2009/9/main" objectType="CheckBox" fmlaLink="$W$128" lockText="1" noThreeD="1"/>
</file>

<file path=xl/ctrlProps/ctrlProp401.xml><?xml version="1.0" encoding="utf-8"?>
<formControlPr xmlns="http://schemas.microsoft.com/office/spreadsheetml/2009/9/main" objectType="CheckBox" fmlaLink="$W$130" lockText="1" noThreeD="1"/>
</file>

<file path=xl/ctrlProps/ctrlProp402.xml><?xml version="1.0" encoding="utf-8"?>
<formControlPr xmlns="http://schemas.microsoft.com/office/spreadsheetml/2009/9/main" objectType="CheckBox" fmlaLink="$W$134" lockText="1" noThreeD="1"/>
</file>

<file path=xl/ctrlProps/ctrlProp403.xml><?xml version="1.0" encoding="utf-8"?>
<formControlPr xmlns="http://schemas.microsoft.com/office/spreadsheetml/2009/9/main" objectType="CheckBox" fmlaLink="$W$141" lockText="1" noThreeD="1"/>
</file>

<file path=xl/ctrlProps/ctrlProp404.xml><?xml version="1.0" encoding="utf-8"?>
<formControlPr xmlns="http://schemas.microsoft.com/office/spreadsheetml/2009/9/main" objectType="CheckBox" fmlaLink="$W$143" lockText="1" noThreeD="1"/>
</file>

<file path=xl/ctrlProps/ctrlProp405.xml><?xml version="1.0" encoding="utf-8"?>
<formControlPr xmlns="http://schemas.microsoft.com/office/spreadsheetml/2009/9/main" objectType="CheckBox" fmlaLink="$W$144" lockText="1" noThreeD="1"/>
</file>

<file path=xl/ctrlProps/ctrlProp406.xml><?xml version="1.0" encoding="utf-8"?>
<formControlPr xmlns="http://schemas.microsoft.com/office/spreadsheetml/2009/9/main" objectType="CheckBox" fmlaLink="$W$146" lockText="1" noThreeD="1"/>
</file>

<file path=xl/ctrlProps/ctrlProp407.xml><?xml version="1.0" encoding="utf-8"?>
<formControlPr xmlns="http://schemas.microsoft.com/office/spreadsheetml/2009/9/main" objectType="CheckBox" fmlaLink="$W$147" lockText="1" noThreeD="1"/>
</file>

<file path=xl/ctrlProps/ctrlProp408.xml><?xml version="1.0" encoding="utf-8"?>
<formControlPr xmlns="http://schemas.microsoft.com/office/spreadsheetml/2009/9/main" objectType="CheckBox" fmlaLink="$W$148" lockText="1" noThreeD="1"/>
</file>

<file path=xl/ctrlProps/ctrlProp409.xml><?xml version="1.0" encoding="utf-8"?>
<formControlPr xmlns="http://schemas.microsoft.com/office/spreadsheetml/2009/9/main" objectType="CheckBox" fmlaLink="$W$149" lockText="1" noThreeD="1"/>
</file>

<file path=xl/ctrlProps/ctrlProp41.xml><?xml version="1.0" encoding="utf-8"?>
<formControlPr xmlns="http://schemas.microsoft.com/office/spreadsheetml/2009/9/main" objectType="CheckBox" checked="Checked" fmlaLink="$W$190" lockText="1" noThreeD="1"/>
</file>

<file path=xl/ctrlProps/ctrlProp410.xml><?xml version="1.0" encoding="utf-8"?>
<formControlPr xmlns="http://schemas.microsoft.com/office/spreadsheetml/2009/9/main" objectType="CheckBox" fmlaLink="$W$152" lockText="1" noThreeD="1"/>
</file>

<file path=xl/ctrlProps/ctrlProp411.xml><?xml version="1.0" encoding="utf-8"?>
<formControlPr xmlns="http://schemas.microsoft.com/office/spreadsheetml/2009/9/main" objectType="CheckBox" fmlaLink="$W$193" lockText="1" noThreeD="1"/>
</file>

<file path=xl/ctrlProps/ctrlProp412.xml><?xml version="1.0" encoding="utf-8"?>
<formControlPr xmlns="http://schemas.microsoft.com/office/spreadsheetml/2009/9/main" objectType="CheckBox" fmlaLink="$W$195" lockText="1" noThreeD="1"/>
</file>

<file path=xl/ctrlProps/ctrlProp413.xml><?xml version="1.0" encoding="utf-8"?>
<formControlPr xmlns="http://schemas.microsoft.com/office/spreadsheetml/2009/9/main" objectType="CheckBox" fmlaLink="$W$198" lockText="1" noThreeD="1"/>
</file>

<file path=xl/ctrlProps/ctrlProp414.xml><?xml version="1.0" encoding="utf-8"?>
<formControlPr xmlns="http://schemas.microsoft.com/office/spreadsheetml/2009/9/main" objectType="CheckBox" fmlaLink="$W$211" lockText="1" noThreeD="1"/>
</file>

<file path=xl/ctrlProps/ctrlProp415.xml><?xml version="1.0" encoding="utf-8"?>
<formControlPr xmlns="http://schemas.microsoft.com/office/spreadsheetml/2009/9/main" objectType="CheckBox" fmlaLink="$W$213" lockText="1" noThreeD="1"/>
</file>

<file path=xl/ctrlProps/ctrlProp416.xml><?xml version="1.0" encoding="utf-8"?>
<formControlPr xmlns="http://schemas.microsoft.com/office/spreadsheetml/2009/9/main" objectType="CheckBox" fmlaLink="$W$150" lockText="1" noThreeD="1"/>
</file>

<file path=xl/ctrlProps/ctrlProp417.xml><?xml version="1.0" encoding="utf-8"?>
<formControlPr xmlns="http://schemas.microsoft.com/office/spreadsheetml/2009/9/main" objectType="CheckBox" fmlaLink="$W$167" lockText="1" noThreeD="1"/>
</file>

<file path=xl/ctrlProps/ctrlProp418.xml><?xml version="1.0" encoding="utf-8"?>
<formControlPr xmlns="http://schemas.microsoft.com/office/spreadsheetml/2009/9/main" objectType="CheckBox" fmlaLink="$W$168" lockText="1" noThreeD="1"/>
</file>

<file path=xl/ctrlProps/ctrlProp419.xml><?xml version="1.0" encoding="utf-8"?>
<formControlPr xmlns="http://schemas.microsoft.com/office/spreadsheetml/2009/9/main" objectType="CheckBox" fmlaLink="$W$169" lockText="1" noThreeD="1"/>
</file>

<file path=xl/ctrlProps/ctrlProp42.xml><?xml version="1.0" encoding="utf-8"?>
<formControlPr xmlns="http://schemas.microsoft.com/office/spreadsheetml/2009/9/main" objectType="CheckBox" fmlaLink="$W$191" lockText="1" noThreeD="1"/>
</file>

<file path=xl/ctrlProps/ctrlProp420.xml><?xml version="1.0" encoding="utf-8"?>
<formControlPr xmlns="http://schemas.microsoft.com/office/spreadsheetml/2009/9/main" objectType="CheckBox" fmlaLink="$W$171" lockText="1" noThreeD="1"/>
</file>

<file path=xl/ctrlProps/ctrlProp421.xml><?xml version="1.0" encoding="utf-8"?>
<formControlPr xmlns="http://schemas.microsoft.com/office/spreadsheetml/2009/9/main" objectType="CheckBox" fmlaLink="$W$172" lockText="1" noThreeD="1"/>
</file>

<file path=xl/ctrlProps/ctrlProp422.xml><?xml version="1.0" encoding="utf-8"?>
<formControlPr xmlns="http://schemas.microsoft.com/office/spreadsheetml/2009/9/main" objectType="CheckBox" fmlaLink="$W$173" lockText="1" noThreeD="1"/>
</file>

<file path=xl/ctrlProps/ctrlProp423.xml><?xml version="1.0" encoding="utf-8"?>
<formControlPr xmlns="http://schemas.microsoft.com/office/spreadsheetml/2009/9/main" objectType="CheckBox" fmlaLink="$W$174" lockText="1" noThreeD="1"/>
</file>

<file path=xl/ctrlProps/ctrlProp424.xml><?xml version="1.0" encoding="utf-8"?>
<formControlPr xmlns="http://schemas.microsoft.com/office/spreadsheetml/2009/9/main" objectType="CheckBox" fmlaLink="$W$175" lockText="1" noThreeD="1"/>
</file>

<file path=xl/ctrlProps/ctrlProp425.xml><?xml version="1.0" encoding="utf-8"?>
<formControlPr xmlns="http://schemas.microsoft.com/office/spreadsheetml/2009/9/main" objectType="CheckBox" fmlaLink="$W$176" lockText="1" noThreeD="1"/>
</file>

<file path=xl/ctrlProps/ctrlProp426.xml><?xml version="1.0" encoding="utf-8"?>
<formControlPr xmlns="http://schemas.microsoft.com/office/spreadsheetml/2009/9/main" objectType="CheckBox" fmlaLink="$W$181" lockText="1" noThreeD="1"/>
</file>

<file path=xl/ctrlProps/ctrlProp427.xml><?xml version="1.0" encoding="utf-8"?>
<formControlPr xmlns="http://schemas.microsoft.com/office/spreadsheetml/2009/9/main" objectType="CheckBox" fmlaLink="$W$182" lockText="1" noThreeD="1"/>
</file>

<file path=xl/ctrlProps/ctrlProp428.xml><?xml version="1.0" encoding="utf-8"?>
<formControlPr xmlns="http://schemas.microsoft.com/office/spreadsheetml/2009/9/main" objectType="CheckBox" fmlaLink="$W$183" lockText="1" noThreeD="1"/>
</file>

<file path=xl/ctrlProps/ctrlProp429.xml><?xml version="1.0" encoding="utf-8"?>
<formControlPr xmlns="http://schemas.microsoft.com/office/spreadsheetml/2009/9/main" objectType="CheckBox" fmlaLink="$W$184" lockText="1" noThreeD="1"/>
</file>

<file path=xl/ctrlProps/ctrlProp43.xml><?xml version="1.0" encoding="utf-8"?>
<formControlPr xmlns="http://schemas.microsoft.com/office/spreadsheetml/2009/9/main" objectType="CheckBox" fmlaLink="$W$192" lockText="1" noThreeD="1"/>
</file>

<file path=xl/ctrlProps/ctrlProp430.xml><?xml version="1.0" encoding="utf-8"?>
<formControlPr xmlns="http://schemas.microsoft.com/office/spreadsheetml/2009/9/main" objectType="CheckBox" fmlaLink="$W$185" lockText="1" noThreeD="1"/>
</file>

<file path=xl/ctrlProps/ctrlProp431.xml><?xml version="1.0" encoding="utf-8"?>
<formControlPr xmlns="http://schemas.microsoft.com/office/spreadsheetml/2009/9/main" objectType="CheckBox" fmlaLink="$W$186" lockText="1" noThreeD="1"/>
</file>

<file path=xl/ctrlProps/ctrlProp432.xml><?xml version="1.0" encoding="utf-8"?>
<formControlPr xmlns="http://schemas.microsoft.com/office/spreadsheetml/2009/9/main" objectType="CheckBox" fmlaLink="$W$187" lockText="1" noThreeD="1"/>
</file>

<file path=xl/ctrlProps/ctrlProp433.xml><?xml version="1.0" encoding="utf-8"?>
<formControlPr xmlns="http://schemas.microsoft.com/office/spreadsheetml/2009/9/main" objectType="CheckBox" fmlaLink="$W$220" lockText="1" noThreeD="1"/>
</file>

<file path=xl/ctrlProps/ctrlProp434.xml><?xml version="1.0" encoding="utf-8"?>
<formControlPr xmlns="http://schemas.microsoft.com/office/spreadsheetml/2009/9/main" objectType="CheckBox" fmlaLink="$W$217" lockText="1" noThreeD="1"/>
</file>

<file path=xl/ctrlProps/ctrlProp435.xml><?xml version="1.0" encoding="utf-8"?>
<formControlPr xmlns="http://schemas.microsoft.com/office/spreadsheetml/2009/9/main" objectType="CheckBox" fmlaLink="$W$110" lockText="1" noThreeD="1"/>
</file>

<file path=xl/ctrlProps/ctrlProp436.xml><?xml version="1.0" encoding="utf-8"?>
<formControlPr xmlns="http://schemas.microsoft.com/office/spreadsheetml/2009/9/main" objectType="CheckBox" fmlaLink="$W$166" lockText="1" noThreeD="1"/>
</file>

<file path=xl/ctrlProps/ctrlProp437.xml><?xml version="1.0" encoding="utf-8"?>
<formControlPr xmlns="http://schemas.microsoft.com/office/spreadsheetml/2009/9/main" objectType="CheckBox" fmlaLink="$W$152" lockText="1" noThreeD="1"/>
</file>

<file path=xl/ctrlProps/ctrlProp438.xml><?xml version="1.0" encoding="utf-8"?>
<formControlPr xmlns="http://schemas.microsoft.com/office/spreadsheetml/2009/9/main" objectType="CheckBox" fmlaLink="$W$153" lockText="1" noThreeD="1"/>
</file>

<file path=xl/ctrlProps/ctrlProp439.xml><?xml version="1.0" encoding="utf-8"?>
<formControlPr xmlns="http://schemas.microsoft.com/office/spreadsheetml/2009/9/main" objectType="CheckBox" fmlaLink="$W$154" lockText="1" noThreeD="1"/>
</file>

<file path=xl/ctrlProps/ctrlProp44.xml><?xml version="1.0" encoding="utf-8"?>
<formControlPr xmlns="http://schemas.microsoft.com/office/spreadsheetml/2009/9/main" objectType="CheckBox" checked="Checked" fmlaLink="$W$194" lockText="1" noThreeD="1"/>
</file>

<file path=xl/ctrlProps/ctrlProp440.xml><?xml version="1.0" encoding="utf-8"?>
<formControlPr xmlns="http://schemas.microsoft.com/office/spreadsheetml/2009/9/main" objectType="CheckBox" fmlaLink="$W$126" lockText="1" noThreeD="1"/>
</file>

<file path=xl/ctrlProps/ctrlProp441.xml><?xml version="1.0" encoding="utf-8"?>
<formControlPr xmlns="http://schemas.microsoft.com/office/spreadsheetml/2009/9/main" objectType="CheckBox" fmlaLink="$W$39" lockText="1" noThreeD="1"/>
</file>

<file path=xl/ctrlProps/ctrlProp442.xml><?xml version="1.0" encoding="utf-8"?>
<formControlPr xmlns="http://schemas.microsoft.com/office/spreadsheetml/2009/9/main" objectType="CheckBox" fmlaLink="$W$40" lockText="1" noThreeD="1"/>
</file>

<file path=xl/ctrlProps/ctrlProp443.xml><?xml version="1.0" encoding="utf-8"?>
<formControlPr xmlns="http://schemas.microsoft.com/office/spreadsheetml/2009/9/main" objectType="CheckBox" fmlaLink="$W$41" lockText="1" noThreeD="1"/>
</file>

<file path=xl/ctrlProps/ctrlProp444.xml><?xml version="1.0" encoding="utf-8"?>
<formControlPr xmlns="http://schemas.microsoft.com/office/spreadsheetml/2009/9/main" objectType="CheckBox" fmlaLink="$W$42" lockText="1" noThreeD="1"/>
</file>

<file path=xl/ctrlProps/ctrlProp445.xml><?xml version="1.0" encoding="utf-8"?>
<formControlPr xmlns="http://schemas.microsoft.com/office/spreadsheetml/2009/9/main" objectType="CheckBox" fmlaLink="$W$43" lockText="1" noThreeD="1"/>
</file>

<file path=xl/ctrlProps/ctrlProp446.xml><?xml version="1.0" encoding="utf-8"?>
<formControlPr xmlns="http://schemas.microsoft.com/office/spreadsheetml/2009/9/main" objectType="CheckBox" fmlaLink="$W$44" lockText="1" noThreeD="1"/>
</file>

<file path=xl/ctrlProps/ctrlProp447.xml><?xml version="1.0" encoding="utf-8"?>
<formControlPr xmlns="http://schemas.microsoft.com/office/spreadsheetml/2009/9/main" objectType="CheckBox" fmlaLink="$W$45" lockText="1" noThreeD="1"/>
</file>

<file path=xl/ctrlProps/ctrlProp448.xml><?xml version="1.0" encoding="utf-8"?>
<formControlPr xmlns="http://schemas.microsoft.com/office/spreadsheetml/2009/9/main" objectType="CheckBox" fmlaLink="$W$46" lockText="1" noThreeD="1"/>
</file>

<file path=xl/ctrlProps/ctrlProp449.xml><?xml version="1.0" encoding="utf-8"?>
<formControlPr xmlns="http://schemas.microsoft.com/office/spreadsheetml/2009/9/main" objectType="CheckBox" fmlaLink="$W$47" lockText="1" noThreeD="1"/>
</file>

<file path=xl/ctrlProps/ctrlProp45.xml><?xml version="1.0" encoding="utf-8"?>
<formControlPr xmlns="http://schemas.microsoft.com/office/spreadsheetml/2009/9/main" objectType="CheckBox" checked="Checked" fmlaLink="$W$209" lockText="1" noThreeD="1"/>
</file>

<file path=xl/ctrlProps/ctrlProp450.xml><?xml version="1.0" encoding="utf-8"?>
<formControlPr xmlns="http://schemas.microsoft.com/office/spreadsheetml/2009/9/main" objectType="CheckBox" fmlaLink="$W$48" lockText="1" noThreeD="1"/>
</file>

<file path=xl/ctrlProps/ctrlProp451.xml><?xml version="1.0" encoding="utf-8"?>
<formControlPr xmlns="http://schemas.microsoft.com/office/spreadsheetml/2009/9/main" objectType="CheckBox" fmlaLink="$W$49" lockText="1" noThreeD="1"/>
</file>

<file path=xl/ctrlProps/ctrlProp452.xml><?xml version="1.0" encoding="utf-8"?>
<formControlPr xmlns="http://schemas.microsoft.com/office/spreadsheetml/2009/9/main" objectType="CheckBox" fmlaLink="$W$54" lockText="1" noThreeD="1"/>
</file>

<file path=xl/ctrlProps/ctrlProp453.xml><?xml version="1.0" encoding="utf-8"?>
<formControlPr xmlns="http://schemas.microsoft.com/office/spreadsheetml/2009/9/main" objectType="CheckBox" fmlaLink="$W$55" lockText="1" noThreeD="1"/>
</file>

<file path=xl/ctrlProps/ctrlProp454.xml><?xml version="1.0" encoding="utf-8"?>
<formControlPr xmlns="http://schemas.microsoft.com/office/spreadsheetml/2009/9/main" objectType="CheckBox" fmlaLink="$W$18" lockText="1" noThreeD="1"/>
</file>

<file path=xl/ctrlProps/ctrlProp455.xml><?xml version="1.0" encoding="utf-8"?>
<formControlPr xmlns="http://schemas.microsoft.com/office/spreadsheetml/2009/9/main" objectType="CheckBox" fmlaLink="$W$19" lockText="1" noThreeD="1"/>
</file>

<file path=xl/ctrlProps/ctrlProp456.xml><?xml version="1.0" encoding="utf-8"?>
<formControlPr xmlns="http://schemas.microsoft.com/office/spreadsheetml/2009/9/main" objectType="CheckBox" fmlaLink="$W$20" lockText="1" noThreeD="1"/>
</file>

<file path=xl/ctrlProps/ctrlProp457.xml><?xml version="1.0" encoding="utf-8"?>
<formControlPr xmlns="http://schemas.microsoft.com/office/spreadsheetml/2009/9/main" objectType="CheckBox" fmlaLink="$W$22" lockText="1" noThreeD="1"/>
</file>

<file path=xl/ctrlProps/ctrlProp458.xml><?xml version="1.0" encoding="utf-8"?>
<formControlPr xmlns="http://schemas.microsoft.com/office/spreadsheetml/2009/9/main" objectType="CheckBox" fmlaLink="$W$23" lockText="1" noThreeD="1"/>
</file>

<file path=xl/ctrlProps/ctrlProp459.xml><?xml version="1.0" encoding="utf-8"?>
<formControlPr xmlns="http://schemas.microsoft.com/office/spreadsheetml/2009/9/main" objectType="CheckBox" fmlaLink="$W$24" lockText="1" noThreeD="1"/>
</file>

<file path=xl/ctrlProps/ctrlProp46.xml><?xml version="1.0" encoding="utf-8"?>
<formControlPr xmlns="http://schemas.microsoft.com/office/spreadsheetml/2009/9/main" objectType="CheckBox" checked="Checked" fmlaLink="$W$216" lockText="1" noThreeD="1"/>
</file>

<file path=xl/ctrlProps/ctrlProp460.xml><?xml version="1.0" encoding="utf-8"?>
<formControlPr xmlns="http://schemas.microsoft.com/office/spreadsheetml/2009/9/main" objectType="CheckBox" fmlaLink="$W$27" lockText="1" noThreeD="1"/>
</file>

<file path=xl/ctrlProps/ctrlProp461.xml><?xml version="1.0" encoding="utf-8"?>
<formControlPr xmlns="http://schemas.microsoft.com/office/spreadsheetml/2009/9/main" objectType="CheckBox" fmlaLink="$W$28" lockText="1" noThreeD="1"/>
</file>

<file path=xl/ctrlProps/ctrlProp462.xml><?xml version="1.0" encoding="utf-8"?>
<formControlPr xmlns="http://schemas.microsoft.com/office/spreadsheetml/2009/9/main" objectType="CheckBox" fmlaLink="$W$34" lockText="1" noThreeD="1"/>
</file>

<file path=xl/ctrlProps/ctrlProp463.xml><?xml version="1.0" encoding="utf-8"?>
<formControlPr xmlns="http://schemas.microsoft.com/office/spreadsheetml/2009/9/main" objectType="CheckBox" fmlaLink="$W$41" lockText="1" noThreeD="1"/>
</file>

<file path=xl/ctrlProps/ctrlProp464.xml><?xml version="1.0" encoding="utf-8"?>
<formControlPr xmlns="http://schemas.microsoft.com/office/spreadsheetml/2009/9/main" objectType="CheckBox" fmlaLink="$W$48" lockText="1" noThreeD="1"/>
</file>

<file path=xl/ctrlProps/ctrlProp465.xml><?xml version="1.0" encoding="utf-8"?>
<formControlPr xmlns="http://schemas.microsoft.com/office/spreadsheetml/2009/9/main" objectType="CheckBox" fmlaLink="$W$55" lockText="1" noThreeD="1"/>
</file>

<file path=xl/ctrlProps/ctrlProp466.xml><?xml version="1.0" encoding="utf-8"?>
<formControlPr xmlns="http://schemas.microsoft.com/office/spreadsheetml/2009/9/main" objectType="CheckBox" fmlaLink="$W$110" lockText="1" noThreeD="1"/>
</file>

<file path=xl/ctrlProps/ctrlProp467.xml><?xml version="1.0" encoding="utf-8"?>
<formControlPr xmlns="http://schemas.microsoft.com/office/spreadsheetml/2009/9/main" objectType="CheckBox" fmlaLink="$W$115" lockText="1" noThreeD="1"/>
</file>

<file path=xl/ctrlProps/ctrlProp468.xml><?xml version="1.0" encoding="utf-8"?>
<formControlPr xmlns="http://schemas.microsoft.com/office/spreadsheetml/2009/9/main" objectType="CheckBox" fmlaLink="$W$132" lockText="1" noThreeD="1"/>
</file>

<file path=xl/ctrlProps/ctrlProp469.xml><?xml version="1.0" encoding="utf-8"?>
<formControlPr xmlns="http://schemas.microsoft.com/office/spreadsheetml/2009/9/main" objectType="CheckBox" fmlaLink="$I$10" lockText="1" noThreeD="1"/>
</file>

<file path=xl/ctrlProps/ctrlProp47.xml><?xml version="1.0" encoding="utf-8"?>
<formControlPr xmlns="http://schemas.microsoft.com/office/spreadsheetml/2009/9/main" objectType="CheckBox" fmlaLink="$W$217" lockText="1" noThreeD="1"/>
</file>

<file path=xl/ctrlProps/ctrlProp470.xml><?xml version="1.0" encoding="utf-8"?>
<formControlPr xmlns="http://schemas.microsoft.com/office/spreadsheetml/2009/9/main" objectType="CheckBox" fmlaLink="$I$11" lockText="1" noThreeD="1"/>
</file>

<file path=xl/ctrlProps/ctrlProp471.xml><?xml version="1.0" encoding="utf-8"?>
<formControlPr xmlns="http://schemas.microsoft.com/office/spreadsheetml/2009/9/main" objectType="CheckBox" fmlaLink="$I$12" lockText="1" noThreeD="1"/>
</file>

<file path=xl/ctrlProps/ctrlProp472.xml><?xml version="1.0" encoding="utf-8"?>
<formControlPr xmlns="http://schemas.microsoft.com/office/spreadsheetml/2009/9/main" objectType="CheckBox" fmlaLink="$I$13" lockText="1" noThreeD="1"/>
</file>

<file path=xl/ctrlProps/ctrlProp473.xml><?xml version="1.0" encoding="utf-8"?>
<formControlPr xmlns="http://schemas.microsoft.com/office/spreadsheetml/2009/9/main" objectType="CheckBox" fmlaLink="$I$14" lockText="1" noThreeD="1"/>
</file>

<file path=xl/ctrlProps/ctrlProp474.xml><?xml version="1.0" encoding="utf-8"?>
<formControlPr xmlns="http://schemas.microsoft.com/office/spreadsheetml/2009/9/main" objectType="CheckBox" fmlaLink="$I$15" lockText="1" noThreeD="1"/>
</file>

<file path=xl/ctrlProps/ctrlProp475.xml><?xml version="1.0" encoding="utf-8"?>
<formControlPr xmlns="http://schemas.microsoft.com/office/spreadsheetml/2009/9/main" objectType="CheckBox" fmlaLink="$I$16" lockText="1" noThreeD="1"/>
</file>

<file path=xl/ctrlProps/ctrlProp476.xml><?xml version="1.0" encoding="utf-8"?>
<formControlPr xmlns="http://schemas.microsoft.com/office/spreadsheetml/2009/9/main" objectType="CheckBox" checked="Checked" fmlaLink="$I$18" lockText="1" noThreeD="1"/>
</file>

<file path=xl/ctrlProps/ctrlProp477.xml><?xml version="1.0" encoding="utf-8"?>
<formControlPr xmlns="http://schemas.microsoft.com/office/spreadsheetml/2009/9/main" objectType="CheckBox" fmlaLink="$I$19" lockText="1" noThreeD="1"/>
</file>

<file path=xl/ctrlProps/ctrlProp478.xml><?xml version="1.0" encoding="utf-8"?>
<formControlPr xmlns="http://schemas.microsoft.com/office/spreadsheetml/2009/9/main" objectType="CheckBox" fmlaLink="$I$23" lockText="1" noThreeD="1"/>
</file>

<file path=xl/ctrlProps/ctrlProp479.xml><?xml version="1.0" encoding="utf-8"?>
<formControlPr xmlns="http://schemas.microsoft.com/office/spreadsheetml/2009/9/main" objectType="CheckBox" fmlaLink="$I$25" lockText="1" noThreeD="1"/>
</file>

<file path=xl/ctrlProps/ctrlProp48.xml><?xml version="1.0" encoding="utf-8"?>
<formControlPr xmlns="http://schemas.microsoft.com/office/spreadsheetml/2009/9/main" objectType="CheckBox" fmlaLink="$W$219" lockText="1" noThreeD="1"/>
</file>

<file path=xl/ctrlProps/ctrlProp480.xml><?xml version="1.0" encoding="utf-8"?>
<formControlPr xmlns="http://schemas.microsoft.com/office/spreadsheetml/2009/9/main" objectType="CheckBox" fmlaLink="$I$26" lockText="1" noThreeD="1"/>
</file>

<file path=xl/ctrlProps/ctrlProp481.xml><?xml version="1.0" encoding="utf-8"?>
<formControlPr xmlns="http://schemas.microsoft.com/office/spreadsheetml/2009/9/main" objectType="CheckBox" fmlaLink="$I$30" lockText="1" noThreeD="1"/>
</file>

<file path=xl/ctrlProps/ctrlProp482.xml><?xml version="1.0" encoding="utf-8"?>
<formControlPr xmlns="http://schemas.microsoft.com/office/spreadsheetml/2009/9/main" objectType="CheckBox" fmlaLink="$I$32" lockText="1" noThreeD="1"/>
</file>

<file path=xl/ctrlProps/ctrlProp483.xml><?xml version="1.0" encoding="utf-8"?>
<formControlPr xmlns="http://schemas.microsoft.com/office/spreadsheetml/2009/9/main" objectType="CheckBox" fmlaLink="$I$34" lockText="1" noThreeD="1"/>
</file>

<file path=xl/ctrlProps/ctrlProp484.xml><?xml version="1.0" encoding="utf-8"?>
<formControlPr xmlns="http://schemas.microsoft.com/office/spreadsheetml/2009/9/main" objectType="CheckBox" fmlaLink="$I$35" lockText="1" noThreeD="1"/>
</file>

<file path=xl/ctrlProps/ctrlProp485.xml><?xml version="1.0" encoding="utf-8"?>
<formControlPr xmlns="http://schemas.microsoft.com/office/spreadsheetml/2009/9/main" objectType="CheckBox" fmlaLink="$I$36" lockText="1" noThreeD="1"/>
</file>

<file path=xl/ctrlProps/ctrlProp486.xml><?xml version="1.0" encoding="utf-8"?>
<formControlPr xmlns="http://schemas.microsoft.com/office/spreadsheetml/2009/9/main" objectType="CheckBox" fmlaLink="$I$37" lockText="1" noThreeD="1"/>
</file>

<file path=xl/ctrlProps/ctrlProp487.xml><?xml version="1.0" encoding="utf-8"?>
<formControlPr xmlns="http://schemas.microsoft.com/office/spreadsheetml/2009/9/main" objectType="CheckBox" fmlaLink="$I$48" lockText="1" noThreeD="1"/>
</file>

<file path=xl/ctrlProps/ctrlProp488.xml><?xml version="1.0" encoding="utf-8"?>
<formControlPr xmlns="http://schemas.microsoft.com/office/spreadsheetml/2009/9/main" objectType="CheckBox" fmlaLink="$I$49" lockText="1" noThreeD="1"/>
</file>

<file path=xl/ctrlProps/ctrlProp489.xml><?xml version="1.0" encoding="utf-8"?>
<formControlPr xmlns="http://schemas.microsoft.com/office/spreadsheetml/2009/9/main" objectType="CheckBox" fmlaLink="$I$50" lockText="1" noThreeD="1"/>
</file>

<file path=xl/ctrlProps/ctrlProp49.xml><?xml version="1.0" encoding="utf-8"?>
<formControlPr xmlns="http://schemas.microsoft.com/office/spreadsheetml/2009/9/main" objectType="CheckBox" fmlaLink="$W$224" lockText="1" noThreeD="1"/>
</file>

<file path=xl/ctrlProps/ctrlProp490.xml><?xml version="1.0" encoding="utf-8"?>
<formControlPr xmlns="http://schemas.microsoft.com/office/spreadsheetml/2009/9/main" objectType="CheckBox" fmlaLink="$I$51" lockText="1" noThreeD="1"/>
</file>

<file path=xl/ctrlProps/ctrlProp491.xml><?xml version="1.0" encoding="utf-8"?>
<formControlPr xmlns="http://schemas.microsoft.com/office/spreadsheetml/2009/9/main" objectType="CheckBox" fmlaLink="$I$52" lockText="1" noThreeD="1"/>
</file>

<file path=xl/ctrlProps/ctrlProp492.xml><?xml version="1.0" encoding="utf-8"?>
<formControlPr xmlns="http://schemas.microsoft.com/office/spreadsheetml/2009/9/main" objectType="CheckBox" fmlaLink="$I$55" lockText="1" noThreeD="1"/>
</file>

<file path=xl/ctrlProps/ctrlProp493.xml><?xml version="1.0" encoding="utf-8"?>
<formControlPr xmlns="http://schemas.microsoft.com/office/spreadsheetml/2009/9/main" objectType="CheckBox" fmlaLink="$I$56" lockText="1" noThreeD="1"/>
</file>

<file path=xl/ctrlProps/ctrlProp494.xml><?xml version="1.0" encoding="utf-8"?>
<formControlPr xmlns="http://schemas.microsoft.com/office/spreadsheetml/2009/9/main" objectType="CheckBox" fmlaLink="$I$57" lockText="1" noThreeD="1"/>
</file>

<file path=xl/ctrlProps/ctrlProp495.xml><?xml version="1.0" encoding="utf-8"?>
<formControlPr xmlns="http://schemas.microsoft.com/office/spreadsheetml/2009/9/main" objectType="CheckBox" fmlaLink="$I$58" lockText="1" noThreeD="1"/>
</file>

<file path=xl/ctrlProps/ctrlProp496.xml><?xml version="1.0" encoding="utf-8"?>
<formControlPr xmlns="http://schemas.microsoft.com/office/spreadsheetml/2009/9/main" objectType="CheckBox" fmlaLink="$I$59" lockText="1" noThreeD="1"/>
</file>

<file path=xl/ctrlProps/ctrlProp497.xml><?xml version="1.0" encoding="utf-8"?>
<formControlPr xmlns="http://schemas.microsoft.com/office/spreadsheetml/2009/9/main" objectType="CheckBox" fmlaLink="$I$61" lockText="1" noThreeD="1"/>
</file>

<file path=xl/ctrlProps/ctrlProp498.xml><?xml version="1.0" encoding="utf-8"?>
<formControlPr xmlns="http://schemas.microsoft.com/office/spreadsheetml/2009/9/main" objectType="CheckBox" fmlaLink="$I$62" lockText="1" noThreeD="1"/>
</file>

<file path=xl/ctrlProps/ctrlProp499.xml><?xml version="1.0" encoding="utf-8"?>
<formControlPr xmlns="http://schemas.microsoft.com/office/spreadsheetml/2009/9/main" objectType="CheckBox" fmlaLink="$I$27" lockText="1" noThreeD="1"/>
</file>

<file path=xl/ctrlProps/ctrlProp5.xml><?xml version="1.0" encoding="utf-8"?>
<formControlPr xmlns="http://schemas.microsoft.com/office/spreadsheetml/2009/9/main" objectType="CheckBox" fmlaLink="$W$19" lockText="1" noThreeD="1"/>
</file>

<file path=xl/ctrlProps/ctrlProp50.xml><?xml version="1.0" encoding="utf-8"?>
<formControlPr xmlns="http://schemas.microsoft.com/office/spreadsheetml/2009/9/main" objectType="CheckBox" checked="Checked" fmlaLink="$W$226" lockText="1" noThreeD="1"/>
</file>

<file path=xl/ctrlProps/ctrlProp500.xml><?xml version="1.0" encoding="utf-8"?>
<formControlPr xmlns="http://schemas.microsoft.com/office/spreadsheetml/2009/9/main" objectType="CheckBox" fmlaLink="$I$38" lockText="1" noThreeD="1"/>
</file>

<file path=xl/ctrlProps/ctrlProp501.xml><?xml version="1.0" encoding="utf-8"?>
<formControlPr xmlns="http://schemas.microsoft.com/office/spreadsheetml/2009/9/main" objectType="CheckBox" fmlaLink="$I$39" lockText="1" noThreeD="1"/>
</file>

<file path=xl/ctrlProps/ctrlProp502.xml><?xml version="1.0" encoding="utf-8"?>
<formControlPr xmlns="http://schemas.microsoft.com/office/spreadsheetml/2009/9/main" objectType="CheckBox" fmlaLink="$I$40" lockText="1" noThreeD="1"/>
</file>

<file path=xl/ctrlProps/ctrlProp503.xml><?xml version="1.0" encoding="utf-8"?>
<formControlPr xmlns="http://schemas.microsoft.com/office/spreadsheetml/2009/9/main" objectType="CheckBox" fmlaLink="$I$41" lockText="1" noThreeD="1"/>
</file>

<file path=xl/ctrlProps/ctrlProp504.xml><?xml version="1.0" encoding="utf-8"?>
<formControlPr xmlns="http://schemas.microsoft.com/office/spreadsheetml/2009/9/main" objectType="CheckBox" fmlaLink="$I$42" lockText="1" noThreeD="1"/>
</file>

<file path=xl/ctrlProps/ctrlProp505.xml><?xml version="1.0" encoding="utf-8"?>
<formControlPr xmlns="http://schemas.microsoft.com/office/spreadsheetml/2009/9/main" objectType="CheckBox" fmlaLink="$I$44" lockText="1" noThreeD="1"/>
</file>

<file path=xl/ctrlProps/ctrlProp506.xml><?xml version="1.0" encoding="utf-8"?>
<formControlPr xmlns="http://schemas.microsoft.com/office/spreadsheetml/2009/9/main" objectType="CheckBox" fmlaLink="$I$45" lockText="1" noThreeD="1"/>
</file>

<file path=xl/ctrlProps/ctrlProp507.xml><?xml version="1.0" encoding="utf-8"?>
<formControlPr xmlns="http://schemas.microsoft.com/office/spreadsheetml/2009/9/main" objectType="CheckBox" fmlaLink="$I$46" lockText="1" noThreeD="1"/>
</file>

<file path=xl/ctrlProps/ctrlProp508.xml><?xml version="1.0" encoding="utf-8"?>
<formControlPr xmlns="http://schemas.microsoft.com/office/spreadsheetml/2009/9/main" objectType="CheckBox" fmlaLink="$I$47" lockText="1" noThreeD="1"/>
</file>

<file path=xl/ctrlProps/ctrlProp509.xml><?xml version="1.0" encoding="utf-8"?>
<formControlPr xmlns="http://schemas.microsoft.com/office/spreadsheetml/2009/9/main" objectType="CheckBox" fmlaLink="$I$20" lockText="1" noThreeD="1"/>
</file>

<file path=xl/ctrlProps/ctrlProp51.xml><?xml version="1.0" encoding="utf-8"?>
<formControlPr xmlns="http://schemas.microsoft.com/office/spreadsheetml/2009/9/main" objectType="CheckBox" fmlaLink="$W$227" lockText="1" noThreeD="1"/>
</file>

<file path=xl/ctrlProps/ctrlProp510.xml><?xml version="1.0" encoding="utf-8"?>
<formControlPr xmlns="http://schemas.microsoft.com/office/spreadsheetml/2009/9/main" objectType="CheckBox" fmlaLink="$I$28" lockText="1" noThreeD="1"/>
</file>

<file path=xl/ctrlProps/ctrlProp511.xml><?xml version="1.0" encoding="utf-8"?>
<formControlPr xmlns="http://schemas.microsoft.com/office/spreadsheetml/2009/9/main" objectType="CheckBox" fmlaLink="$W$14" lockText="1" noThreeD="1"/>
</file>

<file path=xl/ctrlProps/ctrlProp512.xml><?xml version="1.0" encoding="utf-8"?>
<formControlPr xmlns="http://schemas.microsoft.com/office/spreadsheetml/2009/9/main" objectType="CheckBox" fmlaLink="$W$16" lockText="1" noThreeD="1"/>
</file>

<file path=xl/ctrlProps/ctrlProp513.xml><?xml version="1.0" encoding="utf-8"?>
<formControlPr xmlns="http://schemas.microsoft.com/office/spreadsheetml/2009/9/main" objectType="CheckBox" fmlaLink="$W$17" lockText="1" noThreeD="1"/>
</file>

<file path=xl/ctrlProps/ctrlProp514.xml><?xml version="1.0" encoding="utf-8"?>
<formControlPr xmlns="http://schemas.microsoft.com/office/spreadsheetml/2009/9/main" objectType="CheckBox" fmlaLink="$W$18" lockText="1" noThreeD="1"/>
</file>

<file path=xl/ctrlProps/ctrlProp515.xml><?xml version="1.0" encoding="utf-8"?>
<formControlPr xmlns="http://schemas.microsoft.com/office/spreadsheetml/2009/9/main" objectType="CheckBox" fmlaLink="$W$21" lockText="1" noThreeD="1"/>
</file>

<file path=xl/ctrlProps/ctrlProp516.xml><?xml version="1.0" encoding="utf-8"?>
<formControlPr xmlns="http://schemas.microsoft.com/office/spreadsheetml/2009/9/main" objectType="CheckBox" fmlaLink="$W$23" lockText="1" noThreeD="1"/>
</file>

<file path=xl/ctrlProps/ctrlProp517.xml><?xml version="1.0" encoding="utf-8"?>
<formControlPr xmlns="http://schemas.microsoft.com/office/spreadsheetml/2009/9/main" objectType="CheckBox" fmlaLink="$W$25" lockText="1" noThreeD="1"/>
</file>

<file path=xl/ctrlProps/ctrlProp518.xml><?xml version="1.0" encoding="utf-8"?>
<formControlPr xmlns="http://schemas.microsoft.com/office/spreadsheetml/2009/9/main" objectType="CheckBox" fmlaLink="$W$27" lockText="1" noThreeD="1"/>
</file>

<file path=xl/ctrlProps/ctrlProp519.xml><?xml version="1.0" encoding="utf-8"?>
<formControlPr xmlns="http://schemas.microsoft.com/office/spreadsheetml/2009/9/main" objectType="CheckBox" fmlaLink="$W$42" lockText="1" noThreeD="1"/>
</file>

<file path=xl/ctrlProps/ctrlProp52.xml><?xml version="1.0" encoding="utf-8"?>
<formControlPr xmlns="http://schemas.microsoft.com/office/spreadsheetml/2009/9/main" objectType="CheckBox" fmlaLink="$W$229" lockText="1" noThreeD="1"/>
</file>

<file path=xl/ctrlProps/ctrlProp520.xml><?xml version="1.0" encoding="utf-8"?>
<formControlPr xmlns="http://schemas.microsoft.com/office/spreadsheetml/2009/9/main" objectType="CheckBox" fmlaLink="$W$58" lockText="1" noThreeD="1"/>
</file>

<file path=xl/ctrlProps/ctrlProp521.xml><?xml version="1.0" encoding="utf-8"?>
<formControlPr xmlns="http://schemas.microsoft.com/office/spreadsheetml/2009/9/main" objectType="CheckBox" fmlaLink="$W$69" lockText="1" noThreeD="1"/>
</file>

<file path=xl/ctrlProps/ctrlProp522.xml><?xml version="1.0" encoding="utf-8"?>
<formControlPr xmlns="http://schemas.microsoft.com/office/spreadsheetml/2009/9/main" objectType="CheckBox" fmlaLink="$W$71" lockText="1" noThreeD="1"/>
</file>

<file path=xl/ctrlProps/ctrlProp523.xml><?xml version="1.0" encoding="utf-8"?>
<formControlPr xmlns="http://schemas.microsoft.com/office/spreadsheetml/2009/9/main" objectType="CheckBox" fmlaLink="$W$73" lockText="1" noThreeD="1"/>
</file>

<file path=xl/ctrlProps/ctrlProp524.xml><?xml version="1.0" encoding="utf-8"?>
<formControlPr xmlns="http://schemas.microsoft.com/office/spreadsheetml/2009/9/main" objectType="CheckBox" fmlaLink="$W$75" lockText="1" noThreeD="1"/>
</file>

<file path=xl/ctrlProps/ctrlProp525.xml><?xml version="1.0" encoding="utf-8"?>
<formControlPr xmlns="http://schemas.microsoft.com/office/spreadsheetml/2009/9/main" objectType="CheckBox" fmlaLink="$W$77" lockText="1" noThreeD="1"/>
</file>

<file path=xl/ctrlProps/ctrlProp526.xml><?xml version="1.0" encoding="utf-8"?>
<formControlPr xmlns="http://schemas.microsoft.com/office/spreadsheetml/2009/9/main" objectType="CheckBox" fmlaLink="$W$79" lockText="1" noThreeD="1"/>
</file>

<file path=xl/ctrlProps/ctrlProp527.xml><?xml version="1.0" encoding="utf-8"?>
<formControlPr xmlns="http://schemas.microsoft.com/office/spreadsheetml/2009/9/main" objectType="CheckBox" fmlaLink="$W$81" lockText="1" noThreeD="1"/>
</file>

<file path=xl/ctrlProps/ctrlProp528.xml><?xml version="1.0" encoding="utf-8"?>
<formControlPr xmlns="http://schemas.microsoft.com/office/spreadsheetml/2009/9/main" objectType="CheckBox" fmlaLink="$W$90" lockText="1" noThreeD="1"/>
</file>

<file path=xl/ctrlProps/ctrlProp529.xml><?xml version="1.0" encoding="utf-8"?>
<formControlPr xmlns="http://schemas.microsoft.com/office/spreadsheetml/2009/9/main" objectType="CheckBox" fmlaLink="$W$91" lockText="1" noThreeD="1"/>
</file>

<file path=xl/ctrlProps/ctrlProp53.xml><?xml version="1.0" encoding="utf-8"?>
<formControlPr xmlns="http://schemas.microsoft.com/office/spreadsheetml/2009/9/main" objectType="CheckBox" fmlaLink="$W$231" lockText="1" noThreeD="1"/>
</file>

<file path=xl/ctrlProps/ctrlProp530.xml><?xml version="1.0" encoding="utf-8"?>
<formControlPr xmlns="http://schemas.microsoft.com/office/spreadsheetml/2009/9/main" objectType="CheckBox" fmlaLink="$W$98" lockText="1" noThreeD="1"/>
</file>

<file path=xl/ctrlProps/ctrlProp531.xml><?xml version="1.0" encoding="utf-8"?>
<formControlPr xmlns="http://schemas.microsoft.com/office/spreadsheetml/2009/9/main" objectType="CheckBox" fmlaLink="$W$100" lockText="1" noThreeD="1"/>
</file>

<file path=xl/ctrlProps/ctrlProp532.xml><?xml version="1.0" encoding="utf-8"?>
<formControlPr xmlns="http://schemas.microsoft.com/office/spreadsheetml/2009/9/main" objectType="CheckBox" fmlaLink="$W$104" lockText="1" noThreeD="1"/>
</file>

<file path=xl/ctrlProps/ctrlProp533.xml><?xml version="1.0" encoding="utf-8"?>
<formControlPr xmlns="http://schemas.microsoft.com/office/spreadsheetml/2009/9/main" objectType="CheckBox" fmlaLink="$W$108" lockText="1" noThreeD="1"/>
</file>

<file path=xl/ctrlProps/ctrlProp534.xml><?xml version="1.0" encoding="utf-8"?>
<formControlPr xmlns="http://schemas.microsoft.com/office/spreadsheetml/2009/9/main" objectType="CheckBox" fmlaLink="$W$109" lockText="1" noThreeD="1"/>
</file>

<file path=xl/ctrlProps/ctrlProp535.xml><?xml version="1.0" encoding="utf-8"?>
<formControlPr xmlns="http://schemas.microsoft.com/office/spreadsheetml/2009/9/main" objectType="CheckBox" fmlaLink="$W$111" lockText="1" noThreeD="1"/>
</file>

<file path=xl/ctrlProps/ctrlProp536.xml><?xml version="1.0" encoding="utf-8"?>
<formControlPr xmlns="http://schemas.microsoft.com/office/spreadsheetml/2009/9/main" objectType="CheckBox" fmlaLink="$W$112" lockText="1" noThreeD="1"/>
</file>

<file path=xl/ctrlProps/ctrlProp537.xml><?xml version="1.0" encoding="utf-8"?>
<formControlPr xmlns="http://schemas.microsoft.com/office/spreadsheetml/2009/9/main" objectType="CheckBox" fmlaLink="$W$113" lockText="1" noThreeD="1"/>
</file>

<file path=xl/ctrlProps/ctrlProp538.xml><?xml version="1.0" encoding="utf-8"?>
<formControlPr xmlns="http://schemas.microsoft.com/office/spreadsheetml/2009/9/main" objectType="CheckBox" fmlaLink="$W$121" lockText="1" noThreeD="1"/>
</file>

<file path=xl/ctrlProps/ctrlProp539.xml><?xml version="1.0" encoding="utf-8"?>
<formControlPr xmlns="http://schemas.microsoft.com/office/spreadsheetml/2009/9/main" objectType="CheckBox" fmlaLink="$W$124" lockText="1" noThreeD="1"/>
</file>

<file path=xl/ctrlProps/ctrlProp54.xml><?xml version="1.0" encoding="utf-8"?>
<formControlPr xmlns="http://schemas.microsoft.com/office/spreadsheetml/2009/9/main" objectType="CheckBox" fmlaLink="$W$235" lockText="1" noThreeD="1"/>
</file>

<file path=xl/ctrlProps/ctrlProp540.xml><?xml version="1.0" encoding="utf-8"?>
<formControlPr xmlns="http://schemas.microsoft.com/office/spreadsheetml/2009/9/main" objectType="CheckBox" fmlaLink="$W$155" lockText="1" noThreeD="1"/>
</file>

<file path=xl/ctrlProps/ctrlProp541.xml><?xml version="1.0" encoding="utf-8"?>
<formControlPr xmlns="http://schemas.microsoft.com/office/spreadsheetml/2009/9/main" objectType="CheckBox" fmlaLink="$W$157" lockText="1" noThreeD="1"/>
</file>

<file path=xl/ctrlProps/ctrlProp542.xml><?xml version="1.0" encoding="utf-8"?>
<formControlPr xmlns="http://schemas.microsoft.com/office/spreadsheetml/2009/9/main" objectType="CheckBox" fmlaLink="$W$160" lockText="1" noThreeD="1"/>
</file>

<file path=xl/ctrlProps/ctrlProp543.xml><?xml version="1.0" encoding="utf-8"?>
<formControlPr xmlns="http://schemas.microsoft.com/office/spreadsheetml/2009/9/main" objectType="CheckBox" fmlaLink="$W$170" lockText="1" noThreeD="1"/>
</file>

<file path=xl/ctrlProps/ctrlProp544.xml><?xml version="1.0" encoding="utf-8"?>
<formControlPr xmlns="http://schemas.microsoft.com/office/spreadsheetml/2009/9/main" objectType="CheckBox" fmlaLink="$W$171" lockText="1" noThreeD="1"/>
</file>

<file path=xl/ctrlProps/ctrlProp545.xml><?xml version="1.0" encoding="utf-8"?>
<formControlPr xmlns="http://schemas.microsoft.com/office/spreadsheetml/2009/9/main" objectType="CheckBox" fmlaLink="$W$176" lockText="1" noThreeD="1"/>
</file>

<file path=xl/ctrlProps/ctrlProp546.xml><?xml version="1.0" encoding="utf-8"?>
<formControlPr xmlns="http://schemas.microsoft.com/office/spreadsheetml/2009/9/main" objectType="CheckBox" fmlaLink="$W$178" lockText="1" noThreeD="1"/>
</file>

<file path=xl/ctrlProps/ctrlProp547.xml><?xml version="1.0" encoding="utf-8"?>
<formControlPr xmlns="http://schemas.microsoft.com/office/spreadsheetml/2009/9/main" objectType="CheckBox" fmlaLink="$W$181" lockText="1" noThreeD="1"/>
</file>

<file path=xl/ctrlProps/ctrlProp548.xml><?xml version="1.0" encoding="utf-8"?>
<formControlPr xmlns="http://schemas.microsoft.com/office/spreadsheetml/2009/9/main" objectType="CheckBox" fmlaLink="$W$183" lockText="1" noThreeD="1"/>
</file>

<file path=xl/ctrlProps/ctrlProp549.xml><?xml version="1.0" encoding="utf-8"?>
<formControlPr xmlns="http://schemas.microsoft.com/office/spreadsheetml/2009/9/main" objectType="CheckBox" fmlaLink="$W$185" lockText="1" noThreeD="1"/>
</file>

<file path=xl/ctrlProps/ctrlProp55.xml><?xml version="1.0" encoding="utf-8"?>
<formControlPr xmlns="http://schemas.microsoft.com/office/spreadsheetml/2009/9/main" objectType="CheckBox" fmlaLink="$W$238" lockText="1" noThreeD="1"/>
</file>

<file path=xl/ctrlProps/ctrlProp550.xml><?xml version="1.0" encoding="utf-8"?>
<formControlPr xmlns="http://schemas.microsoft.com/office/spreadsheetml/2009/9/main" objectType="CheckBox" fmlaLink="$W$189" lockText="1" noThreeD="1"/>
</file>

<file path=xl/ctrlProps/ctrlProp551.xml><?xml version="1.0" encoding="utf-8"?>
<formControlPr xmlns="http://schemas.microsoft.com/office/spreadsheetml/2009/9/main" objectType="CheckBox" fmlaLink="$W$190" lockText="1" noThreeD="1"/>
</file>

<file path=xl/ctrlProps/ctrlProp552.xml><?xml version="1.0" encoding="utf-8"?>
<formControlPr xmlns="http://schemas.microsoft.com/office/spreadsheetml/2009/9/main" objectType="CheckBox" fmlaLink="$W$191" lockText="1" noThreeD="1"/>
</file>

<file path=xl/ctrlProps/ctrlProp553.xml><?xml version="1.0" encoding="utf-8"?>
<formControlPr xmlns="http://schemas.microsoft.com/office/spreadsheetml/2009/9/main" objectType="CheckBox" fmlaLink="$W$193" lockText="1" noThreeD="1"/>
</file>

<file path=xl/ctrlProps/ctrlProp554.xml><?xml version="1.0" encoding="utf-8"?>
<formControlPr xmlns="http://schemas.microsoft.com/office/spreadsheetml/2009/9/main" objectType="CheckBox" fmlaLink="$W$208" lockText="1" noThreeD="1"/>
</file>

<file path=xl/ctrlProps/ctrlProp555.xml><?xml version="1.0" encoding="utf-8"?>
<formControlPr xmlns="http://schemas.microsoft.com/office/spreadsheetml/2009/9/main" objectType="CheckBox" fmlaLink="$W$215" lockText="1" noThreeD="1"/>
</file>

<file path=xl/ctrlProps/ctrlProp556.xml><?xml version="1.0" encoding="utf-8"?>
<formControlPr xmlns="http://schemas.microsoft.com/office/spreadsheetml/2009/9/main" objectType="CheckBox" fmlaLink="$W$216" lockText="1" noThreeD="1"/>
</file>

<file path=xl/ctrlProps/ctrlProp557.xml><?xml version="1.0" encoding="utf-8"?>
<formControlPr xmlns="http://schemas.microsoft.com/office/spreadsheetml/2009/9/main" objectType="CheckBox" fmlaLink="$W$218" lockText="1" noThreeD="1"/>
</file>

<file path=xl/ctrlProps/ctrlProp558.xml><?xml version="1.0" encoding="utf-8"?>
<formControlPr xmlns="http://schemas.microsoft.com/office/spreadsheetml/2009/9/main" objectType="CheckBox" fmlaLink="$W$223" lockText="1" noThreeD="1"/>
</file>

<file path=xl/ctrlProps/ctrlProp559.xml><?xml version="1.0" encoding="utf-8"?>
<formControlPr xmlns="http://schemas.microsoft.com/office/spreadsheetml/2009/9/main" objectType="CheckBox" fmlaLink="$W$225" lockText="1" noThreeD="1"/>
</file>

<file path=xl/ctrlProps/ctrlProp56.xml><?xml version="1.0" encoding="utf-8"?>
<formControlPr xmlns="http://schemas.microsoft.com/office/spreadsheetml/2009/9/main" objectType="CheckBox" fmlaLink="$W$240" lockText="1" noThreeD="1"/>
</file>

<file path=xl/ctrlProps/ctrlProp560.xml><?xml version="1.0" encoding="utf-8"?>
<formControlPr xmlns="http://schemas.microsoft.com/office/spreadsheetml/2009/9/main" objectType="CheckBox" fmlaLink="$W$226" lockText="1" noThreeD="1"/>
</file>

<file path=xl/ctrlProps/ctrlProp561.xml><?xml version="1.0" encoding="utf-8"?>
<formControlPr xmlns="http://schemas.microsoft.com/office/spreadsheetml/2009/9/main" objectType="CheckBox" fmlaLink="$W$228" lockText="1" noThreeD="1"/>
</file>

<file path=xl/ctrlProps/ctrlProp562.xml><?xml version="1.0" encoding="utf-8"?>
<formControlPr xmlns="http://schemas.microsoft.com/office/spreadsheetml/2009/9/main" objectType="CheckBox" fmlaLink="$W$230" lockText="1" noThreeD="1"/>
</file>

<file path=xl/ctrlProps/ctrlProp563.xml><?xml version="1.0" encoding="utf-8"?>
<formControlPr xmlns="http://schemas.microsoft.com/office/spreadsheetml/2009/9/main" objectType="CheckBox" fmlaLink="$W$234" lockText="1" noThreeD="1"/>
</file>

<file path=xl/ctrlProps/ctrlProp564.xml><?xml version="1.0" encoding="utf-8"?>
<formControlPr xmlns="http://schemas.microsoft.com/office/spreadsheetml/2009/9/main" objectType="CheckBox" fmlaLink="$W$237" lockText="1" noThreeD="1"/>
</file>

<file path=xl/ctrlProps/ctrlProp565.xml><?xml version="1.0" encoding="utf-8"?>
<formControlPr xmlns="http://schemas.microsoft.com/office/spreadsheetml/2009/9/main" objectType="CheckBox" fmlaLink="$W$239" lockText="1" noThreeD="1"/>
</file>

<file path=xl/ctrlProps/ctrlProp566.xml><?xml version="1.0" encoding="utf-8"?>
<formControlPr xmlns="http://schemas.microsoft.com/office/spreadsheetml/2009/9/main" objectType="CheckBox" fmlaLink="$W$240" lockText="1" noThreeD="1"/>
</file>

<file path=xl/ctrlProps/ctrlProp567.xml><?xml version="1.0" encoding="utf-8"?>
<formControlPr xmlns="http://schemas.microsoft.com/office/spreadsheetml/2009/9/main" objectType="CheckBox" fmlaLink="$W$241" lockText="1" noThreeD="1"/>
</file>

<file path=xl/ctrlProps/ctrlProp568.xml><?xml version="1.0" encoding="utf-8"?>
<formControlPr xmlns="http://schemas.microsoft.com/office/spreadsheetml/2009/9/main" objectType="CheckBox" fmlaLink="$W$242" lockText="1" noThreeD="1"/>
</file>

<file path=xl/ctrlProps/ctrlProp569.xml><?xml version="1.0" encoding="utf-8"?>
<formControlPr xmlns="http://schemas.microsoft.com/office/spreadsheetml/2009/9/main" objectType="CheckBox" fmlaLink="$W$243" lockText="1" noThreeD="1"/>
</file>

<file path=xl/ctrlProps/ctrlProp57.xml><?xml version="1.0" encoding="utf-8"?>
<formControlPr xmlns="http://schemas.microsoft.com/office/spreadsheetml/2009/9/main" objectType="CheckBox" fmlaLink="$W$241" lockText="1" noThreeD="1"/>
</file>

<file path=xl/ctrlProps/ctrlProp570.xml><?xml version="1.0" encoding="utf-8"?>
<formControlPr xmlns="http://schemas.microsoft.com/office/spreadsheetml/2009/9/main" objectType="CheckBox" fmlaLink="$W$244" lockText="1" noThreeD="1"/>
</file>

<file path=xl/ctrlProps/ctrlProp571.xml><?xml version="1.0" encoding="utf-8"?>
<formControlPr xmlns="http://schemas.microsoft.com/office/spreadsheetml/2009/9/main" objectType="CheckBox" fmlaLink="$W$246" lockText="1" noThreeD="1"/>
</file>

<file path=xl/ctrlProps/ctrlProp572.xml><?xml version="1.0" encoding="utf-8"?>
<formControlPr xmlns="http://schemas.microsoft.com/office/spreadsheetml/2009/9/main" objectType="CheckBox" fmlaLink="$W$253" lockText="1" noThreeD="1"/>
</file>

<file path=xl/ctrlProps/ctrlProp573.xml><?xml version="1.0" encoding="utf-8"?>
<formControlPr xmlns="http://schemas.microsoft.com/office/spreadsheetml/2009/9/main" objectType="CheckBox" fmlaLink="$W$255" lockText="1" noThreeD="1"/>
</file>

<file path=xl/ctrlProps/ctrlProp574.xml><?xml version="1.0" encoding="utf-8"?>
<formControlPr xmlns="http://schemas.microsoft.com/office/spreadsheetml/2009/9/main" objectType="CheckBox" fmlaLink="$W$264" lockText="1" noThreeD="1"/>
</file>

<file path=xl/ctrlProps/ctrlProp575.xml><?xml version="1.0" encoding="utf-8"?>
<formControlPr xmlns="http://schemas.microsoft.com/office/spreadsheetml/2009/9/main" objectType="CheckBox" fmlaLink="$W$267" lockText="1" noThreeD="1"/>
</file>

<file path=xl/ctrlProps/ctrlProp576.xml><?xml version="1.0" encoding="utf-8"?>
<formControlPr xmlns="http://schemas.microsoft.com/office/spreadsheetml/2009/9/main" objectType="CheckBox" fmlaLink="$W$271" lockText="1" noThreeD="1"/>
</file>

<file path=xl/ctrlProps/ctrlProp577.xml><?xml version="1.0" encoding="utf-8"?>
<formControlPr xmlns="http://schemas.microsoft.com/office/spreadsheetml/2009/9/main" objectType="CheckBox" fmlaLink="$W$272" lockText="1" noThreeD="1"/>
</file>

<file path=xl/ctrlProps/ctrlProp578.xml><?xml version="1.0" encoding="utf-8"?>
<formControlPr xmlns="http://schemas.microsoft.com/office/spreadsheetml/2009/9/main" objectType="CheckBox" fmlaLink="$W$282" lockText="1" noThreeD="1"/>
</file>

<file path=xl/ctrlProps/ctrlProp579.xml><?xml version="1.0" encoding="utf-8"?>
<formControlPr xmlns="http://schemas.microsoft.com/office/spreadsheetml/2009/9/main" objectType="CheckBox" fmlaLink="$W$349" lockText="1" noThreeD="1"/>
</file>

<file path=xl/ctrlProps/ctrlProp58.xml><?xml version="1.0" encoding="utf-8"?>
<formControlPr xmlns="http://schemas.microsoft.com/office/spreadsheetml/2009/9/main" objectType="CheckBox" fmlaLink="$W$242" lockText="1" noThreeD="1"/>
</file>

<file path=xl/ctrlProps/ctrlProp580.xml><?xml version="1.0" encoding="utf-8"?>
<formControlPr xmlns="http://schemas.microsoft.com/office/spreadsheetml/2009/9/main" objectType="CheckBox" fmlaLink="$W$352" lockText="1" noThreeD="1"/>
</file>

<file path=xl/ctrlProps/ctrlProp581.xml><?xml version="1.0" encoding="utf-8"?>
<formControlPr xmlns="http://schemas.microsoft.com/office/spreadsheetml/2009/9/main" objectType="CheckBox" fmlaLink="$W$355" lockText="1" noThreeD="1"/>
</file>

<file path=xl/ctrlProps/ctrlProp582.xml><?xml version="1.0" encoding="utf-8"?>
<formControlPr xmlns="http://schemas.microsoft.com/office/spreadsheetml/2009/9/main" objectType="CheckBox" fmlaLink="$W$359" lockText="1" noThreeD="1"/>
</file>

<file path=xl/ctrlProps/ctrlProp583.xml><?xml version="1.0" encoding="utf-8"?>
<formControlPr xmlns="http://schemas.microsoft.com/office/spreadsheetml/2009/9/main" objectType="CheckBox" fmlaLink="$W$360" lockText="1" noThreeD="1"/>
</file>

<file path=xl/ctrlProps/ctrlProp584.xml><?xml version="1.0" encoding="utf-8"?>
<formControlPr xmlns="http://schemas.microsoft.com/office/spreadsheetml/2009/9/main" objectType="CheckBox" fmlaLink="$W$361" lockText="1" noThreeD="1"/>
</file>

<file path=xl/ctrlProps/ctrlProp585.xml><?xml version="1.0" encoding="utf-8"?>
<formControlPr xmlns="http://schemas.microsoft.com/office/spreadsheetml/2009/9/main" objectType="CheckBox" fmlaLink="$W$362" lockText="1" noThreeD="1"/>
</file>

<file path=xl/ctrlProps/ctrlProp586.xml><?xml version="1.0" encoding="utf-8"?>
<formControlPr xmlns="http://schemas.microsoft.com/office/spreadsheetml/2009/9/main" objectType="CheckBox" fmlaLink="$W$363" lockText="1" noThreeD="1"/>
</file>

<file path=xl/ctrlProps/ctrlProp587.xml><?xml version="1.0" encoding="utf-8"?>
<formControlPr xmlns="http://schemas.microsoft.com/office/spreadsheetml/2009/9/main" objectType="CheckBox" fmlaLink="$W$364" lockText="1" noThreeD="1"/>
</file>

<file path=xl/ctrlProps/ctrlProp588.xml><?xml version="1.0" encoding="utf-8"?>
<formControlPr xmlns="http://schemas.microsoft.com/office/spreadsheetml/2009/9/main" objectType="CheckBox" fmlaLink="$W$370" lockText="1" noThreeD="1"/>
</file>

<file path=xl/ctrlProps/ctrlProp589.xml><?xml version="1.0" encoding="utf-8"?>
<formControlPr xmlns="http://schemas.microsoft.com/office/spreadsheetml/2009/9/main" objectType="CheckBox" fmlaLink="$W$371" lockText="1" noThreeD="1"/>
</file>

<file path=xl/ctrlProps/ctrlProp59.xml><?xml version="1.0" encoding="utf-8"?>
<formControlPr xmlns="http://schemas.microsoft.com/office/spreadsheetml/2009/9/main" objectType="CheckBox" fmlaLink="$W$243" lockText="1" noThreeD="1"/>
</file>

<file path=xl/ctrlProps/ctrlProp590.xml><?xml version="1.0" encoding="utf-8"?>
<formControlPr xmlns="http://schemas.microsoft.com/office/spreadsheetml/2009/9/main" objectType="CheckBox" fmlaLink="$W$372" lockText="1" noThreeD="1"/>
</file>

<file path=xl/ctrlProps/ctrlProp591.xml><?xml version="1.0" encoding="utf-8"?>
<formControlPr xmlns="http://schemas.microsoft.com/office/spreadsheetml/2009/9/main" objectType="CheckBox" fmlaLink="$W$373" lockText="1" noThreeD="1"/>
</file>

<file path=xl/ctrlProps/ctrlProp592.xml><?xml version="1.0" encoding="utf-8"?>
<formControlPr xmlns="http://schemas.microsoft.com/office/spreadsheetml/2009/9/main" objectType="CheckBox" fmlaLink="$W$374" lockText="1" noThreeD="1"/>
</file>

<file path=xl/ctrlProps/ctrlProp593.xml><?xml version="1.0" encoding="utf-8"?>
<formControlPr xmlns="http://schemas.microsoft.com/office/spreadsheetml/2009/9/main" objectType="CheckBox" fmlaLink="$W$398" lockText="1" noThreeD="1"/>
</file>

<file path=xl/ctrlProps/ctrlProp594.xml><?xml version="1.0" encoding="utf-8"?>
<formControlPr xmlns="http://schemas.microsoft.com/office/spreadsheetml/2009/9/main" objectType="CheckBox" fmlaLink="$W$414" lockText="1" noThreeD="1"/>
</file>

<file path=xl/ctrlProps/ctrlProp595.xml><?xml version="1.0" encoding="utf-8"?>
<formControlPr xmlns="http://schemas.microsoft.com/office/spreadsheetml/2009/9/main" objectType="CheckBox" fmlaLink="$W$418" lockText="1" noThreeD="1"/>
</file>

<file path=xl/ctrlProps/ctrlProp596.xml><?xml version="1.0" encoding="utf-8"?>
<formControlPr xmlns="http://schemas.microsoft.com/office/spreadsheetml/2009/9/main" objectType="CheckBox" fmlaLink="$W$419" lockText="1" noThreeD="1"/>
</file>

<file path=xl/ctrlProps/ctrlProp597.xml><?xml version="1.0" encoding="utf-8"?>
<formControlPr xmlns="http://schemas.microsoft.com/office/spreadsheetml/2009/9/main" objectType="CheckBox" fmlaLink="$W$421" lockText="1" noThreeD="1"/>
</file>

<file path=xl/ctrlProps/ctrlProp598.xml><?xml version="1.0" encoding="utf-8"?>
<formControlPr xmlns="http://schemas.microsoft.com/office/spreadsheetml/2009/9/main" objectType="CheckBox" fmlaLink="$W$423" lockText="1" noThreeD="1"/>
</file>

<file path=xl/ctrlProps/ctrlProp599.xml><?xml version="1.0" encoding="utf-8"?>
<formControlPr xmlns="http://schemas.microsoft.com/office/spreadsheetml/2009/9/main" objectType="CheckBox" fmlaLink="$W$429" lockText="1" noThreeD="1"/>
</file>

<file path=xl/ctrlProps/ctrlProp6.xml><?xml version="1.0" encoding="utf-8"?>
<formControlPr xmlns="http://schemas.microsoft.com/office/spreadsheetml/2009/9/main" objectType="CheckBox" fmlaLink="$W$22" lockText="1" noThreeD="1"/>
</file>

<file path=xl/ctrlProps/ctrlProp60.xml><?xml version="1.0" encoding="utf-8"?>
<formControlPr xmlns="http://schemas.microsoft.com/office/spreadsheetml/2009/9/main" objectType="CheckBox" fmlaLink="$W$244" lockText="1" noThreeD="1"/>
</file>

<file path=xl/ctrlProps/ctrlProp600.xml><?xml version="1.0" encoding="utf-8"?>
<formControlPr xmlns="http://schemas.microsoft.com/office/spreadsheetml/2009/9/main" objectType="CheckBox" fmlaLink="$W$435" lockText="1" noThreeD="1"/>
</file>

<file path=xl/ctrlProps/ctrlProp601.xml><?xml version="1.0" encoding="utf-8"?>
<formControlPr xmlns="http://schemas.microsoft.com/office/spreadsheetml/2009/9/main" objectType="CheckBox" fmlaLink="$W$441" lockText="1" noThreeD="1"/>
</file>

<file path=xl/ctrlProps/ctrlProp602.xml><?xml version="1.0" encoding="utf-8"?>
<formControlPr xmlns="http://schemas.microsoft.com/office/spreadsheetml/2009/9/main" objectType="CheckBox" fmlaLink="$W$443" lockText="1" noThreeD="1"/>
</file>

<file path=xl/ctrlProps/ctrlProp603.xml><?xml version="1.0" encoding="utf-8"?>
<formControlPr xmlns="http://schemas.microsoft.com/office/spreadsheetml/2009/9/main" objectType="CheckBox" fmlaLink="$W$449" lockText="1" noThreeD="1"/>
</file>

<file path=xl/ctrlProps/ctrlProp604.xml><?xml version="1.0" encoding="utf-8"?>
<formControlPr xmlns="http://schemas.microsoft.com/office/spreadsheetml/2009/9/main" objectType="CheckBox" fmlaLink="$W$453" lockText="1" noThreeD="1"/>
</file>

<file path=xl/ctrlProps/ctrlProp605.xml><?xml version="1.0" encoding="utf-8"?>
<formControlPr xmlns="http://schemas.microsoft.com/office/spreadsheetml/2009/9/main" objectType="CheckBox" fmlaLink="$W$457" lockText="1" noThreeD="1"/>
</file>

<file path=xl/ctrlProps/ctrlProp606.xml><?xml version="1.0" encoding="utf-8"?>
<formControlPr xmlns="http://schemas.microsoft.com/office/spreadsheetml/2009/9/main" objectType="CheckBox" fmlaLink="$W$462" lockText="1" noThreeD="1"/>
</file>

<file path=xl/ctrlProps/ctrlProp607.xml><?xml version="1.0" encoding="utf-8"?>
<formControlPr xmlns="http://schemas.microsoft.com/office/spreadsheetml/2009/9/main" objectType="CheckBox" fmlaLink="$W$467" lockText="1" noThreeD="1"/>
</file>

<file path=xl/ctrlProps/ctrlProp608.xml><?xml version="1.0" encoding="utf-8"?>
<formControlPr xmlns="http://schemas.microsoft.com/office/spreadsheetml/2009/9/main" objectType="CheckBox" fmlaLink="$W$469" lockText="1" noThreeD="1"/>
</file>

<file path=xl/ctrlProps/ctrlProp609.xml><?xml version="1.0" encoding="utf-8"?>
<formControlPr xmlns="http://schemas.microsoft.com/office/spreadsheetml/2009/9/main" objectType="CheckBox" fmlaLink="$W$471" lockText="1" noThreeD="1"/>
</file>

<file path=xl/ctrlProps/ctrlProp61.xml><?xml version="1.0" encoding="utf-8"?>
<formControlPr xmlns="http://schemas.microsoft.com/office/spreadsheetml/2009/9/main" objectType="CheckBox" fmlaLink="$W$245" lockText="1" noThreeD="1"/>
</file>

<file path=xl/ctrlProps/ctrlProp610.xml><?xml version="1.0" encoding="utf-8"?>
<formControlPr xmlns="http://schemas.microsoft.com/office/spreadsheetml/2009/9/main" objectType="CheckBox" fmlaLink="$W$483" lockText="1" noThreeD="1"/>
</file>

<file path=xl/ctrlProps/ctrlProp611.xml><?xml version="1.0" encoding="utf-8"?>
<formControlPr xmlns="http://schemas.microsoft.com/office/spreadsheetml/2009/9/main" objectType="CheckBox" fmlaLink="$W$493" lockText="1" noThreeD="1"/>
</file>

<file path=xl/ctrlProps/ctrlProp612.xml><?xml version="1.0" encoding="utf-8"?>
<formControlPr xmlns="http://schemas.microsoft.com/office/spreadsheetml/2009/9/main" objectType="CheckBox" fmlaLink="$W$496" lockText="1" noThreeD="1"/>
</file>

<file path=xl/ctrlProps/ctrlProp613.xml><?xml version="1.0" encoding="utf-8"?>
<formControlPr xmlns="http://schemas.microsoft.com/office/spreadsheetml/2009/9/main" objectType="CheckBox" fmlaLink="$W$497" lockText="1" noThreeD="1"/>
</file>

<file path=xl/ctrlProps/ctrlProp614.xml><?xml version="1.0" encoding="utf-8"?>
<formControlPr xmlns="http://schemas.microsoft.com/office/spreadsheetml/2009/9/main" objectType="CheckBox" fmlaLink="$W$507" lockText="1" noThreeD="1"/>
</file>

<file path=xl/ctrlProps/ctrlProp615.xml><?xml version="1.0" encoding="utf-8"?>
<formControlPr xmlns="http://schemas.microsoft.com/office/spreadsheetml/2009/9/main" objectType="CheckBox" fmlaLink="$W$509" lockText="1" noThreeD="1"/>
</file>

<file path=xl/ctrlProps/ctrlProp616.xml><?xml version="1.0" encoding="utf-8"?>
<formControlPr xmlns="http://schemas.microsoft.com/office/spreadsheetml/2009/9/main" objectType="CheckBox" fmlaLink="$W$525" lockText="1" noThreeD="1"/>
</file>

<file path=xl/ctrlProps/ctrlProp617.xml><?xml version="1.0" encoding="utf-8"?>
<formControlPr xmlns="http://schemas.microsoft.com/office/spreadsheetml/2009/9/main" objectType="CheckBox" fmlaLink="$W$536" lockText="1" noThreeD="1"/>
</file>

<file path=xl/ctrlProps/ctrlProp618.xml><?xml version="1.0" encoding="utf-8"?>
<formControlPr xmlns="http://schemas.microsoft.com/office/spreadsheetml/2009/9/main" objectType="CheckBox" fmlaLink="$W$537" lockText="1" noThreeD="1"/>
</file>

<file path=xl/ctrlProps/ctrlProp619.xml><?xml version="1.0" encoding="utf-8"?>
<formControlPr xmlns="http://schemas.microsoft.com/office/spreadsheetml/2009/9/main" objectType="CheckBox" fmlaLink="$W$545" lockText="1" noThreeD="1"/>
</file>

<file path=xl/ctrlProps/ctrlProp62.xml><?xml version="1.0" encoding="utf-8"?>
<formControlPr xmlns="http://schemas.microsoft.com/office/spreadsheetml/2009/9/main" objectType="CheckBox" fmlaLink="$W$247" lockText="1" noThreeD="1"/>
</file>

<file path=xl/ctrlProps/ctrlProp620.xml><?xml version="1.0" encoding="utf-8"?>
<formControlPr xmlns="http://schemas.microsoft.com/office/spreadsheetml/2009/9/main" objectType="CheckBox" fmlaLink="$W$547" lockText="1" noThreeD="1"/>
</file>

<file path=xl/ctrlProps/ctrlProp621.xml><?xml version="1.0" encoding="utf-8"?>
<formControlPr xmlns="http://schemas.microsoft.com/office/spreadsheetml/2009/9/main" objectType="CheckBox" fmlaLink="$W$548" lockText="1" noThreeD="1"/>
</file>

<file path=xl/ctrlProps/ctrlProp622.xml><?xml version="1.0" encoding="utf-8"?>
<formControlPr xmlns="http://schemas.microsoft.com/office/spreadsheetml/2009/9/main" objectType="CheckBox" fmlaLink="$W$551" lockText="1" noThreeD="1"/>
</file>

<file path=xl/ctrlProps/ctrlProp623.xml><?xml version="1.0" encoding="utf-8"?>
<formControlPr xmlns="http://schemas.microsoft.com/office/spreadsheetml/2009/9/main" objectType="CheckBox" fmlaLink="$W$555" lockText="1" noThreeD="1"/>
</file>

<file path=xl/ctrlProps/ctrlProp624.xml><?xml version="1.0" encoding="utf-8"?>
<formControlPr xmlns="http://schemas.microsoft.com/office/spreadsheetml/2009/9/main" objectType="CheckBox" fmlaLink="$W$560" lockText="1" noThreeD="1"/>
</file>

<file path=xl/ctrlProps/ctrlProp625.xml><?xml version="1.0" encoding="utf-8"?>
<formControlPr xmlns="http://schemas.microsoft.com/office/spreadsheetml/2009/9/main" objectType="CheckBox" fmlaLink="$W$562" lockText="1" noThreeD="1"/>
</file>

<file path=xl/ctrlProps/ctrlProp626.xml><?xml version="1.0" encoding="utf-8"?>
<formControlPr xmlns="http://schemas.microsoft.com/office/spreadsheetml/2009/9/main" objectType="CheckBox" fmlaLink="$W$579" lockText="1" noThreeD="1"/>
</file>

<file path=xl/ctrlProps/ctrlProp627.xml><?xml version="1.0" encoding="utf-8"?>
<formControlPr xmlns="http://schemas.microsoft.com/office/spreadsheetml/2009/9/main" objectType="CheckBox" fmlaLink="$W$596" lockText="1" noThreeD="1"/>
</file>

<file path=xl/ctrlProps/ctrlProp628.xml><?xml version="1.0" encoding="utf-8"?>
<formControlPr xmlns="http://schemas.microsoft.com/office/spreadsheetml/2009/9/main" objectType="CheckBox" fmlaLink="$W$609" lockText="1" noThreeD="1"/>
</file>

<file path=xl/ctrlProps/ctrlProp629.xml><?xml version="1.0" encoding="utf-8"?>
<formControlPr xmlns="http://schemas.microsoft.com/office/spreadsheetml/2009/9/main" objectType="CheckBox" fmlaLink="$W$611" lockText="1" noThreeD="1"/>
</file>

<file path=xl/ctrlProps/ctrlProp63.xml><?xml version="1.0" encoding="utf-8"?>
<formControlPr xmlns="http://schemas.microsoft.com/office/spreadsheetml/2009/9/main" objectType="CheckBox" fmlaLink="$W$254" lockText="1" noThreeD="1"/>
</file>

<file path=xl/ctrlProps/ctrlProp630.xml><?xml version="1.0" encoding="utf-8"?>
<formControlPr xmlns="http://schemas.microsoft.com/office/spreadsheetml/2009/9/main" objectType="CheckBox" fmlaLink="$W$624" lockText="1" noThreeD="1"/>
</file>

<file path=xl/ctrlProps/ctrlProp631.xml><?xml version="1.0" encoding="utf-8"?>
<formControlPr xmlns="http://schemas.microsoft.com/office/spreadsheetml/2009/9/main" objectType="CheckBox" fmlaLink="$W$625" lockText="1" noThreeD="1"/>
</file>

<file path=xl/ctrlProps/ctrlProp632.xml><?xml version="1.0" encoding="utf-8"?>
<formControlPr xmlns="http://schemas.microsoft.com/office/spreadsheetml/2009/9/main" objectType="CheckBox" fmlaLink="$W$626" lockText="1" noThreeD="1"/>
</file>

<file path=xl/ctrlProps/ctrlProp633.xml><?xml version="1.0" encoding="utf-8"?>
<formControlPr xmlns="http://schemas.microsoft.com/office/spreadsheetml/2009/9/main" objectType="CheckBox" fmlaLink="$W$627" lockText="1" noThreeD="1"/>
</file>

<file path=xl/ctrlProps/ctrlProp634.xml><?xml version="1.0" encoding="utf-8"?>
<formControlPr xmlns="http://schemas.microsoft.com/office/spreadsheetml/2009/9/main" objectType="CheckBox" fmlaLink="$W$628" lockText="1" noThreeD="1"/>
</file>

<file path=xl/ctrlProps/ctrlProp635.xml><?xml version="1.0" encoding="utf-8"?>
<formControlPr xmlns="http://schemas.microsoft.com/office/spreadsheetml/2009/9/main" objectType="CheckBox" fmlaLink="$W$629" lockText="1" noThreeD="1"/>
</file>

<file path=xl/ctrlProps/ctrlProp636.xml><?xml version="1.0" encoding="utf-8"?>
<formControlPr xmlns="http://schemas.microsoft.com/office/spreadsheetml/2009/9/main" objectType="CheckBox" fmlaLink="$W$630" lockText="1" noThreeD="1"/>
</file>

<file path=xl/ctrlProps/ctrlProp637.xml><?xml version="1.0" encoding="utf-8"?>
<formControlPr xmlns="http://schemas.microsoft.com/office/spreadsheetml/2009/9/main" objectType="CheckBox" fmlaLink="$W$631" lockText="1" noThreeD="1"/>
</file>

<file path=xl/ctrlProps/ctrlProp638.xml><?xml version="1.0" encoding="utf-8"?>
<formControlPr xmlns="http://schemas.microsoft.com/office/spreadsheetml/2009/9/main" objectType="CheckBox" fmlaLink="$W$632" lockText="1" noThreeD="1"/>
</file>

<file path=xl/ctrlProps/ctrlProp639.xml><?xml version="1.0" encoding="utf-8"?>
<formControlPr xmlns="http://schemas.microsoft.com/office/spreadsheetml/2009/9/main" objectType="CheckBox" fmlaLink="$W$683" lockText="1" noThreeD="1"/>
</file>

<file path=xl/ctrlProps/ctrlProp64.xml><?xml version="1.0" encoding="utf-8"?>
<formControlPr xmlns="http://schemas.microsoft.com/office/spreadsheetml/2009/9/main" objectType="CheckBox" fmlaLink="$W$256" lockText="1" noThreeD="1"/>
</file>

<file path=xl/ctrlProps/ctrlProp640.xml><?xml version="1.0" encoding="utf-8"?>
<formControlPr xmlns="http://schemas.microsoft.com/office/spreadsheetml/2009/9/main" objectType="CheckBox" fmlaLink="$W$688" lockText="1" noThreeD="1"/>
</file>

<file path=xl/ctrlProps/ctrlProp641.xml><?xml version="1.0" encoding="utf-8"?>
<formControlPr xmlns="http://schemas.microsoft.com/office/spreadsheetml/2009/9/main" objectType="CheckBox" fmlaLink="$W$694" lockText="1" noThreeD="1"/>
</file>

<file path=xl/ctrlProps/ctrlProp642.xml><?xml version="1.0" encoding="utf-8"?>
<formControlPr xmlns="http://schemas.microsoft.com/office/spreadsheetml/2009/9/main" objectType="CheckBox" fmlaLink="$W$727" lockText="1" noThreeD="1"/>
</file>

<file path=xl/ctrlProps/ctrlProp643.xml><?xml version="1.0" encoding="utf-8"?>
<formControlPr xmlns="http://schemas.microsoft.com/office/spreadsheetml/2009/9/main" objectType="CheckBox" fmlaLink="$W$736" lockText="1" noThreeD="1"/>
</file>

<file path=xl/ctrlProps/ctrlProp644.xml><?xml version="1.0" encoding="utf-8"?>
<formControlPr xmlns="http://schemas.microsoft.com/office/spreadsheetml/2009/9/main" objectType="CheckBox" fmlaLink="$W$744" lockText="1" noThreeD="1"/>
</file>

<file path=xl/ctrlProps/ctrlProp645.xml><?xml version="1.0" encoding="utf-8"?>
<formControlPr xmlns="http://schemas.microsoft.com/office/spreadsheetml/2009/9/main" objectType="CheckBox" fmlaLink="$W$824" lockText="1" noThreeD="1"/>
</file>

<file path=xl/ctrlProps/ctrlProp646.xml><?xml version="1.0" encoding="utf-8"?>
<formControlPr xmlns="http://schemas.microsoft.com/office/spreadsheetml/2009/9/main" objectType="CheckBox" fmlaLink="$W$825" lockText="1" noThreeD="1"/>
</file>

<file path=xl/ctrlProps/ctrlProp647.xml><?xml version="1.0" encoding="utf-8"?>
<formControlPr xmlns="http://schemas.microsoft.com/office/spreadsheetml/2009/9/main" objectType="CheckBox" fmlaLink="$W$829" lockText="1" noThreeD="1"/>
</file>

<file path=xl/ctrlProps/ctrlProp648.xml><?xml version="1.0" encoding="utf-8"?>
<formControlPr xmlns="http://schemas.microsoft.com/office/spreadsheetml/2009/9/main" objectType="CheckBox" fmlaLink="$W$827" lockText="1" noThreeD="1"/>
</file>

<file path=xl/ctrlProps/ctrlProp649.xml><?xml version="1.0" encoding="utf-8"?>
<formControlPr xmlns="http://schemas.microsoft.com/office/spreadsheetml/2009/9/main" objectType="CheckBox" fmlaLink="$W$831" lockText="1" noThreeD="1"/>
</file>

<file path=xl/ctrlProps/ctrlProp65.xml><?xml version="1.0" encoding="utf-8"?>
<formControlPr xmlns="http://schemas.microsoft.com/office/spreadsheetml/2009/9/main" objectType="CheckBox" fmlaLink="$W$265" lockText="1" noThreeD="1"/>
</file>

<file path=xl/ctrlProps/ctrlProp650.xml><?xml version="1.0" encoding="utf-8"?>
<formControlPr xmlns="http://schemas.microsoft.com/office/spreadsheetml/2009/9/main" objectType="CheckBox" fmlaLink="$W$833" lockText="1" noThreeD="1"/>
</file>

<file path=xl/ctrlProps/ctrlProp651.xml><?xml version="1.0" encoding="utf-8"?>
<formControlPr xmlns="http://schemas.microsoft.com/office/spreadsheetml/2009/9/main" objectType="CheckBox" fmlaLink="$W$835" lockText="1" noThreeD="1"/>
</file>

<file path=xl/ctrlProps/ctrlProp652.xml><?xml version="1.0" encoding="utf-8"?>
<formControlPr xmlns="http://schemas.microsoft.com/office/spreadsheetml/2009/9/main" objectType="CheckBox" fmlaLink="$W$839" lockText="1" noThreeD="1"/>
</file>

<file path=xl/ctrlProps/ctrlProp653.xml><?xml version="1.0" encoding="utf-8"?>
<formControlPr xmlns="http://schemas.microsoft.com/office/spreadsheetml/2009/9/main" objectType="CheckBox" fmlaLink="$W$844" lockText="1" noThreeD="1"/>
</file>

<file path=xl/ctrlProps/ctrlProp654.xml><?xml version="1.0" encoding="utf-8"?>
<formControlPr xmlns="http://schemas.microsoft.com/office/spreadsheetml/2009/9/main" objectType="CheckBox" fmlaLink="$W$848" lockText="1" noThreeD="1"/>
</file>

<file path=xl/ctrlProps/ctrlProp655.xml><?xml version="1.0" encoding="utf-8"?>
<formControlPr xmlns="http://schemas.microsoft.com/office/spreadsheetml/2009/9/main" objectType="CheckBox" fmlaLink="$W$850" lockText="1" noThreeD="1"/>
</file>

<file path=xl/ctrlProps/ctrlProp656.xml><?xml version="1.0" encoding="utf-8"?>
<formControlPr xmlns="http://schemas.microsoft.com/office/spreadsheetml/2009/9/main" objectType="CheckBox" fmlaLink="$W$852" lockText="1" noThreeD="1"/>
</file>

<file path=xl/ctrlProps/ctrlProp657.xml><?xml version="1.0" encoding="utf-8"?>
<formControlPr xmlns="http://schemas.microsoft.com/office/spreadsheetml/2009/9/main" objectType="CheckBox" fmlaLink="$W$853" lockText="1" noThreeD="1"/>
</file>

<file path=xl/ctrlProps/ctrlProp658.xml><?xml version="1.0" encoding="utf-8"?>
<formControlPr xmlns="http://schemas.microsoft.com/office/spreadsheetml/2009/9/main" objectType="CheckBox" fmlaLink="$W$854" lockText="1" noThreeD="1"/>
</file>

<file path=xl/ctrlProps/ctrlProp659.xml><?xml version="1.0" encoding="utf-8"?>
<formControlPr xmlns="http://schemas.microsoft.com/office/spreadsheetml/2009/9/main" objectType="CheckBox" fmlaLink="$W$858" lockText="1" noThreeD="1"/>
</file>

<file path=xl/ctrlProps/ctrlProp66.xml><?xml version="1.0" encoding="utf-8"?>
<formControlPr xmlns="http://schemas.microsoft.com/office/spreadsheetml/2009/9/main" objectType="CheckBox" fmlaLink="$W$268" lockText="1" noThreeD="1"/>
</file>

<file path=xl/ctrlProps/ctrlProp660.xml><?xml version="1.0" encoding="utf-8"?>
<formControlPr xmlns="http://schemas.microsoft.com/office/spreadsheetml/2009/9/main" objectType="CheckBox" fmlaLink="$W$933" lockText="1" noThreeD="1"/>
</file>

<file path=xl/ctrlProps/ctrlProp661.xml><?xml version="1.0" encoding="utf-8"?>
<formControlPr xmlns="http://schemas.microsoft.com/office/spreadsheetml/2009/9/main" objectType="CheckBox" fmlaLink="$W$938" lockText="1" noThreeD="1"/>
</file>

<file path=xl/ctrlProps/ctrlProp662.xml><?xml version="1.0" encoding="utf-8"?>
<formControlPr xmlns="http://schemas.microsoft.com/office/spreadsheetml/2009/9/main" objectType="CheckBox" fmlaLink="$W$947" lockText="1" noThreeD="1"/>
</file>

<file path=xl/ctrlProps/ctrlProp663.xml><?xml version="1.0" encoding="utf-8"?>
<formControlPr xmlns="http://schemas.microsoft.com/office/spreadsheetml/2009/9/main" objectType="CheckBox" fmlaLink="$W$950" lockText="1" noThreeD="1"/>
</file>

<file path=xl/ctrlProps/ctrlProp664.xml><?xml version="1.0" encoding="utf-8"?>
<formControlPr xmlns="http://schemas.microsoft.com/office/spreadsheetml/2009/9/main" objectType="CheckBox" fmlaLink="$W$951" lockText="1" noThreeD="1"/>
</file>

<file path=xl/ctrlProps/ctrlProp665.xml><?xml version="1.0" encoding="utf-8"?>
<formControlPr xmlns="http://schemas.microsoft.com/office/spreadsheetml/2009/9/main" objectType="CheckBox" fmlaLink="$W$955" lockText="1" noThreeD="1"/>
</file>

<file path=xl/ctrlProps/ctrlProp666.xml><?xml version="1.0" encoding="utf-8"?>
<formControlPr xmlns="http://schemas.microsoft.com/office/spreadsheetml/2009/9/main" objectType="CheckBox" fmlaLink="$W$991" lockText="1" noThreeD="1"/>
</file>

<file path=xl/ctrlProps/ctrlProp667.xml><?xml version="1.0" encoding="utf-8"?>
<formControlPr xmlns="http://schemas.microsoft.com/office/spreadsheetml/2009/9/main" objectType="CheckBox" fmlaLink="$W$994" lockText="1" noThreeD="1"/>
</file>

<file path=xl/ctrlProps/ctrlProp668.xml><?xml version="1.0" encoding="utf-8"?>
<formControlPr xmlns="http://schemas.microsoft.com/office/spreadsheetml/2009/9/main" objectType="CheckBox" fmlaLink="$W$1020" lockText="1" noThreeD="1"/>
</file>

<file path=xl/ctrlProps/ctrlProp669.xml><?xml version="1.0" encoding="utf-8"?>
<formControlPr xmlns="http://schemas.microsoft.com/office/spreadsheetml/2009/9/main" objectType="CheckBox" fmlaLink="$W$1040" lockText="1" noThreeD="1"/>
</file>

<file path=xl/ctrlProps/ctrlProp67.xml><?xml version="1.0" encoding="utf-8"?>
<formControlPr xmlns="http://schemas.microsoft.com/office/spreadsheetml/2009/9/main" objectType="CheckBox" fmlaLink="$W$272" lockText="1" noThreeD="1"/>
</file>

<file path=xl/ctrlProps/ctrlProp670.xml><?xml version="1.0" encoding="utf-8"?>
<formControlPr xmlns="http://schemas.microsoft.com/office/spreadsheetml/2009/9/main" objectType="CheckBox" fmlaLink="$W$1042" lockText="1" noThreeD="1"/>
</file>

<file path=xl/ctrlProps/ctrlProp671.xml><?xml version="1.0" encoding="utf-8"?>
<formControlPr xmlns="http://schemas.microsoft.com/office/spreadsheetml/2009/9/main" objectType="CheckBox" fmlaLink="$W$1043" lockText="1" noThreeD="1"/>
</file>

<file path=xl/ctrlProps/ctrlProp672.xml><?xml version="1.0" encoding="utf-8"?>
<formControlPr xmlns="http://schemas.microsoft.com/office/spreadsheetml/2009/9/main" objectType="CheckBox" fmlaLink="$W$1049" lockText="1" noThreeD="1"/>
</file>

<file path=xl/ctrlProps/ctrlProp673.xml><?xml version="1.0" encoding="utf-8"?>
<formControlPr xmlns="http://schemas.microsoft.com/office/spreadsheetml/2009/9/main" objectType="CheckBox" fmlaLink="$W$1066" lockText="1" noThreeD="1"/>
</file>

<file path=xl/ctrlProps/ctrlProp674.xml><?xml version="1.0" encoding="utf-8"?>
<formControlPr xmlns="http://schemas.microsoft.com/office/spreadsheetml/2009/9/main" objectType="CheckBox" fmlaLink="$W$1081" lockText="1" noThreeD="1"/>
</file>

<file path=xl/ctrlProps/ctrlProp675.xml><?xml version="1.0" encoding="utf-8"?>
<formControlPr xmlns="http://schemas.microsoft.com/office/spreadsheetml/2009/9/main" objectType="CheckBox" fmlaLink="$W$1090" lockText="1" noThreeD="1"/>
</file>

<file path=xl/ctrlProps/ctrlProp676.xml><?xml version="1.0" encoding="utf-8"?>
<formControlPr xmlns="http://schemas.microsoft.com/office/spreadsheetml/2009/9/main" objectType="CheckBox" fmlaLink="$W$1099" lockText="1" noThreeD="1"/>
</file>

<file path=xl/ctrlProps/ctrlProp677.xml><?xml version="1.0" encoding="utf-8"?>
<formControlPr xmlns="http://schemas.microsoft.com/office/spreadsheetml/2009/9/main" objectType="CheckBox" fmlaLink="$W$1154" lockText="1" noThreeD="1"/>
</file>

<file path=xl/ctrlProps/ctrlProp678.xml><?xml version="1.0" encoding="utf-8"?>
<formControlPr xmlns="http://schemas.microsoft.com/office/spreadsheetml/2009/9/main" objectType="CheckBox" fmlaLink="$W$1198" lockText="1" noThreeD="1"/>
</file>

<file path=xl/ctrlProps/ctrlProp679.xml><?xml version="1.0" encoding="utf-8"?>
<formControlPr xmlns="http://schemas.microsoft.com/office/spreadsheetml/2009/9/main" objectType="CheckBox" fmlaLink="$W$1201" lockText="1" noThreeD="1"/>
</file>

<file path=xl/ctrlProps/ctrlProp68.xml><?xml version="1.0" encoding="utf-8"?>
<formControlPr xmlns="http://schemas.microsoft.com/office/spreadsheetml/2009/9/main" objectType="CheckBox" fmlaLink="$W$273" lockText="1" noThreeD="1"/>
</file>

<file path=xl/ctrlProps/ctrlProp680.xml><?xml version="1.0" encoding="utf-8"?>
<formControlPr xmlns="http://schemas.microsoft.com/office/spreadsheetml/2009/9/main" objectType="CheckBox" fmlaLink="$W$1211" lockText="1" noThreeD="1"/>
</file>

<file path=xl/ctrlProps/ctrlProp681.xml><?xml version="1.0" encoding="utf-8"?>
<formControlPr xmlns="http://schemas.microsoft.com/office/spreadsheetml/2009/9/main" objectType="CheckBox" fmlaLink="$W$1218" lockText="1" noThreeD="1"/>
</file>

<file path=xl/ctrlProps/ctrlProp682.xml><?xml version="1.0" encoding="utf-8"?>
<formControlPr xmlns="http://schemas.microsoft.com/office/spreadsheetml/2009/9/main" objectType="CheckBox" fmlaLink="$W$1224" lockText="1" noThreeD="1"/>
</file>

<file path=xl/ctrlProps/ctrlProp683.xml><?xml version="1.0" encoding="utf-8"?>
<formControlPr xmlns="http://schemas.microsoft.com/office/spreadsheetml/2009/9/main" objectType="CheckBox" fmlaLink="$W$1226" lockText="1" noThreeD="1"/>
</file>

<file path=xl/ctrlProps/ctrlProp684.xml><?xml version="1.0" encoding="utf-8"?>
<formControlPr xmlns="http://schemas.microsoft.com/office/spreadsheetml/2009/9/main" objectType="CheckBox" fmlaLink="$W$1229" lockText="1" noThreeD="1"/>
</file>

<file path=xl/ctrlProps/ctrlProp685.xml><?xml version="1.0" encoding="utf-8"?>
<formControlPr xmlns="http://schemas.microsoft.com/office/spreadsheetml/2009/9/main" objectType="CheckBox" fmlaLink="$W$1230" lockText="1" noThreeD="1"/>
</file>

<file path=xl/ctrlProps/ctrlProp686.xml><?xml version="1.0" encoding="utf-8"?>
<formControlPr xmlns="http://schemas.microsoft.com/office/spreadsheetml/2009/9/main" objectType="CheckBox" fmlaLink="$W$1232" lockText="1" noThreeD="1"/>
</file>

<file path=xl/ctrlProps/ctrlProp687.xml><?xml version="1.0" encoding="utf-8"?>
<formControlPr xmlns="http://schemas.microsoft.com/office/spreadsheetml/2009/9/main" objectType="CheckBox" fmlaLink="$W$1293" lockText="1" noThreeD="1"/>
</file>

<file path=xl/ctrlProps/ctrlProp688.xml><?xml version="1.0" encoding="utf-8"?>
<formControlPr xmlns="http://schemas.microsoft.com/office/spreadsheetml/2009/9/main" objectType="CheckBox" fmlaLink="$W$1295" lockText="1" noThreeD="1"/>
</file>

<file path=xl/ctrlProps/ctrlProp689.xml><?xml version="1.0" encoding="utf-8"?>
<formControlPr xmlns="http://schemas.microsoft.com/office/spreadsheetml/2009/9/main" objectType="CheckBox" fmlaLink="$W$1297" lockText="1" noThreeD="1"/>
</file>

<file path=xl/ctrlProps/ctrlProp69.xml><?xml version="1.0" encoding="utf-8"?>
<formControlPr xmlns="http://schemas.microsoft.com/office/spreadsheetml/2009/9/main" objectType="CheckBox" fmlaLink="$W$283" lockText="1" noThreeD="1"/>
</file>

<file path=xl/ctrlProps/ctrlProp690.xml><?xml version="1.0" encoding="utf-8"?>
<formControlPr xmlns="http://schemas.microsoft.com/office/spreadsheetml/2009/9/main" objectType="CheckBox" fmlaLink="$W$1318" lockText="1" noThreeD="1"/>
</file>

<file path=xl/ctrlProps/ctrlProp691.xml><?xml version="1.0" encoding="utf-8"?>
<formControlPr xmlns="http://schemas.microsoft.com/office/spreadsheetml/2009/9/main" objectType="CheckBox" fmlaLink="$W$1320" lockText="1" noThreeD="1"/>
</file>

<file path=xl/ctrlProps/ctrlProp692.xml><?xml version="1.0" encoding="utf-8"?>
<formControlPr xmlns="http://schemas.microsoft.com/office/spreadsheetml/2009/9/main" objectType="CheckBox" fmlaLink="$W$1322" lockText="1" noThreeD="1"/>
</file>

<file path=xl/ctrlProps/ctrlProp693.xml><?xml version="1.0" encoding="utf-8"?>
<formControlPr xmlns="http://schemas.microsoft.com/office/spreadsheetml/2009/9/main" objectType="CheckBox" fmlaLink="$W$1325" lockText="1" noThreeD="1"/>
</file>

<file path=xl/ctrlProps/ctrlProp694.xml><?xml version="1.0" encoding="utf-8"?>
<formControlPr xmlns="http://schemas.microsoft.com/office/spreadsheetml/2009/9/main" objectType="CheckBox" fmlaLink="$W$1326" lockText="1" noThreeD="1"/>
</file>

<file path=xl/ctrlProps/ctrlProp695.xml><?xml version="1.0" encoding="utf-8"?>
<formControlPr xmlns="http://schemas.microsoft.com/office/spreadsheetml/2009/9/main" objectType="CheckBox" fmlaLink="$W$1327" lockText="1" noThreeD="1"/>
</file>

<file path=xl/ctrlProps/ctrlProp696.xml><?xml version="1.0" encoding="utf-8"?>
<formControlPr xmlns="http://schemas.microsoft.com/office/spreadsheetml/2009/9/main" objectType="CheckBox" fmlaLink="$W$1330" lockText="1" noThreeD="1"/>
</file>

<file path=xl/ctrlProps/ctrlProp697.xml><?xml version="1.0" encoding="utf-8"?>
<formControlPr xmlns="http://schemas.microsoft.com/office/spreadsheetml/2009/9/main" objectType="CheckBox" fmlaLink="$W$1357" lockText="1" noThreeD="1"/>
</file>

<file path=xl/ctrlProps/ctrlProp698.xml><?xml version="1.0" encoding="utf-8"?>
<formControlPr xmlns="http://schemas.microsoft.com/office/spreadsheetml/2009/9/main" objectType="CheckBox" fmlaLink="$W$1365" lockText="1" noThreeD="1"/>
</file>

<file path=xl/ctrlProps/ctrlProp699.xml><?xml version="1.0" encoding="utf-8"?>
<formControlPr xmlns="http://schemas.microsoft.com/office/spreadsheetml/2009/9/main" objectType="CheckBox" fmlaLink="$W$1367" lockText="1" noThreeD="1"/>
</file>

<file path=xl/ctrlProps/ctrlProp7.xml><?xml version="1.0" encoding="utf-8"?>
<formControlPr xmlns="http://schemas.microsoft.com/office/spreadsheetml/2009/9/main" objectType="CheckBox" fmlaLink="$W$24" lockText="1" noThreeD="1"/>
</file>

<file path=xl/ctrlProps/ctrlProp70.xml><?xml version="1.0" encoding="utf-8"?>
<formControlPr xmlns="http://schemas.microsoft.com/office/spreadsheetml/2009/9/main" objectType="CheckBox" fmlaLink="$W$51" lockText="1" noThreeD="1"/>
</file>

<file path=xl/ctrlProps/ctrlProp700.xml><?xml version="1.0" encoding="utf-8"?>
<formControlPr xmlns="http://schemas.microsoft.com/office/spreadsheetml/2009/9/main" objectType="CheckBox" fmlaLink="$W$1368" lockText="1" noThreeD="1"/>
</file>

<file path=xl/ctrlProps/ctrlProp701.xml><?xml version="1.0" encoding="utf-8"?>
<formControlPr xmlns="http://schemas.microsoft.com/office/spreadsheetml/2009/9/main" objectType="CheckBox" fmlaLink="$W$1369" lockText="1" noThreeD="1"/>
</file>

<file path=xl/ctrlProps/ctrlProp702.xml><?xml version="1.0" encoding="utf-8"?>
<formControlPr xmlns="http://schemas.microsoft.com/office/spreadsheetml/2009/9/main" objectType="CheckBox" fmlaLink="$W$1371" lockText="1" noThreeD="1"/>
</file>

<file path=xl/ctrlProps/ctrlProp703.xml><?xml version="1.0" encoding="utf-8"?>
<formControlPr xmlns="http://schemas.microsoft.com/office/spreadsheetml/2009/9/main" objectType="CheckBox" fmlaLink="$W$1374" lockText="1" noThreeD="1"/>
</file>

<file path=xl/ctrlProps/ctrlProp704.xml><?xml version="1.0" encoding="utf-8"?>
<formControlPr xmlns="http://schemas.microsoft.com/office/spreadsheetml/2009/9/main" objectType="CheckBox" fmlaLink="$W$1376" lockText="1" noThreeD="1"/>
</file>

<file path=xl/ctrlProps/ctrlProp705.xml><?xml version="1.0" encoding="utf-8"?>
<formControlPr xmlns="http://schemas.microsoft.com/office/spreadsheetml/2009/9/main" objectType="CheckBox" fmlaLink="$W$1381" lockText="1" noThreeD="1"/>
</file>

<file path=xl/ctrlProps/ctrlProp706.xml><?xml version="1.0" encoding="utf-8"?>
<formControlPr xmlns="http://schemas.microsoft.com/office/spreadsheetml/2009/9/main" objectType="CheckBox" fmlaLink="$W$1383" lockText="1" noThreeD="1"/>
</file>

<file path=xl/ctrlProps/ctrlProp707.xml><?xml version="1.0" encoding="utf-8"?>
<formControlPr xmlns="http://schemas.microsoft.com/office/spreadsheetml/2009/9/main" objectType="CheckBox" fmlaLink="$W$1385" lockText="1" noThreeD="1"/>
</file>

<file path=xl/ctrlProps/ctrlProp708.xml><?xml version="1.0" encoding="utf-8"?>
<formControlPr xmlns="http://schemas.microsoft.com/office/spreadsheetml/2009/9/main" objectType="CheckBox" fmlaLink="$W$1387" lockText="1" noThreeD="1"/>
</file>

<file path=xl/ctrlProps/ctrlProp709.xml><?xml version="1.0" encoding="utf-8"?>
<formControlPr xmlns="http://schemas.microsoft.com/office/spreadsheetml/2009/9/main" objectType="CheckBox" fmlaLink="$W$1431" lockText="1" noThreeD="1"/>
</file>

<file path=xl/ctrlProps/ctrlProp71.xml><?xml version="1.0" encoding="utf-8"?>
<formControlPr xmlns="http://schemas.microsoft.com/office/spreadsheetml/2009/9/main" objectType="CheckBox" fmlaLink="$W$53" lockText="1" noThreeD="1"/>
</file>

<file path=xl/ctrlProps/ctrlProp710.xml><?xml version="1.0" encoding="utf-8"?>
<formControlPr xmlns="http://schemas.microsoft.com/office/spreadsheetml/2009/9/main" objectType="CheckBox" fmlaLink="$W$1448" lockText="1" noThreeD="1"/>
</file>

<file path=xl/ctrlProps/ctrlProp711.xml><?xml version="1.0" encoding="utf-8"?>
<formControlPr xmlns="http://schemas.microsoft.com/office/spreadsheetml/2009/9/main" objectType="CheckBox" fmlaLink="$W$1451" lockText="1" noThreeD="1"/>
</file>

<file path=xl/ctrlProps/ctrlProp712.xml><?xml version="1.0" encoding="utf-8"?>
<formControlPr xmlns="http://schemas.microsoft.com/office/spreadsheetml/2009/9/main" objectType="CheckBox" fmlaLink="$W$1456" lockText="1" noThreeD="1"/>
</file>

<file path=xl/ctrlProps/ctrlProp713.xml><?xml version="1.0" encoding="utf-8"?>
<formControlPr xmlns="http://schemas.microsoft.com/office/spreadsheetml/2009/9/main" objectType="CheckBox" fmlaLink="$W$1457" lockText="1" noThreeD="1"/>
</file>

<file path=xl/ctrlProps/ctrlProp714.xml><?xml version="1.0" encoding="utf-8"?>
<formControlPr xmlns="http://schemas.microsoft.com/office/spreadsheetml/2009/9/main" objectType="CheckBox" fmlaLink="$W$1467" lockText="1" noThreeD="1"/>
</file>

<file path=xl/ctrlProps/ctrlProp715.xml><?xml version="1.0" encoding="utf-8"?>
<formControlPr xmlns="http://schemas.microsoft.com/office/spreadsheetml/2009/9/main" objectType="CheckBox" fmlaLink="$W$1496" lockText="1" noThreeD="1"/>
</file>

<file path=xl/ctrlProps/ctrlProp716.xml><?xml version="1.0" encoding="utf-8"?>
<formControlPr xmlns="http://schemas.microsoft.com/office/spreadsheetml/2009/9/main" objectType="CheckBox" fmlaLink="$W$1513" lockText="1" noThreeD="1"/>
</file>

<file path=xl/ctrlProps/ctrlProp717.xml><?xml version="1.0" encoding="utf-8"?>
<formControlPr xmlns="http://schemas.microsoft.com/office/spreadsheetml/2009/9/main" objectType="CheckBox" fmlaLink="$W$1525" lockText="1" noThreeD="1"/>
</file>

<file path=xl/ctrlProps/ctrlProp718.xml><?xml version="1.0" encoding="utf-8"?>
<formControlPr xmlns="http://schemas.microsoft.com/office/spreadsheetml/2009/9/main" objectType="CheckBox" fmlaLink="$W$1527" lockText="1" noThreeD="1"/>
</file>

<file path=xl/ctrlProps/ctrlProp719.xml><?xml version="1.0" encoding="utf-8"?>
<formControlPr xmlns="http://schemas.microsoft.com/office/spreadsheetml/2009/9/main" objectType="CheckBox" fmlaLink="$W$1529" lockText="1" noThreeD="1"/>
</file>

<file path=xl/ctrlProps/ctrlProp72.xml><?xml version="1.0" encoding="utf-8"?>
<formControlPr xmlns="http://schemas.microsoft.com/office/spreadsheetml/2009/9/main" objectType="CheckBox" fmlaLink="$W$56" lockText="1" noThreeD="1"/>
</file>

<file path=xl/ctrlProps/ctrlProp720.xml><?xml version="1.0" encoding="utf-8"?>
<formControlPr xmlns="http://schemas.microsoft.com/office/spreadsheetml/2009/9/main" objectType="CheckBox" fmlaLink="$W$1536" lockText="1" noThreeD="1"/>
</file>

<file path=xl/ctrlProps/ctrlProp721.xml><?xml version="1.0" encoding="utf-8"?>
<formControlPr xmlns="http://schemas.microsoft.com/office/spreadsheetml/2009/9/main" objectType="CheckBox" fmlaLink="$W$1537" lockText="1" noThreeD="1"/>
</file>

<file path=xl/ctrlProps/ctrlProp722.xml><?xml version="1.0" encoding="utf-8"?>
<formControlPr xmlns="http://schemas.microsoft.com/office/spreadsheetml/2009/9/main" objectType="CheckBox" fmlaLink="$W$1538" lockText="1" noThreeD="1"/>
</file>

<file path=xl/ctrlProps/ctrlProp723.xml><?xml version="1.0" encoding="utf-8"?>
<formControlPr xmlns="http://schemas.microsoft.com/office/spreadsheetml/2009/9/main" objectType="CheckBox" fmlaLink="$W$1539" lockText="1" noThreeD="1"/>
</file>

<file path=xl/ctrlProps/ctrlProp724.xml><?xml version="1.0" encoding="utf-8"?>
<formControlPr xmlns="http://schemas.microsoft.com/office/spreadsheetml/2009/9/main" objectType="CheckBox" fmlaLink="$W$1541" lockText="1" noThreeD="1"/>
</file>

<file path=xl/ctrlProps/ctrlProp725.xml><?xml version="1.0" encoding="utf-8"?>
<formControlPr xmlns="http://schemas.microsoft.com/office/spreadsheetml/2009/9/main" objectType="CheckBox" fmlaLink="$W$1544" lockText="1" noThreeD="1"/>
</file>

<file path=xl/ctrlProps/ctrlProp726.xml><?xml version="1.0" encoding="utf-8"?>
<formControlPr xmlns="http://schemas.microsoft.com/office/spreadsheetml/2009/9/main" objectType="CheckBox" fmlaLink="$W$1564" lockText="1" noThreeD="1"/>
</file>

<file path=xl/ctrlProps/ctrlProp727.xml><?xml version="1.0" encoding="utf-8"?>
<formControlPr xmlns="http://schemas.microsoft.com/office/spreadsheetml/2009/9/main" objectType="CheckBox" fmlaLink="$W$1565" lockText="1" noThreeD="1"/>
</file>

<file path=xl/ctrlProps/ctrlProp728.xml><?xml version="1.0" encoding="utf-8"?>
<formControlPr xmlns="http://schemas.microsoft.com/office/spreadsheetml/2009/9/main" objectType="CheckBox" fmlaLink="$W$1566" lockText="1" noThreeD="1"/>
</file>

<file path=xl/ctrlProps/ctrlProp729.xml><?xml version="1.0" encoding="utf-8"?>
<formControlPr xmlns="http://schemas.microsoft.com/office/spreadsheetml/2009/9/main" objectType="CheckBox" fmlaLink="$W$1567" lockText="1" noThreeD="1"/>
</file>

<file path=xl/ctrlProps/ctrlProp73.xml><?xml version="1.0" encoding="utf-8"?>
<formControlPr xmlns="http://schemas.microsoft.com/office/spreadsheetml/2009/9/main" objectType="CheckBox" fmlaLink="$W$84" lockText="1" noThreeD="1"/>
</file>

<file path=xl/ctrlProps/ctrlProp730.xml><?xml version="1.0" encoding="utf-8"?>
<formControlPr xmlns="http://schemas.microsoft.com/office/spreadsheetml/2009/9/main" objectType="CheckBox" fmlaLink="$W$1568" lockText="1" noThreeD="1"/>
</file>

<file path=xl/ctrlProps/ctrlProp731.xml><?xml version="1.0" encoding="utf-8"?>
<formControlPr xmlns="http://schemas.microsoft.com/office/spreadsheetml/2009/9/main" objectType="CheckBox" fmlaLink="$W$1569" lockText="1" noThreeD="1"/>
</file>

<file path=xl/ctrlProps/ctrlProp732.xml><?xml version="1.0" encoding="utf-8"?>
<formControlPr xmlns="http://schemas.microsoft.com/office/spreadsheetml/2009/9/main" objectType="CheckBox" fmlaLink="$W$1570" lockText="1" noThreeD="1"/>
</file>

<file path=xl/ctrlProps/ctrlProp733.xml><?xml version="1.0" encoding="utf-8"?>
<formControlPr xmlns="http://schemas.microsoft.com/office/spreadsheetml/2009/9/main" objectType="CheckBox" fmlaLink="$W$1571" lockText="1" noThreeD="1"/>
</file>

<file path=xl/ctrlProps/ctrlProp734.xml><?xml version="1.0" encoding="utf-8"?>
<formControlPr xmlns="http://schemas.microsoft.com/office/spreadsheetml/2009/9/main" objectType="CheckBox" fmlaLink="$W$1574" lockText="1" noThreeD="1"/>
</file>

<file path=xl/ctrlProps/ctrlProp735.xml><?xml version="1.0" encoding="utf-8"?>
<formControlPr xmlns="http://schemas.microsoft.com/office/spreadsheetml/2009/9/main" objectType="CheckBox" fmlaLink="$W$1576" lockText="1" noThreeD="1"/>
</file>

<file path=xl/ctrlProps/ctrlProp736.xml><?xml version="1.0" encoding="utf-8"?>
<formControlPr xmlns="http://schemas.microsoft.com/office/spreadsheetml/2009/9/main" objectType="CheckBox" fmlaLink="$W$1578" lockText="1" noThreeD="1"/>
</file>

<file path=xl/ctrlProps/ctrlProp737.xml><?xml version="1.0" encoding="utf-8"?>
<formControlPr xmlns="http://schemas.microsoft.com/office/spreadsheetml/2009/9/main" objectType="CheckBox" fmlaLink="$W$1595" lockText="1" noThreeD="1"/>
</file>

<file path=xl/ctrlProps/ctrlProp738.xml><?xml version="1.0" encoding="utf-8"?>
<formControlPr xmlns="http://schemas.microsoft.com/office/spreadsheetml/2009/9/main" objectType="CheckBox" fmlaLink="$W$1599" lockText="1" noThreeD="1"/>
</file>

<file path=xl/ctrlProps/ctrlProp739.xml><?xml version="1.0" encoding="utf-8"?>
<formControlPr xmlns="http://schemas.microsoft.com/office/spreadsheetml/2009/9/main" objectType="CheckBox" fmlaLink="$W$1600" lockText="1" noThreeD="1"/>
</file>

<file path=xl/ctrlProps/ctrlProp74.xml><?xml version="1.0" encoding="utf-8"?>
<formControlPr xmlns="http://schemas.microsoft.com/office/spreadsheetml/2009/9/main" objectType="CheckBox" fmlaLink="$W$141" lockText="1" noThreeD="1"/>
</file>

<file path=xl/ctrlProps/ctrlProp740.xml><?xml version="1.0" encoding="utf-8"?>
<formControlPr xmlns="http://schemas.microsoft.com/office/spreadsheetml/2009/9/main" objectType="CheckBox" fmlaLink="$W$1603" lockText="1" noThreeD="1"/>
</file>

<file path=xl/ctrlProps/ctrlProp741.xml><?xml version="1.0" encoding="utf-8"?>
<formControlPr xmlns="http://schemas.microsoft.com/office/spreadsheetml/2009/9/main" objectType="CheckBox" fmlaLink="$W$1611" lockText="1" noThreeD="1"/>
</file>

<file path=xl/ctrlProps/ctrlProp742.xml><?xml version="1.0" encoding="utf-8"?>
<formControlPr xmlns="http://schemas.microsoft.com/office/spreadsheetml/2009/9/main" objectType="CheckBox" fmlaLink="$W$1679" lockText="1" noThreeD="1"/>
</file>

<file path=xl/ctrlProps/ctrlProp743.xml><?xml version="1.0" encoding="utf-8"?>
<formControlPr xmlns="http://schemas.microsoft.com/office/spreadsheetml/2009/9/main" objectType="CheckBox" fmlaLink="$W$1684" lockText="1" noThreeD="1"/>
</file>

<file path=xl/ctrlProps/ctrlProp744.xml><?xml version="1.0" encoding="utf-8"?>
<formControlPr xmlns="http://schemas.microsoft.com/office/spreadsheetml/2009/9/main" objectType="CheckBox" fmlaLink="$W$1760" lockText="1" noThreeD="1"/>
</file>

<file path=xl/ctrlProps/ctrlProp745.xml><?xml version="1.0" encoding="utf-8"?>
<formControlPr xmlns="http://schemas.microsoft.com/office/spreadsheetml/2009/9/main" objectType="CheckBox" fmlaLink="$W$1767" lockText="1" noThreeD="1"/>
</file>

<file path=xl/ctrlProps/ctrlProp746.xml><?xml version="1.0" encoding="utf-8"?>
<formControlPr xmlns="http://schemas.microsoft.com/office/spreadsheetml/2009/9/main" objectType="CheckBox" fmlaLink="$W$1769" lockText="1" noThreeD="1"/>
</file>

<file path=xl/ctrlProps/ctrlProp747.xml><?xml version="1.0" encoding="utf-8"?>
<formControlPr xmlns="http://schemas.microsoft.com/office/spreadsheetml/2009/9/main" objectType="CheckBox" fmlaLink="$W$1778" lockText="1" noThreeD="1"/>
</file>

<file path=xl/ctrlProps/ctrlProp748.xml><?xml version="1.0" encoding="utf-8"?>
<formControlPr xmlns="http://schemas.microsoft.com/office/spreadsheetml/2009/9/main" objectType="CheckBox" fmlaLink="$W$1779" lockText="1" noThreeD="1"/>
</file>

<file path=xl/ctrlProps/ctrlProp749.xml><?xml version="1.0" encoding="utf-8"?>
<formControlPr xmlns="http://schemas.microsoft.com/office/spreadsheetml/2009/9/main" objectType="CheckBox" fmlaLink="$W$1780" lockText="1" noThreeD="1"/>
</file>

<file path=xl/ctrlProps/ctrlProp75.xml><?xml version="1.0" encoding="utf-8"?>
<formControlPr xmlns="http://schemas.microsoft.com/office/spreadsheetml/2009/9/main" objectType="CheckBox" checked="Checked" fmlaLink="$W$143" lockText="1" noThreeD="1"/>
</file>

<file path=xl/ctrlProps/ctrlProp750.xml><?xml version="1.0" encoding="utf-8"?>
<formControlPr xmlns="http://schemas.microsoft.com/office/spreadsheetml/2009/9/main" objectType="CheckBox" fmlaLink="$W$1785" lockText="1" noThreeD="1"/>
</file>

<file path=xl/ctrlProps/ctrlProp751.xml><?xml version="1.0" encoding="utf-8"?>
<formControlPr xmlns="http://schemas.microsoft.com/office/spreadsheetml/2009/9/main" objectType="CheckBox" fmlaLink="$W$1787" lockText="1" noThreeD="1"/>
</file>

<file path=xl/ctrlProps/ctrlProp752.xml><?xml version="1.0" encoding="utf-8"?>
<formControlPr xmlns="http://schemas.microsoft.com/office/spreadsheetml/2009/9/main" objectType="CheckBox" fmlaLink="$W$1820" lockText="1" noThreeD="1"/>
</file>

<file path=xl/ctrlProps/ctrlProp753.xml><?xml version="1.0" encoding="utf-8"?>
<formControlPr xmlns="http://schemas.microsoft.com/office/spreadsheetml/2009/9/main" objectType="CheckBox" fmlaLink="$W$1821" lockText="1" noThreeD="1"/>
</file>

<file path=xl/ctrlProps/ctrlProp754.xml><?xml version="1.0" encoding="utf-8"?>
<formControlPr xmlns="http://schemas.microsoft.com/office/spreadsheetml/2009/9/main" objectType="CheckBox" fmlaLink="$W$1848" lockText="1" noThreeD="1"/>
</file>

<file path=xl/ctrlProps/ctrlProp755.xml><?xml version="1.0" encoding="utf-8"?>
<formControlPr xmlns="http://schemas.microsoft.com/office/spreadsheetml/2009/9/main" objectType="CheckBox" fmlaLink="$W$1857" lockText="1" noThreeD="1"/>
</file>

<file path=xl/ctrlProps/ctrlProp756.xml><?xml version="1.0" encoding="utf-8"?>
<formControlPr xmlns="http://schemas.microsoft.com/office/spreadsheetml/2009/9/main" objectType="CheckBox" fmlaLink="$W$1860" lockText="1" noThreeD="1"/>
</file>

<file path=xl/ctrlProps/ctrlProp757.xml><?xml version="1.0" encoding="utf-8"?>
<formControlPr xmlns="http://schemas.microsoft.com/office/spreadsheetml/2009/9/main" objectType="CheckBox" fmlaLink="$W$1862" lockText="1" noThreeD="1"/>
</file>

<file path=xl/ctrlProps/ctrlProp758.xml><?xml version="1.0" encoding="utf-8"?>
<formControlPr xmlns="http://schemas.microsoft.com/office/spreadsheetml/2009/9/main" objectType="CheckBox" fmlaLink="$W$1878" lockText="1" noThreeD="1"/>
</file>

<file path=xl/ctrlProps/ctrlProp759.xml><?xml version="1.0" encoding="utf-8"?>
<formControlPr xmlns="http://schemas.microsoft.com/office/spreadsheetml/2009/9/main" objectType="CheckBox" fmlaLink="$W$1884" lockText="1" noThreeD="1"/>
</file>

<file path=xl/ctrlProps/ctrlProp76.xml><?xml version="1.0" encoding="utf-8"?>
<formControlPr xmlns="http://schemas.microsoft.com/office/spreadsheetml/2009/9/main" objectType="CheckBox" checked="Checked" fmlaLink="$W$163" lockText="1" noThreeD="1"/>
</file>

<file path=xl/ctrlProps/ctrlProp760.xml><?xml version="1.0" encoding="utf-8"?>
<formControlPr xmlns="http://schemas.microsoft.com/office/spreadsheetml/2009/9/main" objectType="CheckBox" fmlaLink="$W$1900" lockText="1" noThreeD="1"/>
</file>

<file path=xl/ctrlProps/ctrlProp761.xml><?xml version="1.0" encoding="utf-8"?>
<formControlPr xmlns="http://schemas.microsoft.com/office/spreadsheetml/2009/9/main" objectType="CheckBox" fmlaLink="$W$1928" lockText="1" noThreeD="1"/>
</file>

<file path=xl/ctrlProps/ctrlProp762.xml><?xml version="1.0" encoding="utf-8"?>
<formControlPr xmlns="http://schemas.microsoft.com/office/spreadsheetml/2009/9/main" objectType="CheckBox" fmlaLink="$W$1934" lockText="1" noThreeD="1"/>
</file>

<file path=xl/ctrlProps/ctrlProp763.xml><?xml version="1.0" encoding="utf-8"?>
<formControlPr xmlns="http://schemas.microsoft.com/office/spreadsheetml/2009/9/main" objectType="CheckBox" fmlaLink="$W$1957" lockText="1" noThreeD="1"/>
</file>

<file path=xl/ctrlProps/ctrlProp764.xml><?xml version="1.0" encoding="utf-8"?>
<formControlPr xmlns="http://schemas.microsoft.com/office/spreadsheetml/2009/9/main" objectType="CheckBox" fmlaLink="$W$1959" lockText="1" noThreeD="1"/>
</file>

<file path=xl/ctrlProps/ctrlProp765.xml><?xml version="1.0" encoding="utf-8"?>
<formControlPr xmlns="http://schemas.microsoft.com/office/spreadsheetml/2009/9/main" objectType="CheckBox" fmlaLink="$W$1962" lockText="1" noThreeD="1"/>
</file>

<file path=xl/ctrlProps/ctrlProp766.xml><?xml version="1.0" encoding="utf-8"?>
<formControlPr xmlns="http://schemas.microsoft.com/office/spreadsheetml/2009/9/main" objectType="CheckBox" fmlaLink="$W$1985" lockText="1" noThreeD="1"/>
</file>

<file path=xl/ctrlProps/ctrlProp767.xml><?xml version="1.0" encoding="utf-8"?>
<formControlPr xmlns="http://schemas.microsoft.com/office/spreadsheetml/2009/9/main" objectType="CheckBox" fmlaLink="$W$1996" lockText="1" noThreeD="1"/>
</file>

<file path=xl/ctrlProps/ctrlProp768.xml><?xml version="1.0" encoding="utf-8"?>
<formControlPr xmlns="http://schemas.microsoft.com/office/spreadsheetml/2009/9/main" objectType="CheckBox" fmlaLink="$W$1998" lockText="1" noThreeD="1"/>
</file>

<file path=xl/ctrlProps/ctrlProp769.xml><?xml version="1.0" encoding="utf-8"?>
<formControlPr xmlns="http://schemas.microsoft.com/office/spreadsheetml/2009/9/main" objectType="CheckBox" fmlaLink="$W$1999" lockText="1" noThreeD="1"/>
</file>

<file path=xl/ctrlProps/ctrlProp77.xml><?xml version="1.0" encoding="utf-8"?>
<formControlPr xmlns="http://schemas.microsoft.com/office/spreadsheetml/2009/9/main" objectType="CheckBox" fmlaLink="$W$289" lockText="1" noThreeD="1"/>
</file>

<file path=xl/ctrlProps/ctrlProp770.xml><?xml version="1.0" encoding="utf-8"?>
<formControlPr xmlns="http://schemas.microsoft.com/office/spreadsheetml/2009/9/main" objectType="CheckBox" fmlaLink="$W$2001" lockText="1" noThreeD="1"/>
</file>

<file path=xl/ctrlProps/ctrlProp771.xml><?xml version="1.0" encoding="utf-8"?>
<formControlPr xmlns="http://schemas.microsoft.com/office/spreadsheetml/2009/9/main" objectType="CheckBox" fmlaLink="$W$2006" lockText="1" noThreeD="1"/>
</file>

<file path=xl/ctrlProps/ctrlProp772.xml><?xml version="1.0" encoding="utf-8"?>
<formControlPr xmlns="http://schemas.microsoft.com/office/spreadsheetml/2009/9/main" objectType="CheckBox" fmlaLink="$W$2015" lockText="1" noThreeD="1"/>
</file>

<file path=xl/ctrlProps/ctrlProp773.xml><?xml version="1.0" encoding="utf-8"?>
<formControlPr xmlns="http://schemas.microsoft.com/office/spreadsheetml/2009/9/main" objectType="CheckBox" fmlaLink="$W$2020" lockText="1" noThreeD="1"/>
</file>

<file path=xl/ctrlProps/ctrlProp774.xml><?xml version="1.0" encoding="utf-8"?>
<formControlPr xmlns="http://schemas.microsoft.com/office/spreadsheetml/2009/9/main" objectType="CheckBox" fmlaLink="$W$2021" lockText="1" noThreeD="1"/>
</file>

<file path=xl/ctrlProps/ctrlProp775.xml><?xml version="1.0" encoding="utf-8"?>
<formControlPr xmlns="http://schemas.microsoft.com/office/spreadsheetml/2009/9/main" objectType="CheckBox" fmlaLink="$W$2025" lockText="1" noThreeD="1"/>
</file>

<file path=xl/ctrlProps/ctrlProp776.xml><?xml version="1.0" encoding="utf-8"?>
<formControlPr xmlns="http://schemas.microsoft.com/office/spreadsheetml/2009/9/main" objectType="CheckBox" fmlaLink="$W$2038" lockText="1" noThreeD="1"/>
</file>

<file path=xl/ctrlProps/ctrlProp777.xml><?xml version="1.0" encoding="utf-8"?>
<formControlPr xmlns="http://schemas.microsoft.com/office/spreadsheetml/2009/9/main" objectType="CheckBox" fmlaLink="$W$2039" lockText="1" noThreeD="1"/>
</file>

<file path=xl/ctrlProps/ctrlProp778.xml><?xml version="1.0" encoding="utf-8"?>
<formControlPr xmlns="http://schemas.microsoft.com/office/spreadsheetml/2009/9/main" objectType="CheckBox" fmlaLink="$W$2042" lockText="1" noThreeD="1"/>
</file>

<file path=xl/ctrlProps/ctrlProp779.xml><?xml version="1.0" encoding="utf-8"?>
<formControlPr xmlns="http://schemas.microsoft.com/office/spreadsheetml/2009/9/main" objectType="CheckBox" fmlaLink="$W$2044" lockText="1" noThreeD="1"/>
</file>

<file path=xl/ctrlProps/ctrlProp78.xml><?xml version="1.0" encoding="utf-8"?>
<formControlPr xmlns="http://schemas.microsoft.com/office/spreadsheetml/2009/9/main" objectType="CheckBox" fmlaLink="$W$292" lockText="1" noThreeD="1"/>
</file>

<file path=xl/ctrlProps/ctrlProp780.xml><?xml version="1.0" encoding="utf-8"?>
<formControlPr xmlns="http://schemas.microsoft.com/office/spreadsheetml/2009/9/main" objectType="CheckBox" fmlaLink="$W$2050" lockText="1" noThreeD="1"/>
</file>

<file path=xl/ctrlProps/ctrlProp781.xml><?xml version="1.0" encoding="utf-8"?>
<formControlPr xmlns="http://schemas.microsoft.com/office/spreadsheetml/2009/9/main" objectType="CheckBox" fmlaLink="$W$2052" lockText="1" noThreeD="1"/>
</file>

<file path=xl/ctrlProps/ctrlProp782.xml><?xml version="1.0" encoding="utf-8"?>
<formControlPr xmlns="http://schemas.microsoft.com/office/spreadsheetml/2009/9/main" objectType="CheckBox" fmlaLink="$W$2056" lockText="1" noThreeD="1"/>
</file>

<file path=xl/ctrlProps/ctrlProp783.xml><?xml version="1.0" encoding="utf-8"?>
<formControlPr xmlns="http://schemas.microsoft.com/office/spreadsheetml/2009/9/main" objectType="CheckBox" fmlaLink="$W$2063" lockText="1" noThreeD="1"/>
</file>

<file path=xl/ctrlProps/ctrlProp784.xml><?xml version="1.0" encoding="utf-8"?>
<formControlPr xmlns="http://schemas.microsoft.com/office/spreadsheetml/2009/9/main" objectType="CheckBox" fmlaLink="$W$2074" lockText="1" noThreeD="1"/>
</file>

<file path=xl/ctrlProps/ctrlProp785.xml><?xml version="1.0" encoding="utf-8"?>
<formControlPr xmlns="http://schemas.microsoft.com/office/spreadsheetml/2009/9/main" objectType="CheckBox" fmlaLink="$W$2076" lockText="1" noThreeD="1"/>
</file>

<file path=xl/ctrlProps/ctrlProp786.xml><?xml version="1.0" encoding="utf-8"?>
<formControlPr xmlns="http://schemas.microsoft.com/office/spreadsheetml/2009/9/main" objectType="CheckBox" fmlaLink="$W$2078" lockText="1" noThreeD="1"/>
</file>

<file path=xl/ctrlProps/ctrlProp787.xml><?xml version="1.0" encoding="utf-8"?>
<formControlPr xmlns="http://schemas.microsoft.com/office/spreadsheetml/2009/9/main" objectType="CheckBox" fmlaLink="$W$2096" lockText="1" noThreeD="1"/>
</file>

<file path=xl/ctrlProps/ctrlProp788.xml><?xml version="1.0" encoding="utf-8"?>
<formControlPr xmlns="http://schemas.microsoft.com/office/spreadsheetml/2009/9/main" objectType="CheckBox" fmlaLink="$W$2098" lockText="1" noThreeD="1"/>
</file>

<file path=xl/ctrlProps/ctrlProp789.xml><?xml version="1.0" encoding="utf-8"?>
<formControlPr xmlns="http://schemas.microsoft.com/office/spreadsheetml/2009/9/main" objectType="CheckBox" fmlaLink="$W$2101" lockText="1" noThreeD="1"/>
</file>

<file path=xl/ctrlProps/ctrlProp79.xml><?xml version="1.0" encoding="utf-8"?>
<formControlPr xmlns="http://schemas.microsoft.com/office/spreadsheetml/2009/9/main" objectType="CheckBox" fmlaLink="$W$293" lockText="1" noThreeD="1"/>
</file>

<file path=xl/ctrlProps/ctrlProp790.xml><?xml version="1.0" encoding="utf-8"?>
<formControlPr xmlns="http://schemas.microsoft.com/office/spreadsheetml/2009/9/main" objectType="CheckBox" fmlaLink="$W$2180" lockText="1" noThreeD="1"/>
</file>

<file path=xl/ctrlProps/ctrlProp791.xml><?xml version="1.0" encoding="utf-8"?>
<formControlPr xmlns="http://schemas.microsoft.com/office/spreadsheetml/2009/9/main" objectType="CheckBox" fmlaLink="$W$2182" lockText="1" noThreeD="1"/>
</file>

<file path=xl/ctrlProps/ctrlProp792.xml><?xml version="1.0" encoding="utf-8"?>
<formControlPr xmlns="http://schemas.microsoft.com/office/spreadsheetml/2009/9/main" objectType="CheckBox" fmlaLink="$W$2188" lockText="1" noThreeD="1"/>
</file>

<file path=xl/ctrlProps/ctrlProp793.xml><?xml version="1.0" encoding="utf-8"?>
<formControlPr xmlns="http://schemas.microsoft.com/office/spreadsheetml/2009/9/main" objectType="CheckBox" fmlaLink="$W$2190" lockText="1" noThreeD="1"/>
</file>

<file path=xl/ctrlProps/ctrlProp794.xml><?xml version="1.0" encoding="utf-8"?>
<formControlPr xmlns="http://schemas.microsoft.com/office/spreadsheetml/2009/9/main" objectType="CheckBox" fmlaLink="$W$2204" lockText="1" noThreeD="1"/>
</file>

<file path=xl/ctrlProps/ctrlProp795.xml><?xml version="1.0" encoding="utf-8"?>
<formControlPr xmlns="http://schemas.microsoft.com/office/spreadsheetml/2009/9/main" objectType="CheckBox" fmlaLink="$W$2205" lockText="1" noThreeD="1"/>
</file>

<file path=xl/ctrlProps/ctrlProp796.xml><?xml version="1.0" encoding="utf-8"?>
<formControlPr xmlns="http://schemas.microsoft.com/office/spreadsheetml/2009/9/main" objectType="CheckBox" fmlaLink="$W$2210" lockText="1" noThreeD="1"/>
</file>

<file path=xl/ctrlProps/ctrlProp797.xml><?xml version="1.0" encoding="utf-8"?>
<formControlPr xmlns="http://schemas.microsoft.com/office/spreadsheetml/2009/9/main" objectType="CheckBox" fmlaLink="$W$2215" lockText="1" noThreeD="1"/>
</file>

<file path=xl/ctrlProps/ctrlProp798.xml><?xml version="1.0" encoding="utf-8"?>
<formControlPr xmlns="http://schemas.microsoft.com/office/spreadsheetml/2009/9/main" objectType="CheckBox" fmlaLink="$W$2232" lockText="1" noThreeD="1"/>
</file>

<file path=xl/ctrlProps/ctrlProp799.xml><?xml version="1.0" encoding="utf-8"?>
<formControlPr xmlns="http://schemas.microsoft.com/office/spreadsheetml/2009/9/main" objectType="CheckBox" fmlaLink="$W$2237" lockText="1" noThreeD="1"/>
</file>

<file path=xl/ctrlProps/ctrlProp8.xml><?xml version="1.0" encoding="utf-8"?>
<formControlPr xmlns="http://schemas.microsoft.com/office/spreadsheetml/2009/9/main" objectType="CheckBox" fmlaLink="$W$26" lockText="1" noThreeD="1"/>
</file>

<file path=xl/ctrlProps/ctrlProp80.xml><?xml version="1.0" encoding="utf-8"?>
<formControlPr xmlns="http://schemas.microsoft.com/office/spreadsheetml/2009/9/main" objectType="CheckBox" fmlaLink="$W$306" lockText="1" noThreeD="1"/>
</file>

<file path=xl/ctrlProps/ctrlProp800.xml><?xml version="1.0" encoding="utf-8"?>
<formControlPr xmlns="http://schemas.microsoft.com/office/spreadsheetml/2009/9/main" objectType="CheckBox" fmlaLink="$W$2258" lockText="1" noThreeD="1"/>
</file>

<file path=xl/ctrlProps/ctrlProp801.xml><?xml version="1.0" encoding="utf-8"?>
<formControlPr xmlns="http://schemas.microsoft.com/office/spreadsheetml/2009/9/main" objectType="CheckBox" fmlaLink="$W$2259" lockText="1" noThreeD="1"/>
</file>

<file path=xl/ctrlProps/ctrlProp802.xml><?xml version="1.0" encoding="utf-8"?>
<formControlPr xmlns="http://schemas.microsoft.com/office/spreadsheetml/2009/9/main" objectType="CheckBox" fmlaLink="$W$2260" lockText="1" noThreeD="1"/>
</file>

<file path=xl/ctrlProps/ctrlProp803.xml><?xml version="1.0" encoding="utf-8"?>
<formControlPr xmlns="http://schemas.microsoft.com/office/spreadsheetml/2009/9/main" objectType="CheckBox" fmlaLink="$W$2264" lockText="1" noThreeD="1"/>
</file>

<file path=xl/ctrlProps/ctrlProp804.xml><?xml version="1.0" encoding="utf-8"?>
<formControlPr xmlns="http://schemas.microsoft.com/office/spreadsheetml/2009/9/main" objectType="CheckBox" fmlaLink="$W$2265" lockText="1" noThreeD="1"/>
</file>

<file path=xl/ctrlProps/ctrlProp805.xml><?xml version="1.0" encoding="utf-8"?>
<formControlPr xmlns="http://schemas.microsoft.com/office/spreadsheetml/2009/9/main" objectType="CheckBox" fmlaLink="$W$2266" lockText="1" noThreeD="1"/>
</file>

<file path=xl/ctrlProps/ctrlProp806.xml><?xml version="1.0" encoding="utf-8"?>
<formControlPr xmlns="http://schemas.microsoft.com/office/spreadsheetml/2009/9/main" objectType="CheckBox" fmlaLink="$W$2268" lockText="1" noThreeD="1"/>
</file>

<file path=xl/ctrlProps/ctrlProp807.xml><?xml version="1.0" encoding="utf-8"?>
<formControlPr xmlns="http://schemas.microsoft.com/office/spreadsheetml/2009/9/main" objectType="CheckBox" fmlaLink="$W$2270" lockText="1" noThreeD="1"/>
</file>

<file path=xl/ctrlProps/ctrlProp808.xml><?xml version="1.0" encoding="utf-8"?>
<formControlPr xmlns="http://schemas.microsoft.com/office/spreadsheetml/2009/9/main" objectType="CheckBox" fmlaLink="$W$2271" lockText="1" noThreeD="1"/>
</file>

<file path=xl/ctrlProps/ctrlProp809.xml><?xml version="1.0" encoding="utf-8"?>
<formControlPr xmlns="http://schemas.microsoft.com/office/spreadsheetml/2009/9/main" objectType="CheckBox" fmlaLink="$W$2273" lockText="1" noThreeD="1"/>
</file>

<file path=xl/ctrlProps/ctrlProp81.xml><?xml version="1.0" encoding="utf-8"?>
<formControlPr xmlns="http://schemas.microsoft.com/office/spreadsheetml/2009/9/main" objectType="CheckBox" fmlaLink="$W$310" lockText="1" noThreeD="1"/>
</file>

<file path=xl/ctrlProps/ctrlProp810.xml><?xml version="1.0" encoding="utf-8"?>
<formControlPr xmlns="http://schemas.microsoft.com/office/spreadsheetml/2009/9/main" objectType="CheckBox" fmlaLink="$W$2274" lockText="1" noThreeD="1"/>
</file>

<file path=xl/ctrlProps/ctrlProp811.xml><?xml version="1.0" encoding="utf-8"?>
<formControlPr xmlns="http://schemas.microsoft.com/office/spreadsheetml/2009/9/main" objectType="CheckBox" fmlaLink="$W$2275" lockText="1" noThreeD="1"/>
</file>

<file path=xl/ctrlProps/ctrlProp812.xml><?xml version="1.0" encoding="utf-8"?>
<formControlPr xmlns="http://schemas.microsoft.com/office/spreadsheetml/2009/9/main" objectType="CheckBox" fmlaLink="$W$2281" lockText="1" noThreeD="1"/>
</file>

<file path=xl/ctrlProps/ctrlProp813.xml><?xml version="1.0" encoding="utf-8"?>
<formControlPr xmlns="http://schemas.microsoft.com/office/spreadsheetml/2009/9/main" objectType="CheckBox" fmlaLink="$W$2285" lockText="1" noThreeD="1"/>
</file>

<file path=xl/ctrlProps/ctrlProp814.xml><?xml version="1.0" encoding="utf-8"?>
<formControlPr xmlns="http://schemas.microsoft.com/office/spreadsheetml/2009/9/main" objectType="CheckBox" fmlaLink="$W$2287" lockText="1" noThreeD="1"/>
</file>

<file path=xl/ctrlProps/ctrlProp815.xml><?xml version="1.0" encoding="utf-8"?>
<formControlPr xmlns="http://schemas.microsoft.com/office/spreadsheetml/2009/9/main" objectType="CheckBox" fmlaLink="$W$2289" lockText="1" noThreeD="1"/>
</file>

<file path=xl/ctrlProps/ctrlProp816.xml><?xml version="1.0" encoding="utf-8"?>
<formControlPr xmlns="http://schemas.microsoft.com/office/spreadsheetml/2009/9/main" objectType="CheckBox" fmlaLink="$W$2290" lockText="1" noThreeD="1"/>
</file>

<file path=xl/ctrlProps/ctrlProp817.xml><?xml version="1.0" encoding="utf-8"?>
<formControlPr xmlns="http://schemas.microsoft.com/office/spreadsheetml/2009/9/main" objectType="CheckBox" fmlaLink="$W$2292" lockText="1" noThreeD="1"/>
</file>

<file path=xl/ctrlProps/ctrlProp818.xml><?xml version="1.0" encoding="utf-8"?>
<formControlPr xmlns="http://schemas.microsoft.com/office/spreadsheetml/2009/9/main" objectType="CheckBox" fmlaLink="$W$2294" lockText="1" noThreeD="1"/>
</file>

<file path=xl/ctrlProps/ctrlProp819.xml><?xml version="1.0" encoding="utf-8"?>
<formControlPr xmlns="http://schemas.microsoft.com/office/spreadsheetml/2009/9/main" objectType="CheckBox" fmlaLink="$W$2295" lockText="1" noThreeD="1"/>
</file>

<file path=xl/ctrlProps/ctrlProp82.xml><?xml version="1.0" encoding="utf-8"?>
<formControlPr xmlns="http://schemas.microsoft.com/office/spreadsheetml/2009/9/main" objectType="CheckBox" fmlaLink="$W$313" lockText="1" noThreeD="1"/>
</file>

<file path=xl/ctrlProps/ctrlProp820.xml><?xml version="1.0" encoding="utf-8"?>
<formControlPr xmlns="http://schemas.microsoft.com/office/spreadsheetml/2009/9/main" objectType="CheckBox" fmlaLink="$W$2297" lockText="1" noThreeD="1"/>
</file>

<file path=xl/ctrlProps/ctrlProp821.xml><?xml version="1.0" encoding="utf-8"?>
<formControlPr xmlns="http://schemas.microsoft.com/office/spreadsheetml/2009/9/main" objectType="CheckBox" fmlaLink="$W$2299" lockText="1" noThreeD="1"/>
</file>

<file path=xl/ctrlProps/ctrlProp822.xml><?xml version="1.0" encoding="utf-8"?>
<formControlPr xmlns="http://schemas.microsoft.com/office/spreadsheetml/2009/9/main" objectType="CheckBox" fmlaLink="$W$2301" lockText="1" noThreeD="1"/>
</file>

<file path=xl/ctrlProps/ctrlProp823.xml><?xml version="1.0" encoding="utf-8"?>
<formControlPr xmlns="http://schemas.microsoft.com/office/spreadsheetml/2009/9/main" objectType="CheckBox" fmlaLink="$W$2302" lockText="1" noThreeD="1"/>
</file>

<file path=xl/ctrlProps/ctrlProp824.xml><?xml version="1.0" encoding="utf-8"?>
<formControlPr xmlns="http://schemas.microsoft.com/office/spreadsheetml/2009/9/main" objectType="CheckBox" fmlaLink="$W$2303" lockText="1" noThreeD="1"/>
</file>

<file path=xl/ctrlProps/ctrlProp825.xml><?xml version="1.0" encoding="utf-8"?>
<formControlPr xmlns="http://schemas.microsoft.com/office/spreadsheetml/2009/9/main" objectType="CheckBox" fmlaLink="$W$2325" lockText="1" noThreeD="1"/>
</file>

<file path=xl/ctrlProps/ctrlProp826.xml><?xml version="1.0" encoding="utf-8"?>
<formControlPr xmlns="http://schemas.microsoft.com/office/spreadsheetml/2009/9/main" objectType="CheckBox" fmlaLink="$W$2328" lockText="1" noThreeD="1"/>
</file>

<file path=xl/ctrlProps/ctrlProp827.xml><?xml version="1.0" encoding="utf-8"?>
<formControlPr xmlns="http://schemas.microsoft.com/office/spreadsheetml/2009/9/main" objectType="CheckBox" fmlaLink="$W$2331" lockText="1" noThreeD="1"/>
</file>

<file path=xl/ctrlProps/ctrlProp828.xml><?xml version="1.0" encoding="utf-8"?>
<formControlPr xmlns="http://schemas.microsoft.com/office/spreadsheetml/2009/9/main" objectType="CheckBox" fmlaLink="$W$2333" lockText="1" noThreeD="1"/>
</file>

<file path=xl/ctrlProps/ctrlProp829.xml><?xml version="1.0" encoding="utf-8"?>
<formControlPr xmlns="http://schemas.microsoft.com/office/spreadsheetml/2009/9/main" objectType="CheckBox" fmlaLink="$W$2334" lockText="1" noThreeD="1"/>
</file>

<file path=xl/ctrlProps/ctrlProp83.xml><?xml version="1.0" encoding="utf-8"?>
<formControlPr xmlns="http://schemas.microsoft.com/office/spreadsheetml/2009/9/main" objectType="CheckBox" fmlaLink="$W$316" lockText="1" noThreeD="1"/>
</file>

<file path=xl/ctrlProps/ctrlProp830.xml><?xml version="1.0" encoding="utf-8"?>
<formControlPr xmlns="http://schemas.microsoft.com/office/spreadsheetml/2009/9/main" objectType="CheckBox" fmlaLink="$W$2336" lockText="1" noThreeD="1"/>
</file>

<file path=xl/ctrlProps/ctrlProp831.xml><?xml version="1.0" encoding="utf-8"?>
<formControlPr xmlns="http://schemas.microsoft.com/office/spreadsheetml/2009/9/main" objectType="CheckBox" fmlaLink="$W$2337" lockText="1" noThreeD="1"/>
</file>

<file path=xl/ctrlProps/ctrlProp832.xml><?xml version="1.0" encoding="utf-8"?>
<formControlPr xmlns="http://schemas.microsoft.com/office/spreadsheetml/2009/9/main" objectType="CheckBox" fmlaLink="$W$2338" lockText="1" noThreeD="1"/>
</file>

<file path=xl/ctrlProps/ctrlProp833.xml><?xml version="1.0" encoding="utf-8"?>
<formControlPr xmlns="http://schemas.microsoft.com/office/spreadsheetml/2009/9/main" objectType="CheckBox" fmlaLink="$W$2344" lockText="1" noThreeD="1"/>
</file>

<file path=xl/ctrlProps/ctrlProp834.xml><?xml version="1.0" encoding="utf-8"?>
<formControlPr xmlns="http://schemas.microsoft.com/office/spreadsheetml/2009/9/main" objectType="CheckBox" fmlaLink="$W$2346" lockText="1" noThreeD="1"/>
</file>

<file path=xl/ctrlProps/ctrlProp835.xml><?xml version="1.0" encoding="utf-8"?>
<formControlPr xmlns="http://schemas.microsoft.com/office/spreadsheetml/2009/9/main" objectType="CheckBox" fmlaLink="$W$2349" lockText="1" noThreeD="1"/>
</file>

<file path=xl/ctrlProps/ctrlProp836.xml><?xml version="1.0" encoding="utf-8"?>
<formControlPr xmlns="http://schemas.microsoft.com/office/spreadsheetml/2009/9/main" objectType="CheckBox" fmlaLink="$W$2351" lockText="1" noThreeD="1"/>
</file>

<file path=xl/ctrlProps/ctrlProp837.xml><?xml version="1.0" encoding="utf-8"?>
<formControlPr xmlns="http://schemas.microsoft.com/office/spreadsheetml/2009/9/main" objectType="CheckBox" fmlaLink="$W$2354" lockText="1" noThreeD="1"/>
</file>

<file path=xl/ctrlProps/ctrlProp838.xml><?xml version="1.0" encoding="utf-8"?>
<formControlPr xmlns="http://schemas.microsoft.com/office/spreadsheetml/2009/9/main" objectType="CheckBox" fmlaLink="$W$2356" lockText="1" noThreeD="1"/>
</file>

<file path=xl/ctrlProps/ctrlProp839.xml><?xml version="1.0" encoding="utf-8"?>
<formControlPr xmlns="http://schemas.microsoft.com/office/spreadsheetml/2009/9/main" objectType="CheckBox" fmlaLink="$W$2357" lockText="1" noThreeD="1"/>
</file>

<file path=xl/ctrlProps/ctrlProp84.xml><?xml version="1.0" encoding="utf-8"?>
<formControlPr xmlns="http://schemas.microsoft.com/office/spreadsheetml/2009/9/main" objectType="CheckBox" fmlaLink="$W$317" lockText="1" noThreeD="1"/>
</file>

<file path=xl/ctrlProps/ctrlProp840.xml><?xml version="1.0" encoding="utf-8"?>
<formControlPr xmlns="http://schemas.microsoft.com/office/spreadsheetml/2009/9/main" objectType="CheckBox" fmlaLink="$W$2359" lockText="1" noThreeD="1"/>
</file>

<file path=xl/ctrlProps/ctrlProp841.xml><?xml version="1.0" encoding="utf-8"?>
<formControlPr xmlns="http://schemas.microsoft.com/office/spreadsheetml/2009/9/main" objectType="CheckBox" fmlaLink="$W$2361" lockText="1" noThreeD="1"/>
</file>

<file path=xl/ctrlProps/ctrlProp842.xml><?xml version="1.0" encoding="utf-8"?>
<formControlPr xmlns="http://schemas.microsoft.com/office/spreadsheetml/2009/9/main" objectType="CheckBox" fmlaLink="$W$2362" lockText="1" noThreeD="1"/>
</file>

<file path=xl/ctrlProps/ctrlProp843.xml><?xml version="1.0" encoding="utf-8"?>
<formControlPr xmlns="http://schemas.microsoft.com/office/spreadsheetml/2009/9/main" objectType="CheckBox" fmlaLink="$W$2365" lockText="1" noThreeD="1"/>
</file>

<file path=xl/ctrlProps/ctrlProp844.xml><?xml version="1.0" encoding="utf-8"?>
<formControlPr xmlns="http://schemas.microsoft.com/office/spreadsheetml/2009/9/main" objectType="CheckBox" fmlaLink="$W$2371" lockText="1" noThreeD="1"/>
</file>

<file path=xl/ctrlProps/ctrlProp845.xml><?xml version="1.0" encoding="utf-8"?>
<formControlPr xmlns="http://schemas.microsoft.com/office/spreadsheetml/2009/9/main" objectType="CheckBox" fmlaLink="$W$2373" lockText="1" noThreeD="1"/>
</file>

<file path=xl/ctrlProps/ctrlProp846.xml><?xml version="1.0" encoding="utf-8"?>
<formControlPr xmlns="http://schemas.microsoft.com/office/spreadsheetml/2009/9/main" objectType="CheckBox" fmlaLink="$W$2377" lockText="1" noThreeD="1"/>
</file>

<file path=xl/ctrlProps/ctrlProp847.xml><?xml version="1.0" encoding="utf-8"?>
<formControlPr xmlns="http://schemas.microsoft.com/office/spreadsheetml/2009/9/main" objectType="CheckBox" fmlaLink="$W$2384" lockText="1" noThreeD="1"/>
</file>

<file path=xl/ctrlProps/ctrlProp848.xml><?xml version="1.0" encoding="utf-8"?>
<formControlPr xmlns="http://schemas.microsoft.com/office/spreadsheetml/2009/9/main" objectType="CheckBox" fmlaLink="$W$2386" lockText="1" noThreeD="1"/>
</file>

<file path=xl/ctrlProps/ctrlProp849.xml><?xml version="1.0" encoding="utf-8"?>
<formControlPr xmlns="http://schemas.microsoft.com/office/spreadsheetml/2009/9/main" objectType="CheckBox" fmlaLink="$W$2387" lockText="1" noThreeD="1"/>
</file>

<file path=xl/ctrlProps/ctrlProp85.xml><?xml version="1.0" encoding="utf-8"?>
<formControlPr xmlns="http://schemas.microsoft.com/office/spreadsheetml/2009/9/main" objectType="CheckBox" fmlaLink="$W$322" lockText="1" noThreeD="1"/>
</file>

<file path=xl/ctrlProps/ctrlProp850.xml><?xml version="1.0" encoding="utf-8"?>
<formControlPr xmlns="http://schemas.microsoft.com/office/spreadsheetml/2009/9/main" objectType="CheckBox" fmlaLink="$W$2389" lockText="1" noThreeD="1"/>
</file>

<file path=xl/ctrlProps/ctrlProp851.xml><?xml version="1.0" encoding="utf-8"?>
<formControlPr xmlns="http://schemas.microsoft.com/office/spreadsheetml/2009/9/main" objectType="CheckBox" fmlaLink="$W$2390" lockText="1" noThreeD="1"/>
</file>

<file path=xl/ctrlProps/ctrlProp852.xml><?xml version="1.0" encoding="utf-8"?>
<formControlPr xmlns="http://schemas.microsoft.com/office/spreadsheetml/2009/9/main" objectType="CheckBox" fmlaLink="$W$2391" lockText="1" noThreeD="1"/>
</file>

<file path=xl/ctrlProps/ctrlProp853.xml><?xml version="1.0" encoding="utf-8"?>
<formControlPr xmlns="http://schemas.microsoft.com/office/spreadsheetml/2009/9/main" objectType="CheckBox" fmlaLink="$W$2392" lockText="1" noThreeD="1"/>
</file>

<file path=xl/ctrlProps/ctrlProp854.xml><?xml version="1.0" encoding="utf-8"?>
<formControlPr xmlns="http://schemas.microsoft.com/office/spreadsheetml/2009/9/main" objectType="CheckBox" fmlaLink="$W$2395" lockText="1" noThreeD="1"/>
</file>

<file path=xl/ctrlProps/ctrlProp855.xml><?xml version="1.0" encoding="utf-8"?>
<formControlPr xmlns="http://schemas.microsoft.com/office/spreadsheetml/2009/9/main" objectType="CheckBox" fmlaLink="$W$2436" lockText="1" noThreeD="1"/>
</file>

<file path=xl/ctrlProps/ctrlProp856.xml><?xml version="1.0" encoding="utf-8"?>
<formControlPr xmlns="http://schemas.microsoft.com/office/spreadsheetml/2009/9/main" objectType="CheckBox" fmlaLink="$W$2438" lockText="1" noThreeD="1"/>
</file>

<file path=xl/ctrlProps/ctrlProp857.xml><?xml version="1.0" encoding="utf-8"?>
<formControlPr xmlns="http://schemas.microsoft.com/office/spreadsheetml/2009/9/main" objectType="CheckBox" fmlaLink="$W$2441" lockText="1" noThreeD="1"/>
</file>

<file path=xl/ctrlProps/ctrlProp858.xml><?xml version="1.0" encoding="utf-8"?>
<formControlPr xmlns="http://schemas.microsoft.com/office/spreadsheetml/2009/9/main" objectType="CheckBox" fmlaLink="$W$2454" lockText="1" noThreeD="1"/>
</file>

<file path=xl/ctrlProps/ctrlProp859.xml><?xml version="1.0" encoding="utf-8"?>
<formControlPr xmlns="http://schemas.microsoft.com/office/spreadsheetml/2009/9/main" objectType="CheckBox" fmlaLink="$W$2456" lockText="1" noThreeD="1"/>
</file>

<file path=xl/ctrlProps/ctrlProp86.xml><?xml version="1.0" encoding="utf-8"?>
<formControlPr xmlns="http://schemas.microsoft.com/office/spreadsheetml/2009/9/main" objectType="CheckBox" fmlaLink="$W$324" lockText="1" noThreeD="1"/>
</file>

<file path=xl/ctrlProps/ctrlProp860.xml><?xml version="1.0" encoding="utf-8"?>
<formControlPr xmlns="http://schemas.microsoft.com/office/spreadsheetml/2009/9/main" objectType="CheckBox" fmlaLink="$W$1921" lockText="1" noThreeD="1"/>
</file>

<file path=xl/ctrlProps/ctrlProp861.xml><?xml version="1.0" encoding="utf-8"?>
<formControlPr xmlns="http://schemas.microsoft.com/office/spreadsheetml/2009/9/main" objectType="CheckBox" fmlaLink="$W$1515" lockText="1" noThreeD="1"/>
</file>

<file path=xl/ctrlProps/ctrlProp862.xml><?xml version="1.0" encoding="utf-8"?>
<formControlPr xmlns="http://schemas.microsoft.com/office/spreadsheetml/2009/9/main" objectType="CheckBox" fmlaLink="$W$50" lockText="1" noThreeD="1"/>
</file>

<file path=xl/ctrlProps/ctrlProp863.xml><?xml version="1.0" encoding="utf-8"?>
<formControlPr xmlns="http://schemas.microsoft.com/office/spreadsheetml/2009/9/main" objectType="CheckBox" fmlaLink="$W$52" lockText="1" noThreeD="1"/>
</file>

<file path=xl/ctrlProps/ctrlProp864.xml><?xml version="1.0" encoding="utf-8"?>
<formControlPr xmlns="http://schemas.microsoft.com/office/spreadsheetml/2009/9/main" objectType="CheckBox" fmlaLink="$W$55" lockText="1" noThreeD="1"/>
</file>

<file path=xl/ctrlProps/ctrlProp865.xml><?xml version="1.0" encoding="utf-8"?>
<formControlPr xmlns="http://schemas.microsoft.com/office/spreadsheetml/2009/9/main" objectType="CheckBox" fmlaLink="$W$83" lockText="1" noThreeD="1"/>
</file>

<file path=xl/ctrlProps/ctrlProp866.xml><?xml version="1.0" encoding="utf-8"?>
<formControlPr xmlns="http://schemas.microsoft.com/office/spreadsheetml/2009/9/main" objectType="CheckBox" fmlaLink="$W$140" lockText="1" noThreeD="1"/>
</file>

<file path=xl/ctrlProps/ctrlProp867.xml><?xml version="1.0" encoding="utf-8"?>
<formControlPr xmlns="http://schemas.microsoft.com/office/spreadsheetml/2009/9/main" objectType="CheckBox" fmlaLink="$W$142" lockText="1" noThreeD="1"/>
</file>

<file path=xl/ctrlProps/ctrlProp868.xml><?xml version="1.0" encoding="utf-8"?>
<formControlPr xmlns="http://schemas.microsoft.com/office/spreadsheetml/2009/9/main" objectType="CheckBox" fmlaLink="$W$162" lockText="1" noThreeD="1"/>
</file>

<file path=xl/ctrlProps/ctrlProp869.xml><?xml version="1.0" encoding="utf-8"?>
<formControlPr xmlns="http://schemas.microsoft.com/office/spreadsheetml/2009/9/main" objectType="CheckBox" fmlaLink="$W$288" lockText="1" noThreeD="1"/>
</file>

<file path=xl/ctrlProps/ctrlProp87.xml><?xml version="1.0" encoding="utf-8"?>
<formControlPr xmlns="http://schemas.microsoft.com/office/spreadsheetml/2009/9/main" objectType="CheckBox" fmlaLink="$W$326" lockText="1" noThreeD="1"/>
</file>

<file path=xl/ctrlProps/ctrlProp870.xml><?xml version="1.0" encoding="utf-8"?>
<formControlPr xmlns="http://schemas.microsoft.com/office/spreadsheetml/2009/9/main" objectType="CheckBox" fmlaLink="$W$291" lockText="1" noThreeD="1"/>
</file>

<file path=xl/ctrlProps/ctrlProp871.xml><?xml version="1.0" encoding="utf-8"?>
<formControlPr xmlns="http://schemas.microsoft.com/office/spreadsheetml/2009/9/main" objectType="CheckBox" fmlaLink="$W$292" lockText="1" noThreeD="1"/>
</file>

<file path=xl/ctrlProps/ctrlProp872.xml><?xml version="1.0" encoding="utf-8"?>
<formControlPr xmlns="http://schemas.microsoft.com/office/spreadsheetml/2009/9/main" objectType="CheckBox" fmlaLink="$W$305" lockText="1" noThreeD="1"/>
</file>

<file path=xl/ctrlProps/ctrlProp873.xml><?xml version="1.0" encoding="utf-8"?>
<formControlPr xmlns="http://schemas.microsoft.com/office/spreadsheetml/2009/9/main" objectType="CheckBox" fmlaLink="$W$309" lockText="1" noThreeD="1"/>
</file>

<file path=xl/ctrlProps/ctrlProp874.xml><?xml version="1.0" encoding="utf-8"?>
<formControlPr xmlns="http://schemas.microsoft.com/office/spreadsheetml/2009/9/main" objectType="CheckBox" fmlaLink="$W$312" lockText="1" noThreeD="1"/>
</file>

<file path=xl/ctrlProps/ctrlProp875.xml><?xml version="1.0" encoding="utf-8"?>
<formControlPr xmlns="http://schemas.microsoft.com/office/spreadsheetml/2009/9/main" objectType="CheckBox" fmlaLink="$W$315" lockText="1" noThreeD="1"/>
</file>

<file path=xl/ctrlProps/ctrlProp876.xml><?xml version="1.0" encoding="utf-8"?>
<formControlPr xmlns="http://schemas.microsoft.com/office/spreadsheetml/2009/9/main" objectType="CheckBox" fmlaLink="$W$316" lockText="1" noThreeD="1"/>
</file>

<file path=xl/ctrlProps/ctrlProp877.xml><?xml version="1.0" encoding="utf-8"?>
<formControlPr xmlns="http://schemas.microsoft.com/office/spreadsheetml/2009/9/main" objectType="CheckBox" fmlaLink="$W$321" lockText="1" noThreeD="1"/>
</file>

<file path=xl/ctrlProps/ctrlProp878.xml><?xml version="1.0" encoding="utf-8"?>
<formControlPr xmlns="http://schemas.microsoft.com/office/spreadsheetml/2009/9/main" objectType="CheckBox" fmlaLink="$W$323" lockText="1" noThreeD="1"/>
</file>

<file path=xl/ctrlProps/ctrlProp879.xml><?xml version="1.0" encoding="utf-8"?>
<formControlPr xmlns="http://schemas.microsoft.com/office/spreadsheetml/2009/9/main" objectType="CheckBox" fmlaLink="$W$325" lockText="1" noThreeD="1"/>
</file>

<file path=xl/ctrlProps/ctrlProp88.xml><?xml version="1.0" encoding="utf-8"?>
<formControlPr xmlns="http://schemas.microsoft.com/office/spreadsheetml/2009/9/main" objectType="CheckBox" fmlaLink="$W$31" lockText="1" noThreeD="1"/>
</file>

<file path=xl/ctrlProps/ctrlProp880.xml><?xml version="1.0" encoding="utf-8"?>
<formControlPr xmlns="http://schemas.microsoft.com/office/spreadsheetml/2009/9/main" objectType="CheckBox" fmlaLink="$W$538" lockText="1" noThreeD="1"/>
</file>

<file path=xl/ctrlProps/ctrlProp881.xml><?xml version="1.0" encoding="utf-8"?>
<formControlPr xmlns="http://schemas.microsoft.com/office/spreadsheetml/2009/9/main" objectType="CheckBox" fmlaLink="$W$593" lockText="1" noThreeD="1"/>
</file>

<file path=xl/ctrlProps/ctrlProp882.xml><?xml version="1.0" encoding="utf-8"?>
<formControlPr xmlns="http://schemas.microsoft.com/office/spreadsheetml/2009/9/main" objectType="CheckBox" fmlaLink="$W$911" lockText="1" noThreeD="1"/>
</file>

<file path=xl/ctrlProps/ctrlProp883.xml><?xml version="1.0" encoding="utf-8"?>
<formControlPr xmlns="http://schemas.microsoft.com/office/spreadsheetml/2009/9/main" objectType="CheckBox" fmlaLink="$W$912" lockText="1" noThreeD="1"/>
</file>

<file path=xl/ctrlProps/ctrlProp884.xml><?xml version="1.0" encoding="utf-8"?>
<formControlPr xmlns="http://schemas.microsoft.com/office/spreadsheetml/2009/9/main" objectType="CheckBox" fmlaLink="$W$915" lockText="1" noThreeD="1"/>
</file>

<file path=xl/ctrlProps/ctrlProp885.xml><?xml version="1.0" encoding="utf-8"?>
<formControlPr xmlns="http://schemas.microsoft.com/office/spreadsheetml/2009/9/main" objectType="CheckBox" fmlaLink="$W$920" lockText="1" noThreeD="1"/>
</file>

<file path=xl/ctrlProps/ctrlProp886.xml><?xml version="1.0" encoding="utf-8"?>
<formControlPr xmlns="http://schemas.microsoft.com/office/spreadsheetml/2009/9/main" objectType="CheckBox" fmlaLink="$W$921" lockText="1" noThreeD="1"/>
</file>

<file path=xl/ctrlProps/ctrlProp887.xml><?xml version="1.0" encoding="utf-8"?>
<formControlPr xmlns="http://schemas.microsoft.com/office/spreadsheetml/2009/9/main" objectType="CheckBox" fmlaLink="$W$922" lockText="1" noThreeD="1"/>
</file>

<file path=xl/ctrlProps/ctrlProp888.xml><?xml version="1.0" encoding="utf-8"?>
<formControlPr xmlns="http://schemas.microsoft.com/office/spreadsheetml/2009/9/main" objectType="CheckBox" fmlaLink="$W$924" lockText="1" noThreeD="1"/>
</file>

<file path=xl/ctrlProps/ctrlProp889.xml><?xml version="1.0" encoding="utf-8"?>
<formControlPr xmlns="http://schemas.microsoft.com/office/spreadsheetml/2009/9/main" objectType="CheckBox" fmlaLink="$W$925" lockText="1" noThreeD="1"/>
</file>

<file path=xl/ctrlProps/ctrlProp89.xml><?xml version="1.0" encoding="utf-8"?>
<formControlPr xmlns="http://schemas.microsoft.com/office/spreadsheetml/2009/9/main" objectType="CheckBox" fmlaLink="$W$34" lockText="1" noThreeD="1"/>
</file>

<file path=xl/ctrlProps/ctrlProp890.xml><?xml version="1.0" encoding="utf-8"?>
<formControlPr xmlns="http://schemas.microsoft.com/office/spreadsheetml/2009/9/main" objectType="CheckBox" fmlaLink="$W$926" lockText="1" noThreeD="1"/>
</file>

<file path=xl/ctrlProps/ctrlProp891.xml><?xml version="1.0" encoding="utf-8"?>
<formControlPr xmlns="http://schemas.microsoft.com/office/spreadsheetml/2009/9/main" objectType="CheckBox" fmlaLink="$W$927" lockText="1" noThreeD="1"/>
</file>

<file path=xl/ctrlProps/ctrlProp892.xml><?xml version="1.0" encoding="utf-8"?>
<formControlPr xmlns="http://schemas.microsoft.com/office/spreadsheetml/2009/9/main" objectType="CheckBox" fmlaLink="$W$929" lockText="1" noThreeD="1"/>
</file>

<file path=xl/ctrlProps/ctrlProp893.xml><?xml version="1.0" encoding="utf-8"?>
<formControlPr xmlns="http://schemas.microsoft.com/office/spreadsheetml/2009/9/main" objectType="CheckBox" fmlaLink="$W$1462" lockText="1" noThreeD="1"/>
</file>

<file path=xl/ctrlProps/ctrlProp894.xml><?xml version="1.0" encoding="utf-8"?>
<formControlPr xmlns="http://schemas.microsoft.com/office/spreadsheetml/2009/9/main" objectType="CheckBox" fmlaLink="$W$1465" lockText="1" noThreeD="1"/>
</file>

<file path=xl/ctrlProps/ctrlProp895.xml><?xml version="1.0" encoding="utf-8"?>
<formControlPr xmlns="http://schemas.microsoft.com/office/spreadsheetml/2009/9/main" objectType="CheckBox" fmlaLink="$W$1476" lockText="1" noThreeD="1"/>
</file>

<file path=xl/ctrlProps/ctrlProp896.xml><?xml version="1.0" encoding="utf-8"?>
<formControlPr xmlns="http://schemas.microsoft.com/office/spreadsheetml/2009/9/main" objectType="CheckBox" fmlaLink="$W$1478" lockText="1" noThreeD="1"/>
</file>

<file path=xl/ctrlProps/ctrlProp897.xml><?xml version="1.0" encoding="utf-8"?>
<formControlPr xmlns="http://schemas.microsoft.com/office/spreadsheetml/2009/9/main" objectType="CheckBox" fmlaLink="$W$1502" lockText="1" noThreeD="1"/>
</file>

<file path=xl/ctrlProps/ctrlProp898.xml><?xml version="1.0" encoding="utf-8"?>
<formControlPr xmlns="http://schemas.microsoft.com/office/spreadsheetml/2009/9/main" objectType="CheckBox" fmlaLink="$W$1504" lockText="1" noThreeD="1"/>
</file>

<file path=xl/ctrlProps/ctrlProp899.xml><?xml version="1.0" encoding="utf-8"?>
<formControlPr xmlns="http://schemas.microsoft.com/office/spreadsheetml/2009/9/main" objectType="CheckBox" fmlaLink="$W$1581" lockText="1" noThreeD="1"/>
</file>

<file path=xl/ctrlProps/ctrlProp9.xml><?xml version="1.0" encoding="utf-8"?>
<formControlPr xmlns="http://schemas.microsoft.com/office/spreadsheetml/2009/9/main" objectType="CheckBox" fmlaLink="$W$28" lockText="1" noThreeD="1"/>
</file>

<file path=xl/ctrlProps/ctrlProp90.xml><?xml version="1.0" encoding="utf-8"?>
<formControlPr xmlns="http://schemas.microsoft.com/office/spreadsheetml/2009/9/main" objectType="CheckBox" fmlaLink="$W$37" lockText="1" noThreeD="1"/>
</file>

<file path=xl/ctrlProps/ctrlProp900.xml><?xml version="1.0" encoding="utf-8"?>
<formControlPr xmlns="http://schemas.microsoft.com/office/spreadsheetml/2009/9/main" objectType="CheckBox" fmlaLink="$W$1606" lockText="1" noThreeD="1"/>
</file>

<file path=xl/ctrlProps/ctrlProp901.xml><?xml version="1.0" encoding="utf-8"?>
<formControlPr xmlns="http://schemas.microsoft.com/office/spreadsheetml/2009/9/main" objectType="CheckBox" fmlaLink="$W$1616" lockText="1" noThreeD="1"/>
</file>

<file path=xl/ctrlProps/ctrlProp902.xml><?xml version="1.0" encoding="utf-8"?>
<formControlPr xmlns="http://schemas.microsoft.com/office/spreadsheetml/2009/9/main" objectType="CheckBox" fmlaLink="$W$1618" lockText="1" noThreeD="1"/>
</file>

<file path=xl/ctrlProps/ctrlProp903.xml><?xml version="1.0" encoding="utf-8"?>
<formControlPr xmlns="http://schemas.microsoft.com/office/spreadsheetml/2009/9/main" objectType="CheckBox" fmlaLink="$W$1627" lockText="1" noThreeD="1"/>
</file>

<file path=xl/ctrlProps/ctrlProp904.xml><?xml version="1.0" encoding="utf-8"?>
<formControlPr xmlns="http://schemas.microsoft.com/office/spreadsheetml/2009/9/main" objectType="CheckBox" fmlaLink="$W$1631" lockText="1" noThreeD="1"/>
</file>

<file path=xl/ctrlProps/ctrlProp905.xml><?xml version="1.0" encoding="utf-8"?>
<formControlPr xmlns="http://schemas.microsoft.com/office/spreadsheetml/2009/9/main" objectType="CheckBox" fmlaLink="$W$1636" lockText="1" noThreeD="1"/>
</file>

<file path=xl/ctrlProps/ctrlProp906.xml><?xml version="1.0" encoding="utf-8"?>
<formControlPr xmlns="http://schemas.microsoft.com/office/spreadsheetml/2009/9/main" objectType="CheckBox" fmlaLink="$W$1637" lockText="1" noThreeD="1"/>
</file>

<file path=xl/ctrlProps/ctrlProp907.xml><?xml version="1.0" encoding="utf-8"?>
<formControlPr xmlns="http://schemas.microsoft.com/office/spreadsheetml/2009/9/main" objectType="CheckBox" fmlaLink="$W$1774" lockText="1" noThreeD="1"/>
</file>

<file path=xl/ctrlProps/ctrlProp908.xml><?xml version="1.0" encoding="utf-8"?>
<formControlPr xmlns="http://schemas.microsoft.com/office/spreadsheetml/2009/9/main" objectType="CheckBox" fmlaLink="$W$1793" lockText="1" noThreeD="1"/>
</file>

<file path=xl/ctrlProps/ctrlProp909.xml><?xml version="1.0" encoding="utf-8"?>
<formControlPr xmlns="http://schemas.microsoft.com/office/spreadsheetml/2009/9/main" objectType="CheckBox" fmlaLink="$W$1795" lockText="1" noThreeD="1"/>
</file>

<file path=xl/ctrlProps/ctrlProp91.xml><?xml version="1.0" encoding="utf-8"?>
<formControlPr xmlns="http://schemas.microsoft.com/office/spreadsheetml/2009/9/main" objectType="CheckBox" checked="Checked" fmlaLink="$W$41" lockText="1" noThreeD="1"/>
</file>

<file path=xl/ctrlProps/ctrlProp910.xml><?xml version="1.0" encoding="utf-8"?>
<formControlPr xmlns="http://schemas.microsoft.com/office/spreadsheetml/2009/9/main" objectType="CheckBox" fmlaLink="$W$1797" lockText="1" noThreeD="1"/>
</file>

<file path=xl/ctrlProps/ctrlProp911.xml><?xml version="1.0" encoding="utf-8"?>
<formControlPr xmlns="http://schemas.microsoft.com/office/spreadsheetml/2009/9/main" objectType="CheckBox" fmlaLink="$W$1798" lockText="1" noThreeD="1"/>
</file>

<file path=xl/ctrlProps/ctrlProp912.xml><?xml version="1.0" encoding="utf-8"?>
<formControlPr xmlns="http://schemas.microsoft.com/office/spreadsheetml/2009/9/main" objectType="CheckBox" fmlaLink="$W$1800" lockText="1" noThreeD="1"/>
</file>

<file path=xl/ctrlProps/ctrlProp913.xml><?xml version="1.0" encoding="utf-8"?>
<formControlPr xmlns="http://schemas.microsoft.com/office/spreadsheetml/2009/9/main" objectType="CheckBox" fmlaLink="$W$1840" lockText="1" noThreeD="1"/>
</file>

<file path=xl/ctrlProps/ctrlProp914.xml><?xml version="1.0" encoding="utf-8"?>
<formControlPr xmlns="http://schemas.microsoft.com/office/spreadsheetml/2009/9/main" objectType="CheckBox" fmlaLink="$W$2030" lockText="1" noThreeD="1"/>
</file>

<file path=xl/ctrlProps/ctrlProp915.xml><?xml version="1.0" encoding="utf-8"?>
<formControlPr xmlns="http://schemas.microsoft.com/office/spreadsheetml/2009/9/main" objectType="CheckBox" fmlaLink="$W$2081" lockText="1" noThreeD="1"/>
</file>

<file path=xl/ctrlProps/ctrlProp916.xml><?xml version="1.0" encoding="utf-8"?>
<formControlPr xmlns="http://schemas.microsoft.com/office/spreadsheetml/2009/9/main" objectType="CheckBox" fmlaLink="$W$2152" lockText="1" noThreeD="1"/>
</file>

<file path=xl/ctrlProps/ctrlProp917.xml><?xml version="1.0" encoding="utf-8"?>
<formControlPr xmlns="http://schemas.microsoft.com/office/spreadsheetml/2009/9/main" objectType="CheckBox" fmlaLink="$W$2154" lockText="1" noThreeD="1"/>
</file>

<file path=xl/ctrlProps/ctrlProp918.xml><?xml version="1.0" encoding="utf-8"?>
<formControlPr xmlns="http://schemas.microsoft.com/office/spreadsheetml/2009/9/main" objectType="CheckBox" fmlaLink="$W$2185" lockText="1" noThreeD="1"/>
</file>

<file path=xl/ctrlProps/ctrlProp919.xml><?xml version="1.0" encoding="utf-8"?>
<formControlPr xmlns="http://schemas.microsoft.com/office/spreadsheetml/2009/9/main" objectType="CheckBox" fmlaLink="$W$2220" lockText="1" noThreeD="1"/>
</file>

<file path=xl/ctrlProps/ctrlProp92.xml><?xml version="1.0" encoding="utf-8"?>
<formControlPr xmlns="http://schemas.microsoft.com/office/spreadsheetml/2009/9/main" objectType="CheckBox" checked="Checked" fmlaLink="$W$42" lockText="1" noThreeD="1"/>
</file>

<file path=xl/ctrlProps/ctrlProp920.xml><?xml version="1.0" encoding="utf-8"?>
<formControlPr xmlns="http://schemas.microsoft.com/office/spreadsheetml/2009/9/main" objectType="CheckBox" fmlaLink="$W$2228" lockText="1" noThreeD="1"/>
</file>

<file path=xl/ctrlProps/ctrlProp921.xml><?xml version="1.0" encoding="utf-8"?>
<formControlPr xmlns="http://schemas.microsoft.com/office/spreadsheetml/2009/9/main" objectType="CheckBox" fmlaLink="$W$2240" lockText="1" noThreeD="1"/>
</file>

<file path=xl/ctrlProps/ctrlProp922.xml><?xml version="1.0" encoding="utf-8"?>
<formControlPr xmlns="http://schemas.microsoft.com/office/spreadsheetml/2009/9/main" objectType="CheckBox" fmlaLink="$W$2241" lockText="1" noThreeD="1"/>
</file>

<file path=xl/ctrlProps/ctrlProp923.xml><?xml version="1.0" encoding="utf-8"?>
<formControlPr xmlns="http://schemas.microsoft.com/office/spreadsheetml/2009/9/main" objectType="CheckBox" fmlaLink="$W$2243" lockText="1" noThreeD="1"/>
</file>

<file path=xl/ctrlProps/ctrlProp924.xml><?xml version="1.0" encoding="utf-8"?>
<formControlPr xmlns="http://schemas.microsoft.com/office/spreadsheetml/2009/9/main" objectType="CheckBox" fmlaLink="$W$2248" lockText="1" noThreeD="1"/>
</file>

<file path=xl/ctrlProps/ctrlProp925.xml><?xml version="1.0" encoding="utf-8"?>
<formControlPr xmlns="http://schemas.microsoft.com/office/spreadsheetml/2009/9/main" objectType="CheckBox" fmlaLink="$W$2393" lockText="1" noThreeD="1"/>
</file>

<file path=xl/ctrlProps/ctrlProp926.xml><?xml version="1.0" encoding="utf-8"?>
<formControlPr xmlns="http://schemas.microsoft.com/office/spreadsheetml/2009/9/main" objectType="CheckBox" fmlaLink="$W$2410" lockText="1" noThreeD="1"/>
</file>

<file path=xl/ctrlProps/ctrlProp927.xml><?xml version="1.0" encoding="utf-8"?>
<formControlPr xmlns="http://schemas.microsoft.com/office/spreadsheetml/2009/9/main" objectType="CheckBox" fmlaLink="$W$2411" lockText="1" noThreeD="1"/>
</file>

<file path=xl/ctrlProps/ctrlProp928.xml><?xml version="1.0" encoding="utf-8"?>
<formControlPr xmlns="http://schemas.microsoft.com/office/spreadsheetml/2009/9/main" objectType="CheckBox" fmlaLink="$W$2412" lockText="1" noThreeD="1"/>
</file>

<file path=xl/ctrlProps/ctrlProp929.xml><?xml version="1.0" encoding="utf-8"?>
<formControlPr xmlns="http://schemas.microsoft.com/office/spreadsheetml/2009/9/main" objectType="CheckBox" fmlaLink="$W$2414" lockText="1" noThreeD="1"/>
</file>

<file path=xl/ctrlProps/ctrlProp93.xml><?xml version="1.0" encoding="utf-8"?>
<formControlPr xmlns="http://schemas.microsoft.com/office/spreadsheetml/2009/9/main" objectType="CheckBox" checked="Checked" fmlaLink="$W$43" lockText="1" noThreeD="1"/>
</file>

<file path=xl/ctrlProps/ctrlProp930.xml><?xml version="1.0" encoding="utf-8"?>
<formControlPr xmlns="http://schemas.microsoft.com/office/spreadsheetml/2009/9/main" objectType="CheckBox" fmlaLink="$W$2415" lockText="1" noThreeD="1"/>
</file>

<file path=xl/ctrlProps/ctrlProp931.xml><?xml version="1.0" encoding="utf-8"?>
<formControlPr xmlns="http://schemas.microsoft.com/office/spreadsheetml/2009/9/main" objectType="CheckBox" fmlaLink="$W$2416" lockText="1" noThreeD="1"/>
</file>

<file path=xl/ctrlProps/ctrlProp932.xml><?xml version="1.0" encoding="utf-8"?>
<formControlPr xmlns="http://schemas.microsoft.com/office/spreadsheetml/2009/9/main" objectType="CheckBox" fmlaLink="$W$2417" lockText="1" noThreeD="1"/>
</file>

<file path=xl/ctrlProps/ctrlProp933.xml><?xml version="1.0" encoding="utf-8"?>
<formControlPr xmlns="http://schemas.microsoft.com/office/spreadsheetml/2009/9/main" objectType="CheckBox" fmlaLink="$W$2418" lockText="1" noThreeD="1"/>
</file>

<file path=xl/ctrlProps/ctrlProp934.xml><?xml version="1.0" encoding="utf-8"?>
<formControlPr xmlns="http://schemas.microsoft.com/office/spreadsheetml/2009/9/main" objectType="CheckBox" fmlaLink="$W$2419" lockText="1" noThreeD="1"/>
</file>

<file path=xl/ctrlProps/ctrlProp935.xml><?xml version="1.0" encoding="utf-8"?>
<formControlPr xmlns="http://schemas.microsoft.com/office/spreadsheetml/2009/9/main" objectType="CheckBox" fmlaLink="$W$2424" lockText="1" noThreeD="1"/>
</file>

<file path=xl/ctrlProps/ctrlProp936.xml><?xml version="1.0" encoding="utf-8"?>
<formControlPr xmlns="http://schemas.microsoft.com/office/spreadsheetml/2009/9/main" objectType="CheckBox" fmlaLink="$W$2425" lockText="1" noThreeD="1"/>
</file>

<file path=xl/ctrlProps/ctrlProp937.xml><?xml version="1.0" encoding="utf-8"?>
<formControlPr xmlns="http://schemas.microsoft.com/office/spreadsheetml/2009/9/main" objectType="CheckBox" fmlaLink="$W$2426" lockText="1" noThreeD="1"/>
</file>

<file path=xl/ctrlProps/ctrlProp938.xml><?xml version="1.0" encoding="utf-8"?>
<formControlPr xmlns="http://schemas.microsoft.com/office/spreadsheetml/2009/9/main" objectType="CheckBox" fmlaLink="$W$2427" lockText="1" noThreeD="1"/>
</file>

<file path=xl/ctrlProps/ctrlProp939.xml><?xml version="1.0" encoding="utf-8"?>
<formControlPr xmlns="http://schemas.microsoft.com/office/spreadsheetml/2009/9/main" objectType="CheckBox" fmlaLink="$W$2428" lockText="1" noThreeD="1"/>
</file>

<file path=xl/ctrlProps/ctrlProp94.xml><?xml version="1.0" encoding="utf-8"?>
<formControlPr xmlns="http://schemas.microsoft.com/office/spreadsheetml/2009/9/main" objectType="CheckBox" fmlaLink="$W$44" lockText="1" noThreeD="1"/>
</file>

<file path=xl/ctrlProps/ctrlProp940.xml><?xml version="1.0" encoding="utf-8"?>
<formControlPr xmlns="http://schemas.microsoft.com/office/spreadsheetml/2009/9/main" objectType="CheckBox" fmlaLink="$W$2429" lockText="1" noThreeD="1"/>
</file>

<file path=xl/ctrlProps/ctrlProp941.xml><?xml version="1.0" encoding="utf-8"?>
<formControlPr xmlns="http://schemas.microsoft.com/office/spreadsheetml/2009/9/main" objectType="CheckBox" fmlaLink="$W$2430" lockText="1" noThreeD="1"/>
</file>

<file path=xl/ctrlProps/ctrlProp942.xml><?xml version="1.0" encoding="utf-8"?>
<formControlPr xmlns="http://schemas.microsoft.com/office/spreadsheetml/2009/9/main" objectType="CheckBox" fmlaLink="$W$2460" lockText="1" noThreeD="1"/>
</file>

<file path=xl/ctrlProps/ctrlProp943.xml><?xml version="1.0" encoding="utf-8"?>
<formControlPr xmlns="http://schemas.microsoft.com/office/spreadsheetml/2009/9/main" objectType="CheckBox" fmlaLink="$W$2463" lockText="1" noThreeD="1"/>
</file>

<file path=xl/ctrlProps/ctrlProp944.xml><?xml version="1.0" encoding="utf-8"?>
<formControlPr xmlns="http://schemas.microsoft.com/office/spreadsheetml/2009/9/main" objectType="CheckBox" fmlaLink="$W$110" lockText="1" noThreeD="1"/>
</file>

<file path=xl/ctrlProps/ctrlProp945.xml><?xml version="1.0" encoding="utf-8"?>
<formControlPr xmlns="http://schemas.microsoft.com/office/spreadsheetml/2009/9/main" objectType="CheckBox" fmlaLink="$W$166" lockText="1" noThreeD="1"/>
</file>

<file path=xl/ctrlProps/ctrlProp946.xml><?xml version="1.0" encoding="utf-8"?>
<formControlPr xmlns="http://schemas.microsoft.com/office/spreadsheetml/2009/9/main" objectType="CheckBox" fmlaLink="$W$152" lockText="1" noThreeD="1"/>
</file>

<file path=xl/ctrlProps/ctrlProp947.xml><?xml version="1.0" encoding="utf-8"?>
<formControlPr xmlns="http://schemas.microsoft.com/office/spreadsheetml/2009/9/main" objectType="CheckBox" fmlaLink="$W$153" lockText="1" noThreeD="1"/>
</file>

<file path=xl/ctrlProps/ctrlProp948.xml><?xml version="1.0" encoding="utf-8"?>
<formControlPr xmlns="http://schemas.microsoft.com/office/spreadsheetml/2009/9/main" objectType="CheckBox" fmlaLink="$W$154" lockText="1" noThreeD="1"/>
</file>

<file path=xl/ctrlProps/ctrlProp949.xml><?xml version="1.0" encoding="utf-8"?>
<formControlPr xmlns="http://schemas.microsoft.com/office/spreadsheetml/2009/9/main" objectType="CheckBox" fmlaLink="$W$126" lockText="1" noThreeD="1"/>
</file>

<file path=xl/ctrlProps/ctrlProp95.xml><?xml version="1.0" encoding="utf-8"?>
<formControlPr xmlns="http://schemas.microsoft.com/office/spreadsheetml/2009/9/main" objectType="CheckBox" fmlaLink="$W$45" lockText="1" noThreeD="1"/>
</file>

<file path=xl/ctrlProps/ctrlProp950.xml><?xml version="1.0" encoding="utf-8"?>
<formControlPr xmlns="http://schemas.microsoft.com/office/spreadsheetml/2009/9/main" objectType="CheckBox" fmlaLink="$W$39" lockText="1" noThreeD="1"/>
</file>

<file path=xl/ctrlProps/ctrlProp951.xml><?xml version="1.0" encoding="utf-8"?>
<formControlPr xmlns="http://schemas.microsoft.com/office/spreadsheetml/2009/9/main" objectType="CheckBox" fmlaLink="$W$40" lockText="1" noThreeD="1"/>
</file>

<file path=xl/ctrlProps/ctrlProp952.xml><?xml version="1.0" encoding="utf-8"?>
<formControlPr xmlns="http://schemas.microsoft.com/office/spreadsheetml/2009/9/main" objectType="CheckBox" fmlaLink="$W$41" lockText="1" noThreeD="1"/>
</file>

<file path=xl/ctrlProps/ctrlProp953.xml><?xml version="1.0" encoding="utf-8"?>
<formControlPr xmlns="http://schemas.microsoft.com/office/spreadsheetml/2009/9/main" objectType="CheckBox" fmlaLink="$W$42" lockText="1" noThreeD="1"/>
</file>

<file path=xl/ctrlProps/ctrlProp954.xml><?xml version="1.0" encoding="utf-8"?>
<formControlPr xmlns="http://schemas.microsoft.com/office/spreadsheetml/2009/9/main" objectType="CheckBox" fmlaLink="$W$43" lockText="1" noThreeD="1"/>
</file>

<file path=xl/ctrlProps/ctrlProp955.xml><?xml version="1.0" encoding="utf-8"?>
<formControlPr xmlns="http://schemas.microsoft.com/office/spreadsheetml/2009/9/main" objectType="CheckBox" fmlaLink="$W$44" lockText="1" noThreeD="1"/>
</file>

<file path=xl/ctrlProps/ctrlProp956.xml><?xml version="1.0" encoding="utf-8"?>
<formControlPr xmlns="http://schemas.microsoft.com/office/spreadsheetml/2009/9/main" objectType="CheckBox" fmlaLink="$W$45" lockText="1" noThreeD="1"/>
</file>

<file path=xl/ctrlProps/ctrlProp957.xml><?xml version="1.0" encoding="utf-8"?>
<formControlPr xmlns="http://schemas.microsoft.com/office/spreadsheetml/2009/9/main" objectType="CheckBox" fmlaLink="$W$46" lockText="1" noThreeD="1"/>
</file>

<file path=xl/ctrlProps/ctrlProp958.xml><?xml version="1.0" encoding="utf-8"?>
<formControlPr xmlns="http://schemas.microsoft.com/office/spreadsheetml/2009/9/main" objectType="CheckBox" fmlaLink="$W$47" lockText="1" noThreeD="1"/>
</file>

<file path=xl/ctrlProps/ctrlProp959.xml><?xml version="1.0" encoding="utf-8"?>
<formControlPr xmlns="http://schemas.microsoft.com/office/spreadsheetml/2009/9/main" objectType="CheckBox" fmlaLink="$W$48" lockText="1" noThreeD="1"/>
</file>

<file path=xl/ctrlProps/ctrlProp96.xml><?xml version="1.0" encoding="utf-8"?>
<formControlPr xmlns="http://schemas.microsoft.com/office/spreadsheetml/2009/9/main" objectType="CheckBox" checked="Checked" fmlaLink="$W$46" lockText="1" noThreeD="1"/>
</file>

<file path=xl/ctrlProps/ctrlProp960.xml><?xml version="1.0" encoding="utf-8"?>
<formControlPr xmlns="http://schemas.microsoft.com/office/spreadsheetml/2009/9/main" objectType="CheckBox" fmlaLink="$W$49" lockText="1" noThreeD="1"/>
</file>

<file path=xl/ctrlProps/ctrlProp961.xml><?xml version="1.0" encoding="utf-8"?>
<formControlPr xmlns="http://schemas.microsoft.com/office/spreadsheetml/2009/9/main" objectType="CheckBox" fmlaLink="$W$54" lockText="1" noThreeD="1"/>
</file>

<file path=xl/ctrlProps/ctrlProp962.xml><?xml version="1.0" encoding="utf-8"?>
<formControlPr xmlns="http://schemas.microsoft.com/office/spreadsheetml/2009/9/main" objectType="CheckBox" fmlaLink="$W$55" lockText="1" noThreeD="1"/>
</file>

<file path=xl/ctrlProps/ctrlProp963.xml><?xml version="1.0" encoding="utf-8"?>
<formControlPr xmlns="http://schemas.microsoft.com/office/spreadsheetml/2009/9/main" objectType="CheckBox" fmlaLink="$W$18" lockText="1" noThreeD="1"/>
</file>

<file path=xl/ctrlProps/ctrlProp964.xml><?xml version="1.0" encoding="utf-8"?>
<formControlPr xmlns="http://schemas.microsoft.com/office/spreadsheetml/2009/9/main" objectType="CheckBox" fmlaLink="$W$19" lockText="1" noThreeD="1"/>
</file>

<file path=xl/ctrlProps/ctrlProp965.xml><?xml version="1.0" encoding="utf-8"?>
<formControlPr xmlns="http://schemas.microsoft.com/office/spreadsheetml/2009/9/main" objectType="CheckBox" fmlaLink="$W$20" lockText="1" noThreeD="1"/>
</file>

<file path=xl/ctrlProps/ctrlProp966.xml><?xml version="1.0" encoding="utf-8"?>
<formControlPr xmlns="http://schemas.microsoft.com/office/spreadsheetml/2009/9/main" objectType="CheckBox" fmlaLink="$W$22" lockText="1" noThreeD="1"/>
</file>

<file path=xl/ctrlProps/ctrlProp967.xml><?xml version="1.0" encoding="utf-8"?>
<formControlPr xmlns="http://schemas.microsoft.com/office/spreadsheetml/2009/9/main" objectType="CheckBox" fmlaLink="$W$23" lockText="1" noThreeD="1"/>
</file>

<file path=xl/ctrlProps/ctrlProp968.xml><?xml version="1.0" encoding="utf-8"?>
<formControlPr xmlns="http://schemas.microsoft.com/office/spreadsheetml/2009/9/main" objectType="CheckBox" fmlaLink="$W$24" lockText="1" noThreeD="1"/>
</file>

<file path=xl/ctrlProps/ctrlProp969.xml><?xml version="1.0" encoding="utf-8"?>
<formControlPr xmlns="http://schemas.microsoft.com/office/spreadsheetml/2009/9/main" objectType="CheckBox" fmlaLink="$W$27" lockText="1" noThreeD="1"/>
</file>

<file path=xl/ctrlProps/ctrlProp97.xml><?xml version="1.0" encoding="utf-8"?>
<formControlPr xmlns="http://schemas.microsoft.com/office/spreadsheetml/2009/9/main" objectType="CheckBox" fmlaLink="$W$52" lockText="1" noThreeD="1"/>
</file>

<file path=xl/ctrlProps/ctrlProp970.xml><?xml version="1.0" encoding="utf-8"?>
<formControlPr xmlns="http://schemas.microsoft.com/office/spreadsheetml/2009/9/main" objectType="CheckBox" fmlaLink="$W$28" lockText="1" noThreeD="1"/>
</file>

<file path=xl/ctrlProps/ctrlProp971.xml><?xml version="1.0" encoding="utf-8"?>
<formControlPr xmlns="http://schemas.microsoft.com/office/spreadsheetml/2009/9/main" objectType="CheckBox" fmlaLink="$W$34" lockText="1" noThreeD="1"/>
</file>

<file path=xl/ctrlProps/ctrlProp972.xml><?xml version="1.0" encoding="utf-8"?>
<formControlPr xmlns="http://schemas.microsoft.com/office/spreadsheetml/2009/9/main" objectType="CheckBox" fmlaLink="$W$41" lockText="1" noThreeD="1"/>
</file>

<file path=xl/ctrlProps/ctrlProp973.xml><?xml version="1.0" encoding="utf-8"?>
<formControlPr xmlns="http://schemas.microsoft.com/office/spreadsheetml/2009/9/main" objectType="CheckBox" fmlaLink="$W$48" lockText="1" noThreeD="1"/>
</file>

<file path=xl/ctrlProps/ctrlProp974.xml><?xml version="1.0" encoding="utf-8"?>
<formControlPr xmlns="http://schemas.microsoft.com/office/spreadsheetml/2009/9/main" objectType="CheckBox" fmlaLink="$W$55" lockText="1" noThreeD="1"/>
</file>

<file path=xl/ctrlProps/ctrlProp975.xml><?xml version="1.0" encoding="utf-8"?>
<formControlPr xmlns="http://schemas.microsoft.com/office/spreadsheetml/2009/9/main" objectType="CheckBox" fmlaLink="$W$110" lockText="1" noThreeD="1"/>
</file>

<file path=xl/ctrlProps/ctrlProp976.xml><?xml version="1.0" encoding="utf-8"?>
<formControlPr xmlns="http://schemas.microsoft.com/office/spreadsheetml/2009/9/main" objectType="CheckBox" fmlaLink="$W$115" lockText="1" noThreeD="1"/>
</file>

<file path=xl/ctrlProps/ctrlProp977.xml><?xml version="1.0" encoding="utf-8"?>
<formControlPr xmlns="http://schemas.microsoft.com/office/spreadsheetml/2009/9/main" objectType="CheckBox" fmlaLink="$W$132" lockText="1" noThreeD="1"/>
</file>

<file path=xl/ctrlProps/ctrlProp98.xml><?xml version="1.0" encoding="utf-8"?>
<formControlPr xmlns="http://schemas.microsoft.com/office/spreadsheetml/2009/9/main" objectType="CheckBox" checked="Checked" fmlaLink="$W$53" lockText="1" noThreeD="1"/>
</file>

<file path=xl/ctrlProps/ctrlProp99.xml><?xml version="1.0" encoding="utf-8"?>
<formControlPr xmlns="http://schemas.microsoft.com/office/spreadsheetml/2009/9/main" objectType="CheckBox" fmlaLink="$W$5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9.gi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0.gif"/></Relationships>
</file>

<file path=xl/drawings/_rels/drawing21.xml.rels><?xml version="1.0" encoding="UTF-8" standalone="yes"?>
<Relationships xmlns="http://schemas.openxmlformats.org/package/2006/relationships"><Relationship Id="rId1" Type="http://schemas.openxmlformats.org/officeDocument/2006/relationships/image" Target="../media/image11.emf"/></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3</xdr:col>
      <xdr:colOff>0</xdr:colOff>
      <xdr:row>5</xdr:row>
      <xdr:rowOff>141103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5"/>
          <a:ext cx="1828800" cy="9888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1019175</xdr:colOff>
      <xdr:row>0</xdr:row>
      <xdr:rowOff>0</xdr:rowOff>
    </xdr:from>
    <xdr:to>
      <xdr:col>2</xdr:col>
      <xdr:colOff>2847975</xdr:colOff>
      <xdr:row>4</xdr:row>
      <xdr:rowOff>141767</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28775" y="0"/>
          <a:ext cx="1828800" cy="9037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447675</xdr:colOff>
      <xdr:row>1</xdr:row>
      <xdr:rowOff>66675</xdr:rowOff>
    </xdr:from>
    <xdr:to>
      <xdr:col>12</xdr:col>
      <xdr:colOff>257175</xdr:colOff>
      <xdr:row>6</xdr:row>
      <xdr:rowOff>17942</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6275" y="257175"/>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22</xdr:col>
          <xdr:colOff>0</xdr:colOff>
          <xdr:row>109</xdr:row>
          <xdr:rowOff>0</xdr:rowOff>
        </xdr:from>
        <xdr:to>
          <xdr:col>22</xdr:col>
          <xdr:colOff>184150</xdr:colOff>
          <xdr:row>109</xdr:row>
          <xdr:rowOff>184150</xdr:rowOff>
        </xdr:to>
        <xdr:sp macro="" textlink="">
          <xdr:nvSpPr>
            <xdr:cNvPr id="205825" name="Check Box 1" hidden="1">
              <a:extLst>
                <a:ext uri="{63B3BB69-23CF-44E3-9099-C40C66FF867C}">
                  <a14:compatExt spid="_x0000_s205825"/>
                </a:ext>
                <a:ext uri="{FF2B5EF4-FFF2-40B4-BE49-F238E27FC236}">
                  <a16:creationId xmlns:a16="http://schemas.microsoft.com/office/drawing/2014/main" id="{00000000-0008-0000-0B00-000001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165</xdr:row>
          <xdr:rowOff>0</xdr:rowOff>
        </xdr:from>
        <xdr:to>
          <xdr:col>22</xdr:col>
          <xdr:colOff>184150</xdr:colOff>
          <xdr:row>165</xdr:row>
          <xdr:rowOff>184150</xdr:rowOff>
        </xdr:to>
        <xdr:sp macro="" textlink="">
          <xdr:nvSpPr>
            <xdr:cNvPr id="205826" name="Check Box 2" hidden="1">
              <a:extLst>
                <a:ext uri="{63B3BB69-23CF-44E3-9099-C40C66FF867C}">
                  <a14:compatExt spid="_x0000_s205826"/>
                </a:ext>
                <a:ext uri="{FF2B5EF4-FFF2-40B4-BE49-F238E27FC236}">
                  <a16:creationId xmlns:a16="http://schemas.microsoft.com/office/drawing/2014/main" id="{00000000-0008-0000-0B00-000002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151</xdr:row>
          <xdr:rowOff>0</xdr:rowOff>
        </xdr:from>
        <xdr:to>
          <xdr:col>22</xdr:col>
          <xdr:colOff>184150</xdr:colOff>
          <xdr:row>151</xdr:row>
          <xdr:rowOff>184150</xdr:rowOff>
        </xdr:to>
        <xdr:sp macro="" textlink="">
          <xdr:nvSpPr>
            <xdr:cNvPr id="205827" name="Check Box 3" hidden="1">
              <a:extLst>
                <a:ext uri="{63B3BB69-23CF-44E3-9099-C40C66FF867C}">
                  <a14:compatExt spid="_x0000_s205827"/>
                </a:ext>
                <a:ext uri="{FF2B5EF4-FFF2-40B4-BE49-F238E27FC236}">
                  <a16:creationId xmlns:a16="http://schemas.microsoft.com/office/drawing/2014/main" id="{00000000-0008-0000-0B00-000003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152</xdr:row>
          <xdr:rowOff>0</xdr:rowOff>
        </xdr:from>
        <xdr:to>
          <xdr:col>22</xdr:col>
          <xdr:colOff>184150</xdr:colOff>
          <xdr:row>152</xdr:row>
          <xdr:rowOff>184150</xdr:rowOff>
        </xdr:to>
        <xdr:sp macro="" textlink="">
          <xdr:nvSpPr>
            <xdr:cNvPr id="205828" name="Check Box 4" hidden="1">
              <a:extLst>
                <a:ext uri="{63B3BB69-23CF-44E3-9099-C40C66FF867C}">
                  <a14:compatExt spid="_x0000_s205828"/>
                </a:ext>
                <a:ext uri="{FF2B5EF4-FFF2-40B4-BE49-F238E27FC236}">
                  <a16:creationId xmlns:a16="http://schemas.microsoft.com/office/drawing/2014/main" id="{00000000-0008-0000-0B00-000004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153</xdr:row>
          <xdr:rowOff>0</xdr:rowOff>
        </xdr:from>
        <xdr:to>
          <xdr:col>22</xdr:col>
          <xdr:colOff>184150</xdr:colOff>
          <xdr:row>153</xdr:row>
          <xdr:rowOff>184150</xdr:rowOff>
        </xdr:to>
        <xdr:sp macro="" textlink="">
          <xdr:nvSpPr>
            <xdr:cNvPr id="205829" name="Check Box 5" hidden="1">
              <a:extLst>
                <a:ext uri="{63B3BB69-23CF-44E3-9099-C40C66FF867C}">
                  <a14:compatExt spid="_x0000_s205829"/>
                </a:ext>
                <a:ext uri="{FF2B5EF4-FFF2-40B4-BE49-F238E27FC236}">
                  <a16:creationId xmlns:a16="http://schemas.microsoft.com/office/drawing/2014/main" id="{00000000-0008-0000-0B00-000005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125</xdr:row>
          <xdr:rowOff>0</xdr:rowOff>
        </xdr:from>
        <xdr:to>
          <xdr:col>22</xdr:col>
          <xdr:colOff>184150</xdr:colOff>
          <xdr:row>125</xdr:row>
          <xdr:rowOff>184150</xdr:rowOff>
        </xdr:to>
        <xdr:sp macro="" textlink="">
          <xdr:nvSpPr>
            <xdr:cNvPr id="205830" name="Check Box 6" hidden="1">
              <a:extLst>
                <a:ext uri="{63B3BB69-23CF-44E3-9099-C40C66FF867C}">
                  <a14:compatExt spid="_x0000_s205830"/>
                </a:ext>
                <a:ext uri="{FF2B5EF4-FFF2-40B4-BE49-F238E27FC236}">
                  <a16:creationId xmlns:a16="http://schemas.microsoft.com/office/drawing/2014/main" id="{00000000-0008-0000-0B00-000006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38</xdr:row>
          <xdr:rowOff>0</xdr:rowOff>
        </xdr:from>
        <xdr:to>
          <xdr:col>22</xdr:col>
          <xdr:colOff>184150</xdr:colOff>
          <xdr:row>38</xdr:row>
          <xdr:rowOff>184150</xdr:rowOff>
        </xdr:to>
        <xdr:sp macro="" textlink="">
          <xdr:nvSpPr>
            <xdr:cNvPr id="205831" name="Check Box 7" hidden="1">
              <a:extLst>
                <a:ext uri="{63B3BB69-23CF-44E3-9099-C40C66FF867C}">
                  <a14:compatExt spid="_x0000_s205831"/>
                </a:ext>
                <a:ext uri="{FF2B5EF4-FFF2-40B4-BE49-F238E27FC236}">
                  <a16:creationId xmlns:a16="http://schemas.microsoft.com/office/drawing/2014/main" id="{00000000-0008-0000-0B00-000007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39</xdr:row>
          <xdr:rowOff>0</xdr:rowOff>
        </xdr:from>
        <xdr:to>
          <xdr:col>22</xdr:col>
          <xdr:colOff>184150</xdr:colOff>
          <xdr:row>39</xdr:row>
          <xdr:rowOff>184150</xdr:rowOff>
        </xdr:to>
        <xdr:sp macro="" textlink="">
          <xdr:nvSpPr>
            <xdr:cNvPr id="205832" name="Check Box 8" hidden="1">
              <a:extLst>
                <a:ext uri="{63B3BB69-23CF-44E3-9099-C40C66FF867C}">
                  <a14:compatExt spid="_x0000_s205832"/>
                </a:ext>
                <a:ext uri="{FF2B5EF4-FFF2-40B4-BE49-F238E27FC236}">
                  <a16:creationId xmlns:a16="http://schemas.microsoft.com/office/drawing/2014/main" id="{00000000-0008-0000-0B00-000008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0</xdr:rowOff>
        </xdr:from>
        <xdr:to>
          <xdr:col>22</xdr:col>
          <xdr:colOff>184150</xdr:colOff>
          <xdr:row>40</xdr:row>
          <xdr:rowOff>184150</xdr:rowOff>
        </xdr:to>
        <xdr:sp macro="" textlink="">
          <xdr:nvSpPr>
            <xdr:cNvPr id="205833" name="Check Box 9" hidden="1">
              <a:extLst>
                <a:ext uri="{63B3BB69-23CF-44E3-9099-C40C66FF867C}">
                  <a14:compatExt spid="_x0000_s205833"/>
                </a:ext>
                <a:ext uri="{FF2B5EF4-FFF2-40B4-BE49-F238E27FC236}">
                  <a16:creationId xmlns:a16="http://schemas.microsoft.com/office/drawing/2014/main" id="{00000000-0008-0000-0B00-000009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41</xdr:row>
          <xdr:rowOff>0</xdr:rowOff>
        </xdr:from>
        <xdr:to>
          <xdr:col>22</xdr:col>
          <xdr:colOff>184150</xdr:colOff>
          <xdr:row>41</xdr:row>
          <xdr:rowOff>184150</xdr:rowOff>
        </xdr:to>
        <xdr:sp macro="" textlink="">
          <xdr:nvSpPr>
            <xdr:cNvPr id="205834" name="Check Box 10" hidden="1">
              <a:extLst>
                <a:ext uri="{63B3BB69-23CF-44E3-9099-C40C66FF867C}">
                  <a14:compatExt spid="_x0000_s205834"/>
                </a:ext>
                <a:ext uri="{FF2B5EF4-FFF2-40B4-BE49-F238E27FC236}">
                  <a16:creationId xmlns:a16="http://schemas.microsoft.com/office/drawing/2014/main" id="{00000000-0008-0000-0B00-00000A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42</xdr:row>
          <xdr:rowOff>0</xdr:rowOff>
        </xdr:from>
        <xdr:to>
          <xdr:col>22</xdr:col>
          <xdr:colOff>184150</xdr:colOff>
          <xdr:row>42</xdr:row>
          <xdr:rowOff>184150</xdr:rowOff>
        </xdr:to>
        <xdr:sp macro="" textlink="">
          <xdr:nvSpPr>
            <xdr:cNvPr id="205835" name="Check Box 11" hidden="1">
              <a:extLst>
                <a:ext uri="{63B3BB69-23CF-44E3-9099-C40C66FF867C}">
                  <a14:compatExt spid="_x0000_s205835"/>
                </a:ext>
                <a:ext uri="{FF2B5EF4-FFF2-40B4-BE49-F238E27FC236}">
                  <a16:creationId xmlns:a16="http://schemas.microsoft.com/office/drawing/2014/main" id="{00000000-0008-0000-0B00-00000B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43</xdr:row>
          <xdr:rowOff>0</xdr:rowOff>
        </xdr:from>
        <xdr:to>
          <xdr:col>22</xdr:col>
          <xdr:colOff>184150</xdr:colOff>
          <xdr:row>43</xdr:row>
          <xdr:rowOff>184150</xdr:rowOff>
        </xdr:to>
        <xdr:sp macro="" textlink="">
          <xdr:nvSpPr>
            <xdr:cNvPr id="205836" name="Check Box 12" hidden="1">
              <a:extLst>
                <a:ext uri="{63B3BB69-23CF-44E3-9099-C40C66FF867C}">
                  <a14:compatExt spid="_x0000_s205836"/>
                </a:ext>
                <a:ext uri="{FF2B5EF4-FFF2-40B4-BE49-F238E27FC236}">
                  <a16:creationId xmlns:a16="http://schemas.microsoft.com/office/drawing/2014/main" id="{00000000-0008-0000-0B00-00000C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44</xdr:row>
          <xdr:rowOff>0</xdr:rowOff>
        </xdr:from>
        <xdr:to>
          <xdr:col>22</xdr:col>
          <xdr:colOff>184150</xdr:colOff>
          <xdr:row>44</xdr:row>
          <xdr:rowOff>184150</xdr:rowOff>
        </xdr:to>
        <xdr:sp macro="" textlink="">
          <xdr:nvSpPr>
            <xdr:cNvPr id="205837" name="Check Box 13" hidden="1">
              <a:extLst>
                <a:ext uri="{63B3BB69-23CF-44E3-9099-C40C66FF867C}">
                  <a14:compatExt spid="_x0000_s205837"/>
                </a:ext>
                <a:ext uri="{FF2B5EF4-FFF2-40B4-BE49-F238E27FC236}">
                  <a16:creationId xmlns:a16="http://schemas.microsoft.com/office/drawing/2014/main" id="{00000000-0008-0000-0B00-00000D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45</xdr:row>
          <xdr:rowOff>0</xdr:rowOff>
        </xdr:from>
        <xdr:to>
          <xdr:col>22</xdr:col>
          <xdr:colOff>184150</xdr:colOff>
          <xdr:row>45</xdr:row>
          <xdr:rowOff>184150</xdr:rowOff>
        </xdr:to>
        <xdr:sp macro="" textlink="">
          <xdr:nvSpPr>
            <xdr:cNvPr id="205838" name="Check Box 14" hidden="1">
              <a:extLst>
                <a:ext uri="{63B3BB69-23CF-44E3-9099-C40C66FF867C}">
                  <a14:compatExt spid="_x0000_s205838"/>
                </a:ext>
                <a:ext uri="{FF2B5EF4-FFF2-40B4-BE49-F238E27FC236}">
                  <a16:creationId xmlns:a16="http://schemas.microsoft.com/office/drawing/2014/main" id="{00000000-0008-0000-0B00-00000E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46</xdr:row>
          <xdr:rowOff>0</xdr:rowOff>
        </xdr:from>
        <xdr:to>
          <xdr:col>22</xdr:col>
          <xdr:colOff>184150</xdr:colOff>
          <xdr:row>46</xdr:row>
          <xdr:rowOff>184150</xdr:rowOff>
        </xdr:to>
        <xdr:sp macro="" textlink="">
          <xdr:nvSpPr>
            <xdr:cNvPr id="205839" name="Check Box 15" hidden="1">
              <a:extLst>
                <a:ext uri="{63B3BB69-23CF-44E3-9099-C40C66FF867C}">
                  <a14:compatExt spid="_x0000_s205839"/>
                </a:ext>
                <a:ext uri="{FF2B5EF4-FFF2-40B4-BE49-F238E27FC236}">
                  <a16:creationId xmlns:a16="http://schemas.microsoft.com/office/drawing/2014/main" id="{00000000-0008-0000-0B00-00000F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22</xdr:col>
          <xdr:colOff>184150</xdr:colOff>
          <xdr:row>47</xdr:row>
          <xdr:rowOff>184150</xdr:rowOff>
        </xdr:to>
        <xdr:sp macro="" textlink="">
          <xdr:nvSpPr>
            <xdr:cNvPr id="205840" name="Check Box 16" hidden="1">
              <a:extLst>
                <a:ext uri="{63B3BB69-23CF-44E3-9099-C40C66FF867C}">
                  <a14:compatExt spid="_x0000_s205840"/>
                </a:ext>
                <a:ext uri="{FF2B5EF4-FFF2-40B4-BE49-F238E27FC236}">
                  <a16:creationId xmlns:a16="http://schemas.microsoft.com/office/drawing/2014/main" id="{00000000-0008-0000-0B00-000010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0</xdr:rowOff>
        </xdr:from>
        <xdr:to>
          <xdr:col>22</xdr:col>
          <xdr:colOff>184150</xdr:colOff>
          <xdr:row>48</xdr:row>
          <xdr:rowOff>184150</xdr:rowOff>
        </xdr:to>
        <xdr:sp macro="" textlink="">
          <xdr:nvSpPr>
            <xdr:cNvPr id="205841" name="Check Box 17" hidden="1">
              <a:extLst>
                <a:ext uri="{63B3BB69-23CF-44E3-9099-C40C66FF867C}">
                  <a14:compatExt spid="_x0000_s205841"/>
                </a:ext>
                <a:ext uri="{FF2B5EF4-FFF2-40B4-BE49-F238E27FC236}">
                  <a16:creationId xmlns:a16="http://schemas.microsoft.com/office/drawing/2014/main" id="{00000000-0008-0000-0B00-000011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53</xdr:row>
          <xdr:rowOff>0</xdr:rowOff>
        </xdr:from>
        <xdr:to>
          <xdr:col>22</xdr:col>
          <xdr:colOff>184150</xdr:colOff>
          <xdr:row>53</xdr:row>
          <xdr:rowOff>184150</xdr:rowOff>
        </xdr:to>
        <xdr:sp macro="" textlink="">
          <xdr:nvSpPr>
            <xdr:cNvPr id="205842" name="Check Box 18" hidden="1">
              <a:extLst>
                <a:ext uri="{63B3BB69-23CF-44E3-9099-C40C66FF867C}">
                  <a14:compatExt spid="_x0000_s205842"/>
                </a:ext>
                <a:ext uri="{FF2B5EF4-FFF2-40B4-BE49-F238E27FC236}">
                  <a16:creationId xmlns:a16="http://schemas.microsoft.com/office/drawing/2014/main" id="{00000000-0008-0000-0B00-000012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54</xdr:row>
          <xdr:rowOff>0</xdr:rowOff>
        </xdr:from>
        <xdr:to>
          <xdr:col>22</xdr:col>
          <xdr:colOff>184150</xdr:colOff>
          <xdr:row>54</xdr:row>
          <xdr:rowOff>184150</xdr:rowOff>
        </xdr:to>
        <xdr:sp macro="" textlink="">
          <xdr:nvSpPr>
            <xdr:cNvPr id="205843" name="Check Box 19" hidden="1">
              <a:extLst>
                <a:ext uri="{63B3BB69-23CF-44E3-9099-C40C66FF867C}">
                  <a14:compatExt spid="_x0000_s205843"/>
                </a:ext>
                <a:ext uri="{FF2B5EF4-FFF2-40B4-BE49-F238E27FC236}">
                  <a16:creationId xmlns:a16="http://schemas.microsoft.com/office/drawing/2014/main" id="{00000000-0008-0000-0B00-0000132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8</xdr:col>
      <xdr:colOff>447675</xdr:colOff>
      <xdr:row>1</xdr:row>
      <xdr:rowOff>66675</xdr:rowOff>
    </xdr:from>
    <xdr:to>
      <xdr:col>12</xdr:col>
      <xdr:colOff>257175</xdr:colOff>
      <xdr:row>6</xdr:row>
      <xdr:rowOff>17942</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6275" y="257175"/>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22</xdr:col>
          <xdr:colOff>0</xdr:colOff>
          <xdr:row>17</xdr:row>
          <xdr:rowOff>0</xdr:rowOff>
        </xdr:from>
        <xdr:to>
          <xdr:col>22</xdr:col>
          <xdr:colOff>184150</xdr:colOff>
          <xdr:row>17</xdr:row>
          <xdr:rowOff>184150</xdr:rowOff>
        </xdr:to>
        <xdr:sp macro="" textlink="">
          <xdr:nvSpPr>
            <xdr:cNvPr id="218133" name="Check Box 21" hidden="1">
              <a:extLst>
                <a:ext uri="{63B3BB69-23CF-44E3-9099-C40C66FF867C}">
                  <a14:compatExt spid="_x0000_s218133"/>
                </a:ext>
                <a:ext uri="{FF2B5EF4-FFF2-40B4-BE49-F238E27FC236}">
                  <a16:creationId xmlns:a16="http://schemas.microsoft.com/office/drawing/2014/main" id="{00000000-0008-0000-0C00-000015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xdr:row>
          <xdr:rowOff>0</xdr:rowOff>
        </xdr:from>
        <xdr:to>
          <xdr:col>22</xdr:col>
          <xdr:colOff>184150</xdr:colOff>
          <xdr:row>18</xdr:row>
          <xdr:rowOff>184150</xdr:rowOff>
        </xdr:to>
        <xdr:sp macro="" textlink="">
          <xdr:nvSpPr>
            <xdr:cNvPr id="218134" name="Check Box 22" hidden="1">
              <a:extLst>
                <a:ext uri="{63B3BB69-23CF-44E3-9099-C40C66FF867C}">
                  <a14:compatExt spid="_x0000_s218134"/>
                </a:ext>
                <a:ext uri="{FF2B5EF4-FFF2-40B4-BE49-F238E27FC236}">
                  <a16:creationId xmlns:a16="http://schemas.microsoft.com/office/drawing/2014/main" id="{00000000-0008-0000-0C00-000016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19</xdr:row>
          <xdr:rowOff>0</xdr:rowOff>
        </xdr:from>
        <xdr:to>
          <xdr:col>22</xdr:col>
          <xdr:colOff>184150</xdr:colOff>
          <xdr:row>19</xdr:row>
          <xdr:rowOff>184150</xdr:rowOff>
        </xdr:to>
        <xdr:sp macro="" textlink="">
          <xdr:nvSpPr>
            <xdr:cNvPr id="218135" name="Check Box 23" hidden="1">
              <a:extLst>
                <a:ext uri="{63B3BB69-23CF-44E3-9099-C40C66FF867C}">
                  <a14:compatExt spid="_x0000_s218135"/>
                </a:ext>
                <a:ext uri="{FF2B5EF4-FFF2-40B4-BE49-F238E27FC236}">
                  <a16:creationId xmlns:a16="http://schemas.microsoft.com/office/drawing/2014/main" id="{00000000-0008-0000-0C00-000017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xdr:row>
          <xdr:rowOff>0</xdr:rowOff>
        </xdr:from>
        <xdr:to>
          <xdr:col>22</xdr:col>
          <xdr:colOff>184150</xdr:colOff>
          <xdr:row>21</xdr:row>
          <xdr:rowOff>184150</xdr:rowOff>
        </xdr:to>
        <xdr:sp macro="" textlink="">
          <xdr:nvSpPr>
            <xdr:cNvPr id="218136" name="Check Box 24" hidden="1">
              <a:extLst>
                <a:ext uri="{63B3BB69-23CF-44E3-9099-C40C66FF867C}">
                  <a14:compatExt spid="_x0000_s218136"/>
                </a:ext>
                <a:ext uri="{FF2B5EF4-FFF2-40B4-BE49-F238E27FC236}">
                  <a16:creationId xmlns:a16="http://schemas.microsoft.com/office/drawing/2014/main" id="{00000000-0008-0000-0C00-000018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22</xdr:row>
          <xdr:rowOff>0</xdr:rowOff>
        </xdr:from>
        <xdr:to>
          <xdr:col>22</xdr:col>
          <xdr:colOff>184150</xdr:colOff>
          <xdr:row>22</xdr:row>
          <xdr:rowOff>184150</xdr:rowOff>
        </xdr:to>
        <xdr:sp macro="" textlink="">
          <xdr:nvSpPr>
            <xdr:cNvPr id="218137" name="Check Box 25" hidden="1">
              <a:extLst>
                <a:ext uri="{63B3BB69-23CF-44E3-9099-C40C66FF867C}">
                  <a14:compatExt spid="_x0000_s218137"/>
                </a:ext>
                <a:ext uri="{FF2B5EF4-FFF2-40B4-BE49-F238E27FC236}">
                  <a16:creationId xmlns:a16="http://schemas.microsoft.com/office/drawing/2014/main" id="{00000000-0008-0000-0C00-000019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23</xdr:row>
          <xdr:rowOff>0</xdr:rowOff>
        </xdr:from>
        <xdr:to>
          <xdr:col>22</xdr:col>
          <xdr:colOff>184150</xdr:colOff>
          <xdr:row>23</xdr:row>
          <xdr:rowOff>184150</xdr:rowOff>
        </xdr:to>
        <xdr:sp macro="" textlink="">
          <xdr:nvSpPr>
            <xdr:cNvPr id="218138" name="Check Box 26" hidden="1">
              <a:extLst>
                <a:ext uri="{63B3BB69-23CF-44E3-9099-C40C66FF867C}">
                  <a14:compatExt spid="_x0000_s218138"/>
                </a:ext>
                <a:ext uri="{FF2B5EF4-FFF2-40B4-BE49-F238E27FC236}">
                  <a16:creationId xmlns:a16="http://schemas.microsoft.com/office/drawing/2014/main" id="{00000000-0008-0000-0C00-00001A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26</xdr:row>
          <xdr:rowOff>0</xdr:rowOff>
        </xdr:from>
        <xdr:to>
          <xdr:col>22</xdr:col>
          <xdr:colOff>184150</xdr:colOff>
          <xdr:row>26</xdr:row>
          <xdr:rowOff>184150</xdr:rowOff>
        </xdr:to>
        <xdr:sp macro="" textlink="">
          <xdr:nvSpPr>
            <xdr:cNvPr id="218139" name="Check Box 27" hidden="1">
              <a:extLst>
                <a:ext uri="{63B3BB69-23CF-44E3-9099-C40C66FF867C}">
                  <a14:compatExt spid="_x0000_s218139"/>
                </a:ext>
                <a:ext uri="{FF2B5EF4-FFF2-40B4-BE49-F238E27FC236}">
                  <a16:creationId xmlns:a16="http://schemas.microsoft.com/office/drawing/2014/main" id="{00000000-0008-0000-0C00-00001B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27</xdr:row>
          <xdr:rowOff>0</xdr:rowOff>
        </xdr:from>
        <xdr:to>
          <xdr:col>22</xdr:col>
          <xdr:colOff>184150</xdr:colOff>
          <xdr:row>27</xdr:row>
          <xdr:rowOff>184150</xdr:rowOff>
        </xdr:to>
        <xdr:sp macro="" textlink="">
          <xdr:nvSpPr>
            <xdr:cNvPr id="218140" name="Check Box 28" hidden="1">
              <a:extLst>
                <a:ext uri="{63B3BB69-23CF-44E3-9099-C40C66FF867C}">
                  <a14:compatExt spid="_x0000_s218140"/>
                </a:ext>
                <a:ext uri="{FF2B5EF4-FFF2-40B4-BE49-F238E27FC236}">
                  <a16:creationId xmlns:a16="http://schemas.microsoft.com/office/drawing/2014/main" id="{00000000-0008-0000-0C00-00001C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33</xdr:row>
          <xdr:rowOff>0</xdr:rowOff>
        </xdr:from>
        <xdr:to>
          <xdr:col>22</xdr:col>
          <xdr:colOff>184150</xdr:colOff>
          <xdr:row>33</xdr:row>
          <xdr:rowOff>184150</xdr:rowOff>
        </xdr:to>
        <xdr:sp macro="" textlink="">
          <xdr:nvSpPr>
            <xdr:cNvPr id="218143" name="Check Box 31" hidden="1">
              <a:extLst>
                <a:ext uri="{63B3BB69-23CF-44E3-9099-C40C66FF867C}">
                  <a14:compatExt spid="_x0000_s218143"/>
                </a:ext>
                <a:ext uri="{FF2B5EF4-FFF2-40B4-BE49-F238E27FC236}">
                  <a16:creationId xmlns:a16="http://schemas.microsoft.com/office/drawing/2014/main" id="{00000000-0008-0000-0C00-00001F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0</xdr:rowOff>
        </xdr:from>
        <xdr:to>
          <xdr:col>22</xdr:col>
          <xdr:colOff>184150</xdr:colOff>
          <xdr:row>40</xdr:row>
          <xdr:rowOff>184150</xdr:rowOff>
        </xdr:to>
        <xdr:sp macro="" textlink="">
          <xdr:nvSpPr>
            <xdr:cNvPr id="218145" name="Check Box 33" hidden="1">
              <a:extLst>
                <a:ext uri="{63B3BB69-23CF-44E3-9099-C40C66FF867C}">
                  <a14:compatExt spid="_x0000_s218145"/>
                </a:ext>
                <a:ext uri="{FF2B5EF4-FFF2-40B4-BE49-F238E27FC236}">
                  <a16:creationId xmlns:a16="http://schemas.microsoft.com/office/drawing/2014/main" id="{00000000-0008-0000-0C00-000021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22</xdr:col>
          <xdr:colOff>184150</xdr:colOff>
          <xdr:row>47</xdr:row>
          <xdr:rowOff>184150</xdr:rowOff>
        </xdr:to>
        <xdr:sp macro="" textlink="">
          <xdr:nvSpPr>
            <xdr:cNvPr id="218147" name="Check Box 35" hidden="1">
              <a:extLst>
                <a:ext uri="{63B3BB69-23CF-44E3-9099-C40C66FF867C}">
                  <a14:compatExt spid="_x0000_s218147"/>
                </a:ext>
                <a:ext uri="{FF2B5EF4-FFF2-40B4-BE49-F238E27FC236}">
                  <a16:creationId xmlns:a16="http://schemas.microsoft.com/office/drawing/2014/main" id="{00000000-0008-0000-0C00-000023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54</xdr:row>
          <xdr:rowOff>0</xdr:rowOff>
        </xdr:from>
        <xdr:to>
          <xdr:col>22</xdr:col>
          <xdr:colOff>184150</xdr:colOff>
          <xdr:row>54</xdr:row>
          <xdr:rowOff>184150</xdr:rowOff>
        </xdr:to>
        <xdr:sp macro="" textlink="">
          <xdr:nvSpPr>
            <xdr:cNvPr id="218149" name="Check Box 37" hidden="1">
              <a:extLst>
                <a:ext uri="{63B3BB69-23CF-44E3-9099-C40C66FF867C}">
                  <a14:compatExt spid="_x0000_s218149"/>
                </a:ext>
                <a:ext uri="{FF2B5EF4-FFF2-40B4-BE49-F238E27FC236}">
                  <a16:creationId xmlns:a16="http://schemas.microsoft.com/office/drawing/2014/main" id="{00000000-0008-0000-0C00-000025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109</xdr:row>
          <xdr:rowOff>0</xdr:rowOff>
        </xdr:from>
        <xdr:to>
          <xdr:col>22</xdr:col>
          <xdr:colOff>184150</xdr:colOff>
          <xdr:row>109</xdr:row>
          <xdr:rowOff>184150</xdr:rowOff>
        </xdr:to>
        <xdr:sp macro="" textlink="">
          <xdr:nvSpPr>
            <xdr:cNvPr id="218151" name="Check Box 39" hidden="1">
              <a:extLst>
                <a:ext uri="{63B3BB69-23CF-44E3-9099-C40C66FF867C}">
                  <a14:compatExt spid="_x0000_s218151"/>
                </a:ext>
                <a:ext uri="{FF2B5EF4-FFF2-40B4-BE49-F238E27FC236}">
                  <a16:creationId xmlns:a16="http://schemas.microsoft.com/office/drawing/2014/main" id="{00000000-0008-0000-0C00-000027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114</xdr:row>
          <xdr:rowOff>0</xdr:rowOff>
        </xdr:from>
        <xdr:to>
          <xdr:col>22</xdr:col>
          <xdr:colOff>184150</xdr:colOff>
          <xdr:row>114</xdr:row>
          <xdr:rowOff>184150</xdr:rowOff>
        </xdr:to>
        <xdr:sp macro="" textlink="">
          <xdr:nvSpPr>
            <xdr:cNvPr id="218152" name="Check Box 40" hidden="1">
              <a:extLst>
                <a:ext uri="{63B3BB69-23CF-44E3-9099-C40C66FF867C}">
                  <a14:compatExt spid="_x0000_s218152"/>
                </a:ext>
                <a:ext uri="{FF2B5EF4-FFF2-40B4-BE49-F238E27FC236}">
                  <a16:creationId xmlns:a16="http://schemas.microsoft.com/office/drawing/2014/main" id="{00000000-0008-0000-0C00-000028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0</xdr:rowOff>
        </xdr:from>
        <xdr:to>
          <xdr:col>22</xdr:col>
          <xdr:colOff>184150</xdr:colOff>
          <xdr:row>131</xdr:row>
          <xdr:rowOff>184150</xdr:rowOff>
        </xdr:to>
        <xdr:sp macro="" textlink="">
          <xdr:nvSpPr>
            <xdr:cNvPr id="218154" name="Check Box 42" hidden="1">
              <a:extLst>
                <a:ext uri="{63B3BB69-23CF-44E3-9099-C40C66FF867C}">
                  <a14:compatExt spid="_x0000_s218154"/>
                </a:ext>
                <a:ext uri="{FF2B5EF4-FFF2-40B4-BE49-F238E27FC236}">
                  <a16:creationId xmlns:a16="http://schemas.microsoft.com/office/drawing/2014/main" id="{00000000-0008-0000-0C00-00002A5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4</xdr:row>
      <xdr:rowOff>141767</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8</xdr:col>
          <xdr:colOff>184150</xdr:colOff>
          <xdr:row>9</xdr:row>
          <xdr:rowOff>184150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100-00002C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8</xdr:col>
          <xdr:colOff>184150</xdr:colOff>
          <xdr:row>10</xdr:row>
          <xdr:rowOff>184150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100-00002D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8</xdr:col>
          <xdr:colOff>184150</xdr:colOff>
          <xdr:row>11</xdr:row>
          <xdr:rowOff>184150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100-00002E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8</xdr:col>
          <xdr:colOff>184150</xdr:colOff>
          <xdr:row>12</xdr:row>
          <xdr:rowOff>184150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100-00002F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8</xdr:col>
          <xdr:colOff>184150</xdr:colOff>
          <xdr:row>13</xdr:row>
          <xdr:rowOff>184150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100-000030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8</xdr:col>
          <xdr:colOff>184150</xdr:colOff>
          <xdr:row>14</xdr:row>
          <xdr:rowOff>184150</xdr:rowOff>
        </xdr:to>
        <xdr:sp macro="" textlink="">
          <xdr:nvSpPr>
            <xdr:cNvPr id="27697" name="Check Box 49" hidden="1">
              <a:extLst>
                <a:ext uri="{63B3BB69-23CF-44E3-9099-C40C66FF867C}">
                  <a14:compatExt spid="_x0000_s27697"/>
                </a:ext>
                <a:ext uri="{FF2B5EF4-FFF2-40B4-BE49-F238E27FC236}">
                  <a16:creationId xmlns:a16="http://schemas.microsoft.com/office/drawing/2014/main" id="{00000000-0008-0000-1100-000031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8</xdr:col>
          <xdr:colOff>184150</xdr:colOff>
          <xdr:row>15</xdr:row>
          <xdr:rowOff>184150</xdr:rowOff>
        </xdr:to>
        <xdr:sp macro="" textlink="">
          <xdr:nvSpPr>
            <xdr:cNvPr id="27698" name="Check Box 50" hidden="1">
              <a:extLst>
                <a:ext uri="{63B3BB69-23CF-44E3-9099-C40C66FF867C}">
                  <a14:compatExt spid="_x0000_s27698"/>
                </a:ext>
                <a:ext uri="{FF2B5EF4-FFF2-40B4-BE49-F238E27FC236}">
                  <a16:creationId xmlns:a16="http://schemas.microsoft.com/office/drawing/2014/main" id="{00000000-0008-0000-1100-000032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8</xdr:col>
          <xdr:colOff>184150</xdr:colOff>
          <xdr:row>17</xdr:row>
          <xdr:rowOff>184150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100-000033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0</xdr:rowOff>
        </xdr:from>
        <xdr:to>
          <xdr:col>8</xdr:col>
          <xdr:colOff>184150</xdr:colOff>
          <xdr:row>18</xdr:row>
          <xdr:rowOff>184150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100-000034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8</xdr:col>
          <xdr:colOff>184150</xdr:colOff>
          <xdr:row>22</xdr:row>
          <xdr:rowOff>184150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100-000035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0</xdr:rowOff>
        </xdr:from>
        <xdr:to>
          <xdr:col>8</xdr:col>
          <xdr:colOff>184150</xdr:colOff>
          <xdr:row>24</xdr:row>
          <xdr:rowOff>184150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100-000036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8</xdr:col>
          <xdr:colOff>184150</xdr:colOff>
          <xdr:row>25</xdr:row>
          <xdr:rowOff>184150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100-000037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8</xdr:col>
          <xdr:colOff>184150</xdr:colOff>
          <xdr:row>29</xdr:row>
          <xdr:rowOff>184150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100-000038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31</xdr:row>
          <xdr:rowOff>0</xdr:rowOff>
        </xdr:from>
        <xdr:to>
          <xdr:col>8</xdr:col>
          <xdr:colOff>184150</xdr:colOff>
          <xdr:row>31</xdr:row>
          <xdr:rowOff>184150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100-00003A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8</xdr:col>
          <xdr:colOff>184150</xdr:colOff>
          <xdr:row>33</xdr:row>
          <xdr:rowOff>184150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100-00003B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8</xdr:col>
          <xdr:colOff>184150</xdr:colOff>
          <xdr:row>34</xdr:row>
          <xdr:rowOff>184150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100-00003C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8</xdr:col>
          <xdr:colOff>184150</xdr:colOff>
          <xdr:row>35</xdr:row>
          <xdr:rowOff>184150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100-00003D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8</xdr:col>
          <xdr:colOff>184150</xdr:colOff>
          <xdr:row>36</xdr:row>
          <xdr:rowOff>184150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100-00003E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8</xdr:col>
          <xdr:colOff>184150</xdr:colOff>
          <xdr:row>47</xdr:row>
          <xdr:rowOff>184150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100-00003F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8</xdr:col>
          <xdr:colOff>184150</xdr:colOff>
          <xdr:row>48</xdr:row>
          <xdr:rowOff>184150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100-000040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8</xdr:col>
          <xdr:colOff>184150</xdr:colOff>
          <xdr:row>49</xdr:row>
          <xdr:rowOff>184150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100-000041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8</xdr:col>
          <xdr:colOff>184150</xdr:colOff>
          <xdr:row>50</xdr:row>
          <xdr:rowOff>184150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100-000042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8</xdr:col>
          <xdr:colOff>184150</xdr:colOff>
          <xdr:row>51</xdr:row>
          <xdr:rowOff>184150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100-000043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8</xdr:col>
          <xdr:colOff>184150</xdr:colOff>
          <xdr:row>54</xdr:row>
          <xdr:rowOff>184150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100-000044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8</xdr:col>
          <xdr:colOff>184150</xdr:colOff>
          <xdr:row>55</xdr:row>
          <xdr:rowOff>184150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100-000045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56</xdr:row>
          <xdr:rowOff>0</xdr:rowOff>
        </xdr:from>
        <xdr:to>
          <xdr:col>8</xdr:col>
          <xdr:colOff>184150</xdr:colOff>
          <xdr:row>56</xdr:row>
          <xdr:rowOff>184150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100-000047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57</xdr:row>
          <xdr:rowOff>0</xdr:rowOff>
        </xdr:from>
        <xdr:to>
          <xdr:col>8</xdr:col>
          <xdr:colOff>184150</xdr:colOff>
          <xdr:row>57</xdr:row>
          <xdr:rowOff>184150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100-000048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8</xdr:col>
          <xdr:colOff>184150</xdr:colOff>
          <xdr:row>59</xdr:row>
          <xdr:rowOff>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100-000049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60</xdr:row>
          <xdr:rowOff>0</xdr:rowOff>
        </xdr:from>
        <xdr:to>
          <xdr:col>8</xdr:col>
          <xdr:colOff>184150</xdr:colOff>
          <xdr:row>60</xdr:row>
          <xdr:rowOff>184150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100-00004A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8</xdr:col>
          <xdr:colOff>184150</xdr:colOff>
          <xdr:row>61</xdr:row>
          <xdr:rowOff>184150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100-00004B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8</xdr:col>
          <xdr:colOff>184150</xdr:colOff>
          <xdr:row>26</xdr:row>
          <xdr:rowOff>184150</xdr:rowOff>
        </xdr:to>
        <xdr:sp macro="" textlink="">
          <xdr:nvSpPr>
            <xdr:cNvPr id="27725" name="Check Box 77" hidden="1">
              <a:extLst>
                <a:ext uri="{63B3BB69-23CF-44E3-9099-C40C66FF867C}">
                  <a14:compatExt spid="_x0000_s27725"/>
                </a:ext>
                <a:ext uri="{FF2B5EF4-FFF2-40B4-BE49-F238E27FC236}">
                  <a16:creationId xmlns:a16="http://schemas.microsoft.com/office/drawing/2014/main" id="{00000000-0008-0000-1100-00004D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8</xdr:col>
          <xdr:colOff>184150</xdr:colOff>
          <xdr:row>37</xdr:row>
          <xdr:rowOff>184150</xdr:rowOff>
        </xdr:to>
        <xdr:sp macro="" textlink="">
          <xdr:nvSpPr>
            <xdr:cNvPr id="27727" name="Check Box 79" hidden="1">
              <a:extLst>
                <a:ext uri="{63B3BB69-23CF-44E3-9099-C40C66FF867C}">
                  <a14:compatExt spid="_x0000_s27727"/>
                </a:ext>
                <a:ext uri="{FF2B5EF4-FFF2-40B4-BE49-F238E27FC236}">
                  <a16:creationId xmlns:a16="http://schemas.microsoft.com/office/drawing/2014/main" id="{00000000-0008-0000-1100-00004F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8</xdr:col>
          <xdr:colOff>184150</xdr:colOff>
          <xdr:row>38</xdr:row>
          <xdr:rowOff>184150</xdr:rowOff>
        </xdr:to>
        <xdr:sp macro="" textlink="">
          <xdr:nvSpPr>
            <xdr:cNvPr id="27728" name="Check Box 80" hidden="1">
              <a:extLst>
                <a:ext uri="{63B3BB69-23CF-44E3-9099-C40C66FF867C}">
                  <a14:compatExt spid="_x0000_s27728"/>
                </a:ext>
                <a:ext uri="{FF2B5EF4-FFF2-40B4-BE49-F238E27FC236}">
                  <a16:creationId xmlns:a16="http://schemas.microsoft.com/office/drawing/2014/main" id="{00000000-0008-0000-1100-000050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8</xdr:col>
          <xdr:colOff>184150</xdr:colOff>
          <xdr:row>39</xdr:row>
          <xdr:rowOff>184150</xdr:rowOff>
        </xdr:to>
        <xdr:sp macro="" textlink="">
          <xdr:nvSpPr>
            <xdr:cNvPr id="27729" name="Check Box 81" hidden="1">
              <a:extLst>
                <a:ext uri="{63B3BB69-23CF-44E3-9099-C40C66FF867C}">
                  <a14:compatExt spid="_x0000_s27729"/>
                </a:ext>
                <a:ext uri="{FF2B5EF4-FFF2-40B4-BE49-F238E27FC236}">
                  <a16:creationId xmlns:a16="http://schemas.microsoft.com/office/drawing/2014/main" id="{00000000-0008-0000-1100-000051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8</xdr:col>
          <xdr:colOff>184150</xdr:colOff>
          <xdr:row>40</xdr:row>
          <xdr:rowOff>184150</xdr:rowOff>
        </xdr:to>
        <xdr:sp macro="" textlink="">
          <xdr:nvSpPr>
            <xdr:cNvPr id="27730" name="Check Box 82" hidden="1">
              <a:extLst>
                <a:ext uri="{63B3BB69-23CF-44E3-9099-C40C66FF867C}">
                  <a14:compatExt spid="_x0000_s27730"/>
                </a:ext>
                <a:ext uri="{FF2B5EF4-FFF2-40B4-BE49-F238E27FC236}">
                  <a16:creationId xmlns:a16="http://schemas.microsoft.com/office/drawing/2014/main" id="{00000000-0008-0000-1100-000052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8</xdr:col>
          <xdr:colOff>184150</xdr:colOff>
          <xdr:row>41</xdr:row>
          <xdr:rowOff>184150</xdr:rowOff>
        </xdr:to>
        <xdr:sp macro="" textlink="">
          <xdr:nvSpPr>
            <xdr:cNvPr id="27731" name="Check Box 83" hidden="1">
              <a:extLst>
                <a:ext uri="{63B3BB69-23CF-44E3-9099-C40C66FF867C}">
                  <a14:compatExt spid="_x0000_s27731"/>
                </a:ext>
                <a:ext uri="{FF2B5EF4-FFF2-40B4-BE49-F238E27FC236}">
                  <a16:creationId xmlns:a16="http://schemas.microsoft.com/office/drawing/2014/main" id="{00000000-0008-0000-1100-000053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8</xdr:col>
          <xdr:colOff>184150</xdr:colOff>
          <xdr:row>43</xdr:row>
          <xdr:rowOff>184150</xdr:rowOff>
        </xdr:to>
        <xdr:sp macro="" textlink="">
          <xdr:nvSpPr>
            <xdr:cNvPr id="27733" name="Check Box 85" hidden="1">
              <a:extLst>
                <a:ext uri="{63B3BB69-23CF-44E3-9099-C40C66FF867C}">
                  <a14:compatExt spid="_x0000_s27733"/>
                </a:ext>
                <a:ext uri="{FF2B5EF4-FFF2-40B4-BE49-F238E27FC236}">
                  <a16:creationId xmlns:a16="http://schemas.microsoft.com/office/drawing/2014/main" id="{00000000-0008-0000-1100-000055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8</xdr:col>
          <xdr:colOff>184150</xdr:colOff>
          <xdr:row>44</xdr:row>
          <xdr:rowOff>184150</xdr:rowOff>
        </xdr:to>
        <xdr:sp macro="" textlink="">
          <xdr:nvSpPr>
            <xdr:cNvPr id="27734" name="Check Box 86" hidden="1">
              <a:extLst>
                <a:ext uri="{63B3BB69-23CF-44E3-9099-C40C66FF867C}">
                  <a14:compatExt spid="_x0000_s27734"/>
                </a:ext>
                <a:ext uri="{FF2B5EF4-FFF2-40B4-BE49-F238E27FC236}">
                  <a16:creationId xmlns:a16="http://schemas.microsoft.com/office/drawing/2014/main" id="{00000000-0008-0000-1100-000056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45</xdr:row>
          <xdr:rowOff>0</xdr:rowOff>
        </xdr:from>
        <xdr:to>
          <xdr:col>8</xdr:col>
          <xdr:colOff>184150</xdr:colOff>
          <xdr:row>45</xdr:row>
          <xdr:rowOff>184150</xdr:rowOff>
        </xdr:to>
        <xdr:sp macro="" textlink="">
          <xdr:nvSpPr>
            <xdr:cNvPr id="27735" name="Check Box 87" hidden="1">
              <a:extLst>
                <a:ext uri="{63B3BB69-23CF-44E3-9099-C40C66FF867C}">
                  <a14:compatExt spid="_x0000_s27735"/>
                </a:ext>
                <a:ext uri="{FF2B5EF4-FFF2-40B4-BE49-F238E27FC236}">
                  <a16:creationId xmlns:a16="http://schemas.microsoft.com/office/drawing/2014/main" id="{00000000-0008-0000-1100-000057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8</xdr:col>
          <xdr:colOff>184150</xdr:colOff>
          <xdr:row>46</xdr:row>
          <xdr:rowOff>184150</xdr:rowOff>
        </xdr:to>
        <xdr:sp macro="" textlink="">
          <xdr:nvSpPr>
            <xdr:cNvPr id="27736" name="Check Box 88" hidden="1">
              <a:extLst>
                <a:ext uri="{63B3BB69-23CF-44E3-9099-C40C66FF867C}">
                  <a14:compatExt spid="_x0000_s27736"/>
                </a:ext>
                <a:ext uri="{FF2B5EF4-FFF2-40B4-BE49-F238E27FC236}">
                  <a16:creationId xmlns:a16="http://schemas.microsoft.com/office/drawing/2014/main" id="{00000000-0008-0000-1100-000058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8</xdr:col>
          <xdr:colOff>184150</xdr:colOff>
          <xdr:row>19</xdr:row>
          <xdr:rowOff>184150</xdr:rowOff>
        </xdr:to>
        <xdr:sp macro="" textlink="">
          <xdr:nvSpPr>
            <xdr:cNvPr id="27738" name="Check Box 90" hidden="1">
              <a:extLst>
                <a:ext uri="{63B3BB69-23CF-44E3-9099-C40C66FF867C}">
                  <a14:compatExt spid="_x0000_s27738"/>
                </a:ext>
                <a:ext uri="{FF2B5EF4-FFF2-40B4-BE49-F238E27FC236}">
                  <a16:creationId xmlns:a16="http://schemas.microsoft.com/office/drawing/2014/main" id="{00000000-0008-0000-1100-00005A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8</xdr:col>
          <xdr:colOff>184150</xdr:colOff>
          <xdr:row>27</xdr:row>
          <xdr:rowOff>184150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100-00005C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12</xdr:col>
      <xdr:colOff>38100</xdr:colOff>
      <xdr:row>0</xdr:row>
      <xdr:rowOff>0</xdr:rowOff>
    </xdr:from>
    <xdr:to>
      <xdr:col>14</xdr:col>
      <xdr:colOff>444500</xdr:colOff>
      <xdr:row>4</xdr:row>
      <xdr:rowOff>144942</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5"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13</xdr:row>
          <xdr:rowOff>0</xdr:rowOff>
        </xdr:from>
        <xdr:to>
          <xdr:col>22</xdr:col>
          <xdr:colOff>184150</xdr:colOff>
          <xdr:row>13</xdr:row>
          <xdr:rowOff>184150</xdr:rowOff>
        </xdr:to>
        <xdr:sp macro="" textlink="">
          <xdr:nvSpPr>
            <xdr:cNvPr id="15560" name="Check Box 200" hidden="1">
              <a:extLst>
                <a:ext uri="{63B3BB69-23CF-44E3-9099-C40C66FF867C}">
                  <a14:compatExt spid="_x0000_s15560"/>
                </a:ext>
                <a:ext uri="{FF2B5EF4-FFF2-40B4-BE49-F238E27FC236}">
                  <a16:creationId xmlns:a16="http://schemas.microsoft.com/office/drawing/2014/main" id="{00000000-0008-0000-1300-0000C8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xdr:row>
          <xdr:rowOff>0</xdr:rowOff>
        </xdr:from>
        <xdr:to>
          <xdr:col>22</xdr:col>
          <xdr:colOff>184150</xdr:colOff>
          <xdr:row>15</xdr:row>
          <xdr:rowOff>184150</xdr:rowOff>
        </xdr:to>
        <xdr:sp macro="" textlink="">
          <xdr:nvSpPr>
            <xdr:cNvPr id="15561" name="Check Box 201" hidden="1">
              <a:extLst>
                <a:ext uri="{63B3BB69-23CF-44E3-9099-C40C66FF867C}">
                  <a14:compatExt spid="_x0000_s15561"/>
                </a:ext>
                <a:ext uri="{FF2B5EF4-FFF2-40B4-BE49-F238E27FC236}">
                  <a16:creationId xmlns:a16="http://schemas.microsoft.com/office/drawing/2014/main" id="{00000000-0008-0000-1300-0000C9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xdr:row>
          <xdr:rowOff>0</xdr:rowOff>
        </xdr:from>
        <xdr:to>
          <xdr:col>22</xdr:col>
          <xdr:colOff>184150</xdr:colOff>
          <xdr:row>16</xdr:row>
          <xdr:rowOff>184150</xdr:rowOff>
        </xdr:to>
        <xdr:sp macro="" textlink="">
          <xdr:nvSpPr>
            <xdr:cNvPr id="15562" name="Check Box 202" hidden="1">
              <a:extLst>
                <a:ext uri="{63B3BB69-23CF-44E3-9099-C40C66FF867C}">
                  <a14:compatExt spid="_x0000_s15562"/>
                </a:ext>
                <a:ext uri="{FF2B5EF4-FFF2-40B4-BE49-F238E27FC236}">
                  <a16:creationId xmlns:a16="http://schemas.microsoft.com/office/drawing/2014/main" id="{00000000-0008-0000-1300-0000CA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xdr:row>
          <xdr:rowOff>0</xdr:rowOff>
        </xdr:from>
        <xdr:to>
          <xdr:col>22</xdr:col>
          <xdr:colOff>184150</xdr:colOff>
          <xdr:row>17</xdr:row>
          <xdr:rowOff>184150</xdr:rowOff>
        </xdr:to>
        <xdr:sp macro="" textlink="">
          <xdr:nvSpPr>
            <xdr:cNvPr id="15563" name="Check Box 203" hidden="1">
              <a:extLst>
                <a:ext uri="{63B3BB69-23CF-44E3-9099-C40C66FF867C}">
                  <a14:compatExt spid="_x0000_s15563"/>
                </a:ext>
                <a:ext uri="{FF2B5EF4-FFF2-40B4-BE49-F238E27FC236}">
                  <a16:creationId xmlns:a16="http://schemas.microsoft.com/office/drawing/2014/main" id="{00000000-0008-0000-1300-0000CB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xdr:row>
          <xdr:rowOff>0</xdr:rowOff>
        </xdr:from>
        <xdr:to>
          <xdr:col>22</xdr:col>
          <xdr:colOff>184150</xdr:colOff>
          <xdr:row>20</xdr:row>
          <xdr:rowOff>184150</xdr:rowOff>
        </xdr:to>
        <xdr:sp macro="" textlink="">
          <xdr:nvSpPr>
            <xdr:cNvPr id="15564" name="Check Box 204" hidden="1">
              <a:extLst>
                <a:ext uri="{63B3BB69-23CF-44E3-9099-C40C66FF867C}">
                  <a14:compatExt spid="_x0000_s15564"/>
                </a:ext>
                <a:ext uri="{FF2B5EF4-FFF2-40B4-BE49-F238E27FC236}">
                  <a16:creationId xmlns:a16="http://schemas.microsoft.com/office/drawing/2014/main" id="{00000000-0008-0000-1300-0000CC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xdr:row>
          <xdr:rowOff>0</xdr:rowOff>
        </xdr:from>
        <xdr:to>
          <xdr:col>22</xdr:col>
          <xdr:colOff>184150</xdr:colOff>
          <xdr:row>22</xdr:row>
          <xdr:rowOff>184150</xdr:rowOff>
        </xdr:to>
        <xdr:sp macro="" textlink="">
          <xdr:nvSpPr>
            <xdr:cNvPr id="15565" name="Check Box 205" hidden="1">
              <a:extLst>
                <a:ext uri="{63B3BB69-23CF-44E3-9099-C40C66FF867C}">
                  <a14:compatExt spid="_x0000_s15565"/>
                </a:ext>
                <a:ext uri="{FF2B5EF4-FFF2-40B4-BE49-F238E27FC236}">
                  <a16:creationId xmlns:a16="http://schemas.microsoft.com/office/drawing/2014/main" id="{00000000-0008-0000-1300-0000CD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xdr:row>
          <xdr:rowOff>0</xdr:rowOff>
        </xdr:from>
        <xdr:to>
          <xdr:col>22</xdr:col>
          <xdr:colOff>184150</xdr:colOff>
          <xdr:row>24</xdr:row>
          <xdr:rowOff>184150</xdr:rowOff>
        </xdr:to>
        <xdr:sp macro="" textlink="">
          <xdr:nvSpPr>
            <xdr:cNvPr id="15566" name="Check Box 206" hidden="1">
              <a:extLst>
                <a:ext uri="{63B3BB69-23CF-44E3-9099-C40C66FF867C}">
                  <a14:compatExt spid="_x0000_s15566"/>
                </a:ext>
                <a:ext uri="{FF2B5EF4-FFF2-40B4-BE49-F238E27FC236}">
                  <a16:creationId xmlns:a16="http://schemas.microsoft.com/office/drawing/2014/main" id="{00000000-0008-0000-1300-0000CE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xdr:row>
          <xdr:rowOff>0</xdr:rowOff>
        </xdr:from>
        <xdr:to>
          <xdr:col>22</xdr:col>
          <xdr:colOff>184150</xdr:colOff>
          <xdr:row>26</xdr:row>
          <xdr:rowOff>184150</xdr:rowOff>
        </xdr:to>
        <xdr:sp macro="" textlink="">
          <xdr:nvSpPr>
            <xdr:cNvPr id="15567" name="Check Box 207" hidden="1">
              <a:extLst>
                <a:ext uri="{63B3BB69-23CF-44E3-9099-C40C66FF867C}">
                  <a14:compatExt spid="_x0000_s15567"/>
                </a:ext>
                <a:ext uri="{FF2B5EF4-FFF2-40B4-BE49-F238E27FC236}">
                  <a16:creationId xmlns:a16="http://schemas.microsoft.com/office/drawing/2014/main" id="{00000000-0008-0000-1300-0000CF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xdr:row>
          <xdr:rowOff>0</xdr:rowOff>
        </xdr:from>
        <xdr:to>
          <xdr:col>22</xdr:col>
          <xdr:colOff>184150</xdr:colOff>
          <xdr:row>41</xdr:row>
          <xdr:rowOff>184150</xdr:rowOff>
        </xdr:to>
        <xdr:sp macro="" textlink="">
          <xdr:nvSpPr>
            <xdr:cNvPr id="15568" name="Check Box 208" hidden="1">
              <a:extLst>
                <a:ext uri="{63B3BB69-23CF-44E3-9099-C40C66FF867C}">
                  <a14:compatExt spid="_x0000_s15568"/>
                </a:ext>
                <a:ext uri="{FF2B5EF4-FFF2-40B4-BE49-F238E27FC236}">
                  <a16:creationId xmlns:a16="http://schemas.microsoft.com/office/drawing/2014/main" id="{00000000-0008-0000-1300-0000D0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57</xdr:row>
          <xdr:rowOff>0</xdr:rowOff>
        </xdr:from>
        <xdr:to>
          <xdr:col>22</xdr:col>
          <xdr:colOff>184150</xdr:colOff>
          <xdr:row>57</xdr:row>
          <xdr:rowOff>184150</xdr:rowOff>
        </xdr:to>
        <xdr:sp macro="" textlink="">
          <xdr:nvSpPr>
            <xdr:cNvPr id="15569" name="Check Box 209" hidden="1">
              <a:extLst>
                <a:ext uri="{63B3BB69-23CF-44E3-9099-C40C66FF867C}">
                  <a14:compatExt spid="_x0000_s15569"/>
                </a:ext>
                <a:ext uri="{FF2B5EF4-FFF2-40B4-BE49-F238E27FC236}">
                  <a16:creationId xmlns:a16="http://schemas.microsoft.com/office/drawing/2014/main" id="{00000000-0008-0000-1300-0000D1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68</xdr:row>
          <xdr:rowOff>0</xdr:rowOff>
        </xdr:from>
        <xdr:to>
          <xdr:col>22</xdr:col>
          <xdr:colOff>184150</xdr:colOff>
          <xdr:row>68</xdr:row>
          <xdr:rowOff>184150</xdr:rowOff>
        </xdr:to>
        <xdr:sp macro="" textlink="">
          <xdr:nvSpPr>
            <xdr:cNvPr id="15570" name="Check Box 210" hidden="1">
              <a:extLst>
                <a:ext uri="{63B3BB69-23CF-44E3-9099-C40C66FF867C}">
                  <a14:compatExt spid="_x0000_s15570"/>
                </a:ext>
                <a:ext uri="{FF2B5EF4-FFF2-40B4-BE49-F238E27FC236}">
                  <a16:creationId xmlns:a16="http://schemas.microsoft.com/office/drawing/2014/main" id="{00000000-0008-0000-1300-0000D2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70</xdr:row>
          <xdr:rowOff>0</xdr:rowOff>
        </xdr:from>
        <xdr:to>
          <xdr:col>22</xdr:col>
          <xdr:colOff>184150</xdr:colOff>
          <xdr:row>70</xdr:row>
          <xdr:rowOff>184150</xdr:rowOff>
        </xdr:to>
        <xdr:sp macro="" textlink="">
          <xdr:nvSpPr>
            <xdr:cNvPr id="15571" name="Check Box 211" hidden="1">
              <a:extLst>
                <a:ext uri="{63B3BB69-23CF-44E3-9099-C40C66FF867C}">
                  <a14:compatExt spid="_x0000_s15571"/>
                </a:ext>
                <a:ext uri="{FF2B5EF4-FFF2-40B4-BE49-F238E27FC236}">
                  <a16:creationId xmlns:a16="http://schemas.microsoft.com/office/drawing/2014/main" id="{00000000-0008-0000-1300-0000D3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xdr:row>
          <xdr:rowOff>0</xdr:rowOff>
        </xdr:from>
        <xdr:to>
          <xdr:col>22</xdr:col>
          <xdr:colOff>184150</xdr:colOff>
          <xdr:row>72</xdr:row>
          <xdr:rowOff>184150</xdr:rowOff>
        </xdr:to>
        <xdr:sp macro="" textlink="">
          <xdr:nvSpPr>
            <xdr:cNvPr id="15572" name="Check Box 212" hidden="1">
              <a:extLst>
                <a:ext uri="{63B3BB69-23CF-44E3-9099-C40C66FF867C}">
                  <a14:compatExt spid="_x0000_s15572"/>
                </a:ext>
                <a:ext uri="{FF2B5EF4-FFF2-40B4-BE49-F238E27FC236}">
                  <a16:creationId xmlns:a16="http://schemas.microsoft.com/office/drawing/2014/main" id="{00000000-0008-0000-1300-0000D4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74</xdr:row>
          <xdr:rowOff>0</xdr:rowOff>
        </xdr:from>
        <xdr:to>
          <xdr:col>22</xdr:col>
          <xdr:colOff>184150</xdr:colOff>
          <xdr:row>74</xdr:row>
          <xdr:rowOff>184150</xdr:rowOff>
        </xdr:to>
        <xdr:sp macro="" textlink="">
          <xdr:nvSpPr>
            <xdr:cNvPr id="15573" name="Check Box 213" hidden="1">
              <a:extLst>
                <a:ext uri="{63B3BB69-23CF-44E3-9099-C40C66FF867C}">
                  <a14:compatExt spid="_x0000_s15573"/>
                </a:ext>
                <a:ext uri="{FF2B5EF4-FFF2-40B4-BE49-F238E27FC236}">
                  <a16:creationId xmlns:a16="http://schemas.microsoft.com/office/drawing/2014/main" id="{00000000-0008-0000-1300-0000D5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76</xdr:row>
          <xdr:rowOff>0</xdr:rowOff>
        </xdr:from>
        <xdr:to>
          <xdr:col>22</xdr:col>
          <xdr:colOff>184150</xdr:colOff>
          <xdr:row>76</xdr:row>
          <xdr:rowOff>184150</xdr:rowOff>
        </xdr:to>
        <xdr:sp macro="" textlink="">
          <xdr:nvSpPr>
            <xdr:cNvPr id="15574" name="Check Box 214" hidden="1">
              <a:extLst>
                <a:ext uri="{63B3BB69-23CF-44E3-9099-C40C66FF867C}">
                  <a14:compatExt spid="_x0000_s15574"/>
                </a:ext>
                <a:ext uri="{FF2B5EF4-FFF2-40B4-BE49-F238E27FC236}">
                  <a16:creationId xmlns:a16="http://schemas.microsoft.com/office/drawing/2014/main" id="{00000000-0008-0000-1300-0000D6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78</xdr:row>
          <xdr:rowOff>0</xdr:rowOff>
        </xdr:from>
        <xdr:to>
          <xdr:col>22</xdr:col>
          <xdr:colOff>184150</xdr:colOff>
          <xdr:row>78</xdr:row>
          <xdr:rowOff>184150</xdr:rowOff>
        </xdr:to>
        <xdr:sp macro="" textlink="">
          <xdr:nvSpPr>
            <xdr:cNvPr id="15575" name="Check Box 215" hidden="1">
              <a:extLst>
                <a:ext uri="{63B3BB69-23CF-44E3-9099-C40C66FF867C}">
                  <a14:compatExt spid="_x0000_s15575"/>
                </a:ext>
                <a:ext uri="{FF2B5EF4-FFF2-40B4-BE49-F238E27FC236}">
                  <a16:creationId xmlns:a16="http://schemas.microsoft.com/office/drawing/2014/main" id="{00000000-0008-0000-1300-0000D7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80</xdr:row>
          <xdr:rowOff>0</xdr:rowOff>
        </xdr:from>
        <xdr:to>
          <xdr:col>22</xdr:col>
          <xdr:colOff>184150</xdr:colOff>
          <xdr:row>80</xdr:row>
          <xdr:rowOff>184150</xdr:rowOff>
        </xdr:to>
        <xdr:sp macro="" textlink="">
          <xdr:nvSpPr>
            <xdr:cNvPr id="15576" name="Check Box 216" hidden="1">
              <a:extLst>
                <a:ext uri="{63B3BB69-23CF-44E3-9099-C40C66FF867C}">
                  <a14:compatExt spid="_x0000_s15576"/>
                </a:ext>
                <a:ext uri="{FF2B5EF4-FFF2-40B4-BE49-F238E27FC236}">
                  <a16:creationId xmlns:a16="http://schemas.microsoft.com/office/drawing/2014/main" id="{00000000-0008-0000-1300-0000D8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89</xdr:row>
          <xdr:rowOff>0</xdr:rowOff>
        </xdr:from>
        <xdr:to>
          <xdr:col>22</xdr:col>
          <xdr:colOff>184150</xdr:colOff>
          <xdr:row>89</xdr:row>
          <xdr:rowOff>184150</xdr:rowOff>
        </xdr:to>
        <xdr:sp macro="" textlink="">
          <xdr:nvSpPr>
            <xdr:cNvPr id="15577" name="Check Box 217" hidden="1">
              <a:extLst>
                <a:ext uri="{63B3BB69-23CF-44E3-9099-C40C66FF867C}">
                  <a14:compatExt spid="_x0000_s15577"/>
                </a:ext>
                <a:ext uri="{FF2B5EF4-FFF2-40B4-BE49-F238E27FC236}">
                  <a16:creationId xmlns:a16="http://schemas.microsoft.com/office/drawing/2014/main" id="{00000000-0008-0000-1300-0000D9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90</xdr:row>
          <xdr:rowOff>0</xdr:rowOff>
        </xdr:from>
        <xdr:to>
          <xdr:col>22</xdr:col>
          <xdr:colOff>184150</xdr:colOff>
          <xdr:row>90</xdr:row>
          <xdr:rowOff>184150</xdr:rowOff>
        </xdr:to>
        <xdr:sp macro="" textlink="">
          <xdr:nvSpPr>
            <xdr:cNvPr id="15578" name="Check Box 218" hidden="1">
              <a:extLst>
                <a:ext uri="{63B3BB69-23CF-44E3-9099-C40C66FF867C}">
                  <a14:compatExt spid="_x0000_s15578"/>
                </a:ext>
                <a:ext uri="{FF2B5EF4-FFF2-40B4-BE49-F238E27FC236}">
                  <a16:creationId xmlns:a16="http://schemas.microsoft.com/office/drawing/2014/main" id="{00000000-0008-0000-1300-0000DA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97</xdr:row>
          <xdr:rowOff>0</xdr:rowOff>
        </xdr:from>
        <xdr:to>
          <xdr:col>22</xdr:col>
          <xdr:colOff>184150</xdr:colOff>
          <xdr:row>97</xdr:row>
          <xdr:rowOff>184150</xdr:rowOff>
        </xdr:to>
        <xdr:sp macro="" textlink="">
          <xdr:nvSpPr>
            <xdr:cNvPr id="15579" name="Check Box 219" hidden="1">
              <a:extLst>
                <a:ext uri="{63B3BB69-23CF-44E3-9099-C40C66FF867C}">
                  <a14:compatExt spid="_x0000_s15579"/>
                </a:ext>
                <a:ext uri="{FF2B5EF4-FFF2-40B4-BE49-F238E27FC236}">
                  <a16:creationId xmlns:a16="http://schemas.microsoft.com/office/drawing/2014/main" id="{00000000-0008-0000-1300-0000DB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99</xdr:row>
          <xdr:rowOff>0</xdr:rowOff>
        </xdr:from>
        <xdr:to>
          <xdr:col>22</xdr:col>
          <xdr:colOff>184150</xdr:colOff>
          <xdr:row>99</xdr:row>
          <xdr:rowOff>184150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1300-0000DC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103</xdr:row>
          <xdr:rowOff>0</xdr:rowOff>
        </xdr:from>
        <xdr:to>
          <xdr:col>22</xdr:col>
          <xdr:colOff>184150</xdr:colOff>
          <xdr:row>103</xdr:row>
          <xdr:rowOff>184150</xdr:rowOff>
        </xdr:to>
        <xdr:sp macro="" textlink="">
          <xdr:nvSpPr>
            <xdr:cNvPr id="15581" name="Check Box 221" hidden="1">
              <a:extLst>
                <a:ext uri="{63B3BB69-23CF-44E3-9099-C40C66FF867C}">
                  <a14:compatExt spid="_x0000_s15581"/>
                </a:ext>
                <a:ext uri="{FF2B5EF4-FFF2-40B4-BE49-F238E27FC236}">
                  <a16:creationId xmlns:a16="http://schemas.microsoft.com/office/drawing/2014/main" id="{00000000-0008-0000-1300-0000DD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107</xdr:row>
          <xdr:rowOff>0</xdr:rowOff>
        </xdr:from>
        <xdr:to>
          <xdr:col>22</xdr:col>
          <xdr:colOff>184150</xdr:colOff>
          <xdr:row>107</xdr:row>
          <xdr:rowOff>184150</xdr:rowOff>
        </xdr:to>
        <xdr:sp macro="" textlink="">
          <xdr:nvSpPr>
            <xdr:cNvPr id="15582" name="Check Box 222" hidden="1">
              <a:extLst>
                <a:ext uri="{63B3BB69-23CF-44E3-9099-C40C66FF867C}">
                  <a14:compatExt spid="_x0000_s15582"/>
                </a:ext>
                <a:ext uri="{FF2B5EF4-FFF2-40B4-BE49-F238E27FC236}">
                  <a16:creationId xmlns:a16="http://schemas.microsoft.com/office/drawing/2014/main" id="{00000000-0008-0000-1300-0000DE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108</xdr:row>
          <xdr:rowOff>0</xdr:rowOff>
        </xdr:from>
        <xdr:to>
          <xdr:col>22</xdr:col>
          <xdr:colOff>184150</xdr:colOff>
          <xdr:row>108</xdr:row>
          <xdr:rowOff>184150</xdr:rowOff>
        </xdr:to>
        <xdr:sp macro="" textlink="">
          <xdr:nvSpPr>
            <xdr:cNvPr id="15583" name="Check Box 223" hidden="1">
              <a:extLst>
                <a:ext uri="{63B3BB69-23CF-44E3-9099-C40C66FF867C}">
                  <a14:compatExt spid="_x0000_s15583"/>
                </a:ext>
                <a:ext uri="{FF2B5EF4-FFF2-40B4-BE49-F238E27FC236}">
                  <a16:creationId xmlns:a16="http://schemas.microsoft.com/office/drawing/2014/main" id="{00000000-0008-0000-1300-0000DF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110</xdr:row>
          <xdr:rowOff>0</xdr:rowOff>
        </xdr:from>
        <xdr:to>
          <xdr:col>22</xdr:col>
          <xdr:colOff>184150</xdr:colOff>
          <xdr:row>110</xdr:row>
          <xdr:rowOff>184150</xdr:rowOff>
        </xdr:to>
        <xdr:sp macro="" textlink="">
          <xdr:nvSpPr>
            <xdr:cNvPr id="15584" name="Check Box 224" hidden="1">
              <a:extLst>
                <a:ext uri="{63B3BB69-23CF-44E3-9099-C40C66FF867C}">
                  <a14:compatExt spid="_x0000_s15584"/>
                </a:ext>
                <a:ext uri="{FF2B5EF4-FFF2-40B4-BE49-F238E27FC236}">
                  <a16:creationId xmlns:a16="http://schemas.microsoft.com/office/drawing/2014/main" id="{00000000-0008-0000-1300-0000E0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111</xdr:row>
          <xdr:rowOff>0</xdr:rowOff>
        </xdr:from>
        <xdr:to>
          <xdr:col>22</xdr:col>
          <xdr:colOff>184150</xdr:colOff>
          <xdr:row>111</xdr:row>
          <xdr:rowOff>184150</xdr:rowOff>
        </xdr:to>
        <xdr:sp macro="" textlink="">
          <xdr:nvSpPr>
            <xdr:cNvPr id="15585" name="Check Box 225" hidden="1">
              <a:extLst>
                <a:ext uri="{63B3BB69-23CF-44E3-9099-C40C66FF867C}">
                  <a14:compatExt spid="_x0000_s15585"/>
                </a:ext>
                <a:ext uri="{FF2B5EF4-FFF2-40B4-BE49-F238E27FC236}">
                  <a16:creationId xmlns:a16="http://schemas.microsoft.com/office/drawing/2014/main" id="{00000000-0008-0000-1300-0000E1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112</xdr:row>
          <xdr:rowOff>0</xdr:rowOff>
        </xdr:from>
        <xdr:to>
          <xdr:col>22</xdr:col>
          <xdr:colOff>184150</xdr:colOff>
          <xdr:row>112</xdr:row>
          <xdr:rowOff>184150</xdr:rowOff>
        </xdr:to>
        <xdr:sp macro="" textlink="">
          <xdr:nvSpPr>
            <xdr:cNvPr id="15586" name="Check Box 226" hidden="1">
              <a:extLst>
                <a:ext uri="{63B3BB69-23CF-44E3-9099-C40C66FF867C}">
                  <a14:compatExt spid="_x0000_s15586"/>
                </a:ext>
                <a:ext uri="{FF2B5EF4-FFF2-40B4-BE49-F238E27FC236}">
                  <a16:creationId xmlns:a16="http://schemas.microsoft.com/office/drawing/2014/main" id="{00000000-0008-0000-1300-0000E2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120</xdr:row>
          <xdr:rowOff>0</xdr:rowOff>
        </xdr:from>
        <xdr:to>
          <xdr:col>22</xdr:col>
          <xdr:colOff>184150</xdr:colOff>
          <xdr:row>120</xdr:row>
          <xdr:rowOff>184150</xdr:rowOff>
        </xdr:to>
        <xdr:sp macro="" textlink="">
          <xdr:nvSpPr>
            <xdr:cNvPr id="15587" name="Check Box 227" hidden="1">
              <a:extLst>
                <a:ext uri="{63B3BB69-23CF-44E3-9099-C40C66FF867C}">
                  <a14:compatExt spid="_x0000_s15587"/>
                </a:ext>
                <a:ext uri="{FF2B5EF4-FFF2-40B4-BE49-F238E27FC236}">
                  <a16:creationId xmlns:a16="http://schemas.microsoft.com/office/drawing/2014/main" id="{00000000-0008-0000-1300-0000E3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123</xdr:row>
          <xdr:rowOff>0</xdr:rowOff>
        </xdr:from>
        <xdr:to>
          <xdr:col>22</xdr:col>
          <xdr:colOff>184150</xdr:colOff>
          <xdr:row>123</xdr:row>
          <xdr:rowOff>184150</xdr:rowOff>
        </xdr:to>
        <xdr:sp macro="" textlink="">
          <xdr:nvSpPr>
            <xdr:cNvPr id="15588" name="Check Box 228" hidden="1">
              <a:extLst>
                <a:ext uri="{63B3BB69-23CF-44E3-9099-C40C66FF867C}">
                  <a14:compatExt spid="_x0000_s15588"/>
                </a:ext>
                <a:ext uri="{FF2B5EF4-FFF2-40B4-BE49-F238E27FC236}">
                  <a16:creationId xmlns:a16="http://schemas.microsoft.com/office/drawing/2014/main" id="{00000000-0008-0000-1300-0000E4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154</xdr:row>
          <xdr:rowOff>0</xdr:rowOff>
        </xdr:from>
        <xdr:to>
          <xdr:col>22</xdr:col>
          <xdr:colOff>184150</xdr:colOff>
          <xdr:row>154</xdr:row>
          <xdr:rowOff>184150</xdr:rowOff>
        </xdr:to>
        <xdr:sp macro="" textlink="">
          <xdr:nvSpPr>
            <xdr:cNvPr id="15589" name="Check Box 229" hidden="1">
              <a:extLst>
                <a:ext uri="{63B3BB69-23CF-44E3-9099-C40C66FF867C}">
                  <a14:compatExt spid="_x0000_s15589"/>
                </a:ext>
                <a:ext uri="{FF2B5EF4-FFF2-40B4-BE49-F238E27FC236}">
                  <a16:creationId xmlns:a16="http://schemas.microsoft.com/office/drawing/2014/main" id="{00000000-0008-0000-1300-0000E5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xdr:row>
          <xdr:rowOff>0</xdr:rowOff>
        </xdr:from>
        <xdr:to>
          <xdr:col>22</xdr:col>
          <xdr:colOff>184150</xdr:colOff>
          <xdr:row>156</xdr:row>
          <xdr:rowOff>184150</xdr:rowOff>
        </xdr:to>
        <xdr:sp macro="" textlink="">
          <xdr:nvSpPr>
            <xdr:cNvPr id="15590" name="Check Box 230" hidden="1">
              <a:extLst>
                <a:ext uri="{63B3BB69-23CF-44E3-9099-C40C66FF867C}">
                  <a14:compatExt spid="_x0000_s15590"/>
                </a:ext>
                <a:ext uri="{FF2B5EF4-FFF2-40B4-BE49-F238E27FC236}">
                  <a16:creationId xmlns:a16="http://schemas.microsoft.com/office/drawing/2014/main" id="{00000000-0008-0000-1300-0000E6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159</xdr:row>
          <xdr:rowOff>0</xdr:rowOff>
        </xdr:from>
        <xdr:to>
          <xdr:col>22</xdr:col>
          <xdr:colOff>184150</xdr:colOff>
          <xdr:row>159</xdr:row>
          <xdr:rowOff>184150</xdr:rowOff>
        </xdr:to>
        <xdr:sp macro="" textlink="">
          <xdr:nvSpPr>
            <xdr:cNvPr id="15591" name="Check Box 231" hidden="1">
              <a:extLst>
                <a:ext uri="{63B3BB69-23CF-44E3-9099-C40C66FF867C}">
                  <a14:compatExt spid="_x0000_s15591"/>
                </a:ext>
                <a:ext uri="{FF2B5EF4-FFF2-40B4-BE49-F238E27FC236}">
                  <a16:creationId xmlns:a16="http://schemas.microsoft.com/office/drawing/2014/main" id="{00000000-0008-0000-1300-0000E7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169</xdr:row>
          <xdr:rowOff>0</xdr:rowOff>
        </xdr:from>
        <xdr:to>
          <xdr:col>22</xdr:col>
          <xdr:colOff>184150</xdr:colOff>
          <xdr:row>169</xdr:row>
          <xdr:rowOff>184150</xdr:rowOff>
        </xdr:to>
        <xdr:sp macro="" textlink="">
          <xdr:nvSpPr>
            <xdr:cNvPr id="15592" name="Check Box 232" hidden="1">
              <a:extLst>
                <a:ext uri="{63B3BB69-23CF-44E3-9099-C40C66FF867C}">
                  <a14:compatExt spid="_x0000_s15592"/>
                </a:ext>
                <a:ext uri="{FF2B5EF4-FFF2-40B4-BE49-F238E27FC236}">
                  <a16:creationId xmlns:a16="http://schemas.microsoft.com/office/drawing/2014/main" id="{00000000-0008-0000-1300-0000E8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170</xdr:row>
          <xdr:rowOff>0</xdr:rowOff>
        </xdr:from>
        <xdr:to>
          <xdr:col>22</xdr:col>
          <xdr:colOff>184150</xdr:colOff>
          <xdr:row>170</xdr:row>
          <xdr:rowOff>184150</xdr:rowOff>
        </xdr:to>
        <xdr:sp macro="" textlink="">
          <xdr:nvSpPr>
            <xdr:cNvPr id="15593" name="Check Box 233" hidden="1">
              <a:extLst>
                <a:ext uri="{63B3BB69-23CF-44E3-9099-C40C66FF867C}">
                  <a14:compatExt spid="_x0000_s15593"/>
                </a:ext>
                <a:ext uri="{FF2B5EF4-FFF2-40B4-BE49-F238E27FC236}">
                  <a16:creationId xmlns:a16="http://schemas.microsoft.com/office/drawing/2014/main" id="{00000000-0008-0000-1300-0000E9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175</xdr:row>
          <xdr:rowOff>0</xdr:rowOff>
        </xdr:from>
        <xdr:to>
          <xdr:col>22</xdr:col>
          <xdr:colOff>184150</xdr:colOff>
          <xdr:row>175</xdr:row>
          <xdr:rowOff>184150</xdr:rowOff>
        </xdr:to>
        <xdr:sp macro="" textlink="">
          <xdr:nvSpPr>
            <xdr:cNvPr id="15594" name="Check Box 234" hidden="1">
              <a:extLst>
                <a:ext uri="{63B3BB69-23CF-44E3-9099-C40C66FF867C}">
                  <a14:compatExt spid="_x0000_s15594"/>
                </a:ext>
                <a:ext uri="{FF2B5EF4-FFF2-40B4-BE49-F238E27FC236}">
                  <a16:creationId xmlns:a16="http://schemas.microsoft.com/office/drawing/2014/main" id="{00000000-0008-0000-1300-0000EA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177</xdr:row>
          <xdr:rowOff>0</xdr:rowOff>
        </xdr:from>
        <xdr:to>
          <xdr:col>22</xdr:col>
          <xdr:colOff>184150</xdr:colOff>
          <xdr:row>177</xdr:row>
          <xdr:rowOff>184150</xdr:rowOff>
        </xdr:to>
        <xdr:sp macro="" textlink="">
          <xdr:nvSpPr>
            <xdr:cNvPr id="15595" name="Check Box 235" hidden="1">
              <a:extLst>
                <a:ext uri="{63B3BB69-23CF-44E3-9099-C40C66FF867C}">
                  <a14:compatExt spid="_x0000_s15595"/>
                </a:ext>
                <a:ext uri="{FF2B5EF4-FFF2-40B4-BE49-F238E27FC236}">
                  <a16:creationId xmlns:a16="http://schemas.microsoft.com/office/drawing/2014/main" id="{00000000-0008-0000-1300-0000EB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180</xdr:row>
          <xdr:rowOff>0</xdr:rowOff>
        </xdr:from>
        <xdr:to>
          <xdr:col>22</xdr:col>
          <xdr:colOff>184150</xdr:colOff>
          <xdr:row>180</xdr:row>
          <xdr:rowOff>184150</xdr:rowOff>
        </xdr:to>
        <xdr:sp macro="" textlink="">
          <xdr:nvSpPr>
            <xdr:cNvPr id="15596" name="Check Box 236" hidden="1">
              <a:extLst>
                <a:ext uri="{63B3BB69-23CF-44E3-9099-C40C66FF867C}">
                  <a14:compatExt spid="_x0000_s15596"/>
                </a:ext>
                <a:ext uri="{FF2B5EF4-FFF2-40B4-BE49-F238E27FC236}">
                  <a16:creationId xmlns:a16="http://schemas.microsoft.com/office/drawing/2014/main" id="{00000000-0008-0000-1300-0000EC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182</xdr:row>
          <xdr:rowOff>0</xdr:rowOff>
        </xdr:from>
        <xdr:to>
          <xdr:col>22</xdr:col>
          <xdr:colOff>184150</xdr:colOff>
          <xdr:row>182</xdr:row>
          <xdr:rowOff>184150</xdr:rowOff>
        </xdr:to>
        <xdr:sp macro="" textlink="">
          <xdr:nvSpPr>
            <xdr:cNvPr id="15597" name="Check Box 237" hidden="1">
              <a:extLst>
                <a:ext uri="{63B3BB69-23CF-44E3-9099-C40C66FF867C}">
                  <a14:compatExt spid="_x0000_s15597"/>
                </a:ext>
                <a:ext uri="{FF2B5EF4-FFF2-40B4-BE49-F238E27FC236}">
                  <a16:creationId xmlns:a16="http://schemas.microsoft.com/office/drawing/2014/main" id="{00000000-0008-0000-1300-0000ED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xdr:row>
          <xdr:rowOff>0</xdr:rowOff>
        </xdr:from>
        <xdr:to>
          <xdr:col>22</xdr:col>
          <xdr:colOff>184150</xdr:colOff>
          <xdr:row>184</xdr:row>
          <xdr:rowOff>184150</xdr:rowOff>
        </xdr:to>
        <xdr:sp macro="" textlink="">
          <xdr:nvSpPr>
            <xdr:cNvPr id="15598" name="Check Box 238" hidden="1">
              <a:extLst>
                <a:ext uri="{63B3BB69-23CF-44E3-9099-C40C66FF867C}">
                  <a14:compatExt spid="_x0000_s15598"/>
                </a:ext>
                <a:ext uri="{FF2B5EF4-FFF2-40B4-BE49-F238E27FC236}">
                  <a16:creationId xmlns:a16="http://schemas.microsoft.com/office/drawing/2014/main" id="{00000000-0008-0000-1300-0000EE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188</xdr:row>
          <xdr:rowOff>0</xdr:rowOff>
        </xdr:from>
        <xdr:to>
          <xdr:col>22</xdr:col>
          <xdr:colOff>184150</xdr:colOff>
          <xdr:row>188</xdr:row>
          <xdr:rowOff>184150</xdr:rowOff>
        </xdr:to>
        <xdr:sp macro="" textlink="">
          <xdr:nvSpPr>
            <xdr:cNvPr id="15599" name="Check Box 239" hidden="1">
              <a:extLst>
                <a:ext uri="{63B3BB69-23CF-44E3-9099-C40C66FF867C}">
                  <a14:compatExt spid="_x0000_s15599"/>
                </a:ext>
                <a:ext uri="{FF2B5EF4-FFF2-40B4-BE49-F238E27FC236}">
                  <a16:creationId xmlns:a16="http://schemas.microsoft.com/office/drawing/2014/main" id="{00000000-0008-0000-1300-0000EF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189</xdr:row>
          <xdr:rowOff>0</xdr:rowOff>
        </xdr:from>
        <xdr:to>
          <xdr:col>22</xdr:col>
          <xdr:colOff>184150</xdr:colOff>
          <xdr:row>189</xdr:row>
          <xdr:rowOff>184150</xdr:rowOff>
        </xdr:to>
        <xdr:sp macro="" textlink="">
          <xdr:nvSpPr>
            <xdr:cNvPr id="15600" name="Check Box 240" hidden="1">
              <a:extLst>
                <a:ext uri="{63B3BB69-23CF-44E3-9099-C40C66FF867C}">
                  <a14:compatExt spid="_x0000_s15600"/>
                </a:ext>
                <a:ext uri="{FF2B5EF4-FFF2-40B4-BE49-F238E27FC236}">
                  <a16:creationId xmlns:a16="http://schemas.microsoft.com/office/drawing/2014/main" id="{00000000-0008-0000-1300-0000F0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190</xdr:row>
          <xdr:rowOff>0</xdr:rowOff>
        </xdr:from>
        <xdr:to>
          <xdr:col>22</xdr:col>
          <xdr:colOff>184150</xdr:colOff>
          <xdr:row>190</xdr:row>
          <xdr:rowOff>184150</xdr:rowOff>
        </xdr:to>
        <xdr:sp macro="" textlink="">
          <xdr:nvSpPr>
            <xdr:cNvPr id="15601" name="Check Box 241" hidden="1">
              <a:extLst>
                <a:ext uri="{63B3BB69-23CF-44E3-9099-C40C66FF867C}">
                  <a14:compatExt spid="_x0000_s15601"/>
                </a:ext>
                <a:ext uri="{FF2B5EF4-FFF2-40B4-BE49-F238E27FC236}">
                  <a16:creationId xmlns:a16="http://schemas.microsoft.com/office/drawing/2014/main" id="{00000000-0008-0000-1300-0000F1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192</xdr:row>
          <xdr:rowOff>0</xdr:rowOff>
        </xdr:from>
        <xdr:to>
          <xdr:col>22</xdr:col>
          <xdr:colOff>184150</xdr:colOff>
          <xdr:row>192</xdr:row>
          <xdr:rowOff>184150</xdr:rowOff>
        </xdr:to>
        <xdr:sp macro="" textlink="">
          <xdr:nvSpPr>
            <xdr:cNvPr id="15602" name="Check Box 242" hidden="1">
              <a:extLst>
                <a:ext uri="{63B3BB69-23CF-44E3-9099-C40C66FF867C}">
                  <a14:compatExt spid="_x0000_s15602"/>
                </a:ext>
                <a:ext uri="{FF2B5EF4-FFF2-40B4-BE49-F238E27FC236}">
                  <a16:creationId xmlns:a16="http://schemas.microsoft.com/office/drawing/2014/main" id="{00000000-0008-0000-1300-0000F2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207</xdr:row>
          <xdr:rowOff>0</xdr:rowOff>
        </xdr:from>
        <xdr:to>
          <xdr:col>22</xdr:col>
          <xdr:colOff>184150</xdr:colOff>
          <xdr:row>207</xdr:row>
          <xdr:rowOff>184150</xdr:rowOff>
        </xdr:to>
        <xdr:sp macro="" textlink="">
          <xdr:nvSpPr>
            <xdr:cNvPr id="15605" name="Check Box 245" hidden="1">
              <a:extLst>
                <a:ext uri="{63B3BB69-23CF-44E3-9099-C40C66FF867C}">
                  <a14:compatExt spid="_x0000_s15605"/>
                </a:ext>
                <a:ext uri="{FF2B5EF4-FFF2-40B4-BE49-F238E27FC236}">
                  <a16:creationId xmlns:a16="http://schemas.microsoft.com/office/drawing/2014/main" id="{00000000-0008-0000-1300-0000F5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214</xdr:row>
          <xdr:rowOff>0</xdr:rowOff>
        </xdr:from>
        <xdr:to>
          <xdr:col>22</xdr:col>
          <xdr:colOff>184150</xdr:colOff>
          <xdr:row>214</xdr:row>
          <xdr:rowOff>184150</xdr:rowOff>
        </xdr:to>
        <xdr:sp macro="" textlink="">
          <xdr:nvSpPr>
            <xdr:cNvPr id="15606" name="Check Box 246" hidden="1">
              <a:extLst>
                <a:ext uri="{63B3BB69-23CF-44E3-9099-C40C66FF867C}">
                  <a14:compatExt spid="_x0000_s15606"/>
                </a:ext>
                <a:ext uri="{FF2B5EF4-FFF2-40B4-BE49-F238E27FC236}">
                  <a16:creationId xmlns:a16="http://schemas.microsoft.com/office/drawing/2014/main" id="{00000000-0008-0000-1300-0000F6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215</xdr:row>
          <xdr:rowOff>0</xdr:rowOff>
        </xdr:from>
        <xdr:to>
          <xdr:col>22</xdr:col>
          <xdr:colOff>184150</xdr:colOff>
          <xdr:row>215</xdr:row>
          <xdr:rowOff>184150</xdr:rowOff>
        </xdr:to>
        <xdr:sp macro="" textlink="">
          <xdr:nvSpPr>
            <xdr:cNvPr id="15607" name="Check Box 247" hidden="1">
              <a:extLst>
                <a:ext uri="{63B3BB69-23CF-44E3-9099-C40C66FF867C}">
                  <a14:compatExt spid="_x0000_s15607"/>
                </a:ext>
                <a:ext uri="{FF2B5EF4-FFF2-40B4-BE49-F238E27FC236}">
                  <a16:creationId xmlns:a16="http://schemas.microsoft.com/office/drawing/2014/main" id="{00000000-0008-0000-1300-0000F7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217</xdr:row>
          <xdr:rowOff>0</xdr:rowOff>
        </xdr:from>
        <xdr:to>
          <xdr:col>22</xdr:col>
          <xdr:colOff>184150</xdr:colOff>
          <xdr:row>217</xdr:row>
          <xdr:rowOff>184150</xdr:rowOff>
        </xdr:to>
        <xdr:sp macro="" textlink="">
          <xdr:nvSpPr>
            <xdr:cNvPr id="15608" name="Check Box 248" hidden="1">
              <a:extLst>
                <a:ext uri="{63B3BB69-23CF-44E3-9099-C40C66FF867C}">
                  <a14:compatExt spid="_x0000_s15608"/>
                </a:ext>
                <a:ext uri="{FF2B5EF4-FFF2-40B4-BE49-F238E27FC236}">
                  <a16:creationId xmlns:a16="http://schemas.microsoft.com/office/drawing/2014/main" id="{00000000-0008-0000-1300-0000F8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222</xdr:row>
          <xdr:rowOff>0</xdr:rowOff>
        </xdr:from>
        <xdr:to>
          <xdr:col>22</xdr:col>
          <xdr:colOff>184150</xdr:colOff>
          <xdr:row>222</xdr:row>
          <xdr:rowOff>184150</xdr:rowOff>
        </xdr:to>
        <xdr:sp macro="" textlink="">
          <xdr:nvSpPr>
            <xdr:cNvPr id="15609" name="Check Box 249" hidden="1">
              <a:extLst>
                <a:ext uri="{63B3BB69-23CF-44E3-9099-C40C66FF867C}">
                  <a14:compatExt spid="_x0000_s15609"/>
                </a:ext>
                <a:ext uri="{FF2B5EF4-FFF2-40B4-BE49-F238E27FC236}">
                  <a16:creationId xmlns:a16="http://schemas.microsoft.com/office/drawing/2014/main" id="{00000000-0008-0000-1300-0000F9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224</xdr:row>
          <xdr:rowOff>0</xdr:rowOff>
        </xdr:from>
        <xdr:to>
          <xdr:col>22</xdr:col>
          <xdr:colOff>184150</xdr:colOff>
          <xdr:row>224</xdr:row>
          <xdr:rowOff>184150</xdr:rowOff>
        </xdr:to>
        <xdr:sp macro="" textlink="">
          <xdr:nvSpPr>
            <xdr:cNvPr id="15610" name="Check Box 250" hidden="1">
              <a:extLst>
                <a:ext uri="{63B3BB69-23CF-44E3-9099-C40C66FF867C}">
                  <a14:compatExt spid="_x0000_s15610"/>
                </a:ext>
                <a:ext uri="{FF2B5EF4-FFF2-40B4-BE49-F238E27FC236}">
                  <a16:creationId xmlns:a16="http://schemas.microsoft.com/office/drawing/2014/main" id="{00000000-0008-0000-1300-0000FA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225</xdr:row>
          <xdr:rowOff>0</xdr:rowOff>
        </xdr:from>
        <xdr:to>
          <xdr:col>22</xdr:col>
          <xdr:colOff>184150</xdr:colOff>
          <xdr:row>225</xdr:row>
          <xdr:rowOff>184150</xdr:rowOff>
        </xdr:to>
        <xdr:sp macro="" textlink="">
          <xdr:nvSpPr>
            <xdr:cNvPr id="15611" name="Check Box 251" hidden="1">
              <a:extLst>
                <a:ext uri="{63B3BB69-23CF-44E3-9099-C40C66FF867C}">
                  <a14:compatExt spid="_x0000_s15611"/>
                </a:ext>
                <a:ext uri="{FF2B5EF4-FFF2-40B4-BE49-F238E27FC236}">
                  <a16:creationId xmlns:a16="http://schemas.microsoft.com/office/drawing/2014/main" id="{00000000-0008-0000-1300-0000FB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227</xdr:row>
          <xdr:rowOff>0</xdr:rowOff>
        </xdr:from>
        <xdr:to>
          <xdr:col>22</xdr:col>
          <xdr:colOff>184150</xdr:colOff>
          <xdr:row>227</xdr:row>
          <xdr:rowOff>184150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1300-0000FC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229</xdr:row>
          <xdr:rowOff>0</xdr:rowOff>
        </xdr:from>
        <xdr:to>
          <xdr:col>22</xdr:col>
          <xdr:colOff>184150</xdr:colOff>
          <xdr:row>229</xdr:row>
          <xdr:rowOff>184150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1300-0000FD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233</xdr:row>
          <xdr:rowOff>0</xdr:rowOff>
        </xdr:from>
        <xdr:to>
          <xdr:col>22</xdr:col>
          <xdr:colOff>184150</xdr:colOff>
          <xdr:row>233</xdr:row>
          <xdr:rowOff>184150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1300-0000FE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236</xdr:row>
          <xdr:rowOff>0</xdr:rowOff>
        </xdr:from>
        <xdr:to>
          <xdr:col>22</xdr:col>
          <xdr:colOff>184150</xdr:colOff>
          <xdr:row>236</xdr:row>
          <xdr:rowOff>184150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1300-0000FF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238</xdr:row>
          <xdr:rowOff>0</xdr:rowOff>
        </xdr:from>
        <xdr:to>
          <xdr:col>22</xdr:col>
          <xdr:colOff>184150</xdr:colOff>
          <xdr:row>238</xdr:row>
          <xdr:rowOff>184150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1300-00000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239</xdr:row>
          <xdr:rowOff>0</xdr:rowOff>
        </xdr:from>
        <xdr:to>
          <xdr:col>22</xdr:col>
          <xdr:colOff>184150</xdr:colOff>
          <xdr:row>239</xdr:row>
          <xdr:rowOff>184150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1300-00000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240</xdr:row>
          <xdr:rowOff>0</xdr:rowOff>
        </xdr:from>
        <xdr:to>
          <xdr:col>22</xdr:col>
          <xdr:colOff>184150</xdr:colOff>
          <xdr:row>240</xdr:row>
          <xdr:rowOff>184150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1300-00000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xdr:row>
          <xdr:rowOff>0</xdr:rowOff>
        </xdr:from>
        <xdr:to>
          <xdr:col>22</xdr:col>
          <xdr:colOff>184150</xdr:colOff>
          <xdr:row>241</xdr:row>
          <xdr:rowOff>184150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1300-00000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xdr:row>
          <xdr:rowOff>0</xdr:rowOff>
        </xdr:from>
        <xdr:to>
          <xdr:col>22</xdr:col>
          <xdr:colOff>184150</xdr:colOff>
          <xdr:row>242</xdr:row>
          <xdr:rowOff>184150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1300-00000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243</xdr:row>
          <xdr:rowOff>0</xdr:rowOff>
        </xdr:from>
        <xdr:to>
          <xdr:col>22</xdr:col>
          <xdr:colOff>184150</xdr:colOff>
          <xdr:row>243</xdr:row>
          <xdr:rowOff>184150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1300-00000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245</xdr:row>
          <xdr:rowOff>0</xdr:rowOff>
        </xdr:from>
        <xdr:to>
          <xdr:col>22</xdr:col>
          <xdr:colOff>184150</xdr:colOff>
          <xdr:row>245</xdr:row>
          <xdr:rowOff>184150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1300-00000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252</xdr:row>
          <xdr:rowOff>0</xdr:rowOff>
        </xdr:from>
        <xdr:to>
          <xdr:col>22</xdr:col>
          <xdr:colOff>184150</xdr:colOff>
          <xdr:row>252</xdr:row>
          <xdr:rowOff>184150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1300-00000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254</xdr:row>
          <xdr:rowOff>0</xdr:rowOff>
        </xdr:from>
        <xdr:to>
          <xdr:col>22</xdr:col>
          <xdr:colOff>184150</xdr:colOff>
          <xdr:row>254</xdr:row>
          <xdr:rowOff>184150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1300-00000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263</xdr:row>
          <xdr:rowOff>0</xdr:rowOff>
        </xdr:from>
        <xdr:to>
          <xdr:col>22</xdr:col>
          <xdr:colOff>184150</xdr:colOff>
          <xdr:row>263</xdr:row>
          <xdr:rowOff>184150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1300-00000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266</xdr:row>
          <xdr:rowOff>0</xdr:rowOff>
        </xdr:from>
        <xdr:to>
          <xdr:col>22</xdr:col>
          <xdr:colOff>184150</xdr:colOff>
          <xdr:row>266</xdr:row>
          <xdr:rowOff>184150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1300-00000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270</xdr:row>
          <xdr:rowOff>0</xdr:rowOff>
        </xdr:from>
        <xdr:to>
          <xdr:col>22</xdr:col>
          <xdr:colOff>184150</xdr:colOff>
          <xdr:row>270</xdr:row>
          <xdr:rowOff>184150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1300-00000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271</xdr:row>
          <xdr:rowOff>0</xdr:rowOff>
        </xdr:from>
        <xdr:to>
          <xdr:col>22</xdr:col>
          <xdr:colOff>184150</xdr:colOff>
          <xdr:row>271</xdr:row>
          <xdr:rowOff>184150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1300-00000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281</xdr:row>
          <xdr:rowOff>0</xdr:rowOff>
        </xdr:from>
        <xdr:to>
          <xdr:col>22</xdr:col>
          <xdr:colOff>184150</xdr:colOff>
          <xdr:row>281</xdr:row>
          <xdr:rowOff>184150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1300-00000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348</xdr:row>
          <xdr:rowOff>0</xdr:rowOff>
        </xdr:from>
        <xdr:to>
          <xdr:col>22</xdr:col>
          <xdr:colOff>184150</xdr:colOff>
          <xdr:row>348</xdr:row>
          <xdr:rowOff>184150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1300-00001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351</xdr:row>
          <xdr:rowOff>0</xdr:rowOff>
        </xdr:from>
        <xdr:to>
          <xdr:col>22</xdr:col>
          <xdr:colOff>184150</xdr:colOff>
          <xdr:row>351</xdr:row>
          <xdr:rowOff>184150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1300-00001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354</xdr:row>
          <xdr:rowOff>0</xdr:rowOff>
        </xdr:from>
        <xdr:to>
          <xdr:col>22</xdr:col>
          <xdr:colOff>184150</xdr:colOff>
          <xdr:row>354</xdr:row>
          <xdr:rowOff>184150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1300-00001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358</xdr:row>
          <xdr:rowOff>0</xdr:rowOff>
        </xdr:from>
        <xdr:to>
          <xdr:col>22</xdr:col>
          <xdr:colOff>184150</xdr:colOff>
          <xdr:row>358</xdr:row>
          <xdr:rowOff>184150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1300-00001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359</xdr:row>
          <xdr:rowOff>0</xdr:rowOff>
        </xdr:from>
        <xdr:to>
          <xdr:col>22</xdr:col>
          <xdr:colOff>184150</xdr:colOff>
          <xdr:row>359</xdr:row>
          <xdr:rowOff>184150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1300-00001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360</xdr:row>
          <xdr:rowOff>0</xdr:rowOff>
        </xdr:from>
        <xdr:to>
          <xdr:col>22</xdr:col>
          <xdr:colOff>184150</xdr:colOff>
          <xdr:row>360</xdr:row>
          <xdr:rowOff>184150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1300-00001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361</xdr:row>
          <xdr:rowOff>0</xdr:rowOff>
        </xdr:from>
        <xdr:to>
          <xdr:col>22</xdr:col>
          <xdr:colOff>184150</xdr:colOff>
          <xdr:row>361</xdr:row>
          <xdr:rowOff>184150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1300-00001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362</xdr:row>
          <xdr:rowOff>0</xdr:rowOff>
        </xdr:from>
        <xdr:to>
          <xdr:col>22</xdr:col>
          <xdr:colOff>184150</xdr:colOff>
          <xdr:row>362</xdr:row>
          <xdr:rowOff>184150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1300-00001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363</xdr:row>
          <xdr:rowOff>0</xdr:rowOff>
        </xdr:from>
        <xdr:to>
          <xdr:col>22</xdr:col>
          <xdr:colOff>184150</xdr:colOff>
          <xdr:row>363</xdr:row>
          <xdr:rowOff>184150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1300-00001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369</xdr:row>
          <xdr:rowOff>0</xdr:rowOff>
        </xdr:from>
        <xdr:to>
          <xdr:col>22</xdr:col>
          <xdr:colOff>184150</xdr:colOff>
          <xdr:row>369</xdr:row>
          <xdr:rowOff>184150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1300-00001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370</xdr:row>
          <xdr:rowOff>0</xdr:rowOff>
        </xdr:from>
        <xdr:to>
          <xdr:col>22</xdr:col>
          <xdr:colOff>184150</xdr:colOff>
          <xdr:row>370</xdr:row>
          <xdr:rowOff>184150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1300-00001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371</xdr:row>
          <xdr:rowOff>0</xdr:rowOff>
        </xdr:from>
        <xdr:to>
          <xdr:col>22</xdr:col>
          <xdr:colOff>184150</xdr:colOff>
          <xdr:row>371</xdr:row>
          <xdr:rowOff>184150</xdr:rowOff>
        </xdr:to>
        <xdr:sp macro="" textlink="">
          <xdr:nvSpPr>
            <xdr:cNvPr id="15643" name="Check Box 283" hidden="1">
              <a:extLst>
                <a:ext uri="{63B3BB69-23CF-44E3-9099-C40C66FF867C}">
                  <a14:compatExt spid="_x0000_s15643"/>
                </a:ext>
                <a:ext uri="{FF2B5EF4-FFF2-40B4-BE49-F238E27FC236}">
                  <a16:creationId xmlns:a16="http://schemas.microsoft.com/office/drawing/2014/main" id="{00000000-0008-0000-1300-00001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372</xdr:row>
          <xdr:rowOff>0</xdr:rowOff>
        </xdr:from>
        <xdr:to>
          <xdr:col>22</xdr:col>
          <xdr:colOff>184150</xdr:colOff>
          <xdr:row>372</xdr:row>
          <xdr:rowOff>184150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1300-00001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373</xdr:row>
          <xdr:rowOff>0</xdr:rowOff>
        </xdr:from>
        <xdr:to>
          <xdr:col>22</xdr:col>
          <xdr:colOff>184150</xdr:colOff>
          <xdr:row>373</xdr:row>
          <xdr:rowOff>184150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1300-00001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397</xdr:row>
          <xdr:rowOff>0</xdr:rowOff>
        </xdr:from>
        <xdr:to>
          <xdr:col>22</xdr:col>
          <xdr:colOff>184150</xdr:colOff>
          <xdr:row>397</xdr:row>
          <xdr:rowOff>184150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1300-00001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413</xdr:row>
          <xdr:rowOff>0</xdr:rowOff>
        </xdr:from>
        <xdr:to>
          <xdr:col>22</xdr:col>
          <xdr:colOff>184150</xdr:colOff>
          <xdr:row>413</xdr:row>
          <xdr:rowOff>184150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1300-00002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417</xdr:row>
          <xdr:rowOff>0</xdr:rowOff>
        </xdr:from>
        <xdr:to>
          <xdr:col>22</xdr:col>
          <xdr:colOff>184150</xdr:colOff>
          <xdr:row>417</xdr:row>
          <xdr:rowOff>184150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1300-00002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418</xdr:row>
          <xdr:rowOff>0</xdr:rowOff>
        </xdr:from>
        <xdr:to>
          <xdr:col>22</xdr:col>
          <xdr:colOff>184150</xdr:colOff>
          <xdr:row>418</xdr:row>
          <xdr:rowOff>184150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1300-00002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420</xdr:row>
          <xdr:rowOff>0</xdr:rowOff>
        </xdr:from>
        <xdr:to>
          <xdr:col>22</xdr:col>
          <xdr:colOff>184150</xdr:colOff>
          <xdr:row>420</xdr:row>
          <xdr:rowOff>184150</xdr:rowOff>
        </xdr:to>
        <xdr:sp macro="" textlink="">
          <xdr:nvSpPr>
            <xdr:cNvPr id="15652" name="Check Box 292" hidden="1">
              <a:extLst>
                <a:ext uri="{63B3BB69-23CF-44E3-9099-C40C66FF867C}">
                  <a14:compatExt spid="_x0000_s15652"/>
                </a:ext>
                <a:ext uri="{FF2B5EF4-FFF2-40B4-BE49-F238E27FC236}">
                  <a16:creationId xmlns:a16="http://schemas.microsoft.com/office/drawing/2014/main" id="{00000000-0008-0000-1300-00002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422</xdr:row>
          <xdr:rowOff>0</xdr:rowOff>
        </xdr:from>
        <xdr:to>
          <xdr:col>22</xdr:col>
          <xdr:colOff>184150</xdr:colOff>
          <xdr:row>422</xdr:row>
          <xdr:rowOff>184150</xdr:rowOff>
        </xdr:to>
        <xdr:sp macro="" textlink="">
          <xdr:nvSpPr>
            <xdr:cNvPr id="15653" name="Check Box 293" hidden="1">
              <a:extLst>
                <a:ext uri="{63B3BB69-23CF-44E3-9099-C40C66FF867C}">
                  <a14:compatExt spid="_x0000_s15653"/>
                </a:ext>
                <a:ext uri="{FF2B5EF4-FFF2-40B4-BE49-F238E27FC236}">
                  <a16:creationId xmlns:a16="http://schemas.microsoft.com/office/drawing/2014/main" id="{00000000-0008-0000-1300-00002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428</xdr:row>
          <xdr:rowOff>0</xdr:rowOff>
        </xdr:from>
        <xdr:to>
          <xdr:col>22</xdr:col>
          <xdr:colOff>184150</xdr:colOff>
          <xdr:row>428</xdr:row>
          <xdr:rowOff>184150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1300-00002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434</xdr:row>
          <xdr:rowOff>0</xdr:rowOff>
        </xdr:from>
        <xdr:to>
          <xdr:col>22</xdr:col>
          <xdr:colOff>184150</xdr:colOff>
          <xdr:row>434</xdr:row>
          <xdr:rowOff>184150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1300-00002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440</xdr:row>
          <xdr:rowOff>0</xdr:rowOff>
        </xdr:from>
        <xdr:to>
          <xdr:col>22</xdr:col>
          <xdr:colOff>184150</xdr:colOff>
          <xdr:row>440</xdr:row>
          <xdr:rowOff>184150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1300-00002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442</xdr:row>
          <xdr:rowOff>0</xdr:rowOff>
        </xdr:from>
        <xdr:to>
          <xdr:col>22</xdr:col>
          <xdr:colOff>184150</xdr:colOff>
          <xdr:row>442</xdr:row>
          <xdr:rowOff>184150</xdr:rowOff>
        </xdr:to>
        <xdr:sp macro="" textlink="">
          <xdr:nvSpPr>
            <xdr:cNvPr id="15657" name="Check Box 297" hidden="1">
              <a:extLst>
                <a:ext uri="{63B3BB69-23CF-44E3-9099-C40C66FF867C}">
                  <a14:compatExt spid="_x0000_s15657"/>
                </a:ext>
                <a:ext uri="{FF2B5EF4-FFF2-40B4-BE49-F238E27FC236}">
                  <a16:creationId xmlns:a16="http://schemas.microsoft.com/office/drawing/2014/main" id="{00000000-0008-0000-1300-00002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448</xdr:row>
          <xdr:rowOff>0</xdr:rowOff>
        </xdr:from>
        <xdr:to>
          <xdr:col>22</xdr:col>
          <xdr:colOff>184150</xdr:colOff>
          <xdr:row>448</xdr:row>
          <xdr:rowOff>184150</xdr:rowOff>
        </xdr:to>
        <xdr:sp macro="" textlink="">
          <xdr:nvSpPr>
            <xdr:cNvPr id="15658" name="Check Box 298" hidden="1">
              <a:extLst>
                <a:ext uri="{63B3BB69-23CF-44E3-9099-C40C66FF867C}">
                  <a14:compatExt spid="_x0000_s15658"/>
                </a:ext>
                <a:ext uri="{FF2B5EF4-FFF2-40B4-BE49-F238E27FC236}">
                  <a16:creationId xmlns:a16="http://schemas.microsoft.com/office/drawing/2014/main" id="{00000000-0008-0000-1300-00002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452</xdr:row>
          <xdr:rowOff>0</xdr:rowOff>
        </xdr:from>
        <xdr:to>
          <xdr:col>22</xdr:col>
          <xdr:colOff>184150</xdr:colOff>
          <xdr:row>452</xdr:row>
          <xdr:rowOff>184150</xdr:rowOff>
        </xdr:to>
        <xdr:sp macro="" textlink="">
          <xdr:nvSpPr>
            <xdr:cNvPr id="15659" name="Check Box 299" hidden="1">
              <a:extLst>
                <a:ext uri="{63B3BB69-23CF-44E3-9099-C40C66FF867C}">
                  <a14:compatExt spid="_x0000_s15659"/>
                </a:ext>
                <a:ext uri="{FF2B5EF4-FFF2-40B4-BE49-F238E27FC236}">
                  <a16:creationId xmlns:a16="http://schemas.microsoft.com/office/drawing/2014/main" id="{00000000-0008-0000-1300-00002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456</xdr:row>
          <xdr:rowOff>0</xdr:rowOff>
        </xdr:from>
        <xdr:to>
          <xdr:col>22</xdr:col>
          <xdr:colOff>184150</xdr:colOff>
          <xdr:row>456</xdr:row>
          <xdr:rowOff>184150</xdr:rowOff>
        </xdr:to>
        <xdr:sp macro="" textlink="">
          <xdr:nvSpPr>
            <xdr:cNvPr id="15660" name="Check Box 300" hidden="1">
              <a:extLst>
                <a:ext uri="{63B3BB69-23CF-44E3-9099-C40C66FF867C}">
                  <a14:compatExt spid="_x0000_s15660"/>
                </a:ext>
                <a:ext uri="{FF2B5EF4-FFF2-40B4-BE49-F238E27FC236}">
                  <a16:creationId xmlns:a16="http://schemas.microsoft.com/office/drawing/2014/main" id="{00000000-0008-0000-1300-00002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461</xdr:row>
          <xdr:rowOff>0</xdr:rowOff>
        </xdr:from>
        <xdr:to>
          <xdr:col>22</xdr:col>
          <xdr:colOff>184150</xdr:colOff>
          <xdr:row>461</xdr:row>
          <xdr:rowOff>184150</xdr:rowOff>
        </xdr:to>
        <xdr:sp macro="" textlink="">
          <xdr:nvSpPr>
            <xdr:cNvPr id="15661" name="Check Box 301" hidden="1">
              <a:extLst>
                <a:ext uri="{63B3BB69-23CF-44E3-9099-C40C66FF867C}">
                  <a14:compatExt spid="_x0000_s15661"/>
                </a:ext>
                <a:ext uri="{FF2B5EF4-FFF2-40B4-BE49-F238E27FC236}">
                  <a16:creationId xmlns:a16="http://schemas.microsoft.com/office/drawing/2014/main" id="{00000000-0008-0000-1300-00002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466</xdr:row>
          <xdr:rowOff>0</xdr:rowOff>
        </xdr:from>
        <xdr:to>
          <xdr:col>22</xdr:col>
          <xdr:colOff>184150</xdr:colOff>
          <xdr:row>466</xdr:row>
          <xdr:rowOff>184150</xdr:rowOff>
        </xdr:to>
        <xdr:sp macro="" textlink="">
          <xdr:nvSpPr>
            <xdr:cNvPr id="15662" name="Check Box 302" hidden="1">
              <a:extLst>
                <a:ext uri="{63B3BB69-23CF-44E3-9099-C40C66FF867C}">
                  <a14:compatExt spid="_x0000_s15662"/>
                </a:ext>
                <a:ext uri="{FF2B5EF4-FFF2-40B4-BE49-F238E27FC236}">
                  <a16:creationId xmlns:a16="http://schemas.microsoft.com/office/drawing/2014/main" id="{00000000-0008-0000-1300-00002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468</xdr:row>
          <xdr:rowOff>0</xdr:rowOff>
        </xdr:from>
        <xdr:to>
          <xdr:col>22</xdr:col>
          <xdr:colOff>184150</xdr:colOff>
          <xdr:row>468</xdr:row>
          <xdr:rowOff>184150</xdr:rowOff>
        </xdr:to>
        <xdr:sp macro="" textlink="">
          <xdr:nvSpPr>
            <xdr:cNvPr id="15663" name="Check Box 303" hidden="1">
              <a:extLst>
                <a:ext uri="{63B3BB69-23CF-44E3-9099-C40C66FF867C}">
                  <a14:compatExt spid="_x0000_s15663"/>
                </a:ext>
                <a:ext uri="{FF2B5EF4-FFF2-40B4-BE49-F238E27FC236}">
                  <a16:creationId xmlns:a16="http://schemas.microsoft.com/office/drawing/2014/main" id="{00000000-0008-0000-1300-00002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470</xdr:row>
          <xdr:rowOff>0</xdr:rowOff>
        </xdr:from>
        <xdr:to>
          <xdr:col>22</xdr:col>
          <xdr:colOff>184150</xdr:colOff>
          <xdr:row>470</xdr:row>
          <xdr:rowOff>184150</xdr:rowOff>
        </xdr:to>
        <xdr:sp macro="" textlink="">
          <xdr:nvSpPr>
            <xdr:cNvPr id="15664" name="Check Box 304" hidden="1">
              <a:extLst>
                <a:ext uri="{63B3BB69-23CF-44E3-9099-C40C66FF867C}">
                  <a14:compatExt spid="_x0000_s15664"/>
                </a:ext>
                <a:ext uri="{FF2B5EF4-FFF2-40B4-BE49-F238E27FC236}">
                  <a16:creationId xmlns:a16="http://schemas.microsoft.com/office/drawing/2014/main" id="{00000000-0008-0000-1300-00003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482</xdr:row>
          <xdr:rowOff>0</xdr:rowOff>
        </xdr:from>
        <xdr:to>
          <xdr:col>22</xdr:col>
          <xdr:colOff>184150</xdr:colOff>
          <xdr:row>482</xdr:row>
          <xdr:rowOff>184150</xdr:rowOff>
        </xdr:to>
        <xdr:sp macro="" textlink="">
          <xdr:nvSpPr>
            <xdr:cNvPr id="15665" name="Check Box 305" hidden="1">
              <a:extLst>
                <a:ext uri="{63B3BB69-23CF-44E3-9099-C40C66FF867C}">
                  <a14:compatExt spid="_x0000_s15665"/>
                </a:ext>
                <a:ext uri="{FF2B5EF4-FFF2-40B4-BE49-F238E27FC236}">
                  <a16:creationId xmlns:a16="http://schemas.microsoft.com/office/drawing/2014/main" id="{00000000-0008-0000-1300-00003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492</xdr:row>
          <xdr:rowOff>0</xdr:rowOff>
        </xdr:from>
        <xdr:to>
          <xdr:col>22</xdr:col>
          <xdr:colOff>184150</xdr:colOff>
          <xdr:row>492</xdr:row>
          <xdr:rowOff>184150</xdr:rowOff>
        </xdr:to>
        <xdr:sp macro="" textlink="">
          <xdr:nvSpPr>
            <xdr:cNvPr id="15666" name="Check Box 306" hidden="1">
              <a:extLst>
                <a:ext uri="{63B3BB69-23CF-44E3-9099-C40C66FF867C}">
                  <a14:compatExt spid="_x0000_s15666"/>
                </a:ext>
                <a:ext uri="{FF2B5EF4-FFF2-40B4-BE49-F238E27FC236}">
                  <a16:creationId xmlns:a16="http://schemas.microsoft.com/office/drawing/2014/main" id="{00000000-0008-0000-1300-00003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495</xdr:row>
          <xdr:rowOff>0</xdr:rowOff>
        </xdr:from>
        <xdr:to>
          <xdr:col>22</xdr:col>
          <xdr:colOff>184150</xdr:colOff>
          <xdr:row>495</xdr:row>
          <xdr:rowOff>184150</xdr:rowOff>
        </xdr:to>
        <xdr:sp macro="" textlink="">
          <xdr:nvSpPr>
            <xdr:cNvPr id="15667" name="Check Box 307" hidden="1">
              <a:extLst>
                <a:ext uri="{63B3BB69-23CF-44E3-9099-C40C66FF867C}">
                  <a14:compatExt spid="_x0000_s15667"/>
                </a:ext>
                <a:ext uri="{FF2B5EF4-FFF2-40B4-BE49-F238E27FC236}">
                  <a16:creationId xmlns:a16="http://schemas.microsoft.com/office/drawing/2014/main" id="{00000000-0008-0000-1300-00003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496</xdr:row>
          <xdr:rowOff>0</xdr:rowOff>
        </xdr:from>
        <xdr:to>
          <xdr:col>22</xdr:col>
          <xdr:colOff>184150</xdr:colOff>
          <xdr:row>496</xdr:row>
          <xdr:rowOff>184150</xdr:rowOff>
        </xdr:to>
        <xdr:sp macro="" textlink="">
          <xdr:nvSpPr>
            <xdr:cNvPr id="15668" name="Check Box 308" hidden="1">
              <a:extLst>
                <a:ext uri="{63B3BB69-23CF-44E3-9099-C40C66FF867C}">
                  <a14:compatExt spid="_x0000_s15668"/>
                </a:ext>
                <a:ext uri="{FF2B5EF4-FFF2-40B4-BE49-F238E27FC236}">
                  <a16:creationId xmlns:a16="http://schemas.microsoft.com/office/drawing/2014/main" id="{00000000-0008-0000-1300-00003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506</xdr:row>
          <xdr:rowOff>0</xdr:rowOff>
        </xdr:from>
        <xdr:to>
          <xdr:col>22</xdr:col>
          <xdr:colOff>184150</xdr:colOff>
          <xdr:row>506</xdr:row>
          <xdr:rowOff>184150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1300-00003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508</xdr:row>
          <xdr:rowOff>0</xdr:rowOff>
        </xdr:from>
        <xdr:to>
          <xdr:col>22</xdr:col>
          <xdr:colOff>184150</xdr:colOff>
          <xdr:row>508</xdr:row>
          <xdr:rowOff>184150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1300-00003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524</xdr:row>
          <xdr:rowOff>0</xdr:rowOff>
        </xdr:from>
        <xdr:to>
          <xdr:col>22</xdr:col>
          <xdr:colOff>184150</xdr:colOff>
          <xdr:row>524</xdr:row>
          <xdr:rowOff>184150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1300-00003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535</xdr:row>
          <xdr:rowOff>0</xdr:rowOff>
        </xdr:from>
        <xdr:to>
          <xdr:col>22</xdr:col>
          <xdr:colOff>184150</xdr:colOff>
          <xdr:row>535</xdr:row>
          <xdr:rowOff>184150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1300-00003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536</xdr:row>
          <xdr:rowOff>0</xdr:rowOff>
        </xdr:from>
        <xdr:to>
          <xdr:col>22</xdr:col>
          <xdr:colOff>184150</xdr:colOff>
          <xdr:row>536</xdr:row>
          <xdr:rowOff>184150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1300-00003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544</xdr:row>
          <xdr:rowOff>0</xdr:rowOff>
        </xdr:from>
        <xdr:to>
          <xdr:col>22</xdr:col>
          <xdr:colOff>184150</xdr:colOff>
          <xdr:row>544</xdr:row>
          <xdr:rowOff>184150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1300-00003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546</xdr:row>
          <xdr:rowOff>0</xdr:rowOff>
        </xdr:from>
        <xdr:to>
          <xdr:col>22</xdr:col>
          <xdr:colOff>184150</xdr:colOff>
          <xdr:row>546</xdr:row>
          <xdr:rowOff>184150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1300-00003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547</xdr:row>
          <xdr:rowOff>0</xdr:rowOff>
        </xdr:from>
        <xdr:to>
          <xdr:col>22</xdr:col>
          <xdr:colOff>184150</xdr:colOff>
          <xdr:row>547</xdr:row>
          <xdr:rowOff>184150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1300-00003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550</xdr:row>
          <xdr:rowOff>0</xdr:rowOff>
        </xdr:from>
        <xdr:to>
          <xdr:col>22</xdr:col>
          <xdr:colOff>184150</xdr:colOff>
          <xdr:row>550</xdr:row>
          <xdr:rowOff>184150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1300-00003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554</xdr:row>
          <xdr:rowOff>0</xdr:rowOff>
        </xdr:from>
        <xdr:to>
          <xdr:col>22</xdr:col>
          <xdr:colOff>184150</xdr:colOff>
          <xdr:row>554</xdr:row>
          <xdr:rowOff>184150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1300-00003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559</xdr:row>
          <xdr:rowOff>0</xdr:rowOff>
        </xdr:from>
        <xdr:to>
          <xdr:col>22</xdr:col>
          <xdr:colOff>184150</xdr:colOff>
          <xdr:row>559</xdr:row>
          <xdr:rowOff>184150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1300-00003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561</xdr:row>
          <xdr:rowOff>0</xdr:rowOff>
        </xdr:from>
        <xdr:to>
          <xdr:col>22</xdr:col>
          <xdr:colOff>184150</xdr:colOff>
          <xdr:row>561</xdr:row>
          <xdr:rowOff>184150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1300-00004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578</xdr:row>
          <xdr:rowOff>0</xdr:rowOff>
        </xdr:from>
        <xdr:to>
          <xdr:col>22</xdr:col>
          <xdr:colOff>184150</xdr:colOff>
          <xdr:row>578</xdr:row>
          <xdr:rowOff>184150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1300-00004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595</xdr:row>
          <xdr:rowOff>0</xdr:rowOff>
        </xdr:from>
        <xdr:to>
          <xdr:col>22</xdr:col>
          <xdr:colOff>184150</xdr:colOff>
          <xdr:row>595</xdr:row>
          <xdr:rowOff>184150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1300-00004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608</xdr:row>
          <xdr:rowOff>0</xdr:rowOff>
        </xdr:from>
        <xdr:to>
          <xdr:col>22</xdr:col>
          <xdr:colOff>184150</xdr:colOff>
          <xdr:row>608</xdr:row>
          <xdr:rowOff>184150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1300-00004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610</xdr:row>
          <xdr:rowOff>0</xdr:rowOff>
        </xdr:from>
        <xdr:to>
          <xdr:col>22</xdr:col>
          <xdr:colOff>184150</xdr:colOff>
          <xdr:row>610</xdr:row>
          <xdr:rowOff>184150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1300-00004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623</xdr:row>
          <xdr:rowOff>0</xdr:rowOff>
        </xdr:from>
        <xdr:to>
          <xdr:col>22</xdr:col>
          <xdr:colOff>184150</xdr:colOff>
          <xdr:row>623</xdr:row>
          <xdr:rowOff>184150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1300-00004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624</xdr:row>
          <xdr:rowOff>0</xdr:rowOff>
        </xdr:from>
        <xdr:to>
          <xdr:col>22</xdr:col>
          <xdr:colOff>184150</xdr:colOff>
          <xdr:row>624</xdr:row>
          <xdr:rowOff>184150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1300-00004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625</xdr:row>
          <xdr:rowOff>0</xdr:rowOff>
        </xdr:from>
        <xdr:to>
          <xdr:col>22</xdr:col>
          <xdr:colOff>184150</xdr:colOff>
          <xdr:row>625</xdr:row>
          <xdr:rowOff>184150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1300-00004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626</xdr:row>
          <xdr:rowOff>0</xdr:rowOff>
        </xdr:from>
        <xdr:to>
          <xdr:col>22</xdr:col>
          <xdr:colOff>184150</xdr:colOff>
          <xdr:row>626</xdr:row>
          <xdr:rowOff>184150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1300-00004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627</xdr:row>
          <xdr:rowOff>0</xdr:rowOff>
        </xdr:from>
        <xdr:to>
          <xdr:col>22</xdr:col>
          <xdr:colOff>184150</xdr:colOff>
          <xdr:row>627</xdr:row>
          <xdr:rowOff>184150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1300-00004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628</xdr:row>
          <xdr:rowOff>0</xdr:rowOff>
        </xdr:from>
        <xdr:to>
          <xdr:col>22</xdr:col>
          <xdr:colOff>184150</xdr:colOff>
          <xdr:row>628</xdr:row>
          <xdr:rowOff>184150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1300-00004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629</xdr:row>
          <xdr:rowOff>0</xdr:rowOff>
        </xdr:from>
        <xdr:to>
          <xdr:col>22</xdr:col>
          <xdr:colOff>184150</xdr:colOff>
          <xdr:row>629</xdr:row>
          <xdr:rowOff>184150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1300-00004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630</xdr:row>
          <xdr:rowOff>0</xdr:rowOff>
        </xdr:from>
        <xdr:to>
          <xdr:col>22</xdr:col>
          <xdr:colOff>184150</xdr:colOff>
          <xdr:row>630</xdr:row>
          <xdr:rowOff>184150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1300-00004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631</xdr:row>
          <xdr:rowOff>0</xdr:rowOff>
        </xdr:from>
        <xdr:to>
          <xdr:col>22</xdr:col>
          <xdr:colOff>184150</xdr:colOff>
          <xdr:row>631</xdr:row>
          <xdr:rowOff>184150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1300-00004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682</xdr:row>
          <xdr:rowOff>0</xdr:rowOff>
        </xdr:from>
        <xdr:to>
          <xdr:col>22</xdr:col>
          <xdr:colOff>184150</xdr:colOff>
          <xdr:row>682</xdr:row>
          <xdr:rowOff>184150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1300-00004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687</xdr:row>
          <xdr:rowOff>0</xdr:rowOff>
        </xdr:from>
        <xdr:to>
          <xdr:col>22</xdr:col>
          <xdr:colOff>184150</xdr:colOff>
          <xdr:row>687</xdr:row>
          <xdr:rowOff>184150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1300-00004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693</xdr:row>
          <xdr:rowOff>0</xdr:rowOff>
        </xdr:from>
        <xdr:to>
          <xdr:col>22</xdr:col>
          <xdr:colOff>184150</xdr:colOff>
          <xdr:row>693</xdr:row>
          <xdr:rowOff>184150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1300-00005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726</xdr:row>
          <xdr:rowOff>0</xdr:rowOff>
        </xdr:from>
        <xdr:to>
          <xdr:col>22</xdr:col>
          <xdr:colOff>184150</xdr:colOff>
          <xdr:row>726</xdr:row>
          <xdr:rowOff>184150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1300-00005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735</xdr:row>
          <xdr:rowOff>0</xdr:rowOff>
        </xdr:from>
        <xdr:to>
          <xdr:col>22</xdr:col>
          <xdr:colOff>184150</xdr:colOff>
          <xdr:row>735</xdr:row>
          <xdr:rowOff>184150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1300-00005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743</xdr:row>
          <xdr:rowOff>0</xdr:rowOff>
        </xdr:from>
        <xdr:to>
          <xdr:col>22</xdr:col>
          <xdr:colOff>184150</xdr:colOff>
          <xdr:row>743</xdr:row>
          <xdr:rowOff>184150</xdr:rowOff>
        </xdr:to>
        <xdr:sp macro="" textlink="">
          <xdr:nvSpPr>
            <xdr:cNvPr id="15699" name="Check Box 339" hidden="1">
              <a:extLst>
                <a:ext uri="{63B3BB69-23CF-44E3-9099-C40C66FF867C}">
                  <a14:compatExt spid="_x0000_s15699"/>
                </a:ext>
                <a:ext uri="{FF2B5EF4-FFF2-40B4-BE49-F238E27FC236}">
                  <a16:creationId xmlns:a16="http://schemas.microsoft.com/office/drawing/2014/main" id="{00000000-0008-0000-1300-00005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823</xdr:row>
          <xdr:rowOff>0</xdr:rowOff>
        </xdr:from>
        <xdr:to>
          <xdr:col>22</xdr:col>
          <xdr:colOff>184150</xdr:colOff>
          <xdr:row>823</xdr:row>
          <xdr:rowOff>184150</xdr:rowOff>
        </xdr:to>
        <xdr:sp macro="" textlink="">
          <xdr:nvSpPr>
            <xdr:cNvPr id="15700" name="Check Box 340" hidden="1">
              <a:extLst>
                <a:ext uri="{63B3BB69-23CF-44E3-9099-C40C66FF867C}">
                  <a14:compatExt spid="_x0000_s15700"/>
                </a:ext>
                <a:ext uri="{FF2B5EF4-FFF2-40B4-BE49-F238E27FC236}">
                  <a16:creationId xmlns:a16="http://schemas.microsoft.com/office/drawing/2014/main" id="{00000000-0008-0000-1300-00005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824</xdr:row>
          <xdr:rowOff>0</xdr:rowOff>
        </xdr:from>
        <xdr:to>
          <xdr:col>22</xdr:col>
          <xdr:colOff>184150</xdr:colOff>
          <xdr:row>824</xdr:row>
          <xdr:rowOff>184150</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1300-00005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828</xdr:row>
          <xdr:rowOff>0</xdr:rowOff>
        </xdr:from>
        <xdr:to>
          <xdr:col>22</xdr:col>
          <xdr:colOff>184150</xdr:colOff>
          <xdr:row>828</xdr:row>
          <xdr:rowOff>184150</xdr:rowOff>
        </xdr:to>
        <xdr:sp macro="" textlink="">
          <xdr:nvSpPr>
            <xdr:cNvPr id="15702" name="Check Box 342" hidden="1">
              <a:extLst>
                <a:ext uri="{63B3BB69-23CF-44E3-9099-C40C66FF867C}">
                  <a14:compatExt spid="_x0000_s15702"/>
                </a:ext>
                <a:ext uri="{FF2B5EF4-FFF2-40B4-BE49-F238E27FC236}">
                  <a16:creationId xmlns:a16="http://schemas.microsoft.com/office/drawing/2014/main" id="{00000000-0008-0000-1300-00005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826</xdr:row>
          <xdr:rowOff>0</xdr:rowOff>
        </xdr:from>
        <xdr:to>
          <xdr:col>22</xdr:col>
          <xdr:colOff>184150</xdr:colOff>
          <xdr:row>826</xdr:row>
          <xdr:rowOff>184150</xdr:rowOff>
        </xdr:to>
        <xdr:sp macro="" textlink="">
          <xdr:nvSpPr>
            <xdr:cNvPr id="15703" name="Check Box 343" hidden="1">
              <a:extLst>
                <a:ext uri="{63B3BB69-23CF-44E3-9099-C40C66FF867C}">
                  <a14:compatExt spid="_x0000_s15703"/>
                </a:ext>
                <a:ext uri="{FF2B5EF4-FFF2-40B4-BE49-F238E27FC236}">
                  <a16:creationId xmlns:a16="http://schemas.microsoft.com/office/drawing/2014/main" id="{00000000-0008-0000-1300-00005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830</xdr:row>
          <xdr:rowOff>0</xdr:rowOff>
        </xdr:from>
        <xdr:to>
          <xdr:col>22</xdr:col>
          <xdr:colOff>184150</xdr:colOff>
          <xdr:row>830</xdr:row>
          <xdr:rowOff>184150</xdr:rowOff>
        </xdr:to>
        <xdr:sp macro="" textlink="">
          <xdr:nvSpPr>
            <xdr:cNvPr id="15704" name="Check Box 344" hidden="1">
              <a:extLst>
                <a:ext uri="{63B3BB69-23CF-44E3-9099-C40C66FF867C}">
                  <a14:compatExt spid="_x0000_s15704"/>
                </a:ext>
                <a:ext uri="{FF2B5EF4-FFF2-40B4-BE49-F238E27FC236}">
                  <a16:creationId xmlns:a16="http://schemas.microsoft.com/office/drawing/2014/main" id="{00000000-0008-0000-1300-00005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832</xdr:row>
          <xdr:rowOff>0</xdr:rowOff>
        </xdr:from>
        <xdr:to>
          <xdr:col>22</xdr:col>
          <xdr:colOff>184150</xdr:colOff>
          <xdr:row>832</xdr:row>
          <xdr:rowOff>184150</xdr:rowOff>
        </xdr:to>
        <xdr:sp macro="" textlink="">
          <xdr:nvSpPr>
            <xdr:cNvPr id="15705" name="Check Box 345" hidden="1">
              <a:extLst>
                <a:ext uri="{63B3BB69-23CF-44E3-9099-C40C66FF867C}">
                  <a14:compatExt spid="_x0000_s15705"/>
                </a:ext>
                <a:ext uri="{FF2B5EF4-FFF2-40B4-BE49-F238E27FC236}">
                  <a16:creationId xmlns:a16="http://schemas.microsoft.com/office/drawing/2014/main" id="{00000000-0008-0000-1300-00005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834</xdr:row>
          <xdr:rowOff>0</xdr:rowOff>
        </xdr:from>
        <xdr:to>
          <xdr:col>22</xdr:col>
          <xdr:colOff>184150</xdr:colOff>
          <xdr:row>834</xdr:row>
          <xdr:rowOff>184150</xdr:rowOff>
        </xdr:to>
        <xdr:sp macro="" textlink="">
          <xdr:nvSpPr>
            <xdr:cNvPr id="15706" name="Check Box 346" hidden="1">
              <a:extLst>
                <a:ext uri="{63B3BB69-23CF-44E3-9099-C40C66FF867C}">
                  <a14:compatExt spid="_x0000_s15706"/>
                </a:ext>
                <a:ext uri="{FF2B5EF4-FFF2-40B4-BE49-F238E27FC236}">
                  <a16:creationId xmlns:a16="http://schemas.microsoft.com/office/drawing/2014/main" id="{00000000-0008-0000-1300-00005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838</xdr:row>
          <xdr:rowOff>0</xdr:rowOff>
        </xdr:from>
        <xdr:to>
          <xdr:col>22</xdr:col>
          <xdr:colOff>184150</xdr:colOff>
          <xdr:row>838</xdr:row>
          <xdr:rowOff>184150</xdr:rowOff>
        </xdr:to>
        <xdr:sp macro="" textlink="">
          <xdr:nvSpPr>
            <xdr:cNvPr id="15707" name="Check Box 347" hidden="1">
              <a:extLst>
                <a:ext uri="{63B3BB69-23CF-44E3-9099-C40C66FF867C}">
                  <a14:compatExt spid="_x0000_s15707"/>
                </a:ext>
                <a:ext uri="{FF2B5EF4-FFF2-40B4-BE49-F238E27FC236}">
                  <a16:creationId xmlns:a16="http://schemas.microsoft.com/office/drawing/2014/main" id="{00000000-0008-0000-1300-00005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843</xdr:row>
          <xdr:rowOff>0</xdr:rowOff>
        </xdr:from>
        <xdr:to>
          <xdr:col>22</xdr:col>
          <xdr:colOff>184150</xdr:colOff>
          <xdr:row>843</xdr:row>
          <xdr:rowOff>184150</xdr:rowOff>
        </xdr:to>
        <xdr:sp macro="" textlink="">
          <xdr:nvSpPr>
            <xdr:cNvPr id="15708" name="Check Box 348" hidden="1">
              <a:extLst>
                <a:ext uri="{63B3BB69-23CF-44E3-9099-C40C66FF867C}">
                  <a14:compatExt spid="_x0000_s15708"/>
                </a:ext>
                <a:ext uri="{FF2B5EF4-FFF2-40B4-BE49-F238E27FC236}">
                  <a16:creationId xmlns:a16="http://schemas.microsoft.com/office/drawing/2014/main" id="{00000000-0008-0000-1300-00005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847</xdr:row>
          <xdr:rowOff>0</xdr:rowOff>
        </xdr:from>
        <xdr:to>
          <xdr:col>22</xdr:col>
          <xdr:colOff>184150</xdr:colOff>
          <xdr:row>847</xdr:row>
          <xdr:rowOff>184150</xdr:rowOff>
        </xdr:to>
        <xdr:sp macro="" textlink="">
          <xdr:nvSpPr>
            <xdr:cNvPr id="15709" name="Check Box 349" hidden="1">
              <a:extLst>
                <a:ext uri="{63B3BB69-23CF-44E3-9099-C40C66FF867C}">
                  <a14:compatExt spid="_x0000_s15709"/>
                </a:ext>
                <a:ext uri="{FF2B5EF4-FFF2-40B4-BE49-F238E27FC236}">
                  <a16:creationId xmlns:a16="http://schemas.microsoft.com/office/drawing/2014/main" id="{00000000-0008-0000-1300-00005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849</xdr:row>
          <xdr:rowOff>0</xdr:rowOff>
        </xdr:from>
        <xdr:to>
          <xdr:col>22</xdr:col>
          <xdr:colOff>184150</xdr:colOff>
          <xdr:row>849</xdr:row>
          <xdr:rowOff>184150</xdr:rowOff>
        </xdr:to>
        <xdr:sp macro="" textlink="">
          <xdr:nvSpPr>
            <xdr:cNvPr id="15710" name="Check Box 350" hidden="1">
              <a:extLst>
                <a:ext uri="{63B3BB69-23CF-44E3-9099-C40C66FF867C}">
                  <a14:compatExt spid="_x0000_s15710"/>
                </a:ext>
                <a:ext uri="{FF2B5EF4-FFF2-40B4-BE49-F238E27FC236}">
                  <a16:creationId xmlns:a16="http://schemas.microsoft.com/office/drawing/2014/main" id="{00000000-0008-0000-1300-00005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851</xdr:row>
          <xdr:rowOff>0</xdr:rowOff>
        </xdr:from>
        <xdr:to>
          <xdr:col>22</xdr:col>
          <xdr:colOff>184150</xdr:colOff>
          <xdr:row>851</xdr:row>
          <xdr:rowOff>184150</xdr:rowOff>
        </xdr:to>
        <xdr:sp macro="" textlink="">
          <xdr:nvSpPr>
            <xdr:cNvPr id="15711" name="Check Box 351" hidden="1">
              <a:extLst>
                <a:ext uri="{63B3BB69-23CF-44E3-9099-C40C66FF867C}">
                  <a14:compatExt spid="_x0000_s15711"/>
                </a:ext>
                <a:ext uri="{FF2B5EF4-FFF2-40B4-BE49-F238E27FC236}">
                  <a16:creationId xmlns:a16="http://schemas.microsoft.com/office/drawing/2014/main" id="{00000000-0008-0000-1300-00005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852</xdr:row>
          <xdr:rowOff>0</xdr:rowOff>
        </xdr:from>
        <xdr:to>
          <xdr:col>22</xdr:col>
          <xdr:colOff>184150</xdr:colOff>
          <xdr:row>852</xdr:row>
          <xdr:rowOff>184150</xdr:rowOff>
        </xdr:to>
        <xdr:sp macro="" textlink="">
          <xdr:nvSpPr>
            <xdr:cNvPr id="15712" name="Check Box 352" hidden="1">
              <a:extLst>
                <a:ext uri="{63B3BB69-23CF-44E3-9099-C40C66FF867C}">
                  <a14:compatExt spid="_x0000_s15712"/>
                </a:ext>
                <a:ext uri="{FF2B5EF4-FFF2-40B4-BE49-F238E27FC236}">
                  <a16:creationId xmlns:a16="http://schemas.microsoft.com/office/drawing/2014/main" id="{00000000-0008-0000-1300-00006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853</xdr:row>
          <xdr:rowOff>0</xdr:rowOff>
        </xdr:from>
        <xdr:to>
          <xdr:col>22</xdr:col>
          <xdr:colOff>184150</xdr:colOff>
          <xdr:row>853</xdr:row>
          <xdr:rowOff>184150</xdr:rowOff>
        </xdr:to>
        <xdr:sp macro="" textlink="">
          <xdr:nvSpPr>
            <xdr:cNvPr id="15713" name="Check Box 353" hidden="1">
              <a:extLst>
                <a:ext uri="{63B3BB69-23CF-44E3-9099-C40C66FF867C}">
                  <a14:compatExt spid="_x0000_s15713"/>
                </a:ext>
                <a:ext uri="{FF2B5EF4-FFF2-40B4-BE49-F238E27FC236}">
                  <a16:creationId xmlns:a16="http://schemas.microsoft.com/office/drawing/2014/main" id="{00000000-0008-0000-1300-00006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857</xdr:row>
          <xdr:rowOff>0</xdr:rowOff>
        </xdr:from>
        <xdr:to>
          <xdr:col>22</xdr:col>
          <xdr:colOff>184150</xdr:colOff>
          <xdr:row>857</xdr:row>
          <xdr:rowOff>184150</xdr:rowOff>
        </xdr:to>
        <xdr:sp macro="" textlink="">
          <xdr:nvSpPr>
            <xdr:cNvPr id="15714" name="Check Box 354" hidden="1">
              <a:extLst>
                <a:ext uri="{63B3BB69-23CF-44E3-9099-C40C66FF867C}">
                  <a14:compatExt spid="_x0000_s15714"/>
                </a:ext>
                <a:ext uri="{FF2B5EF4-FFF2-40B4-BE49-F238E27FC236}">
                  <a16:creationId xmlns:a16="http://schemas.microsoft.com/office/drawing/2014/main" id="{00000000-0008-0000-1300-00006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932</xdr:row>
          <xdr:rowOff>0</xdr:rowOff>
        </xdr:from>
        <xdr:to>
          <xdr:col>22</xdr:col>
          <xdr:colOff>184150</xdr:colOff>
          <xdr:row>932</xdr:row>
          <xdr:rowOff>184150</xdr:rowOff>
        </xdr:to>
        <xdr:sp macro="" textlink="">
          <xdr:nvSpPr>
            <xdr:cNvPr id="15804" name="Check Box 444" hidden="1">
              <a:extLst>
                <a:ext uri="{63B3BB69-23CF-44E3-9099-C40C66FF867C}">
                  <a14:compatExt spid="_x0000_s15804"/>
                </a:ext>
                <a:ext uri="{FF2B5EF4-FFF2-40B4-BE49-F238E27FC236}">
                  <a16:creationId xmlns:a16="http://schemas.microsoft.com/office/drawing/2014/main" id="{00000000-0008-0000-1300-0000B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937</xdr:row>
          <xdr:rowOff>0</xdr:rowOff>
        </xdr:from>
        <xdr:to>
          <xdr:col>22</xdr:col>
          <xdr:colOff>184150</xdr:colOff>
          <xdr:row>937</xdr:row>
          <xdr:rowOff>184150</xdr:rowOff>
        </xdr:to>
        <xdr:sp macro="" textlink="">
          <xdr:nvSpPr>
            <xdr:cNvPr id="15805" name="Check Box 445" hidden="1">
              <a:extLst>
                <a:ext uri="{63B3BB69-23CF-44E3-9099-C40C66FF867C}">
                  <a14:compatExt spid="_x0000_s15805"/>
                </a:ext>
                <a:ext uri="{FF2B5EF4-FFF2-40B4-BE49-F238E27FC236}">
                  <a16:creationId xmlns:a16="http://schemas.microsoft.com/office/drawing/2014/main" id="{00000000-0008-0000-1300-0000B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946</xdr:row>
          <xdr:rowOff>0</xdr:rowOff>
        </xdr:from>
        <xdr:to>
          <xdr:col>22</xdr:col>
          <xdr:colOff>184150</xdr:colOff>
          <xdr:row>946</xdr:row>
          <xdr:rowOff>184150</xdr:rowOff>
        </xdr:to>
        <xdr:sp macro="" textlink="">
          <xdr:nvSpPr>
            <xdr:cNvPr id="15806" name="Check Box 446" hidden="1">
              <a:extLst>
                <a:ext uri="{63B3BB69-23CF-44E3-9099-C40C66FF867C}">
                  <a14:compatExt spid="_x0000_s15806"/>
                </a:ext>
                <a:ext uri="{FF2B5EF4-FFF2-40B4-BE49-F238E27FC236}">
                  <a16:creationId xmlns:a16="http://schemas.microsoft.com/office/drawing/2014/main" id="{00000000-0008-0000-1300-0000B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949</xdr:row>
          <xdr:rowOff>0</xdr:rowOff>
        </xdr:from>
        <xdr:to>
          <xdr:col>22</xdr:col>
          <xdr:colOff>184150</xdr:colOff>
          <xdr:row>949</xdr:row>
          <xdr:rowOff>184150</xdr:rowOff>
        </xdr:to>
        <xdr:sp macro="" textlink="">
          <xdr:nvSpPr>
            <xdr:cNvPr id="15807" name="Check Box 447" hidden="1">
              <a:extLst>
                <a:ext uri="{63B3BB69-23CF-44E3-9099-C40C66FF867C}">
                  <a14:compatExt spid="_x0000_s15807"/>
                </a:ext>
                <a:ext uri="{FF2B5EF4-FFF2-40B4-BE49-F238E27FC236}">
                  <a16:creationId xmlns:a16="http://schemas.microsoft.com/office/drawing/2014/main" id="{00000000-0008-0000-1300-0000B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950</xdr:row>
          <xdr:rowOff>0</xdr:rowOff>
        </xdr:from>
        <xdr:to>
          <xdr:col>22</xdr:col>
          <xdr:colOff>184150</xdr:colOff>
          <xdr:row>950</xdr:row>
          <xdr:rowOff>184150</xdr:rowOff>
        </xdr:to>
        <xdr:sp macro="" textlink="">
          <xdr:nvSpPr>
            <xdr:cNvPr id="15808" name="Check Box 448" hidden="1">
              <a:extLst>
                <a:ext uri="{63B3BB69-23CF-44E3-9099-C40C66FF867C}">
                  <a14:compatExt spid="_x0000_s15808"/>
                </a:ext>
                <a:ext uri="{FF2B5EF4-FFF2-40B4-BE49-F238E27FC236}">
                  <a16:creationId xmlns:a16="http://schemas.microsoft.com/office/drawing/2014/main" id="{00000000-0008-0000-1300-0000C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954</xdr:row>
          <xdr:rowOff>0</xdr:rowOff>
        </xdr:from>
        <xdr:to>
          <xdr:col>22</xdr:col>
          <xdr:colOff>184150</xdr:colOff>
          <xdr:row>954</xdr:row>
          <xdr:rowOff>184150</xdr:rowOff>
        </xdr:to>
        <xdr:sp macro="" textlink="">
          <xdr:nvSpPr>
            <xdr:cNvPr id="15809" name="Check Box 449" hidden="1">
              <a:extLst>
                <a:ext uri="{63B3BB69-23CF-44E3-9099-C40C66FF867C}">
                  <a14:compatExt spid="_x0000_s15809"/>
                </a:ext>
                <a:ext uri="{FF2B5EF4-FFF2-40B4-BE49-F238E27FC236}">
                  <a16:creationId xmlns:a16="http://schemas.microsoft.com/office/drawing/2014/main" id="{00000000-0008-0000-1300-0000C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990</xdr:row>
          <xdr:rowOff>0</xdr:rowOff>
        </xdr:from>
        <xdr:to>
          <xdr:col>22</xdr:col>
          <xdr:colOff>184150</xdr:colOff>
          <xdr:row>990</xdr:row>
          <xdr:rowOff>184150</xdr:rowOff>
        </xdr:to>
        <xdr:sp macro="" textlink="">
          <xdr:nvSpPr>
            <xdr:cNvPr id="15811" name="Check Box 451" hidden="1">
              <a:extLst>
                <a:ext uri="{63B3BB69-23CF-44E3-9099-C40C66FF867C}">
                  <a14:compatExt spid="_x0000_s15811"/>
                </a:ext>
                <a:ext uri="{FF2B5EF4-FFF2-40B4-BE49-F238E27FC236}">
                  <a16:creationId xmlns:a16="http://schemas.microsoft.com/office/drawing/2014/main" id="{00000000-0008-0000-1300-0000C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993</xdr:row>
          <xdr:rowOff>0</xdr:rowOff>
        </xdr:from>
        <xdr:to>
          <xdr:col>22</xdr:col>
          <xdr:colOff>184150</xdr:colOff>
          <xdr:row>993</xdr:row>
          <xdr:rowOff>184150</xdr:rowOff>
        </xdr:to>
        <xdr:sp macro="" textlink="">
          <xdr:nvSpPr>
            <xdr:cNvPr id="15812" name="Check Box 452" hidden="1">
              <a:extLst>
                <a:ext uri="{63B3BB69-23CF-44E3-9099-C40C66FF867C}">
                  <a14:compatExt spid="_x0000_s15812"/>
                </a:ext>
                <a:ext uri="{FF2B5EF4-FFF2-40B4-BE49-F238E27FC236}">
                  <a16:creationId xmlns:a16="http://schemas.microsoft.com/office/drawing/2014/main" id="{00000000-0008-0000-1300-0000C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1019</xdr:row>
          <xdr:rowOff>0</xdr:rowOff>
        </xdr:from>
        <xdr:to>
          <xdr:col>22</xdr:col>
          <xdr:colOff>184150</xdr:colOff>
          <xdr:row>1019</xdr:row>
          <xdr:rowOff>184150</xdr:rowOff>
        </xdr:to>
        <xdr:sp macro="" textlink="">
          <xdr:nvSpPr>
            <xdr:cNvPr id="15813" name="Check Box 453" hidden="1">
              <a:extLst>
                <a:ext uri="{63B3BB69-23CF-44E3-9099-C40C66FF867C}">
                  <a14:compatExt spid="_x0000_s15813"/>
                </a:ext>
                <a:ext uri="{FF2B5EF4-FFF2-40B4-BE49-F238E27FC236}">
                  <a16:creationId xmlns:a16="http://schemas.microsoft.com/office/drawing/2014/main" id="{00000000-0008-0000-1300-0000C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1039</xdr:row>
          <xdr:rowOff>0</xdr:rowOff>
        </xdr:from>
        <xdr:to>
          <xdr:col>22</xdr:col>
          <xdr:colOff>184150</xdr:colOff>
          <xdr:row>1039</xdr:row>
          <xdr:rowOff>184150</xdr:rowOff>
        </xdr:to>
        <xdr:sp macro="" textlink="">
          <xdr:nvSpPr>
            <xdr:cNvPr id="15814" name="Check Box 454" hidden="1">
              <a:extLst>
                <a:ext uri="{63B3BB69-23CF-44E3-9099-C40C66FF867C}">
                  <a14:compatExt spid="_x0000_s15814"/>
                </a:ext>
                <a:ext uri="{FF2B5EF4-FFF2-40B4-BE49-F238E27FC236}">
                  <a16:creationId xmlns:a16="http://schemas.microsoft.com/office/drawing/2014/main" id="{00000000-0008-0000-1300-0000C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1041</xdr:row>
          <xdr:rowOff>0</xdr:rowOff>
        </xdr:from>
        <xdr:to>
          <xdr:col>22</xdr:col>
          <xdr:colOff>184150</xdr:colOff>
          <xdr:row>1041</xdr:row>
          <xdr:rowOff>184150</xdr:rowOff>
        </xdr:to>
        <xdr:sp macro="" textlink="">
          <xdr:nvSpPr>
            <xdr:cNvPr id="15815" name="Check Box 455" hidden="1">
              <a:extLst>
                <a:ext uri="{63B3BB69-23CF-44E3-9099-C40C66FF867C}">
                  <a14:compatExt spid="_x0000_s15815"/>
                </a:ext>
                <a:ext uri="{FF2B5EF4-FFF2-40B4-BE49-F238E27FC236}">
                  <a16:creationId xmlns:a16="http://schemas.microsoft.com/office/drawing/2014/main" id="{00000000-0008-0000-1300-0000C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1042</xdr:row>
          <xdr:rowOff>0</xdr:rowOff>
        </xdr:from>
        <xdr:to>
          <xdr:col>22</xdr:col>
          <xdr:colOff>184150</xdr:colOff>
          <xdr:row>1042</xdr:row>
          <xdr:rowOff>184150</xdr:rowOff>
        </xdr:to>
        <xdr:sp macro="" textlink="">
          <xdr:nvSpPr>
            <xdr:cNvPr id="15816" name="Check Box 456" hidden="1">
              <a:extLst>
                <a:ext uri="{63B3BB69-23CF-44E3-9099-C40C66FF867C}">
                  <a14:compatExt spid="_x0000_s15816"/>
                </a:ext>
                <a:ext uri="{FF2B5EF4-FFF2-40B4-BE49-F238E27FC236}">
                  <a16:creationId xmlns:a16="http://schemas.microsoft.com/office/drawing/2014/main" id="{00000000-0008-0000-1300-0000C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1048</xdr:row>
          <xdr:rowOff>0</xdr:rowOff>
        </xdr:from>
        <xdr:to>
          <xdr:col>22</xdr:col>
          <xdr:colOff>184150</xdr:colOff>
          <xdr:row>1048</xdr:row>
          <xdr:rowOff>184150</xdr:rowOff>
        </xdr:to>
        <xdr:sp macro="" textlink="">
          <xdr:nvSpPr>
            <xdr:cNvPr id="15817" name="Check Box 457" hidden="1">
              <a:extLst>
                <a:ext uri="{63B3BB69-23CF-44E3-9099-C40C66FF867C}">
                  <a14:compatExt spid="_x0000_s15817"/>
                </a:ext>
                <a:ext uri="{FF2B5EF4-FFF2-40B4-BE49-F238E27FC236}">
                  <a16:creationId xmlns:a16="http://schemas.microsoft.com/office/drawing/2014/main" id="{00000000-0008-0000-1300-0000C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1065</xdr:row>
          <xdr:rowOff>0</xdr:rowOff>
        </xdr:from>
        <xdr:to>
          <xdr:col>22</xdr:col>
          <xdr:colOff>184150</xdr:colOff>
          <xdr:row>1065</xdr:row>
          <xdr:rowOff>184150</xdr:rowOff>
        </xdr:to>
        <xdr:sp macro="" textlink="">
          <xdr:nvSpPr>
            <xdr:cNvPr id="15818" name="Check Box 458" hidden="1">
              <a:extLst>
                <a:ext uri="{63B3BB69-23CF-44E3-9099-C40C66FF867C}">
                  <a14:compatExt spid="_x0000_s15818"/>
                </a:ext>
                <a:ext uri="{FF2B5EF4-FFF2-40B4-BE49-F238E27FC236}">
                  <a16:creationId xmlns:a16="http://schemas.microsoft.com/office/drawing/2014/main" id="{00000000-0008-0000-1300-0000C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1080</xdr:row>
          <xdr:rowOff>0</xdr:rowOff>
        </xdr:from>
        <xdr:to>
          <xdr:col>22</xdr:col>
          <xdr:colOff>184150</xdr:colOff>
          <xdr:row>1080</xdr:row>
          <xdr:rowOff>184150</xdr:rowOff>
        </xdr:to>
        <xdr:sp macro="" textlink="">
          <xdr:nvSpPr>
            <xdr:cNvPr id="15819" name="Check Box 459" hidden="1">
              <a:extLst>
                <a:ext uri="{63B3BB69-23CF-44E3-9099-C40C66FF867C}">
                  <a14:compatExt spid="_x0000_s15819"/>
                </a:ext>
                <a:ext uri="{FF2B5EF4-FFF2-40B4-BE49-F238E27FC236}">
                  <a16:creationId xmlns:a16="http://schemas.microsoft.com/office/drawing/2014/main" id="{00000000-0008-0000-1300-0000C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1089</xdr:row>
          <xdr:rowOff>0</xdr:rowOff>
        </xdr:from>
        <xdr:to>
          <xdr:col>22</xdr:col>
          <xdr:colOff>184150</xdr:colOff>
          <xdr:row>1089</xdr:row>
          <xdr:rowOff>184150</xdr:rowOff>
        </xdr:to>
        <xdr:sp macro="" textlink="">
          <xdr:nvSpPr>
            <xdr:cNvPr id="15821" name="Check Box 461" hidden="1">
              <a:extLst>
                <a:ext uri="{63B3BB69-23CF-44E3-9099-C40C66FF867C}">
                  <a14:compatExt spid="_x0000_s15821"/>
                </a:ext>
                <a:ext uri="{FF2B5EF4-FFF2-40B4-BE49-F238E27FC236}">
                  <a16:creationId xmlns:a16="http://schemas.microsoft.com/office/drawing/2014/main" id="{00000000-0008-0000-1300-0000C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1098</xdr:row>
          <xdr:rowOff>0</xdr:rowOff>
        </xdr:from>
        <xdr:to>
          <xdr:col>22</xdr:col>
          <xdr:colOff>184150</xdr:colOff>
          <xdr:row>1098</xdr:row>
          <xdr:rowOff>184150</xdr:rowOff>
        </xdr:to>
        <xdr:sp macro="" textlink="">
          <xdr:nvSpPr>
            <xdr:cNvPr id="15822" name="Check Box 462" hidden="1">
              <a:extLst>
                <a:ext uri="{63B3BB69-23CF-44E3-9099-C40C66FF867C}">
                  <a14:compatExt spid="_x0000_s15822"/>
                </a:ext>
                <a:ext uri="{FF2B5EF4-FFF2-40B4-BE49-F238E27FC236}">
                  <a16:creationId xmlns:a16="http://schemas.microsoft.com/office/drawing/2014/main" id="{00000000-0008-0000-1300-0000C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1153</xdr:row>
          <xdr:rowOff>0</xdr:rowOff>
        </xdr:from>
        <xdr:to>
          <xdr:col>22</xdr:col>
          <xdr:colOff>184150</xdr:colOff>
          <xdr:row>1153</xdr:row>
          <xdr:rowOff>184150</xdr:rowOff>
        </xdr:to>
        <xdr:sp macro="" textlink="">
          <xdr:nvSpPr>
            <xdr:cNvPr id="15824" name="Check Box 464" hidden="1">
              <a:extLst>
                <a:ext uri="{63B3BB69-23CF-44E3-9099-C40C66FF867C}">
                  <a14:compatExt spid="_x0000_s15824"/>
                </a:ext>
                <a:ext uri="{FF2B5EF4-FFF2-40B4-BE49-F238E27FC236}">
                  <a16:creationId xmlns:a16="http://schemas.microsoft.com/office/drawing/2014/main" id="{00000000-0008-0000-1300-0000D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1197</xdr:row>
          <xdr:rowOff>0</xdr:rowOff>
        </xdr:from>
        <xdr:to>
          <xdr:col>22</xdr:col>
          <xdr:colOff>184150</xdr:colOff>
          <xdr:row>1197</xdr:row>
          <xdr:rowOff>184150</xdr:rowOff>
        </xdr:to>
        <xdr:sp macro="" textlink="">
          <xdr:nvSpPr>
            <xdr:cNvPr id="15825" name="Check Box 465" hidden="1">
              <a:extLst>
                <a:ext uri="{63B3BB69-23CF-44E3-9099-C40C66FF867C}">
                  <a14:compatExt spid="_x0000_s15825"/>
                </a:ext>
                <a:ext uri="{FF2B5EF4-FFF2-40B4-BE49-F238E27FC236}">
                  <a16:creationId xmlns:a16="http://schemas.microsoft.com/office/drawing/2014/main" id="{00000000-0008-0000-1300-0000D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1200</xdr:row>
          <xdr:rowOff>0</xdr:rowOff>
        </xdr:from>
        <xdr:to>
          <xdr:col>22</xdr:col>
          <xdr:colOff>184150</xdr:colOff>
          <xdr:row>1200</xdr:row>
          <xdr:rowOff>184150</xdr:rowOff>
        </xdr:to>
        <xdr:sp macro="" textlink="">
          <xdr:nvSpPr>
            <xdr:cNvPr id="15826" name="Check Box 466" hidden="1">
              <a:extLst>
                <a:ext uri="{63B3BB69-23CF-44E3-9099-C40C66FF867C}">
                  <a14:compatExt spid="_x0000_s15826"/>
                </a:ext>
                <a:ext uri="{FF2B5EF4-FFF2-40B4-BE49-F238E27FC236}">
                  <a16:creationId xmlns:a16="http://schemas.microsoft.com/office/drawing/2014/main" id="{00000000-0008-0000-1300-0000D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1210</xdr:row>
          <xdr:rowOff>0</xdr:rowOff>
        </xdr:from>
        <xdr:to>
          <xdr:col>22</xdr:col>
          <xdr:colOff>184150</xdr:colOff>
          <xdr:row>1210</xdr:row>
          <xdr:rowOff>184150</xdr:rowOff>
        </xdr:to>
        <xdr:sp macro="" textlink="">
          <xdr:nvSpPr>
            <xdr:cNvPr id="15827" name="Check Box 467" hidden="1">
              <a:extLst>
                <a:ext uri="{63B3BB69-23CF-44E3-9099-C40C66FF867C}">
                  <a14:compatExt spid="_x0000_s15827"/>
                </a:ext>
                <a:ext uri="{FF2B5EF4-FFF2-40B4-BE49-F238E27FC236}">
                  <a16:creationId xmlns:a16="http://schemas.microsoft.com/office/drawing/2014/main" id="{00000000-0008-0000-1300-0000D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1217</xdr:row>
          <xdr:rowOff>0</xdr:rowOff>
        </xdr:from>
        <xdr:to>
          <xdr:col>22</xdr:col>
          <xdr:colOff>184150</xdr:colOff>
          <xdr:row>1217</xdr:row>
          <xdr:rowOff>184150</xdr:rowOff>
        </xdr:to>
        <xdr:sp macro="" textlink="">
          <xdr:nvSpPr>
            <xdr:cNvPr id="15828" name="Check Box 468" hidden="1">
              <a:extLst>
                <a:ext uri="{63B3BB69-23CF-44E3-9099-C40C66FF867C}">
                  <a14:compatExt spid="_x0000_s15828"/>
                </a:ext>
                <a:ext uri="{FF2B5EF4-FFF2-40B4-BE49-F238E27FC236}">
                  <a16:creationId xmlns:a16="http://schemas.microsoft.com/office/drawing/2014/main" id="{00000000-0008-0000-1300-0000D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1223</xdr:row>
          <xdr:rowOff>0</xdr:rowOff>
        </xdr:from>
        <xdr:to>
          <xdr:col>22</xdr:col>
          <xdr:colOff>184150</xdr:colOff>
          <xdr:row>1223</xdr:row>
          <xdr:rowOff>184150</xdr:rowOff>
        </xdr:to>
        <xdr:sp macro="" textlink="">
          <xdr:nvSpPr>
            <xdr:cNvPr id="15829" name="Check Box 469" hidden="1">
              <a:extLst>
                <a:ext uri="{63B3BB69-23CF-44E3-9099-C40C66FF867C}">
                  <a14:compatExt spid="_x0000_s15829"/>
                </a:ext>
                <a:ext uri="{FF2B5EF4-FFF2-40B4-BE49-F238E27FC236}">
                  <a16:creationId xmlns:a16="http://schemas.microsoft.com/office/drawing/2014/main" id="{00000000-0008-0000-1300-0000D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1225</xdr:row>
          <xdr:rowOff>0</xdr:rowOff>
        </xdr:from>
        <xdr:to>
          <xdr:col>22</xdr:col>
          <xdr:colOff>184150</xdr:colOff>
          <xdr:row>1225</xdr:row>
          <xdr:rowOff>184150</xdr:rowOff>
        </xdr:to>
        <xdr:sp macro="" textlink="">
          <xdr:nvSpPr>
            <xdr:cNvPr id="15830" name="Check Box 470" hidden="1">
              <a:extLst>
                <a:ext uri="{63B3BB69-23CF-44E3-9099-C40C66FF867C}">
                  <a14:compatExt spid="_x0000_s15830"/>
                </a:ext>
                <a:ext uri="{FF2B5EF4-FFF2-40B4-BE49-F238E27FC236}">
                  <a16:creationId xmlns:a16="http://schemas.microsoft.com/office/drawing/2014/main" id="{00000000-0008-0000-1300-0000D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1228</xdr:row>
          <xdr:rowOff>0</xdr:rowOff>
        </xdr:from>
        <xdr:to>
          <xdr:col>22</xdr:col>
          <xdr:colOff>184150</xdr:colOff>
          <xdr:row>1228</xdr:row>
          <xdr:rowOff>184150</xdr:rowOff>
        </xdr:to>
        <xdr:sp macro="" textlink="">
          <xdr:nvSpPr>
            <xdr:cNvPr id="15831" name="Check Box 471" hidden="1">
              <a:extLst>
                <a:ext uri="{63B3BB69-23CF-44E3-9099-C40C66FF867C}">
                  <a14:compatExt spid="_x0000_s15831"/>
                </a:ext>
                <a:ext uri="{FF2B5EF4-FFF2-40B4-BE49-F238E27FC236}">
                  <a16:creationId xmlns:a16="http://schemas.microsoft.com/office/drawing/2014/main" id="{00000000-0008-0000-1300-0000D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1229</xdr:row>
          <xdr:rowOff>0</xdr:rowOff>
        </xdr:from>
        <xdr:to>
          <xdr:col>22</xdr:col>
          <xdr:colOff>184150</xdr:colOff>
          <xdr:row>1229</xdr:row>
          <xdr:rowOff>184150</xdr:rowOff>
        </xdr:to>
        <xdr:sp macro="" textlink="">
          <xdr:nvSpPr>
            <xdr:cNvPr id="15832" name="Check Box 472" hidden="1">
              <a:extLst>
                <a:ext uri="{63B3BB69-23CF-44E3-9099-C40C66FF867C}">
                  <a14:compatExt spid="_x0000_s15832"/>
                </a:ext>
                <a:ext uri="{FF2B5EF4-FFF2-40B4-BE49-F238E27FC236}">
                  <a16:creationId xmlns:a16="http://schemas.microsoft.com/office/drawing/2014/main" id="{00000000-0008-0000-1300-0000D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1231</xdr:row>
          <xdr:rowOff>0</xdr:rowOff>
        </xdr:from>
        <xdr:to>
          <xdr:col>22</xdr:col>
          <xdr:colOff>184150</xdr:colOff>
          <xdr:row>1231</xdr:row>
          <xdr:rowOff>184150</xdr:rowOff>
        </xdr:to>
        <xdr:sp macro="" textlink="">
          <xdr:nvSpPr>
            <xdr:cNvPr id="15833" name="Check Box 473" hidden="1">
              <a:extLst>
                <a:ext uri="{63B3BB69-23CF-44E3-9099-C40C66FF867C}">
                  <a14:compatExt spid="_x0000_s15833"/>
                </a:ext>
                <a:ext uri="{FF2B5EF4-FFF2-40B4-BE49-F238E27FC236}">
                  <a16:creationId xmlns:a16="http://schemas.microsoft.com/office/drawing/2014/main" id="{00000000-0008-0000-1300-0000D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1292</xdr:row>
          <xdr:rowOff>0</xdr:rowOff>
        </xdr:from>
        <xdr:to>
          <xdr:col>22</xdr:col>
          <xdr:colOff>184150</xdr:colOff>
          <xdr:row>1292</xdr:row>
          <xdr:rowOff>184150</xdr:rowOff>
        </xdr:to>
        <xdr:sp macro="" textlink="">
          <xdr:nvSpPr>
            <xdr:cNvPr id="15834" name="Check Box 474" hidden="1">
              <a:extLst>
                <a:ext uri="{63B3BB69-23CF-44E3-9099-C40C66FF867C}">
                  <a14:compatExt spid="_x0000_s15834"/>
                </a:ext>
                <a:ext uri="{FF2B5EF4-FFF2-40B4-BE49-F238E27FC236}">
                  <a16:creationId xmlns:a16="http://schemas.microsoft.com/office/drawing/2014/main" id="{00000000-0008-0000-1300-0000D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1294</xdr:row>
          <xdr:rowOff>0</xdr:rowOff>
        </xdr:from>
        <xdr:to>
          <xdr:col>22</xdr:col>
          <xdr:colOff>184150</xdr:colOff>
          <xdr:row>1294</xdr:row>
          <xdr:rowOff>184150</xdr:rowOff>
        </xdr:to>
        <xdr:sp macro="" textlink="">
          <xdr:nvSpPr>
            <xdr:cNvPr id="15835" name="Check Box 475" hidden="1">
              <a:extLst>
                <a:ext uri="{63B3BB69-23CF-44E3-9099-C40C66FF867C}">
                  <a14:compatExt spid="_x0000_s15835"/>
                </a:ext>
                <a:ext uri="{FF2B5EF4-FFF2-40B4-BE49-F238E27FC236}">
                  <a16:creationId xmlns:a16="http://schemas.microsoft.com/office/drawing/2014/main" id="{00000000-0008-0000-1300-0000D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1296</xdr:row>
          <xdr:rowOff>0</xdr:rowOff>
        </xdr:from>
        <xdr:to>
          <xdr:col>22</xdr:col>
          <xdr:colOff>184150</xdr:colOff>
          <xdr:row>1296</xdr:row>
          <xdr:rowOff>184150</xdr:rowOff>
        </xdr:to>
        <xdr:sp macro="" textlink="">
          <xdr:nvSpPr>
            <xdr:cNvPr id="15836" name="Check Box 476" hidden="1">
              <a:extLst>
                <a:ext uri="{63B3BB69-23CF-44E3-9099-C40C66FF867C}">
                  <a14:compatExt spid="_x0000_s15836"/>
                </a:ext>
                <a:ext uri="{FF2B5EF4-FFF2-40B4-BE49-F238E27FC236}">
                  <a16:creationId xmlns:a16="http://schemas.microsoft.com/office/drawing/2014/main" id="{00000000-0008-0000-1300-0000D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1317</xdr:row>
          <xdr:rowOff>0</xdr:rowOff>
        </xdr:from>
        <xdr:to>
          <xdr:col>22</xdr:col>
          <xdr:colOff>184150</xdr:colOff>
          <xdr:row>1317</xdr:row>
          <xdr:rowOff>184150</xdr:rowOff>
        </xdr:to>
        <xdr:sp macro="" textlink="">
          <xdr:nvSpPr>
            <xdr:cNvPr id="15837" name="Check Box 477" hidden="1">
              <a:extLst>
                <a:ext uri="{63B3BB69-23CF-44E3-9099-C40C66FF867C}">
                  <a14:compatExt spid="_x0000_s15837"/>
                </a:ext>
                <a:ext uri="{FF2B5EF4-FFF2-40B4-BE49-F238E27FC236}">
                  <a16:creationId xmlns:a16="http://schemas.microsoft.com/office/drawing/2014/main" id="{00000000-0008-0000-1300-0000D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1319</xdr:row>
          <xdr:rowOff>0</xdr:rowOff>
        </xdr:from>
        <xdr:to>
          <xdr:col>22</xdr:col>
          <xdr:colOff>184150</xdr:colOff>
          <xdr:row>1319</xdr:row>
          <xdr:rowOff>184150</xdr:rowOff>
        </xdr:to>
        <xdr:sp macro="" textlink="">
          <xdr:nvSpPr>
            <xdr:cNvPr id="15838" name="Check Box 478" hidden="1">
              <a:extLst>
                <a:ext uri="{63B3BB69-23CF-44E3-9099-C40C66FF867C}">
                  <a14:compatExt spid="_x0000_s15838"/>
                </a:ext>
                <a:ext uri="{FF2B5EF4-FFF2-40B4-BE49-F238E27FC236}">
                  <a16:creationId xmlns:a16="http://schemas.microsoft.com/office/drawing/2014/main" id="{00000000-0008-0000-1300-0000D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1321</xdr:row>
          <xdr:rowOff>0</xdr:rowOff>
        </xdr:from>
        <xdr:to>
          <xdr:col>22</xdr:col>
          <xdr:colOff>184150</xdr:colOff>
          <xdr:row>1321</xdr:row>
          <xdr:rowOff>184150</xdr:rowOff>
        </xdr:to>
        <xdr:sp macro="" textlink="">
          <xdr:nvSpPr>
            <xdr:cNvPr id="15839" name="Check Box 479" hidden="1">
              <a:extLst>
                <a:ext uri="{63B3BB69-23CF-44E3-9099-C40C66FF867C}">
                  <a14:compatExt spid="_x0000_s15839"/>
                </a:ext>
                <a:ext uri="{FF2B5EF4-FFF2-40B4-BE49-F238E27FC236}">
                  <a16:creationId xmlns:a16="http://schemas.microsoft.com/office/drawing/2014/main" id="{00000000-0008-0000-1300-0000D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1324</xdr:row>
          <xdr:rowOff>0</xdr:rowOff>
        </xdr:from>
        <xdr:to>
          <xdr:col>22</xdr:col>
          <xdr:colOff>184150</xdr:colOff>
          <xdr:row>1324</xdr:row>
          <xdr:rowOff>184150</xdr:rowOff>
        </xdr:to>
        <xdr:sp macro="" textlink="">
          <xdr:nvSpPr>
            <xdr:cNvPr id="15840" name="Check Box 480" hidden="1">
              <a:extLst>
                <a:ext uri="{63B3BB69-23CF-44E3-9099-C40C66FF867C}">
                  <a14:compatExt spid="_x0000_s15840"/>
                </a:ext>
                <a:ext uri="{FF2B5EF4-FFF2-40B4-BE49-F238E27FC236}">
                  <a16:creationId xmlns:a16="http://schemas.microsoft.com/office/drawing/2014/main" id="{00000000-0008-0000-1300-0000E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1325</xdr:row>
          <xdr:rowOff>0</xdr:rowOff>
        </xdr:from>
        <xdr:to>
          <xdr:col>22</xdr:col>
          <xdr:colOff>184150</xdr:colOff>
          <xdr:row>1325</xdr:row>
          <xdr:rowOff>184150</xdr:rowOff>
        </xdr:to>
        <xdr:sp macro="" textlink="">
          <xdr:nvSpPr>
            <xdr:cNvPr id="15841" name="Check Box 481" hidden="1">
              <a:extLst>
                <a:ext uri="{63B3BB69-23CF-44E3-9099-C40C66FF867C}">
                  <a14:compatExt spid="_x0000_s15841"/>
                </a:ext>
                <a:ext uri="{FF2B5EF4-FFF2-40B4-BE49-F238E27FC236}">
                  <a16:creationId xmlns:a16="http://schemas.microsoft.com/office/drawing/2014/main" id="{00000000-0008-0000-1300-0000E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1326</xdr:row>
          <xdr:rowOff>0</xdr:rowOff>
        </xdr:from>
        <xdr:to>
          <xdr:col>22</xdr:col>
          <xdr:colOff>184150</xdr:colOff>
          <xdr:row>1326</xdr:row>
          <xdr:rowOff>184150</xdr:rowOff>
        </xdr:to>
        <xdr:sp macro="" textlink="">
          <xdr:nvSpPr>
            <xdr:cNvPr id="15842" name="Check Box 482" hidden="1">
              <a:extLst>
                <a:ext uri="{63B3BB69-23CF-44E3-9099-C40C66FF867C}">
                  <a14:compatExt spid="_x0000_s15842"/>
                </a:ext>
                <a:ext uri="{FF2B5EF4-FFF2-40B4-BE49-F238E27FC236}">
                  <a16:creationId xmlns:a16="http://schemas.microsoft.com/office/drawing/2014/main" id="{00000000-0008-0000-1300-0000E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1329</xdr:row>
          <xdr:rowOff>0</xdr:rowOff>
        </xdr:from>
        <xdr:to>
          <xdr:col>22</xdr:col>
          <xdr:colOff>184150</xdr:colOff>
          <xdr:row>1329</xdr:row>
          <xdr:rowOff>184150</xdr:rowOff>
        </xdr:to>
        <xdr:sp macro="" textlink="">
          <xdr:nvSpPr>
            <xdr:cNvPr id="15843" name="Check Box 483" hidden="1">
              <a:extLst>
                <a:ext uri="{63B3BB69-23CF-44E3-9099-C40C66FF867C}">
                  <a14:compatExt spid="_x0000_s15843"/>
                </a:ext>
                <a:ext uri="{FF2B5EF4-FFF2-40B4-BE49-F238E27FC236}">
                  <a16:creationId xmlns:a16="http://schemas.microsoft.com/office/drawing/2014/main" id="{00000000-0008-0000-1300-0000E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1356</xdr:row>
          <xdr:rowOff>0</xdr:rowOff>
        </xdr:from>
        <xdr:to>
          <xdr:col>22</xdr:col>
          <xdr:colOff>184150</xdr:colOff>
          <xdr:row>1356</xdr:row>
          <xdr:rowOff>184150</xdr:rowOff>
        </xdr:to>
        <xdr:sp macro="" textlink="">
          <xdr:nvSpPr>
            <xdr:cNvPr id="15844" name="Check Box 484" hidden="1">
              <a:extLst>
                <a:ext uri="{63B3BB69-23CF-44E3-9099-C40C66FF867C}">
                  <a14:compatExt spid="_x0000_s15844"/>
                </a:ext>
                <a:ext uri="{FF2B5EF4-FFF2-40B4-BE49-F238E27FC236}">
                  <a16:creationId xmlns:a16="http://schemas.microsoft.com/office/drawing/2014/main" id="{00000000-0008-0000-1300-0000E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1364</xdr:row>
          <xdr:rowOff>0</xdr:rowOff>
        </xdr:from>
        <xdr:to>
          <xdr:col>22</xdr:col>
          <xdr:colOff>184150</xdr:colOff>
          <xdr:row>1364</xdr:row>
          <xdr:rowOff>184150</xdr:rowOff>
        </xdr:to>
        <xdr:sp macro="" textlink="">
          <xdr:nvSpPr>
            <xdr:cNvPr id="15845" name="Check Box 485" hidden="1">
              <a:extLst>
                <a:ext uri="{63B3BB69-23CF-44E3-9099-C40C66FF867C}">
                  <a14:compatExt spid="_x0000_s15845"/>
                </a:ext>
                <a:ext uri="{FF2B5EF4-FFF2-40B4-BE49-F238E27FC236}">
                  <a16:creationId xmlns:a16="http://schemas.microsoft.com/office/drawing/2014/main" id="{00000000-0008-0000-1300-0000E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1366</xdr:row>
          <xdr:rowOff>0</xdr:rowOff>
        </xdr:from>
        <xdr:to>
          <xdr:col>22</xdr:col>
          <xdr:colOff>184150</xdr:colOff>
          <xdr:row>1366</xdr:row>
          <xdr:rowOff>184150</xdr:rowOff>
        </xdr:to>
        <xdr:sp macro="" textlink="">
          <xdr:nvSpPr>
            <xdr:cNvPr id="15846" name="Check Box 486" hidden="1">
              <a:extLst>
                <a:ext uri="{63B3BB69-23CF-44E3-9099-C40C66FF867C}">
                  <a14:compatExt spid="_x0000_s15846"/>
                </a:ext>
                <a:ext uri="{FF2B5EF4-FFF2-40B4-BE49-F238E27FC236}">
                  <a16:creationId xmlns:a16="http://schemas.microsoft.com/office/drawing/2014/main" id="{00000000-0008-0000-1300-0000E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1367</xdr:row>
          <xdr:rowOff>0</xdr:rowOff>
        </xdr:from>
        <xdr:to>
          <xdr:col>22</xdr:col>
          <xdr:colOff>184150</xdr:colOff>
          <xdr:row>1367</xdr:row>
          <xdr:rowOff>184150</xdr:rowOff>
        </xdr:to>
        <xdr:sp macro="" textlink="">
          <xdr:nvSpPr>
            <xdr:cNvPr id="15847" name="Check Box 487" hidden="1">
              <a:extLst>
                <a:ext uri="{63B3BB69-23CF-44E3-9099-C40C66FF867C}">
                  <a14:compatExt spid="_x0000_s15847"/>
                </a:ext>
                <a:ext uri="{FF2B5EF4-FFF2-40B4-BE49-F238E27FC236}">
                  <a16:creationId xmlns:a16="http://schemas.microsoft.com/office/drawing/2014/main" id="{00000000-0008-0000-1300-0000E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1368</xdr:row>
          <xdr:rowOff>0</xdr:rowOff>
        </xdr:from>
        <xdr:to>
          <xdr:col>22</xdr:col>
          <xdr:colOff>184150</xdr:colOff>
          <xdr:row>1368</xdr:row>
          <xdr:rowOff>184150</xdr:rowOff>
        </xdr:to>
        <xdr:sp macro="" textlink="">
          <xdr:nvSpPr>
            <xdr:cNvPr id="15848" name="Check Box 488" hidden="1">
              <a:extLst>
                <a:ext uri="{63B3BB69-23CF-44E3-9099-C40C66FF867C}">
                  <a14:compatExt spid="_x0000_s15848"/>
                </a:ext>
                <a:ext uri="{FF2B5EF4-FFF2-40B4-BE49-F238E27FC236}">
                  <a16:creationId xmlns:a16="http://schemas.microsoft.com/office/drawing/2014/main" id="{00000000-0008-0000-1300-0000E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1370</xdr:row>
          <xdr:rowOff>0</xdr:rowOff>
        </xdr:from>
        <xdr:to>
          <xdr:col>22</xdr:col>
          <xdr:colOff>184150</xdr:colOff>
          <xdr:row>1370</xdr:row>
          <xdr:rowOff>184150</xdr:rowOff>
        </xdr:to>
        <xdr:sp macro="" textlink="">
          <xdr:nvSpPr>
            <xdr:cNvPr id="15849" name="Check Box 489" hidden="1">
              <a:extLst>
                <a:ext uri="{63B3BB69-23CF-44E3-9099-C40C66FF867C}">
                  <a14:compatExt spid="_x0000_s15849"/>
                </a:ext>
                <a:ext uri="{FF2B5EF4-FFF2-40B4-BE49-F238E27FC236}">
                  <a16:creationId xmlns:a16="http://schemas.microsoft.com/office/drawing/2014/main" id="{00000000-0008-0000-1300-0000E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1373</xdr:row>
          <xdr:rowOff>0</xdr:rowOff>
        </xdr:from>
        <xdr:to>
          <xdr:col>22</xdr:col>
          <xdr:colOff>184150</xdr:colOff>
          <xdr:row>1373</xdr:row>
          <xdr:rowOff>184150</xdr:rowOff>
        </xdr:to>
        <xdr:sp macro="" textlink="">
          <xdr:nvSpPr>
            <xdr:cNvPr id="15850" name="Check Box 490" hidden="1">
              <a:extLst>
                <a:ext uri="{63B3BB69-23CF-44E3-9099-C40C66FF867C}">
                  <a14:compatExt spid="_x0000_s15850"/>
                </a:ext>
                <a:ext uri="{FF2B5EF4-FFF2-40B4-BE49-F238E27FC236}">
                  <a16:creationId xmlns:a16="http://schemas.microsoft.com/office/drawing/2014/main" id="{00000000-0008-0000-1300-0000E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1375</xdr:row>
          <xdr:rowOff>0</xdr:rowOff>
        </xdr:from>
        <xdr:to>
          <xdr:col>22</xdr:col>
          <xdr:colOff>184150</xdr:colOff>
          <xdr:row>1375</xdr:row>
          <xdr:rowOff>184150</xdr:rowOff>
        </xdr:to>
        <xdr:sp macro="" textlink="">
          <xdr:nvSpPr>
            <xdr:cNvPr id="15851" name="Check Box 491" hidden="1">
              <a:extLst>
                <a:ext uri="{63B3BB69-23CF-44E3-9099-C40C66FF867C}">
                  <a14:compatExt spid="_x0000_s15851"/>
                </a:ext>
                <a:ext uri="{FF2B5EF4-FFF2-40B4-BE49-F238E27FC236}">
                  <a16:creationId xmlns:a16="http://schemas.microsoft.com/office/drawing/2014/main" id="{00000000-0008-0000-1300-0000E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1380</xdr:row>
          <xdr:rowOff>0</xdr:rowOff>
        </xdr:from>
        <xdr:to>
          <xdr:col>22</xdr:col>
          <xdr:colOff>184150</xdr:colOff>
          <xdr:row>1380</xdr:row>
          <xdr:rowOff>184150</xdr:rowOff>
        </xdr:to>
        <xdr:sp macro="" textlink="">
          <xdr:nvSpPr>
            <xdr:cNvPr id="15852" name="Check Box 492" hidden="1">
              <a:extLst>
                <a:ext uri="{63B3BB69-23CF-44E3-9099-C40C66FF867C}">
                  <a14:compatExt spid="_x0000_s15852"/>
                </a:ext>
                <a:ext uri="{FF2B5EF4-FFF2-40B4-BE49-F238E27FC236}">
                  <a16:creationId xmlns:a16="http://schemas.microsoft.com/office/drawing/2014/main" id="{00000000-0008-0000-1300-0000E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1382</xdr:row>
          <xdr:rowOff>0</xdr:rowOff>
        </xdr:from>
        <xdr:to>
          <xdr:col>22</xdr:col>
          <xdr:colOff>184150</xdr:colOff>
          <xdr:row>1382</xdr:row>
          <xdr:rowOff>184150</xdr:rowOff>
        </xdr:to>
        <xdr:sp macro="" textlink="">
          <xdr:nvSpPr>
            <xdr:cNvPr id="15853" name="Check Box 493" hidden="1">
              <a:extLst>
                <a:ext uri="{63B3BB69-23CF-44E3-9099-C40C66FF867C}">
                  <a14:compatExt spid="_x0000_s15853"/>
                </a:ext>
                <a:ext uri="{FF2B5EF4-FFF2-40B4-BE49-F238E27FC236}">
                  <a16:creationId xmlns:a16="http://schemas.microsoft.com/office/drawing/2014/main" id="{00000000-0008-0000-1300-0000E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1384</xdr:row>
          <xdr:rowOff>0</xdr:rowOff>
        </xdr:from>
        <xdr:to>
          <xdr:col>22</xdr:col>
          <xdr:colOff>184150</xdr:colOff>
          <xdr:row>1384</xdr:row>
          <xdr:rowOff>184150</xdr:rowOff>
        </xdr:to>
        <xdr:sp macro="" textlink="">
          <xdr:nvSpPr>
            <xdr:cNvPr id="15854" name="Check Box 494" hidden="1">
              <a:extLst>
                <a:ext uri="{63B3BB69-23CF-44E3-9099-C40C66FF867C}">
                  <a14:compatExt spid="_x0000_s15854"/>
                </a:ext>
                <a:ext uri="{FF2B5EF4-FFF2-40B4-BE49-F238E27FC236}">
                  <a16:creationId xmlns:a16="http://schemas.microsoft.com/office/drawing/2014/main" id="{00000000-0008-0000-1300-0000E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1386</xdr:row>
          <xdr:rowOff>0</xdr:rowOff>
        </xdr:from>
        <xdr:to>
          <xdr:col>22</xdr:col>
          <xdr:colOff>184150</xdr:colOff>
          <xdr:row>1386</xdr:row>
          <xdr:rowOff>184150</xdr:rowOff>
        </xdr:to>
        <xdr:sp macro="" textlink="">
          <xdr:nvSpPr>
            <xdr:cNvPr id="15855" name="Check Box 495" hidden="1">
              <a:extLst>
                <a:ext uri="{63B3BB69-23CF-44E3-9099-C40C66FF867C}">
                  <a14:compatExt spid="_x0000_s15855"/>
                </a:ext>
                <a:ext uri="{FF2B5EF4-FFF2-40B4-BE49-F238E27FC236}">
                  <a16:creationId xmlns:a16="http://schemas.microsoft.com/office/drawing/2014/main" id="{00000000-0008-0000-1300-0000E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1430</xdr:row>
          <xdr:rowOff>0</xdr:rowOff>
        </xdr:from>
        <xdr:to>
          <xdr:col>22</xdr:col>
          <xdr:colOff>184150</xdr:colOff>
          <xdr:row>1430</xdr:row>
          <xdr:rowOff>184150</xdr:rowOff>
        </xdr:to>
        <xdr:sp macro="" textlink="">
          <xdr:nvSpPr>
            <xdr:cNvPr id="15856" name="Check Box 496" hidden="1">
              <a:extLst>
                <a:ext uri="{63B3BB69-23CF-44E3-9099-C40C66FF867C}">
                  <a14:compatExt spid="_x0000_s15856"/>
                </a:ext>
                <a:ext uri="{FF2B5EF4-FFF2-40B4-BE49-F238E27FC236}">
                  <a16:creationId xmlns:a16="http://schemas.microsoft.com/office/drawing/2014/main" id="{00000000-0008-0000-1300-0000F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1447</xdr:row>
          <xdr:rowOff>0</xdr:rowOff>
        </xdr:from>
        <xdr:to>
          <xdr:col>22</xdr:col>
          <xdr:colOff>184150</xdr:colOff>
          <xdr:row>1447</xdr:row>
          <xdr:rowOff>184150</xdr:rowOff>
        </xdr:to>
        <xdr:sp macro="" textlink="">
          <xdr:nvSpPr>
            <xdr:cNvPr id="15857" name="Check Box 497" hidden="1">
              <a:extLst>
                <a:ext uri="{63B3BB69-23CF-44E3-9099-C40C66FF867C}">
                  <a14:compatExt spid="_x0000_s15857"/>
                </a:ext>
                <a:ext uri="{FF2B5EF4-FFF2-40B4-BE49-F238E27FC236}">
                  <a16:creationId xmlns:a16="http://schemas.microsoft.com/office/drawing/2014/main" id="{00000000-0008-0000-1300-0000F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1450</xdr:row>
          <xdr:rowOff>0</xdr:rowOff>
        </xdr:from>
        <xdr:to>
          <xdr:col>22</xdr:col>
          <xdr:colOff>184150</xdr:colOff>
          <xdr:row>1450</xdr:row>
          <xdr:rowOff>184150</xdr:rowOff>
        </xdr:to>
        <xdr:sp macro="" textlink="">
          <xdr:nvSpPr>
            <xdr:cNvPr id="15858" name="Check Box 498" hidden="1">
              <a:extLst>
                <a:ext uri="{63B3BB69-23CF-44E3-9099-C40C66FF867C}">
                  <a14:compatExt spid="_x0000_s15858"/>
                </a:ext>
                <a:ext uri="{FF2B5EF4-FFF2-40B4-BE49-F238E27FC236}">
                  <a16:creationId xmlns:a16="http://schemas.microsoft.com/office/drawing/2014/main" id="{00000000-0008-0000-1300-0000F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1455</xdr:row>
          <xdr:rowOff>0</xdr:rowOff>
        </xdr:from>
        <xdr:to>
          <xdr:col>22</xdr:col>
          <xdr:colOff>184150</xdr:colOff>
          <xdr:row>1455</xdr:row>
          <xdr:rowOff>184150</xdr:rowOff>
        </xdr:to>
        <xdr:sp macro="" textlink="">
          <xdr:nvSpPr>
            <xdr:cNvPr id="15859" name="Check Box 499" hidden="1">
              <a:extLst>
                <a:ext uri="{63B3BB69-23CF-44E3-9099-C40C66FF867C}">
                  <a14:compatExt spid="_x0000_s15859"/>
                </a:ext>
                <a:ext uri="{FF2B5EF4-FFF2-40B4-BE49-F238E27FC236}">
                  <a16:creationId xmlns:a16="http://schemas.microsoft.com/office/drawing/2014/main" id="{00000000-0008-0000-1300-0000F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1456</xdr:row>
          <xdr:rowOff>0</xdr:rowOff>
        </xdr:from>
        <xdr:to>
          <xdr:col>22</xdr:col>
          <xdr:colOff>184150</xdr:colOff>
          <xdr:row>1456</xdr:row>
          <xdr:rowOff>184150</xdr:rowOff>
        </xdr:to>
        <xdr:sp macro="" textlink="">
          <xdr:nvSpPr>
            <xdr:cNvPr id="15860" name="Check Box 500" hidden="1">
              <a:extLst>
                <a:ext uri="{63B3BB69-23CF-44E3-9099-C40C66FF867C}">
                  <a14:compatExt spid="_x0000_s15860"/>
                </a:ext>
                <a:ext uri="{FF2B5EF4-FFF2-40B4-BE49-F238E27FC236}">
                  <a16:creationId xmlns:a16="http://schemas.microsoft.com/office/drawing/2014/main" id="{00000000-0008-0000-1300-0000F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1466</xdr:row>
          <xdr:rowOff>0</xdr:rowOff>
        </xdr:from>
        <xdr:to>
          <xdr:col>22</xdr:col>
          <xdr:colOff>184150</xdr:colOff>
          <xdr:row>1466</xdr:row>
          <xdr:rowOff>184150</xdr:rowOff>
        </xdr:to>
        <xdr:sp macro="" textlink="">
          <xdr:nvSpPr>
            <xdr:cNvPr id="15862" name="Check Box 502" hidden="1">
              <a:extLst>
                <a:ext uri="{63B3BB69-23CF-44E3-9099-C40C66FF867C}">
                  <a14:compatExt spid="_x0000_s15862"/>
                </a:ext>
                <a:ext uri="{FF2B5EF4-FFF2-40B4-BE49-F238E27FC236}">
                  <a16:creationId xmlns:a16="http://schemas.microsoft.com/office/drawing/2014/main" id="{00000000-0008-0000-1300-0000F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1495</xdr:row>
          <xdr:rowOff>0</xdr:rowOff>
        </xdr:from>
        <xdr:to>
          <xdr:col>22</xdr:col>
          <xdr:colOff>184150</xdr:colOff>
          <xdr:row>1495</xdr:row>
          <xdr:rowOff>184150</xdr:rowOff>
        </xdr:to>
        <xdr:sp macro="" textlink="">
          <xdr:nvSpPr>
            <xdr:cNvPr id="15863" name="Check Box 503" hidden="1">
              <a:extLst>
                <a:ext uri="{63B3BB69-23CF-44E3-9099-C40C66FF867C}">
                  <a14:compatExt spid="_x0000_s15863"/>
                </a:ext>
                <a:ext uri="{FF2B5EF4-FFF2-40B4-BE49-F238E27FC236}">
                  <a16:creationId xmlns:a16="http://schemas.microsoft.com/office/drawing/2014/main" id="{00000000-0008-0000-1300-0000F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1512</xdr:row>
          <xdr:rowOff>0</xdr:rowOff>
        </xdr:from>
        <xdr:to>
          <xdr:col>22</xdr:col>
          <xdr:colOff>184150</xdr:colOff>
          <xdr:row>1512</xdr:row>
          <xdr:rowOff>184150</xdr:rowOff>
        </xdr:to>
        <xdr:sp macro="" textlink="">
          <xdr:nvSpPr>
            <xdr:cNvPr id="15865" name="Check Box 505" hidden="1">
              <a:extLst>
                <a:ext uri="{63B3BB69-23CF-44E3-9099-C40C66FF867C}">
                  <a14:compatExt spid="_x0000_s15865"/>
                </a:ext>
                <a:ext uri="{FF2B5EF4-FFF2-40B4-BE49-F238E27FC236}">
                  <a16:creationId xmlns:a16="http://schemas.microsoft.com/office/drawing/2014/main" id="{00000000-0008-0000-1300-0000F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1524</xdr:row>
          <xdr:rowOff>0</xdr:rowOff>
        </xdr:from>
        <xdr:to>
          <xdr:col>22</xdr:col>
          <xdr:colOff>184150</xdr:colOff>
          <xdr:row>1524</xdr:row>
          <xdr:rowOff>184150</xdr:rowOff>
        </xdr:to>
        <xdr:sp macro="" textlink="">
          <xdr:nvSpPr>
            <xdr:cNvPr id="15866" name="Check Box 506" hidden="1">
              <a:extLst>
                <a:ext uri="{63B3BB69-23CF-44E3-9099-C40C66FF867C}">
                  <a14:compatExt spid="_x0000_s15866"/>
                </a:ext>
                <a:ext uri="{FF2B5EF4-FFF2-40B4-BE49-F238E27FC236}">
                  <a16:creationId xmlns:a16="http://schemas.microsoft.com/office/drawing/2014/main" id="{00000000-0008-0000-1300-0000F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1526</xdr:row>
          <xdr:rowOff>0</xdr:rowOff>
        </xdr:from>
        <xdr:to>
          <xdr:col>22</xdr:col>
          <xdr:colOff>184150</xdr:colOff>
          <xdr:row>1526</xdr:row>
          <xdr:rowOff>184150</xdr:rowOff>
        </xdr:to>
        <xdr:sp macro="" textlink="">
          <xdr:nvSpPr>
            <xdr:cNvPr id="15867" name="Check Box 507" hidden="1">
              <a:extLst>
                <a:ext uri="{63B3BB69-23CF-44E3-9099-C40C66FF867C}">
                  <a14:compatExt spid="_x0000_s15867"/>
                </a:ext>
                <a:ext uri="{FF2B5EF4-FFF2-40B4-BE49-F238E27FC236}">
                  <a16:creationId xmlns:a16="http://schemas.microsoft.com/office/drawing/2014/main" id="{00000000-0008-0000-1300-0000F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1528</xdr:row>
          <xdr:rowOff>0</xdr:rowOff>
        </xdr:from>
        <xdr:to>
          <xdr:col>22</xdr:col>
          <xdr:colOff>184150</xdr:colOff>
          <xdr:row>1528</xdr:row>
          <xdr:rowOff>184150</xdr:rowOff>
        </xdr:to>
        <xdr:sp macro="" textlink="">
          <xdr:nvSpPr>
            <xdr:cNvPr id="15868" name="Check Box 508" hidden="1">
              <a:extLst>
                <a:ext uri="{63B3BB69-23CF-44E3-9099-C40C66FF867C}">
                  <a14:compatExt spid="_x0000_s15868"/>
                </a:ext>
                <a:ext uri="{FF2B5EF4-FFF2-40B4-BE49-F238E27FC236}">
                  <a16:creationId xmlns:a16="http://schemas.microsoft.com/office/drawing/2014/main" id="{00000000-0008-0000-1300-0000F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1535</xdr:row>
          <xdr:rowOff>0</xdr:rowOff>
        </xdr:from>
        <xdr:to>
          <xdr:col>22</xdr:col>
          <xdr:colOff>184150</xdr:colOff>
          <xdr:row>1535</xdr:row>
          <xdr:rowOff>184150</xdr:rowOff>
        </xdr:to>
        <xdr:sp macro="" textlink="">
          <xdr:nvSpPr>
            <xdr:cNvPr id="15869" name="Check Box 509" hidden="1">
              <a:extLst>
                <a:ext uri="{63B3BB69-23CF-44E3-9099-C40C66FF867C}">
                  <a14:compatExt spid="_x0000_s15869"/>
                </a:ext>
                <a:ext uri="{FF2B5EF4-FFF2-40B4-BE49-F238E27FC236}">
                  <a16:creationId xmlns:a16="http://schemas.microsoft.com/office/drawing/2014/main" id="{00000000-0008-0000-1300-0000F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1536</xdr:row>
          <xdr:rowOff>0</xdr:rowOff>
        </xdr:from>
        <xdr:to>
          <xdr:col>22</xdr:col>
          <xdr:colOff>184150</xdr:colOff>
          <xdr:row>1536</xdr:row>
          <xdr:rowOff>184150</xdr:rowOff>
        </xdr:to>
        <xdr:sp macro="" textlink="">
          <xdr:nvSpPr>
            <xdr:cNvPr id="15870" name="Check Box 510" hidden="1">
              <a:extLst>
                <a:ext uri="{63B3BB69-23CF-44E3-9099-C40C66FF867C}">
                  <a14:compatExt spid="_x0000_s15870"/>
                </a:ext>
                <a:ext uri="{FF2B5EF4-FFF2-40B4-BE49-F238E27FC236}">
                  <a16:creationId xmlns:a16="http://schemas.microsoft.com/office/drawing/2014/main" id="{00000000-0008-0000-1300-0000F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1537</xdr:row>
          <xdr:rowOff>0</xdr:rowOff>
        </xdr:from>
        <xdr:to>
          <xdr:col>22</xdr:col>
          <xdr:colOff>184150</xdr:colOff>
          <xdr:row>1537</xdr:row>
          <xdr:rowOff>184150</xdr:rowOff>
        </xdr:to>
        <xdr:sp macro="" textlink="">
          <xdr:nvSpPr>
            <xdr:cNvPr id="15871" name="Check Box 511" hidden="1">
              <a:extLst>
                <a:ext uri="{63B3BB69-23CF-44E3-9099-C40C66FF867C}">
                  <a14:compatExt spid="_x0000_s15871"/>
                </a:ext>
                <a:ext uri="{FF2B5EF4-FFF2-40B4-BE49-F238E27FC236}">
                  <a16:creationId xmlns:a16="http://schemas.microsoft.com/office/drawing/2014/main" id="{00000000-0008-0000-1300-0000F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1538</xdr:row>
          <xdr:rowOff>0</xdr:rowOff>
        </xdr:from>
        <xdr:to>
          <xdr:col>22</xdr:col>
          <xdr:colOff>184150</xdr:colOff>
          <xdr:row>1538</xdr:row>
          <xdr:rowOff>184150</xdr:rowOff>
        </xdr:to>
        <xdr:sp macro="" textlink="">
          <xdr:nvSpPr>
            <xdr:cNvPr id="15872" name="Check Box 512" hidden="1">
              <a:extLst>
                <a:ext uri="{63B3BB69-23CF-44E3-9099-C40C66FF867C}">
                  <a14:compatExt spid="_x0000_s15872"/>
                </a:ext>
                <a:ext uri="{FF2B5EF4-FFF2-40B4-BE49-F238E27FC236}">
                  <a16:creationId xmlns:a16="http://schemas.microsoft.com/office/drawing/2014/main" id="{00000000-0008-0000-1300-00000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1540</xdr:row>
          <xdr:rowOff>0</xdr:rowOff>
        </xdr:from>
        <xdr:to>
          <xdr:col>22</xdr:col>
          <xdr:colOff>184150</xdr:colOff>
          <xdr:row>1540</xdr:row>
          <xdr:rowOff>184150</xdr:rowOff>
        </xdr:to>
        <xdr:sp macro="" textlink="">
          <xdr:nvSpPr>
            <xdr:cNvPr id="15873" name="Check Box 513" hidden="1">
              <a:extLst>
                <a:ext uri="{63B3BB69-23CF-44E3-9099-C40C66FF867C}">
                  <a14:compatExt spid="_x0000_s15873"/>
                </a:ext>
                <a:ext uri="{FF2B5EF4-FFF2-40B4-BE49-F238E27FC236}">
                  <a16:creationId xmlns:a16="http://schemas.microsoft.com/office/drawing/2014/main" id="{00000000-0008-0000-1300-00000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1543</xdr:row>
          <xdr:rowOff>0</xdr:rowOff>
        </xdr:from>
        <xdr:to>
          <xdr:col>22</xdr:col>
          <xdr:colOff>184150</xdr:colOff>
          <xdr:row>1543</xdr:row>
          <xdr:rowOff>184150</xdr:rowOff>
        </xdr:to>
        <xdr:sp macro="" textlink="">
          <xdr:nvSpPr>
            <xdr:cNvPr id="15874" name="Check Box 514" hidden="1">
              <a:extLst>
                <a:ext uri="{63B3BB69-23CF-44E3-9099-C40C66FF867C}">
                  <a14:compatExt spid="_x0000_s15874"/>
                </a:ext>
                <a:ext uri="{FF2B5EF4-FFF2-40B4-BE49-F238E27FC236}">
                  <a16:creationId xmlns:a16="http://schemas.microsoft.com/office/drawing/2014/main" id="{00000000-0008-0000-1300-00000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1563</xdr:row>
          <xdr:rowOff>0</xdr:rowOff>
        </xdr:from>
        <xdr:to>
          <xdr:col>22</xdr:col>
          <xdr:colOff>184150</xdr:colOff>
          <xdr:row>1563</xdr:row>
          <xdr:rowOff>184150</xdr:rowOff>
        </xdr:to>
        <xdr:sp macro="" textlink="">
          <xdr:nvSpPr>
            <xdr:cNvPr id="15875" name="Check Box 515" hidden="1">
              <a:extLst>
                <a:ext uri="{63B3BB69-23CF-44E3-9099-C40C66FF867C}">
                  <a14:compatExt spid="_x0000_s15875"/>
                </a:ext>
                <a:ext uri="{FF2B5EF4-FFF2-40B4-BE49-F238E27FC236}">
                  <a16:creationId xmlns:a16="http://schemas.microsoft.com/office/drawing/2014/main" id="{00000000-0008-0000-1300-00000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1564</xdr:row>
          <xdr:rowOff>0</xdr:rowOff>
        </xdr:from>
        <xdr:to>
          <xdr:col>22</xdr:col>
          <xdr:colOff>184150</xdr:colOff>
          <xdr:row>1564</xdr:row>
          <xdr:rowOff>184150</xdr:rowOff>
        </xdr:to>
        <xdr:sp macro="" textlink="">
          <xdr:nvSpPr>
            <xdr:cNvPr id="15876" name="Check Box 516" hidden="1">
              <a:extLst>
                <a:ext uri="{63B3BB69-23CF-44E3-9099-C40C66FF867C}">
                  <a14:compatExt spid="_x0000_s15876"/>
                </a:ext>
                <a:ext uri="{FF2B5EF4-FFF2-40B4-BE49-F238E27FC236}">
                  <a16:creationId xmlns:a16="http://schemas.microsoft.com/office/drawing/2014/main" id="{00000000-0008-0000-1300-00000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1565</xdr:row>
          <xdr:rowOff>0</xdr:rowOff>
        </xdr:from>
        <xdr:to>
          <xdr:col>22</xdr:col>
          <xdr:colOff>184150</xdr:colOff>
          <xdr:row>1565</xdr:row>
          <xdr:rowOff>184150</xdr:rowOff>
        </xdr:to>
        <xdr:sp macro="" textlink="">
          <xdr:nvSpPr>
            <xdr:cNvPr id="15877" name="Check Box 517" hidden="1">
              <a:extLst>
                <a:ext uri="{63B3BB69-23CF-44E3-9099-C40C66FF867C}">
                  <a14:compatExt spid="_x0000_s15877"/>
                </a:ext>
                <a:ext uri="{FF2B5EF4-FFF2-40B4-BE49-F238E27FC236}">
                  <a16:creationId xmlns:a16="http://schemas.microsoft.com/office/drawing/2014/main" id="{00000000-0008-0000-1300-00000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1566</xdr:row>
          <xdr:rowOff>0</xdr:rowOff>
        </xdr:from>
        <xdr:to>
          <xdr:col>22</xdr:col>
          <xdr:colOff>184150</xdr:colOff>
          <xdr:row>1566</xdr:row>
          <xdr:rowOff>184150</xdr:rowOff>
        </xdr:to>
        <xdr:sp macro="" textlink="">
          <xdr:nvSpPr>
            <xdr:cNvPr id="15878" name="Check Box 518" hidden="1">
              <a:extLst>
                <a:ext uri="{63B3BB69-23CF-44E3-9099-C40C66FF867C}">
                  <a14:compatExt spid="_x0000_s15878"/>
                </a:ext>
                <a:ext uri="{FF2B5EF4-FFF2-40B4-BE49-F238E27FC236}">
                  <a16:creationId xmlns:a16="http://schemas.microsoft.com/office/drawing/2014/main" id="{00000000-0008-0000-1300-00000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1567</xdr:row>
          <xdr:rowOff>0</xdr:rowOff>
        </xdr:from>
        <xdr:to>
          <xdr:col>22</xdr:col>
          <xdr:colOff>184150</xdr:colOff>
          <xdr:row>1567</xdr:row>
          <xdr:rowOff>184150</xdr:rowOff>
        </xdr:to>
        <xdr:sp macro="" textlink="">
          <xdr:nvSpPr>
            <xdr:cNvPr id="15879" name="Check Box 519" hidden="1">
              <a:extLst>
                <a:ext uri="{63B3BB69-23CF-44E3-9099-C40C66FF867C}">
                  <a14:compatExt spid="_x0000_s15879"/>
                </a:ext>
                <a:ext uri="{FF2B5EF4-FFF2-40B4-BE49-F238E27FC236}">
                  <a16:creationId xmlns:a16="http://schemas.microsoft.com/office/drawing/2014/main" id="{00000000-0008-0000-1300-00000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1568</xdr:row>
          <xdr:rowOff>0</xdr:rowOff>
        </xdr:from>
        <xdr:to>
          <xdr:col>22</xdr:col>
          <xdr:colOff>184150</xdr:colOff>
          <xdr:row>1568</xdr:row>
          <xdr:rowOff>184150</xdr:rowOff>
        </xdr:to>
        <xdr:sp macro="" textlink="">
          <xdr:nvSpPr>
            <xdr:cNvPr id="15880" name="Check Box 520" hidden="1">
              <a:extLst>
                <a:ext uri="{63B3BB69-23CF-44E3-9099-C40C66FF867C}">
                  <a14:compatExt spid="_x0000_s15880"/>
                </a:ext>
                <a:ext uri="{FF2B5EF4-FFF2-40B4-BE49-F238E27FC236}">
                  <a16:creationId xmlns:a16="http://schemas.microsoft.com/office/drawing/2014/main" id="{00000000-0008-0000-1300-00000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1569</xdr:row>
          <xdr:rowOff>0</xdr:rowOff>
        </xdr:from>
        <xdr:to>
          <xdr:col>22</xdr:col>
          <xdr:colOff>184150</xdr:colOff>
          <xdr:row>1569</xdr:row>
          <xdr:rowOff>184150</xdr:rowOff>
        </xdr:to>
        <xdr:sp macro="" textlink="">
          <xdr:nvSpPr>
            <xdr:cNvPr id="15881" name="Check Box 521" hidden="1">
              <a:extLst>
                <a:ext uri="{63B3BB69-23CF-44E3-9099-C40C66FF867C}">
                  <a14:compatExt spid="_x0000_s15881"/>
                </a:ext>
                <a:ext uri="{FF2B5EF4-FFF2-40B4-BE49-F238E27FC236}">
                  <a16:creationId xmlns:a16="http://schemas.microsoft.com/office/drawing/2014/main" id="{00000000-0008-0000-1300-00000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1570</xdr:row>
          <xdr:rowOff>0</xdr:rowOff>
        </xdr:from>
        <xdr:to>
          <xdr:col>22</xdr:col>
          <xdr:colOff>184150</xdr:colOff>
          <xdr:row>1570</xdr:row>
          <xdr:rowOff>184150</xdr:rowOff>
        </xdr:to>
        <xdr:sp macro="" textlink="">
          <xdr:nvSpPr>
            <xdr:cNvPr id="15882" name="Check Box 522" hidden="1">
              <a:extLst>
                <a:ext uri="{63B3BB69-23CF-44E3-9099-C40C66FF867C}">
                  <a14:compatExt spid="_x0000_s15882"/>
                </a:ext>
                <a:ext uri="{FF2B5EF4-FFF2-40B4-BE49-F238E27FC236}">
                  <a16:creationId xmlns:a16="http://schemas.microsoft.com/office/drawing/2014/main" id="{00000000-0008-0000-1300-00000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1573</xdr:row>
          <xdr:rowOff>0</xdr:rowOff>
        </xdr:from>
        <xdr:to>
          <xdr:col>22</xdr:col>
          <xdr:colOff>184150</xdr:colOff>
          <xdr:row>1573</xdr:row>
          <xdr:rowOff>184150</xdr:rowOff>
        </xdr:to>
        <xdr:sp macro="" textlink="">
          <xdr:nvSpPr>
            <xdr:cNvPr id="15883" name="Check Box 523" hidden="1">
              <a:extLst>
                <a:ext uri="{63B3BB69-23CF-44E3-9099-C40C66FF867C}">
                  <a14:compatExt spid="_x0000_s15883"/>
                </a:ext>
                <a:ext uri="{FF2B5EF4-FFF2-40B4-BE49-F238E27FC236}">
                  <a16:creationId xmlns:a16="http://schemas.microsoft.com/office/drawing/2014/main" id="{00000000-0008-0000-1300-00000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1575</xdr:row>
          <xdr:rowOff>0</xdr:rowOff>
        </xdr:from>
        <xdr:to>
          <xdr:col>22</xdr:col>
          <xdr:colOff>184150</xdr:colOff>
          <xdr:row>1575</xdr:row>
          <xdr:rowOff>184150</xdr:rowOff>
        </xdr:to>
        <xdr:sp macro="" textlink="">
          <xdr:nvSpPr>
            <xdr:cNvPr id="15884" name="Check Box 524" hidden="1">
              <a:extLst>
                <a:ext uri="{63B3BB69-23CF-44E3-9099-C40C66FF867C}">
                  <a14:compatExt spid="_x0000_s15884"/>
                </a:ext>
                <a:ext uri="{FF2B5EF4-FFF2-40B4-BE49-F238E27FC236}">
                  <a16:creationId xmlns:a16="http://schemas.microsoft.com/office/drawing/2014/main" id="{00000000-0008-0000-1300-00000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1577</xdr:row>
          <xdr:rowOff>0</xdr:rowOff>
        </xdr:from>
        <xdr:to>
          <xdr:col>22</xdr:col>
          <xdr:colOff>184150</xdr:colOff>
          <xdr:row>1577</xdr:row>
          <xdr:rowOff>184150</xdr:rowOff>
        </xdr:to>
        <xdr:sp macro="" textlink="">
          <xdr:nvSpPr>
            <xdr:cNvPr id="15885" name="Check Box 525" hidden="1">
              <a:extLst>
                <a:ext uri="{63B3BB69-23CF-44E3-9099-C40C66FF867C}">
                  <a14:compatExt spid="_x0000_s15885"/>
                </a:ext>
                <a:ext uri="{FF2B5EF4-FFF2-40B4-BE49-F238E27FC236}">
                  <a16:creationId xmlns:a16="http://schemas.microsoft.com/office/drawing/2014/main" id="{00000000-0008-0000-1300-00000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1594</xdr:row>
          <xdr:rowOff>0</xdr:rowOff>
        </xdr:from>
        <xdr:to>
          <xdr:col>22</xdr:col>
          <xdr:colOff>184150</xdr:colOff>
          <xdr:row>1594</xdr:row>
          <xdr:rowOff>184150</xdr:rowOff>
        </xdr:to>
        <xdr:sp macro="" textlink="">
          <xdr:nvSpPr>
            <xdr:cNvPr id="15886" name="Check Box 526" hidden="1">
              <a:extLst>
                <a:ext uri="{63B3BB69-23CF-44E3-9099-C40C66FF867C}">
                  <a14:compatExt spid="_x0000_s15886"/>
                </a:ext>
                <a:ext uri="{FF2B5EF4-FFF2-40B4-BE49-F238E27FC236}">
                  <a16:creationId xmlns:a16="http://schemas.microsoft.com/office/drawing/2014/main" id="{00000000-0008-0000-1300-00000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1598</xdr:row>
          <xdr:rowOff>0</xdr:rowOff>
        </xdr:from>
        <xdr:to>
          <xdr:col>22</xdr:col>
          <xdr:colOff>184150</xdr:colOff>
          <xdr:row>1598</xdr:row>
          <xdr:rowOff>184150</xdr:rowOff>
        </xdr:to>
        <xdr:sp macro="" textlink="">
          <xdr:nvSpPr>
            <xdr:cNvPr id="15887" name="Check Box 527" hidden="1">
              <a:extLst>
                <a:ext uri="{63B3BB69-23CF-44E3-9099-C40C66FF867C}">
                  <a14:compatExt spid="_x0000_s15887"/>
                </a:ext>
                <a:ext uri="{FF2B5EF4-FFF2-40B4-BE49-F238E27FC236}">
                  <a16:creationId xmlns:a16="http://schemas.microsoft.com/office/drawing/2014/main" id="{00000000-0008-0000-1300-00000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1599</xdr:row>
          <xdr:rowOff>0</xdr:rowOff>
        </xdr:from>
        <xdr:to>
          <xdr:col>22</xdr:col>
          <xdr:colOff>184150</xdr:colOff>
          <xdr:row>1599</xdr:row>
          <xdr:rowOff>184150</xdr:rowOff>
        </xdr:to>
        <xdr:sp macro="" textlink="">
          <xdr:nvSpPr>
            <xdr:cNvPr id="15888" name="Check Box 528" hidden="1">
              <a:extLst>
                <a:ext uri="{63B3BB69-23CF-44E3-9099-C40C66FF867C}">
                  <a14:compatExt spid="_x0000_s15888"/>
                </a:ext>
                <a:ext uri="{FF2B5EF4-FFF2-40B4-BE49-F238E27FC236}">
                  <a16:creationId xmlns:a16="http://schemas.microsoft.com/office/drawing/2014/main" id="{00000000-0008-0000-1300-00001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1602</xdr:row>
          <xdr:rowOff>0</xdr:rowOff>
        </xdr:from>
        <xdr:to>
          <xdr:col>22</xdr:col>
          <xdr:colOff>184150</xdr:colOff>
          <xdr:row>1602</xdr:row>
          <xdr:rowOff>184150</xdr:rowOff>
        </xdr:to>
        <xdr:sp macro="" textlink="">
          <xdr:nvSpPr>
            <xdr:cNvPr id="15889" name="Check Box 529" hidden="1">
              <a:extLst>
                <a:ext uri="{63B3BB69-23CF-44E3-9099-C40C66FF867C}">
                  <a14:compatExt spid="_x0000_s15889"/>
                </a:ext>
                <a:ext uri="{FF2B5EF4-FFF2-40B4-BE49-F238E27FC236}">
                  <a16:creationId xmlns:a16="http://schemas.microsoft.com/office/drawing/2014/main" id="{00000000-0008-0000-1300-00001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1610</xdr:row>
          <xdr:rowOff>0</xdr:rowOff>
        </xdr:from>
        <xdr:to>
          <xdr:col>22</xdr:col>
          <xdr:colOff>184150</xdr:colOff>
          <xdr:row>1610</xdr:row>
          <xdr:rowOff>184150</xdr:rowOff>
        </xdr:to>
        <xdr:sp macro="" textlink="">
          <xdr:nvSpPr>
            <xdr:cNvPr id="15890" name="Check Box 530" hidden="1">
              <a:extLst>
                <a:ext uri="{63B3BB69-23CF-44E3-9099-C40C66FF867C}">
                  <a14:compatExt spid="_x0000_s15890"/>
                </a:ext>
                <a:ext uri="{FF2B5EF4-FFF2-40B4-BE49-F238E27FC236}">
                  <a16:creationId xmlns:a16="http://schemas.microsoft.com/office/drawing/2014/main" id="{00000000-0008-0000-1300-00001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1678</xdr:row>
          <xdr:rowOff>0</xdr:rowOff>
        </xdr:from>
        <xdr:to>
          <xdr:col>22</xdr:col>
          <xdr:colOff>184150</xdr:colOff>
          <xdr:row>1678</xdr:row>
          <xdr:rowOff>184150</xdr:rowOff>
        </xdr:to>
        <xdr:sp macro="" textlink="">
          <xdr:nvSpPr>
            <xdr:cNvPr id="15915" name="Check Box 555" hidden="1">
              <a:extLst>
                <a:ext uri="{63B3BB69-23CF-44E3-9099-C40C66FF867C}">
                  <a14:compatExt spid="_x0000_s15915"/>
                </a:ext>
                <a:ext uri="{FF2B5EF4-FFF2-40B4-BE49-F238E27FC236}">
                  <a16:creationId xmlns:a16="http://schemas.microsoft.com/office/drawing/2014/main" id="{00000000-0008-0000-1300-00002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1683</xdr:row>
          <xdr:rowOff>0</xdr:rowOff>
        </xdr:from>
        <xdr:to>
          <xdr:col>22</xdr:col>
          <xdr:colOff>184150</xdr:colOff>
          <xdr:row>1683</xdr:row>
          <xdr:rowOff>184150</xdr:rowOff>
        </xdr:to>
        <xdr:sp macro="" textlink="">
          <xdr:nvSpPr>
            <xdr:cNvPr id="15916" name="Check Box 556" hidden="1">
              <a:extLst>
                <a:ext uri="{63B3BB69-23CF-44E3-9099-C40C66FF867C}">
                  <a14:compatExt spid="_x0000_s15916"/>
                </a:ext>
                <a:ext uri="{FF2B5EF4-FFF2-40B4-BE49-F238E27FC236}">
                  <a16:creationId xmlns:a16="http://schemas.microsoft.com/office/drawing/2014/main" id="{00000000-0008-0000-1300-00002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1759</xdr:row>
          <xdr:rowOff>0</xdr:rowOff>
        </xdr:from>
        <xdr:to>
          <xdr:col>22</xdr:col>
          <xdr:colOff>184150</xdr:colOff>
          <xdr:row>1759</xdr:row>
          <xdr:rowOff>184150</xdr:rowOff>
        </xdr:to>
        <xdr:sp macro="" textlink="">
          <xdr:nvSpPr>
            <xdr:cNvPr id="15918" name="Check Box 558" hidden="1">
              <a:extLst>
                <a:ext uri="{63B3BB69-23CF-44E3-9099-C40C66FF867C}">
                  <a14:compatExt spid="_x0000_s15918"/>
                </a:ext>
                <a:ext uri="{FF2B5EF4-FFF2-40B4-BE49-F238E27FC236}">
                  <a16:creationId xmlns:a16="http://schemas.microsoft.com/office/drawing/2014/main" id="{00000000-0008-0000-1300-00002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1766</xdr:row>
          <xdr:rowOff>0</xdr:rowOff>
        </xdr:from>
        <xdr:to>
          <xdr:col>22</xdr:col>
          <xdr:colOff>184150</xdr:colOff>
          <xdr:row>1766</xdr:row>
          <xdr:rowOff>184150</xdr:rowOff>
        </xdr:to>
        <xdr:sp macro="" textlink="">
          <xdr:nvSpPr>
            <xdr:cNvPr id="15919" name="Check Box 559" hidden="1">
              <a:extLst>
                <a:ext uri="{63B3BB69-23CF-44E3-9099-C40C66FF867C}">
                  <a14:compatExt spid="_x0000_s15919"/>
                </a:ext>
                <a:ext uri="{FF2B5EF4-FFF2-40B4-BE49-F238E27FC236}">
                  <a16:creationId xmlns:a16="http://schemas.microsoft.com/office/drawing/2014/main" id="{00000000-0008-0000-1300-00002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1768</xdr:row>
          <xdr:rowOff>0</xdr:rowOff>
        </xdr:from>
        <xdr:to>
          <xdr:col>22</xdr:col>
          <xdr:colOff>184150</xdr:colOff>
          <xdr:row>1768</xdr:row>
          <xdr:rowOff>184150</xdr:rowOff>
        </xdr:to>
        <xdr:sp macro="" textlink="">
          <xdr:nvSpPr>
            <xdr:cNvPr id="15920" name="Check Box 560" hidden="1">
              <a:extLst>
                <a:ext uri="{63B3BB69-23CF-44E3-9099-C40C66FF867C}">
                  <a14:compatExt spid="_x0000_s15920"/>
                </a:ext>
                <a:ext uri="{FF2B5EF4-FFF2-40B4-BE49-F238E27FC236}">
                  <a16:creationId xmlns:a16="http://schemas.microsoft.com/office/drawing/2014/main" id="{00000000-0008-0000-1300-00003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1777</xdr:row>
          <xdr:rowOff>0</xdr:rowOff>
        </xdr:from>
        <xdr:to>
          <xdr:col>22</xdr:col>
          <xdr:colOff>184150</xdr:colOff>
          <xdr:row>1777</xdr:row>
          <xdr:rowOff>184150</xdr:rowOff>
        </xdr:to>
        <xdr:sp macro="" textlink="">
          <xdr:nvSpPr>
            <xdr:cNvPr id="15922" name="Check Box 562" hidden="1">
              <a:extLst>
                <a:ext uri="{63B3BB69-23CF-44E3-9099-C40C66FF867C}">
                  <a14:compatExt spid="_x0000_s15922"/>
                </a:ext>
                <a:ext uri="{FF2B5EF4-FFF2-40B4-BE49-F238E27FC236}">
                  <a16:creationId xmlns:a16="http://schemas.microsoft.com/office/drawing/2014/main" id="{00000000-0008-0000-1300-00003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1778</xdr:row>
          <xdr:rowOff>0</xdr:rowOff>
        </xdr:from>
        <xdr:to>
          <xdr:col>22</xdr:col>
          <xdr:colOff>184150</xdr:colOff>
          <xdr:row>1778</xdr:row>
          <xdr:rowOff>184150</xdr:rowOff>
        </xdr:to>
        <xdr:sp macro="" textlink="">
          <xdr:nvSpPr>
            <xdr:cNvPr id="15923" name="Check Box 563" hidden="1">
              <a:extLst>
                <a:ext uri="{63B3BB69-23CF-44E3-9099-C40C66FF867C}">
                  <a14:compatExt spid="_x0000_s15923"/>
                </a:ext>
                <a:ext uri="{FF2B5EF4-FFF2-40B4-BE49-F238E27FC236}">
                  <a16:creationId xmlns:a16="http://schemas.microsoft.com/office/drawing/2014/main" id="{00000000-0008-0000-1300-00003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1779</xdr:row>
          <xdr:rowOff>0</xdr:rowOff>
        </xdr:from>
        <xdr:to>
          <xdr:col>22</xdr:col>
          <xdr:colOff>184150</xdr:colOff>
          <xdr:row>1779</xdr:row>
          <xdr:rowOff>184150</xdr:rowOff>
        </xdr:to>
        <xdr:sp macro="" textlink="">
          <xdr:nvSpPr>
            <xdr:cNvPr id="15924" name="Check Box 564" hidden="1">
              <a:extLst>
                <a:ext uri="{63B3BB69-23CF-44E3-9099-C40C66FF867C}">
                  <a14:compatExt spid="_x0000_s15924"/>
                </a:ext>
                <a:ext uri="{FF2B5EF4-FFF2-40B4-BE49-F238E27FC236}">
                  <a16:creationId xmlns:a16="http://schemas.microsoft.com/office/drawing/2014/main" id="{00000000-0008-0000-1300-00003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1784</xdr:row>
          <xdr:rowOff>0</xdr:rowOff>
        </xdr:from>
        <xdr:to>
          <xdr:col>22</xdr:col>
          <xdr:colOff>184150</xdr:colOff>
          <xdr:row>1784</xdr:row>
          <xdr:rowOff>184150</xdr:rowOff>
        </xdr:to>
        <xdr:sp macro="" textlink="">
          <xdr:nvSpPr>
            <xdr:cNvPr id="15927" name="Check Box 567" hidden="1">
              <a:extLst>
                <a:ext uri="{63B3BB69-23CF-44E3-9099-C40C66FF867C}">
                  <a14:compatExt spid="_x0000_s15927"/>
                </a:ext>
                <a:ext uri="{FF2B5EF4-FFF2-40B4-BE49-F238E27FC236}">
                  <a16:creationId xmlns:a16="http://schemas.microsoft.com/office/drawing/2014/main" id="{00000000-0008-0000-1300-00003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1786</xdr:row>
          <xdr:rowOff>0</xdr:rowOff>
        </xdr:from>
        <xdr:to>
          <xdr:col>22</xdr:col>
          <xdr:colOff>184150</xdr:colOff>
          <xdr:row>1786</xdr:row>
          <xdr:rowOff>184150</xdr:rowOff>
        </xdr:to>
        <xdr:sp macro="" textlink="">
          <xdr:nvSpPr>
            <xdr:cNvPr id="15928" name="Check Box 568" hidden="1">
              <a:extLst>
                <a:ext uri="{63B3BB69-23CF-44E3-9099-C40C66FF867C}">
                  <a14:compatExt spid="_x0000_s15928"/>
                </a:ext>
                <a:ext uri="{FF2B5EF4-FFF2-40B4-BE49-F238E27FC236}">
                  <a16:creationId xmlns:a16="http://schemas.microsoft.com/office/drawing/2014/main" id="{00000000-0008-0000-1300-00003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1819</xdr:row>
          <xdr:rowOff>0</xdr:rowOff>
        </xdr:from>
        <xdr:to>
          <xdr:col>22</xdr:col>
          <xdr:colOff>184150</xdr:colOff>
          <xdr:row>1819</xdr:row>
          <xdr:rowOff>184150</xdr:rowOff>
        </xdr:to>
        <xdr:sp macro="" textlink="">
          <xdr:nvSpPr>
            <xdr:cNvPr id="15930" name="Check Box 570" hidden="1">
              <a:extLst>
                <a:ext uri="{63B3BB69-23CF-44E3-9099-C40C66FF867C}">
                  <a14:compatExt spid="_x0000_s15930"/>
                </a:ext>
                <a:ext uri="{FF2B5EF4-FFF2-40B4-BE49-F238E27FC236}">
                  <a16:creationId xmlns:a16="http://schemas.microsoft.com/office/drawing/2014/main" id="{00000000-0008-0000-1300-00003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1820</xdr:row>
          <xdr:rowOff>0</xdr:rowOff>
        </xdr:from>
        <xdr:to>
          <xdr:col>22</xdr:col>
          <xdr:colOff>184150</xdr:colOff>
          <xdr:row>1820</xdr:row>
          <xdr:rowOff>184150</xdr:rowOff>
        </xdr:to>
        <xdr:sp macro="" textlink="">
          <xdr:nvSpPr>
            <xdr:cNvPr id="15931" name="Check Box 571" hidden="1">
              <a:extLst>
                <a:ext uri="{63B3BB69-23CF-44E3-9099-C40C66FF867C}">
                  <a14:compatExt spid="_x0000_s15931"/>
                </a:ext>
                <a:ext uri="{FF2B5EF4-FFF2-40B4-BE49-F238E27FC236}">
                  <a16:creationId xmlns:a16="http://schemas.microsoft.com/office/drawing/2014/main" id="{00000000-0008-0000-1300-00003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1847</xdr:row>
          <xdr:rowOff>0</xdr:rowOff>
        </xdr:from>
        <xdr:to>
          <xdr:col>22</xdr:col>
          <xdr:colOff>184150</xdr:colOff>
          <xdr:row>1847</xdr:row>
          <xdr:rowOff>184150</xdr:rowOff>
        </xdr:to>
        <xdr:sp macro="" textlink="">
          <xdr:nvSpPr>
            <xdr:cNvPr id="15932" name="Check Box 572" hidden="1">
              <a:extLst>
                <a:ext uri="{63B3BB69-23CF-44E3-9099-C40C66FF867C}">
                  <a14:compatExt spid="_x0000_s15932"/>
                </a:ext>
                <a:ext uri="{FF2B5EF4-FFF2-40B4-BE49-F238E27FC236}">
                  <a16:creationId xmlns:a16="http://schemas.microsoft.com/office/drawing/2014/main" id="{00000000-0008-0000-1300-00003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1856</xdr:row>
          <xdr:rowOff>0</xdr:rowOff>
        </xdr:from>
        <xdr:to>
          <xdr:col>22</xdr:col>
          <xdr:colOff>184150</xdr:colOff>
          <xdr:row>1856</xdr:row>
          <xdr:rowOff>184150</xdr:rowOff>
        </xdr:to>
        <xdr:sp macro="" textlink="">
          <xdr:nvSpPr>
            <xdr:cNvPr id="15935" name="Check Box 575" hidden="1">
              <a:extLst>
                <a:ext uri="{63B3BB69-23CF-44E3-9099-C40C66FF867C}">
                  <a14:compatExt spid="_x0000_s15935"/>
                </a:ext>
                <a:ext uri="{FF2B5EF4-FFF2-40B4-BE49-F238E27FC236}">
                  <a16:creationId xmlns:a16="http://schemas.microsoft.com/office/drawing/2014/main" id="{00000000-0008-0000-1300-00003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1859</xdr:row>
          <xdr:rowOff>0</xdr:rowOff>
        </xdr:from>
        <xdr:to>
          <xdr:col>22</xdr:col>
          <xdr:colOff>184150</xdr:colOff>
          <xdr:row>1859</xdr:row>
          <xdr:rowOff>184150</xdr:rowOff>
        </xdr:to>
        <xdr:sp macro="" textlink="">
          <xdr:nvSpPr>
            <xdr:cNvPr id="15936" name="Check Box 576" hidden="1">
              <a:extLst>
                <a:ext uri="{63B3BB69-23CF-44E3-9099-C40C66FF867C}">
                  <a14:compatExt spid="_x0000_s15936"/>
                </a:ext>
                <a:ext uri="{FF2B5EF4-FFF2-40B4-BE49-F238E27FC236}">
                  <a16:creationId xmlns:a16="http://schemas.microsoft.com/office/drawing/2014/main" id="{00000000-0008-0000-1300-00004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1861</xdr:row>
          <xdr:rowOff>0</xdr:rowOff>
        </xdr:from>
        <xdr:to>
          <xdr:col>22</xdr:col>
          <xdr:colOff>184150</xdr:colOff>
          <xdr:row>1861</xdr:row>
          <xdr:rowOff>184150</xdr:rowOff>
        </xdr:to>
        <xdr:sp macro="" textlink="">
          <xdr:nvSpPr>
            <xdr:cNvPr id="15937" name="Check Box 577" hidden="1">
              <a:extLst>
                <a:ext uri="{63B3BB69-23CF-44E3-9099-C40C66FF867C}">
                  <a14:compatExt spid="_x0000_s15937"/>
                </a:ext>
                <a:ext uri="{FF2B5EF4-FFF2-40B4-BE49-F238E27FC236}">
                  <a16:creationId xmlns:a16="http://schemas.microsoft.com/office/drawing/2014/main" id="{00000000-0008-0000-1300-00004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1877</xdr:row>
          <xdr:rowOff>0</xdr:rowOff>
        </xdr:from>
        <xdr:to>
          <xdr:col>22</xdr:col>
          <xdr:colOff>184150</xdr:colOff>
          <xdr:row>1877</xdr:row>
          <xdr:rowOff>184150</xdr:rowOff>
        </xdr:to>
        <xdr:sp macro="" textlink="">
          <xdr:nvSpPr>
            <xdr:cNvPr id="15982" name="Check Box 622" hidden="1">
              <a:extLst>
                <a:ext uri="{63B3BB69-23CF-44E3-9099-C40C66FF867C}">
                  <a14:compatExt spid="_x0000_s15982"/>
                </a:ext>
                <a:ext uri="{FF2B5EF4-FFF2-40B4-BE49-F238E27FC236}">
                  <a16:creationId xmlns:a16="http://schemas.microsoft.com/office/drawing/2014/main" id="{00000000-0008-0000-1300-00006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1883</xdr:row>
          <xdr:rowOff>0</xdr:rowOff>
        </xdr:from>
        <xdr:to>
          <xdr:col>22</xdr:col>
          <xdr:colOff>184150</xdr:colOff>
          <xdr:row>1883</xdr:row>
          <xdr:rowOff>184150</xdr:rowOff>
        </xdr:to>
        <xdr:sp macro="" textlink="">
          <xdr:nvSpPr>
            <xdr:cNvPr id="15983" name="Check Box 623" hidden="1">
              <a:extLst>
                <a:ext uri="{63B3BB69-23CF-44E3-9099-C40C66FF867C}">
                  <a14:compatExt spid="_x0000_s15983"/>
                </a:ext>
                <a:ext uri="{FF2B5EF4-FFF2-40B4-BE49-F238E27FC236}">
                  <a16:creationId xmlns:a16="http://schemas.microsoft.com/office/drawing/2014/main" id="{00000000-0008-0000-1300-00006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1899</xdr:row>
          <xdr:rowOff>0</xdr:rowOff>
        </xdr:from>
        <xdr:to>
          <xdr:col>22</xdr:col>
          <xdr:colOff>184150</xdr:colOff>
          <xdr:row>1899</xdr:row>
          <xdr:rowOff>184150</xdr:rowOff>
        </xdr:to>
        <xdr:sp macro="" textlink="">
          <xdr:nvSpPr>
            <xdr:cNvPr id="15984" name="Check Box 624" hidden="1">
              <a:extLst>
                <a:ext uri="{63B3BB69-23CF-44E3-9099-C40C66FF867C}">
                  <a14:compatExt spid="_x0000_s15984"/>
                </a:ext>
                <a:ext uri="{FF2B5EF4-FFF2-40B4-BE49-F238E27FC236}">
                  <a16:creationId xmlns:a16="http://schemas.microsoft.com/office/drawing/2014/main" id="{00000000-0008-0000-1300-00007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1927</xdr:row>
          <xdr:rowOff>0</xdr:rowOff>
        </xdr:from>
        <xdr:to>
          <xdr:col>22</xdr:col>
          <xdr:colOff>184150</xdr:colOff>
          <xdr:row>1927</xdr:row>
          <xdr:rowOff>184150</xdr:rowOff>
        </xdr:to>
        <xdr:sp macro="" textlink="">
          <xdr:nvSpPr>
            <xdr:cNvPr id="15985" name="Check Box 625" hidden="1">
              <a:extLst>
                <a:ext uri="{63B3BB69-23CF-44E3-9099-C40C66FF867C}">
                  <a14:compatExt spid="_x0000_s15985"/>
                </a:ext>
                <a:ext uri="{FF2B5EF4-FFF2-40B4-BE49-F238E27FC236}">
                  <a16:creationId xmlns:a16="http://schemas.microsoft.com/office/drawing/2014/main" id="{00000000-0008-0000-1300-00007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1933</xdr:row>
          <xdr:rowOff>0</xdr:rowOff>
        </xdr:from>
        <xdr:to>
          <xdr:col>22</xdr:col>
          <xdr:colOff>184150</xdr:colOff>
          <xdr:row>1933</xdr:row>
          <xdr:rowOff>184150</xdr:rowOff>
        </xdr:to>
        <xdr:sp macro="" textlink="">
          <xdr:nvSpPr>
            <xdr:cNvPr id="15986" name="Check Box 626" hidden="1">
              <a:extLst>
                <a:ext uri="{63B3BB69-23CF-44E3-9099-C40C66FF867C}">
                  <a14:compatExt spid="_x0000_s15986"/>
                </a:ext>
                <a:ext uri="{FF2B5EF4-FFF2-40B4-BE49-F238E27FC236}">
                  <a16:creationId xmlns:a16="http://schemas.microsoft.com/office/drawing/2014/main" id="{00000000-0008-0000-1300-00007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1956</xdr:row>
          <xdr:rowOff>0</xdr:rowOff>
        </xdr:from>
        <xdr:to>
          <xdr:col>22</xdr:col>
          <xdr:colOff>184150</xdr:colOff>
          <xdr:row>1956</xdr:row>
          <xdr:rowOff>184150</xdr:rowOff>
        </xdr:to>
        <xdr:sp macro="" textlink="">
          <xdr:nvSpPr>
            <xdr:cNvPr id="15987" name="Check Box 627" hidden="1">
              <a:extLst>
                <a:ext uri="{63B3BB69-23CF-44E3-9099-C40C66FF867C}">
                  <a14:compatExt spid="_x0000_s15987"/>
                </a:ext>
                <a:ext uri="{FF2B5EF4-FFF2-40B4-BE49-F238E27FC236}">
                  <a16:creationId xmlns:a16="http://schemas.microsoft.com/office/drawing/2014/main" id="{00000000-0008-0000-1300-00007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1958</xdr:row>
          <xdr:rowOff>0</xdr:rowOff>
        </xdr:from>
        <xdr:to>
          <xdr:col>22</xdr:col>
          <xdr:colOff>184150</xdr:colOff>
          <xdr:row>1958</xdr:row>
          <xdr:rowOff>184150</xdr:rowOff>
        </xdr:to>
        <xdr:sp macro="" textlink="">
          <xdr:nvSpPr>
            <xdr:cNvPr id="15988" name="Check Box 628" hidden="1">
              <a:extLst>
                <a:ext uri="{63B3BB69-23CF-44E3-9099-C40C66FF867C}">
                  <a14:compatExt spid="_x0000_s15988"/>
                </a:ext>
                <a:ext uri="{FF2B5EF4-FFF2-40B4-BE49-F238E27FC236}">
                  <a16:creationId xmlns:a16="http://schemas.microsoft.com/office/drawing/2014/main" id="{00000000-0008-0000-1300-00007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1961</xdr:row>
          <xdr:rowOff>0</xdr:rowOff>
        </xdr:from>
        <xdr:to>
          <xdr:col>22</xdr:col>
          <xdr:colOff>184150</xdr:colOff>
          <xdr:row>1961</xdr:row>
          <xdr:rowOff>184150</xdr:rowOff>
        </xdr:to>
        <xdr:sp macro="" textlink="">
          <xdr:nvSpPr>
            <xdr:cNvPr id="15989" name="Check Box 629" hidden="1">
              <a:extLst>
                <a:ext uri="{63B3BB69-23CF-44E3-9099-C40C66FF867C}">
                  <a14:compatExt spid="_x0000_s15989"/>
                </a:ext>
                <a:ext uri="{FF2B5EF4-FFF2-40B4-BE49-F238E27FC236}">
                  <a16:creationId xmlns:a16="http://schemas.microsoft.com/office/drawing/2014/main" id="{00000000-0008-0000-1300-00007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1984</xdr:row>
          <xdr:rowOff>0</xdr:rowOff>
        </xdr:from>
        <xdr:to>
          <xdr:col>22</xdr:col>
          <xdr:colOff>184150</xdr:colOff>
          <xdr:row>1984</xdr:row>
          <xdr:rowOff>184150</xdr:rowOff>
        </xdr:to>
        <xdr:sp macro="" textlink="">
          <xdr:nvSpPr>
            <xdr:cNvPr id="15990" name="Check Box 630" hidden="1">
              <a:extLst>
                <a:ext uri="{63B3BB69-23CF-44E3-9099-C40C66FF867C}">
                  <a14:compatExt spid="_x0000_s15990"/>
                </a:ext>
                <a:ext uri="{FF2B5EF4-FFF2-40B4-BE49-F238E27FC236}">
                  <a16:creationId xmlns:a16="http://schemas.microsoft.com/office/drawing/2014/main" id="{00000000-0008-0000-1300-00007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1995</xdr:row>
          <xdr:rowOff>0</xdr:rowOff>
        </xdr:from>
        <xdr:to>
          <xdr:col>22</xdr:col>
          <xdr:colOff>184150</xdr:colOff>
          <xdr:row>1995</xdr:row>
          <xdr:rowOff>184150</xdr:rowOff>
        </xdr:to>
        <xdr:sp macro="" textlink="">
          <xdr:nvSpPr>
            <xdr:cNvPr id="15991" name="Check Box 631" hidden="1">
              <a:extLst>
                <a:ext uri="{63B3BB69-23CF-44E3-9099-C40C66FF867C}">
                  <a14:compatExt spid="_x0000_s15991"/>
                </a:ext>
                <a:ext uri="{FF2B5EF4-FFF2-40B4-BE49-F238E27FC236}">
                  <a16:creationId xmlns:a16="http://schemas.microsoft.com/office/drawing/2014/main" id="{00000000-0008-0000-1300-00007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1997</xdr:row>
          <xdr:rowOff>0</xdr:rowOff>
        </xdr:from>
        <xdr:to>
          <xdr:col>22</xdr:col>
          <xdr:colOff>184150</xdr:colOff>
          <xdr:row>1997</xdr:row>
          <xdr:rowOff>184150</xdr:rowOff>
        </xdr:to>
        <xdr:sp macro="" textlink="">
          <xdr:nvSpPr>
            <xdr:cNvPr id="15992" name="Check Box 632" hidden="1">
              <a:extLst>
                <a:ext uri="{63B3BB69-23CF-44E3-9099-C40C66FF867C}">
                  <a14:compatExt spid="_x0000_s15992"/>
                </a:ext>
                <a:ext uri="{FF2B5EF4-FFF2-40B4-BE49-F238E27FC236}">
                  <a16:creationId xmlns:a16="http://schemas.microsoft.com/office/drawing/2014/main" id="{00000000-0008-0000-1300-00007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1998</xdr:row>
          <xdr:rowOff>0</xdr:rowOff>
        </xdr:from>
        <xdr:to>
          <xdr:col>22</xdr:col>
          <xdr:colOff>184150</xdr:colOff>
          <xdr:row>1998</xdr:row>
          <xdr:rowOff>184150</xdr:rowOff>
        </xdr:to>
        <xdr:sp macro="" textlink="">
          <xdr:nvSpPr>
            <xdr:cNvPr id="15993" name="Check Box 633" hidden="1">
              <a:extLst>
                <a:ext uri="{63B3BB69-23CF-44E3-9099-C40C66FF867C}">
                  <a14:compatExt spid="_x0000_s15993"/>
                </a:ext>
                <a:ext uri="{FF2B5EF4-FFF2-40B4-BE49-F238E27FC236}">
                  <a16:creationId xmlns:a16="http://schemas.microsoft.com/office/drawing/2014/main" id="{00000000-0008-0000-1300-00007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2000</xdr:row>
          <xdr:rowOff>0</xdr:rowOff>
        </xdr:from>
        <xdr:to>
          <xdr:col>22</xdr:col>
          <xdr:colOff>184150</xdr:colOff>
          <xdr:row>2000</xdr:row>
          <xdr:rowOff>184150</xdr:rowOff>
        </xdr:to>
        <xdr:sp macro="" textlink="">
          <xdr:nvSpPr>
            <xdr:cNvPr id="15994" name="Check Box 634" hidden="1">
              <a:extLst>
                <a:ext uri="{63B3BB69-23CF-44E3-9099-C40C66FF867C}">
                  <a14:compatExt spid="_x0000_s15994"/>
                </a:ext>
                <a:ext uri="{FF2B5EF4-FFF2-40B4-BE49-F238E27FC236}">
                  <a16:creationId xmlns:a16="http://schemas.microsoft.com/office/drawing/2014/main" id="{00000000-0008-0000-1300-00007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2005</xdr:row>
          <xdr:rowOff>0</xdr:rowOff>
        </xdr:from>
        <xdr:to>
          <xdr:col>22</xdr:col>
          <xdr:colOff>184150</xdr:colOff>
          <xdr:row>2005</xdr:row>
          <xdr:rowOff>184150</xdr:rowOff>
        </xdr:to>
        <xdr:sp macro="" textlink="">
          <xdr:nvSpPr>
            <xdr:cNvPr id="15995" name="Check Box 635" hidden="1">
              <a:extLst>
                <a:ext uri="{63B3BB69-23CF-44E3-9099-C40C66FF867C}">
                  <a14:compatExt spid="_x0000_s15995"/>
                </a:ext>
                <a:ext uri="{FF2B5EF4-FFF2-40B4-BE49-F238E27FC236}">
                  <a16:creationId xmlns:a16="http://schemas.microsoft.com/office/drawing/2014/main" id="{00000000-0008-0000-1300-00007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2014</xdr:row>
          <xdr:rowOff>0</xdr:rowOff>
        </xdr:from>
        <xdr:to>
          <xdr:col>22</xdr:col>
          <xdr:colOff>184150</xdr:colOff>
          <xdr:row>2014</xdr:row>
          <xdr:rowOff>184150</xdr:rowOff>
        </xdr:to>
        <xdr:sp macro="" textlink="">
          <xdr:nvSpPr>
            <xdr:cNvPr id="15996" name="Check Box 636" hidden="1">
              <a:extLst>
                <a:ext uri="{63B3BB69-23CF-44E3-9099-C40C66FF867C}">
                  <a14:compatExt spid="_x0000_s15996"/>
                </a:ext>
                <a:ext uri="{FF2B5EF4-FFF2-40B4-BE49-F238E27FC236}">
                  <a16:creationId xmlns:a16="http://schemas.microsoft.com/office/drawing/2014/main" id="{00000000-0008-0000-1300-00007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2019</xdr:row>
          <xdr:rowOff>0</xdr:rowOff>
        </xdr:from>
        <xdr:to>
          <xdr:col>22</xdr:col>
          <xdr:colOff>184150</xdr:colOff>
          <xdr:row>2019</xdr:row>
          <xdr:rowOff>184150</xdr:rowOff>
        </xdr:to>
        <xdr:sp macro="" textlink="">
          <xdr:nvSpPr>
            <xdr:cNvPr id="15997" name="Check Box 637" hidden="1">
              <a:extLst>
                <a:ext uri="{63B3BB69-23CF-44E3-9099-C40C66FF867C}">
                  <a14:compatExt spid="_x0000_s15997"/>
                </a:ext>
                <a:ext uri="{FF2B5EF4-FFF2-40B4-BE49-F238E27FC236}">
                  <a16:creationId xmlns:a16="http://schemas.microsoft.com/office/drawing/2014/main" id="{00000000-0008-0000-1300-00007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2020</xdr:row>
          <xdr:rowOff>0</xdr:rowOff>
        </xdr:from>
        <xdr:to>
          <xdr:col>22</xdr:col>
          <xdr:colOff>184150</xdr:colOff>
          <xdr:row>2020</xdr:row>
          <xdr:rowOff>184150</xdr:rowOff>
        </xdr:to>
        <xdr:sp macro="" textlink="">
          <xdr:nvSpPr>
            <xdr:cNvPr id="15998" name="Check Box 638" hidden="1">
              <a:extLst>
                <a:ext uri="{63B3BB69-23CF-44E3-9099-C40C66FF867C}">
                  <a14:compatExt spid="_x0000_s15998"/>
                </a:ext>
                <a:ext uri="{FF2B5EF4-FFF2-40B4-BE49-F238E27FC236}">
                  <a16:creationId xmlns:a16="http://schemas.microsoft.com/office/drawing/2014/main" id="{00000000-0008-0000-1300-00007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2024</xdr:row>
          <xdr:rowOff>0</xdr:rowOff>
        </xdr:from>
        <xdr:to>
          <xdr:col>22</xdr:col>
          <xdr:colOff>184150</xdr:colOff>
          <xdr:row>2024</xdr:row>
          <xdr:rowOff>184150</xdr:rowOff>
        </xdr:to>
        <xdr:sp macro="" textlink="">
          <xdr:nvSpPr>
            <xdr:cNvPr id="15999" name="Check Box 639" hidden="1">
              <a:extLst>
                <a:ext uri="{63B3BB69-23CF-44E3-9099-C40C66FF867C}">
                  <a14:compatExt spid="_x0000_s15999"/>
                </a:ext>
                <a:ext uri="{FF2B5EF4-FFF2-40B4-BE49-F238E27FC236}">
                  <a16:creationId xmlns:a16="http://schemas.microsoft.com/office/drawing/2014/main" id="{00000000-0008-0000-1300-00007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2037</xdr:row>
          <xdr:rowOff>0</xdr:rowOff>
        </xdr:from>
        <xdr:to>
          <xdr:col>22</xdr:col>
          <xdr:colOff>184150</xdr:colOff>
          <xdr:row>2037</xdr:row>
          <xdr:rowOff>184150</xdr:rowOff>
        </xdr:to>
        <xdr:sp macro="" textlink="">
          <xdr:nvSpPr>
            <xdr:cNvPr id="16000" name="Check Box 640" hidden="1">
              <a:extLst>
                <a:ext uri="{63B3BB69-23CF-44E3-9099-C40C66FF867C}">
                  <a14:compatExt spid="_x0000_s16000"/>
                </a:ext>
                <a:ext uri="{FF2B5EF4-FFF2-40B4-BE49-F238E27FC236}">
                  <a16:creationId xmlns:a16="http://schemas.microsoft.com/office/drawing/2014/main" id="{00000000-0008-0000-1300-00008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2038</xdr:row>
          <xdr:rowOff>0</xdr:rowOff>
        </xdr:from>
        <xdr:to>
          <xdr:col>22</xdr:col>
          <xdr:colOff>184150</xdr:colOff>
          <xdr:row>2038</xdr:row>
          <xdr:rowOff>184150</xdr:rowOff>
        </xdr:to>
        <xdr:sp macro="" textlink="">
          <xdr:nvSpPr>
            <xdr:cNvPr id="16001" name="Check Box 641" hidden="1">
              <a:extLst>
                <a:ext uri="{63B3BB69-23CF-44E3-9099-C40C66FF867C}">
                  <a14:compatExt spid="_x0000_s16001"/>
                </a:ext>
                <a:ext uri="{FF2B5EF4-FFF2-40B4-BE49-F238E27FC236}">
                  <a16:creationId xmlns:a16="http://schemas.microsoft.com/office/drawing/2014/main" id="{00000000-0008-0000-1300-00008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2041</xdr:row>
          <xdr:rowOff>0</xdr:rowOff>
        </xdr:from>
        <xdr:to>
          <xdr:col>22</xdr:col>
          <xdr:colOff>184150</xdr:colOff>
          <xdr:row>2041</xdr:row>
          <xdr:rowOff>184150</xdr:rowOff>
        </xdr:to>
        <xdr:sp macro="" textlink="">
          <xdr:nvSpPr>
            <xdr:cNvPr id="16002" name="Check Box 642" hidden="1">
              <a:extLst>
                <a:ext uri="{63B3BB69-23CF-44E3-9099-C40C66FF867C}">
                  <a14:compatExt spid="_x0000_s16002"/>
                </a:ext>
                <a:ext uri="{FF2B5EF4-FFF2-40B4-BE49-F238E27FC236}">
                  <a16:creationId xmlns:a16="http://schemas.microsoft.com/office/drawing/2014/main" id="{00000000-0008-0000-1300-00008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2043</xdr:row>
          <xdr:rowOff>0</xdr:rowOff>
        </xdr:from>
        <xdr:to>
          <xdr:col>22</xdr:col>
          <xdr:colOff>184150</xdr:colOff>
          <xdr:row>2043</xdr:row>
          <xdr:rowOff>184150</xdr:rowOff>
        </xdr:to>
        <xdr:sp macro="" textlink="">
          <xdr:nvSpPr>
            <xdr:cNvPr id="16003" name="Check Box 643" hidden="1">
              <a:extLst>
                <a:ext uri="{63B3BB69-23CF-44E3-9099-C40C66FF867C}">
                  <a14:compatExt spid="_x0000_s16003"/>
                </a:ext>
                <a:ext uri="{FF2B5EF4-FFF2-40B4-BE49-F238E27FC236}">
                  <a16:creationId xmlns:a16="http://schemas.microsoft.com/office/drawing/2014/main" id="{00000000-0008-0000-1300-00008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2049</xdr:row>
          <xdr:rowOff>0</xdr:rowOff>
        </xdr:from>
        <xdr:to>
          <xdr:col>22</xdr:col>
          <xdr:colOff>184150</xdr:colOff>
          <xdr:row>2049</xdr:row>
          <xdr:rowOff>184150</xdr:rowOff>
        </xdr:to>
        <xdr:sp macro="" textlink="">
          <xdr:nvSpPr>
            <xdr:cNvPr id="16004" name="Check Box 644" hidden="1">
              <a:extLst>
                <a:ext uri="{63B3BB69-23CF-44E3-9099-C40C66FF867C}">
                  <a14:compatExt spid="_x0000_s16004"/>
                </a:ext>
                <a:ext uri="{FF2B5EF4-FFF2-40B4-BE49-F238E27FC236}">
                  <a16:creationId xmlns:a16="http://schemas.microsoft.com/office/drawing/2014/main" id="{00000000-0008-0000-1300-00008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2051</xdr:row>
          <xdr:rowOff>0</xdr:rowOff>
        </xdr:from>
        <xdr:to>
          <xdr:col>22</xdr:col>
          <xdr:colOff>184150</xdr:colOff>
          <xdr:row>2051</xdr:row>
          <xdr:rowOff>184150</xdr:rowOff>
        </xdr:to>
        <xdr:sp macro="" textlink="">
          <xdr:nvSpPr>
            <xdr:cNvPr id="16005" name="Check Box 645" hidden="1">
              <a:extLst>
                <a:ext uri="{63B3BB69-23CF-44E3-9099-C40C66FF867C}">
                  <a14:compatExt spid="_x0000_s16005"/>
                </a:ext>
                <a:ext uri="{FF2B5EF4-FFF2-40B4-BE49-F238E27FC236}">
                  <a16:creationId xmlns:a16="http://schemas.microsoft.com/office/drawing/2014/main" id="{00000000-0008-0000-1300-00008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2055</xdr:row>
          <xdr:rowOff>0</xdr:rowOff>
        </xdr:from>
        <xdr:to>
          <xdr:col>22</xdr:col>
          <xdr:colOff>184150</xdr:colOff>
          <xdr:row>2055</xdr:row>
          <xdr:rowOff>184150</xdr:rowOff>
        </xdr:to>
        <xdr:sp macro="" textlink="">
          <xdr:nvSpPr>
            <xdr:cNvPr id="16006" name="Check Box 646" hidden="1">
              <a:extLst>
                <a:ext uri="{63B3BB69-23CF-44E3-9099-C40C66FF867C}">
                  <a14:compatExt spid="_x0000_s16006"/>
                </a:ext>
                <a:ext uri="{FF2B5EF4-FFF2-40B4-BE49-F238E27FC236}">
                  <a16:creationId xmlns:a16="http://schemas.microsoft.com/office/drawing/2014/main" id="{00000000-0008-0000-1300-00008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2062</xdr:row>
          <xdr:rowOff>0</xdr:rowOff>
        </xdr:from>
        <xdr:to>
          <xdr:col>22</xdr:col>
          <xdr:colOff>184150</xdr:colOff>
          <xdr:row>2062</xdr:row>
          <xdr:rowOff>184150</xdr:rowOff>
        </xdr:to>
        <xdr:sp macro="" textlink="">
          <xdr:nvSpPr>
            <xdr:cNvPr id="16007" name="Check Box 647" hidden="1">
              <a:extLst>
                <a:ext uri="{63B3BB69-23CF-44E3-9099-C40C66FF867C}">
                  <a14:compatExt spid="_x0000_s16007"/>
                </a:ext>
                <a:ext uri="{FF2B5EF4-FFF2-40B4-BE49-F238E27FC236}">
                  <a16:creationId xmlns:a16="http://schemas.microsoft.com/office/drawing/2014/main" id="{00000000-0008-0000-1300-00008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2073</xdr:row>
          <xdr:rowOff>0</xdr:rowOff>
        </xdr:from>
        <xdr:to>
          <xdr:col>22</xdr:col>
          <xdr:colOff>184150</xdr:colOff>
          <xdr:row>2073</xdr:row>
          <xdr:rowOff>184150</xdr:rowOff>
        </xdr:to>
        <xdr:sp macro="" textlink="">
          <xdr:nvSpPr>
            <xdr:cNvPr id="16008" name="Check Box 648" hidden="1">
              <a:extLst>
                <a:ext uri="{63B3BB69-23CF-44E3-9099-C40C66FF867C}">
                  <a14:compatExt spid="_x0000_s16008"/>
                </a:ext>
                <a:ext uri="{FF2B5EF4-FFF2-40B4-BE49-F238E27FC236}">
                  <a16:creationId xmlns:a16="http://schemas.microsoft.com/office/drawing/2014/main" id="{00000000-0008-0000-1300-00008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2075</xdr:row>
          <xdr:rowOff>0</xdr:rowOff>
        </xdr:from>
        <xdr:to>
          <xdr:col>22</xdr:col>
          <xdr:colOff>184150</xdr:colOff>
          <xdr:row>2075</xdr:row>
          <xdr:rowOff>184150</xdr:rowOff>
        </xdr:to>
        <xdr:sp macro="" textlink="">
          <xdr:nvSpPr>
            <xdr:cNvPr id="16009" name="Check Box 649" hidden="1">
              <a:extLst>
                <a:ext uri="{63B3BB69-23CF-44E3-9099-C40C66FF867C}">
                  <a14:compatExt spid="_x0000_s16009"/>
                </a:ext>
                <a:ext uri="{FF2B5EF4-FFF2-40B4-BE49-F238E27FC236}">
                  <a16:creationId xmlns:a16="http://schemas.microsoft.com/office/drawing/2014/main" id="{00000000-0008-0000-1300-00008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2077</xdr:row>
          <xdr:rowOff>0</xdr:rowOff>
        </xdr:from>
        <xdr:to>
          <xdr:col>22</xdr:col>
          <xdr:colOff>184150</xdr:colOff>
          <xdr:row>2077</xdr:row>
          <xdr:rowOff>184150</xdr:rowOff>
        </xdr:to>
        <xdr:sp macro="" textlink="">
          <xdr:nvSpPr>
            <xdr:cNvPr id="16010" name="Check Box 650" hidden="1">
              <a:extLst>
                <a:ext uri="{63B3BB69-23CF-44E3-9099-C40C66FF867C}">
                  <a14:compatExt spid="_x0000_s16010"/>
                </a:ext>
                <a:ext uri="{FF2B5EF4-FFF2-40B4-BE49-F238E27FC236}">
                  <a16:creationId xmlns:a16="http://schemas.microsoft.com/office/drawing/2014/main" id="{00000000-0008-0000-1300-00008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2095</xdr:row>
          <xdr:rowOff>0</xdr:rowOff>
        </xdr:from>
        <xdr:to>
          <xdr:col>22</xdr:col>
          <xdr:colOff>184150</xdr:colOff>
          <xdr:row>2095</xdr:row>
          <xdr:rowOff>184150</xdr:rowOff>
        </xdr:to>
        <xdr:sp macro="" textlink="">
          <xdr:nvSpPr>
            <xdr:cNvPr id="16011" name="Check Box 651" hidden="1">
              <a:extLst>
                <a:ext uri="{63B3BB69-23CF-44E3-9099-C40C66FF867C}">
                  <a14:compatExt spid="_x0000_s16011"/>
                </a:ext>
                <a:ext uri="{FF2B5EF4-FFF2-40B4-BE49-F238E27FC236}">
                  <a16:creationId xmlns:a16="http://schemas.microsoft.com/office/drawing/2014/main" id="{00000000-0008-0000-1300-00008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2097</xdr:row>
          <xdr:rowOff>0</xdr:rowOff>
        </xdr:from>
        <xdr:to>
          <xdr:col>22</xdr:col>
          <xdr:colOff>184150</xdr:colOff>
          <xdr:row>2097</xdr:row>
          <xdr:rowOff>184150</xdr:rowOff>
        </xdr:to>
        <xdr:sp macro="" textlink="">
          <xdr:nvSpPr>
            <xdr:cNvPr id="16012" name="Check Box 652" hidden="1">
              <a:extLst>
                <a:ext uri="{63B3BB69-23CF-44E3-9099-C40C66FF867C}">
                  <a14:compatExt spid="_x0000_s16012"/>
                </a:ext>
                <a:ext uri="{FF2B5EF4-FFF2-40B4-BE49-F238E27FC236}">
                  <a16:creationId xmlns:a16="http://schemas.microsoft.com/office/drawing/2014/main" id="{00000000-0008-0000-1300-00008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2100</xdr:row>
          <xdr:rowOff>0</xdr:rowOff>
        </xdr:from>
        <xdr:to>
          <xdr:col>22</xdr:col>
          <xdr:colOff>184150</xdr:colOff>
          <xdr:row>2100</xdr:row>
          <xdr:rowOff>184150</xdr:rowOff>
        </xdr:to>
        <xdr:sp macro="" textlink="">
          <xdr:nvSpPr>
            <xdr:cNvPr id="16013" name="Check Box 653" hidden="1">
              <a:extLst>
                <a:ext uri="{63B3BB69-23CF-44E3-9099-C40C66FF867C}">
                  <a14:compatExt spid="_x0000_s16013"/>
                </a:ext>
                <a:ext uri="{FF2B5EF4-FFF2-40B4-BE49-F238E27FC236}">
                  <a16:creationId xmlns:a16="http://schemas.microsoft.com/office/drawing/2014/main" id="{00000000-0008-0000-1300-00008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2179</xdr:row>
          <xdr:rowOff>0</xdr:rowOff>
        </xdr:from>
        <xdr:to>
          <xdr:col>22</xdr:col>
          <xdr:colOff>184150</xdr:colOff>
          <xdr:row>2179</xdr:row>
          <xdr:rowOff>184150</xdr:rowOff>
        </xdr:to>
        <xdr:sp macro="" textlink="">
          <xdr:nvSpPr>
            <xdr:cNvPr id="16015" name="Check Box 655" hidden="1">
              <a:extLst>
                <a:ext uri="{63B3BB69-23CF-44E3-9099-C40C66FF867C}">
                  <a14:compatExt spid="_x0000_s16015"/>
                </a:ext>
                <a:ext uri="{FF2B5EF4-FFF2-40B4-BE49-F238E27FC236}">
                  <a16:creationId xmlns:a16="http://schemas.microsoft.com/office/drawing/2014/main" id="{00000000-0008-0000-1300-00008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2181</xdr:row>
          <xdr:rowOff>0</xdr:rowOff>
        </xdr:from>
        <xdr:to>
          <xdr:col>22</xdr:col>
          <xdr:colOff>184150</xdr:colOff>
          <xdr:row>2181</xdr:row>
          <xdr:rowOff>184150</xdr:rowOff>
        </xdr:to>
        <xdr:sp macro="" textlink="">
          <xdr:nvSpPr>
            <xdr:cNvPr id="16016" name="Check Box 656" hidden="1">
              <a:extLst>
                <a:ext uri="{63B3BB69-23CF-44E3-9099-C40C66FF867C}">
                  <a14:compatExt spid="_x0000_s16016"/>
                </a:ext>
                <a:ext uri="{FF2B5EF4-FFF2-40B4-BE49-F238E27FC236}">
                  <a16:creationId xmlns:a16="http://schemas.microsoft.com/office/drawing/2014/main" id="{00000000-0008-0000-1300-00009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2187</xdr:row>
          <xdr:rowOff>0</xdr:rowOff>
        </xdr:from>
        <xdr:to>
          <xdr:col>22</xdr:col>
          <xdr:colOff>184150</xdr:colOff>
          <xdr:row>2187</xdr:row>
          <xdr:rowOff>184150</xdr:rowOff>
        </xdr:to>
        <xdr:sp macro="" textlink="">
          <xdr:nvSpPr>
            <xdr:cNvPr id="16017" name="Check Box 657" hidden="1">
              <a:extLst>
                <a:ext uri="{63B3BB69-23CF-44E3-9099-C40C66FF867C}">
                  <a14:compatExt spid="_x0000_s16017"/>
                </a:ext>
                <a:ext uri="{FF2B5EF4-FFF2-40B4-BE49-F238E27FC236}">
                  <a16:creationId xmlns:a16="http://schemas.microsoft.com/office/drawing/2014/main" id="{00000000-0008-0000-1300-00009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2189</xdr:row>
          <xdr:rowOff>0</xdr:rowOff>
        </xdr:from>
        <xdr:to>
          <xdr:col>22</xdr:col>
          <xdr:colOff>184150</xdr:colOff>
          <xdr:row>2189</xdr:row>
          <xdr:rowOff>184150</xdr:rowOff>
        </xdr:to>
        <xdr:sp macro="" textlink="">
          <xdr:nvSpPr>
            <xdr:cNvPr id="16018" name="Check Box 658" hidden="1">
              <a:extLst>
                <a:ext uri="{63B3BB69-23CF-44E3-9099-C40C66FF867C}">
                  <a14:compatExt spid="_x0000_s16018"/>
                </a:ext>
                <a:ext uri="{FF2B5EF4-FFF2-40B4-BE49-F238E27FC236}">
                  <a16:creationId xmlns:a16="http://schemas.microsoft.com/office/drawing/2014/main" id="{00000000-0008-0000-1300-00009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2203</xdr:row>
          <xdr:rowOff>0</xdr:rowOff>
        </xdr:from>
        <xdr:to>
          <xdr:col>22</xdr:col>
          <xdr:colOff>184150</xdr:colOff>
          <xdr:row>2203</xdr:row>
          <xdr:rowOff>184150</xdr:rowOff>
        </xdr:to>
        <xdr:sp macro="" textlink="">
          <xdr:nvSpPr>
            <xdr:cNvPr id="16019" name="Check Box 659" hidden="1">
              <a:extLst>
                <a:ext uri="{63B3BB69-23CF-44E3-9099-C40C66FF867C}">
                  <a14:compatExt spid="_x0000_s16019"/>
                </a:ext>
                <a:ext uri="{FF2B5EF4-FFF2-40B4-BE49-F238E27FC236}">
                  <a16:creationId xmlns:a16="http://schemas.microsoft.com/office/drawing/2014/main" id="{00000000-0008-0000-1300-00009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2204</xdr:row>
          <xdr:rowOff>0</xdr:rowOff>
        </xdr:from>
        <xdr:to>
          <xdr:col>22</xdr:col>
          <xdr:colOff>184150</xdr:colOff>
          <xdr:row>2204</xdr:row>
          <xdr:rowOff>184150</xdr:rowOff>
        </xdr:to>
        <xdr:sp macro="" textlink="">
          <xdr:nvSpPr>
            <xdr:cNvPr id="16020" name="Check Box 660" hidden="1">
              <a:extLst>
                <a:ext uri="{63B3BB69-23CF-44E3-9099-C40C66FF867C}">
                  <a14:compatExt spid="_x0000_s16020"/>
                </a:ext>
                <a:ext uri="{FF2B5EF4-FFF2-40B4-BE49-F238E27FC236}">
                  <a16:creationId xmlns:a16="http://schemas.microsoft.com/office/drawing/2014/main" id="{00000000-0008-0000-1300-00009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2209</xdr:row>
          <xdr:rowOff>0</xdr:rowOff>
        </xdr:from>
        <xdr:to>
          <xdr:col>22</xdr:col>
          <xdr:colOff>184150</xdr:colOff>
          <xdr:row>2209</xdr:row>
          <xdr:rowOff>184150</xdr:rowOff>
        </xdr:to>
        <xdr:sp macro="" textlink="">
          <xdr:nvSpPr>
            <xdr:cNvPr id="16021" name="Check Box 661" hidden="1">
              <a:extLst>
                <a:ext uri="{63B3BB69-23CF-44E3-9099-C40C66FF867C}">
                  <a14:compatExt spid="_x0000_s16021"/>
                </a:ext>
                <a:ext uri="{FF2B5EF4-FFF2-40B4-BE49-F238E27FC236}">
                  <a16:creationId xmlns:a16="http://schemas.microsoft.com/office/drawing/2014/main" id="{00000000-0008-0000-1300-00009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2214</xdr:row>
          <xdr:rowOff>0</xdr:rowOff>
        </xdr:from>
        <xdr:to>
          <xdr:col>22</xdr:col>
          <xdr:colOff>184150</xdr:colOff>
          <xdr:row>2214</xdr:row>
          <xdr:rowOff>184150</xdr:rowOff>
        </xdr:to>
        <xdr:sp macro="" textlink="">
          <xdr:nvSpPr>
            <xdr:cNvPr id="16022" name="Check Box 662" hidden="1">
              <a:extLst>
                <a:ext uri="{63B3BB69-23CF-44E3-9099-C40C66FF867C}">
                  <a14:compatExt spid="_x0000_s16022"/>
                </a:ext>
                <a:ext uri="{FF2B5EF4-FFF2-40B4-BE49-F238E27FC236}">
                  <a16:creationId xmlns:a16="http://schemas.microsoft.com/office/drawing/2014/main" id="{00000000-0008-0000-1300-00009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2231</xdr:row>
          <xdr:rowOff>0</xdr:rowOff>
        </xdr:from>
        <xdr:to>
          <xdr:col>22</xdr:col>
          <xdr:colOff>184150</xdr:colOff>
          <xdr:row>2231</xdr:row>
          <xdr:rowOff>184150</xdr:rowOff>
        </xdr:to>
        <xdr:sp macro="" textlink="">
          <xdr:nvSpPr>
            <xdr:cNvPr id="16023" name="Check Box 663" hidden="1">
              <a:extLst>
                <a:ext uri="{63B3BB69-23CF-44E3-9099-C40C66FF867C}">
                  <a14:compatExt spid="_x0000_s16023"/>
                </a:ext>
                <a:ext uri="{FF2B5EF4-FFF2-40B4-BE49-F238E27FC236}">
                  <a16:creationId xmlns:a16="http://schemas.microsoft.com/office/drawing/2014/main" id="{00000000-0008-0000-1300-00009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2236</xdr:row>
          <xdr:rowOff>0</xdr:rowOff>
        </xdr:from>
        <xdr:to>
          <xdr:col>22</xdr:col>
          <xdr:colOff>184150</xdr:colOff>
          <xdr:row>2236</xdr:row>
          <xdr:rowOff>184150</xdr:rowOff>
        </xdr:to>
        <xdr:sp macro="" textlink="">
          <xdr:nvSpPr>
            <xdr:cNvPr id="16024" name="Check Box 664" hidden="1">
              <a:extLst>
                <a:ext uri="{63B3BB69-23CF-44E3-9099-C40C66FF867C}">
                  <a14:compatExt spid="_x0000_s16024"/>
                </a:ext>
                <a:ext uri="{FF2B5EF4-FFF2-40B4-BE49-F238E27FC236}">
                  <a16:creationId xmlns:a16="http://schemas.microsoft.com/office/drawing/2014/main" id="{00000000-0008-0000-1300-00009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2257</xdr:row>
          <xdr:rowOff>0</xdr:rowOff>
        </xdr:from>
        <xdr:to>
          <xdr:col>22</xdr:col>
          <xdr:colOff>184150</xdr:colOff>
          <xdr:row>2257</xdr:row>
          <xdr:rowOff>184150</xdr:rowOff>
        </xdr:to>
        <xdr:sp macro="" textlink="">
          <xdr:nvSpPr>
            <xdr:cNvPr id="16086" name="Check Box 726" hidden="1">
              <a:extLst>
                <a:ext uri="{63B3BB69-23CF-44E3-9099-C40C66FF867C}">
                  <a14:compatExt spid="_x0000_s16086"/>
                </a:ext>
                <a:ext uri="{FF2B5EF4-FFF2-40B4-BE49-F238E27FC236}">
                  <a16:creationId xmlns:a16="http://schemas.microsoft.com/office/drawing/2014/main" id="{00000000-0008-0000-1300-0000D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2258</xdr:row>
          <xdr:rowOff>0</xdr:rowOff>
        </xdr:from>
        <xdr:to>
          <xdr:col>22</xdr:col>
          <xdr:colOff>184150</xdr:colOff>
          <xdr:row>2258</xdr:row>
          <xdr:rowOff>184150</xdr:rowOff>
        </xdr:to>
        <xdr:sp macro="" textlink="">
          <xdr:nvSpPr>
            <xdr:cNvPr id="16087" name="Check Box 727" hidden="1">
              <a:extLst>
                <a:ext uri="{63B3BB69-23CF-44E3-9099-C40C66FF867C}">
                  <a14:compatExt spid="_x0000_s16087"/>
                </a:ext>
                <a:ext uri="{FF2B5EF4-FFF2-40B4-BE49-F238E27FC236}">
                  <a16:creationId xmlns:a16="http://schemas.microsoft.com/office/drawing/2014/main" id="{00000000-0008-0000-1300-0000D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2259</xdr:row>
          <xdr:rowOff>0</xdr:rowOff>
        </xdr:from>
        <xdr:to>
          <xdr:col>22</xdr:col>
          <xdr:colOff>184150</xdr:colOff>
          <xdr:row>2259</xdr:row>
          <xdr:rowOff>184150</xdr:rowOff>
        </xdr:to>
        <xdr:sp macro="" textlink="">
          <xdr:nvSpPr>
            <xdr:cNvPr id="16088" name="Check Box 728" hidden="1">
              <a:extLst>
                <a:ext uri="{63B3BB69-23CF-44E3-9099-C40C66FF867C}">
                  <a14:compatExt spid="_x0000_s16088"/>
                </a:ext>
                <a:ext uri="{FF2B5EF4-FFF2-40B4-BE49-F238E27FC236}">
                  <a16:creationId xmlns:a16="http://schemas.microsoft.com/office/drawing/2014/main" id="{00000000-0008-0000-1300-0000D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2263</xdr:row>
          <xdr:rowOff>0</xdr:rowOff>
        </xdr:from>
        <xdr:to>
          <xdr:col>22</xdr:col>
          <xdr:colOff>184150</xdr:colOff>
          <xdr:row>2263</xdr:row>
          <xdr:rowOff>184150</xdr:rowOff>
        </xdr:to>
        <xdr:sp macro="" textlink="">
          <xdr:nvSpPr>
            <xdr:cNvPr id="16089" name="Check Box 729" hidden="1">
              <a:extLst>
                <a:ext uri="{63B3BB69-23CF-44E3-9099-C40C66FF867C}">
                  <a14:compatExt spid="_x0000_s16089"/>
                </a:ext>
                <a:ext uri="{FF2B5EF4-FFF2-40B4-BE49-F238E27FC236}">
                  <a16:creationId xmlns:a16="http://schemas.microsoft.com/office/drawing/2014/main" id="{00000000-0008-0000-1300-0000D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2264</xdr:row>
          <xdr:rowOff>0</xdr:rowOff>
        </xdr:from>
        <xdr:to>
          <xdr:col>22</xdr:col>
          <xdr:colOff>184150</xdr:colOff>
          <xdr:row>2264</xdr:row>
          <xdr:rowOff>184150</xdr:rowOff>
        </xdr:to>
        <xdr:sp macro="" textlink="">
          <xdr:nvSpPr>
            <xdr:cNvPr id="16090" name="Check Box 730" hidden="1">
              <a:extLst>
                <a:ext uri="{63B3BB69-23CF-44E3-9099-C40C66FF867C}">
                  <a14:compatExt spid="_x0000_s16090"/>
                </a:ext>
                <a:ext uri="{FF2B5EF4-FFF2-40B4-BE49-F238E27FC236}">
                  <a16:creationId xmlns:a16="http://schemas.microsoft.com/office/drawing/2014/main" id="{00000000-0008-0000-1300-0000D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2265</xdr:row>
          <xdr:rowOff>0</xdr:rowOff>
        </xdr:from>
        <xdr:to>
          <xdr:col>22</xdr:col>
          <xdr:colOff>184150</xdr:colOff>
          <xdr:row>2265</xdr:row>
          <xdr:rowOff>184150</xdr:rowOff>
        </xdr:to>
        <xdr:sp macro="" textlink="">
          <xdr:nvSpPr>
            <xdr:cNvPr id="16091" name="Check Box 731" hidden="1">
              <a:extLst>
                <a:ext uri="{63B3BB69-23CF-44E3-9099-C40C66FF867C}">
                  <a14:compatExt spid="_x0000_s16091"/>
                </a:ext>
                <a:ext uri="{FF2B5EF4-FFF2-40B4-BE49-F238E27FC236}">
                  <a16:creationId xmlns:a16="http://schemas.microsoft.com/office/drawing/2014/main" id="{00000000-0008-0000-1300-0000D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2267</xdr:row>
          <xdr:rowOff>0</xdr:rowOff>
        </xdr:from>
        <xdr:to>
          <xdr:col>22</xdr:col>
          <xdr:colOff>184150</xdr:colOff>
          <xdr:row>2267</xdr:row>
          <xdr:rowOff>184150</xdr:rowOff>
        </xdr:to>
        <xdr:sp macro="" textlink="">
          <xdr:nvSpPr>
            <xdr:cNvPr id="16092" name="Check Box 732" hidden="1">
              <a:extLst>
                <a:ext uri="{63B3BB69-23CF-44E3-9099-C40C66FF867C}">
                  <a14:compatExt spid="_x0000_s16092"/>
                </a:ext>
                <a:ext uri="{FF2B5EF4-FFF2-40B4-BE49-F238E27FC236}">
                  <a16:creationId xmlns:a16="http://schemas.microsoft.com/office/drawing/2014/main" id="{00000000-0008-0000-1300-0000D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2269</xdr:row>
          <xdr:rowOff>0</xdr:rowOff>
        </xdr:from>
        <xdr:to>
          <xdr:col>22</xdr:col>
          <xdr:colOff>184150</xdr:colOff>
          <xdr:row>2269</xdr:row>
          <xdr:rowOff>184150</xdr:rowOff>
        </xdr:to>
        <xdr:sp macro="" textlink="">
          <xdr:nvSpPr>
            <xdr:cNvPr id="16093" name="Check Box 733" hidden="1">
              <a:extLst>
                <a:ext uri="{63B3BB69-23CF-44E3-9099-C40C66FF867C}">
                  <a14:compatExt spid="_x0000_s16093"/>
                </a:ext>
                <a:ext uri="{FF2B5EF4-FFF2-40B4-BE49-F238E27FC236}">
                  <a16:creationId xmlns:a16="http://schemas.microsoft.com/office/drawing/2014/main" id="{00000000-0008-0000-1300-0000D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2270</xdr:row>
          <xdr:rowOff>0</xdr:rowOff>
        </xdr:from>
        <xdr:to>
          <xdr:col>22</xdr:col>
          <xdr:colOff>184150</xdr:colOff>
          <xdr:row>2270</xdr:row>
          <xdr:rowOff>184150</xdr:rowOff>
        </xdr:to>
        <xdr:sp macro="" textlink="">
          <xdr:nvSpPr>
            <xdr:cNvPr id="16094" name="Check Box 734" hidden="1">
              <a:extLst>
                <a:ext uri="{63B3BB69-23CF-44E3-9099-C40C66FF867C}">
                  <a14:compatExt spid="_x0000_s16094"/>
                </a:ext>
                <a:ext uri="{FF2B5EF4-FFF2-40B4-BE49-F238E27FC236}">
                  <a16:creationId xmlns:a16="http://schemas.microsoft.com/office/drawing/2014/main" id="{00000000-0008-0000-1300-0000D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2272</xdr:row>
          <xdr:rowOff>0</xdr:rowOff>
        </xdr:from>
        <xdr:to>
          <xdr:col>22</xdr:col>
          <xdr:colOff>184150</xdr:colOff>
          <xdr:row>2272</xdr:row>
          <xdr:rowOff>184150</xdr:rowOff>
        </xdr:to>
        <xdr:sp macro="" textlink="">
          <xdr:nvSpPr>
            <xdr:cNvPr id="16095" name="Check Box 735" hidden="1">
              <a:extLst>
                <a:ext uri="{63B3BB69-23CF-44E3-9099-C40C66FF867C}">
                  <a14:compatExt spid="_x0000_s16095"/>
                </a:ext>
                <a:ext uri="{FF2B5EF4-FFF2-40B4-BE49-F238E27FC236}">
                  <a16:creationId xmlns:a16="http://schemas.microsoft.com/office/drawing/2014/main" id="{00000000-0008-0000-1300-0000D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2273</xdr:row>
          <xdr:rowOff>0</xdr:rowOff>
        </xdr:from>
        <xdr:to>
          <xdr:col>22</xdr:col>
          <xdr:colOff>184150</xdr:colOff>
          <xdr:row>2273</xdr:row>
          <xdr:rowOff>184150</xdr:rowOff>
        </xdr:to>
        <xdr:sp macro="" textlink="">
          <xdr:nvSpPr>
            <xdr:cNvPr id="16096" name="Check Box 736" hidden="1">
              <a:extLst>
                <a:ext uri="{63B3BB69-23CF-44E3-9099-C40C66FF867C}">
                  <a14:compatExt spid="_x0000_s16096"/>
                </a:ext>
                <a:ext uri="{FF2B5EF4-FFF2-40B4-BE49-F238E27FC236}">
                  <a16:creationId xmlns:a16="http://schemas.microsoft.com/office/drawing/2014/main" id="{00000000-0008-0000-1300-0000E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2274</xdr:row>
          <xdr:rowOff>0</xdr:rowOff>
        </xdr:from>
        <xdr:to>
          <xdr:col>22</xdr:col>
          <xdr:colOff>184150</xdr:colOff>
          <xdr:row>2274</xdr:row>
          <xdr:rowOff>184150</xdr:rowOff>
        </xdr:to>
        <xdr:sp macro="" textlink="">
          <xdr:nvSpPr>
            <xdr:cNvPr id="16097" name="Check Box 737" hidden="1">
              <a:extLst>
                <a:ext uri="{63B3BB69-23CF-44E3-9099-C40C66FF867C}">
                  <a14:compatExt spid="_x0000_s16097"/>
                </a:ext>
                <a:ext uri="{FF2B5EF4-FFF2-40B4-BE49-F238E27FC236}">
                  <a16:creationId xmlns:a16="http://schemas.microsoft.com/office/drawing/2014/main" id="{00000000-0008-0000-1300-0000E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2280</xdr:row>
          <xdr:rowOff>0</xdr:rowOff>
        </xdr:from>
        <xdr:to>
          <xdr:col>22</xdr:col>
          <xdr:colOff>184150</xdr:colOff>
          <xdr:row>2280</xdr:row>
          <xdr:rowOff>184150</xdr:rowOff>
        </xdr:to>
        <xdr:sp macro="" textlink="">
          <xdr:nvSpPr>
            <xdr:cNvPr id="16098" name="Check Box 738" hidden="1">
              <a:extLst>
                <a:ext uri="{63B3BB69-23CF-44E3-9099-C40C66FF867C}">
                  <a14:compatExt spid="_x0000_s16098"/>
                </a:ext>
                <a:ext uri="{FF2B5EF4-FFF2-40B4-BE49-F238E27FC236}">
                  <a16:creationId xmlns:a16="http://schemas.microsoft.com/office/drawing/2014/main" id="{00000000-0008-0000-1300-0000E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2284</xdr:row>
          <xdr:rowOff>0</xdr:rowOff>
        </xdr:from>
        <xdr:to>
          <xdr:col>22</xdr:col>
          <xdr:colOff>184150</xdr:colOff>
          <xdr:row>2284</xdr:row>
          <xdr:rowOff>184150</xdr:rowOff>
        </xdr:to>
        <xdr:sp macro="" textlink="">
          <xdr:nvSpPr>
            <xdr:cNvPr id="16099" name="Check Box 739" hidden="1">
              <a:extLst>
                <a:ext uri="{63B3BB69-23CF-44E3-9099-C40C66FF867C}">
                  <a14:compatExt spid="_x0000_s16099"/>
                </a:ext>
                <a:ext uri="{FF2B5EF4-FFF2-40B4-BE49-F238E27FC236}">
                  <a16:creationId xmlns:a16="http://schemas.microsoft.com/office/drawing/2014/main" id="{00000000-0008-0000-1300-0000E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2286</xdr:row>
          <xdr:rowOff>0</xdr:rowOff>
        </xdr:from>
        <xdr:to>
          <xdr:col>22</xdr:col>
          <xdr:colOff>184150</xdr:colOff>
          <xdr:row>2286</xdr:row>
          <xdr:rowOff>184150</xdr:rowOff>
        </xdr:to>
        <xdr:sp macro="" textlink="">
          <xdr:nvSpPr>
            <xdr:cNvPr id="16100" name="Check Box 740" hidden="1">
              <a:extLst>
                <a:ext uri="{63B3BB69-23CF-44E3-9099-C40C66FF867C}">
                  <a14:compatExt spid="_x0000_s16100"/>
                </a:ext>
                <a:ext uri="{FF2B5EF4-FFF2-40B4-BE49-F238E27FC236}">
                  <a16:creationId xmlns:a16="http://schemas.microsoft.com/office/drawing/2014/main" id="{00000000-0008-0000-1300-0000E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2288</xdr:row>
          <xdr:rowOff>0</xdr:rowOff>
        </xdr:from>
        <xdr:to>
          <xdr:col>22</xdr:col>
          <xdr:colOff>184150</xdr:colOff>
          <xdr:row>2288</xdr:row>
          <xdr:rowOff>184150</xdr:rowOff>
        </xdr:to>
        <xdr:sp macro="" textlink="">
          <xdr:nvSpPr>
            <xdr:cNvPr id="16101" name="Check Box 741" hidden="1">
              <a:extLst>
                <a:ext uri="{63B3BB69-23CF-44E3-9099-C40C66FF867C}">
                  <a14:compatExt spid="_x0000_s16101"/>
                </a:ext>
                <a:ext uri="{FF2B5EF4-FFF2-40B4-BE49-F238E27FC236}">
                  <a16:creationId xmlns:a16="http://schemas.microsoft.com/office/drawing/2014/main" id="{00000000-0008-0000-1300-0000E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2289</xdr:row>
          <xdr:rowOff>0</xdr:rowOff>
        </xdr:from>
        <xdr:to>
          <xdr:col>22</xdr:col>
          <xdr:colOff>184150</xdr:colOff>
          <xdr:row>2289</xdr:row>
          <xdr:rowOff>184150</xdr:rowOff>
        </xdr:to>
        <xdr:sp macro="" textlink="">
          <xdr:nvSpPr>
            <xdr:cNvPr id="16102" name="Check Box 742" hidden="1">
              <a:extLst>
                <a:ext uri="{63B3BB69-23CF-44E3-9099-C40C66FF867C}">
                  <a14:compatExt spid="_x0000_s16102"/>
                </a:ext>
                <a:ext uri="{FF2B5EF4-FFF2-40B4-BE49-F238E27FC236}">
                  <a16:creationId xmlns:a16="http://schemas.microsoft.com/office/drawing/2014/main" id="{00000000-0008-0000-1300-0000E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2291</xdr:row>
          <xdr:rowOff>0</xdr:rowOff>
        </xdr:from>
        <xdr:to>
          <xdr:col>22</xdr:col>
          <xdr:colOff>184150</xdr:colOff>
          <xdr:row>2291</xdr:row>
          <xdr:rowOff>184150</xdr:rowOff>
        </xdr:to>
        <xdr:sp macro="" textlink="">
          <xdr:nvSpPr>
            <xdr:cNvPr id="16103" name="Check Box 743" hidden="1">
              <a:extLst>
                <a:ext uri="{63B3BB69-23CF-44E3-9099-C40C66FF867C}">
                  <a14:compatExt spid="_x0000_s16103"/>
                </a:ext>
                <a:ext uri="{FF2B5EF4-FFF2-40B4-BE49-F238E27FC236}">
                  <a16:creationId xmlns:a16="http://schemas.microsoft.com/office/drawing/2014/main" id="{00000000-0008-0000-1300-0000E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2293</xdr:row>
          <xdr:rowOff>0</xdr:rowOff>
        </xdr:from>
        <xdr:to>
          <xdr:col>22</xdr:col>
          <xdr:colOff>184150</xdr:colOff>
          <xdr:row>2293</xdr:row>
          <xdr:rowOff>184150</xdr:rowOff>
        </xdr:to>
        <xdr:sp macro="" textlink="">
          <xdr:nvSpPr>
            <xdr:cNvPr id="16104" name="Check Box 744" hidden="1">
              <a:extLst>
                <a:ext uri="{63B3BB69-23CF-44E3-9099-C40C66FF867C}">
                  <a14:compatExt spid="_x0000_s16104"/>
                </a:ext>
                <a:ext uri="{FF2B5EF4-FFF2-40B4-BE49-F238E27FC236}">
                  <a16:creationId xmlns:a16="http://schemas.microsoft.com/office/drawing/2014/main" id="{00000000-0008-0000-1300-0000E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2294</xdr:row>
          <xdr:rowOff>0</xdr:rowOff>
        </xdr:from>
        <xdr:to>
          <xdr:col>22</xdr:col>
          <xdr:colOff>184150</xdr:colOff>
          <xdr:row>2294</xdr:row>
          <xdr:rowOff>184150</xdr:rowOff>
        </xdr:to>
        <xdr:sp macro="" textlink="">
          <xdr:nvSpPr>
            <xdr:cNvPr id="16105" name="Check Box 745" hidden="1">
              <a:extLst>
                <a:ext uri="{63B3BB69-23CF-44E3-9099-C40C66FF867C}">
                  <a14:compatExt spid="_x0000_s16105"/>
                </a:ext>
                <a:ext uri="{FF2B5EF4-FFF2-40B4-BE49-F238E27FC236}">
                  <a16:creationId xmlns:a16="http://schemas.microsoft.com/office/drawing/2014/main" id="{00000000-0008-0000-1300-0000E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2296</xdr:row>
          <xdr:rowOff>0</xdr:rowOff>
        </xdr:from>
        <xdr:to>
          <xdr:col>22</xdr:col>
          <xdr:colOff>184150</xdr:colOff>
          <xdr:row>2296</xdr:row>
          <xdr:rowOff>184150</xdr:rowOff>
        </xdr:to>
        <xdr:sp macro="" textlink="">
          <xdr:nvSpPr>
            <xdr:cNvPr id="16106" name="Check Box 746" hidden="1">
              <a:extLst>
                <a:ext uri="{63B3BB69-23CF-44E3-9099-C40C66FF867C}">
                  <a14:compatExt spid="_x0000_s16106"/>
                </a:ext>
                <a:ext uri="{FF2B5EF4-FFF2-40B4-BE49-F238E27FC236}">
                  <a16:creationId xmlns:a16="http://schemas.microsoft.com/office/drawing/2014/main" id="{00000000-0008-0000-1300-0000E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2298</xdr:row>
          <xdr:rowOff>0</xdr:rowOff>
        </xdr:from>
        <xdr:to>
          <xdr:col>22</xdr:col>
          <xdr:colOff>184150</xdr:colOff>
          <xdr:row>2298</xdr:row>
          <xdr:rowOff>184150</xdr:rowOff>
        </xdr:to>
        <xdr:sp macro="" textlink="">
          <xdr:nvSpPr>
            <xdr:cNvPr id="16107" name="Check Box 747" hidden="1">
              <a:extLst>
                <a:ext uri="{63B3BB69-23CF-44E3-9099-C40C66FF867C}">
                  <a14:compatExt spid="_x0000_s16107"/>
                </a:ext>
                <a:ext uri="{FF2B5EF4-FFF2-40B4-BE49-F238E27FC236}">
                  <a16:creationId xmlns:a16="http://schemas.microsoft.com/office/drawing/2014/main" id="{00000000-0008-0000-1300-0000E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2300</xdr:row>
          <xdr:rowOff>0</xdr:rowOff>
        </xdr:from>
        <xdr:to>
          <xdr:col>22</xdr:col>
          <xdr:colOff>184150</xdr:colOff>
          <xdr:row>2300</xdr:row>
          <xdr:rowOff>184150</xdr:rowOff>
        </xdr:to>
        <xdr:sp macro="" textlink="">
          <xdr:nvSpPr>
            <xdr:cNvPr id="16108" name="Check Box 748" hidden="1">
              <a:extLst>
                <a:ext uri="{63B3BB69-23CF-44E3-9099-C40C66FF867C}">
                  <a14:compatExt spid="_x0000_s16108"/>
                </a:ext>
                <a:ext uri="{FF2B5EF4-FFF2-40B4-BE49-F238E27FC236}">
                  <a16:creationId xmlns:a16="http://schemas.microsoft.com/office/drawing/2014/main" id="{00000000-0008-0000-1300-0000E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2301</xdr:row>
          <xdr:rowOff>0</xdr:rowOff>
        </xdr:from>
        <xdr:to>
          <xdr:col>22</xdr:col>
          <xdr:colOff>184150</xdr:colOff>
          <xdr:row>2301</xdr:row>
          <xdr:rowOff>184150</xdr:rowOff>
        </xdr:to>
        <xdr:sp macro="" textlink="">
          <xdr:nvSpPr>
            <xdr:cNvPr id="16109" name="Check Box 749" hidden="1">
              <a:extLst>
                <a:ext uri="{63B3BB69-23CF-44E3-9099-C40C66FF867C}">
                  <a14:compatExt spid="_x0000_s16109"/>
                </a:ext>
                <a:ext uri="{FF2B5EF4-FFF2-40B4-BE49-F238E27FC236}">
                  <a16:creationId xmlns:a16="http://schemas.microsoft.com/office/drawing/2014/main" id="{00000000-0008-0000-1300-0000E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2302</xdr:row>
          <xdr:rowOff>0</xdr:rowOff>
        </xdr:from>
        <xdr:to>
          <xdr:col>22</xdr:col>
          <xdr:colOff>184150</xdr:colOff>
          <xdr:row>2302</xdr:row>
          <xdr:rowOff>184150</xdr:rowOff>
        </xdr:to>
        <xdr:sp macro="" textlink="">
          <xdr:nvSpPr>
            <xdr:cNvPr id="16110" name="Check Box 750" hidden="1">
              <a:extLst>
                <a:ext uri="{63B3BB69-23CF-44E3-9099-C40C66FF867C}">
                  <a14:compatExt spid="_x0000_s16110"/>
                </a:ext>
                <a:ext uri="{FF2B5EF4-FFF2-40B4-BE49-F238E27FC236}">
                  <a16:creationId xmlns:a16="http://schemas.microsoft.com/office/drawing/2014/main" id="{00000000-0008-0000-1300-0000E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2324</xdr:row>
          <xdr:rowOff>0</xdr:rowOff>
        </xdr:from>
        <xdr:to>
          <xdr:col>22</xdr:col>
          <xdr:colOff>184150</xdr:colOff>
          <xdr:row>2324</xdr:row>
          <xdr:rowOff>184150</xdr:rowOff>
        </xdr:to>
        <xdr:sp macro="" textlink="">
          <xdr:nvSpPr>
            <xdr:cNvPr id="16111" name="Check Box 751" hidden="1">
              <a:extLst>
                <a:ext uri="{63B3BB69-23CF-44E3-9099-C40C66FF867C}">
                  <a14:compatExt spid="_x0000_s16111"/>
                </a:ext>
                <a:ext uri="{FF2B5EF4-FFF2-40B4-BE49-F238E27FC236}">
                  <a16:creationId xmlns:a16="http://schemas.microsoft.com/office/drawing/2014/main" id="{00000000-0008-0000-1300-0000E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2327</xdr:row>
          <xdr:rowOff>0</xdr:rowOff>
        </xdr:from>
        <xdr:to>
          <xdr:col>22</xdr:col>
          <xdr:colOff>184150</xdr:colOff>
          <xdr:row>2327</xdr:row>
          <xdr:rowOff>184150</xdr:rowOff>
        </xdr:to>
        <xdr:sp macro="" textlink="">
          <xdr:nvSpPr>
            <xdr:cNvPr id="16112" name="Check Box 752" hidden="1">
              <a:extLst>
                <a:ext uri="{63B3BB69-23CF-44E3-9099-C40C66FF867C}">
                  <a14:compatExt spid="_x0000_s16112"/>
                </a:ext>
                <a:ext uri="{FF2B5EF4-FFF2-40B4-BE49-F238E27FC236}">
                  <a16:creationId xmlns:a16="http://schemas.microsoft.com/office/drawing/2014/main" id="{00000000-0008-0000-1300-0000F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2330</xdr:row>
          <xdr:rowOff>0</xdr:rowOff>
        </xdr:from>
        <xdr:to>
          <xdr:col>22</xdr:col>
          <xdr:colOff>184150</xdr:colOff>
          <xdr:row>2330</xdr:row>
          <xdr:rowOff>184150</xdr:rowOff>
        </xdr:to>
        <xdr:sp macro="" textlink="">
          <xdr:nvSpPr>
            <xdr:cNvPr id="16113" name="Check Box 753" hidden="1">
              <a:extLst>
                <a:ext uri="{63B3BB69-23CF-44E3-9099-C40C66FF867C}">
                  <a14:compatExt spid="_x0000_s16113"/>
                </a:ext>
                <a:ext uri="{FF2B5EF4-FFF2-40B4-BE49-F238E27FC236}">
                  <a16:creationId xmlns:a16="http://schemas.microsoft.com/office/drawing/2014/main" id="{00000000-0008-0000-1300-0000F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2332</xdr:row>
          <xdr:rowOff>0</xdr:rowOff>
        </xdr:from>
        <xdr:to>
          <xdr:col>22</xdr:col>
          <xdr:colOff>184150</xdr:colOff>
          <xdr:row>2332</xdr:row>
          <xdr:rowOff>184150</xdr:rowOff>
        </xdr:to>
        <xdr:sp macro="" textlink="">
          <xdr:nvSpPr>
            <xdr:cNvPr id="16114" name="Check Box 754" hidden="1">
              <a:extLst>
                <a:ext uri="{63B3BB69-23CF-44E3-9099-C40C66FF867C}">
                  <a14:compatExt spid="_x0000_s16114"/>
                </a:ext>
                <a:ext uri="{FF2B5EF4-FFF2-40B4-BE49-F238E27FC236}">
                  <a16:creationId xmlns:a16="http://schemas.microsoft.com/office/drawing/2014/main" id="{00000000-0008-0000-1300-0000F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2333</xdr:row>
          <xdr:rowOff>0</xdr:rowOff>
        </xdr:from>
        <xdr:to>
          <xdr:col>22</xdr:col>
          <xdr:colOff>184150</xdr:colOff>
          <xdr:row>2333</xdr:row>
          <xdr:rowOff>184150</xdr:rowOff>
        </xdr:to>
        <xdr:sp macro="" textlink="">
          <xdr:nvSpPr>
            <xdr:cNvPr id="16115" name="Check Box 755" hidden="1">
              <a:extLst>
                <a:ext uri="{63B3BB69-23CF-44E3-9099-C40C66FF867C}">
                  <a14:compatExt spid="_x0000_s16115"/>
                </a:ext>
                <a:ext uri="{FF2B5EF4-FFF2-40B4-BE49-F238E27FC236}">
                  <a16:creationId xmlns:a16="http://schemas.microsoft.com/office/drawing/2014/main" id="{00000000-0008-0000-1300-0000F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2335</xdr:row>
          <xdr:rowOff>0</xdr:rowOff>
        </xdr:from>
        <xdr:to>
          <xdr:col>22</xdr:col>
          <xdr:colOff>184150</xdr:colOff>
          <xdr:row>2335</xdr:row>
          <xdr:rowOff>184150</xdr:rowOff>
        </xdr:to>
        <xdr:sp macro="" textlink="">
          <xdr:nvSpPr>
            <xdr:cNvPr id="16116" name="Check Box 756" hidden="1">
              <a:extLst>
                <a:ext uri="{63B3BB69-23CF-44E3-9099-C40C66FF867C}">
                  <a14:compatExt spid="_x0000_s16116"/>
                </a:ext>
                <a:ext uri="{FF2B5EF4-FFF2-40B4-BE49-F238E27FC236}">
                  <a16:creationId xmlns:a16="http://schemas.microsoft.com/office/drawing/2014/main" id="{00000000-0008-0000-1300-0000F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2336</xdr:row>
          <xdr:rowOff>0</xdr:rowOff>
        </xdr:from>
        <xdr:to>
          <xdr:col>22</xdr:col>
          <xdr:colOff>184150</xdr:colOff>
          <xdr:row>2336</xdr:row>
          <xdr:rowOff>184150</xdr:rowOff>
        </xdr:to>
        <xdr:sp macro="" textlink="">
          <xdr:nvSpPr>
            <xdr:cNvPr id="16117" name="Check Box 757" hidden="1">
              <a:extLst>
                <a:ext uri="{63B3BB69-23CF-44E3-9099-C40C66FF867C}">
                  <a14:compatExt spid="_x0000_s16117"/>
                </a:ext>
                <a:ext uri="{FF2B5EF4-FFF2-40B4-BE49-F238E27FC236}">
                  <a16:creationId xmlns:a16="http://schemas.microsoft.com/office/drawing/2014/main" id="{00000000-0008-0000-1300-0000F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2337</xdr:row>
          <xdr:rowOff>0</xdr:rowOff>
        </xdr:from>
        <xdr:to>
          <xdr:col>22</xdr:col>
          <xdr:colOff>184150</xdr:colOff>
          <xdr:row>2337</xdr:row>
          <xdr:rowOff>184150</xdr:rowOff>
        </xdr:to>
        <xdr:sp macro="" textlink="">
          <xdr:nvSpPr>
            <xdr:cNvPr id="16118" name="Check Box 758" hidden="1">
              <a:extLst>
                <a:ext uri="{63B3BB69-23CF-44E3-9099-C40C66FF867C}">
                  <a14:compatExt spid="_x0000_s16118"/>
                </a:ext>
                <a:ext uri="{FF2B5EF4-FFF2-40B4-BE49-F238E27FC236}">
                  <a16:creationId xmlns:a16="http://schemas.microsoft.com/office/drawing/2014/main" id="{00000000-0008-0000-1300-0000F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2343</xdr:row>
          <xdr:rowOff>0</xdr:rowOff>
        </xdr:from>
        <xdr:to>
          <xdr:col>22</xdr:col>
          <xdr:colOff>184150</xdr:colOff>
          <xdr:row>2343</xdr:row>
          <xdr:rowOff>184150</xdr:rowOff>
        </xdr:to>
        <xdr:sp macro="" textlink="">
          <xdr:nvSpPr>
            <xdr:cNvPr id="16119" name="Check Box 759" hidden="1">
              <a:extLst>
                <a:ext uri="{63B3BB69-23CF-44E3-9099-C40C66FF867C}">
                  <a14:compatExt spid="_x0000_s16119"/>
                </a:ext>
                <a:ext uri="{FF2B5EF4-FFF2-40B4-BE49-F238E27FC236}">
                  <a16:creationId xmlns:a16="http://schemas.microsoft.com/office/drawing/2014/main" id="{00000000-0008-0000-1300-0000F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2345</xdr:row>
          <xdr:rowOff>0</xdr:rowOff>
        </xdr:from>
        <xdr:to>
          <xdr:col>22</xdr:col>
          <xdr:colOff>184150</xdr:colOff>
          <xdr:row>2345</xdr:row>
          <xdr:rowOff>184150</xdr:rowOff>
        </xdr:to>
        <xdr:sp macro="" textlink="">
          <xdr:nvSpPr>
            <xdr:cNvPr id="16120" name="Check Box 760" hidden="1">
              <a:extLst>
                <a:ext uri="{63B3BB69-23CF-44E3-9099-C40C66FF867C}">
                  <a14:compatExt spid="_x0000_s16120"/>
                </a:ext>
                <a:ext uri="{FF2B5EF4-FFF2-40B4-BE49-F238E27FC236}">
                  <a16:creationId xmlns:a16="http://schemas.microsoft.com/office/drawing/2014/main" id="{00000000-0008-0000-1300-0000F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2348</xdr:row>
          <xdr:rowOff>0</xdr:rowOff>
        </xdr:from>
        <xdr:to>
          <xdr:col>22</xdr:col>
          <xdr:colOff>184150</xdr:colOff>
          <xdr:row>2348</xdr:row>
          <xdr:rowOff>184150</xdr:rowOff>
        </xdr:to>
        <xdr:sp macro="" textlink="">
          <xdr:nvSpPr>
            <xdr:cNvPr id="16121" name="Check Box 761" hidden="1">
              <a:extLst>
                <a:ext uri="{63B3BB69-23CF-44E3-9099-C40C66FF867C}">
                  <a14:compatExt spid="_x0000_s16121"/>
                </a:ext>
                <a:ext uri="{FF2B5EF4-FFF2-40B4-BE49-F238E27FC236}">
                  <a16:creationId xmlns:a16="http://schemas.microsoft.com/office/drawing/2014/main" id="{00000000-0008-0000-1300-0000F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2350</xdr:row>
          <xdr:rowOff>0</xdr:rowOff>
        </xdr:from>
        <xdr:to>
          <xdr:col>22</xdr:col>
          <xdr:colOff>184150</xdr:colOff>
          <xdr:row>2350</xdr:row>
          <xdr:rowOff>184150</xdr:rowOff>
        </xdr:to>
        <xdr:sp macro="" textlink="">
          <xdr:nvSpPr>
            <xdr:cNvPr id="16122" name="Check Box 762" hidden="1">
              <a:extLst>
                <a:ext uri="{63B3BB69-23CF-44E3-9099-C40C66FF867C}">
                  <a14:compatExt spid="_x0000_s16122"/>
                </a:ext>
                <a:ext uri="{FF2B5EF4-FFF2-40B4-BE49-F238E27FC236}">
                  <a16:creationId xmlns:a16="http://schemas.microsoft.com/office/drawing/2014/main" id="{00000000-0008-0000-1300-0000F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2353</xdr:row>
          <xdr:rowOff>0</xdr:rowOff>
        </xdr:from>
        <xdr:to>
          <xdr:col>22</xdr:col>
          <xdr:colOff>184150</xdr:colOff>
          <xdr:row>2353</xdr:row>
          <xdr:rowOff>184150</xdr:rowOff>
        </xdr:to>
        <xdr:sp macro="" textlink="">
          <xdr:nvSpPr>
            <xdr:cNvPr id="16123" name="Check Box 763" hidden="1">
              <a:extLst>
                <a:ext uri="{63B3BB69-23CF-44E3-9099-C40C66FF867C}">
                  <a14:compatExt spid="_x0000_s16123"/>
                </a:ext>
                <a:ext uri="{FF2B5EF4-FFF2-40B4-BE49-F238E27FC236}">
                  <a16:creationId xmlns:a16="http://schemas.microsoft.com/office/drawing/2014/main" id="{00000000-0008-0000-1300-0000F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2355</xdr:row>
          <xdr:rowOff>0</xdr:rowOff>
        </xdr:from>
        <xdr:to>
          <xdr:col>22</xdr:col>
          <xdr:colOff>184150</xdr:colOff>
          <xdr:row>2355</xdr:row>
          <xdr:rowOff>184150</xdr:rowOff>
        </xdr:to>
        <xdr:sp macro="" textlink="">
          <xdr:nvSpPr>
            <xdr:cNvPr id="16124" name="Check Box 764" hidden="1">
              <a:extLst>
                <a:ext uri="{63B3BB69-23CF-44E3-9099-C40C66FF867C}">
                  <a14:compatExt spid="_x0000_s16124"/>
                </a:ext>
                <a:ext uri="{FF2B5EF4-FFF2-40B4-BE49-F238E27FC236}">
                  <a16:creationId xmlns:a16="http://schemas.microsoft.com/office/drawing/2014/main" id="{00000000-0008-0000-1300-0000F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2356</xdr:row>
          <xdr:rowOff>0</xdr:rowOff>
        </xdr:from>
        <xdr:to>
          <xdr:col>22</xdr:col>
          <xdr:colOff>184150</xdr:colOff>
          <xdr:row>2356</xdr:row>
          <xdr:rowOff>184150</xdr:rowOff>
        </xdr:to>
        <xdr:sp macro="" textlink="">
          <xdr:nvSpPr>
            <xdr:cNvPr id="16125" name="Check Box 765" hidden="1">
              <a:extLst>
                <a:ext uri="{63B3BB69-23CF-44E3-9099-C40C66FF867C}">
                  <a14:compatExt spid="_x0000_s16125"/>
                </a:ext>
                <a:ext uri="{FF2B5EF4-FFF2-40B4-BE49-F238E27FC236}">
                  <a16:creationId xmlns:a16="http://schemas.microsoft.com/office/drawing/2014/main" id="{00000000-0008-0000-1300-0000F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2358</xdr:row>
          <xdr:rowOff>0</xdr:rowOff>
        </xdr:from>
        <xdr:to>
          <xdr:col>22</xdr:col>
          <xdr:colOff>184150</xdr:colOff>
          <xdr:row>2358</xdr:row>
          <xdr:rowOff>184150</xdr:rowOff>
        </xdr:to>
        <xdr:sp macro="" textlink="">
          <xdr:nvSpPr>
            <xdr:cNvPr id="16126" name="Check Box 766" hidden="1">
              <a:extLst>
                <a:ext uri="{63B3BB69-23CF-44E3-9099-C40C66FF867C}">
                  <a14:compatExt spid="_x0000_s16126"/>
                </a:ext>
                <a:ext uri="{FF2B5EF4-FFF2-40B4-BE49-F238E27FC236}">
                  <a16:creationId xmlns:a16="http://schemas.microsoft.com/office/drawing/2014/main" id="{00000000-0008-0000-1300-0000F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2360</xdr:row>
          <xdr:rowOff>0</xdr:rowOff>
        </xdr:from>
        <xdr:to>
          <xdr:col>22</xdr:col>
          <xdr:colOff>184150</xdr:colOff>
          <xdr:row>2360</xdr:row>
          <xdr:rowOff>184150</xdr:rowOff>
        </xdr:to>
        <xdr:sp macro="" textlink="">
          <xdr:nvSpPr>
            <xdr:cNvPr id="16127" name="Check Box 767" hidden="1">
              <a:extLst>
                <a:ext uri="{63B3BB69-23CF-44E3-9099-C40C66FF867C}">
                  <a14:compatExt spid="_x0000_s16127"/>
                </a:ext>
                <a:ext uri="{FF2B5EF4-FFF2-40B4-BE49-F238E27FC236}">
                  <a16:creationId xmlns:a16="http://schemas.microsoft.com/office/drawing/2014/main" id="{00000000-0008-0000-1300-0000F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2361</xdr:row>
          <xdr:rowOff>0</xdr:rowOff>
        </xdr:from>
        <xdr:to>
          <xdr:col>22</xdr:col>
          <xdr:colOff>184150</xdr:colOff>
          <xdr:row>2361</xdr:row>
          <xdr:rowOff>184150</xdr:rowOff>
        </xdr:to>
        <xdr:sp macro="" textlink="">
          <xdr:nvSpPr>
            <xdr:cNvPr id="16128" name="Check Box 768" hidden="1">
              <a:extLst>
                <a:ext uri="{63B3BB69-23CF-44E3-9099-C40C66FF867C}">
                  <a14:compatExt spid="_x0000_s16128"/>
                </a:ext>
                <a:ext uri="{FF2B5EF4-FFF2-40B4-BE49-F238E27FC236}">
                  <a16:creationId xmlns:a16="http://schemas.microsoft.com/office/drawing/2014/main" id="{00000000-0008-0000-1300-000000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2364</xdr:row>
          <xdr:rowOff>0</xdr:rowOff>
        </xdr:from>
        <xdr:to>
          <xdr:col>22</xdr:col>
          <xdr:colOff>184150</xdr:colOff>
          <xdr:row>2364</xdr:row>
          <xdr:rowOff>184150</xdr:rowOff>
        </xdr:to>
        <xdr:sp macro="" textlink="">
          <xdr:nvSpPr>
            <xdr:cNvPr id="16129" name="Check Box 769" hidden="1">
              <a:extLst>
                <a:ext uri="{63B3BB69-23CF-44E3-9099-C40C66FF867C}">
                  <a14:compatExt spid="_x0000_s16129"/>
                </a:ext>
                <a:ext uri="{FF2B5EF4-FFF2-40B4-BE49-F238E27FC236}">
                  <a16:creationId xmlns:a16="http://schemas.microsoft.com/office/drawing/2014/main" id="{00000000-0008-0000-1300-000001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2370</xdr:row>
          <xdr:rowOff>0</xdr:rowOff>
        </xdr:from>
        <xdr:to>
          <xdr:col>22</xdr:col>
          <xdr:colOff>184150</xdr:colOff>
          <xdr:row>2370</xdr:row>
          <xdr:rowOff>184150</xdr:rowOff>
        </xdr:to>
        <xdr:sp macro="" textlink="">
          <xdr:nvSpPr>
            <xdr:cNvPr id="16130" name="Check Box 770" hidden="1">
              <a:extLst>
                <a:ext uri="{63B3BB69-23CF-44E3-9099-C40C66FF867C}">
                  <a14:compatExt spid="_x0000_s16130"/>
                </a:ext>
                <a:ext uri="{FF2B5EF4-FFF2-40B4-BE49-F238E27FC236}">
                  <a16:creationId xmlns:a16="http://schemas.microsoft.com/office/drawing/2014/main" id="{00000000-0008-0000-1300-000002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2372</xdr:row>
          <xdr:rowOff>0</xdr:rowOff>
        </xdr:from>
        <xdr:to>
          <xdr:col>22</xdr:col>
          <xdr:colOff>184150</xdr:colOff>
          <xdr:row>2372</xdr:row>
          <xdr:rowOff>184150</xdr:rowOff>
        </xdr:to>
        <xdr:sp macro="" textlink="">
          <xdr:nvSpPr>
            <xdr:cNvPr id="16131" name="Check Box 771" hidden="1">
              <a:extLst>
                <a:ext uri="{63B3BB69-23CF-44E3-9099-C40C66FF867C}">
                  <a14:compatExt spid="_x0000_s16131"/>
                </a:ext>
                <a:ext uri="{FF2B5EF4-FFF2-40B4-BE49-F238E27FC236}">
                  <a16:creationId xmlns:a16="http://schemas.microsoft.com/office/drawing/2014/main" id="{00000000-0008-0000-1300-000003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2376</xdr:row>
          <xdr:rowOff>0</xdr:rowOff>
        </xdr:from>
        <xdr:to>
          <xdr:col>22</xdr:col>
          <xdr:colOff>184150</xdr:colOff>
          <xdr:row>2376</xdr:row>
          <xdr:rowOff>184150</xdr:rowOff>
        </xdr:to>
        <xdr:sp macro="" textlink="">
          <xdr:nvSpPr>
            <xdr:cNvPr id="16132" name="Check Box 772" hidden="1">
              <a:extLst>
                <a:ext uri="{63B3BB69-23CF-44E3-9099-C40C66FF867C}">
                  <a14:compatExt spid="_x0000_s16132"/>
                </a:ext>
                <a:ext uri="{FF2B5EF4-FFF2-40B4-BE49-F238E27FC236}">
                  <a16:creationId xmlns:a16="http://schemas.microsoft.com/office/drawing/2014/main" id="{00000000-0008-0000-1300-000004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2383</xdr:row>
          <xdr:rowOff>0</xdr:rowOff>
        </xdr:from>
        <xdr:to>
          <xdr:col>22</xdr:col>
          <xdr:colOff>184150</xdr:colOff>
          <xdr:row>2383</xdr:row>
          <xdr:rowOff>184150</xdr:rowOff>
        </xdr:to>
        <xdr:sp macro="" textlink="">
          <xdr:nvSpPr>
            <xdr:cNvPr id="16133" name="Check Box 773" hidden="1">
              <a:extLst>
                <a:ext uri="{63B3BB69-23CF-44E3-9099-C40C66FF867C}">
                  <a14:compatExt spid="_x0000_s16133"/>
                </a:ext>
                <a:ext uri="{FF2B5EF4-FFF2-40B4-BE49-F238E27FC236}">
                  <a16:creationId xmlns:a16="http://schemas.microsoft.com/office/drawing/2014/main" id="{00000000-0008-0000-1300-000005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2385</xdr:row>
          <xdr:rowOff>0</xdr:rowOff>
        </xdr:from>
        <xdr:to>
          <xdr:col>22</xdr:col>
          <xdr:colOff>184150</xdr:colOff>
          <xdr:row>2385</xdr:row>
          <xdr:rowOff>184150</xdr:rowOff>
        </xdr:to>
        <xdr:sp macro="" textlink="">
          <xdr:nvSpPr>
            <xdr:cNvPr id="16134" name="Check Box 774" hidden="1">
              <a:extLst>
                <a:ext uri="{63B3BB69-23CF-44E3-9099-C40C66FF867C}">
                  <a14:compatExt spid="_x0000_s16134"/>
                </a:ext>
                <a:ext uri="{FF2B5EF4-FFF2-40B4-BE49-F238E27FC236}">
                  <a16:creationId xmlns:a16="http://schemas.microsoft.com/office/drawing/2014/main" id="{00000000-0008-0000-1300-000006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2386</xdr:row>
          <xdr:rowOff>0</xdr:rowOff>
        </xdr:from>
        <xdr:to>
          <xdr:col>22</xdr:col>
          <xdr:colOff>184150</xdr:colOff>
          <xdr:row>2386</xdr:row>
          <xdr:rowOff>184150</xdr:rowOff>
        </xdr:to>
        <xdr:sp macro="" textlink="">
          <xdr:nvSpPr>
            <xdr:cNvPr id="16135" name="Check Box 775" hidden="1">
              <a:extLst>
                <a:ext uri="{63B3BB69-23CF-44E3-9099-C40C66FF867C}">
                  <a14:compatExt spid="_x0000_s16135"/>
                </a:ext>
                <a:ext uri="{FF2B5EF4-FFF2-40B4-BE49-F238E27FC236}">
                  <a16:creationId xmlns:a16="http://schemas.microsoft.com/office/drawing/2014/main" id="{00000000-0008-0000-1300-000007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2388</xdr:row>
          <xdr:rowOff>0</xdr:rowOff>
        </xdr:from>
        <xdr:to>
          <xdr:col>22</xdr:col>
          <xdr:colOff>184150</xdr:colOff>
          <xdr:row>2388</xdr:row>
          <xdr:rowOff>184150</xdr:rowOff>
        </xdr:to>
        <xdr:sp macro="" textlink="">
          <xdr:nvSpPr>
            <xdr:cNvPr id="16136" name="Check Box 776" hidden="1">
              <a:extLst>
                <a:ext uri="{63B3BB69-23CF-44E3-9099-C40C66FF867C}">
                  <a14:compatExt spid="_x0000_s16136"/>
                </a:ext>
                <a:ext uri="{FF2B5EF4-FFF2-40B4-BE49-F238E27FC236}">
                  <a16:creationId xmlns:a16="http://schemas.microsoft.com/office/drawing/2014/main" id="{00000000-0008-0000-1300-000008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2389</xdr:row>
          <xdr:rowOff>0</xdr:rowOff>
        </xdr:from>
        <xdr:to>
          <xdr:col>22</xdr:col>
          <xdr:colOff>184150</xdr:colOff>
          <xdr:row>2389</xdr:row>
          <xdr:rowOff>184150</xdr:rowOff>
        </xdr:to>
        <xdr:sp macro="" textlink="">
          <xdr:nvSpPr>
            <xdr:cNvPr id="16137" name="Check Box 777" hidden="1">
              <a:extLst>
                <a:ext uri="{63B3BB69-23CF-44E3-9099-C40C66FF867C}">
                  <a14:compatExt spid="_x0000_s16137"/>
                </a:ext>
                <a:ext uri="{FF2B5EF4-FFF2-40B4-BE49-F238E27FC236}">
                  <a16:creationId xmlns:a16="http://schemas.microsoft.com/office/drawing/2014/main" id="{00000000-0008-0000-1300-000009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2390</xdr:row>
          <xdr:rowOff>0</xdr:rowOff>
        </xdr:from>
        <xdr:to>
          <xdr:col>22</xdr:col>
          <xdr:colOff>184150</xdr:colOff>
          <xdr:row>2390</xdr:row>
          <xdr:rowOff>184150</xdr:rowOff>
        </xdr:to>
        <xdr:sp macro="" textlink="">
          <xdr:nvSpPr>
            <xdr:cNvPr id="16138" name="Check Box 778" hidden="1">
              <a:extLst>
                <a:ext uri="{63B3BB69-23CF-44E3-9099-C40C66FF867C}">
                  <a14:compatExt spid="_x0000_s16138"/>
                </a:ext>
                <a:ext uri="{FF2B5EF4-FFF2-40B4-BE49-F238E27FC236}">
                  <a16:creationId xmlns:a16="http://schemas.microsoft.com/office/drawing/2014/main" id="{00000000-0008-0000-1300-00000A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2391</xdr:row>
          <xdr:rowOff>0</xdr:rowOff>
        </xdr:from>
        <xdr:to>
          <xdr:col>22</xdr:col>
          <xdr:colOff>184150</xdr:colOff>
          <xdr:row>2391</xdr:row>
          <xdr:rowOff>184150</xdr:rowOff>
        </xdr:to>
        <xdr:sp macro="" textlink="">
          <xdr:nvSpPr>
            <xdr:cNvPr id="16139" name="Check Box 779" hidden="1">
              <a:extLst>
                <a:ext uri="{63B3BB69-23CF-44E3-9099-C40C66FF867C}">
                  <a14:compatExt spid="_x0000_s16139"/>
                </a:ext>
                <a:ext uri="{FF2B5EF4-FFF2-40B4-BE49-F238E27FC236}">
                  <a16:creationId xmlns:a16="http://schemas.microsoft.com/office/drawing/2014/main" id="{00000000-0008-0000-1300-00000B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2394</xdr:row>
          <xdr:rowOff>0</xdr:rowOff>
        </xdr:from>
        <xdr:to>
          <xdr:col>22</xdr:col>
          <xdr:colOff>184150</xdr:colOff>
          <xdr:row>2394</xdr:row>
          <xdr:rowOff>184150</xdr:rowOff>
        </xdr:to>
        <xdr:sp macro="" textlink="">
          <xdr:nvSpPr>
            <xdr:cNvPr id="16140" name="Check Box 780" hidden="1">
              <a:extLst>
                <a:ext uri="{63B3BB69-23CF-44E3-9099-C40C66FF867C}">
                  <a14:compatExt spid="_x0000_s16140"/>
                </a:ext>
                <a:ext uri="{FF2B5EF4-FFF2-40B4-BE49-F238E27FC236}">
                  <a16:creationId xmlns:a16="http://schemas.microsoft.com/office/drawing/2014/main" id="{00000000-0008-0000-1300-00000C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2435</xdr:row>
          <xdr:rowOff>0</xdr:rowOff>
        </xdr:from>
        <xdr:to>
          <xdr:col>22</xdr:col>
          <xdr:colOff>184150</xdr:colOff>
          <xdr:row>2435</xdr:row>
          <xdr:rowOff>184150</xdr:rowOff>
        </xdr:to>
        <xdr:sp macro="" textlink="">
          <xdr:nvSpPr>
            <xdr:cNvPr id="16141" name="Check Box 781" hidden="1">
              <a:extLst>
                <a:ext uri="{63B3BB69-23CF-44E3-9099-C40C66FF867C}">
                  <a14:compatExt spid="_x0000_s16141"/>
                </a:ext>
                <a:ext uri="{FF2B5EF4-FFF2-40B4-BE49-F238E27FC236}">
                  <a16:creationId xmlns:a16="http://schemas.microsoft.com/office/drawing/2014/main" id="{00000000-0008-0000-1300-00000D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2437</xdr:row>
          <xdr:rowOff>0</xdr:rowOff>
        </xdr:from>
        <xdr:to>
          <xdr:col>22</xdr:col>
          <xdr:colOff>184150</xdr:colOff>
          <xdr:row>2437</xdr:row>
          <xdr:rowOff>184150</xdr:rowOff>
        </xdr:to>
        <xdr:sp macro="" textlink="">
          <xdr:nvSpPr>
            <xdr:cNvPr id="16142" name="Check Box 782" hidden="1">
              <a:extLst>
                <a:ext uri="{63B3BB69-23CF-44E3-9099-C40C66FF867C}">
                  <a14:compatExt spid="_x0000_s16142"/>
                </a:ext>
                <a:ext uri="{FF2B5EF4-FFF2-40B4-BE49-F238E27FC236}">
                  <a16:creationId xmlns:a16="http://schemas.microsoft.com/office/drawing/2014/main" id="{00000000-0008-0000-1300-00000E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2440</xdr:row>
          <xdr:rowOff>0</xdr:rowOff>
        </xdr:from>
        <xdr:to>
          <xdr:col>22</xdr:col>
          <xdr:colOff>184150</xdr:colOff>
          <xdr:row>2440</xdr:row>
          <xdr:rowOff>184150</xdr:rowOff>
        </xdr:to>
        <xdr:sp macro="" textlink="">
          <xdr:nvSpPr>
            <xdr:cNvPr id="16143" name="Check Box 783" hidden="1">
              <a:extLst>
                <a:ext uri="{63B3BB69-23CF-44E3-9099-C40C66FF867C}">
                  <a14:compatExt spid="_x0000_s16143"/>
                </a:ext>
                <a:ext uri="{FF2B5EF4-FFF2-40B4-BE49-F238E27FC236}">
                  <a16:creationId xmlns:a16="http://schemas.microsoft.com/office/drawing/2014/main" id="{00000000-0008-0000-1300-00000F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2453</xdr:row>
          <xdr:rowOff>0</xdr:rowOff>
        </xdr:from>
        <xdr:to>
          <xdr:col>22</xdr:col>
          <xdr:colOff>184150</xdr:colOff>
          <xdr:row>2453</xdr:row>
          <xdr:rowOff>184150</xdr:rowOff>
        </xdr:to>
        <xdr:sp macro="" textlink="">
          <xdr:nvSpPr>
            <xdr:cNvPr id="16144" name="Check Box 784" hidden="1">
              <a:extLst>
                <a:ext uri="{63B3BB69-23CF-44E3-9099-C40C66FF867C}">
                  <a14:compatExt spid="_x0000_s16144"/>
                </a:ext>
                <a:ext uri="{FF2B5EF4-FFF2-40B4-BE49-F238E27FC236}">
                  <a16:creationId xmlns:a16="http://schemas.microsoft.com/office/drawing/2014/main" id="{00000000-0008-0000-1300-000010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2455</xdr:row>
          <xdr:rowOff>0</xdr:rowOff>
        </xdr:from>
        <xdr:to>
          <xdr:col>22</xdr:col>
          <xdr:colOff>184150</xdr:colOff>
          <xdr:row>2455</xdr:row>
          <xdr:rowOff>184150</xdr:rowOff>
        </xdr:to>
        <xdr:sp macro="" textlink="">
          <xdr:nvSpPr>
            <xdr:cNvPr id="16145" name="Check Box 785" hidden="1">
              <a:extLst>
                <a:ext uri="{63B3BB69-23CF-44E3-9099-C40C66FF867C}">
                  <a14:compatExt spid="_x0000_s16145"/>
                </a:ext>
                <a:ext uri="{FF2B5EF4-FFF2-40B4-BE49-F238E27FC236}">
                  <a16:creationId xmlns:a16="http://schemas.microsoft.com/office/drawing/2014/main" id="{00000000-0008-0000-1300-000011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1920</xdr:row>
          <xdr:rowOff>0</xdr:rowOff>
        </xdr:from>
        <xdr:to>
          <xdr:col>22</xdr:col>
          <xdr:colOff>184150</xdr:colOff>
          <xdr:row>1920</xdr:row>
          <xdr:rowOff>184150</xdr:rowOff>
        </xdr:to>
        <xdr:sp macro="" textlink="">
          <xdr:nvSpPr>
            <xdr:cNvPr id="16148" name="Check Box 788" hidden="1">
              <a:extLst>
                <a:ext uri="{63B3BB69-23CF-44E3-9099-C40C66FF867C}">
                  <a14:compatExt spid="_x0000_s16148"/>
                </a:ext>
                <a:ext uri="{FF2B5EF4-FFF2-40B4-BE49-F238E27FC236}">
                  <a16:creationId xmlns:a16="http://schemas.microsoft.com/office/drawing/2014/main" id="{00000000-0008-0000-1300-000014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1514</xdr:row>
          <xdr:rowOff>0</xdr:rowOff>
        </xdr:from>
        <xdr:to>
          <xdr:col>22</xdr:col>
          <xdr:colOff>184150</xdr:colOff>
          <xdr:row>1514</xdr:row>
          <xdr:rowOff>184150</xdr:rowOff>
        </xdr:to>
        <xdr:sp macro="" textlink="">
          <xdr:nvSpPr>
            <xdr:cNvPr id="16150" name="Check Box 790" hidden="1">
              <a:extLst>
                <a:ext uri="{63B3BB69-23CF-44E3-9099-C40C66FF867C}">
                  <a14:compatExt spid="_x0000_s16150"/>
                </a:ext>
                <a:ext uri="{FF2B5EF4-FFF2-40B4-BE49-F238E27FC236}">
                  <a16:creationId xmlns:a16="http://schemas.microsoft.com/office/drawing/2014/main" id="{00000000-0008-0000-1300-000016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xdr:row>
          <xdr:rowOff>0</xdr:rowOff>
        </xdr:from>
        <xdr:to>
          <xdr:col>22</xdr:col>
          <xdr:colOff>184150</xdr:colOff>
          <xdr:row>49</xdr:row>
          <xdr:rowOff>184150</xdr:rowOff>
        </xdr:to>
        <xdr:sp macro="" textlink="">
          <xdr:nvSpPr>
            <xdr:cNvPr id="16153" name="Check Box 793" hidden="1">
              <a:extLst>
                <a:ext uri="{63B3BB69-23CF-44E3-9099-C40C66FF867C}">
                  <a14:compatExt spid="_x0000_s16153"/>
                </a:ext>
                <a:ext uri="{FF2B5EF4-FFF2-40B4-BE49-F238E27FC236}">
                  <a16:creationId xmlns:a16="http://schemas.microsoft.com/office/drawing/2014/main" id="{00000000-0008-0000-1300-000019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xdr:row>
          <xdr:rowOff>0</xdr:rowOff>
        </xdr:from>
        <xdr:to>
          <xdr:col>22</xdr:col>
          <xdr:colOff>184150</xdr:colOff>
          <xdr:row>51</xdr:row>
          <xdr:rowOff>184150</xdr:rowOff>
        </xdr:to>
        <xdr:sp macro="" textlink="">
          <xdr:nvSpPr>
            <xdr:cNvPr id="16154" name="Check Box 794" hidden="1">
              <a:extLst>
                <a:ext uri="{63B3BB69-23CF-44E3-9099-C40C66FF867C}">
                  <a14:compatExt spid="_x0000_s16154"/>
                </a:ext>
                <a:ext uri="{FF2B5EF4-FFF2-40B4-BE49-F238E27FC236}">
                  <a16:creationId xmlns:a16="http://schemas.microsoft.com/office/drawing/2014/main" id="{00000000-0008-0000-1300-00001A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xdr:row>
          <xdr:rowOff>0</xdr:rowOff>
        </xdr:from>
        <xdr:to>
          <xdr:col>22</xdr:col>
          <xdr:colOff>184150</xdr:colOff>
          <xdr:row>54</xdr:row>
          <xdr:rowOff>184150</xdr:rowOff>
        </xdr:to>
        <xdr:sp macro="" textlink="">
          <xdr:nvSpPr>
            <xdr:cNvPr id="16155" name="Check Box 795" hidden="1">
              <a:extLst>
                <a:ext uri="{63B3BB69-23CF-44E3-9099-C40C66FF867C}">
                  <a14:compatExt spid="_x0000_s16155"/>
                </a:ext>
                <a:ext uri="{FF2B5EF4-FFF2-40B4-BE49-F238E27FC236}">
                  <a16:creationId xmlns:a16="http://schemas.microsoft.com/office/drawing/2014/main" id="{00000000-0008-0000-1300-00001B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82</xdr:row>
          <xdr:rowOff>0</xdr:rowOff>
        </xdr:from>
        <xdr:to>
          <xdr:col>22</xdr:col>
          <xdr:colOff>184150</xdr:colOff>
          <xdr:row>82</xdr:row>
          <xdr:rowOff>184150</xdr:rowOff>
        </xdr:to>
        <xdr:sp macro="" textlink="">
          <xdr:nvSpPr>
            <xdr:cNvPr id="16156" name="Check Box 796" hidden="1">
              <a:extLst>
                <a:ext uri="{63B3BB69-23CF-44E3-9099-C40C66FF867C}">
                  <a14:compatExt spid="_x0000_s16156"/>
                </a:ext>
                <a:ext uri="{FF2B5EF4-FFF2-40B4-BE49-F238E27FC236}">
                  <a16:creationId xmlns:a16="http://schemas.microsoft.com/office/drawing/2014/main" id="{00000000-0008-0000-1300-00001C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139</xdr:row>
          <xdr:rowOff>0</xdr:rowOff>
        </xdr:from>
        <xdr:to>
          <xdr:col>22</xdr:col>
          <xdr:colOff>184150</xdr:colOff>
          <xdr:row>139</xdr:row>
          <xdr:rowOff>184150</xdr:rowOff>
        </xdr:to>
        <xdr:sp macro="" textlink="">
          <xdr:nvSpPr>
            <xdr:cNvPr id="16157" name="Check Box 797" hidden="1">
              <a:extLst>
                <a:ext uri="{63B3BB69-23CF-44E3-9099-C40C66FF867C}">
                  <a14:compatExt spid="_x0000_s16157"/>
                </a:ext>
                <a:ext uri="{FF2B5EF4-FFF2-40B4-BE49-F238E27FC236}">
                  <a16:creationId xmlns:a16="http://schemas.microsoft.com/office/drawing/2014/main" id="{00000000-0008-0000-1300-00001D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141</xdr:row>
          <xdr:rowOff>0</xdr:rowOff>
        </xdr:from>
        <xdr:to>
          <xdr:col>22</xdr:col>
          <xdr:colOff>184150</xdr:colOff>
          <xdr:row>141</xdr:row>
          <xdr:rowOff>184150</xdr:rowOff>
        </xdr:to>
        <xdr:sp macro="" textlink="">
          <xdr:nvSpPr>
            <xdr:cNvPr id="16158" name="Check Box 798" hidden="1">
              <a:extLst>
                <a:ext uri="{63B3BB69-23CF-44E3-9099-C40C66FF867C}">
                  <a14:compatExt spid="_x0000_s16158"/>
                </a:ext>
                <a:ext uri="{FF2B5EF4-FFF2-40B4-BE49-F238E27FC236}">
                  <a16:creationId xmlns:a16="http://schemas.microsoft.com/office/drawing/2014/main" id="{00000000-0008-0000-1300-00001E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161</xdr:row>
          <xdr:rowOff>0</xdr:rowOff>
        </xdr:from>
        <xdr:to>
          <xdr:col>22</xdr:col>
          <xdr:colOff>184150</xdr:colOff>
          <xdr:row>161</xdr:row>
          <xdr:rowOff>184150</xdr:rowOff>
        </xdr:to>
        <xdr:sp macro="" textlink="">
          <xdr:nvSpPr>
            <xdr:cNvPr id="16159" name="Check Box 799" hidden="1">
              <a:extLst>
                <a:ext uri="{63B3BB69-23CF-44E3-9099-C40C66FF867C}">
                  <a14:compatExt spid="_x0000_s16159"/>
                </a:ext>
                <a:ext uri="{FF2B5EF4-FFF2-40B4-BE49-F238E27FC236}">
                  <a16:creationId xmlns:a16="http://schemas.microsoft.com/office/drawing/2014/main" id="{00000000-0008-0000-1300-00001F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287</xdr:row>
          <xdr:rowOff>0</xdr:rowOff>
        </xdr:from>
        <xdr:to>
          <xdr:col>22</xdr:col>
          <xdr:colOff>184150</xdr:colOff>
          <xdr:row>287</xdr:row>
          <xdr:rowOff>184150</xdr:rowOff>
        </xdr:to>
        <xdr:sp macro="" textlink="">
          <xdr:nvSpPr>
            <xdr:cNvPr id="16160" name="Check Box 800" hidden="1">
              <a:extLst>
                <a:ext uri="{63B3BB69-23CF-44E3-9099-C40C66FF867C}">
                  <a14:compatExt spid="_x0000_s16160"/>
                </a:ext>
                <a:ext uri="{FF2B5EF4-FFF2-40B4-BE49-F238E27FC236}">
                  <a16:creationId xmlns:a16="http://schemas.microsoft.com/office/drawing/2014/main" id="{00000000-0008-0000-1300-000020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290</xdr:row>
          <xdr:rowOff>0</xdr:rowOff>
        </xdr:from>
        <xdr:to>
          <xdr:col>22</xdr:col>
          <xdr:colOff>184150</xdr:colOff>
          <xdr:row>290</xdr:row>
          <xdr:rowOff>184150</xdr:rowOff>
        </xdr:to>
        <xdr:sp macro="" textlink="">
          <xdr:nvSpPr>
            <xdr:cNvPr id="16161" name="Check Box 801" hidden="1">
              <a:extLst>
                <a:ext uri="{63B3BB69-23CF-44E3-9099-C40C66FF867C}">
                  <a14:compatExt spid="_x0000_s16161"/>
                </a:ext>
                <a:ext uri="{FF2B5EF4-FFF2-40B4-BE49-F238E27FC236}">
                  <a16:creationId xmlns:a16="http://schemas.microsoft.com/office/drawing/2014/main" id="{00000000-0008-0000-1300-000021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291</xdr:row>
          <xdr:rowOff>0</xdr:rowOff>
        </xdr:from>
        <xdr:to>
          <xdr:col>22</xdr:col>
          <xdr:colOff>184150</xdr:colOff>
          <xdr:row>291</xdr:row>
          <xdr:rowOff>184150</xdr:rowOff>
        </xdr:to>
        <xdr:sp macro="" textlink="">
          <xdr:nvSpPr>
            <xdr:cNvPr id="16162" name="Check Box 802" hidden="1">
              <a:extLst>
                <a:ext uri="{63B3BB69-23CF-44E3-9099-C40C66FF867C}">
                  <a14:compatExt spid="_x0000_s16162"/>
                </a:ext>
                <a:ext uri="{FF2B5EF4-FFF2-40B4-BE49-F238E27FC236}">
                  <a16:creationId xmlns:a16="http://schemas.microsoft.com/office/drawing/2014/main" id="{00000000-0008-0000-1300-000022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304</xdr:row>
          <xdr:rowOff>0</xdr:rowOff>
        </xdr:from>
        <xdr:to>
          <xdr:col>22</xdr:col>
          <xdr:colOff>184150</xdr:colOff>
          <xdr:row>304</xdr:row>
          <xdr:rowOff>184150</xdr:rowOff>
        </xdr:to>
        <xdr:sp macro="" textlink="">
          <xdr:nvSpPr>
            <xdr:cNvPr id="16163" name="Check Box 803" hidden="1">
              <a:extLst>
                <a:ext uri="{63B3BB69-23CF-44E3-9099-C40C66FF867C}">
                  <a14:compatExt spid="_x0000_s16163"/>
                </a:ext>
                <a:ext uri="{FF2B5EF4-FFF2-40B4-BE49-F238E27FC236}">
                  <a16:creationId xmlns:a16="http://schemas.microsoft.com/office/drawing/2014/main" id="{00000000-0008-0000-1300-000023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308</xdr:row>
          <xdr:rowOff>0</xdr:rowOff>
        </xdr:from>
        <xdr:to>
          <xdr:col>22</xdr:col>
          <xdr:colOff>184150</xdr:colOff>
          <xdr:row>308</xdr:row>
          <xdr:rowOff>184150</xdr:rowOff>
        </xdr:to>
        <xdr:sp macro="" textlink="">
          <xdr:nvSpPr>
            <xdr:cNvPr id="16164" name="Check Box 804" hidden="1">
              <a:extLst>
                <a:ext uri="{63B3BB69-23CF-44E3-9099-C40C66FF867C}">
                  <a14:compatExt spid="_x0000_s16164"/>
                </a:ext>
                <a:ext uri="{FF2B5EF4-FFF2-40B4-BE49-F238E27FC236}">
                  <a16:creationId xmlns:a16="http://schemas.microsoft.com/office/drawing/2014/main" id="{00000000-0008-0000-1300-000024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311</xdr:row>
          <xdr:rowOff>0</xdr:rowOff>
        </xdr:from>
        <xdr:to>
          <xdr:col>22</xdr:col>
          <xdr:colOff>184150</xdr:colOff>
          <xdr:row>311</xdr:row>
          <xdr:rowOff>184150</xdr:rowOff>
        </xdr:to>
        <xdr:sp macro="" textlink="">
          <xdr:nvSpPr>
            <xdr:cNvPr id="16165" name="Check Box 805" hidden="1">
              <a:extLst>
                <a:ext uri="{63B3BB69-23CF-44E3-9099-C40C66FF867C}">
                  <a14:compatExt spid="_x0000_s16165"/>
                </a:ext>
                <a:ext uri="{FF2B5EF4-FFF2-40B4-BE49-F238E27FC236}">
                  <a16:creationId xmlns:a16="http://schemas.microsoft.com/office/drawing/2014/main" id="{00000000-0008-0000-1300-000025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314</xdr:row>
          <xdr:rowOff>0</xdr:rowOff>
        </xdr:from>
        <xdr:to>
          <xdr:col>22</xdr:col>
          <xdr:colOff>184150</xdr:colOff>
          <xdr:row>314</xdr:row>
          <xdr:rowOff>184150</xdr:rowOff>
        </xdr:to>
        <xdr:sp macro="" textlink="">
          <xdr:nvSpPr>
            <xdr:cNvPr id="16166" name="Check Box 806" hidden="1">
              <a:extLst>
                <a:ext uri="{63B3BB69-23CF-44E3-9099-C40C66FF867C}">
                  <a14:compatExt spid="_x0000_s16166"/>
                </a:ext>
                <a:ext uri="{FF2B5EF4-FFF2-40B4-BE49-F238E27FC236}">
                  <a16:creationId xmlns:a16="http://schemas.microsoft.com/office/drawing/2014/main" id="{00000000-0008-0000-1300-000026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315</xdr:row>
          <xdr:rowOff>0</xdr:rowOff>
        </xdr:from>
        <xdr:to>
          <xdr:col>22</xdr:col>
          <xdr:colOff>184150</xdr:colOff>
          <xdr:row>315</xdr:row>
          <xdr:rowOff>184150</xdr:rowOff>
        </xdr:to>
        <xdr:sp macro="" textlink="">
          <xdr:nvSpPr>
            <xdr:cNvPr id="16167" name="Check Box 807" hidden="1">
              <a:extLst>
                <a:ext uri="{63B3BB69-23CF-44E3-9099-C40C66FF867C}">
                  <a14:compatExt spid="_x0000_s16167"/>
                </a:ext>
                <a:ext uri="{FF2B5EF4-FFF2-40B4-BE49-F238E27FC236}">
                  <a16:creationId xmlns:a16="http://schemas.microsoft.com/office/drawing/2014/main" id="{00000000-0008-0000-1300-000027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320</xdr:row>
          <xdr:rowOff>0</xdr:rowOff>
        </xdr:from>
        <xdr:to>
          <xdr:col>22</xdr:col>
          <xdr:colOff>184150</xdr:colOff>
          <xdr:row>320</xdr:row>
          <xdr:rowOff>184150</xdr:rowOff>
        </xdr:to>
        <xdr:sp macro="" textlink="">
          <xdr:nvSpPr>
            <xdr:cNvPr id="16168" name="Check Box 808" hidden="1">
              <a:extLst>
                <a:ext uri="{63B3BB69-23CF-44E3-9099-C40C66FF867C}">
                  <a14:compatExt spid="_x0000_s16168"/>
                </a:ext>
                <a:ext uri="{FF2B5EF4-FFF2-40B4-BE49-F238E27FC236}">
                  <a16:creationId xmlns:a16="http://schemas.microsoft.com/office/drawing/2014/main" id="{00000000-0008-0000-1300-000028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322</xdr:row>
          <xdr:rowOff>0</xdr:rowOff>
        </xdr:from>
        <xdr:to>
          <xdr:col>22</xdr:col>
          <xdr:colOff>184150</xdr:colOff>
          <xdr:row>322</xdr:row>
          <xdr:rowOff>184150</xdr:rowOff>
        </xdr:to>
        <xdr:sp macro="" textlink="">
          <xdr:nvSpPr>
            <xdr:cNvPr id="16169" name="Check Box 809" hidden="1">
              <a:extLst>
                <a:ext uri="{63B3BB69-23CF-44E3-9099-C40C66FF867C}">
                  <a14:compatExt spid="_x0000_s16169"/>
                </a:ext>
                <a:ext uri="{FF2B5EF4-FFF2-40B4-BE49-F238E27FC236}">
                  <a16:creationId xmlns:a16="http://schemas.microsoft.com/office/drawing/2014/main" id="{00000000-0008-0000-1300-000029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324</xdr:row>
          <xdr:rowOff>0</xdr:rowOff>
        </xdr:from>
        <xdr:to>
          <xdr:col>22</xdr:col>
          <xdr:colOff>184150</xdr:colOff>
          <xdr:row>324</xdr:row>
          <xdr:rowOff>184150</xdr:rowOff>
        </xdr:to>
        <xdr:sp macro="" textlink="">
          <xdr:nvSpPr>
            <xdr:cNvPr id="16170" name="Check Box 810" hidden="1">
              <a:extLst>
                <a:ext uri="{63B3BB69-23CF-44E3-9099-C40C66FF867C}">
                  <a14:compatExt spid="_x0000_s16170"/>
                </a:ext>
                <a:ext uri="{FF2B5EF4-FFF2-40B4-BE49-F238E27FC236}">
                  <a16:creationId xmlns:a16="http://schemas.microsoft.com/office/drawing/2014/main" id="{00000000-0008-0000-1300-00002A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537</xdr:row>
          <xdr:rowOff>0</xdr:rowOff>
        </xdr:from>
        <xdr:to>
          <xdr:col>22</xdr:col>
          <xdr:colOff>184150</xdr:colOff>
          <xdr:row>537</xdr:row>
          <xdr:rowOff>184150</xdr:rowOff>
        </xdr:to>
        <xdr:sp macro="" textlink="">
          <xdr:nvSpPr>
            <xdr:cNvPr id="16171" name="Check Box 811" hidden="1">
              <a:extLst>
                <a:ext uri="{63B3BB69-23CF-44E3-9099-C40C66FF867C}">
                  <a14:compatExt spid="_x0000_s16171"/>
                </a:ext>
                <a:ext uri="{FF2B5EF4-FFF2-40B4-BE49-F238E27FC236}">
                  <a16:creationId xmlns:a16="http://schemas.microsoft.com/office/drawing/2014/main" id="{00000000-0008-0000-1300-00002B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592</xdr:row>
          <xdr:rowOff>0</xdr:rowOff>
        </xdr:from>
        <xdr:to>
          <xdr:col>22</xdr:col>
          <xdr:colOff>184150</xdr:colOff>
          <xdr:row>592</xdr:row>
          <xdr:rowOff>184150</xdr:rowOff>
        </xdr:to>
        <xdr:sp macro="" textlink="">
          <xdr:nvSpPr>
            <xdr:cNvPr id="16172" name="Check Box 812" hidden="1">
              <a:extLst>
                <a:ext uri="{63B3BB69-23CF-44E3-9099-C40C66FF867C}">
                  <a14:compatExt spid="_x0000_s16172"/>
                </a:ext>
                <a:ext uri="{FF2B5EF4-FFF2-40B4-BE49-F238E27FC236}">
                  <a16:creationId xmlns:a16="http://schemas.microsoft.com/office/drawing/2014/main" id="{00000000-0008-0000-1300-00002C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910</xdr:row>
          <xdr:rowOff>0</xdr:rowOff>
        </xdr:from>
        <xdr:to>
          <xdr:col>22</xdr:col>
          <xdr:colOff>184150</xdr:colOff>
          <xdr:row>910</xdr:row>
          <xdr:rowOff>184150</xdr:rowOff>
        </xdr:to>
        <xdr:sp macro="" textlink="">
          <xdr:nvSpPr>
            <xdr:cNvPr id="16174" name="Check Box 814" hidden="1">
              <a:extLst>
                <a:ext uri="{63B3BB69-23CF-44E3-9099-C40C66FF867C}">
                  <a14:compatExt spid="_x0000_s16174"/>
                </a:ext>
                <a:ext uri="{FF2B5EF4-FFF2-40B4-BE49-F238E27FC236}">
                  <a16:creationId xmlns:a16="http://schemas.microsoft.com/office/drawing/2014/main" id="{00000000-0008-0000-1300-00002E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911</xdr:row>
          <xdr:rowOff>0</xdr:rowOff>
        </xdr:from>
        <xdr:to>
          <xdr:col>22</xdr:col>
          <xdr:colOff>184150</xdr:colOff>
          <xdr:row>911</xdr:row>
          <xdr:rowOff>184150</xdr:rowOff>
        </xdr:to>
        <xdr:sp macro="" textlink="">
          <xdr:nvSpPr>
            <xdr:cNvPr id="16175" name="Check Box 815" hidden="1">
              <a:extLst>
                <a:ext uri="{63B3BB69-23CF-44E3-9099-C40C66FF867C}">
                  <a14:compatExt spid="_x0000_s16175"/>
                </a:ext>
                <a:ext uri="{FF2B5EF4-FFF2-40B4-BE49-F238E27FC236}">
                  <a16:creationId xmlns:a16="http://schemas.microsoft.com/office/drawing/2014/main" id="{00000000-0008-0000-1300-00002F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914</xdr:row>
          <xdr:rowOff>0</xdr:rowOff>
        </xdr:from>
        <xdr:to>
          <xdr:col>22</xdr:col>
          <xdr:colOff>184150</xdr:colOff>
          <xdr:row>914</xdr:row>
          <xdr:rowOff>184150</xdr:rowOff>
        </xdr:to>
        <xdr:sp macro="" textlink="">
          <xdr:nvSpPr>
            <xdr:cNvPr id="16176" name="Check Box 816" hidden="1">
              <a:extLst>
                <a:ext uri="{63B3BB69-23CF-44E3-9099-C40C66FF867C}">
                  <a14:compatExt spid="_x0000_s16176"/>
                </a:ext>
                <a:ext uri="{FF2B5EF4-FFF2-40B4-BE49-F238E27FC236}">
                  <a16:creationId xmlns:a16="http://schemas.microsoft.com/office/drawing/2014/main" id="{00000000-0008-0000-1300-000030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919</xdr:row>
          <xdr:rowOff>0</xdr:rowOff>
        </xdr:from>
        <xdr:to>
          <xdr:col>22</xdr:col>
          <xdr:colOff>184150</xdr:colOff>
          <xdr:row>919</xdr:row>
          <xdr:rowOff>184150</xdr:rowOff>
        </xdr:to>
        <xdr:sp macro="" textlink="">
          <xdr:nvSpPr>
            <xdr:cNvPr id="16177" name="Check Box 817" hidden="1">
              <a:extLst>
                <a:ext uri="{63B3BB69-23CF-44E3-9099-C40C66FF867C}">
                  <a14:compatExt spid="_x0000_s16177"/>
                </a:ext>
                <a:ext uri="{FF2B5EF4-FFF2-40B4-BE49-F238E27FC236}">
                  <a16:creationId xmlns:a16="http://schemas.microsoft.com/office/drawing/2014/main" id="{00000000-0008-0000-1300-000031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920</xdr:row>
          <xdr:rowOff>0</xdr:rowOff>
        </xdr:from>
        <xdr:to>
          <xdr:col>22</xdr:col>
          <xdr:colOff>184150</xdr:colOff>
          <xdr:row>920</xdr:row>
          <xdr:rowOff>184150</xdr:rowOff>
        </xdr:to>
        <xdr:sp macro="" textlink="">
          <xdr:nvSpPr>
            <xdr:cNvPr id="16178" name="Check Box 818" hidden="1">
              <a:extLst>
                <a:ext uri="{63B3BB69-23CF-44E3-9099-C40C66FF867C}">
                  <a14:compatExt spid="_x0000_s16178"/>
                </a:ext>
                <a:ext uri="{FF2B5EF4-FFF2-40B4-BE49-F238E27FC236}">
                  <a16:creationId xmlns:a16="http://schemas.microsoft.com/office/drawing/2014/main" id="{00000000-0008-0000-1300-000032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921</xdr:row>
          <xdr:rowOff>0</xdr:rowOff>
        </xdr:from>
        <xdr:to>
          <xdr:col>22</xdr:col>
          <xdr:colOff>184150</xdr:colOff>
          <xdr:row>921</xdr:row>
          <xdr:rowOff>184150</xdr:rowOff>
        </xdr:to>
        <xdr:sp macro="" textlink="">
          <xdr:nvSpPr>
            <xdr:cNvPr id="16179" name="Check Box 819" hidden="1">
              <a:extLst>
                <a:ext uri="{63B3BB69-23CF-44E3-9099-C40C66FF867C}">
                  <a14:compatExt spid="_x0000_s16179"/>
                </a:ext>
                <a:ext uri="{FF2B5EF4-FFF2-40B4-BE49-F238E27FC236}">
                  <a16:creationId xmlns:a16="http://schemas.microsoft.com/office/drawing/2014/main" id="{00000000-0008-0000-1300-000033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923</xdr:row>
          <xdr:rowOff>0</xdr:rowOff>
        </xdr:from>
        <xdr:to>
          <xdr:col>22</xdr:col>
          <xdr:colOff>184150</xdr:colOff>
          <xdr:row>923</xdr:row>
          <xdr:rowOff>184150</xdr:rowOff>
        </xdr:to>
        <xdr:sp macro="" textlink="">
          <xdr:nvSpPr>
            <xdr:cNvPr id="16180" name="Check Box 820" hidden="1">
              <a:extLst>
                <a:ext uri="{63B3BB69-23CF-44E3-9099-C40C66FF867C}">
                  <a14:compatExt spid="_x0000_s16180"/>
                </a:ext>
                <a:ext uri="{FF2B5EF4-FFF2-40B4-BE49-F238E27FC236}">
                  <a16:creationId xmlns:a16="http://schemas.microsoft.com/office/drawing/2014/main" id="{00000000-0008-0000-1300-000034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924</xdr:row>
          <xdr:rowOff>0</xdr:rowOff>
        </xdr:from>
        <xdr:to>
          <xdr:col>22</xdr:col>
          <xdr:colOff>184150</xdr:colOff>
          <xdr:row>924</xdr:row>
          <xdr:rowOff>184150</xdr:rowOff>
        </xdr:to>
        <xdr:sp macro="" textlink="">
          <xdr:nvSpPr>
            <xdr:cNvPr id="16181" name="Check Box 821" hidden="1">
              <a:extLst>
                <a:ext uri="{63B3BB69-23CF-44E3-9099-C40C66FF867C}">
                  <a14:compatExt spid="_x0000_s16181"/>
                </a:ext>
                <a:ext uri="{FF2B5EF4-FFF2-40B4-BE49-F238E27FC236}">
                  <a16:creationId xmlns:a16="http://schemas.microsoft.com/office/drawing/2014/main" id="{00000000-0008-0000-1300-000035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925</xdr:row>
          <xdr:rowOff>0</xdr:rowOff>
        </xdr:from>
        <xdr:to>
          <xdr:col>22</xdr:col>
          <xdr:colOff>184150</xdr:colOff>
          <xdr:row>925</xdr:row>
          <xdr:rowOff>184150</xdr:rowOff>
        </xdr:to>
        <xdr:sp macro="" textlink="">
          <xdr:nvSpPr>
            <xdr:cNvPr id="16182" name="Check Box 822" hidden="1">
              <a:extLst>
                <a:ext uri="{63B3BB69-23CF-44E3-9099-C40C66FF867C}">
                  <a14:compatExt spid="_x0000_s16182"/>
                </a:ext>
                <a:ext uri="{FF2B5EF4-FFF2-40B4-BE49-F238E27FC236}">
                  <a16:creationId xmlns:a16="http://schemas.microsoft.com/office/drawing/2014/main" id="{00000000-0008-0000-1300-000036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926</xdr:row>
          <xdr:rowOff>0</xdr:rowOff>
        </xdr:from>
        <xdr:to>
          <xdr:col>22</xdr:col>
          <xdr:colOff>184150</xdr:colOff>
          <xdr:row>926</xdr:row>
          <xdr:rowOff>184150</xdr:rowOff>
        </xdr:to>
        <xdr:sp macro="" textlink="">
          <xdr:nvSpPr>
            <xdr:cNvPr id="16183" name="Check Box 823" hidden="1">
              <a:extLst>
                <a:ext uri="{63B3BB69-23CF-44E3-9099-C40C66FF867C}">
                  <a14:compatExt spid="_x0000_s16183"/>
                </a:ext>
                <a:ext uri="{FF2B5EF4-FFF2-40B4-BE49-F238E27FC236}">
                  <a16:creationId xmlns:a16="http://schemas.microsoft.com/office/drawing/2014/main" id="{00000000-0008-0000-1300-000037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928</xdr:row>
          <xdr:rowOff>0</xdr:rowOff>
        </xdr:from>
        <xdr:to>
          <xdr:col>22</xdr:col>
          <xdr:colOff>184150</xdr:colOff>
          <xdr:row>928</xdr:row>
          <xdr:rowOff>184150</xdr:rowOff>
        </xdr:to>
        <xdr:sp macro="" textlink="">
          <xdr:nvSpPr>
            <xdr:cNvPr id="16184" name="Check Box 824" hidden="1">
              <a:extLst>
                <a:ext uri="{63B3BB69-23CF-44E3-9099-C40C66FF867C}">
                  <a14:compatExt spid="_x0000_s16184"/>
                </a:ext>
                <a:ext uri="{FF2B5EF4-FFF2-40B4-BE49-F238E27FC236}">
                  <a16:creationId xmlns:a16="http://schemas.microsoft.com/office/drawing/2014/main" id="{00000000-0008-0000-1300-000038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1461</xdr:row>
          <xdr:rowOff>0</xdr:rowOff>
        </xdr:from>
        <xdr:to>
          <xdr:col>22</xdr:col>
          <xdr:colOff>184150</xdr:colOff>
          <xdr:row>1461</xdr:row>
          <xdr:rowOff>184150</xdr:rowOff>
        </xdr:to>
        <xdr:sp macro="" textlink="">
          <xdr:nvSpPr>
            <xdr:cNvPr id="16188" name="Check Box 828" hidden="1">
              <a:extLst>
                <a:ext uri="{63B3BB69-23CF-44E3-9099-C40C66FF867C}">
                  <a14:compatExt spid="_x0000_s16188"/>
                </a:ext>
                <a:ext uri="{FF2B5EF4-FFF2-40B4-BE49-F238E27FC236}">
                  <a16:creationId xmlns:a16="http://schemas.microsoft.com/office/drawing/2014/main" id="{00000000-0008-0000-1300-00003C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1464</xdr:row>
          <xdr:rowOff>0</xdr:rowOff>
        </xdr:from>
        <xdr:to>
          <xdr:col>22</xdr:col>
          <xdr:colOff>184150</xdr:colOff>
          <xdr:row>1464</xdr:row>
          <xdr:rowOff>184150</xdr:rowOff>
        </xdr:to>
        <xdr:sp macro="" textlink="">
          <xdr:nvSpPr>
            <xdr:cNvPr id="16189" name="Check Box 829" hidden="1">
              <a:extLst>
                <a:ext uri="{63B3BB69-23CF-44E3-9099-C40C66FF867C}">
                  <a14:compatExt spid="_x0000_s16189"/>
                </a:ext>
                <a:ext uri="{FF2B5EF4-FFF2-40B4-BE49-F238E27FC236}">
                  <a16:creationId xmlns:a16="http://schemas.microsoft.com/office/drawing/2014/main" id="{00000000-0008-0000-1300-00003D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1475</xdr:row>
          <xdr:rowOff>0</xdr:rowOff>
        </xdr:from>
        <xdr:to>
          <xdr:col>22</xdr:col>
          <xdr:colOff>184150</xdr:colOff>
          <xdr:row>1475</xdr:row>
          <xdr:rowOff>184150</xdr:rowOff>
        </xdr:to>
        <xdr:sp macro="" textlink="">
          <xdr:nvSpPr>
            <xdr:cNvPr id="16190" name="Check Box 830" hidden="1">
              <a:extLst>
                <a:ext uri="{63B3BB69-23CF-44E3-9099-C40C66FF867C}">
                  <a14:compatExt spid="_x0000_s16190"/>
                </a:ext>
                <a:ext uri="{FF2B5EF4-FFF2-40B4-BE49-F238E27FC236}">
                  <a16:creationId xmlns:a16="http://schemas.microsoft.com/office/drawing/2014/main" id="{00000000-0008-0000-1300-00003E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1477</xdr:row>
          <xdr:rowOff>0</xdr:rowOff>
        </xdr:from>
        <xdr:to>
          <xdr:col>22</xdr:col>
          <xdr:colOff>184150</xdr:colOff>
          <xdr:row>1477</xdr:row>
          <xdr:rowOff>184150</xdr:rowOff>
        </xdr:to>
        <xdr:sp macro="" textlink="">
          <xdr:nvSpPr>
            <xdr:cNvPr id="16191" name="Check Box 831" hidden="1">
              <a:extLst>
                <a:ext uri="{63B3BB69-23CF-44E3-9099-C40C66FF867C}">
                  <a14:compatExt spid="_x0000_s16191"/>
                </a:ext>
                <a:ext uri="{FF2B5EF4-FFF2-40B4-BE49-F238E27FC236}">
                  <a16:creationId xmlns:a16="http://schemas.microsoft.com/office/drawing/2014/main" id="{00000000-0008-0000-1300-00003F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1501</xdr:row>
          <xdr:rowOff>0</xdr:rowOff>
        </xdr:from>
        <xdr:to>
          <xdr:col>22</xdr:col>
          <xdr:colOff>184150</xdr:colOff>
          <xdr:row>1501</xdr:row>
          <xdr:rowOff>184150</xdr:rowOff>
        </xdr:to>
        <xdr:sp macro="" textlink="">
          <xdr:nvSpPr>
            <xdr:cNvPr id="16192" name="Check Box 832" hidden="1">
              <a:extLst>
                <a:ext uri="{63B3BB69-23CF-44E3-9099-C40C66FF867C}">
                  <a14:compatExt spid="_x0000_s16192"/>
                </a:ext>
                <a:ext uri="{FF2B5EF4-FFF2-40B4-BE49-F238E27FC236}">
                  <a16:creationId xmlns:a16="http://schemas.microsoft.com/office/drawing/2014/main" id="{00000000-0008-0000-1300-000040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1503</xdr:row>
          <xdr:rowOff>0</xdr:rowOff>
        </xdr:from>
        <xdr:to>
          <xdr:col>22</xdr:col>
          <xdr:colOff>184150</xdr:colOff>
          <xdr:row>1503</xdr:row>
          <xdr:rowOff>184150</xdr:rowOff>
        </xdr:to>
        <xdr:sp macro="" textlink="">
          <xdr:nvSpPr>
            <xdr:cNvPr id="16193" name="Check Box 833" hidden="1">
              <a:extLst>
                <a:ext uri="{63B3BB69-23CF-44E3-9099-C40C66FF867C}">
                  <a14:compatExt spid="_x0000_s16193"/>
                </a:ext>
                <a:ext uri="{FF2B5EF4-FFF2-40B4-BE49-F238E27FC236}">
                  <a16:creationId xmlns:a16="http://schemas.microsoft.com/office/drawing/2014/main" id="{00000000-0008-0000-1300-000041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1580</xdr:row>
          <xdr:rowOff>0</xdr:rowOff>
        </xdr:from>
        <xdr:to>
          <xdr:col>22</xdr:col>
          <xdr:colOff>184150</xdr:colOff>
          <xdr:row>1580</xdr:row>
          <xdr:rowOff>184150</xdr:rowOff>
        </xdr:to>
        <xdr:sp macro="" textlink="">
          <xdr:nvSpPr>
            <xdr:cNvPr id="16195" name="Check Box 835" hidden="1">
              <a:extLst>
                <a:ext uri="{63B3BB69-23CF-44E3-9099-C40C66FF867C}">
                  <a14:compatExt spid="_x0000_s16195"/>
                </a:ext>
                <a:ext uri="{FF2B5EF4-FFF2-40B4-BE49-F238E27FC236}">
                  <a16:creationId xmlns:a16="http://schemas.microsoft.com/office/drawing/2014/main" id="{00000000-0008-0000-1300-000043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1605</xdr:row>
          <xdr:rowOff>0</xdr:rowOff>
        </xdr:from>
        <xdr:to>
          <xdr:col>22</xdr:col>
          <xdr:colOff>184150</xdr:colOff>
          <xdr:row>1605</xdr:row>
          <xdr:rowOff>184150</xdr:rowOff>
        </xdr:to>
        <xdr:sp macro="" textlink="">
          <xdr:nvSpPr>
            <xdr:cNvPr id="16196" name="Check Box 836" hidden="1">
              <a:extLst>
                <a:ext uri="{63B3BB69-23CF-44E3-9099-C40C66FF867C}">
                  <a14:compatExt spid="_x0000_s16196"/>
                </a:ext>
                <a:ext uri="{FF2B5EF4-FFF2-40B4-BE49-F238E27FC236}">
                  <a16:creationId xmlns:a16="http://schemas.microsoft.com/office/drawing/2014/main" id="{00000000-0008-0000-1300-000044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1615</xdr:row>
          <xdr:rowOff>0</xdr:rowOff>
        </xdr:from>
        <xdr:to>
          <xdr:col>22</xdr:col>
          <xdr:colOff>184150</xdr:colOff>
          <xdr:row>1615</xdr:row>
          <xdr:rowOff>184150</xdr:rowOff>
        </xdr:to>
        <xdr:sp macro="" textlink="">
          <xdr:nvSpPr>
            <xdr:cNvPr id="16197" name="Check Box 837" hidden="1">
              <a:extLst>
                <a:ext uri="{63B3BB69-23CF-44E3-9099-C40C66FF867C}">
                  <a14:compatExt spid="_x0000_s16197"/>
                </a:ext>
                <a:ext uri="{FF2B5EF4-FFF2-40B4-BE49-F238E27FC236}">
                  <a16:creationId xmlns:a16="http://schemas.microsoft.com/office/drawing/2014/main" id="{00000000-0008-0000-1300-000045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1617</xdr:row>
          <xdr:rowOff>0</xdr:rowOff>
        </xdr:from>
        <xdr:to>
          <xdr:col>22</xdr:col>
          <xdr:colOff>184150</xdr:colOff>
          <xdr:row>1617</xdr:row>
          <xdr:rowOff>184150</xdr:rowOff>
        </xdr:to>
        <xdr:sp macro="" textlink="">
          <xdr:nvSpPr>
            <xdr:cNvPr id="16198" name="Check Box 838" hidden="1">
              <a:extLst>
                <a:ext uri="{63B3BB69-23CF-44E3-9099-C40C66FF867C}">
                  <a14:compatExt spid="_x0000_s16198"/>
                </a:ext>
                <a:ext uri="{FF2B5EF4-FFF2-40B4-BE49-F238E27FC236}">
                  <a16:creationId xmlns:a16="http://schemas.microsoft.com/office/drawing/2014/main" id="{00000000-0008-0000-1300-000046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1626</xdr:row>
          <xdr:rowOff>0</xdr:rowOff>
        </xdr:from>
        <xdr:to>
          <xdr:col>22</xdr:col>
          <xdr:colOff>184150</xdr:colOff>
          <xdr:row>1626</xdr:row>
          <xdr:rowOff>184150</xdr:rowOff>
        </xdr:to>
        <xdr:sp macro="" textlink="">
          <xdr:nvSpPr>
            <xdr:cNvPr id="16199" name="Check Box 839" hidden="1">
              <a:extLst>
                <a:ext uri="{63B3BB69-23CF-44E3-9099-C40C66FF867C}">
                  <a14:compatExt spid="_x0000_s16199"/>
                </a:ext>
                <a:ext uri="{FF2B5EF4-FFF2-40B4-BE49-F238E27FC236}">
                  <a16:creationId xmlns:a16="http://schemas.microsoft.com/office/drawing/2014/main" id="{00000000-0008-0000-1300-000047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1630</xdr:row>
          <xdr:rowOff>0</xdr:rowOff>
        </xdr:from>
        <xdr:to>
          <xdr:col>22</xdr:col>
          <xdr:colOff>184150</xdr:colOff>
          <xdr:row>1630</xdr:row>
          <xdr:rowOff>184150</xdr:rowOff>
        </xdr:to>
        <xdr:sp macro="" textlink="">
          <xdr:nvSpPr>
            <xdr:cNvPr id="16200" name="Check Box 840" hidden="1">
              <a:extLst>
                <a:ext uri="{63B3BB69-23CF-44E3-9099-C40C66FF867C}">
                  <a14:compatExt spid="_x0000_s16200"/>
                </a:ext>
                <a:ext uri="{FF2B5EF4-FFF2-40B4-BE49-F238E27FC236}">
                  <a16:creationId xmlns:a16="http://schemas.microsoft.com/office/drawing/2014/main" id="{00000000-0008-0000-1300-000048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1635</xdr:row>
          <xdr:rowOff>0</xdr:rowOff>
        </xdr:from>
        <xdr:to>
          <xdr:col>22</xdr:col>
          <xdr:colOff>184150</xdr:colOff>
          <xdr:row>1635</xdr:row>
          <xdr:rowOff>184150</xdr:rowOff>
        </xdr:to>
        <xdr:sp macro="" textlink="">
          <xdr:nvSpPr>
            <xdr:cNvPr id="16201" name="Check Box 841" hidden="1">
              <a:extLst>
                <a:ext uri="{63B3BB69-23CF-44E3-9099-C40C66FF867C}">
                  <a14:compatExt spid="_x0000_s16201"/>
                </a:ext>
                <a:ext uri="{FF2B5EF4-FFF2-40B4-BE49-F238E27FC236}">
                  <a16:creationId xmlns:a16="http://schemas.microsoft.com/office/drawing/2014/main" id="{00000000-0008-0000-1300-000049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1636</xdr:row>
          <xdr:rowOff>0</xdr:rowOff>
        </xdr:from>
        <xdr:to>
          <xdr:col>22</xdr:col>
          <xdr:colOff>184150</xdr:colOff>
          <xdr:row>1636</xdr:row>
          <xdr:rowOff>184150</xdr:rowOff>
        </xdr:to>
        <xdr:sp macro="" textlink="">
          <xdr:nvSpPr>
            <xdr:cNvPr id="16202" name="Check Box 842" hidden="1">
              <a:extLst>
                <a:ext uri="{63B3BB69-23CF-44E3-9099-C40C66FF867C}">
                  <a14:compatExt spid="_x0000_s16202"/>
                </a:ext>
                <a:ext uri="{FF2B5EF4-FFF2-40B4-BE49-F238E27FC236}">
                  <a16:creationId xmlns:a16="http://schemas.microsoft.com/office/drawing/2014/main" id="{00000000-0008-0000-1300-00004A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1773</xdr:row>
          <xdr:rowOff>0</xdr:rowOff>
        </xdr:from>
        <xdr:to>
          <xdr:col>22</xdr:col>
          <xdr:colOff>184150</xdr:colOff>
          <xdr:row>1773</xdr:row>
          <xdr:rowOff>184150</xdr:rowOff>
        </xdr:to>
        <xdr:sp macro="" textlink="">
          <xdr:nvSpPr>
            <xdr:cNvPr id="16205" name="Check Box 845" hidden="1">
              <a:extLst>
                <a:ext uri="{63B3BB69-23CF-44E3-9099-C40C66FF867C}">
                  <a14:compatExt spid="_x0000_s16205"/>
                </a:ext>
                <a:ext uri="{FF2B5EF4-FFF2-40B4-BE49-F238E27FC236}">
                  <a16:creationId xmlns:a16="http://schemas.microsoft.com/office/drawing/2014/main" id="{00000000-0008-0000-1300-00004D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1792</xdr:row>
          <xdr:rowOff>0</xdr:rowOff>
        </xdr:from>
        <xdr:to>
          <xdr:col>22</xdr:col>
          <xdr:colOff>184150</xdr:colOff>
          <xdr:row>1792</xdr:row>
          <xdr:rowOff>184150</xdr:rowOff>
        </xdr:to>
        <xdr:sp macro="" textlink="">
          <xdr:nvSpPr>
            <xdr:cNvPr id="16206" name="Check Box 846" hidden="1">
              <a:extLst>
                <a:ext uri="{63B3BB69-23CF-44E3-9099-C40C66FF867C}">
                  <a14:compatExt spid="_x0000_s16206"/>
                </a:ext>
                <a:ext uri="{FF2B5EF4-FFF2-40B4-BE49-F238E27FC236}">
                  <a16:creationId xmlns:a16="http://schemas.microsoft.com/office/drawing/2014/main" id="{00000000-0008-0000-1300-00004E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1794</xdr:row>
          <xdr:rowOff>0</xdr:rowOff>
        </xdr:from>
        <xdr:to>
          <xdr:col>22</xdr:col>
          <xdr:colOff>184150</xdr:colOff>
          <xdr:row>1794</xdr:row>
          <xdr:rowOff>184150</xdr:rowOff>
        </xdr:to>
        <xdr:sp macro="" textlink="">
          <xdr:nvSpPr>
            <xdr:cNvPr id="16207" name="Check Box 847" hidden="1">
              <a:extLst>
                <a:ext uri="{63B3BB69-23CF-44E3-9099-C40C66FF867C}">
                  <a14:compatExt spid="_x0000_s16207"/>
                </a:ext>
                <a:ext uri="{FF2B5EF4-FFF2-40B4-BE49-F238E27FC236}">
                  <a16:creationId xmlns:a16="http://schemas.microsoft.com/office/drawing/2014/main" id="{00000000-0008-0000-1300-00004F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1796</xdr:row>
          <xdr:rowOff>0</xdr:rowOff>
        </xdr:from>
        <xdr:to>
          <xdr:col>22</xdr:col>
          <xdr:colOff>184150</xdr:colOff>
          <xdr:row>1796</xdr:row>
          <xdr:rowOff>184150</xdr:rowOff>
        </xdr:to>
        <xdr:sp macro="" textlink="">
          <xdr:nvSpPr>
            <xdr:cNvPr id="16208" name="Check Box 848" hidden="1">
              <a:extLst>
                <a:ext uri="{63B3BB69-23CF-44E3-9099-C40C66FF867C}">
                  <a14:compatExt spid="_x0000_s16208"/>
                </a:ext>
                <a:ext uri="{FF2B5EF4-FFF2-40B4-BE49-F238E27FC236}">
                  <a16:creationId xmlns:a16="http://schemas.microsoft.com/office/drawing/2014/main" id="{00000000-0008-0000-1300-000050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1797</xdr:row>
          <xdr:rowOff>0</xdr:rowOff>
        </xdr:from>
        <xdr:to>
          <xdr:col>22</xdr:col>
          <xdr:colOff>184150</xdr:colOff>
          <xdr:row>1797</xdr:row>
          <xdr:rowOff>184150</xdr:rowOff>
        </xdr:to>
        <xdr:sp macro="" textlink="">
          <xdr:nvSpPr>
            <xdr:cNvPr id="16209" name="Check Box 849" hidden="1">
              <a:extLst>
                <a:ext uri="{63B3BB69-23CF-44E3-9099-C40C66FF867C}">
                  <a14:compatExt spid="_x0000_s16209"/>
                </a:ext>
                <a:ext uri="{FF2B5EF4-FFF2-40B4-BE49-F238E27FC236}">
                  <a16:creationId xmlns:a16="http://schemas.microsoft.com/office/drawing/2014/main" id="{00000000-0008-0000-1300-000051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1799</xdr:row>
          <xdr:rowOff>0</xdr:rowOff>
        </xdr:from>
        <xdr:to>
          <xdr:col>22</xdr:col>
          <xdr:colOff>184150</xdr:colOff>
          <xdr:row>1799</xdr:row>
          <xdr:rowOff>184150</xdr:rowOff>
        </xdr:to>
        <xdr:sp macro="" textlink="">
          <xdr:nvSpPr>
            <xdr:cNvPr id="16210" name="Check Box 850" hidden="1">
              <a:extLst>
                <a:ext uri="{63B3BB69-23CF-44E3-9099-C40C66FF867C}">
                  <a14:compatExt spid="_x0000_s16210"/>
                </a:ext>
                <a:ext uri="{FF2B5EF4-FFF2-40B4-BE49-F238E27FC236}">
                  <a16:creationId xmlns:a16="http://schemas.microsoft.com/office/drawing/2014/main" id="{00000000-0008-0000-1300-000052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1839</xdr:row>
          <xdr:rowOff>0</xdr:rowOff>
        </xdr:from>
        <xdr:to>
          <xdr:col>22</xdr:col>
          <xdr:colOff>184150</xdr:colOff>
          <xdr:row>1839</xdr:row>
          <xdr:rowOff>184150</xdr:rowOff>
        </xdr:to>
        <xdr:sp macro="" textlink="">
          <xdr:nvSpPr>
            <xdr:cNvPr id="16212" name="Check Box 852" hidden="1">
              <a:extLst>
                <a:ext uri="{63B3BB69-23CF-44E3-9099-C40C66FF867C}">
                  <a14:compatExt spid="_x0000_s16212"/>
                </a:ext>
                <a:ext uri="{FF2B5EF4-FFF2-40B4-BE49-F238E27FC236}">
                  <a16:creationId xmlns:a16="http://schemas.microsoft.com/office/drawing/2014/main" id="{00000000-0008-0000-1300-000054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2029</xdr:row>
          <xdr:rowOff>0</xdr:rowOff>
        </xdr:from>
        <xdr:to>
          <xdr:col>22</xdr:col>
          <xdr:colOff>184150</xdr:colOff>
          <xdr:row>2029</xdr:row>
          <xdr:rowOff>184150</xdr:rowOff>
        </xdr:to>
        <xdr:sp macro="" textlink="">
          <xdr:nvSpPr>
            <xdr:cNvPr id="16214" name="Check Box 854" hidden="1">
              <a:extLst>
                <a:ext uri="{63B3BB69-23CF-44E3-9099-C40C66FF867C}">
                  <a14:compatExt spid="_x0000_s16214"/>
                </a:ext>
                <a:ext uri="{FF2B5EF4-FFF2-40B4-BE49-F238E27FC236}">
                  <a16:creationId xmlns:a16="http://schemas.microsoft.com/office/drawing/2014/main" id="{00000000-0008-0000-1300-000056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2080</xdr:row>
          <xdr:rowOff>0</xdr:rowOff>
        </xdr:from>
        <xdr:to>
          <xdr:col>22</xdr:col>
          <xdr:colOff>184150</xdr:colOff>
          <xdr:row>2080</xdr:row>
          <xdr:rowOff>184150</xdr:rowOff>
        </xdr:to>
        <xdr:sp macro="" textlink="">
          <xdr:nvSpPr>
            <xdr:cNvPr id="16215" name="Check Box 855" hidden="1">
              <a:extLst>
                <a:ext uri="{63B3BB69-23CF-44E3-9099-C40C66FF867C}">
                  <a14:compatExt spid="_x0000_s16215"/>
                </a:ext>
                <a:ext uri="{FF2B5EF4-FFF2-40B4-BE49-F238E27FC236}">
                  <a16:creationId xmlns:a16="http://schemas.microsoft.com/office/drawing/2014/main" id="{00000000-0008-0000-1300-000057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2151</xdr:row>
          <xdr:rowOff>0</xdr:rowOff>
        </xdr:from>
        <xdr:to>
          <xdr:col>22</xdr:col>
          <xdr:colOff>184150</xdr:colOff>
          <xdr:row>2151</xdr:row>
          <xdr:rowOff>184150</xdr:rowOff>
        </xdr:to>
        <xdr:sp macro="" textlink="">
          <xdr:nvSpPr>
            <xdr:cNvPr id="16218" name="Check Box 858" hidden="1">
              <a:extLst>
                <a:ext uri="{63B3BB69-23CF-44E3-9099-C40C66FF867C}">
                  <a14:compatExt spid="_x0000_s16218"/>
                </a:ext>
                <a:ext uri="{FF2B5EF4-FFF2-40B4-BE49-F238E27FC236}">
                  <a16:creationId xmlns:a16="http://schemas.microsoft.com/office/drawing/2014/main" id="{00000000-0008-0000-1300-00005A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2153</xdr:row>
          <xdr:rowOff>0</xdr:rowOff>
        </xdr:from>
        <xdr:to>
          <xdr:col>22</xdr:col>
          <xdr:colOff>184150</xdr:colOff>
          <xdr:row>2153</xdr:row>
          <xdr:rowOff>184150</xdr:rowOff>
        </xdr:to>
        <xdr:sp macro="" textlink="">
          <xdr:nvSpPr>
            <xdr:cNvPr id="16219" name="Check Box 859" hidden="1">
              <a:extLst>
                <a:ext uri="{63B3BB69-23CF-44E3-9099-C40C66FF867C}">
                  <a14:compatExt spid="_x0000_s16219"/>
                </a:ext>
                <a:ext uri="{FF2B5EF4-FFF2-40B4-BE49-F238E27FC236}">
                  <a16:creationId xmlns:a16="http://schemas.microsoft.com/office/drawing/2014/main" id="{00000000-0008-0000-1300-00005B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2184</xdr:row>
          <xdr:rowOff>0</xdr:rowOff>
        </xdr:from>
        <xdr:to>
          <xdr:col>22</xdr:col>
          <xdr:colOff>184150</xdr:colOff>
          <xdr:row>2184</xdr:row>
          <xdr:rowOff>184150</xdr:rowOff>
        </xdr:to>
        <xdr:sp macro="" textlink="">
          <xdr:nvSpPr>
            <xdr:cNvPr id="16221" name="Check Box 861" hidden="1">
              <a:extLst>
                <a:ext uri="{63B3BB69-23CF-44E3-9099-C40C66FF867C}">
                  <a14:compatExt spid="_x0000_s16221"/>
                </a:ext>
                <a:ext uri="{FF2B5EF4-FFF2-40B4-BE49-F238E27FC236}">
                  <a16:creationId xmlns:a16="http://schemas.microsoft.com/office/drawing/2014/main" id="{00000000-0008-0000-1300-00005D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2219</xdr:row>
          <xdr:rowOff>0</xdr:rowOff>
        </xdr:from>
        <xdr:to>
          <xdr:col>22</xdr:col>
          <xdr:colOff>184150</xdr:colOff>
          <xdr:row>2219</xdr:row>
          <xdr:rowOff>184150</xdr:rowOff>
        </xdr:to>
        <xdr:sp macro="" textlink="">
          <xdr:nvSpPr>
            <xdr:cNvPr id="16222" name="Check Box 862" hidden="1">
              <a:extLst>
                <a:ext uri="{63B3BB69-23CF-44E3-9099-C40C66FF867C}">
                  <a14:compatExt spid="_x0000_s16222"/>
                </a:ext>
                <a:ext uri="{FF2B5EF4-FFF2-40B4-BE49-F238E27FC236}">
                  <a16:creationId xmlns:a16="http://schemas.microsoft.com/office/drawing/2014/main" id="{00000000-0008-0000-1300-00005E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2227</xdr:row>
          <xdr:rowOff>0</xdr:rowOff>
        </xdr:from>
        <xdr:to>
          <xdr:col>22</xdr:col>
          <xdr:colOff>184150</xdr:colOff>
          <xdr:row>2227</xdr:row>
          <xdr:rowOff>184150</xdr:rowOff>
        </xdr:to>
        <xdr:sp macro="" textlink="">
          <xdr:nvSpPr>
            <xdr:cNvPr id="16223" name="Check Box 863" hidden="1">
              <a:extLst>
                <a:ext uri="{63B3BB69-23CF-44E3-9099-C40C66FF867C}">
                  <a14:compatExt spid="_x0000_s16223"/>
                </a:ext>
                <a:ext uri="{FF2B5EF4-FFF2-40B4-BE49-F238E27FC236}">
                  <a16:creationId xmlns:a16="http://schemas.microsoft.com/office/drawing/2014/main" id="{00000000-0008-0000-1300-00005F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2239</xdr:row>
          <xdr:rowOff>0</xdr:rowOff>
        </xdr:from>
        <xdr:to>
          <xdr:col>22</xdr:col>
          <xdr:colOff>184150</xdr:colOff>
          <xdr:row>2239</xdr:row>
          <xdr:rowOff>184150</xdr:rowOff>
        </xdr:to>
        <xdr:sp macro="" textlink="">
          <xdr:nvSpPr>
            <xdr:cNvPr id="16224" name="Check Box 864" hidden="1">
              <a:extLst>
                <a:ext uri="{63B3BB69-23CF-44E3-9099-C40C66FF867C}">
                  <a14:compatExt spid="_x0000_s16224"/>
                </a:ext>
                <a:ext uri="{FF2B5EF4-FFF2-40B4-BE49-F238E27FC236}">
                  <a16:creationId xmlns:a16="http://schemas.microsoft.com/office/drawing/2014/main" id="{00000000-0008-0000-1300-000060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2240</xdr:row>
          <xdr:rowOff>0</xdr:rowOff>
        </xdr:from>
        <xdr:to>
          <xdr:col>22</xdr:col>
          <xdr:colOff>184150</xdr:colOff>
          <xdr:row>2240</xdr:row>
          <xdr:rowOff>184150</xdr:rowOff>
        </xdr:to>
        <xdr:sp macro="" textlink="">
          <xdr:nvSpPr>
            <xdr:cNvPr id="16225" name="Check Box 865" hidden="1">
              <a:extLst>
                <a:ext uri="{63B3BB69-23CF-44E3-9099-C40C66FF867C}">
                  <a14:compatExt spid="_x0000_s16225"/>
                </a:ext>
                <a:ext uri="{FF2B5EF4-FFF2-40B4-BE49-F238E27FC236}">
                  <a16:creationId xmlns:a16="http://schemas.microsoft.com/office/drawing/2014/main" id="{00000000-0008-0000-1300-000061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2242</xdr:row>
          <xdr:rowOff>0</xdr:rowOff>
        </xdr:from>
        <xdr:to>
          <xdr:col>22</xdr:col>
          <xdr:colOff>184150</xdr:colOff>
          <xdr:row>2242</xdr:row>
          <xdr:rowOff>184150</xdr:rowOff>
        </xdr:to>
        <xdr:sp macro="" textlink="">
          <xdr:nvSpPr>
            <xdr:cNvPr id="16226" name="Check Box 866" hidden="1">
              <a:extLst>
                <a:ext uri="{63B3BB69-23CF-44E3-9099-C40C66FF867C}">
                  <a14:compatExt spid="_x0000_s16226"/>
                </a:ext>
                <a:ext uri="{FF2B5EF4-FFF2-40B4-BE49-F238E27FC236}">
                  <a16:creationId xmlns:a16="http://schemas.microsoft.com/office/drawing/2014/main" id="{00000000-0008-0000-1300-000062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2247</xdr:row>
          <xdr:rowOff>0</xdr:rowOff>
        </xdr:from>
        <xdr:to>
          <xdr:col>22</xdr:col>
          <xdr:colOff>184150</xdr:colOff>
          <xdr:row>2247</xdr:row>
          <xdr:rowOff>184150</xdr:rowOff>
        </xdr:to>
        <xdr:sp macro="" textlink="">
          <xdr:nvSpPr>
            <xdr:cNvPr id="16227" name="Check Box 867" hidden="1">
              <a:extLst>
                <a:ext uri="{63B3BB69-23CF-44E3-9099-C40C66FF867C}">
                  <a14:compatExt spid="_x0000_s16227"/>
                </a:ext>
                <a:ext uri="{FF2B5EF4-FFF2-40B4-BE49-F238E27FC236}">
                  <a16:creationId xmlns:a16="http://schemas.microsoft.com/office/drawing/2014/main" id="{00000000-0008-0000-1300-000063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2392</xdr:row>
          <xdr:rowOff>0</xdr:rowOff>
        </xdr:from>
        <xdr:to>
          <xdr:col>22</xdr:col>
          <xdr:colOff>184150</xdr:colOff>
          <xdr:row>2392</xdr:row>
          <xdr:rowOff>184150</xdr:rowOff>
        </xdr:to>
        <xdr:sp macro="" textlink="">
          <xdr:nvSpPr>
            <xdr:cNvPr id="16229" name="Check Box 869" hidden="1">
              <a:extLst>
                <a:ext uri="{63B3BB69-23CF-44E3-9099-C40C66FF867C}">
                  <a14:compatExt spid="_x0000_s16229"/>
                </a:ext>
                <a:ext uri="{FF2B5EF4-FFF2-40B4-BE49-F238E27FC236}">
                  <a16:creationId xmlns:a16="http://schemas.microsoft.com/office/drawing/2014/main" id="{00000000-0008-0000-1300-000065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2409</xdr:row>
          <xdr:rowOff>0</xdr:rowOff>
        </xdr:from>
        <xdr:to>
          <xdr:col>22</xdr:col>
          <xdr:colOff>184150</xdr:colOff>
          <xdr:row>2409</xdr:row>
          <xdr:rowOff>184150</xdr:rowOff>
        </xdr:to>
        <xdr:sp macro="" textlink="">
          <xdr:nvSpPr>
            <xdr:cNvPr id="16230" name="Check Box 870" hidden="1">
              <a:extLst>
                <a:ext uri="{63B3BB69-23CF-44E3-9099-C40C66FF867C}">
                  <a14:compatExt spid="_x0000_s16230"/>
                </a:ext>
                <a:ext uri="{FF2B5EF4-FFF2-40B4-BE49-F238E27FC236}">
                  <a16:creationId xmlns:a16="http://schemas.microsoft.com/office/drawing/2014/main" id="{00000000-0008-0000-1300-000066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2410</xdr:row>
          <xdr:rowOff>0</xdr:rowOff>
        </xdr:from>
        <xdr:to>
          <xdr:col>22</xdr:col>
          <xdr:colOff>184150</xdr:colOff>
          <xdr:row>2410</xdr:row>
          <xdr:rowOff>184150</xdr:rowOff>
        </xdr:to>
        <xdr:sp macro="" textlink="">
          <xdr:nvSpPr>
            <xdr:cNvPr id="16231" name="Check Box 871" hidden="1">
              <a:extLst>
                <a:ext uri="{63B3BB69-23CF-44E3-9099-C40C66FF867C}">
                  <a14:compatExt spid="_x0000_s16231"/>
                </a:ext>
                <a:ext uri="{FF2B5EF4-FFF2-40B4-BE49-F238E27FC236}">
                  <a16:creationId xmlns:a16="http://schemas.microsoft.com/office/drawing/2014/main" id="{00000000-0008-0000-1300-000067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2411</xdr:row>
          <xdr:rowOff>0</xdr:rowOff>
        </xdr:from>
        <xdr:to>
          <xdr:col>22</xdr:col>
          <xdr:colOff>184150</xdr:colOff>
          <xdr:row>2411</xdr:row>
          <xdr:rowOff>184150</xdr:rowOff>
        </xdr:to>
        <xdr:sp macro="" textlink="">
          <xdr:nvSpPr>
            <xdr:cNvPr id="16232" name="Check Box 872" hidden="1">
              <a:extLst>
                <a:ext uri="{63B3BB69-23CF-44E3-9099-C40C66FF867C}">
                  <a14:compatExt spid="_x0000_s16232"/>
                </a:ext>
                <a:ext uri="{FF2B5EF4-FFF2-40B4-BE49-F238E27FC236}">
                  <a16:creationId xmlns:a16="http://schemas.microsoft.com/office/drawing/2014/main" id="{00000000-0008-0000-1300-000068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2413</xdr:row>
          <xdr:rowOff>0</xdr:rowOff>
        </xdr:from>
        <xdr:to>
          <xdr:col>22</xdr:col>
          <xdr:colOff>184150</xdr:colOff>
          <xdr:row>2413</xdr:row>
          <xdr:rowOff>184150</xdr:rowOff>
        </xdr:to>
        <xdr:sp macro="" textlink="">
          <xdr:nvSpPr>
            <xdr:cNvPr id="16233" name="Check Box 873" hidden="1">
              <a:extLst>
                <a:ext uri="{63B3BB69-23CF-44E3-9099-C40C66FF867C}">
                  <a14:compatExt spid="_x0000_s16233"/>
                </a:ext>
                <a:ext uri="{FF2B5EF4-FFF2-40B4-BE49-F238E27FC236}">
                  <a16:creationId xmlns:a16="http://schemas.microsoft.com/office/drawing/2014/main" id="{00000000-0008-0000-1300-000069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2414</xdr:row>
          <xdr:rowOff>0</xdr:rowOff>
        </xdr:from>
        <xdr:to>
          <xdr:col>22</xdr:col>
          <xdr:colOff>184150</xdr:colOff>
          <xdr:row>2414</xdr:row>
          <xdr:rowOff>184150</xdr:rowOff>
        </xdr:to>
        <xdr:sp macro="" textlink="">
          <xdr:nvSpPr>
            <xdr:cNvPr id="16234" name="Check Box 874" hidden="1">
              <a:extLst>
                <a:ext uri="{63B3BB69-23CF-44E3-9099-C40C66FF867C}">
                  <a14:compatExt spid="_x0000_s16234"/>
                </a:ext>
                <a:ext uri="{FF2B5EF4-FFF2-40B4-BE49-F238E27FC236}">
                  <a16:creationId xmlns:a16="http://schemas.microsoft.com/office/drawing/2014/main" id="{00000000-0008-0000-1300-00006A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2415</xdr:row>
          <xdr:rowOff>0</xdr:rowOff>
        </xdr:from>
        <xdr:to>
          <xdr:col>22</xdr:col>
          <xdr:colOff>184150</xdr:colOff>
          <xdr:row>2415</xdr:row>
          <xdr:rowOff>184150</xdr:rowOff>
        </xdr:to>
        <xdr:sp macro="" textlink="">
          <xdr:nvSpPr>
            <xdr:cNvPr id="16235" name="Check Box 875" hidden="1">
              <a:extLst>
                <a:ext uri="{63B3BB69-23CF-44E3-9099-C40C66FF867C}">
                  <a14:compatExt spid="_x0000_s16235"/>
                </a:ext>
                <a:ext uri="{FF2B5EF4-FFF2-40B4-BE49-F238E27FC236}">
                  <a16:creationId xmlns:a16="http://schemas.microsoft.com/office/drawing/2014/main" id="{00000000-0008-0000-1300-00006B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2416</xdr:row>
          <xdr:rowOff>0</xdr:rowOff>
        </xdr:from>
        <xdr:to>
          <xdr:col>22</xdr:col>
          <xdr:colOff>184150</xdr:colOff>
          <xdr:row>2416</xdr:row>
          <xdr:rowOff>184150</xdr:rowOff>
        </xdr:to>
        <xdr:sp macro="" textlink="">
          <xdr:nvSpPr>
            <xdr:cNvPr id="16236" name="Check Box 876" hidden="1">
              <a:extLst>
                <a:ext uri="{63B3BB69-23CF-44E3-9099-C40C66FF867C}">
                  <a14:compatExt spid="_x0000_s16236"/>
                </a:ext>
                <a:ext uri="{FF2B5EF4-FFF2-40B4-BE49-F238E27FC236}">
                  <a16:creationId xmlns:a16="http://schemas.microsoft.com/office/drawing/2014/main" id="{00000000-0008-0000-1300-00006C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2417</xdr:row>
          <xdr:rowOff>0</xdr:rowOff>
        </xdr:from>
        <xdr:to>
          <xdr:col>22</xdr:col>
          <xdr:colOff>184150</xdr:colOff>
          <xdr:row>2417</xdr:row>
          <xdr:rowOff>184150</xdr:rowOff>
        </xdr:to>
        <xdr:sp macro="" textlink="">
          <xdr:nvSpPr>
            <xdr:cNvPr id="16237" name="Check Box 877" hidden="1">
              <a:extLst>
                <a:ext uri="{63B3BB69-23CF-44E3-9099-C40C66FF867C}">
                  <a14:compatExt spid="_x0000_s16237"/>
                </a:ext>
                <a:ext uri="{FF2B5EF4-FFF2-40B4-BE49-F238E27FC236}">
                  <a16:creationId xmlns:a16="http://schemas.microsoft.com/office/drawing/2014/main" id="{00000000-0008-0000-1300-00006D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2418</xdr:row>
          <xdr:rowOff>0</xdr:rowOff>
        </xdr:from>
        <xdr:to>
          <xdr:col>22</xdr:col>
          <xdr:colOff>184150</xdr:colOff>
          <xdr:row>2418</xdr:row>
          <xdr:rowOff>184150</xdr:rowOff>
        </xdr:to>
        <xdr:sp macro="" textlink="">
          <xdr:nvSpPr>
            <xdr:cNvPr id="16238" name="Check Box 878" hidden="1">
              <a:extLst>
                <a:ext uri="{63B3BB69-23CF-44E3-9099-C40C66FF867C}">
                  <a14:compatExt spid="_x0000_s16238"/>
                </a:ext>
                <a:ext uri="{FF2B5EF4-FFF2-40B4-BE49-F238E27FC236}">
                  <a16:creationId xmlns:a16="http://schemas.microsoft.com/office/drawing/2014/main" id="{00000000-0008-0000-1300-00006E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2423</xdr:row>
          <xdr:rowOff>0</xdr:rowOff>
        </xdr:from>
        <xdr:to>
          <xdr:col>22</xdr:col>
          <xdr:colOff>184150</xdr:colOff>
          <xdr:row>2423</xdr:row>
          <xdr:rowOff>184150</xdr:rowOff>
        </xdr:to>
        <xdr:sp macro="" textlink="">
          <xdr:nvSpPr>
            <xdr:cNvPr id="16239" name="Check Box 879" hidden="1">
              <a:extLst>
                <a:ext uri="{63B3BB69-23CF-44E3-9099-C40C66FF867C}">
                  <a14:compatExt spid="_x0000_s16239"/>
                </a:ext>
                <a:ext uri="{FF2B5EF4-FFF2-40B4-BE49-F238E27FC236}">
                  <a16:creationId xmlns:a16="http://schemas.microsoft.com/office/drawing/2014/main" id="{00000000-0008-0000-1300-00006F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2424</xdr:row>
          <xdr:rowOff>0</xdr:rowOff>
        </xdr:from>
        <xdr:to>
          <xdr:col>22</xdr:col>
          <xdr:colOff>184150</xdr:colOff>
          <xdr:row>2424</xdr:row>
          <xdr:rowOff>184150</xdr:rowOff>
        </xdr:to>
        <xdr:sp macro="" textlink="">
          <xdr:nvSpPr>
            <xdr:cNvPr id="16240" name="Check Box 880" hidden="1">
              <a:extLst>
                <a:ext uri="{63B3BB69-23CF-44E3-9099-C40C66FF867C}">
                  <a14:compatExt spid="_x0000_s16240"/>
                </a:ext>
                <a:ext uri="{FF2B5EF4-FFF2-40B4-BE49-F238E27FC236}">
                  <a16:creationId xmlns:a16="http://schemas.microsoft.com/office/drawing/2014/main" id="{00000000-0008-0000-1300-000070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2425</xdr:row>
          <xdr:rowOff>0</xdr:rowOff>
        </xdr:from>
        <xdr:to>
          <xdr:col>22</xdr:col>
          <xdr:colOff>184150</xdr:colOff>
          <xdr:row>2425</xdr:row>
          <xdr:rowOff>184150</xdr:rowOff>
        </xdr:to>
        <xdr:sp macro="" textlink="">
          <xdr:nvSpPr>
            <xdr:cNvPr id="16241" name="Check Box 881" hidden="1">
              <a:extLst>
                <a:ext uri="{63B3BB69-23CF-44E3-9099-C40C66FF867C}">
                  <a14:compatExt spid="_x0000_s16241"/>
                </a:ext>
                <a:ext uri="{FF2B5EF4-FFF2-40B4-BE49-F238E27FC236}">
                  <a16:creationId xmlns:a16="http://schemas.microsoft.com/office/drawing/2014/main" id="{00000000-0008-0000-1300-000071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2426</xdr:row>
          <xdr:rowOff>0</xdr:rowOff>
        </xdr:from>
        <xdr:to>
          <xdr:col>22</xdr:col>
          <xdr:colOff>184150</xdr:colOff>
          <xdr:row>2426</xdr:row>
          <xdr:rowOff>184150</xdr:rowOff>
        </xdr:to>
        <xdr:sp macro="" textlink="">
          <xdr:nvSpPr>
            <xdr:cNvPr id="16242" name="Check Box 882" hidden="1">
              <a:extLst>
                <a:ext uri="{63B3BB69-23CF-44E3-9099-C40C66FF867C}">
                  <a14:compatExt spid="_x0000_s16242"/>
                </a:ext>
                <a:ext uri="{FF2B5EF4-FFF2-40B4-BE49-F238E27FC236}">
                  <a16:creationId xmlns:a16="http://schemas.microsoft.com/office/drawing/2014/main" id="{00000000-0008-0000-1300-000072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2427</xdr:row>
          <xdr:rowOff>0</xdr:rowOff>
        </xdr:from>
        <xdr:to>
          <xdr:col>22</xdr:col>
          <xdr:colOff>184150</xdr:colOff>
          <xdr:row>2427</xdr:row>
          <xdr:rowOff>184150</xdr:rowOff>
        </xdr:to>
        <xdr:sp macro="" textlink="">
          <xdr:nvSpPr>
            <xdr:cNvPr id="16243" name="Check Box 883" hidden="1">
              <a:extLst>
                <a:ext uri="{63B3BB69-23CF-44E3-9099-C40C66FF867C}">
                  <a14:compatExt spid="_x0000_s16243"/>
                </a:ext>
                <a:ext uri="{FF2B5EF4-FFF2-40B4-BE49-F238E27FC236}">
                  <a16:creationId xmlns:a16="http://schemas.microsoft.com/office/drawing/2014/main" id="{00000000-0008-0000-1300-000073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2428</xdr:row>
          <xdr:rowOff>0</xdr:rowOff>
        </xdr:from>
        <xdr:to>
          <xdr:col>22</xdr:col>
          <xdr:colOff>184150</xdr:colOff>
          <xdr:row>2428</xdr:row>
          <xdr:rowOff>184150</xdr:rowOff>
        </xdr:to>
        <xdr:sp macro="" textlink="">
          <xdr:nvSpPr>
            <xdr:cNvPr id="16244" name="Check Box 884" hidden="1">
              <a:extLst>
                <a:ext uri="{63B3BB69-23CF-44E3-9099-C40C66FF867C}">
                  <a14:compatExt spid="_x0000_s16244"/>
                </a:ext>
                <a:ext uri="{FF2B5EF4-FFF2-40B4-BE49-F238E27FC236}">
                  <a16:creationId xmlns:a16="http://schemas.microsoft.com/office/drawing/2014/main" id="{00000000-0008-0000-1300-000074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2429</xdr:row>
          <xdr:rowOff>0</xdr:rowOff>
        </xdr:from>
        <xdr:to>
          <xdr:col>22</xdr:col>
          <xdr:colOff>184150</xdr:colOff>
          <xdr:row>2429</xdr:row>
          <xdr:rowOff>184150</xdr:rowOff>
        </xdr:to>
        <xdr:sp macro="" textlink="">
          <xdr:nvSpPr>
            <xdr:cNvPr id="16245" name="Check Box 885" hidden="1">
              <a:extLst>
                <a:ext uri="{63B3BB69-23CF-44E3-9099-C40C66FF867C}">
                  <a14:compatExt spid="_x0000_s16245"/>
                </a:ext>
                <a:ext uri="{FF2B5EF4-FFF2-40B4-BE49-F238E27FC236}">
                  <a16:creationId xmlns:a16="http://schemas.microsoft.com/office/drawing/2014/main" id="{00000000-0008-0000-1300-000075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2459</xdr:row>
          <xdr:rowOff>0</xdr:rowOff>
        </xdr:from>
        <xdr:to>
          <xdr:col>22</xdr:col>
          <xdr:colOff>184150</xdr:colOff>
          <xdr:row>2459</xdr:row>
          <xdr:rowOff>184150</xdr:rowOff>
        </xdr:to>
        <xdr:sp macro="" textlink="">
          <xdr:nvSpPr>
            <xdr:cNvPr id="16246" name="Check Box 886" hidden="1">
              <a:extLst>
                <a:ext uri="{63B3BB69-23CF-44E3-9099-C40C66FF867C}">
                  <a14:compatExt spid="_x0000_s16246"/>
                </a:ext>
                <a:ext uri="{FF2B5EF4-FFF2-40B4-BE49-F238E27FC236}">
                  <a16:creationId xmlns:a16="http://schemas.microsoft.com/office/drawing/2014/main" id="{00000000-0008-0000-1300-000076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2462</xdr:row>
          <xdr:rowOff>0</xdr:rowOff>
        </xdr:from>
        <xdr:to>
          <xdr:col>22</xdr:col>
          <xdr:colOff>184150</xdr:colOff>
          <xdr:row>2462</xdr:row>
          <xdr:rowOff>184150</xdr:rowOff>
        </xdr:to>
        <xdr:sp macro="" textlink="">
          <xdr:nvSpPr>
            <xdr:cNvPr id="16247" name="Check Box 887" hidden="1">
              <a:extLst>
                <a:ext uri="{63B3BB69-23CF-44E3-9099-C40C66FF867C}">
                  <a14:compatExt spid="_x0000_s16247"/>
                </a:ext>
                <a:ext uri="{FF2B5EF4-FFF2-40B4-BE49-F238E27FC236}">
                  <a16:creationId xmlns:a16="http://schemas.microsoft.com/office/drawing/2014/main" id="{00000000-0008-0000-1300-000077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8</xdr:col>
      <xdr:colOff>447675</xdr:colOff>
      <xdr:row>1</xdr:row>
      <xdr:rowOff>66675</xdr:rowOff>
    </xdr:from>
    <xdr:to>
      <xdr:col>12</xdr:col>
      <xdr:colOff>257175</xdr:colOff>
      <xdr:row>6</xdr:row>
      <xdr:rowOff>17942</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6275" y="257175"/>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22</xdr:col>
          <xdr:colOff>0</xdr:colOff>
          <xdr:row>109</xdr:row>
          <xdr:rowOff>0</xdr:rowOff>
        </xdr:from>
        <xdr:to>
          <xdr:col>22</xdr:col>
          <xdr:colOff>184150</xdr:colOff>
          <xdr:row>109</xdr:row>
          <xdr:rowOff>184150</xdr:rowOff>
        </xdr:to>
        <xdr:sp macro="" textlink="">
          <xdr:nvSpPr>
            <xdr:cNvPr id="172034" name="Check Box 2" hidden="1">
              <a:extLst>
                <a:ext uri="{63B3BB69-23CF-44E3-9099-C40C66FF867C}">
                  <a14:compatExt spid="_x0000_s172034"/>
                </a:ext>
                <a:ext uri="{FF2B5EF4-FFF2-40B4-BE49-F238E27FC236}">
                  <a16:creationId xmlns:a16="http://schemas.microsoft.com/office/drawing/2014/main" id="{00000000-0008-0000-1400-000002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165</xdr:row>
          <xdr:rowOff>0</xdr:rowOff>
        </xdr:from>
        <xdr:to>
          <xdr:col>22</xdr:col>
          <xdr:colOff>184150</xdr:colOff>
          <xdr:row>165</xdr:row>
          <xdr:rowOff>184150</xdr:rowOff>
        </xdr:to>
        <xdr:sp macro="" textlink="">
          <xdr:nvSpPr>
            <xdr:cNvPr id="172036" name="Check Box 4" hidden="1">
              <a:extLst>
                <a:ext uri="{63B3BB69-23CF-44E3-9099-C40C66FF867C}">
                  <a14:compatExt spid="_x0000_s172036"/>
                </a:ext>
                <a:ext uri="{FF2B5EF4-FFF2-40B4-BE49-F238E27FC236}">
                  <a16:creationId xmlns:a16="http://schemas.microsoft.com/office/drawing/2014/main" id="{00000000-0008-0000-1400-000004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151</xdr:row>
          <xdr:rowOff>0</xdr:rowOff>
        </xdr:from>
        <xdr:to>
          <xdr:col>22</xdr:col>
          <xdr:colOff>184150</xdr:colOff>
          <xdr:row>151</xdr:row>
          <xdr:rowOff>184150</xdr:rowOff>
        </xdr:to>
        <xdr:sp macro="" textlink="">
          <xdr:nvSpPr>
            <xdr:cNvPr id="172038" name="Check Box 6" hidden="1">
              <a:extLst>
                <a:ext uri="{63B3BB69-23CF-44E3-9099-C40C66FF867C}">
                  <a14:compatExt spid="_x0000_s172038"/>
                </a:ext>
                <a:ext uri="{FF2B5EF4-FFF2-40B4-BE49-F238E27FC236}">
                  <a16:creationId xmlns:a16="http://schemas.microsoft.com/office/drawing/2014/main" id="{00000000-0008-0000-1400-000006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152</xdr:row>
          <xdr:rowOff>0</xdr:rowOff>
        </xdr:from>
        <xdr:to>
          <xdr:col>22</xdr:col>
          <xdr:colOff>184150</xdr:colOff>
          <xdr:row>152</xdr:row>
          <xdr:rowOff>184150</xdr:rowOff>
        </xdr:to>
        <xdr:sp macro="" textlink="">
          <xdr:nvSpPr>
            <xdr:cNvPr id="172039" name="Check Box 7" hidden="1">
              <a:extLst>
                <a:ext uri="{63B3BB69-23CF-44E3-9099-C40C66FF867C}">
                  <a14:compatExt spid="_x0000_s172039"/>
                </a:ext>
                <a:ext uri="{FF2B5EF4-FFF2-40B4-BE49-F238E27FC236}">
                  <a16:creationId xmlns:a16="http://schemas.microsoft.com/office/drawing/2014/main" id="{00000000-0008-0000-1400-000007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153</xdr:row>
          <xdr:rowOff>0</xdr:rowOff>
        </xdr:from>
        <xdr:to>
          <xdr:col>22</xdr:col>
          <xdr:colOff>184150</xdr:colOff>
          <xdr:row>153</xdr:row>
          <xdr:rowOff>184150</xdr:rowOff>
        </xdr:to>
        <xdr:sp macro="" textlink="">
          <xdr:nvSpPr>
            <xdr:cNvPr id="172040" name="Check Box 8" hidden="1">
              <a:extLst>
                <a:ext uri="{63B3BB69-23CF-44E3-9099-C40C66FF867C}">
                  <a14:compatExt spid="_x0000_s172040"/>
                </a:ext>
                <a:ext uri="{FF2B5EF4-FFF2-40B4-BE49-F238E27FC236}">
                  <a16:creationId xmlns:a16="http://schemas.microsoft.com/office/drawing/2014/main" id="{00000000-0008-0000-1400-000008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125</xdr:row>
          <xdr:rowOff>0</xdr:rowOff>
        </xdr:from>
        <xdr:to>
          <xdr:col>22</xdr:col>
          <xdr:colOff>184150</xdr:colOff>
          <xdr:row>125</xdr:row>
          <xdr:rowOff>184150</xdr:rowOff>
        </xdr:to>
        <xdr:sp macro="" textlink="">
          <xdr:nvSpPr>
            <xdr:cNvPr id="172041" name="Check Box 9" hidden="1">
              <a:extLst>
                <a:ext uri="{63B3BB69-23CF-44E3-9099-C40C66FF867C}">
                  <a14:compatExt spid="_x0000_s172041"/>
                </a:ext>
                <a:ext uri="{FF2B5EF4-FFF2-40B4-BE49-F238E27FC236}">
                  <a16:creationId xmlns:a16="http://schemas.microsoft.com/office/drawing/2014/main" id="{00000000-0008-0000-1400-000009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38</xdr:row>
          <xdr:rowOff>0</xdr:rowOff>
        </xdr:from>
        <xdr:to>
          <xdr:col>22</xdr:col>
          <xdr:colOff>184150</xdr:colOff>
          <xdr:row>38</xdr:row>
          <xdr:rowOff>184150</xdr:rowOff>
        </xdr:to>
        <xdr:sp macro="" textlink="">
          <xdr:nvSpPr>
            <xdr:cNvPr id="172043" name="Check Box 11" hidden="1">
              <a:extLst>
                <a:ext uri="{63B3BB69-23CF-44E3-9099-C40C66FF867C}">
                  <a14:compatExt spid="_x0000_s172043"/>
                </a:ext>
                <a:ext uri="{FF2B5EF4-FFF2-40B4-BE49-F238E27FC236}">
                  <a16:creationId xmlns:a16="http://schemas.microsoft.com/office/drawing/2014/main" id="{00000000-0008-0000-1400-00000B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39</xdr:row>
          <xdr:rowOff>0</xdr:rowOff>
        </xdr:from>
        <xdr:to>
          <xdr:col>22</xdr:col>
          <xdr:colOff>184150</xdr:colOff>
          <xdr:row>39</xdr:row>
          <xdr:rowOff>184150</xdr:rowOff>
        </xdr:to>
        <xdr:sp macro="" textlink="">
          <xdr:nvSpPr>
            <xdr:cNvPr id="172044" name="Check Box 12" hidden="1">
              <a:extLst>
                <a:ext uri="{63B3BB69-23CF-44E3-9099-C40C66FF867C}">
                  <a14:compatExt spid="_x0000_s172044"/>
                </a:ext>
                <a:ext uri="{FF2B5EF4-FFF2-40B4-BE49-F238E27FC236}">
                  <a16:creationId xmlns:a16="http://schemas.microsoft.com/office/drawing/2014/main" id="{00000000-0008-0000-1400-00000C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0</xdr:rowOff>
        </xdr:from>
        <xdr:to>
          <xdr:col>22</xdr:col>
          <xdr:colOff>184150</xdr:colOff>
          <xdr:row>40</xdr:row>
          <xdr:rowOff>184150</xdr:rowOff>
        </xdr:to>
        <xdr:sp macro="" textlink="">
          <xdr:nvSpPr>
            <xdr:cNvPr id="172045" name="Check Box 13" hidden="1">
              <a:extLst>
                <a:ext uri="{63B3BB69-23CF-44E3-9099-C40C66FF867C}">
                  <a14:compatExt spid="_x0000_s172045"/>
                </a:ext>
                <a:ext uri="{FF2B5EF4-FFF2-40B4-BE49-F238E27FC236}">
                  <a16:creationId xmlns:a16="http://schemas.microsoft.com/office/drawing/2014/main" id="{00000000-0008-0000-1400-00000D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41</xdr:row>
          <xdr:rowOff>0</xdr:rowOff>
        </xdr:from>
        <xdr:to>
          <xdr:col>22</xdr:col>
          <xdr:colOff>184150</xdr:colOff>
          <xdr:row>41</xdr:row>
          <xdr:rowOff>184150</xdr:rowOff>
        </xdr:to>
        <xdr:sp macro="" textlink="">
          <xdr:nvSpPr>
            <xdr:cNvPr id="172046" name="Check Box 14" hidden="1">
              <a:extLst>
                <a:ext uri="{63B3BB69-23CF-44E3-9099-C40C66FF867C}">
                  <a14:compatExt spid="_x0000_s172046"/>
                </a:ext>
                <a:ext uri="{FF2B5EF4-FFF2-40B4-BE49-F238E27FC236}">
                  <a16:creationId xmlns:a16="http://schemas.microsoft.com/office/drawing/2014/main" id="{00000000-0008-0000-1400-00000E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42</xdr:row>
          <xdr:rowOff>0</xdr:rowOff>
        </xdr:from>
        <xdr:to>
          <xdr:col>22</xdr:col>
          <xdr:colOff>184150</xdr:colOff>
          <xdr:row>42</xdr:row>
          <xdr:rowOff>184150</xdr:rowOff>
        </xdr:to>
        <xdr:sp macro="" textlink="">
          <xdr:nvSpPr>
            <xdr:cNvPr id="172047" name="Check Box 15" hidden="1">
              <a:extLst>
                <a:ext uri="{63B3BB69-23CF-44E3-9099-C40C66FF867C}">
                  <a14:compatExt spid="_x0000_s172047"/>
                </a:ext>
                <a:ext uri="{FF2B5EF4-FFF2-40B4-BE49-F238E27FC236}">
                  <a16:creationId xmlns:a16="http://schemas.microsoft.com/office/drawing/2014/main" id="{00000000-0008-0000-1400-00000F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43</xdr:row>
          <xdr:rowOff>0</xdr:rowOff>
        </xdr:from>
        <xdr:to>
          <xdr:col>22</xdr:col>
          <xdr:colOff>184150</xdr:colOff>
          <xdr:row>43</xdr:row>
          <xdr:rowOff>184150</xdr:rowOff>
        </xdr:to>
        <xdr:sp macro="" textlink="">
          <xdr:nvSpPr>
            <xdr:cNvPr id="172048" name="Check Box 16" hidden="1">
              <a:extLst>
                <a:ext uri="{63B3BB69-23CF-44E3-9099-C40C66FF867C}">
                  <a14:compatExt spid="_x0000_s172048"/>
                </a:ext>
                <a:ext uri="{FF2B5EF4-FFF2-40B4-BE49-F238E27FC236}">
                  <a16:creationId xmlns:a16="http://schemas.microsoft.com/office/drawing/2014/main" id="{00000000-0008-0000-1400-000010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44</xdr:row>
          <xdr:rowOff>0</xdr:rowOff>
        </xdr:from>
        <xdr:to>
          <xdr:col>22</xdr:col>
          <xdr:colOff>184150</xdr:colOff>
          <xdr:row>44</xdr:row>
          <xdr:rowOff>184150</xdr:rowOff>
        </xdr:to>
        <xdr:sp macro="" textlink="">
          <xdr:nvSpPr>
            <xdr:cNvPr id="172049" name="Check Box 17" hidden="1">
              <a:extLst>
                <a:ext uri="{63B3BB69-23CF-44E3-9099-C40C66FF867C}">
                  <a14:compatExt spid="_x0000_s172049"/>
                </a:ext>
                <a:ext uri="{FF2B5EF4-FFF2-40B4-BE49-F238E27FC236}">
                  <a16:creationId xmlns:a16="http://schemas.microsoft.com/office/drawing/2014/main" id="{00000000-0008-0000-1400-000011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45</xdr:row>
          <xdr:rowOff>0</xdr:rowOff>
        </xdr:from>
        <xdr:to>
          <xdr:col>22</xdr:col>
          <xdr:colOff>184150</xdr:colOff>
          <xdr:row>45</xdr:row>
          <xdr:rowOff>184150</xdr:rowOff>
        </xdr:to>
        <xdr:sp macro="" textlink="">
          <xdr:nvSpPr>
            <xdr:cNvPr id="172050" name="Check Box 18" hidden="1">
              <a:extLst>
                <a:ext uri="{63B3BB69-23CF-44E3-9099-C40C66FF867C}">
                  <a14:compatExt spid="_x0000_s172050"/>
                </a:ext>
                <a:ext uri="{FF2B5EF4-FFF2-40B4-BE49-F238E27FC236}">
                  <a16:creationId xmlns:a16="http://schemas.microsoft.com/office/drawing/2014/main" id="{00000000-0008-0000-1400-000012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46</xdr:row>
          <xdr:rowOff>0</xdr:rowOff>
        </xdr:from>
        <xdr:to>
          <xdr:col>22</xdr:col>
          <xdr:colOff>184150</xdr:colOff>
          <xdr:row>46</xdr:row>
          <xdr:rowOff>184150</xdr:rowOff>
        </xdr:to>
        <xdr:sp macro="" textlink="">
          <xdr:nvSpPr>
            <xdr:cNvPr id="172051" name="Check Box 19" hidden="1">
              <a:extLst>
                <a:ext uri="{63B3BB69-23CF-44E3-9099-C40C66FF867C}">
                  <a14:compatExt spid="_x0000_s172051"/>
                </a:ext>
                <a:ext uri="{FF2B5EF4-FFF2-40B4-BE49-F238E27FC236}">
                  <a16:creationId xmlns:a16="http://schemas.microsoft.com/office/drawing/2014/main" id="{00000000-0008-0000-1400-000013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22</xdr:col>
          <xdr:colOff>184150</xdr:colOff>
          <xdr:row>47</xdr:row>
          <xdr:rowOff>184150</xdr:rowOff>
        </xdr:to>
        <xdr:sp macro="" textlink="">
          <xdr:nvSpPr>
            <xdr:cNvPr id="172052" name="Check Box 20" hidden="1">
              <a:extLst>
                <a:ext uri="{63B3BB69-23CF-44E3-9099-C40C66FF867C}">
                  <a14:compatExt spid="_x0000_s172052"/>
                </a:ext>
                <a:ext uri="{FF2B5EF4-FFF2-40B4-BE49-F238E27FC236}">
                  <a16:creationId xmlns:a16="http://schemas.microsoft.com/office/drawing/2014/main" id="{00000000-0008-0000-1400-000014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0</xdr:rowOff>
        </xdr:from>
        <xdr:to>
          <xdr:col>22</xdr:col>
          <xdr:colOff>184150</xdr:colOff>
          <xdr:row>48</xdr:row>
          <xdr:rowOff>184150</xdr:rowOff>
        </xdr:to>
        <xdr:sp macro="" textlink="">
          <xdr:nvSpPr>
            <xdr:cNvPr id="172053" name="Check Box 21" hidden="1">
              <a:extLst>
                <a:ext uri="{63B3BB69-23CF-44E3-9099-C40C66FF867C}">
                  <a14:compatExt spid="_x0000_s172053"/>
                </a:ext>
                <a:ext uri="{FF2B5EF4-FFF2-40B4-BE49-F238E27FC236}">
                  <a16:creationId xmlns:a16="http://schemas.microsoft.com/office/drawing/2014/main" id="{00000000-0008-0000-1400-000015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53</xdr:row>
          <xdr:rowOff>0</xdr:rowOff>
        </xdr:from>
        <xdr:to>
          <xdr:col>22</xdr:col>
          <xdr:colOff>184150</xdr:colOff>
          <xdr:row>53</xdr:row>
          <xdr:rowOff>184150</xdr:rowOff>
        </xdr:to>
        <xdr:sp macro="" textlink="">
          <xdr:nvSpPr>
            <xdr:cNvPr id="172054" name="Check Box 22" hidden="1">
              <a:extLst>
                <a:ext uri="{63B3BB69-23CF-44E3-9099-C40C66FF867C}">
                  <a14:compatExt spid="_x0000_s172054"/>
                </a:ext>
                <a:ext uri="{FF2B5EF4-FFF2-40B4-BE49-F238E27FC236}">
                  <a16:creationId xmlns:a16="http://schemas.microsoft.com/office/drawing/2014/main" id="{00000000-0008-0000-1400-000016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54</xdr:row>
          <xdr:rowOff>0</xdr:rowOff>
        </xdr:from>
        <xdr:to>
          <xdr:col>22</xdr:col>
          <xdr:colOff>184150</xdr:colOff>
          <xdr:row>54</xdr:row>
          <xdr:rowOff>184150</xdr:rowOff>
        </xdr:to>
        <xdr:sp macro="" textlink="">
          <xdr:nvSpPr>
            <xdr:cNvPr id="172055" name="Check Box 23" hidden="1">
              <a:extLst>
                <a:ext uri="{63B3BB69-23CF-44E3-9099-C40C66FF867C}">
                  <a14:compatExt spid="_x0000_s172055"/>
                </a:ext>
                <a:ext uri="{FF2B5EF4-FFF2-40B4-BE49-F238E27FC236}">
                  <a16:creationId xmlns:a16="http://schemas.microsoft.com/office/drawing/2014/main" id="{00000000-0008-0000-1400-000017A0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8</xdr:col>
      <xdr:colOff>447675</xdr:colOff>
      <xdr:row>1</xdr:row>
      <xdr:rowOff>66675</xdr:rowOff>
    </xdr:from>
    <xdr:to>
      <xdr:col>12</xdr:col>
      <xdr:colOff>257175</xdr:colOff>
      <xdr:row>6</xdr:row>
      <xdr:rowOff>17942</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6275" y="257175"/>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22</xdr:col>
          <xdr:colOff>0</xdr:colOff>
          <xdr:row>17</xdr:row>
          <xdr:rowOff>0</xdr:rowOff>
        </xdr:from>
        <xdr:to>
          <xdr:col>22</xdr:col>
          <xdr:colOff>184150</xdr:colOff>
          <xdr:row>17</xdr:row>
          <xdr:rowOff>184150</xdr:rowOff>
        </xdr:to>
        <xdr:sp macro="" textlink="">
          <xdr:nvSpPr>
            <xdr:cNvPr id="253988" name="Check Box 36" hidden="1">
              <a:extLst>
                <a:ext uri="{63B3BB69-23CF-44E3-9099-C40C66FF867C}">
                  <a14:compatExt spid="_x0000_s253988"/>
                </a:ext>
                <a:ext uri="{FF2B5EF4-FFF2-40B4-BE49-F238E27FC236}">
                  <a16:creationId xmlns:a16="http://schemas.microsoft.com/office/drawing/2014/main" id="{00000000-0008-0000-1500-000024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xdr:row>
          <xdr:rowOff>0</xdr:rowOff>
        </xdr:from>
        <xdr:to>
          <xdr:col>22</xdr:col>
          <xdr:colOff>184150</xdr:colOff>
          <xdr:row>18</xdr:row>
          <xdr:rowOff>184150</xdr:rowOff>
        </xdr:to>
        <xdr:sp macro="" textlink="">
          <xdr:nvSpPr>
            <xdr:cNvPr id="253989" name="Check Box 37" hidden="1">
              <a:extLst>
                <a:ext uri="{63B3BB69-23CF-44E3-9099-C40C66FF867C}">
                  <a14:compatExt spid="_x0000_s253989"/>
                </a:ext>
                <a:ext uri="{FF2B5EF4-FFF2-40B4-BE49-F238E27FC236}">
                  <a16:creationId xmlns:a16="http://schemas.microsoft.com/office/drawing/2014/main" id="{00000000-0008-0000-1500-000025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19</xdr:row>
          <xdr:rowOff>0</xdr:rowOff>
        </xdr:from>
        <xdr:to>
          <xdr:col>22</xdr:col>
          <xdr:colOff>184150</xdr:colOff>
          <xdr:row>19</xdr:row>
          <xdr:rowOff>184150</xdr:rowOff>
        </xdr:to>
        <xdr:sp macro="" textlink="">
          <xdr:nvSpPr>
            <xdr:cNvPr id="253990" name="Check Box 38" hidden="1">
              <a:extLst>
                <a:ext uri="{63B3BB69-23CF-44E3-9099-C40C66FF867C}">
                  <a14:compatExt spid="_x0000_s253990"/>
                </a:ext>
                <a:ext uri="{FF2B5EF4-FFF2-40B4-BE49-F238E27FC236}">
                  <a16:creationId xmlns:a16="http://schemas.microsoft.com/office/drawing/2014/main" id="{00000000-0008-0000-1500-000026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xdr:row>
          <xdr:rowOff>0</xdr:rowOff>
        </xdr:from>
        <xdr:to>
          <xdr:col>22</xdr:col>
          <xdr:colOff>184150</xdr:colOff>
          <xdr:row>21</xdr:row>
          <xdr:rowOff>184150</xdr:rowOff>
        </xdr:to>
        <xdr:sp macro="" textlink="">
          <xdr:nvSpPr>
            <xdr:cNvPr id="253991" name="Check Box 39" hidden="1">
              <a:extLst>
                <a:ext uri="{63B3BB69-23CF-44E3-9099-C40C66FF867C}">
                  <a14:compatExt spid="_x0000_s253991"/>
                </a:ext>
                <a:ext uri="{FF2B5EF4-FFF2-40B4-BE49-F238E27FC236}">
                  <a16:creationId xmlns:a16="http://schemas.microsoft.com/office/drawing/2014/main" id="{00000000-0008-0000-1500-000027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22</xdr:row>
          <xdr:rowOff>0</xdr:rowOff>
        </xdr:from>
        <xdr:to>
          <xdr:col>22</xdr:col>
          <xdr:colOff>184150</xdr:colOff>
          <xdr:row>22</xdr:row>
          <xdr:rowOff>184150</xdr:rowOff>
        </xdr:to>
        <xdr:sp macro="" textlink="">
          <xdr:nvSpPr>
            <xdr:cNvPr id="253992" name="Check Box 40" hidden="1">
              <a:extLst>
                <a:ext uri="{63B3BB69-23CF-44E3-9099-C40C66FF867C}">
                  <a14:compatExt spid="_x0000_s253992"/>
                </a:ext>
                <a:ext uri="{FF2B5EF4-FFF2-40B4-BE49-F238E27FC236}">
                  <a16:creationId xmlns:a16="http://schemas.microsoft.com/office/drawing/2014/main" id="{00000000-0008-0000-1500-000028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23</xdr:row>
          <xdr:rowOff>0</xdr:rowOff>
        </xdr:from>
        <xdr:to>
          <xdr:col>22</xdr:col>
          <xdr:colOff>184150</xdr:colOff>
          <xdr:row>23</xdr:row>
          <xdr:rowOff>184150</xdr:rowOff>
        </xdr:to>
        <xdr:sp macro="" textlink="">
          <xdr:nvSpPr>
            <xdr:cNvPr id="253993" name="Check Box 41" hidden="1">
              <a:extLst>
                <a:ext uri="{63B3BB69-23CF-44E3-9099-C40C66FF867C}">
                  <a14:compatExt spid="_x0000_s253993"/>
                </a:ext>
                <a:ext uri="{FF2B5EF4-FFF2-40B4-BE49-F238E27FC236}">
                  <a16:creationId xmlns:a16="http://schemas.microsoft.com/office/drawing/2014/main" id="{00000000-0008-0000-1500-000029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26</xdr:row>
          <xdr:rowOff>0</xdr:rowOff>
        </xdr:from>
        <xdr:to>
          <xdr:col>22</xdr:col>
          <xdr:colOff>184150</xdr:colOff>
          <xdr:row>26</xdr:row>
          <xdr:rowOff>184150</xdr:rowOff>
        </xdr:to>
        <xdr:sp macro="" textlink="">
          <xdr:nvSpPr>
            <xdr:cNvPr id="253994" name="Check Box 42" hidden="1">
              <a:extLst>
                <a:ext uri="{63B3BB69-23CF-44E3-9099-C40C66FF867C}">
                  <a14:compatExt spid="_x0000_s253994"/>
                </a:ext>
                <a:ext uri="{FF2B5EF4-FFF2-40B4-BE49-F238E27FC236}">
                  <a16:creationId xmlns:a16="http://schemas.microsoft.com/office/drawing/2014/main" id="{00000000-0008-0000-1500-00002A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27</xdr:row>
          <xdr:rowOff>0</xdr:rowOff>
        </xdr:from>
        <xdr:to>
          <xdr:col>22</xdr:col>
          <xdr:colOff>184150</xdr:colOff>
          <xdr:row>27</xdr:row>
          <xdr:rowOff>184150</xdr:rowOff>
        </xdr:to>
        <xdr:sp macro="" textlink="">
          <xdr:nvSpPr>
            <xdr:cNvPr id="253995" name="Check Box 43" hidden="1">
              <a:extLst>
                <a:ext uri="{63B3BB69-23CF-44E3-9099-C40C66FF867C}">
                  <a14:compatExt spid="_x0000_s253995"/>
                </a:ext>
                <a:ext uri="{FF2B5EF4-FFF2-40B4-BE49-F238E27FC236}">
                  <a16:creationId xmlns:a16="http://schemas.microsoft.com/office/drawing/2014/main" id="{00000000-0008-0000-1500-00002B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33</xdr:row>
          <xdr:rowOff>0</xdr:rowOff>
        </xdr:from>
        <xdr:to>
          <xdr:col>22</xdr:col>
          <xdr:colOff>184150</xdr:colOff>
          <xdr:row>33</xdr:row>
          <xdr:rowOff>184150</xdr:rowOff>
        </xdr:to>
        <xdr:sp macro="" textlink="">
          <xdr:nvSpPr>
            <xdr:cNvPr id="253996" name="Check Box 44" hidden="1">
              <a:extLst>
                <a:ext uri="{63B3BB69-23CF-44E3-9099-C40C66FF867C}">
                  <a14:compatExt spid="_x0000_s253996"/>
                </a:ext>
                <a:ext uri="{FF2B5EF4-FFF2-40B4-BE49-F238E27FC236}">
                  <a16:creationId xmlns:a16="http://schemas.microsoft.com/office/drawing/2014/main" id="{00000000-0008-0000-1500-00002C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0</xdr:rowOff>
        </xdr:from>
        <xdr:to>
          <xdr:col>22</xdr:col>
          <xdr:colOff>184150</xdr:colOff>
          <xdr:row>40</xdr:row>
          <xdr:rowOff>184150</xdr:rowOff>
        </xdr:to>
        <xdr:sp macro="" textlink="">
          <xdr:nvSpPr>
            <xdr:cNvPr id="253997" name="Check Box 45" hidden="1">
              <a:extLst>
                <a:ext uri="{63B3BB69-23CF-44E3-9099-C40C66FF867C}">
                  <a14:compatExt spid="_x0000_s253997"/>
                </a:ext>
                <a:ext uri="{FF2B5EF4-FFF2-40B4-BE49-F238E27FC236}">
                  <a16:creationId xmlns:a16="http://schemas.microsoft.com/office/drawing/2014/main" id="{00000000-0008-0000-1500-00002D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47</xdr:row>
          <xdr:rowOff>0</xdr:rowOff>
        </xdr:from>
        <xdr:to>
          <xdr:col>22</xdr:col>
          <xdr:colOff>184150</xdr:colOff>
          <xdr:row>47</xdr:row>
          <xdr:rowOff>184150</xdr:rowOff>
        </xdr:to>
        <xdr:sp macro="" textlink="">
          <xdr:nvSpPr>
            <xdr:cNvPr id="253998" name="Check Box 46" hidden="1">
              <a:extLst>
                <a:ext uri="{63B3BB69-23CF-44E3-9099-C40C66FF867C}">
                  <a14:compatExt spid="_x0000_s253998"/>
                </a:ext>
                <a:ext uri="{FF2B5EF4-FFF2-40B4-BE49-F238E27FC236}">
                  <a16:creationId xmlns:a16="http://schemas.microsoft.com/office/drawing/2014/main" id="{00000000-0008-0000-1500-00002E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54</xdr:row>
          <xdr:rowOff>0</xdr:rowOff>
        </xdr:from>
        <xdr:to>
          <xdr:col>22</xdr:col>
          <xdr:colOff>184150</xdr:colOff>
          <xdr:row>54</xdr:row>
          <xdr:rowOff>184150</xdr:rowOff>
        </xdr:to>
        <xdr:sp macro="" textlink="">
          <xdr:nvSpPr>
            <xdr:cNvPr id="253999" name="Check Box 47" hidden="1">
              <a:extLst>
                <a:ext uri="{63B3BB69-23CF-44E3-9099-C40C66FF867C}">
                  <a14:compatExt spid="_x0000_s253999"/>
                </a:ext>
                <a:ext uri="{FF2B5EF4-FFF2-40B4-BE49-F238E27FC236}">
                  <a16:creationId xmlns:a16="http://schemas.microsoft.com/office/drawing/2014/main" id="{00000000-0008-0000-1500-00002F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109</xdr:row>
          <xdr:rowOff>0</xdr:rowOff>
        </xdr:from>
        <xdr:to>
          <xdr:col>22</xdr:col>
          <xdr:colOff>184150</xdr:colOff>
          <xdr:row>109</xdr:row>
          <xdr:rowOff>184150</xdr:rowOff>
        </xdr:to>
        <xdr:sp macro="" textlink="">
          <xdr:nvSpPr>
            <xdr:cNvPr id="254000" name="Check Box 48" hidden="1">
              <a:extLst>
                <a:ext uri="{63B3BB69-23CF-44E3-9099-C40C66FF867C}">
                  <a14:compatExt spid="_x0000_s254000"/>
                </a:ext>
                <a:ext uri="{FF2B5EF4-FFF2-40B4-BE49-F238E27FC236}">
                  <a16:creationId xmlns:a16="http://schemas.microsoft.com/office/drawing/2014/main" id="{00000000-0008-0000-1500-000030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114</xdr:row>
          <xdr:rowOff>0</xdr:rowOff>
        </xdr:from>
        <xdr:to>
          <xdr:col>22</xdr:col>
          <xdr:colOff>184150</xdr:colOff>
          <xdr:row>114</xdr:row>
          <xdr:rowOff>184150</xdr:rowOff>
        </xdr:to>
        <xdr:sp macro="" textlink="">
          <xdr:nvSpPr>
            <xdr:cNvPr id="254001" name="Check Box 49" hidden="1">
              <a:extLst>
                <a:ext uri="{63B3BB69-23CF-44E3-9099-C40C66FF867C}">
                  <a14:compatExt spid="_x0000_s254001"/>
                </a:ext>
                <a:ext uri="{FF2B5EF4-FFF2-40B4-BE49-F238E27FC236}">
                  <a16:creationId xmlns:a16="http://schemas.microsoft.com/office/drawing/2014/main" id="{00000000-0008-0000-1500-000031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0</xdr:rowOff>
        </xdr:from>
        <xdr:to>
          <xdr:col>22</xdr:col>
          <xdr:colOff>184150</xdr:colOff>
          <xdr:row>131</xdr:row>
          <xdr:rowOff>184150</xdr:rowOff>
        </xdr:to>
        <xdr:sp macro="" textlink="">
          <xdr:nvSpPr>
            <xdr:cNvPr id="254002" name="Check Box 50" hidden="1">
              <a:extLst>
                <a:ext uri="{63B3BB69-23CF-44E3-9099-C40C66FF867C}">
                  <a14:compatExt spid="_x0000_s254002"/>
                </a:ext>
                <a:ext uri="{FF2B5EF4-FFF2-40B4-BE49-F238E27FC236}">
                  <a16:creationId xmlns:a16="http://schemas.microsoft.com/office/drawing/2014/main" id="{00000000-0008-0000-1500-000032E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1828959</xdr:colOff>
      <xdr:row>4</xdr:row>
      <xdr:rowOff>140286</xdr:rowOff>
    </xdr:to>
    <xdr:pic>
      <xdr:nvPicPr>
        <xdr:cNvPr id="7" name="Picture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1"/>
        <a:stretch>
          <a:fillRect/>
        </a:stretch>
      </xdr:blipFill>
      <xdr:spPr>
        <a:xfrm>
          <a:off x="3086100" y="0"/>
          <a:ext cx="1828959" cy="90228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1828959</xdr:colOff>
      <xdr:row>4</xdr:row>
      <xdr:rowOff>140286</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3086100" y="0"/>
          <a:ext cx="1828959" cy="90228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47625</xdr:colOff>
      <xdr:row>5</xdr:row>
      <xdr:rowOff>47625</xdr:rowOff>
    </xdr:from>
    <xdr:to>
      <xdr:col>16</xdr:col>
      <xdr:colOff>433917</xdr:colOff>
      <xdr:row>32</xdr:row>
      <xdr:rowOff>161924</xdr:rowOff>
    </xdr:to>
    <xdr:pic>
      <xdr:nvPicPr>
        <xdr:cNvPr id="8" name="Picture 7" descr="climatezonesbystates.gif">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1" cstate="print"/>
        <a:stretch>
          <a:fillRect/>
        </a:stretch>
      </xdr:blipFill>
      <xdr:spPr>
        <a:xfrm>
          <a:off x="657225" y="1057275"/>
          <a:ext cx="9530292" cy="5257799"/>
        </a:xfrm>
        <a:prstGeom prst="rect">
          <a:avLst/>
        </a:prstGeom>
        <a:effectLst>
          <a:outerShdw blurRad="63500" sx="102000" sy="102000" algn="ctr" rotWithShape="0">
            <a:prstClr val="black">
              <a:alpha val="4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4</xdr:row>
      <xdr:rowOff>141767</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1143000</xdr:colOff>
          <xdr:row>7</xdr:row>
          <xdr:rowOff>0</xdr:rowOff>
        </xdr:from>
        <xdr:to>
          <xdr:col>6</xdr:col>
          <xdr:colOff>203200</xdr:colOff>
          <xdr:row>8</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2</xdr:col>
      <xdr:colOff>247650</xdr:colOff>
      <xdr:row>3</xdr:row>
      <xdr:rowOff>161925</xdr:rowOff>
    </xdr:from>
    <xdr:to>
      <xdr:col>14</xdr:col>
      <xdr:colOff>557742</xdr:colOff>
      <xdr:row>29</xdr:row>
      <xdr:rowOff>85725</xdr:rowOff>
    </xdr:to>
    <xdr:pic>
      <xdr:nvPicPr>
        <xdr:cNvPr id="3" name="Picture 2" descr="Climate Zone Map of the United States">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66850" y="790575"/>
          <a:ext cx="7625292" cy="4876800"/>
        </a:xfrm>
        <a:prstGeom prst="rect">
          <a:avLst/>
        </a:prstGeom>
        <a:noFill/>
        <a:ln w="9525">
          <a:noFill/>
          <a:miter lim="800000"/>
          <a:headEnd/>
          <a:tailEnd/>
        </a:ln>
        <a:effectLst>
          <a:outerShdw blurRad="63500" sx="102000" sy="102000" algn="ctr" rotWithShape="0">
            <a:prstClr val="black">
              <a:alpha val="40000"/>
            </a:prstClr>
          </a:outerShdw>
        </a:effec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600073</xdr:colOff>
      <xdr:row>6</xdr:row>
      <xdr:rowOff>47622</xdr:rowOff>
    </xdr:from>
    <xdr:ext cx="6816196" cy="8256342"/>
    <xdr:pic>
      <xdr:nvPicPr>
        <xdr:cNvPr id="2" name="Picture 1">
          <a:extLst>
            <a:ext uri="{FF2B5EF4-FFF2-40B4-BE49-F238E27FC236}">
              <a16:creationId xmlns:a16="http://schemas.microsoft.com/office/drawing/2014/main" id="{00000000-0008-0000-2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713" r="2167"/>
        <a:stretch/>
      </xdr:blipFill>
      <xdr:spPr bwMode="auto">
        <a:xfrm>
          <a:off x="600073" y="809622"/>
          <a:ext cx="6816196" cy="8256342"/>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12</xdr:col>
      <xdr:colOff>476250</xdr:colOff>
      <xdr:row>0</xdr:row>
      <xdr:rowOff>0</xdr:rowOff>
    </xdr:from>
    <xdr:to>
      <xdr:col>22</xdr:col>
      <xdr:colOff>885825</xdr:colOff>
      <xdr:row>4</xdr:row>
      <xdr:rowOff>141767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67475"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14</xdr:row>
          <xdr:rowOff>0</xdr:rowOff>
        </xdr:from>
        <xdr:to>
          <xdr:col>22</xdr:col>
          <xdr:colOff>184150</xdr:colOff>
          <xdr:row>14</xdr:row>
          <xdr:rowOff>184150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300-00009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xdr:row>
          <xdr:rowOff>0</xdr:rowOff>
        </xdr:from>
        <xdr:to>
          <xdr:col>22</xdr:col>
          <xdr:colOff>184150</xdr:colOff>
          <xdr:row>16</xdr:row>
          <xdr:rowOff>184150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300-00009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xdr:row>
          <xdr:rowOff>0</xdr:rowOff>
        </xdr:from>
        <xdr:to>
          <xdr:col>22</xdr:col>
          <xdr:colOff>184150</xdr:colOff>
          <xdr:row>17</xdr:row>
          <xdr:rowOff>184150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300-00009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xdr:row>
          <xdr:rowOff>0</xdr:rowOff>
        </xdr:from>
        <xdr:to>
          <xdr:col>22</xdr:col>
          <xdr:colOff>184150</xdr:colOff>
          <xdr:row>18</xdr:row>
          <xdr:rowOff>184150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300-00009F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xdr:row>
          <xdr:rowOff>0</xdr:rowOff>
        </xdr:from>
        <xdr:to>
          <xdr:col>22</xdr:col>
          <xdr:colOff>184150</xdr:colOff>
          <xdr:row>21</xdr:row>
          <xdr:rowOff>184150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300-0000A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xdr:row>
          <xdr:rowOff>0</xdr:rowOff>
        </xdr:from>
        <xdr:to>
          <xdr:col>22</xdr:col>
          <xdr:colOff>184150</xdr:colOff>
          <xdr:row>23</xdr:row>
          <xdr:rowOff>184150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300-0000A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xdr:row>
          <xdr:rowOff>0</xdr:rowOff>
        </xdr:from>
        <xdr:to>
          <xdr:col>22</xdr:col>
          <xdr:colOff>184150</xdr:colOff>
          <xdr:row>25</xdr:row>
          <xdr:rowOff>184150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300-0000A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xdr:row>
          <xdr:rowOff>0</xdr:rowOff>
        </xdr:from>
        <xdr:to>
          <xdr:col>22</xdr:col>
          <xdr:colOff>184150</xdr:colOff>
          <xdr:row>27</xdr:row>
          <xdr:rowOff>184150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300-0000A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xdr:row>
          <xdr:rowOff>0</xdr:rowOff>
        </xdr:from>
        <xdr:to>
          <xdr:col>22</xdr:col>
          <xdr:colOff>184150</xdr:colOff>
          <xdr:row>42</xdr:row>
          <xdr:rowOff>184150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300-0000A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58</xdr:row>
          <xdr:rowOff>0</xdr:rowOff>
        </xdr:from>
        <xdr:to>
          <xdr:col>22</xdr:col>
          <xdr:colOff>184150</xdr:colOff>
          <xdr:row>58</xdr:row>
          <xdr:rowOff>184150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300-0000A5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xdr:row>
          <xdr:rowOff>0</xdr:rowOff>
        </xdr:from>
        <xdr:to>
          <xdr:col>22</xdr:col>
          <xdr:colOff>184150</xdr:colOff>
          <xdr:row>69</xdr:row>
          <xdr:rowOff>184150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300-0000A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71</xdr:row>
          <xdr:rowOff>0</xdr:rowOff>
        </xdr:from>
        <xdr:to>
          <xdr:col>22</xdr:col>
          <xdr:colOff>184150</xdr:colOff>
          <xdr:row>71</xdr:row>
          <xdr:rowOff>184150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300-0000A7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73</xdr:row>
          <xdr:rowOff>0</xdr:rowOff>
        </xdr:from>
        <xdr:to>
          <xdr:col>22</xdr:col>
          <xdr:colOff>184150</xdr:colOff>
          <xdr:row>73</xdr:row>
          <xdr:rowOff>184150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300-0000A8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75</xdr:row>
          <xdr:rowOff>0</xdr:rowOff>
        </xdr:from>
        <xdr:to>
          <xdr:col>22</xdr:col>
          <xdr:colOff>184150</xdr:colOff>
          <xdr:row>75</xdr:row>
          <xdr:rowOff>184150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300-0000A9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77</xdr:row>
          <xdr:rowOff>0</xdr:rowOff>
        </xdr:from>
        <xdr:to>
          <xdr:col>22</xdr:col>
          <xdr:colOff>184150</xdr:colOff>
          <xdr:row>77</xdr:row>
          <xdr:rowOff>184150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300-0000AA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79</xdr:row>
          <xdr:rowOff>0</xdr:rowOff>
        </xdr:from>
        <xdr:to>
          <xdr:col>22</xdr:col>
          <xdr:colOff>184150</xdr:colOff>
          <xdr:row>79</xdr:row>
          <xdr:rowOff>184150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300-0000AB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81</xdr:row>
          <xdr:rowOff>0</xdr:rowOff>
        </xdr:from>
        <xdr:to>
          <xdr:col>22</xdr:col>
          <xdr:colOff>184150</xdr:colOff>
          <xdr:row>81</xdr:row>
          <xdr:rowOff>184150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300-0000A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90</xdr:row>
          <xdr:rowOff>0</xdr:rowOff>
        </xdr:from>
        <xdr:to>
          <xdr:col>22</xdr:col>
          <xdr:colOff>184150</xdr:colOff>
          <xdr:row>90</xdr:row>
          <xdr:rowOff>184150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300-0000A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91</xdr:row>
          <xdr:rowOff>0</xdr:rowOff>
        </xdr:from>
        <xdr:to>
          <xdr:col>22</xdr:col>
          <xdr:colOff>184150</xdr:colOff>
          <xdr:row>91</xdr:row>
          <xdr:rowOff>184150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300-0000A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98</xdr:row>
          <xdr:rowOff>0</xdr:rowOff>
        </xdr:from>
        <xdr:to>
          <xdr:col>22</xdr:col>
          <xdr:colOff>184150</xdr:colOff>
          <xdr:row>98</xdr:row>
          <xdr:rowOff>184150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300-0000B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100</xdr:row>
          <xdr:rowOff>0</xdr:rowOff>
        </xdr:from>
        <xdr:to>
          <xdr:col>22</xdr:col>
          <xdr:colOff>184150</xdr:colOff>
          <xdr:row>100</xdr:row>
          <xdr:rowOff>184150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300-0000B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104</xdr:row>
          <xdr:rowOff>0</xdr:rowOff>
        </xdr:from>
        <xdr:to>
          <xdr:col>22</xdr:col>
          <xdr:colOff>184150</xdr:colOff>
          <xdr:row>104</xdr:row>
          <xdr:rowOff>184150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300-0000B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108</xdr:row>
          <xdr:rowOff>0</xdr:rowOff>
        </xdr:from>
        <xdr:to>
          <xdr:col>22</xdr:col>
          <xdr:colOff>184150</xdr:colOff>
          <xdr:row>108</xdr:row>
          <xdr:rowOff>184150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300-0000B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109</xdr:row>
          <xdr:rowOff>0</xdr:rowOff>
        </xdr:from>
        <xdr:to>
          <xdr:col>22</xdr:col>
          <xdr:colOff>184150</xdr:colOff>
          <xdr:row>109</xdr:row>
          <xdr:rowOff>184150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300-0000B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111</xdr:row>
          <xdr:rowOff>0</xdr:rowOff>
        </xdr:from>
        <xdr:to>
          <xdr:col>22</xdr:col>
          <xdr:colOff>184150</xdr:colOff>
          <xdr:row>111</xdr:row>
          <xdr:rowOff>184150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300-0000B5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112</xdr:row>
          <xdr:rowOff>0</xdr:rowOff>
        </xdr:from>
        <xdr:to>
          <xdr:col>22</xdr:col>
          <xdr:colOff>184150</xdr:colOff>
          <xdr:row>112</xdr:row>
          <xdr:rowOff>184150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300-0000B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113</xdr:row>
          <xdr:rowOff>0</xdr:rowOff>
        </xdr:from>
        <xdr:to>
          <xdr:col>22</xdr:col>
          <xdr:colOff>184150</xdr:colOff>
          <xdr:row>113</xdr:row>
          <xdr:rowOff>184150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300-0000B7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121</xdr:row>
          <xdr:rowOff>0</xdr:rowOff>
        </xdr:from>
        <xdr:to>
          <xdr:col>22</xdr:col>
          <xdr:colOff>184150</xdr:colOff>
          <xdr:row>121</xdr:row>
          <xdr:rowOff>184150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300-0000B8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124</xdr:row>
          <xdr:rowOff>0</xdr:rowOff>
        </xdr:from>
        <xdr:to>
          <xdr:col>22</xdr:col>
          <xdr:colOff>184150</xdr:colOff>
          <xdr:row>124</xdr:row>
          <xdr:rowOff>184150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300-0000B9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155</xdr:row>
          <xdr:rowOff>0</xdr:rowOff>
        </xdr:from>
        <xdr:to>
          <xdr:col>22</xdr:col>
          <xdr:colOff>184150</xdr:colOff>
          <xdr:row>155</xdr:row>
          <xdr:rowOff>184150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300-0000B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157</xdr:row>
          <xdr:rowOff>0</xdr:rowOff>
        </xdr:from>
        <xdr:to>
          <xdr:col>22</xdr:col>
          <xdr:colOff>184150</xdr:colOff>
          <xdr:row>157</xdr:row>
          <xdr:rowOff>184150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300-0000B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160</xdr:row>
          <xdr:rowOff>0</xdr:rowOff>
        </xdr:from>
        <xdr:to>
          <xdr:col>22</xdr:col>
          <xdr:colOff>184150</xdr:colOff>
          <xdr:row>160</xdr:row>
          <xdr:rowOff>184150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300-0000B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170</xdr:row>
          <xdr:rowOff>0</xdr:rowOff>
        </xdr:from>
        <xdr:to>
          <xdr:col>22</xdr:col>
          <xdr:colOff>184150</xdr:colOff>
          <xdr:row>170</xdr:row>
          <xdr:rowOff>184150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300-0000BF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171</xdr:row>
          <xdr:rowOff>0</xdr:rowOff>
        </xdr:from>
        <xdr:to>
          <xdr:col>22</xdr:col>
          <xdr:colOff>184150</xdr:colOff>
          <xdr:row>171</xdr:row>
          <xdr:rowOff>184150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300-0000C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176</xdr:row>
          <xdr:rowOff>0</xdr:rowOff>
        </xdr:from>
        <xdr:to>
          <xdr:col>22</xdr:col>
          <xdr:colOff>184150</xdr:colOff>
          <xdr:row>176</xdr:row>
          <xdr:rowOff>184150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300-0000C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178</xdr:row>
          <xdr:rowOff>0</xdr:rowOff>
        </xdr:from>
        <xdr:to>
          <xdr:col>22</xdr:col>
          <xdr:colOff>184150</xdr:colOff>
          <xdr:row>178</xdr:row>
          <xdr:rowOff>184150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300-0000C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181</xdr:row>
          <xdr:rowOff>0</xdr:rowOff>
        </xdr:from>
        <xdr:to>
          <xdr:col>22</xdr:col>
          <xdr:colOff>184150</xdr:colOff>
          <xdr:row>181</xdr:row>
          <xdr:rowOff>184150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300-0000C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183</xdr:row>
          <xdr:rowOff>0</xdr:rowOff>
        </xdr:from>
        <xdr:to>
          <xdr:col>22</xdr:col>
          <xdr:colOff>184150</xdr:colOff>
          <xdr:row>183</xdr:row>
          <xdr:rowOff>184150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300-0000C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xdr:row>
          <xdr:rowOff>0</xdr:rowOff>
        </xdr:from>
        <xdr:to>
          <xdr:col>22</xdr:col>
          <xdr:colOff>184150</xdr:colOff>
          <xdr:row>185</xdr:row>
          <xdr:rowOff>184150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300-0000C5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189</xdr:row>
          <xdr:rowOff>0</xdr:rowOff>
        </xdr:from>
        <xdr:to>
          <xdr:col>22</xdr:col>
          <xdr:colOff>184150</xdr:colOff>
          <xdr:row>189</xdr:row>
          <xdr:rowOff>184150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300-0000C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190</xdr:row>
          <xdr:rowOff>0</xdr:rowOff>
        </xdr:from>
        <xdr:to>
          <xdr:col>22</xdr:col>
          <xdr:colOff>184150</xdr:colOff>
          <xdr:row>190</xdr:row>
          <xdr:rowOff>184150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300-0000C7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191</xdr:row>
          <xdr:rowOff>0</xdr:rowOff>
        </xdr:from>
        <xdr:to>
          <xdr:col>22</xdr:col>
          <xdr:colOff>184150</xdr:colOff>
          <xdr:row>191</xdr:row>
          <xdr:rowOff>184150</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300-0000C8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193</xdr:row>
          <xdr:rowOff>0</xdr:rowOff>
        </xdr:from>
        <xdr:to>
          <xdr:col>22</xdr:col>
          <xdr:colOff>184150</xdr:colOff>
          <xdr:row>193</xdr:row>
          <xdr:rowOff>184150</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300-0000C9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208</xdr:row>
          <xdr:rowOff>0</xdr:rowOff>
        </xdr:from>
        <xdr:to>
          <xdr:col>22</xdr:col>
          <xdr:colOff>184150</xdr:colOff>
          <xdr:row>208</xdr:row>
          <xdr:rowOff>184150</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300-0000C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215</xdr:row>
          <xdr:rowOff>0</xdr:rowOff>
        </xdr:from>
        <xdr:to>
          <xdr:col>22</xdr:col>
          <xdr:colOff>184150</xdr:colOff>
          <xdr:row>215</xdr:row>
          <xdr:rowOff>184150</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300-0000C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216</xdr:row>
          <xdr:rowOff>0</xdr:rowOff>
        </xdr:from>
        <xdr:to>
          <xdr:col>22</xdr:col>
          <xdr:colOff>184150</xdr:colOff>
          <xdr:row>216</xdr:row>
          <xdr:rowOff>184150</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300-0000C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218</xdr:row>
          <xdr:rowOff>0</xdr:rowOff>
        </xdr:from>
        <xdr:to>
          <xdr:col>22</xdr:col>
          <xdr:colOff>184150</xdr:colOff>
          <xdr:row>218</xdr:row>
          <xdr:rowOff>184150</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300-0000CF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223</xdr:row>
          <xdr:rowOff>0</xdr:rowOff>
        </xdr:from>
        <xdr:to>
          <xdr:col>22</xdr:col>
          <xdr:colOff>184150</xdr:colOff>
          <xdr:row>223</xdr:row>
          <xdr:rowOff>184150</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300-0000D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225</xdr:row>
          <xdr:rowOff>0</xdr:rowOff>
        </xdr:from>
        <xdr:to>
          <xdr:col>22</xdr:col>
          <xdr:colOff>184150</xdr:colOff>
          <xdr:row>225</xdr:row>
          <xdr:rowOff>184150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300-0000D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226</xdr:row>
          <xdr:rowOff>0</xdr:rowOff>
        </xdr:from>
        <xdr:to>
          <xdr:col>22</xdr:col>
          <xdr:colOff>184150</xdr:colOff>
          <xdr:row>226</xdr:row>
          <xdr:rowOff>184150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300-0000D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228</xdr:row>
          <xdr:rowOff>0</xdr:rowOff>
        </xdr:from>
        <xdr:to>
          <xdr:col>22</xdr:col>
          <xdr:colOff>184150</xdr:colOff>
          <xdr:row>228</xdr:row>
          <xdr:rowOff>184150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300-0000D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230</xdr:row>
          <xdr:rowOff>0</xdr:rowOff>
        </xdr:from>
        <xdr:to>
          <xdr:col>22</xdr:col>
          <xdr:colOff>184150</xdr:colOff>
          <xdr:row>230</xdr:row>
          <xdr:rowOff>184150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300-0000D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234</xdr:row>
          <xdr:rowOff>0</xdr:rowOff>
        </xdr:from>
        <xdr:to>
          <xdr:col>22</xdr:col>
          <xdr:colOff>184150</xdr:colOff>
          <xdr:row>234</xdr:row>
          <xdr:rowOff>184150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300-0000D5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237</xdr:row>
          <xdr:rowOff>0</xdr:rowOff>
        </xdr:from>
        <xdr:to>
          <xdr:col>22</xdr:col>
          <xdr:colOff>184150</xdr:colOff>
          <xdr:row>237</xdr:row>
          <xdr:rowOff>184150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300-0000D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239</xdr:row>
          <xdr:rowOff>0</xdr:rowOff>
        </xdr:from>
        <xdr:to>
          <xdr:col>22</xdr:col>
          <xdr:colOff>184150</xdr:colOff>
          <xdr:row>239</xdr:row>
          <xdr:rowOff>184150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300-0000D7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240</xdr:row>
          <xdr:rowOff>0</xdr:rowOff>
        </xdr:from>
        <xdr:to>
          <xdr:col>22</xdr:col>
          <xdr:colOff>184150</xdr:colOff>
          <xdr:row>240</xdr:row>
          <xdr:rowOff>184150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300-0000D8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xdr:row>
          <xdr:rowOff>0</xdr:rowOff>
        </xdr:from>
        <xdr:to>
          <xdr:col>22</xdr:col>
          <xdr:colOff>184150</xdr:colOff>
          <xdr:row>241</xdr:row>
          <xdr:rowOff>184150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300-0000D9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xdr:row>
          <xdr:rowOff>0</xdr:rowOff>
        </xdr:from>
        <xdr:to>
          <xdr:col>22</xdr:col>
          <xdr:colOff>184150</xdr:colOff>
          <xdr:row>242</xdr:row>
          <xdr:rowOff>184150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300-0000DA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243</xdr:row>
          <xdr:rowOff>0</xdr:rowOff>
        </xdr:from>
        <xdr:to>
          <xdr:col>22</xdr:col>
          <xdr:colOff>184150</xdr:colOff>
          <xdr:row>243</xdr:row>
          <xdr:rowOff>184150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300-0000DB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244</xdr:row>
          <xdr:rowOff>0</xdr:rowOff>
        </xdr:from>
        <xdr:to>
          <xdr:col>22</xdr:col>
          <xdr:colOff>184150</xdr:colOff>
          <xdr:row>244</xdr:row>
          <xdr:rowOff>184150</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300-0000D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246</xdr:row>
          <xdr:rowOff>0</xdr:rowOff>
        </xdr:from>
        <xdr:to>
          <xdr:col>22</xdr:col>
          <xdr:colOff>184150</xdr:colOff>
          <xdr:row>246</xdr:row>
          <xdr:rowOff>184150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300-0000D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253</xdr:row>
          <xdr:rowOff>0</xdr:rowOff>
        </xdr:from>
        <xdr:to>
          <xdr:col>22</xdr:col>
          <xdr:colOff>184150</xdr:colOff>
          <xdr:row>253</xdr:row>
          <xdr:rowOff>184150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300-0000D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255</xdr:row>
          <xdr:rowOff>0</xdr:rowOff>
        </xdr:from>
        <xdr:to>
          <xdr:col>22</xdr:col>
          <xdr:colOff>184150</xdr:colOff>
          <xdr:row>255</xdr:row>
          <xdr:rowOff>184150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300-0000DF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264</xdr:row>
          <xdr:rowOff>0</xdr:rowOff>
        </xdr:from>
        <xdr:to>
          <xdr:col>22</xdr:col>
          <xdr:colOff>184150</xdr:colOff>
          <xdr:row>264</xdr:row>
          <xdr:rowOff>184150</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300-0000E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267</xdr:row>
          <xdr:rowOff>0</xdr:rowOff>
        </xdr:from>
        <xdr:to>
          <xdr:col>22</xdr:col>
          <xdr:colOff>184150</xdr:colOff>
          <xdr:row>267</xdr:row>
          <xdr:rowOff>184150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300-0000E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271</xdr:row>
          <xdr:rowOff>0</xdr:rowOff>
        </xdr:from>
        <xdr:to>
          <xdr:col>22</xdr:col>
          <xdr:colOff>184150</xdr:colOff>
          <xdr:row>271</xdr:row>
          <xdr:rowOff>184150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300-0000E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272</xdr:row>
          <xdr:rowOff>0</xdr:rowOff>
        </xdr:from>
        <xdr:to>
          <xdr:col>22</xdr:col>
          <xdr:colOff>184150</xdr:colOff>
          <xdr:row>272</xdr:row>
          <xdr:rowOff>184150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300-0000E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282</xdr:row>
          <xdr:rowOff>0</xdr:rowOff>
        </xdr:from>
        <xdr:to>
          <xdr:col>22</xdr:col>
          <xdr:colOff>184150</xdr:colOff>
          <xdr:row>282</xdr:row>
          <xdr:rowOff>184150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300-0000E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xdr:row>
          <xdr:rowOff>0</xdr:rowOff>
        </xdr:from>
        <xdr:to>
          <xdr:col>22</xdr:col>
          <xdr:colOff>184150</xdr:colOff>
          <xdr:row>50</xdr:row>
          <xdr:rowOff>184150</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300-0000EA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52</xdr:row>
          <xdr:rowOff>0</xdr:rowOff>
        </xdr:from>
        <xdr:to>
          <xdr:col>22</xdr:col>
          <xdr:colOff>184150</xdr:colOff>
          <xdr:row>52</xdr:row>
          <xdr:rowOff>184150</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300-0000E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xdr:row>
          <xdr:rowOff>0</xdr:rowOff>
        </xdr:from>
        <xdr:to>
          <xdr:col>22</xdr:col>
          <xdr:colOff>184150</xdr:colOff>
          <xdr:row>55</xdr:row>
          <xdr:rowOff>184150</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300-0000E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83</xdr:row>
          <xdr:rowOff>0</xdr:rowOff>
        </xdr:from>
        <xdr:to>
          <xdr:col>22</xdr:col>
          <xdr:colOff>184150</xdr:colOff>
          <xdr:row>83</xdr:row>
          <xdr:rowOff>184150</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300-0000F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140</xdr:row>
          <xdr:rowOff>0</xdr:rowOff>
        </xdr:from>
        <xdr:to>
          <xdr:col>22</xdr:col>
          <xdr:colOff>184150</xdr:colOff>
          <xdr:row>140</xdr:row>
          <xdr:rowOff>184150</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300-0000F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142</xdr:row>
          <xdr:rowOff>0</xdr:rowOff>
        </xdr:from>
        <xdr:to>
          <xdr:col>22</xdr:col>
          <xdr:colOff>184150</xdr:colOff>
          <xdr:row>142</xdr:row>
          <xdr:rowOff>184150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300-0000F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162</xdr:row>
          <xdr:rowOff>0</xdr:rowOff>
        </xdr:from>
        <xdr:to>
          <xdr:col>22</xdr:col>
          <xdr:colOff>184150</xdr:colOff>
          <xdr:row>162</xdr:row>
          <xdr:rowOff>184150</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300-0000F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288</xdr:row>
          <xdr:rowOff>0</xdr:rowOff>
        </xdr:from>
        <xdr:to>
          <xdr:col>22</xdr:col>
          <xdr:colOff>184150</xdr:colOff>
          <xdr:row>288</xdr:row>
          <xdr:rowOff>184150</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300-0000F9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291</xdr:row>
          <xdr:rowOff>0</xdr:rowOff>
        </xdr:from>
        <xdr:to>
          <xdr:col>22</xdr:col>
          <xdr:colOff>184150</xdr:colOff>
          <xdr:row>291</xdr:row>
          <xdr:rowOff>184150</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300-0000FA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292</xdr:row>
          <xdr:rowOff>0</xdr:rowOff>
        </xdr:from>
        <xdr:to>
          <xdr:col>22</xdr:col>
          <xdr:colOff>184150</xdr:colOff>
          <xdr:row>292</xdr:row>
          <xdr:rowOff>184150</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300-0000FB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305</xdr:row>
          <xdr:rowOff>0</xdr:rowOff>
        </xdr:from>
        <xdr:to>
          <xdr:col>22</xdr:col>
          <xdr:colOff>184150</xdr:colOff>
          <xdr:row>305</xdr:row>
          <xdr:rowOff>184150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300-0000F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309</xdr:row>
          <xdr:rowOff>0</xdr:rowOff>
        </xdr:from>
        <xdr:to>
          <xdr:col>22</xdr:col>
          <xdr:colOff>184150</xdr:colOff>
          <xdr:row>309</xdr:row>
          <xdr:rowOff>184150</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300-0000F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312</xdr:row>
          <xdr:rowOff>0</xdr:rowOff>
        </xdr:from>
        <xdr:to>
          <xdr:col>22</xdr:col>
          <xdr:colOff>184150</xdr:colOff>
          <xdr:row>312</xdr:row>
          <xdr:rowOff>184150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300-0000FF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315</xdr:row>
          <xdr:rowOff>0</xdr:rowOff>
        </xdr:from>
        <xdr:to>
          <xdr:col>22</xdr:col>
          <xdr:colOff>184150</xdr:colOff>
          <xdr:row>315</xdr:row>
          <xdr:rowOff>184150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300-0000000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316</xdr:row>
          <xdr:rowOff>0</xdr:rowOff>
        </xdr:from>
        <xdr:to>
          <xdr:col>22</xdr:col>
          <xdr:colOff>184150</xdr:colOff>
          <xdr:row>316</xdr:row>
          <xdr:rowOff>184150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300-0000010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321</xdr:row>
          <xdr:rowOff>0</xdr:rowOff>
        </xdr:from>
        <xdr:to>
          <xdr:col>22</xdr:col>
          <xdr:colOff>184150</xdr:colOff>
          <xdr:row>321</xdr:row>
          <xdr:rowOff>184150</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300-0000020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323</xdr:row>
          <xdr:rowOff>0</xdr:rowOff>
        </xdr:from>
        <xdr:to>
          <xdr:col>22</xdr:col>
          <xdr:colOff>184150</xdr:colOff>
          <xdr:row>323</xdr:row>
          <xdr:rowOff>184150</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300-0000030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325</xdr:row>
          <xdr:rowOff>0</xdr:rowOff>
        </xdr:from>
        <xdr:to>
          <xdr:col>22</xdr:col>
          <xdr:colOff>184150</xdr:colOff>
          <xdr:row>325</xdr:row>
          <xdr:rowOff>184150</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300-0000040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12</xdr:col>
      <xdr:colOff>476250</xdr:colOff>
      <xdr:row>0</xdr:row>
      <xdr:rowOff>0</xdr:rowOff>
    </xdr:from>
    <xdr:to>
      <xdr:col>22</xdr:col>
      <xdr:colOff>885825</xdr:colOff>
      <xdr:row>4</xdr:row>
      <xdr:rowOff>141767</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1550"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30</xdr:row>
          <xdr:rowOff>0</xdr:rowOff>
        </xdr:from>
        <xdr:to>
          <xdr:col>22</xdr:col>
          <xdr:colOff>184150</xdr:colOff>
          <xdr:row>30</xdr:row>
          <xdr:rowOff>184150</xdr:rowOff>
        </xdr:to>
        <xdr:sp macro="" textlink="">
          <xdr:nvSpPr>
            <xdr:cNvPr id="4202" name="Check Box 106" hidden="1">
              <a:extLst>
                <a:ext uri="{63B3BB69-23CF-44E3-9099-C40C66FF867C}">
                  <a14:compatExt spid="_x0000_s4202"/>
                </a:ext>
                <a:ext uri="{FF2B5EF4-FFF2-40B4-BE49-F238E27FC236}">
                  <a16:creationId xmlns:a16="http://schemas.microsoft.com/office/drawing/2014/main" id="{00000000-0008-0000-0400-00006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33</xdr:row>
          <xdr:rowOff>0</xdr:rowOff>
        </xdr:from>
        <xdr:to>
          <xdr:col>22</xdr:col>
          <xdr:colOff>184150</xdr:colOff>
          <xdr:row>33</xdr:row>
          <xdr:rowOff>184150</xdr:rowOff>
        </xdr:to>
        <xdr:sp macro="" textlink="">
          <xdr:nvSpPr>
            <xdr:cNvPr id="4203" name="Check Box 107" hidden="1">
              <a:extLst>
                <a:ext uri="{63B3BB69-23CF-44E3-9099-C40C66FF867C}">
                  <a14:compatExt spid="_x0000_s4203"/>
                </a:ext>
                <a:ext uri="{FF2B5EF4-FFF2-40B4-BE49-F238E27FC236}">
                  <a16:creationId xmlns:a16="http://schemas.microsoft.com/office/drawing/2014/main" id="{00000000-0008-0000-0400-00006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xdr:row>
          <xdr:rowOff>0</xdr:rowOff>
        </xdr:from>
        <xdr:to>
          <xdr:col>22</xdr:col>
          <xdr:colOff>184150</xdr:colOff>
          <xdr:row>36</xdr:row>
          <xdr:rowOff>184150</xdr:rowOff>
        </xdr:to>
        <xdr:sp macro="" textlink="">
          <xdr:nvSpPr>
            <xdr:cNvPr id="4204" name="Check Box 108" hidden="1">
              <a:extLst>
                <a:ext uri="{63B3BB69-23CF-44E3-9099-C40C66FF867C}">
                  <a14:compatExt spid="_x0000_s4204"/>
                </a:ext>
                <a:ext uri="{FF2B5EF4-FFF2-40B4-BE49-F238E27FC236}">
                  <a16:creationId xmlns:a16="http://schemas.microsoft.com/office/drawing/2014/main" id="{00000000-0008-0000-0400-00006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xdr:row>
          <xdr:rowOff>0</xdr:rowOff>
        </xdr:from>
        <xdr:to>
          <xdr:col>22</xdr:col>
          <xdr:colOff>184150</xdr:colOff>
          <xdr:row>40</xdr:row>
          <xdr:rowOff>184150</xdr:rowOff>
        </xdr:to>
        <xdr:sp macro="" textlink="">
          <xdr:nvSpPr>
            <xdr:cNvPr id="4205" name="Check Box 109" hidden="1">
              <a:extLst>
                <a:ext uri="{63B3BB69-23CF-44E3-9099-C40C66FF867C}">
                  <a14:compatExt spid="_x0000_s4205"/>
                </a:ext>
                <a:ext uri="{FF2B5EF4-FFF2-40B4-BE49-F238E27FC236}">
                  <a16:creationId xmlns:a16="http://schemas.microsoft.com/office/drawing/2014/main" id="{00000000-0008-0000-0400-00006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xdr:row>
          <xdr:rowOff>0</xdr:rowOff>
        </xdr:from>
        <xdr:to>
          <xdr:col>22</xdr:col>
          <xdr:colOff>184150</xdr:colOff>
          <xdr:row>41</xdr:row>
          <xdr:rowOff>184150</xdr:rowOff>
        </xdr:to>
        <xdr:sp macro="" textlink="">
          <xdr:nvSpPr>
            <xdr:cNvPr id="4206" name="Check Box 110" hidden="1">
              <a:extLst>
                <a:ext uri="{63B3BB69-23CF-44E3-9099-C40C66FF867C}">
                  <a14:compatExt spid="_x0000_s4206"/>
                </a:ext>
                <a:ext uri="{FF2B5EF4-FFF2-40B4-BE49-F238E27FC236}">
                  <a16:creationId xmlns:a16="http://schemas.microsoft.com/office/drawing/2014/main" id="{00000000-0008-0000-0400-00006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xdr:row>
          <xdr:rowOff>0</xdr:rowOff>
        </xdr:from>
        <xdr:to>
          <xdr:col>22</xdr:col>
          <xdr:colOff>184150</xdr:colOff>
          <xdr:row>42</xdr:row>
          <xdr:rowOff>184150</xdr:rowOff>
        </xdr:to>
        <xdr:sp macro="" textlink="">
          <xdr:nvSpPr>
            <xdr:cNvPr id="4207" name="Check Box 111" hidden="1">
              <a:extLst>
                <a:ext uri="{63B3BB69-23CF-44E3-9099-C40C66FF867C}">
                  <a14:compatExt spid="_x0000_s4207"/>
                </a:ext>
                <a:ext uri="{FF2B5EF4-FFF2-40B4-BE49-F238E27FC236}">
                  <a16:creationId xmlns:a16="http://schemas.microsoft.com/office/drawing/2014/main" id="{00000000-0008-0000-0400-00006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43</xdr:row>
          <xdr:rowOff>0</xdr:rowOff>
        </xdr:from>
        <xdr:to>
          <xdr:col>22</xdr:col>
          <xdr:colOff>184150</xdr:colOff>
          <xdr:row>43</xdr:row>
          <xdr:rowOff>184150</xdr:rowOff>
        </xdr:to>
        <xdr:sp macro="" textlink="">
          <xdr:nvSpPr>
            <xdr:cNvPr id="4208" name="Check Box 112" hidden="1">
              <a:extLst>
                <a:ext uri="{63B3BB69-23CF-44E3-9099-C40C66FF867C}">
                  <a14:compatExt spid="_x0000_s4208"/>
                </a:ext>
                <a:ext uri="{FF2B5EF4-FFF2-40B4-BE49-F238E27FC236}">
                  <a16:creationId xmlns:a16="http://schemas.microsoft.com/office/drawing/2014/main" id="{00000000-0008-0000-0400-00007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44</xdr:row>
          <xdr:rowOff>0</xdr:rowOff>
        </xdr:from>
        <xdr:to>
          <xdr:col>22</xdr:col>
          <xdr:colOff>184150</xdr:colOff>
          <xdr:row>44</xdr:row>
          <xdr:rowOff>184150</xdr:rowOff>
        </xdr:to>
        <xdr:sp macro="" textlink="">
          <xdr:nvSpPr>
            <xdr:cNvPr id="4209" name="Check Box 113" hidden="1">
              <a:extLst>
                <a:ext uri="{63B3BB69-23CF-44E3-9099-C40C66FF867C}">
                  <a14:compatExt spid="_x0000_s4209"/>
                </a:ext>
                <a:ext uri="{FF2B5EF4-FFF2-40B4-BE49-F238E27FC236}">
                  <a16:creationId xmlns:a16="http://schemas.microsoft.com/office/drawing/2014/main" id="{00000000-0008-0000-0400-00007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xdr:row>
          <xdr:rowOff>0</xdr:rowOff>
        </xdr:from>
        <xdr:to>
          <xdr:col>22</xdr:col>
          <xdr:colOff>184150</xdr:colOff>
          <xdr:row>45</xdr:row>
          <xdr:rowOff>184150</xdr:rowOff>
        </xdr:to>
        <xdr:sp macro="" textlink="">
          <xdr:nvSpPr>
            <xdr:cNvPr id="4210" name="Check Box 114" hidden="1">
              <a:extLst>
                <a:ext uri="{63B3BB69-23CF-44E3-9099-C40C66FF867C}">
                  <a14:compatExt spid="_x0000_s4210"/>
                </a:ext>
                <a:ext uri="{FF2B5EF4-FFF2-40B4-BE49-F238E27FC236}">
                  <a16:creationId xmlns:a16="http://schemas.microsoft.com/office/drawing/2014/main" id="{00000000-0008-0000-0400-00007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xdr:row>
          <xdr:rowOff>0</xdr:rowOff>
        </xdr:from>
        <xdr:to>
          <xdr:col>22</xdr:col>
          <xdr:colOff>184150</xdr:colOff>
          <xdr:row>51</xdr:row>
          <xdr:rowOff>184150</xdr:rowOff>
        </xdr:to>
        <xdr:sp macro="" textlink="">
          <xdr:nvSpPr>
            <xdr:cNvPr id="4211" name="Check Box 115" hidden="1">
              <a:extLst>
                <a:ext uri="{63B3BB69-23CF-44E3-9099-C40C66FF867C}">
                  <a14:compatExt spid="_x0000_s4211"/>
                </a:ext>
                <a:ext uri="{FF2B5EF4-FFF2-40B4-BE49-F238E27FC236}">
                  <a16:creationId xmlns:a16="http://schemas.microsoft.com/office/drawing/2014/main" id="{00000000-0008-0000-0400-00007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52</xdr:row>
          <xdr:rowOff>0</xdr:rowOff>
        </xdr:from>
        <xdr:to>
          <xdr:col>22</xdr:col>
          <xdr:colOff>184150</xdr:colOff>
          <xdr:row>52</xdr:row>
          <xdr:rowOff>184150</xdr:rowOff>
        </xdr:to>
        <xdr:sp macro="" textlink="">
          <xdr:nvSpPr>
            <xdr:cNvPr id="4212" name="Check Box 116" hidden="1">
              <a:extLst>
                <a:ext uri="{63B3BB69-23CF-44E3-9099-C40C66FF867C}">
                  <a14:compatExt spid="_x0000_s4212"/>
                </a:ext>
                <a:ext uri="{FF2B5EF4-FFF2-40B4-BE49-F238E27FC236}">
                  <a16:creationId xmlns:a16="http://schemas.microsoft.com/office/drawing/2014/main" id="{00000000-0008-0000-0400-00007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xdr:row>
          <xdr:rowOff>0</xdr:rowOff>
        </xdr:from>
        <xdr:to>
          <xdr:col>22</xdr:col>
          <xdr:colOff>184150</xdr:colOff>
          <xdr:row>53</xdr:row>
          <xdr:rowOff>184150</xdr:rowOff>
        </xdr:to>
        <xdr:sp macro="" textlink="">
          <xdr:nvSpPr>
            <xdr:cNvPr id="4213" name="Check Box 117" hidden="1">
              <a:extLst>
                <a:ext uri="{63B3BB69-23CF-44E3-9099-C40C66FF867C}">
                  <a14:compatExt spid="_x0000_s4213"/>
                </a:ext>
                <a:ext uri="{FF2B5EF4-FFF2-40B4-BE49-F238E27FC236}">
                  <a16:creationId xmlns:a16="http://schemas.microsoft.com/office/drawing/2014/main" id="{00000000-0008-0000-0400-00007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xdr:row>
          <xdr:rowOff>0</xdr:rowOff>
        </xdr:from>
        <xdr:to>
          <xdr:col>22</xdr:col>
          <xdr:colOff>184150</xdr:colOff>
          <xdr:row>54</xdr:row>
          <xdr:rowOff>184150</xdr:rowOff>
        </xdr:to>
        <xdr:sp macro="" textlink="">
          <xdr:nvSpPr>
            <xdr:cNvPr id="4214" name="Check Box 118" hidden="1">
              <a:extLst>
                <a:ext uri="{63B3BB69-23CF-44E3-9099-C40C66FF867C}">
                  <a14:compatExt spid="_x0000_s4214"/>
                </a:ext>
                <a:ext uri="{FF2B5EF4-FFF2-40B4-BE49-F238E27FC236}">
                  <a16:creationId xmlns:a16="http://schemas.microsoft.com/office/drawing/2014/main" id="{00000000-0008-0000-0400-00007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xdr:row>
          <xdr:rowOff>0</xdr:rowOff>
        </xdr:from>
        <xdr:to>
          <xdr:col>22</xdr:col>
          <xdr:colOff>184150</xdr:colOff>
          <xdr:row>55</xdr:row>
          <xdr:rowOff>184150</xdr:rowOff>
        </xdr:to>
        <xdr:sp macro="" textlink="">
          <xdr:nvSpPr>
            <xdr:cNvPr id="4215" name="Check Box 119" hidden="1">
              <a:extLst>
                <a:ext uri="{63B3BB69-23CF-44E3-9099-C40C66FF867C}">
                  <a14:compatExt spid="_x0000_s4215"/>
                </a:ext>
                <a:ext uri="{FF2B5EF4-FFF2-40B4-BE49-F238E27FC236}">
                  <a16:creationId xmlns:a16="http://schemas.microsoft.com/office/drawing/2014/main" id="{00000000-0008-0000-0400-00007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79</xdr:row>
          <xdr:rowOff>0</xdr:rowOff>
        </xdr:from>
        <xdr:to>
          <xdr:col>22</xdr:col>
          <xdr:colOff>184150</xdr:colOff>
          <xdr:row>79</xdr:row>
          <xdr:rowOff>184150</xdr:rowOff>
        </xdr:to>
        <xdr:sp macro="" textlink="">
          <xdr:nvSpPr>
            <xdr:cNvPr id="4216" name="Check Box 120" hidden="1">
              <a:extLst>
                <a:ext uri="{63B3BB69-23CF-44E3-9099-C40C66FF867C}">
                  <a14:compatExt spid="_x0000_s4216"/>
                </a:ext>
                <a:ext uri="{FF2B5EF4-FFF2-40B4-BE49-F238E27FC236}">
                  <a16:creationId xmlns:a16="http://schemas.microsoft.com/office/drawing/2014/main" id="{00000000-0008-0000-0400-00007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95</xdr:row>
          <xdr:rowOff>0</xdr:rowOff>
        </xdr:from>
        <xdr:to>
          <xdr:col>22</xdr:col>
          <xdr:colOff>184150</xdr:colOff>
          <xdr:row>95</xdr:row>
          <xdr:rowOff>184150</xdr:rowOff>
        </xdr:to>
        <xdr:sp macro="" textlink="">
          <xdr:nvSpPr>
            <xdr:cNvPr id="4219" name="Check Box 123" hidden="1">
              <a:extLst>
                <a:ext uri="{63B3BB69-23CF-44E3-9099-C40C66FF867C}">
                  <a14:compatExt spid="_x0000_s4219"/>
                </a:ext>
                <a:ext uri="{FF2B5EF4-FFF2-40B4-BE49-F238E27FC236}">
                  <a16:creationId xmlns:a16="http://schemas.microsoft.com/office/drawing/2014/main" id="{00000000-0008-0000-0400-00007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99</xdr:row>
          <xdr:rowOff>0</xdr:rowOff>
        </xdr:from>
        <xdr:to>
          <xdr:col>22</xdr:col>
          <xdr:colOff>184150</xdr:colOff>
          <xdr:row>99</xdr:row>
          <xdr:rowOff>184150</xdr:rowOff>
        </xdr:to>
        <xdr:sp macro="" textlink="">
          <xdr:nvSpPr>
            <xdr:cNvPr id="4220" name="Check Box 124" hidden="1">
              <a:extLst>
                <a:ext uri="{63B3BB69-23CF-44E3-9099-C40C66FF867C}">
                  <a14:compatExt spid="_x0000_s4220"/>
                </a:ext>
                <a:ext uri="{FF2B5EF4-FFF2-40B4-BE49-F238E27FC236}">
                  <a16:creationId xmlns:a16="http://schemas.microsoft.com/office/drawing/2014/main" id="{00000000-0008-0000-0400-00007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100</xdr:row>
          <xdr:rowOff>0</xdr:rowOff>
        </xdr:from>
        <xdr:to>
          <xdr:col>22</xdr:col>
          <xdr:colOff>184150</xdr:colOff>
          <xdr:row>100</xdr:row>
          <xdr:rowOff>184150</xdr:rowOff>
        </xdr:to>
        <xdr:sp macro="" textlink="">
          <xdr:nvSpPr>
            <xdr:cNvPr id="4221" name="Check Box 125" hidden="1">
              <a:extLst>
                <a:ext uri="{63B3BB69-23CF-44E3-9099-C40C66FF867C}">
                  <a14:compatExt spid="_x0000_s4221"/>
                </a:ext>
                <a:ext uri="{FF2B5EF4-FFF2-40B4-BE49-F238E27FC236}">
                  <a16:creationId xmlns:a16="http://schemas.microsoft.com/office/drawing/2014/main" id="{00000000-0008-0000-0400-00007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102</xdr:row>
          <xdr:rowOff>0</xdr:rowOff>
        </xdr:from>
        <xdr:to>
          <xdr:col>22</xdr:col>
          <xdr:colOff>184150</xdr:colOff>
          <xdr:row>102</xdr:row>
          <xdr:rowOff>184150</xdr:rowOff>
        </xdr:to>
        <xdr:sp macro="" textlink="">
          <xdr:nvSpPr>
            <xdr:cNvPr id="4222" name="Check Box 126" hidden="1">
              <a:extLst>
                <a:ext uri="{63B3BB69-23CF-44E3-9099-C40C66FF867C}">
                  <a14:compatExt spid="_x0000_s4222"/>
                </a:ext>
                <a:ext uri="{FF2B5EF4-FFF2-40B4-BE49-F238E27FC236}">
                  <a16:creationId xmlns:a16="http://schemas.microsoft.com/office/drawing/2014/main" id="{00000000-0008-0000-0400-00007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104</xdr:row>
          <xdr:rowOff>0</xdr:rowOff>
        </xdr:from>
        <xdr:to>
          <xdr:col>22</xdr:col>
          <xdr:colOff>184150</xdr:colOff>
          <xdr:row>104</xdr:row>
          <xdr:rowOff>184150</xdr:rowOff>
        </xdr:to>
        <xdr:sp macro="" textlink="">
          <xdr:nvSpPr>
            <xdr:cNvPr id="4223" name="Check Box 127" hidden="1">
              <a:extLst>
                <a:ext uri="{63B3BB69-23CF-44E3-9099-C40C66FF867C}">
                  <a14:compatExt spid="_x0000_s4223"/>
                </a:ext>
                <a:ext uri="{FF2B5EF4-FFF2-40B4-BE49-F238E27FC236}">
                  <a16:creationId xmlns:a16="http://schemas.microsoft.com/office/drawing/2014/main" id="{00000000-0008-0000-0400-00007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110</xdr:row>
          <xdr:rowOff>0</xdr:rowOff>
        </xdr:from>
        <xdr:to>
          <xdr:col>22</xdr:col>
          <xdr:colOff>184150</xdr:colOff>
          <xdr:row>110</xdr:row>
          <xdr:rowOff>184150</xdr:rowOff>
        </xdr:to>
        <xdr:sp macro="" textlink="">
          <xdr:nvSpPr>
            <xdr:cNvPr id="4224" name="Check Box 128" hidden="1">
              <a:extLst>
                <a:ext uri="{63B3BB69-23CF-44E3-9099-C40C66FF867C}">
                  <a14:compatExt spid="_x0000_s4224"/>
                </a:ext>
                <a:ext uri="{FF2B5EF4-FFF2-40B4-BE49-F238E27FC236}">
                  <a16:creationId xmlns:a16="http://schemas.microsoft.com/office/drawing/2014/main" id="{00000000-0008-0000-0400-00008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116</xdr:row>
          <xdr:rowOff>0</xdr:rowOff>
        </xdr:from>
        <xdr:to>
          <xdr:col>22</xdr:col>
          <xdr:colOff>184150</xdr:colOff>
          <xdr:row>116</xdr:row>
          <xdr:rowOff>184150</xdr:rowOff>
        </xdr:to>
        <xdr:sp macro="" textlink="">
          <xdr:nvSpPr>
            <xdr:cNvPr id="4225" name="Check Box 129" hidden="1">
              <a:extLst>
                <a:ext uri="{63B3BB69-23CF-44E3-9099-C40C66FF867C}">
                  <a14:compatExt spid="_x0000_s4225"/>
                </a:ext>
                <a:ext uri="{FF2B5EF4-FFF2-40B4-BE49-F238E27FC236}">
                  <a16:creationId xmlns:a16="http://schemas.microsoft.com/office/drawing/2014/main" id="{00000000-0008-0000-0400-00008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122</xdr:row>
          <xdr:rowOff>0</xdr:rowOff>
        </xdr:from>
        <xdr:to>
          <xdr:col>22</xdr:col>
          <xdr:colOff>184150</xdr:colOff>
          <xdr:row>122</xdr:row>
          <xdr:rowOff>184150</xdr:rowOff>
        </xdr:to>
        <xdr:sp macro="" textlink="">
          <xdr:nvSpPr>
            <xdr:cNvPr id="4226" name="Check Box 130" hidden="1">
              <a:extLst>
                <a:ext uri="{63B3BB69-23CF-44E3-9099-C40C66FF867C}">
                  <a14:compatExt spid="_x0000_s4226"/>
                </a:ext>
                <a:ext uri="{FF2B5EF4-FFF2-40B4-BE49-F238E27FC236}">
                  <a16:creationId xmlns:a16="http://schemas.microsoft.com/office/drawing/2014/main" id="{00000000-0008-0000-0400-00008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124</xdr:row>
          <xdr:rowOff>0</xdr:rowOff>
        </xdr:from>
        <xdr:to>
          <xdr:col>22</xdr:col>
          <xdr:colOff>184150</xdr:colOff>
          <xdr:row>124</xdr:row>
          <xdr:rowOff>184150</xdr:rowOff>
        </xdr:to>
        <xdr:sp macro="" textlink="">
          <xdr:nvSpPr>
            <xdr:cNvPr id="4227" name="Check Box 131" hidden="1">
              <a:extLst>
                <a:ext uri="{63B3BB69-23CF-44E3-9099-C40C66FF867C}">
                  <a14:compatExt spid="_x0000_s4227"/>
                </a:ext>
                <a:ext uri="{FF2B5EF4-FFF2-40B4-BE49-F238E27FC236}">
                  <a16:creationId xmlns:a16="http://schemas.microsoft.com/office/drawing/2014/main" id="{00000000-0008-0000-0400-00008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130</xdr:row>
          <xdr:rowOff>0</xdr:rowOff>
        </xdr:from>
        <xdr:to>
          <xdr:col>22</xdr:col>
          <xdr:colOff>184150</xdr:colOff>
          <xdr:row>130</xdr:row>
          <xdr:rowOff>184150</xdr:rowOff>
        </xdr:to>
        <xdr:sp macro="" textlink="">
          <xdr:nvSpPr>
            <xdr:cNvPr id="4228" name="Check Box 132" hidden="1">
              <a:extLst>
                <a:ext uri="{63B3BB69-23CF-44E3-9099-C40C66FF867C}">
                  <a14:compatExt spid="_x0000_s4228"/>
                </a:ext>
                <a:ext uri="{FF2B5EF4-FFF2-40B4-BE49-F238E27FC236}">
                  <a16:creationId xmlns:a16="http://schemas.microsoft.com/office/drawing/2014/main" id="{00000000-0008-0000-0400-00008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134</xdr:row>
          <xdr:rowOff>0</xdr:rowOff>
        </xdr:from>
        <xdr:to>
          <xdr:col>22</xdr:col>
          <xdr:colOff>184150</xdr:colOff>
          <xdr:row>134</xdr:row>
          <xdr:rowOff>184150</xdr:rowOff>
        </xdr:to>
        <xdr:sp macro="" textlink="">
          <xdr:nvSpPr>
            <xdr:cNvPr id="4229" name="Check Box 133" hidden="1">
              <a:extLst>
                <a:ext uri="{63B3BB69-23CF-44E3-9099-C40C66FF867C}">
                  <a14:compatExt spid="_x0000_s4229"/>
                </a:ext>
                <a:ext uri="{FF2B5EF4-FFF2-40B4-BE49-F238E27FC236}">
                  <a16:creationId xmlns:a16="http://schemas.microsoft.com/office/drawing/2014/main" id="{00000000-0008-0000-0400-00008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138</xdr:row>
          <xdr:rowOff>0</xdr:rowOff>
        </xdr:from>
        <xdr:to>
          <xdr:col>22</xdr:col>
          <xdr:colOff>184150</xdr:colOff>
          <xdr:row>138</xdr:row>
          <xdr:rowOff>184150</xdr:rowOff>
        </xdr:to>
        <xdr:sp macro="" textlink="">
          <xdr:nvSpPr>
            <xdr:cNvPr id="4230" name="Check Box 134" hidden="1">
              <a:extLst>
                <a:ext uri="{63B3BB69-23CF-44E3-9099-C40C66FF867C}">
                  <a14:compatExt spid="_x0000_s4230"/>
                </a:ext>
                <a:ext uri="{FF2B5EF4-FFF2-40B4-BE49-F238E27FC236}">
                  <a16:creationId xmlns:a16="http://schemas.microsoft.com/office/drawing/2014/main" id="{00000000-0008-0000-0400-00008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143</xdr:row>
          <xdr:rowOff>0</xdr:rowOff>
        </xdr:from>
        <xdr:to>
          <xdr:col>22</xdr:col>
          <xdr:colOff>184150</xdr:colOff>
          <xdr:row>143</xdr:row>
          <xdr:rowOff>184150</xdr:rowOff>
        </xdr:to>
        <xdr:sp macro="" textlink="">
          <xdr:nvSpPr>
            <xdr:cNvPr id="4231" name="Check Box 135" hidden="1">
              <a:extLst>
                <a:ext uri="{63B3BB69-23CF-44E3-9099-C40C66FF867C}">
                  <a14:compatExt spid="_x0000_s4231"/>
                </a:ext>
                <a:ext uri="{FF2B5EF4-FFF2-40B4-BE49-F238E27FC236}">
                  <a16:creationId xmlns:a16="http://schemas.microsoft.com/office/drawing/2014/main" id="{00000000-0008-0000-0400-00008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148</xdr:row>
          <xdr:rowOff>0</xdr:rowOff>
        </xdr:from>
        <xdr:to>
          <xdr:col>22</xdr:col>
          <xdr:colOff>184150</xdr:colOff>
          <xdr:row>148</xdr:row>
          <xdr:rowOff>184150</xdr:rowOff>
        </xdr:to>
        <xdr:sp macro="" textlink="">
          <xdr:nvSpPr>
            <xdr:cNvPr id="4232" name="Check Box 136" hidden="1">
              <a:extLst>
                <a:ext uri="{63B3BB69-23CF-44E3-9099-C40C66FF867C}">
                  <a14:compatExt spid="_x0000_s4232"/>
                </a:ext>
                <a:ext uri="{FF2B5EF4-FFF2-40B4-BE49-F238E27FC236}">
                  <a16:creationId xmlns:a16="http://schemas.microsoft.com/office/drawing/2014/main" id="{00000000-0008-0000-0400-00008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150</xdr:row>
          <xdr:rowOff>0</xdr:rowOff>
        </xdr:from>
        <xdr:to>
          <xdr:col>22</xdr:col>
          <xdr:colOff>184150</xdr:colOff>
          <xdr:row>150</xdr:row>
          <xdr:rowOff>184150</xdr:rowOff>
        </xdr:to>
        <xdr:sp macro="" textlink="">
          <xdr:nvSpPr>
            <xdr:cNvPr id="4233" name="Check Box 137" hidden="1">
              <a:extLst>
                <a:ext uri="{63B3BB69-23CF-44E3-9099-C40C66FF867C}">
                  <a14:compatExt spid="_x0000_s4233"/>
                </a:ext>
                <a:ext uri="{FF2B5EF4-FFF2-40B4-BE49-F238E27FC236}">
                  <a16:creationId xmlns:a16="http://schemas.microsoft.com/office/drawing/2014/main" id="{00000000-0008-0000-0400-00008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152</xdr:row>
          <xdr:rowOff>0</xdr:rowOff>
        </xdr:from>
        <xdr:to>
          <xdr:col>22</xdr:col>
          <xdr:colOff>184150</xdr:colOff>
          <xdr:row>152</xdr:row>
          <xdr:rowOff>184150</xdr:rowOff>
        </xdr:to>
        <xdr:sp macro="" textlink="">
          <xdr:nvSpPr>
            <xdr:cNvPr id="4234" name="Check Box 138" hidden="1">
              <a:extLst>
                <a:ext uri="{63B3BB69-23CF-44E3-9099-C40C66FF867C}">
                  <a14:compatExt spid="_x0000_s4234"/>
                </a:ext>
                <a:ext uri="{FF2B5EF4-FFF2-40B4-BE49-F238E27FC236}">
                  <a16:creationId xmlns:a16="http://schemas.microsoft.com/office/drawing/2014/main" id="{00000000-0008-0000-0400-00008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164</xdr:row>
          <xdr:rowOff>0</xdr:rowOff>
        </xdr:from>
        <xdr:to>
          <xdr:col>22</xdr:col>
          <xdr:colOff>184150</xdr:colOff>
          <xdr:row>164</xdr:row>
          <xdr:rowOff>184150</xdr:rowOff>
        </xdr:to>
        <xdr:sp macro="" textlink="">
          <xdr:nvSpPr>
            <xdr:cNvPr id="4235" name="Check Box 139" hidden="1">
              <a:extLst>
                <a:ext uri="{63B3BB69-23CF-44E3-9099-C40C66FF867C}">
                  <a14:compatExt spid="_x0000_s4235"/>
                </a:ext>
                <a:ext uri="{FF2B5EF4-FFF2-40B4-BE49-F238E27FC236}">
                  <a16:creationId xmlns:a16="http://schemas.microsoft.com/office/drawing/2014/main" id="{00000000-0008-0000-0400-00008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174</xdr:row>
          <xdr:rowOff>0</xdr:rowOff>
        </xdr:from>
        <xdr:to>
          <xdr:col>22</xdr:col>
          <xdr:colOff>184150</xdr:colOff>
          <xdr:row>174</xdr:row>
          <xdr:rowOff>184150</xdr:rowOff>
        </xdr:to>
        <xdr:sp macro="" textlink="">
          <xdr:nvSpPr>
            <xdr:cNvPr id="4236" name="Check Box 140" hidden="1">
              <a:extLst>
                <a:ext uri="{63B3BB69-23CF-44E3-9099-C40C66FF867C}">
                  <a14:compatExt spid="_x0000_s4236"/>
                </a:ext>
                <a:ext uri="{FF2B5EF4-FFF2-40B4-BE49-F238E27FC236}">
                  <a16:creationId xmlns:a16="http://schemas.microsoft.com/office/drawing/2014/main" id="{00000000-0008-0000-0400-00008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177</xdr:row>
          <xdr:rowOff>0</xdr:rowOff>
        </xdr:from>
        <xdr:to>
          <xdr:col>22</xdr:col>
          <xdr:colOff>184150</xdr:colOff>
          <xdr:row>177</xdr:row>
          <xdr:rowOff>184150</xdr:rowOff>
        </xdr:to>
        <xdr:sp macro="" textlink="">
          <xdr:nvSpPr>
            <xdr:cNvPr id="4237" name="Check Box 141" hidden="1">
              <a:extLst>
                <a:ext uri="{63B3BB69-23CF-44E3-9099-C40C66FF867C}">
                  <a14:compatExt spid="_x0000_s4237"/>
                </a:ext>
                <a:ext uri="{FF2B5EF4-FFF2-40B4-BE49-F238E27FC236}">
                  <a16:creationId xmlns:a16="http://schemas.microsoft.com/office/drawing/2014/main" id="{00000000-0008-0000-0400-00008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178</xdr:row>
          <xdr:rowOff>0</xdr:rowOff>
        </xdr:from>
        <xdr:to>
          <xdr:col>22</xdr:col>
          <xdr:colOff>184150</xdr:colOff>
          <xdr:row>178</xdr:row>
          <xdr:rowOff>184150</xdr:rowOff>
        </xdr:to>
        <xdr:sp macro="" textlink="">
          <xdr:nvSpPr>
            <xdr:cNvPr id="4238" name="Check Box 142" hidden="1">
              <a:extLst>
                <a:ext uri="{63B3BB69-23CF-44E3-9099-C40C66FF867C}">
                  <a14:compatExt spid="_x0000_s4238"/>
                </a:ext>
                <a:ext uri="{FF2B5EF4-FFF2-40B4-BE49-F238E27FC236}">
                  <a16:creationId xmlns:a16="http://schemas.microsoft.com/office/drawing/2014/main" id="{00000000-0008-0000-0400-00008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188</xdr:row>
          <xdr:rowOff>0</xdr:rowOff>
        </xdr:from>
        <xdr:to>
          <xdr:col>22</xdr:col>
          <xdr:colOff>184150</xdr:colOff>
          <xdr:row>188</xdr:row>
          <xdr:rowOff>184150</xdr:rowOff>
        </xdr:to>
        <xdr:sp macro="" textlink="">
          <xdr:nvSpPr>
            <xdr:cNvPr id="4239" name="Check Box 143" hidden="1">
              <a:extLst>
                <a:ext uri="{63B3BB69-23CF-44E3-9099-C40C66FF867C}">
                  <a14:compatExt spid="_x0000_s4239"/>
                </a:ext>
                <a:ext uri="{FF2B5EF4-FFF2-40B4-BE49-F238E27FC236}">
                  <a16:creationId xmlns:a16="http://schemas.microsoft.com/office/drawing/2014/main" id="{00000000-0008-0000-0400-00008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190</xdr:row>
          <xdr:rowOff>0</xdr:rowOff>
        </xdr:from>
        <xdr:to>
          <xdr:col>22</xdr:col>
          <xdr:colOff>184150</xdr:colOff>
          <xdr:row>190</xdr:row>
          <xdr:rowOff>184150</xdr:rowOff>
        </xdr:to>
        <xdr:sp macro="" textlink="">
          <xdr:nvSpPr>
            <xdr:cNvPr id="4240" name="Check Box 144" hidden="1">
              <a:extLst>
                <a:ext uri="{63B3BB69-23CF-44E3-9099-C40C66FF867C}">
                  <a14:compatExt spid="_x0000_s4240"/>
                </a:ext>
                <a:ext uri="{FF2B5EF4-FFF2-40B4-BE49-F238E27FC236}">
                  <a16:creationId xmlns:a16="http://schemas.microsoft.com/office/drawing/2014/main" id="{00000000-0008-0000-0400-00009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206</xdr:row>
          <xdr:rowOff>0</xdr:rowOff>
        </xdr:from>
        <xdr:to>
          <xdr:col>22</xdr:col>
          <xdr:colOff>184150</xdr:colOff>
          <xdr:row>206</xdr:row>
          <xdr:rowOff>184150</xdr:rowOff>
        </xdr:to>
        <xdr:sp macro="" textlink="">
          <xdr:nvSpPr>
            <xdr:cNvPr id="4241" name="Check Box 145" hidden="1">
              <a:extLst>
                <a:ext uri="{63B3BB69-23CF-44E3-9099-C40C66FF867C}">
                  <a14:compatExt spid="_x0000_s4241"/>
                </a:ext>
                <a:ext uri="{FF2B5EF4-FFF2-40B4-BE49-F238E27FC236}">
                  <a16:creationId xmlns:a16="http://schemas.microsoft.com/office/drawing/2014/main" id="{00000000-0008-0000-0400-00009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217</xdr:row>
          <xdr:rowOff>0</xdr:rowOff>
        </xdr:from>
        <xdr:to>
          <xdr:col>22</xdr:col>
          <xdr:colOff>184150</xdr:colOff>
          <xdr:row>217</xdr:row>
          <xdr:rowOff>184150</xdr:rowOff>
        </xdr:to>
        <xdr:sp macro="" textlink="">
          <xdr:nvSpPr>
            <xdr:cNvPr id="4242" name="Check Box 146" hidden="1">
              <a:extLst>
                <a:ext uri="{63B3BB69-23CF-44E3-9099-C40C66FF867C}">
                  <a14:compatExt spid="_x0000_s4242"/>
                </a:ext>
                <a:ext uri="{FF2B5EF4-FFF2-40B4-BE49-F238E27FC236}">
                  <a16:creationId xmlns:a16="http://schemas.microsoft.com/office/drawing/2014/main" id="{00000000-0008-0000-0400-00009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218</xdr:row>
          <xdr:rowOff>0</xdr:rowOff>
        </xdr:from>
        <xdr:to>
          <xdr:col>22</xdr:col>
          <xdr:colOff>184150</xdr:colOff>
          <xdr:row>218</xdr:row>
          <xdr:rowOff>184150</xdr:rowOff>
        </xdr:to>
        <xdr:sp macro="" textlink="">
          <xdr:nvSpPr>
            <xdr:cNvPr id="4243" name="Check Box 147" hidden="1">
              <a:extLst>
                <a:ext uri="{63B3BB69-23CF-44E3-9099-C40C66FF867C}">
                  <a14:compatExt spid="_x0000_s4243"/>
                </a:ext>
                <a:ext uri="{FF2B5EF4-FFF2-40B4-BE49-F238E27FC236}">
                  <a16:creationId xmlns:a16="http://schemas.microsoft.com/office/drawing/2014/main" id="{00000000-0008-0000-0400-00009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226</xdr:row>
          <xdr:rowOff>0</xdr:rowOff>
        </xdr:from>
        <xdr:to>
          <xdr:col>22</xdr:col>
          <xdr:colOff>184150</xdr:colOff>
          <xdr:row>226</xdr:row>
          <xdr:rowOff>184150</xdr:rowOff>
        </xdr:to>
        <xdr:sp macro="" textlink="">
          <xdr:nvSpPr>
            <xdr:cNvPr id="4244" name="Check Box 148" hidden="1">
              <a:extLst>
                <a:ext uri="{63B3BB69-23CF-44E3-9099-C40C66FF867C}">
                  <a14:compatExt spid="_x0000_s4244"/>
                </a:ext>
                <a:ext uri="{FF2B5EF4-FFF2-40B4-BE49-F238E27FC236}">
                  <a16:creationId xmlns:a16="http://schemas.microsoft.com/office/drawing/2014/main" id="{00000000-0008-0000-0400-00009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228</xdr:row>
          <xdr:rowOff>0</xdr:rowOff>
        </xdr:from>
        <xdr:to>
          <xdr:col>22</xdr:col>
          <xdr:colOff>184150</xdr:colOff>
          <xdr:row>228</xdr:row>
          <xdr:rowOff>184150</xdr:rowOff>
        </xdr:to>
        <xdr:sp macro="" textlink="">
          <xdr:nvSpPr>
            <xdr:cNvPr id="4245" name="Check Box 149" hidden="1">
              <a:extLst>
                <a:ext uri="{63B3BB69-23CF-44E3-9099-C40C66FF867C}">
                  <a14:compatExt spid="_x0000_s4245"/>
                </a:ext>
                <a:ext uri="{FF2B5EF4-FFF2-40B4-BE49-F238E27FC236}">
                  <a16:creationId xmlns:a16="http://schemas.microsoft.com/office/drawing/2014/main" id="{00000000-0008-0000-0400-00009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229</xdr:row>
          <xdr:rowOff>0</xdr:rowOff>
        </xdr:from>
        <xdr:to>
          <xdr:col>22</xdr:col>
          <xdr:colOff>184150</xdr:colOff>
          <xdr:row>229</xdr:row>
          <xdr:rowOff>184150</xdr:rowOff>
        </xdr:to>
        <xdr:sp macro="" textlink="">
          <xdr:nvSpPr>
            <xdr:cNvPr id="4246" name="Check Box 150" hidden="1">
              <a:extLst>
                <a:ext uri="{63B3BB69-23CF-44E3-9099-C40C66FF867C}">
                  <a14:compatExt spid="_x0000_s4246"/>
                </a:ext>
                <a:ext uri="{FF2B5EF4-FFF2-40B4-BE49-F238E27FC236}">
                  <a16:creationId xmlns:a16="http://schemas.microsoft.com/office/drawing/2014/main" id="{00000000-0008-0000-0400-00009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232</xdr:row>
          <xdr:rowOff>0</xdr:rowOff>
        </xdr:from>
        <xdr:to>
          <xdr:col>22</xdr:col>
          <xdr:colOff>184150</xdr:colOff>
          <xdr:row>232</xdr:row>
          <xdr:rowOff>184150</xdr:rowOff>
        </xdr:to>
        <xdr:sp macro="" textlink="">
          <xdr:nvSpPr>
            <xdr:cNvPr id="4247" name="Check Box 151" hidden="1">
              <a:extLst>
                <a:ext uri="{63B3BB69-23CF-44E3-9099-C40C66FF867C}">
                  <a14:compatExt spid="_x0000_s4247"/>
                </a:ext>
                <a:ext uri="{FF2B5EF4-FFF2-40B4-BE49-F238E27FC236}">
                  <a16:creationId xmlns:a16="http://schemas.microsoft.com/office/drawing/2014/main" id="{00000000-0008-0000-0400-00009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236</xdr:row>
          <xdr:rowOff>0</xdr:rowOff>
        </xdr:from>
        <xdr:to>
          <xdr:col>22</xdr:col>
          <xdr:colOff>184150</xdr:colOff>
          <xdr:row>236</xdr:row>
          <xdr:rowOff>184150</xdr:rowOff>
        </xdr:to>
        <xdr:sp macro="" textlink="">
          <xdr:nvSpPr>
            <xdr:cNvPr id="4248" name="Check Box 152" hidden="1">
              <a:extLst>
                <a:ext uri="{63B3BB69-23CF-44E3-9099-C40C66FF867C}">
                  <a14:compatExt spid="_x0000_s4248"/>
                </a:ext>
                <a:ext uri="{FF2B5EF4-FFF2-40B4-BE49-F238E27FC236}">
                  <a16:creationId xmlns:a16="http://schemas.microsoft.com/office/drawing/2014/main" id="{00000000-0008-0000-0400-00009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xdr:row>
          <xdr:rowOff>0</xdr:rowOff>
        </xdr:from>
        <xdr:to>
          <xdr:col>22</xdr:col>
          <xdr:colOff>184150</xdr:colOff>
          <xdr:row>241</xdr:row>
          <xdr:rowOff>184150</xdr:rowOff>
        </xdr:to>
        <xdr:sp macro="" textlink="">
          <xdr:nvSpPr>
            <xdr:cNvPr id="4249" name="Check Box 153" hidden="1">
              <a:extLst>
                <a:ext uri="{63B3BB69-23CF-44E3-9099-C40C66FF867C}">
                  <a14:compatExt spid="_x0000_s4249"/>
                </a:ext>
                <a:ext uri="{FF2B5EF4-FFF2-40B4-BE49-F238E27FC236}">
                  <a16:creationId xmlns:a16="http://schemas.microsoft.com/office/drawing/2014/main" id="{00000000-0008-0000-0400-00009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243</xdr:row>
          <xdr:rowOff>0</xdr:rowOff>
        </xdr:from>
        <xdr:to>
          <xdr:col>22</xdr:col>
          <xdr:colOff>184150</xdr:colOff>
          <xdr:row>243</xdr:row>
          <xdr:rowOff>184150</xdr:rowOff>
        </xdr:to>
        <xdr:sp macro="" textlink="">
          <xdr:nvSpPr>
            <xdr:cNvPr id="4250" name="Check Box 154" hidden="1">
              <a:extLst>
                <a:ext uri="{63B3BB69-23CF-44E3-9099-C40C66FF867C}">
                  <a14:compatExt spid="_x0000_s4250"/>
                </a:ext>
                <a:ext uri="{FF2B5EF4-FFF2-40B4-BE49-F238E27FC236}">
                  <a16:creationId xmlns:a16="http://schemas.microsoft.com/office/drawing/2014/main" id="{00000000-0008-0000-0400-00009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260</xdr:row>
          <xdr:rowOff>0</xdr:rowOff>
        </xdr:from>
        <xdr:to>
          <xdr:col>22</xdr:col>
          <xdr:colOff>184150</xdr:colOff>
          <xdr:row>260</xdr:row>
          <xdr:rowOff>184150</xdr:rowOff>
        </xdr:to>
        <xdr:sp macro="" textlink="">
          <xdr:nvSpPr>
            <xdr:cNvPr id="4251" name="Check Box 155" hidden="1">
              <a:extLst>
                <a:ext uri="{63B3BB69-23CF-44E3-9099-C40C66FF867C}">
                  <a14:compatExt spid="_x0000_s4251"/>
                </a:ext>
                <a:ext uri="{FF2B5EF4-FFF2-40B4-BE49-F238E27FC236}">
                  <a16:creationId xmlns:a16="http://schemas.microsoft.com/office/drawing/2014/main" id="{00000000-0008-0000-0400-00009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277</xdr:row>
          <xdr:rowOff>0</xdr:rowOff>
        </xdr:from>
        <xdr:to>
          <xdr:col>22</xdr:col>
          <xdr:colOff>184150</xdr:colOff>
          <xdr:row>277</xdr:row>
          <xdr:rowOff>184150</xdr:rowOff>
        </xdr:to>
        <xdr:sp macro="" textlink="">
          <xdr:nvSpPr>
            <xdr:cNvPr id="4252" name="Check Box 156" hidden="1">
              <a:extLst>
                <a:ext uri="{63B3BB69-23CF-44E3-9099-C40C66FF867C}">
                  <a14:compatExt spid="_x0000_s4252"/>
                </a:ext>
                <a:ext uri="{FF2B5EF4-FFF2-40B4-BE49-F238E27FC236}">
                  <a16:creationId xmlns:a16="http://schemas.microsoft.com/office/drawing/2014/main" id="{00000000-0008-0000-0400-00009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290</xdr:row>
          <xdr:rowOff>0</xdr:rowOff>
        </xdr:from>
        <xdr:to>
          <xdr:col>22</xdr:col>
          <xdr:colOff>184150</xdr:colOff>
          <xdr:row>290</xdr:row>
          <xdr:rowOff>184150</xdr:rowOff>
        </xdr:to>
        <xdr:sp macro="" textlink="">
          <xdr:nvSpPr>
            <xdr:cNvPr id="4253" name="Check Box 157" hidden="1">
              <a:extLst>
                <a:ext uri="{63B3BB69-23CF-44E3-9099-C40C66FF867C}">
                  <a14:compatExt spid="_x0000_s4253"/>
                </a:ext>
                <a:ext uri="{FF2B5EF4-FFF2-40B4-BE49-F238E27FC236}">
                  <a16:creationId xmlns:a16="http://schemas.microsoft.com/office/drawing/2014/main" id="{00000000-0008-0000-0400-00009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292</xdr:row>
          <xdr:rowOff>0</xdr:rowOff>
        </xdr:from>
        <xdr:to>
          <xdr:col>22</xdr:col>
          <xdr:colOff>184150</xdr:colOff>
          <xdr:row>292</xdr:row>
          <xdr:rowOff>184150</xdr:rowOff>
        </xdr:to>
        <xdr:sp macro="" textlink="">
          <xdr:nvSpPr>
            <xdr:cNvPr id="4254" name="Check Box 158" hidden="1">
              <a:extLst>
                <a:ext uri="{63B3BB69-23CF-44E3-9099-C40C66FF867C}">
                  <a14:compatExt spid="_x0000_s4254"/>
                </a:ext>
                <a:ext uri="{FF2B5EF4-FFF2-40B4-BE49-F238E27FC236}">
                  <a16:creationId xmlns:a16="http://schemas.microsoft.com/office/drawing/2014/main" id="{00000000-0008-0000-0400-00009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305</xdr:row>
          <xdr:rowOff>0</xdr:rowOff>
        </xdr:from>
        <xdr:to>
          <xdr:col>22</xdr:col>
          <xdr:colOff>184150</xdr:colOff>
          <xdr:row>305</xdr:row>
          <xdr:rowOff>184150</xdr:rowOff>
        </xdr:to>
        <xdr:sp macro="" textlink="">
          <xdr:nvSpPr>
            <xdr:cNvPr id="4255" name="Check Box 159" hidden="1">
              <a:extLst>
                <a:ext uri="{63B3BB69-23CF-44E3-9099-C40C66FF867C}">
                  <a14:compatExt spid="_x0000_s4255"/>
                </a:ext>
                <a:ext uri="{FF2B5EF4-FFF2-40B4-BE49-F238E27FC236}">
                  <a16:creationId xmlns:a16="http://schemas.microsoft.com/office/drawing/2014/main" id="{00000000-0008-0000-0400-00009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306</xdr:row>
          <xdr:rowOff>0</xdr:rowOff>
        </xdr:from>
        <xdr:to>
          <xdr:col>22</xdr:col>
          <xdr:colOff>184150</xdr:colOff>
          <xdr:row>306</xdr:row>
          <xdr:rowOff>184150</xdr:rowOff>
        </xdr:to>
        <xdr:sp macro="" textlink="">
          <xdr:nvSpPr>
            <xdr:cNvPr id="4256" name="Check Box 160" hidden="1">
              <a:extLst>
                <a:ext uri="{63B3BB69-23CF-44E3-9099-C40C66FF867C}">
                  <a14:compatExt spid="_x0000_s4256"/>
                </a:ext>
                <a:ext uri="{FF2B5EF4-FFF2-40B4-BE49-F238E27FC236}">
                  <a16:creationId xmlns:a16="http://schemas.microsoft.com/office/drawing/2014/main" id="{00000000-0008-0000-0400-0000A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307</xdr:row>
          <xdr:rowOff>0</xdr:rowOff>
        </xdr:from>
        <xdr:to>
          <xdr:col>22</xdr:col>
          <xdr:colOff>184150</xdr:colOff>
          <xdr:row>307</xdr:row>
          <xdr:rowOff>184150</xdr:rowOff>
        </xdr:to>
        <xdr:sp macro="" textlink="">
          <xdr:nvSpPr>
            <xdr:cNvPr id="4257" name="Check Box 161" hidden="1">
              <a:extLst>
                <a:ext uri="{63B3BB69-23CF-44E3-9099-C40C66FF867C}">
                  <a14:compatExt spid="_x0000_s4257"/>
                </a:ext>
                <a:ext uri="{FF2B5EF4-FFF2-40B4-BE49-F238E27FC236}">
                  <a16:creationId xmlns:a16="http://schemas.microsoft.com/office/drawing/2014/main" id="{00000000-0008-0000-0400-0000A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308</xdr:row>
          <xdr:rowOff>0</xdr:rowOff>
        </xdr:from>
        <xdr:to>
          <xdr:col>22</xdr:col>
          <xdr:colOff>184150</xdr:colOff>
          <xdr:row>308</xdr:row>
          <xdr:rowOff>184150</xdr:rowOff>
        </xdr:to>
        <xdr:sp macro="" textlink="">
          <xdr:nvSpPr>
            <xdr:cNvPr id="4258" name="Check Box 162" hidden="1">
              <a:extLst>
                <a:ext uri="{63B3BB69-23CF-44E3-9099-C40C66FF867C}">
                  <a14:compatExt spid="_x0000_s4258"/>
                </a:ext>
                <a:ext uri="{FF2B5EF4-FFF2-40B4-BE49-F238E27FC236}">
                  <a16:creationId xmlns:a16="http://schemas.microsoft.com/office/drawing/2014/main" id="{00000000-0008-0000-0400-0000A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309</xdr:row>
          <xdr:rowOff>0</xdr:rowOff>
        </xdr:from>
        <xdr:to>
          <xdr:col>22</xdr:col>
          <xdr:colOff>184150</xdr:colOff>
          <xdr:row>309</xdr:row>
          <xdr:rowOff>184150</xdr:rowOff>
        </xdr:to>
        <xdr:sp macro="" textlink="">
          <xdr:nvSpPr>
            <xdr:cNvPr id="4259" name="Check Box 163" hidden="1">
              <a:extLst>
                <a:ext uri="{63B3BB69-23CF-44E3-9099-C40C66FF867C}">
                  <a14:compatExt spid="_x0000_s4259"/>
                </a:ext>
                <a:ext uri="{FF2B5EF4-FFF2-40B4-BE49-F238E27FC236}">
                  <a16:creationId xmlns:a16="http://schemas.microsoft.com/office/drawing/2014/main" id="{00000000-0008-0000-0400-0000A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310</xdr:row>
          <xdr:rowOff>0</xdr:rowOff>
        </xdr:from>
        <xdr:to>
          <xdr:col>22</xdr:col>
          <xdr:colOff>184150</xdr:colOff>
          <xdr:row>310</xdr:row>
          <xdr:rowOff>184150</xdr:rowOff>
        </xdr:to>
        <xdr:sp macro="" textlink="">
          <xdr:nvSpPr>
            <xdr:cNvPr id="4260" name="Check Box 164" hidden="1">
              <a:extLst>
                <a:ext uri="{63B3BB69-23CF-44E3-9099-C40C66FF867C}">
                  <a14:compatExt spid="_x0000_s4260"/>
                </a:ext>
                <a:ext uri="{FF2B5EF4-FFF2-40B4-BE49-F238E27FC236}">
                  <a16:creationId xmlns:a16="http://schemas.microsoft.com/office/drawing/2014/main" id="{00000000-0008-0000-0400-0000A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311</xdr:row>
          <xdr:rowOff>0</xdr:rowOff>
        </xdr:from>
        <xdr:to>
          <xdr:col>22</xdr:col>
          <xdr:colOff>184150</xdr:colOff>
          <xdr:row>311</xdr:row>
          <xdr:rowOff>184150</xdr:rowOff>
        </xdr:to>
        <xdr:sp macro="" textlink="">
          <xdr:nvSpPr>
            <xdr:cNvPr id="4261" name="Check Box 165" hidden="1">
              <a:extLst>
                <a:ext uri="{63B3BB69-23CF-44E3-9099-C40C66FF867C}">
                  <a14:compatExt spid="_x0000_s4261"/>
                </a:ext>
                <a:ext uri="{FF2B5EF4-FFF2-40B4-BE49-F238E27FC236}">
                  <a16:creationId xmlns:a16="http://schemas.microsoft.com/office/drawing/2014/main" id="{00000000-0008-0000-0400-0000A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312</xdr:row>
          <xdr:rowOff>0</xdr:rowOff>
        </xdr:from>
        <xdr:to>
          <xdr:col>22</xdr:col>
          <xdr:colOff>184150</xdr:colOff>
          <xdr:row>312</xdr:row>
          <xdr:rowOff>184150</xdr:rowOff>
        </xdr:to>
        <xdr:sp macro="" textlink="">
          <xdr:nvSpPr>
            <xdr:cNvPr id="4262" name="Check Box 166" hidden="1">
              <a:extLst>
                <a:ext uri="{63B3BB69-23CF-44E3-9099-C40C66FF867C}">
                  <a14:compatExt spid="_x0000_s4262"/>
                </a:ext>
                <a:ext uri="{FF2B5EF4-FFF2-40B4-BE49-F238E27FC236}">
                  <a16:creationId xmlns:a16="http://schemas.microsoft.com/office/drawing/2014/main" id="{00000000-0008-0000-0400-0000A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313</xdr:row>
          <xdr:rowOff>0</xdr:rowOff>
        </xdr:from>
        <xdr:to>
          <xdr:col>22</xdr:col>
          <xdr:colOff>184150</xdr:colOff>
          <xdr:row>313</xdr:row>
          <xdr:rowOff>184150</xdr:rowOff>
        </xdr:to>
        <xdr:sp macro="" textlink="">
          <xdr:nvSpPr>
            <xdr:cNvPr id="4263" name="Check Box 167" hidden="1">
              <a:extLst>
                <a:ext uri="{63B3BB69-23CF-44E3-9099-C40C66FF867C}">
                  <a14:compatExt spid="_x0000_s4263"/>
                </a:ext>
                <a:ext uri="{FF2B5EF4-FFF2-40B4-BE49-F238E27FC236}">
                  <a16:creationId xmlns:a16="http://schemas.microsoft.com/office/drawing/2014/main" id="{00000000-0008-0000-0400-0000A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364</xdr:row>
          <xdr:rowOff>0</xdr:rowOff>
        </xdr:from>
        <xdr:to>
          <xdr:col>22</xdr:col>
          <xdr:colOff>184150</xdr:colOff>
          <xdr:row>364</xdr:row>
          <xdr:rowOff>184150</xdr:rowOff>
        </xdr:to>
        <xdr:sp macro="" textlink="">
          <xdr:nvSpPr>
            <xdr:cNvPr id="4264" name="Check Box 168" hidden="1">
              <a:extLst>
                <a:ext uri="{63B3BB69-23CF-44E3-9099-C40C66FF867C}">
                  <a14:compatExt spid="_x0000_s4264"/>
                </a:ext>
                <a:ext uri="{FF2B5EF4-FFF2-40B4-BE49-F238E27FC236}">
                  <a16:creationId xmlns:a16="http://schemas.microsoft.com/office/drawing/2014/main" id="{00000000-0008-0000-0400-0000A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369</xdr:row>
          <xdr:rowOff>0</xdr:rowOff>
        </xdr:from>
        <xdr:to>
          <xdr:col>22</xdr:col>
          <xdr:colOff>184150</xdr:colOff>
          <xdr:row>369</xdr:row>
          <xdr:rowOff>184150</xdr:rowOff>
        </xdr:to>
        <xdr:sp macro="" textlink="">
          <xdr:nvSpPr>
            <xdr:cNvPr id="4265" name="Check Box 169" hidden="1">
              <a:extLst>
                <a:ext uri="{63B3BB69-23CF-44E3-9099-C40C66FF867C}">
                  <a14:compatExt spid="_x0000_s4265"/>
                </a:ext>
                <a:ext uri="{FF2B5EF4-FFF2-40B4-BE49-F238E27FC236}">
                  <a16:creationId xmlns:a16="http://schemas.microsoft.com/office/drawing/2014/main" id="{00000000-0008-0000-0400-0000A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375</xdr:row>
          <xdr:rowOff>0</xdr:rowOff>
        </xdr:from>
        <xdr:to>
          <xdr:col>22</xdr:col>
          <xdr:colOff>184150</xdr:colOff>
          <xdr:row>375</xdr:row>
          <xdr:rowOff>184150</xdr:rowOff>
        </xdr:to>
        <xdr:sp macro="" textlink="">
          <xdr:nvSpPr>
            <xdr:cNvPr id="4266" name="Check Box 170" hidden="1">
              <a:extLst>
                <a:ext uri="{63B3BB69-23CF-44E3-9099-C40C66FF867C}">
                  <a14:compatExt spid="_x0000_s4266"/>
                </a:ext>
                <a:ext uri="{FF2B5EF4-FFF2-40B4-BE49-F238E27FC236}">
                  <a16:creationId xmlns:a16="http://schemas.microsoft.com/office/drawing/2014/main" id="{00000000-0008-0000-0400-0000A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408</xdr:row>
          <xdr:rowOff>0</xdr:rowOff>
        </xdr:from>
        <xdr:to>
          <xdr:col>22</xdr:col>
          <xdr:colOff>184150</xdr:colOff>
          <xdr:row>408</xdr:row>
          <xdr:rowOff>184150</xdr:rowOff>
        </xdr:to>
        <xdr:sp macro="" textlink="">
          <xdr:nvSpPr>
            <xdr:cNvPr id="4267" name="Check Box 171" hidden="1">
              <a:extLst>
                <a:ext uri="{63B3BB69-23CF-44E3-9099-C40C66FF867C}">
                  <a14:compatExt spid="_x0000_s4267"/>
                </a:ext>
                <a:ext uri="{FF2B5EF4-FFF2-40B4-BE49-F238E27FC236}">
                  <a16:creationId xmlns:a16="http://schemas.microsoft.com/office/drawing/2014/main" id="{00000000-0008-0000-0400-0000A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417</xdr:row>
          <xdr:rowOff>0</xdr:rowOff>
        </xdr:from>
        <xdr:to>
          <xdr:col>22</xdr:col>
          <xdr:colOff>184150</xdr:colOff>
          <xdr:row>417</xdr:row>
          <xdr:rowOff>184150</xdr:rowOff>
        </xdr:to>
        <xdr:sp macro="" textlink="">
          <xdr:nvSpPr>
            <xdr:cNvPr id="4268" name="Check Box 172" hidden="1">
              <a:extLst>
                <a:ext uri="{63B3BB69-23CF-44E3-9099-C40C66FF867C}">
                  <a14:compatExt spid="_x0000_s4268"/>
                </a:ext>
                <a:ext uri="{FF2B5EF4-FFF2-40B4-BE49-F238E27FC236}">
                  <a16:creationId xmlns:a16="http://schemas.microsoft.com/office/drawing/2014/main" id="{00000000-0008-0000-0400-0000A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425</xdr:row>
          <xdr:rowOff>0</xdr:rowOff>
        </xdr:from>
        <xdr:to>
          <xdr:col>22</xdr:col>
          <xdr:colOff>184150</xdr:colOff>
          <xdr:row>425</xdr:row>
          <xdr:rowOff>184150</xdr:rowOff>
        </xdr:to>
        <xdr:sp macro="" textlink="">
          <xdr:nvSpPr>
            <xdr:cNvPr id="4269" name="Check Box 173" hidden="1">
              <a:extLst>
                <a:ext uri="{63B3BB69-23CF-44E3-9099-C40C66FF867C}">
                  <a14:compatExt spid="_x0000_s4269"/>
                </a:ext>
                <a:ext uri="{FF2B5EF4-FFF2-40B4-BE49-F238E27FC236}">
                  <a16:creationId xmlns:a16="http://schemas.microsoft.com/office/drawing/2014/main" id="{00000000-0008-0000-0400-0000A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505</xdr:row>
          <xdr:rowOff>0</xdr:rowOff>
        </xdr:from>
        <xdr:to>
          <xdr:col>22</xdr:col>
          <xdr:colOff>184150</xdr:colOff>
          <xdr:row>505</xdr:row>
          <xdr:rowOff>184150</xdr:rowOff>
        </xdr:to>
        <xdr:sp macro="" textlink="">
          <xdr:nvSpPr>
            <xdr:cNvPr id="4270" name="Check Box 174" hidden="1">
              <a:extLst>
                <a:ext uri="{63B3BB69-23CF-44E3-9099-C40C66FF867C}">
                  <a14:compatExt spid="_x0000_s4270"/>
                </a:ext>
                <a:ext uri="{FF2B5EF4-FFF2-40B4-BE49-F238E27FC236}">
                  <a16:creationId xmlns:a16="http://schemas.microsoft.com/office/drawing/2014/main" id="{00000000-0008-0000-0400-0000A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506</xdr:row>
          <xdr:rowOff>0</xdr:rowOff>
        </xdr:from>
        <xdr:to>
          <xdr:col>22</xdr:col>
          <xdr:colOff>184150</xdr:colOff>
          <xdr:row>506</xdr:row>
          <xdr:rowOff>184150</xdr:rowOff>
        </xdr:to>
        <xdr:sp macro="" textlink="">
          <xdr:nvSpPr>
            <xdr:cNvPr id="4271" name="Check Box 175" hidden="1">
              <a:extLst>
                <a:ext uri="{63B3BB69-23CF-44E3-9099-C40C66FF867C}">
                  <a14:compatExt spid="_x0000_s4271"/>
                </a:ext>
                <a:ext uri="{FF2B5EF4-FFF2-40B4-BE49-F238E27FC236}">
                  <a16:creationId xmlns:a16="http://schemas.microsoft.com/office/drawing/2014/main" id="{00000000-0008-0000-0400-0000A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508</xdr:row>
          <xdr:rowOff>0</xdr:rowOff>
        </xdr:from>
        <xdr:to>
          <xdr:col>22</xdr:col>
          <xdr:colOff>184150</xdr:colOff>
          <xdr:row>508</xdr:row>
          <xdr:rowOff>184150</xdr:rowOff>
        </xdr:to>
        <xdr:sp macro="" textlink="">
          <xdr:nvSpPr>
            <xdr:cNvPr id="4272" name="Check Box 176" hidden="1">
              <a:extLst>
                <a:ext uri="{63B3BB69-23CF-44E3-9099-C40C66FF867C}">
                  <a14:compatExt spid="_x0000_s4272"/>
                </a:ext>
                <a:ext uri="{FF2B5EF4-FFF2-40B4-BE49-F238E27FC236}">
                  <a16:creationId xmlns:a16="http://schemas.microsoft.com/office/drawing/2014/main" id="{00000000-0008-0000-0400-0000B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510</xdr:row>
          <xdr:rowOff>0</xdr:rowOff>
        </xdr:from>
        <xdr:to>
          <xdr:col>22</xdr:col>
          <xdr:colOff>184150</xdr:colOff>
          <xdr:row>510</xdr:row>
          <xdr:rowOff>184150</xdr:rowOff>
        </xdr:to>
        <xdr:sp macro="" textlink="">
          <xdr:nvSpPr>
            <xdr:cNvPr id="4273" name="Check Box 177" hidden="1">
              <a:extLst>
                <a:ext uri="{63B3BB69-23CF-44E3-9099-C40C66FF867C}">
                  <a14:compatExt spid="_x0000_s4273"/>
                </a:ext>
                <a:ext uri="{FF2B5EF4-FFF2-40B4-BE49-F238E27FC236}">
                  <a16:creationId xmlns:a16="http://schemas.microsoft.com/office/drawing/2014/main" id="{00000000-0008-0000-0400-0000B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512</xdr:row>
          <xdr:rowOff>0</xdr:rowOff>
        </xdr:from>
        <xdr:to>
          <xdr:col>22</xdr:col>
          <xdr:colOff>184150</xdr:colOff>
          <xdr:row>512</xdr:row>
          <xdr:rowOff>184150</xdr:rowOff>
        </xdr:to>
        <xdr:sp macro="" textlink="">
          <xdr:nvSpPr>
            <xdr:cNvPr id="4274" name="Check Box 178" hidden="1">
              <a:extLst>
                <a:ext uri="{63B3BB69-23CF-44E3-9099-C40C66FF867C}">
                  <a14:compatExt spid="_x0000_s4274"/>
                </a:ext>
                <a:ext uri="{FF2B5EF4-FFF2-40B4-BE49-F238E27FC236}">
                  <a16:creationId xmlns:a16="http://schemas.microsoft.com/office/drawing/2014/main" id="{00000000-0008-0000-0400-0000B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514</xdr:row>
          <xdr:rowOff>0</xdr:rowOff>
        </xdr:from>
        <xdr:to>
          <xdr:col>22</xdr:col>
          <xdr:colOff>184150</xdr:colOff>
          <xdr:row>514</xdr:row>
          <xdr:rowOff>184150</xdr:rowOff>
        </xdr:to>
        <xdr:sp macro="" textlink="">
          <xdr:nvSpPr>
            <xdr:cNvPr id="4275" name="Check Box 179" hidden="1">
              <a:extLst>
                <a:ext uri="{63B3BB69-23CF-44E3-9099-C40C66FF867C}">
                  <a14:compatExt spid="_x0000_s4275"/>
                </a:ext>
                <a:ext uri="{FF2B5EF4-FFF2-40B4-BE49-F238E27FC236}">
                  <a16:creationId xmlns:a16="http://schemas.microsoft.com/office/drawing/2014/main" id="{00000000-0008-0000-0400-0000B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516</xdr:row>
          <xdr:rowOff>0</xdr:rowOff>
        </xdr:from>
        <xdr:to>
          <xdr:col>22</xdr:col>
          <xdr:colOff>184150</xdr:colOff>
          <xdr:row>516</xdr:row>
          <xdr:rowOff>184150</xdr:rowOff>
        </xdr:to>
        <xdr:sp macro="" textlink="">
          <xdr:nvSpPr>
            <xdr:cNvPr id="4276" name="Check Box 180" hidden="1">
              <a:extLst>
                <a:ext uri="{63B3BB69-23CF-44E3-9099-C40C66FF867C}">
                  <a14:compatExt spid="_x0000_s4276"/>
                </a:ext>
                <a:ext uri="{FF2B5EF4-FFF2-40B4-BE49-F238E27FC236}">
                  <a16:creationId xmlns:a16="http://schemas.microsoft.com/office/drawing/2014/main" id="{00000000-0008-0000-0400-0000B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520</xdr:row>
          <xdr:rowOff>0</xdr:rowOff>
        </xdr:from>
        <xdr:to>
          <xdr:col>22</xdr:col>
          <xdr:colOff>184150</xdr:colOff>
          <xdr:row>520</xdr:row>
          <xdr:rowOff>184150</xdr:rowOff>
        </xdr:to>
        <xdr:sp macro="" textlink="">
          <xdr:nvSpPr>
            <xdr:cNvPr id="4277" name="Check Box 181" hidden="1">
              <a:extLst>
                <a:ext uri="{63B3BB69-23CF-44E3-9099-C40C66FF867C}">
                  <a14:compatExt spid="_x0000_s4277"/>
                </a:ext>
                <a:ext uri="{FF2B5EF4-FFF2-40B4-BE49-F238E27FC236}">
                  <a16:creationId xmlns:a16="http://schemas.microsoft.com/office/drawing/2014/main" id="{00000000-0008-0000-0400-0000B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525</xdr:row>
          <xdr:rowOff>0</xdr:rowOff>
        </xdr:from>
        <xdr:to>
          <xdr:col>22</xdr:col>
          <xdr:colOff>184150</xdr:colOff>
          <xdr:row>525</xdr:row>
          <xdr:rowOff>184150</xdr:rowOff>
        </xdr:to>
        <xdr:sp macro="" textlink="">
          <xdr:nvSpPr>
            <xdr:cNvPr id="4278" name="Check Box 182" hidden="1">
              <a:extLst>
                <a:ext uri="{63B3BB69-23CF-44E3-9099-C40C66FF867C}">
                  <a14:compatExt spid="_x0000_s4278"/>
                </a:ext>
                <a:ext uri="{FF2B5EF4-FFF2-40B4-BE49-F238E27FC236}">
                  <a16:creationId xmlns:a16="http://schemas.microsoft.com/office/drawing/2014/main" id="{00000000-0008-0000-0400-0000B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529</xdr:row>
          <xdr:rowOff>0</xdr:rowOff>
        </xdr:from>
        <xdr:to>
          <xdr:col>22</xdr:col>
          <xdr:colOff>184150</xdr:colOff>
          <xdr:row>529</xdr:row>
          <xdr:rowOff>184150</xdr:rowOff>
        </xdr:to>
        <xdr:sp macro="" textlink="">
          <xdr:nvSpPr>
            <xdr:cNvPr id="4279" name="Check Box 183" hidden="1">
              <a:extLst>
                <a:ext uri="{63B3BB69-23CF-44E3-9099-C40C66FF867C}">
                  <a14:compatExt spid="_x0000_s4279"/>
                </a:ext>
                <a:ext uri="{FF2B5EF4-FFF2-40B4-BE49-F238E27FC236}">
                  <a16:creationId xmlns:a16="http://schemas.microsoft.com/office/drawing/2014/main" id="{00000000-0008-0000-0400-0000B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531</xdr:row>
          <xdr:rowOff>0</xdr:rowOff>
        </xdr:from>
        <xdr:to>
          <xdr:col>22</xdr:col>
          <xdr:colOff>184150</xdr:colOff>
          <xdr:row>531</xdr:row>
          <xdr:rowOff>184150</xdr:rowOff>
        </xdr:to>
        <xdr:sp macro="" textlink="">
          <xdr:nvSpPr>
            <xdr:cNvPr id="4280" name="Check Box 184" hidden="1">
              <a:extLst>
                <a:ext uri="{63B3BB69-23CF-44E3-9099-C40C66FF867C}">
                  <a14:compatExt spid="_x0000_s4280"/>
                </a:ext>
                <a:ext uri="{FF2B5EF4-FFF2-40B4-BE49-F238E27FC236}">
                  <a16:creationId xmlns:a16="http://schemas.microsoft.com/office/drawing/2014/main" id="{00000000-0008-0000-0400-0000B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533</xdr:row>
          <xdr:rowOff>0</xdr:rowOff>
        </xdr:from>
        <xdr:to>
          <xdr:col>22</xdr:col>
          <xdr:colOff>184150</xdr:colOff>
          <xdr:row>533</xdr:row>
          <xdr:rowOff>184150</xdr:rowOff>
        </xdr:to>
        <xdr:sp macro="" textlink="">
          <xdr:nvSpPr>
            <xdr:cNvPr id="4281" name="Check Box 185" hidden="1">
              <a:extLst>
                <a:ext uri="{63B3BB69-23CF-44E3-9099-C40C66FF867C}">
                  <a14:compatExt spid="_x0000_s4281"/>
                </a:ext>
                <a:ext uri="{FF2B5EF4-FFF2-40B4-BE49-F238E27FC236}">
                  <a16:creationId xmlns:a16="http://schemas.microsoft.com/office/drawing/2014/main" id="{00000000-0008-0000-0400-0000B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534</xdr:row>
          <xdr:rowOff>0</xdr:rowOff>
        </xdr:from>
        <xdr:to>
          <xdr:col>22</xdr:col>
          <xdr:colOff>184150</xdr:colOff>
          <xdr:row>534</xdr:row>
          <xdr:rowOff>184150</xdr:rowOff>
        </xdr:to>
        <xdr:sp macro="" textlink="">
          <xdr:nvSpPr>
            <xdr:cNvPr id="4282" name="Check Box 186" hidden="1">
              <a:extLst>
                <a:ext uri="{63B3BB69-23CF-44E3-9099-C40C66FF867C}">
                  <a14:compatExt spid="_x0000_s4282"/>
                </a:ext>
                <a:ext uri="{FF2B5EF4-FFF2-40B4-BE49-F238E27FC236}">
                  <a16:creationId xmlns:a16="http://schemas.microsoft.com/office/drawing/2014/main" id="{00000000-0008-0000-0400-0000B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535</xdr:row>
          <xdr:rowOff>0</xdr:rowOff>
        </xdr:from>
        <xdr:to>
          <xdr:col>22</xdr:col>
          <xdr:colOff>184150</xdr:colOff>
          <xdr:row>535</xdr:row>
          <xdr:rowOff>184150</xdr:rowOff>
        </xdr:to>
        <xdr:sp macro="" textlink="">
          <xdr:nvSpPr>
            <xdr:cNvPr id="4283" name="Check Box 187" hidden="1">
              <a:extLst>
                <a:ext uri="{63B3BB69-23CF-44E3-9099-C40C66FF867C}">
                  <a14:compatExt spid="_x0000_s4283"/>
                </a:ext>
                <a:ext uri="{FF2B5EF4-FFF2-40B4-BE49-F238E27FC236}">
                  <a16:creationId xmlns:a16="http://schemas.microsoft.com/office/drawing/2014/main" id="{00000000-0008-0000-0400-0000B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539</xdr:row>
          <xdr:rowOff>0</xdr:rowOff>
        </xdr:from>
        <xdr:to>
          <xdr:col>22</xdr:col>
          <xdr:colOff>184150</xdr:colOff>
          <xdr:row>539</xdr:row>
          <xdr:rowOff>184150</xdr:rowOff>
        </xdr:to>
        <xdr:sp macro="" textlink="">
          <xdr:nvSpPr>
            <xdr:cNvPr id="4284" name="Check Box 188" hidden="1">
              <a:extLst>
                <a:ext uri="{63B3BB69-23CF-44E3-9099-C40C66FF867C}">
                  <a14:compatExt spid="_x0000_s4284"/>
                </a:ext>
                <a:ext uri="{FF2B5EF4-FFF2-40B4-BE49-F238E27FC236}">
                  <a16:creationId xmlns:a16="http://schemas.microsoft.com/office/drawing/2014/main" id="{00000000-0008-0000-0400-0000B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219</xdr:row>
          <xdr:rowOff>0</xdr:rowOff>
        </xdr:from>
        <xdr:to>
          <xdr:col>22</xdr:col>
          <xdr:colOff>184150</xdr:colOff>
          <xdr:row>219</xdr:row>
          <xdr:rowOff>184150</xdr:rowOff>
        </xdr:to>
        <xdr:sp macro="" textlink="">
          <xdr:nvSpPr>
            <xdr:cNvPr id="4287" name="Check Box 191" hidden="1">
              <a:extLst>
                <a:ext uri="{63B3BB69-23CF-44E3-9099-C40C66FF867C}">
                  <a14:compatExt spid="_x0000_s4287"/>
                </a:ext>
                <a:ext uri="{FF2B5EF4-FFF2-40B4-BE49-F238E27FC236}">
                  <a16:creationId xmlns:a16="http://schemas.microsoft.com/office/drawing/2014/main" id="{00000000-0008-0000-0400-0000B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274</xdr:row>
          <xdr:rowOff>0</xdr:rowOff>
        </xdr:from>
        <xdr:to>
          <xdr:col>22</xdr:col>
          <xdr:colOff>184150</xdr:colOff>
          <xdr:row>274</xdr:row>
          <xdr:rowOff>184150</xdr:rowOff>
        </xdr:to>
        <xdr:sp macro="" textlink="">
          <xdr:nvSpPr>
            <xdr:cNvPr id="4289" name="Check Box 193" hidden="1">
              <a:extLst>
                <a:ext uri="{63B3BB69-23CF-44E3-9099-C40C66FF867C}">
                  <a14:compatExt spid="_x0000_s4289"/>
                </a:ext>
                <a:ext uri="{FF2B5EF4-FFF2-40B4-BE49-F238E27FC236}">
                  <a16:creationId xmlns:a16="http://schemas.microsoft.com/office/drawing/2014/main" id="{00000000-0008-0000-0400-0000C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12</xdr:col>
      <xdr:colOff>476250</xdr:colOff>
      <xdr:row>0</xdr:row>
      <xdr:rowOff>0</xdr:rowOff>
    </xdr:from>
    <xdr:to>
      <xdr:col>22</xdr:col>
      <xdr:colOff>885825</xdr:colOff>
      <xdr:row>4</xdr:row>
      <xdr:rowOff>141767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1550"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62</xdr:row>
          <xdr:rowOff>0</xdr:rowOff>
        </xdr:from>
        <xdr:to>
          <xdr:col>22</xdr:col>
          <xdr:colOff>184150</xdr:colOff>
          <xdr:row>62</xdr:row>
          <xdr:rowOff>184150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67</xdr:row>
          <xdr:rowOff>0</xdr:rowOff>
        </xdr:from>
        <xdr:to>
          <xdr:col>22</xdr:col>
          <xdr:colOff>184150</xdr:colOff>
          <xdr:row>67</xdr:row>
          <xdr:rowOff>184150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500-00000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84</xdr:row>
          <xdr:rowOff>0</xdr:rowOff>
        </xdr:from>
        <xdr:to>
          <xdr:col>22</xdr:col>
          <xdr:colOff>184150</xdr:colOff>
          <xdr:row>84</xdr:row>
          <xdr:rowOff>184150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149</xdr:row>
          <xdr:rowOff>0</xdr:rowOff>
        </xdr:from>
        <xdr:to>
          <xdr:col>22</xdr:col>
          <xdr:colOff>184150</xdr:colOff>
          <xdr:row>149</xdr:row>
          <xdr:rowOff>184150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500-00000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169</xdr:row>
          <xdr:rowOff>0</xdr:rowOff>
        </xdr:from>
        <xdr:to>
          <xdr:col>22</xdr:col>
          <xdr:colOff>184150</xdr:colOff>
          <xdr:row>169</xdr:row>
          <xdr:rowOff>184150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500-00000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171</xdr:row>
          <xdr:rowOff>0</xdr:rowOff>
        </xdr:from>
        <xdr:to>
          <xdr:col>22</xdr:col>
          <xdr:colOff>184150</xdr:colOff>
          <xdr:row>171</xdr:row>
          <xdr:rowOff>184150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500-00000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178</xdr:row>
          <xdr:rowOff>0</xdr:rowOff>
        </xdr:from>
        <xdr:to>
          <xdr:col>22</xdr:col>
          <xdr:colOff>184150</xdr:colOff>
          <xdr:row>178</xdr:row>
          <xdr:rowOff>184150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500-00000F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76</xdr:row>
          <xdr:rowOff>0</xdr:rowOff>
        </xdr:from>
        <xdr:to>
          <xdr:col>22</xdr:col>
          <xdr:colOff>184150</xdr:colOff>
          <xdr:row>76</xdr:row>
          <xdr:rowOff>184150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500-00001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79</xdr:row>
          <xdr:rowOff>0</xdr:rowOff>
        </xdr:from>
        <xdr:to>
          <xdr:col>22</xdr:col>
          <xdr:colOff>184150</xdr:colOff>
          <xdr:row>79</xdr:row>
          <xdr:rowOff>184150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500-00001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80</xdr:row>
          <xdr:rowOff>0</xdr:rowOff>
        </xdr:from>
        <xdr:to>
          <xdr:col>22</xdr:col>
          <xdr:colOff>184150</xdr:colOff>
          <xdr:row>80</xdr:row>
          <xdr:rowOff>184150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500-00001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120</xdr:row>
          <xdr:rowOff>0</xdr:rowOff>
        </xdr:from>
        <xdr:to>
          <xdr:col>22</xdr:col>
          <xdr:colOff>184150</xdr:colOff>
          <xdr:row>120</xdr:row>
          <xdr:rowOff>184150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500-00001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123</xdr:row>
          <xdr:rowOff>0</xdr:rowOff>
        </xdr:from>
        <xdr:to>
          <xdr:col>22</xdr:col>
          <xdr:colOff>184150</xdr:colOff>
          <xdr:row>123</xdr:row>
          <xdr:rowOff>184150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500-00001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172</xdr:row>
          <xdr:rowOff>0</xdr:rowOff>
        </xdr:from>
        <xdr:to>
          <xdr:col>22</xdr:col>
          <xdr:colOff>184150</xdr:colOff>
          <xdr:row>172</xdr:row>
          <xdr:rowOff>184150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500-00001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195</xdr:row>
          <xdr:rowOff>0</xdr:rowOff>
        </xdr:from>
        <xdr:to>
          <xdr:col>22</xdr:col>
          <xdr:colOff>184150</xdr:colOff>
          <xdr:row>195</xdr:row>
          <xdr:rowOff>184150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500-00002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210</xdr:row>
          <xdr:rowOff>0</xdr:rowOff>
        </xdr:from>
        <xdr:to>
          <xdr:col>22</xdr:col>
          <xdr:colOff>184150</xdr:colOff>
          <xdr:row>210</xdr:row>
          <xdr:rowOff>184150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500-00002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219</xdr:row>
          <xdr:rowOff>0</xdr:rowOff>
        </xdr:from>
        <xdr:to>
          <xdr:col>22</xdr:col>
          <xdr:colOff>184150</xdr:colOff>
          <xdr:row>219</xdr:row>
          <xdr:rowOff>184150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500-00002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228</xdr:row>
          <xdr:rowOff>0</xdr:rowOff>
        </xdr:from>
        <xdr:to>
          <xdr:col>22</xdr:col>
          <xdr:colOff>184150</xdr:colOff>
          <xdr:row>228</xdr:row>
          <xdr:rowOff>184150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500-00002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665</xdr:row>
          <xdr:rowOff>0</xdr:rowOff>
        </xdr:from>
        <xdr:to>
          <xdr:col>22</xdr:col>
          <xdr:colOff>184150</xdr:colOff>
          <xdr:row>665</xdr:row>
          <xdr:rowOff>184150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500-00002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666</xdr:row>
          <xdr:rowOff>0</xdr:rowOff>
        </xdr:from>
        <xdr:to>
          <xdr:col>22</xdr:col>
          <xdr:colOff>184150</xdr:colOff>
          <xdr:row>666</xdr:row>
          <xdr:rowOff>184150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500-00002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667</xdr:row>
          <xdr:rowOff>0</xdr:rowOff>
        </xdr:from>
        <xdr:to>
          <xdr:col>22</xdr:col>
          <xdr:colOff>184150</xdr:colOff>
          <xdr:row>667</xdr:row>
          <xdr:rowOff>184150</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500-00002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668</xdr:row>
          <xdr:rowOff>0</xdr:rowOff>
        </xdr:from>
        <xdr:to>
          <xdr:col>22</xdr:col>
          <xdr:colOff>184150</xdr:colOff>
          <xdr:row>668</xdr:row>
          <xdr:rowOff>184150</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500-00002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670</xdr:row>
          <xdr:rowOff>0</xdr:rowOff>
        </xdr:from>
        <xdr:to>
          <xdr:col>22</xdr:col>
          <xdr:colOff>184150</xdr:colOff>
          <xdr:row>670</xdr:row>
          <xdr:rowOff>184150</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500-00002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673</xdr:row>
          <xdr:rowOff>0</xdr:rowOff>
        </xdr:from>
        <xdr:to>
          <xdr:col>22</xdr:col>
          <xdr:colOff>184150</xdr:colOff>
          <xdr:row>673</xdr:row>
          <xdr:rowOff>184150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500-00002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693</xdr:row>
          <xdr:rowOff>0</xdr:rowOff>
        </xdr:from>
        <xdr:to>
          <xdr:col>22</xdr:col>
          <xdr:colOff>184150</xdr:colOff>
          <xdr:row>693</xdr:row>
          <xdr:rowOff>184150</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500-00003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694</xdr:row>
          <xdr:rowOff>0</xdr:rowOff>
        </xdr:from>
        <xdr:to>
          <xdr:col>22</xdr:col>
          <xdr:colOff>184150</xdr:colOff>
          <xdr:row>694</xdr:row>
          <xdr:rowOff>184150</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500-00003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695</xdr:row>
          <xdr:rowOff>0</xdr:rowOff>
        </xdr:from>
        <xdr:to>
          <xdr:col>22</xdr:col>
          <xdr:colOff>184150</xdr:colOff>
          <xdr:row>695</xdr:row>
          <xdr:rowOff>184150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500-00003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696</xdr:row>
          <xdr:rowOff>0</xdr:rowOff>
        </xdr:from>
        <xdr:to>
          <xdr:col>22</xdr:col>
          <xdr:colOff>184150</xdr:colOff>
          <xdr:row>696</xdr:row>
          <xdr:rowOff>184150</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500-00003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697</xdr:row>
          <xdr:rowOff>0</xdr:rowOff>
        </xdr:from>
        <xdr:to>
          <xdr:col>22</xdr:col>
          <xdr:colOff>184150</xdr:colOff>
          <xdr:row>697</xdr:row>
          <xdr:rowOff>184150</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500-00003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698</xdr:row>
          <xdr:rowOff>0</xdr:rowOff>
        </xdr:from>
        <xdr:to>
          <xdr:col>22</xdr:col>
          <xdr:colOff>184150</xdr:colOff>
          <xdr:row>698</xdr:row>
          <xdr:rowOff>184150</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500-00003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699</xdr:row>
          <xdr:rowOff>0</xdr:rowOff>
        </xdr:from>
        <xdr:to>
          <xdr:col>22</xdr:col>
          <xdr:colOff>184150</xdr:colOff>
          <xdr:row>699</xdr:row>
          <xdr:rowOff>184150</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500-00003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700</xdr:row>
          <xdr:rowOff>0</xdr:rowOff>
        </xdr:from>
        <xdr:to>
          <xdr:col>22</xdr:col>
          <xdr:colOff>184150</xdr:colOff>
          <xdr:row>700</xdr:row>
          <xdr:rowOff>184150</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500-00003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703</xdr:row>
          <xdr:rowOff>0</xdr:rowOff>
        </xdr:from>
        <xdr:to>
          <xdr:col>22</xdr:col>
          <xdr:colOff>184150</xdr:colOff>
          <xdr:row>703</xdr:row>
          <xdr:rowOff>184150</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500-00003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705</xdr:row>
          <xdr:rowOff>0</xdr:rowOff>
        </xdr:from>
        <xdr:to>
          <xdr:col>22</xdr:col>
          <xdr:colOff>184150</xdr:colOff>
          <xdr:row>705</xdr:row>
          <xdr:rowOff>184150</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500-00003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707</xdr:row>
          <xdr:rowOff>0</xdr:rowOff>
        </xdr:from>
        <xdr:to>
          <xdr:col>22</xdr:col>
          <xdr:colOff>184150</xdr:colOff>
          <xdr:row>707</xdr:row>
          <xdr:rowOff>184150</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500-00003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724</xdr:row>
          <xdr:rowOff>0</xdr:rowOff>
        </xdr:from>
        <xdr:to>
          <xdr:col>22</xdr:col>
          <xdr:colOff>184150</xdr:colOff>
          <xdr:row>724</xdr:row>
          <xdr:rowOff>184150</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500-00003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732</xdr:row>
          <xdr:rowOff>0</xdr:rowOff>
        </xdr:from>
        <xdr:to>
          <xdr:col>22</xdr:col>
          <xdr:colOff>184150</xdr:colOff>
          <xdr:row>732</xdr:row>
          <xdr:rowOff>184150</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500-00003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728</xdr:row>
          <xdr:rowOff>0</xdr:rowOff>
        </xdr:from>
        <xdr:to>
          <xdr:col>22</xdr:col>
          <xdr:colOff>184150</xdr:colOff>
          <xdr:row>728</xdr:row>
          <xdr:rowOff>184150</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500-00004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729</xdr:row>
          <xdr:rowOff>0</xdr:rowOff>
        </xdr:from>
        <xdr:to>
          <xdr:col>22</xdr:col>
          <xdr:colOff>184150</xdr:colOff>
          <xdr:row>729</xdr:row>
          <xdr:rowOff>184150</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500-00004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740</xdr:row>
          <xdr:rowOff>0</xdr:rowOff>
        </xdr:from>
        <xdr:to>
          <xdr:col>22</xdr:col>
          <xdr:colOff>184150</xdr:colOff>
          <xdr:row>740</xdr:row>
          <xdr:rowOff>184150</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500-00004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560</xdr:row>
          <xdr:rowOff>0</xdr:rowOff>
        </xdr:from>
        <xdr:to>
          <xdr:col>22</xdr:col>
          <xdr:colOff>184150</xdr:colOff>
          <xdr:row>560</xdr:row>
          <xdr:rowOff>184150</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500-00004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577</xdr:row>
          <xdr:rowOff>0</xdr:rowOff>
        </xdr:from>
        <xdr:to>
          <xdr:col>22</xdr:col>
          <xdr:colOff>184150</xdr:colOff>
          <xdr:row>577</xdr:row>
          <xdr:rowOff>184150</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500-00004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580</xdr:row>
          <xdr:rowOff>0</xdr:rowOff>
        </xdr:from>
        <xdr:to>
          <xdr:col>22</xdr:col>
          <xdr:colOff>184150</xdr:colOff>
          <xdr:row>580</xdr:row>
          <xdr:rowOff>184150</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500-00004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585</xdr:row>
          <xdr:rowOff>0</xdr:rowOff>
        </xdr:from>
        <xdr:to>
          <xdr:col>22</xdr:col>
          <xdr:colOff>184150</xdr:colOff>
          <xdr:row>585</xdr:row>
          <xdr:rowOff>184150</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500-00004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586</xdr:row>
          <xdr:rowOff>0</xdr:rowOff>
        </xdr:from>
        <xdr:to>
          <xdr:col>22</xdr:col>
          <xdr:colOff>184150</xdr:colOff>
          <xdr:row>586</xdr:row>
          <xdr:rowOff>184150</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500-00004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596</xdr:row>
          <xdr:rowOff>0</xdr:rowOff>
        </xdr:from>
        <xdr:to>
          <xdr:col>22</xdr:col>
          <xdr:colOff>184150</xdr:colOff>
          <xdr:row>596</xdr:row>
          <xdr:rowOff>184150</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0500-00004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625</xdr:row>
          <xdr:rowOff>0</xdr:rowOff>
        </xdr:from>
        <xdr:to>
          <xdr:col>22</xdr:col>
          <xdr:colOff>184150</xdr:colOff>
          <xdr:row>625</xdr:row>
          <xdr:rowOff>184150</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500-00005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642</xdr:row>
          <xdr:rowOff>0</xdr:rowOff>
        </xdr:from>
        <xdr:to>
          <xdr:col>22</xdr:col>
          <xdr:colOff>184150</xdr:colOff>
          <xdr:row>642</xdr:row>
          <xdr:rowOff>184150</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500-00005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654</xdr:row>
          <xdr:rowOff>0</xdr:rowOff>
        </xdr:from>
        <xdr:to>
          <xdr:col>22</xdr:col>
          <xdr:colOff>184150</xdr:colOff>
          <xdr:row>654</xdr:row>
          <xdr:rowOff>184150</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500-00005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656</xdr:row>
          <xdr:rowOff>0</xdr:rowOff>
        </xdr:from>
        <xdr:to>
          <xdr:col>22</xdr:col>
          <xdr:colOff>184150</xdr:colOff>
          <xdr:row>656</xdr:row>
          <xdr:rowOff>184150</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500-00005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658</xdr:row>
          <xdr:rowOff>0</xdr:rowOff>
        </xdr:from>
        <xdr:to>
          <xdr:col>22</xdr:col>
          <xdr:colOff>184150</xdr:colOff>
          <xdr:row>658</xdr:row>
          <xdr:rowOff>184150</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500-00005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459</xdr:row>
          <xdr:rowOff>0</xdr:rowOff>
        </xdr:from>
        <xdr:to>
          <xdr:col>22</xdr:col>
          <xdr:colOff>184150</xdr:colOff>
          <xdr:row>459</xdr:row>
          <xdr:rowOff>184150</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0500-00005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454</xdr:row>
          <xdr:rowOff>0</xdr:rowOff>
        </xdr:from>
        <xdr:to>
          <xdr:col>22</xdr:col>
          <xdr:colOff>184150</xdr:colOff>
          <xdr:row>454</xdr:row>
          <xdr:rowOff>184150</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00000000-0008-0000-0500-00005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455</xdr:row>
          <xdr:rowOff>0</xdr:rowOff>
        </xdr:from>
        <xdr:to>
          <xdr:col>22</xdr:col>
          <xdr:colOff>184150</xdr:colOff>
          <xdr:row>455</xdr:row>
          <xdr:rowOff>184150</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0500-00005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456</xdr:row>
          <xdr:rowOff>0</xdr:rowOff>
        </xdr:from>
        <xdr:to>
          <xdr:col>22</xdr:col>
          <xdr:colOff>184150</xdr:colOff>
          <xdr:row>456</xdr:row>
          <xdr:rowOff>184150</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500-00005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486</xdr:row>
          <xdr:rowOff>0</xdr:rowOff>
        </xdr:from>
        <xdr:to>
          <xdr:col>22</xdr:col>
          <xdr:colOff>184150</xdr:colOff>
          <xdr:row>486</xdr:row>
          <xdr:rowOff>184150</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0500-00005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494</xdr:row>
          <xdr:rowOff>0</xdr:rowOff>
        </xdr:from>
        <xdr:to>
          <xdr:col>22</xdr:col>
          <xdr:colOff>184150</xdr:colOff>
          <xdr:row>494</xdr:row>
          <xdr:rowOff>184150</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500-00006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496</xdr:row>
          <xdr:rowOff>0</xdr:rowOff>
        </xdr:from>
        <xdr:to>
          <xdr:col>22</xdr:col>
          <xdr:colOff>184150</xdr:colOff>
          <xdr:row>496</xdr:row>
          <xdr:rowOff>184150</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500-00006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497</xdr:row>
          <xdr:rowOff>0</xdr:rowOff>
        </xdr:from>
        <xdr:to>
          <xdr:col>22</xdr:col>
          <xdr:colOff>184150</xdr:colOff>
          <xdr:row>497</xdr:row>
          <xdr:rowOff>184150</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500-00006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498</xdr:row>
          <xdr:rowOff>0</xdr:rowOff>
        </xdr:from>
        <xdr:to>
          <xdr:col>22</xdr:col>
          <xdr:colOff>184150</xdr:colOff>
          <xdr:row>498</xdr:row>
          <xdr:rowOff>184150</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500-00006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500</xdr:row>
          <xdr:rowOff>0</xdr:rowOff>
        </xdr:from>
        <xdr:to>
          <xdr:col>22</xdr:col>
          <xdr:colOff>184150</xdr:colOff>
          <xdr:row>500</xdr:row>
          <xdr:rowOff>184150</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500-00006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503</xdr:row>
          <xdr:rowOff>0</xdr:rowOff>
        </xdr:from>
        <xdr:to>
          <xdr:col>22</xdr:col>
          <xdr:colOff>184150</xdr:colOff>
          <xdr:row>503</xdr:row>
          <xdr:rowOff>184150</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500-00006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505</xdr:row>
          <xdr:rowOff>0</xdr:rowOff>
        </xdr:from>
        <xdr:to>
          <xdr:col>22</xdr:col>
          <xdr:colOff>184150</xdr:colOff>
          <xdr:row>505</xdr:row>
          <xdr:rowOff>184150</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500-00006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510</xdr:row>
          <xdr:rowOff>0</xdr:rowOff>
        </xdr:from>
        <xdr:to>
          <xdr:col>22</xdr:col>
          <xdr:colOff>184150</xdr:colOff>
          <xdr:row>510</xdr:row>
          <xdr:rowOff>184150</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500-00006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512</xdr:row>
          <xdr:rowOff>0</xdr:rowOff>
        </xdr:from>
        <xdr:to>
          <xdr:col>22</xdr:col>
          <xdr:colOff>184150</xdr:colOff>
          <xdr:row>512</xdr:row>
          <xdr:rowOff>184150</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500-00006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514</xdr:row>
          <xdr:rowOff>0</xdr:rowOff>
        </xdr:from>
        <xdr:to>
          <xdr:col>22</xdr:col>
          <xdr:colOff>184150</xdr:colOff>
          <xdr:row>514</xdr:row>
          <xdr:rowOff>184150</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500-00006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516</xdr:row>
          <xdr:rowOff>0</xdr:rowOff>
        </xdr:from>
        <xdr:to>
          <xdr:col>22</xdr:col>
          <xdr:colOff>184150</xdr:colOff>
          <xdr:row>516</xdr:row>
          <xdr:rowOff>184150</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500-00006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447</xdr:row>
          <xdr:rowOff>0</xdr:rowOff>
        </xdr:from>
        <xdr:to>
          <xdr:col>22</xdr:col>
          <xdr:colOff>184150</xdr:colOff>
          <xdr:row>447</xdr:row>
          <xdr:rowOff>184150</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500-00006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449</xdr:row>
          <xdr:rowOff>0</xdr:rowOff>
        </xdr:from>
        <xdr:to>
          <xdr:col>22</xdr:col>
          <xdr:colOff>184150</xdr:colOff>
          <xdr:row>449</xdr:row>
          <xdr:rowOff>184150</xdr:rowOff>
        </xdr:to>
        <xdr:sp macro="" textlink="">
          <xdr:nvSpPr>
            <xdr:cNvPr id="5229" name="Check Box 109" hidden="1">
              <a:extLst>
                <a:ext uri="{63B3BB69-23CF-44E3-9099-C40C66FF867C}">
                  <a14:compatExt spid="_x0000_s5229"/>
                </a:ext>
                <a:ext uri="{FF2B5EF4-FFF2-40B4-BE49-F238E27FC236}">
                  <a16:creationId xmlns:a16="http://schemas.microsoft.com/office/drawing/2014/main" id="{00000000-0008-0000-0500-00006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451</xdr:row>
          <xdr:rowOff>0</xdr:rowOff>
        </xdr:from>
        <xdr:to>
          <xdr:col>22</xdr:col>
          <xdr:colOff>184150</xdr:colOff>
          <xdr:row>451</xdr:row>
          <xdr:rowOff>184150</xdr:rowOff>
        </xdr:to>
        <xdr:sp macro="" textlink="">
          <xdr:nvSpPr>
            <xdr:cNvPr id="5230" name="Check Box 110" hidden="1">
              <a:extLst>
                <a:ext uri="{63B3BB69-23CF-44E3-9099-C40C66FF867C}">
                  <a14:compatExt spid="_x0000_s5230"/>
                </a:ext>
                <a:ext uri="{FF2B5EF4-FFF2-40B4-BE49-F238E27FC236}">
                  <a16:creationId xmlns:a16="http://schemas.microsoft.com/office/drawing/2014/main" id="{00000000-0008-0000-0500-00006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424</xdr:row>
          <xdr:rowOff>0</xdr:rowOff>
        </xdr:from>
        <xdr:to>
          <xdr:col>22</xdr:col>
          <xdr:colOff>184150</xdr:colOff>
          <xdr:row>424</xdr:row>
          <xdr:rowOff>184150</xdr:rowOff>
        </xdr:to>
        <xdr:sp macro="" textlink="">
          <xdr:nvSpPr>
            <xdr:cNvPr id="5232" name="Check Box 112" hidden="1">
              <a:extLst>
                <a:ext uri="{63B3BB69-23CF-44E3-9099-C40C66FF867C}">
                  <a14:compatExt spid="_x0000_s5232"/>
                </a:ext>
                <a:ext uri="{FF2B5EF4-FFF2-40B4-BE49-F238E27FC236}">
                  <a16:creationId xmlns:a16="http://schemas.microsoft.com/office/drawing/2014/main" id="{00000000-0008-0000-0500-00007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426</xdr:row>
          <xdr:rowOff>0</xdr:rowOff>
        </xdr:from>
        <xdr:to>
          <xdr:col>22</xdr:col>
          <xdr:colOff>184150</xdr:colOff>
          <xdr:row>426</xdr:row>
          <xdr:rowOff>184150</xdr:rowOff>
        </xdr:to>
        <xdr:sp macro="" textlink="">
          <xdr:nvSpPr>
            <xdr:cNvPr id="5233" name="Check Box 113" hidden="1">
              <a:extLst>
                <a:ext uri="{63B3BB69-23CF-44E3-9099-C40C66FF867C}">
                  <a14:compatExt spid="_x0000_s5233"/>
                </a:ext>
                <a:ext uri="{FF2B5EF4-FFF2-40B4-BE49-F238E27FC236}">
                  <a16:creationId xmlns:a16="http://schemas.microsoft.com/office/drawing/2014/main" id="{00000000-0008-0000-0500-00007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422</xdr:row>
          <xdr:rowOff>0</xdr:rowOff>
        </xdr:from>
        <xdr:to>
          <xdr:col>22</xdr:col>
          <xdr:colOff>184150</xdr:colOff>
          <xdr:row>422</xdr:row>
          <xdr:rowOff>184150</xdr:rowOff>
        </xdr:to>
        <xdr:sp macro="" textlink="">
          <xdr:nvSpPr>
            <xdr:cNvPr id="5234" name="Check Box 114" hidden="1">
              <a:extLst>
                <a:ext uri="{63B3BB69-23CF-44E3-9099-C40C66FF867C}">
                  <a14:compatExt spid="_x0000_s5234"/>
                </a:ext>
                <a:ext uri="{FF2B5EF4-FFF2-40B4-BE49-F238E27FC236}">
                  <a16:creationId xmlns:a16="http://schemas.microsoft.com/office/drawing/2014/main" id="{00000000-0008-0000-0500-00007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353</xdr:row>
          <xdr:rowOff>0</xdr:rowOff>
        </xdr:from>
        <xdr:to>
          <xdr:col>22</xdr:col>
          <xdr:colOff>184150</xdr:colOff>
          <xdr:row>353</xdr:row>
          <xdr:rowOff>184150</xdr:rowOff>
        </xdr:to>
        <xdr:sp macro="" textlink="">
          <xdr:nvSpPr>
            <xdr:cNvPr id="5240" name="Check Box 120" hidden="1">
              <a:extLst>
                <a:ext uri="{63B3BB69-23CF-44E3-9099-C40C66FF867C}">
                  <a14:compatExt spid="_x0000_s5240"/>
                </a:ext>
                <a:ext uri="{FF2B5EF4-FFF2-40B4-BE49-F238E27FC236}">
                  <a16:creationId xmlns:a16="http://schemas.microsoft.com/office/drawing/2014/main" id="{00000000-0008-0000-0500-00007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355</xdr:row>
          <xdr:rowOff>0</xdr:rowOff>
        </xdr:from>
        <xdr:to>
          <xdr:col>22</xdr:col>
          <xdr:colOff>184150</xdr:colOff>
          <xdr:row>355</xdr:row>
          <xdr:rowOff>184150</xdr:rowOff>
        </xdr:to>
        <xdr:sp macro="" textlink="">
          <xdr:nvSpPr>
            <xdr:cNvPr id="5241" name="Check Box 121" hidden="1">
              <a:extLst>
                <a:ext uri="{63B3BB69-23CF-44E3-9099-C40C66FF867C}">
                  <a14:compatExt spid="_x0000_s5241"/>
                </a:ext>
                <a:ext uri="{FF2B5EF4-FFF2-40B4-BE49-F238E27FC236}">
                  <a16:creationId xmlns:a16="http://schemas.microsoft.com/office/drawing/2014/main" id="{00000000-0008-0000-0500-00007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358</xdr:row>
          <xdr:rowOff>0</xdr:rowOff>
        </xdr:from>
        <xdr:to>
          <xdr:col>22</xdr:col>
          <xdr:colOff>184150</xdr:colOff>
          <xdr:row>358</xdr:row>
          <xdr:rowOff>184150</xdr:rowOff>
        </xdr:to>
        <xdr:sp macro="" textlink="">
          <xdr:nvSpPr>
            <xdr:cNvPr id="5242" name="Check Box 122" hidden="1">
              <a:extLst>
                <a:ext uri="{63B3BB69-23CF-44E3-9099-C40C66FF867C}">
                  <a14:compatExt spid="_x0000_s5242"/>
                </a:ext>
                <a:ext uri="{FF2B5EF4-FFF2-40B4-BE49-F238E27FC236}">
                  <a16:creationId xmlns:a16="http://schemas.microsoft.com/office/drawing/2014/main" id="{00000000-0008-0000-0500-00007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359</xdr:row>
          <xdr:rowOff>0</xdr:rowOff>
        </xdr:from>
        <xdr:to>
          <xdr:col>22</xdr:col>
          <xdr:colOff>184150</xdr:colOff>
          <xdr:row>359</xdr:row>
          <xdr:rowOff>184150</xdr:rowOff>
        </xdr:to>
        <xdr:sp macro="" textlink="">
          <xdr:nvSpPr>
            <xdr:cNvPr id="5243" name="Check Box 123" hidden="1">
              <a:extLst>
                <a:ext uri="{63B3BB69-23CF-44E3-9099-C40C66FF867C}">
                  <a14:compatExt spid="_x0000_s5243"/>
                </a:ext>
                <a:ext uri="{FF2B5EF4-FFF2-40B4-BE49-F238E27FC236}">
                  <a16:creationId xmlns:a16="http://schemas.microsoft.com/office/drawing/2014/main" id="{00000000-0008-0000-0500-00007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361</xdr:row>
          <xdr:rowOff>0</xdr:rowOff>
        </xdr:from>
        <xdr:to>
          <xdr:col>22</xdr:col>
          <xdr:colOff>184150</xdr:colOff>
          <xdr:row>361</xdr:row>
          <xdr:rowOff>184150</xdr:rowOff>
        </xdr:to>
        <xdr:sp macro="" textlink="">
          <xdr:nvSpPr>
            <xdr:cNvPr id="5244" name="Check Box 124" hidden="1">
              <a:extLst>
                <a:ext uri="{63B3BB69-23CF-44E3-9099-C40C66FF867C}">
                  <a14:compatExt spid="_x0000_s5244"/>
                </a:ext>
                <a:ext uri="{FF2B5EF4-FFF2-40B4-BE49-F238E27FC236}">
                  <a16:creationId xmlns:a16="http://schemas.microsoft.com/office/drawing/2014/main" id="{00000000-0008-0000-0500-00007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347</xdr:row>
          <xdr:rowOff>0</xdr:rowOff>
        </xdr:from>
        <xdr:to>
          <xdr:col>22</xdr:col>
          <xdr:colOff>184150</xdr:colOff>
          <xdr:row>347</xdr:row>
          <xdr:rowOff>184150</xdr:rowOff>
        </xdr:to>
        <xdr:sp macro="" textlink="">
          <xdr:nvSpPr>
            <xdr:cNvPr id="5246" name="Check Box 126" hidden="1">
              <a:extLst>
                <a:ext uri="{63B3BB69-23CF-44E3-9099-C40C66FF867C}">
                  <a14:compatExt spid="_x0000_s5246"/>
                </a:ext>
                <a:ext uri="{FF2B5EF4-FFF2-40B4-BE49-F238E27FC236}">
                  <a16:creationId xmlns:a16="http://schemas.microsoft.com/office/drawing/2014/main" id="{00000000-0008-0000-0500-00007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283</xdr:row>
          <xdr:rowOff>0</xdr:rowOff>
        </xdr:from>
        <xdr:to>
          <xdr:col>22</xdr:col>
          <xdr:colOff>184150</xdr:colOff>
          <xdr:row>283</xdr:row>
          <xdr:rowOff>184150</xdr:rowOff>
        </xdr:to>
        <xdr:sp macro="" textlink="">
          <xdr:nvSpPr>
            <xdr:cNvPr id="5254" name="Check Box 134" hidden="1">
              <a:extLst>
                <a:ext uri="{63B3BB69-23CF-44E3-9099-C40C66FF867C}">
                  <a14:compatExt spid="_x0000_s5254"/>
                </a:ext>
                <a:ext uri="{FF2B5EF4-FFF2-40B4-BE49-F238E27FC236}">
                  <a16:creationId xmlns:a16="http://schemas.microsoft.com/office/drawing/2014/main" id="{00000000-0008-0000-0500-00008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327</xdr:row>
          <xdr:rowOff>0</xdr:rowOff>
        </xdr:from>
        <xdr:to>
          <xdr:col>22</xdr:col>
          <xdr:colOff>184150</xdr:colOff>
          <xdr:row>327</xdr:row>
          <xdr:rowOff>184150</xdr:rowOff>
        </xdr:to>
        <xdr:sp macro="" textlink="">
          <xdr:nvSpPr>
            <xdr:cNvPr id="5257" name="Check Box 137" hidden="1">
              <a:extLst>
                <a:ext uri="{63B3BB69-23CF-44E3-9099-C40C66FF867C}">
                  <a14:compatExt spid="_x0000_s5257"/>
                </a:ext>
                <a:ext uri="{FF2B5EF4-FFF2-40B4-BE49-F238E27FC236}">
                  <a16:creationId xmlns:a16="http://schemas.microsoft.com/office/drawing/2014/main" id="{00000000-0008-0000-0500-00008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330</xdr:row>
          <xdr:rowOff>0</xdr:rowOff>
        </xdr:from>
        <xdr:to>
          <xdr:col>22</xdr:col>
          <xdr:colOff>184150</xdr:colOff>
          <xdr:row>330</xdr:row>
          <xdr:rowOff>184150</xdr:rowOff>
        </xdr:to>
        <xdr:sp macro="" textlink="">
          <xdr:nvSpPr>
            <xdr:cNvPr id="5259" name="Check Box 139" hidden="1">
              <a:extLst>
                <a:ext uri="{63B3BB69-23CF-44E3-9099-C40C66FF867C}">
                  <a14:compatExt spid="_x0000_s5259"/>
                </a:ext>
                <a:ext uri="{FF2B5EF4-FFF2-40B4-BE49-F238E27FC236}">
                  <a16:creationId xmlns:a16="http://schemas.microsoft.com/office/drawing/2014/main" id="{00000000-0008-0000-0500-00008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340</xdr:row>
          <xdr:rowOff>0</xdr:rowOff>
        </xdr:from>
        <xdr:to>
          <xdr:col>22</xdr:col>
          <xdr:colOff>184150</xdr:colOff>
          <xdr:row>340</xdr:row>
          <xdr:rowOff>184150</xdr:rowOff>
        </xdr:to>
        <xdr:sp macro="" textlink="">
          <xdr:nvSpPr>
            <xdr:cNvPr id="5261" name="Check Box 141" hidden="1">
              <a:extLst>
                <a:ext uri="{63B3BB69-23CF-44E3-9099-C40C66FF867C}">
                  <a14:compatExt spid="_x0000_s5261"/>
                </a:ext>
                <a:ext uri="{FF2B5EF4-FFF2-40B4-BE49-F238E27FC236}">
                  <a16:creationId xmlns:a16="http://schemas.microsoft.com/office/drawing/2014/main" id="{00000000-0008-0000-0500-00008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644</xdr:row>
          <xdr:rowOff>0</xdr:rowOff>
        </xdr:from>
        <xdr:to>
          <xdr:col>22</xdr:col>
          <xdr:colOff>184150</xdr:colOff>
          <xdr:row>644</xdr:row>
          <xdr:rowOff>184150</xdr:rowOff>
        </xdr:to>
        <xdr:sp macro="" textlink="">
          <xdr:nvSpPr>
            <xdr:cNvPr id="5263" name="Check Box 143" hidden="1">
              <a:extLst>
                <a:ext uri="{63B3BB69-23CF-44E3-9099-C40C66FF867C}">
                  <a14:compatExt spid="_x0000_s5263"/>
                </a:ext>
                <a:ext uri="{FF2B5EF4-FFF2-40B4-BE49-F238E27FC236}">
                  <a16:creationId xmlns:a16="http://schemas.microsoft.com/office/drawing/2014/main" id="{00000000-0008-0000-0500-00008F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xdr:row>
          <xdr:rowOff>0</xdr:rowOff>
        </xdr:from>
        <xdr:to>
          <xdr:col>22</xdr:col>
          <xdr:colOff>184150</xdr:colOff>
          <xdr:row>40</xdr:row>
          <xdr:rowOff>184150</xdr:rowOff>
        </xdr:to>
        <xdr:sp macro="" textlink="">
          <xdr:nvSpPr>
            <xdr:cNvPr id="5268" name="Check Box 148" hidden="1">
              <a:extLst>
                <a:ext uri="{63B3BB69-23CF-44E3-9099-C40C66FF867C}">
                  <a14:compatExt spid="_x0000_s5268"/>
                </a:ext>
                <a:ext uri="{FF2B5EF4-FFF2-40B4-BE49-F238E27FC236}">
                  <a16:creationId xmlns:a16="http://schemas.microsoft.com/office/drawing/2014/main" id="{00000000-0008-0000-0500-00009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xdr:row>
          <xdr:rowOff>0</xdr:rowOff>
        </xdr:from>
        <xdr:to>
          <xdr:col>22</xdr:col>
          <xdr:colOff>184150</xdr:colOff>
          <xdr:row>41</xdr:row>
          <xdr:rowOff>184150</xdr:rowOff>
        </xdr:to>
        <xdr:sp macro="" textlink="">
          <xdr:nvSpPr>
            <xdr:cNvPr id="5269" name="Check Box 149" hidden="1">
              <a:extLst>
                <a:ext uri="{63B3BB69-23CF-44E3-9099-C40C66FF867C}">
                  <a14:compatExt spid="_x0000_s5269"/>
                </a:ext>
                <a:ext uri="{FF2B5EF4-FFF2-40B4-BE49-F238E27FC236}">
                  <a16:creationId xmlns:a16="http://schemas.microsoft.com/office/drawing/2014/main" id="{00000000-0008-0000-0500-00009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44</xdr:row>
          <xdr:rowOff>0</xdr:rowOff>
        </xdr:from>
        <xdr:to>
          <xdr:col>22</xdr:col>
          <xdr:colOff>184150</xdr:colOff>
          <xdr:row>44</xdr:row>
          <xdr:rowOff>184150</xdr:rowOff>
        </xdr:to>
        <xdr:sp macro="" textlink="">
          <xdr:nvSpPr>
            <xdr:cNvPr id="5271" name="Check Box 151" hidden="1">
              <a:extLst>
                <a:ext uri="{63B3BB69-23CF-44E3-9099-C40C66FF867C}">
                  <a14:compatExt spid="_x0000_s5271"/>
                </a:ext>
                <a:ext uri="{FF2B5EF4-FFF2-40B4-BE49-F238E27FC236}">
                  <a16:creationId xmlns:a16="http://schemas.microsoft.com/office/drawing/2014/main" id="{00000000-0008-0000-0500-00009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xdr:row>
          <xdr:rowOff>0</xdr:rowOff>
        </xdr:from>
        <xdr:to>
          <xdr:col>22</xdr:col>
          <xdr:colOff>184150</xdr:colOff>
          <xdr:row>49</xdr:row>
          <xdr:rowOff>184150</xdr:rowOff>
        </xdr:to>
        <xdr:sp macro="" textlink="">
          <xdr:nvSpPr>
            <xdr:cNvPr id="5272" name="Check Box 152" hidden="1">
              <a:extLst>
                <a:ext uri="{63B3BB69-23CF-44E3-9099-C40C66FF867C}">
                  <a14:compatExt spid="_x0000_s5272"/>
                </a:ext>
                <a:ext uri="{FF2B5EF4-FFF2-40B4-BE49-F238E27FC236}">
                  <a16:creationId xmlns:a16="http://schemas.microsoft.com/office/drawing/2014/main" id="{00000000-0008-0000-0500-00009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xdr:row>
          <xdr:rowOff>0</xdr:rowOff>
        </xdr:from>
        <xdr:to>
          <xdr:col>22</xdr:col>
          <xdr:colOff>184150</xdr:colOff>
          <xdr:row>50</xdr:row>
          <xdr:rowOff>184150</xdr:rowOff>
        </xdr:to>
        <xdr:sp macro="" textlink="">
          <xdr:nvSpPr>
            <xdr:cNvPr id="5273" name="Check Box 153" hidden="1">
              <a:extLst>
                <a:ext uri="{63B3BB69-23CF-44E3-9099-C40C66FF867C}">
                  <a14:compatExt spid="_x0000_s5273"/>
                </a:ext>
                <a:ext uri="{FF2B5EF4-FFF2-40B4-BE49-F238E27FC236}">
                  <a16:creationId xmlns:a16="http://schemas.microsoft.com/office/drawing/2014/main" id="{00000000-0008-0000-0500-00009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xdr:row>
          <xdr:rowOff>0</xdr:rowOff>
        </xdr:from>
        <xdr:to>
          <xdr:col>22</xdr:col>
          <xdr:colOff>184150</xdr:colOff>
          <xdr:row>51</xdr:row>
          <xdr:rowOff>184150</xdr:rowOff>
        </xdr:to>
        <xdr:sp macro="" textlink="">
          <xdr:nvSpPr>
            <xdr:cNvPr id="5274" name="Check Box 154" hidden="1">
              <a:extLst>
                <a:ext uri="{63B3BB69-23CF-44E3-9099-C40C66FF867C}">
                  <a14:compatExt spid="_x0000_s5274"/>
                </a:ext>
                <a:ext uri="{FF2B5EF4-FFF2-40B4-BE49-F238E27FC236}">
                  <a16:creationId xmlns:a16="http://schemas.microsoft.com/office/drawing/2014/main" id="{00000000-0008-0000-0500-00009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xdr:row>
          <xdr:rowOff>0</xdr:rowOff>
        </xdr:from>
        <xdr:to>
          <xdr:col>22</xdr:col>
          <xdr:colOff>184150</xdr:colOff>
          <xdr:row>53</xdr:row>
          <xdr:rowOff>184150</xdr:rowOff>
        </xdr:to>
        <xdr:sp macro="" textlink="">
          <xdr:nvSpPr>
            <xdr:cNvPr id="5275" name="Check Box 155" hidden="1">
              <a:extLst>
                <a:ext uri="{63B3BB69-23CF-44E3-9099-C40C66FF867C}">
                  <a14:compatExt spid="_x0000_s5275"/>
                </a:ext>
                <a:ext uri="{FF2B5EF4-FFF2-40B4-BE49-F238E27FC236}">
                  <a16:creationId xmlns:a16="http://schemas.microsoft.com/office/drawing/2014/main" id="{00000000-0008-0000-0500-00009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xdr:row>
          <xdr:rowOff>0</xdr:rowOff>
        </xdr:from>
        <xdr:to>
          <xdr:col>22</xdr:col>
          <xdr:colOff>184150</xdr:colOff>
          <xdr:row>54</xdr:row>
          <xdr:rowOff>184150</xdr:rowOff>
        </xdr:to>
        <xdr:sp macro="" textlink="">
          <xdr:nvSpPr>
            <xdr:cNvPr id="5276" name="Check Box 156" hidden="1">
              <a:extLst>
                <a:ext uri="{63B3BB69-23CF-44E3-9099-C40C66FF867C}">
                  <a14:compatExt spid="_x0000_s5276"/>
                </a:ext>
                <a:ext uri="{FF2B5EF4-FFF2-40B4-BE49-F238E27FC236}">
                  <a16:creationId xmlns:a16="http://schemas.microsoft.com/office/drawing/2014/main" id="{00000000-0008-0000-0500-00009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xdr:row>
          <xdr:rowOff>0</xdr:rowOff>
        </xdr:from>
        <xdr:to>
          <xdr:col>22</xdr:col>
          <xdr:colOff>184150</xdr:colOff>
          <xdr:row>55</xdr:row>
          <xdr:rowOff>184150</xdr:rowOff>
        </xdr:to>
        <xdr:sp macro="" textlink="">
          <xdr:nvSpPr>
            <xdr:cNvPr id="5277" name="Check Box 157" hidden="1">
              <a:extLst>
                <a:ext uri="{63B3BB69-23CF-44E3-9099-C40C66FF867C}">
                  <a14:compatExt spid="_x0000_s5277"/>
                </a:ext>
                <a:ext uri="{FF2B5EF4-FFF2-40B4-BE49-F238E27FC236}">
                  <a16:creationId xmlns:a16="http://schemas.microsoft.com/office/drawing/2014/main" id="{00000000-0008-0000-0500-00009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xdr:row>
          <xdr:rowOff>0</xdr:rowOff>
        </xdr:from>
        <xdr:to>
          <xdr:col>22</xdr:col>
          <xdr:colOff>184150</xdr:colOff>
          <xdr:row>56</xdr:row>
          <xdr:rowOff>184150</xdr:rowOff>
        </xdr:to>
        <xdr:sp macro="" textlink="">
          <xdr:nvSpPr>
            <xdr:cNvPr id="5278" name="Check Box 158" hidden="1">
              <a:extLst>
                <a:ext uri="{63B3BB69-23CF-44E3-9099-C40C66FF867C}">
                  <a14:compatExt spid="_x0000_s5278"/>
                </a:ext>
                <a:ext uri="{FF2B5EF4-FFF2-40B4-BE49-F238E27FC236}">
                  <a16:creationId xmlns:a16="http://schemas.microsoft.com/office/drawing/2014/main" id="{00000000-0008-0000-0500-00009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58</xdr:row>
          <xdr:rowOff>0</xdr:rowOff>
        </xdr:from>
        <xdr:to>
          <xdr:col>22</xdr:col>
          <xdr:colOff>184150</xdr:colOff>
          <xdr:row>58</xdr:row>
          <xdr:rowOff>184150</xdr:rowOff>
        </xdr:to>
        <xdr:sp macro="" textlink="">
          <xdr:nvSpPr>
            <xdr:cNvPr id="5279" name="Check Box 159" hidden="1">
              <a:extLst>
                <a:ext uri="{63B3BB69-23CF-44E3-9099-C40C66FF867C}">
                  <a14:compatExt spid="_x0000_s5279"/>
                </a:ext>
                <a:ext uri="{FF2B5EF4-FFF2-40B4-BE49-F238E27FC236}">
                  <a16:creationId xmlns:a16="http://schemas.microsoft.com/office/drawing/2014/main" id="{00000000-0008-0000-0500-00009F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591</xdr:row>
          <xdr:rowOff>0</xdr:rowOff>
        </xdr:from>
        <xdr:to>
          <xdr:col>22</xdr:col>
          <xdr:colOff>184150</xdr:colOff>
          <xdr:row>591</xdr:row>
          <xdr:rowOff>184150</xdr:rowOff>
        </xdr:to>
        <xdr:sp macro="" textlink="">
          <xdr:nvSpPr>
            <xdr:cNvPr id="5288" name="Check Box 168" hidden="1">
              <a:extLst>
                <a:ext uri="{63B3BB69-23CF-44E3-9099-C40C66FF867C}">
                  <a14:compatExt spid="_x0000_s5288"/>
                </a:ext>
                <a:ext uri="{FF2B5EF4-FFF2-40B4-BE49-F238E27FC236}">
                  <a16:creationId xmlns:a16="http://schemas.microsoft.com/office/drawing/2014/main" id="{00000000-0008-0000-0500-0000A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594</xdr:row>
          <xdr:rowOff>0</xdr:rowOff>
        </xdr:from>
        <xdr:to>
          <xdr:col>22</xdr:col>
          <xdr:colOff>184150</xdr:colOff>
          <xdr:row>594</xdr:row>
          <xdr:rowOff>184150</xdr:rowOff>
        </xdr:to>
        <xdr:sp macro="" textlink="">
          <xdr:nvSpPr>
            <xdr:cNvPr id="5289" name="Check Box 169" hidden="1">
              <a:extLst>
                <a:ext uri="{63B3BB69-23CF-44E3-9099-C40C66FF867C}">
                  <a14:compatExt spid="_x0000_s5289"/>
                </a:ext>
                <a:ext uri="{FF2B5EF4-FFF2-40B4-BE49-F238E27FC236}">
                  <a16:creationId xmlns:a16="http://schemas.microsoft.com/office/drawing/2014/main" id="{00000000-0008-0000-0500-0000A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605</xdr:row>
          <xdr:rowOff>0</xdr:rowOff>
        </xdr:from>
        <xdr:to>
          <xdr:col>22</xdr:col>
          <xdr:colOff>184150</xdr:colOff>
          <xdr:row>605</xdr:row>
          <xdr:rowOff>184150</xdr:rowOff>
        </xdr:to>
        <xdr:sp macro="" textlink="">
          <xdr:nvSpPr>
            <xdr:cNvPr id="5292" name="Check Box 172" hidden="1">
              <a:extLst>
                <a:ext uri="{63B3BB69-23CF-44E3-9099-C40C66FF867C}">
                  <a14:compatExt spid="_x0000_s5292"/>
                </a:ext>
                <a:ext uri="{FF2B5EF4-FFF2-40B4-BE49-F238E27FC236}">
                  <a16:creationId xmlns:a16="http://schemas.microsoft.com/office/drawing/2014/main" id="{00000000-0008-0000-0500-0000A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607</xdr:row>
          <xdr:rowOff>0</xdr:rowOff>
        </xdr:from>
        <xdr:to>
          <xdr:col>22</xdr:col>
          <xdr:colOff>184150</xdr:colOff>
          <xdr:row>607</xdr:row>
          <xdr:rowOff>184150</xdr:rowOff>
        </xdr:to>
        <xdr:sp macro="" textlink="">
          <xdr:nvSpPr>
            <xdr:cNvPr id="5293" name="Check Box 173" hidden="1">
              <a:extLst>
                <a:ext uri="{63B3BB69-23CF-44E3-9099-C40C66FF867C}">
                  <a14:compatExt spid="_x0000_s5293"/>
                </a:ext>
                <a:ext uri="{FF2B5EF4-FFF2-40B4-BE49-F238E27FC236}">
                  <a16:creationId xmlns:a16="http://schemas.microsoft.com/office/drawing/2014/main" id="{00000000-0008-0000-0500-0000A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631</xdr:row>
          <xdr:rowOff>0</xdr:rowOff>
        </xdr:from>
        <xdr:to>
          <xdr:col>22</xdr:col>
          <xdr:colOff>184150</xdr:colOff>
          <xdr:row>631</xdr:row>
          <xdr:rowOff>184150</xdr:rowOff>
        </xdr:to>
        <xdr:sp macro="" textlink="">
          <xdr:nvSpPr>
            <xdr:cNvPr id="5295" name="Check Box 175" hidden="1">
              <a:extLst>
                <a:ext uri="{63B3BB69-23CF-44E3-9099-C40C66FF867C}">
                  <a14:compatExt spid="_x0000_s5295"/>
                </a:ext>
                <a:ext uri="{FF2B5EF4-FFF2-40B4-BE49-F238E27FC236}">
                  <a16:creationId xmlns:a16="http://schemas.microsoft.com/office/drawing/2014/main" id="{00000000-0008-0000-0500-0000AF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633</xdr:row>
          <xdr:rowOff>0</xdr:rowOff>
        </xdr:from>
        <xdr:to>
          <xdr:col>22</xdr:col>
          <xdr:colOff>184150</xdr:colOff>
          <xdr:row>633</xdr:row>
          <xdr:rowOff>184150</xdr:rowOff>
        </xdr:to>
        <xdr:sp macro="" textlink="">
          <xdr:nvSpPr>
            <xdr:cNvPr id="5296" name="Check Box 176" hidden="1">
              <a:extLst>
                <a:ext uri="{63B3BB69-23CF-44E3-9099-C40C66FF867C}">
                  <a14:compatExt spid="_x0000_s5296"/>
                </a:ext>
                <a:ext uri="{FF2B5EF4-FFF2-40B4-BE49-F238E27FC236}">
                  <a16:creationId xmlns:a16="http://schemas.microsoft.com/office/drawing/2014/main" id="{00000000-0008-0000-0500-0000B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710</xdr:row>
          <xdr:rowOff>0</xdr:rowOff>
        </xdr:from>
        <xdr:to>
          <xdr:col>22</xdr:col>
          <xdr:colOff>184150</xdr:colOff>
          <xdr:row>710</xdr:row>
          <xdr:rowOff>184150</xdr:rowOff>
        </xdr:to>
        <xdr:sp macro="" textlink="">
          <xdr:nvSpPr>
            <xdr:cNvPr id="5298" name="Check Box 178" hidden="1">
              <a:extLst>
                <a:ext uri="{63B3BB69-23CF-44E3-9099-C40C66FF867C}">
                  <a14:compatExt spid="_x0000_s5298"/>
                </a:ext>
                <a:ext uri="{FF2B5EF4-FFF2-40B4-BE49-F238E27FC236}">
                  <a16:creationId xmlns:a16="http://schemas.microsoft.com/office/drawing/2014/main" id="{00000000-0008-0000-0500-0000B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745</xdr:row>
          <xdr:rowOff>0</xdr:rowOff>
        </xdr:from>
        <xdr:to>
          <xdr:col>22</xdr:col>
          <xdr:colOff>184150</xdr:colOff>
          <xdr:row>745</xdr:row>
          <xdr:rowOff>184150</xdr:rowOff>
        </xdr:to>
        <xdr:sp macro="" textlink="">
          <xdr:nvSpPr>
            <xdr:cNvPr id="5300" name="Check Box 180" hidden="1">
              <a:extLst>
                <a:ext uri="{63B3BB69-23CF-44E3-9099-C40C66FF867C}">
                  <a14:compatExt spid="_x0000_s5300"/>
                </a:ext>
                <a:ext uri="{FF2B5EF4-FFF2-40B4-BE49-F238E27FC236}">
                  <a16:creationId xmlns:a16="http://schemas.microsoft.com/office/drawing/2014/main" id="{00000000-0008-0000-0500-0000B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747</xdr:row>
          <xdr:rowOff>0</xdr:rowOff>
        </xdr:from>
        <xdr:to>
          <xdr:col>22</xdr:col>
          <xdr:colOff>184150</xdr:colOff>
          <xdr:row>747</xdr:row>
          <xdr:rowOff>184150</xdr:rowOff>
        </xdr:to>
        <xdr:sp macro="" textlink="">
          <xdr:nvSpPr>
            <xdr:cNvPr id="5301" name="Check Box 181" hidden="1">
              <a:extLst>
                <a:ext uri="{63B3BB69-23CF-44E3-9099-C40C66FF867C}">
                  <a14:compatExt spid="_x0000_s5301"/>
                </a:ext>
                <a:ext uri="{FF2B5EF4-FFF2-40B4-BE49-F238E27FC236}">
                  <a16:creationId xmlns:a16="http://schemas.microsoft.com/office/drawing/2014/main" id="{00000000-0008-0000-0500-0000B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756</xdr:row>
          <xdr:rowOff>0</xdr:rowOff>
        </xdr:from>
        <xdr:to>
          <xdr:col>22</xdr:col>
          <xdr:colOff>184150</xdr:colOff>
          <xdr:row>756</xdr:row>
          <xdr:rowOff>184150</xdr:rowOff>
        </xdr:to>
        <xdr:sp macro="" textlink="">
          <xdr:nvSpPr>
            <xdr:cNvPr id="5302" name="Check Box 182" hidden="1">
              <a:extLst>
                <a:ext uri="{63B3BB69-23CF-44E3-9099-C40C66FF867C}">
                  <a14:compatExt spid="_x0000_s5302"/>
                </a:ext>
                <a:ext uri="{FF2B5EF4-FFF2-40B4-BE49-F238E27FC236}">
                  <a16:creationId xmlns:a16="http://schemas.microsoft.com/office/drawing/2014/main" id="{00000000-0008-0000-0500-0000B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760</xdr:row>
          <xdr:rowOff>0</xdr:rowOff>
        </xdr:from>
        <xdr:to>
          <xdr:col>22</xdr:col>
          <xdr:colOff>184150</xdr:colOff>
          <xdr:row>760</xdr:row>
          <xdr:rowOff>184150</xdr:rowOff>
        </xdr:to>
        <xdr:sp macro="" textlink="">
          <xdr:nvSpPr>
            <xdr:cNvPr id="5303" name="Check Box 183" hidden="1">
              <a:extLst>
                <a:ext uri="{63B3BB69-23CF-44E3-9099-C40C66FF867C}">
                  <a14:compatExt spid="_x0000_s5303"/>
                </a:ext>
                <a:ext uri="{FF2B5EF4-FFF2-40B4-BE49-F238E27FC236}">
                  <a16:creationId xmlns:a16="http://schemas.microsoft.com/office/drawing/2014/main" id="{00000000-0008-0000-0500-0000B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765</xdr:row>
          <xdr:rowOff>0</xdr:rowOff>
        </xdr:from>
        <xdr:to>
          <xdr:col>22</xdr:col>
          <xdr:colOff>184150</xdr:colOff>
          <xdr:row>765</xdr:row>
          <xdr:rowOff>184150</xdr:rowOff>
        </xdr:to>
        <xdr:sp macro="" textlink="">
          <xdr:nvSpPr>
            <xdr:cNvPr id="5304" name="Check Box 184" hidden="1">
              <a:extLst>
                <a:ext uri="{63B3BB69-23CF-44E3-9099-C40C66FF867C}">
                  <a14:compatExt spid="_x0000_s5304"/>
                </a:ext>
                <a:ext uri="{FF2B5EF4-FFF2-40B4-BE49-F238E27FC236}">
                  <a16:creationId xmlns:a16="http://schemas.microsoft.com/office/drawing/2014/main" id="{00000000-0008-0000-0500-0000B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766</xdr:row>
          <xdr:rowOff>0</xdr:rowOff>
        </xdr:from>
        <xdr:to>
          <xdr:col>22</xdr:col>
          <xdr:colOff>184150</xdr:colOff>
          <xdr:row>766</xdr:row>
          <xdr:rowOff>184150</xdr:rowOff>
        </xdr:to>
        <xdr:sp macro="" textlink="">
          <xdr:nvSpPr>
            <xdr:cNvPr id="5305" name="Check Box 185" hidden="1">
              <a:extLst>
                <a:ext uri="{63B3BB69-23CF-44E3-9099-C40C66FF867C}">
                  <a14:compatExt spid="_x0000_s5305"/>
                </a:ext>
                <a:ext uri="{FF2B5EF4-FFF2-40B4-BE49-F238E27FC236}">
                  <a16:creationId xmlns:a16="http://schemas.microsoft.com/office/drawing/2014/main" id="{00000000-0008-0000-0500-0000B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735</xdr:row>
          <xdr:rowOff>0</xdr:rowOff>
        </xdr:from>
        <xdr:to>
          <xdr:col>22</xdr:col>
          <xdr:colOff>184150</xdr:colOff>
          <xdr:row>735</xdr:row>
          <xdr:rowOff>184150</xdr:rowOff>
        </xdr:to>
        <xdr:sp macro="" textlink="">
          <xdr:nvSpPr>
            <xdr:cNvPr id="5306" name="Check Box 186" hidden="1">
              <a:extLst>
                <a:ext uri="{63B3BB69-23CF-44E3-9099-C40C66FF867C}">
                  <a14:compatExt spid="_x0000_s5306"/>
                </a:ext>
                <a:ext uri="{FF2B5EF4-FFF2-40B4-BE49-F238E27FC236}">
                  <a16:creationId xmlns:a16="http://schemas.microsoft.com/office/drawing/2014/main" id="{00000000-0008-0000-0500-0000B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12</xdr:col>
      <xdr:colOff>476250</xdr:colOff>
      <xdr:row>0</xdr:row>
      <xdr:rowOff>0</xdr:rowOff>
    </xdr:from>
    <xdr:to>
      <xdr:col>22</xdr:col>
      <xdr:colOff>882650</xdr:colOff>
      <xdr:row>4</xdr:row>
      <xdr:rowOff>144942</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1550"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54</xdr:row>
          <xdr:rowOff>0</xdr:rowOff>
        </xdr:from>
        <xdr:to>
          <xdr:col>22</xdr:col>
          <xdr:colOff>184150</xdr:colOff>
          <xdr:row>54</xdr:row>
          <xdr:rowOff>184150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600-00000A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xdr:row>
          <xdr:rowOff>0</xdr:rowOff>
        </xdr:from>
        <xdr:to>
          <xdr:col>22</xdr:col>
          <xdr:colOff>184150</xdr:colOff>
          <xdr:row>49</xdr:row>
          <xdr:rowOff>184150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600-00000C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130</xdr:row>
          <xdr:rowOff>0</xdr:rowOff>
        </xdr:from>
        <xdr:to>
          <xdr:col>22</xdr:col>
          <xdr:colOff>184150</xdr:colOff>
          <xdr:row>130</xdr:row>
          <xdr:rowOff>184150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600-000013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137</xdr:row>
          <xdr:rowOff>0</xdr:rowOff>
        </xdr:from>
        <xdr:to>
          <xdr:col>22</xdr:col>
          <xdr:colOff>184150</xdr:colOff>
          <xdr:row>137</xdr:row>
          <xdr:rowOff>184150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600-000014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139</xdr:row>
          <xdr:rowOff>0</xdr:rowOff>
        </xdr:from>
        <xdr:to>
          <xdr:col>22</xdr:col>
          <xdr:colOff>184150</xdr:colOff>
          <xdr:row>139</xdr:row>
          <xdr:rowOff>184150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600-000015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155</xdr:row>
          <xdr:rowOff>0</xdr:rowOff>
        </xdr:from>
        <xdr:to>
          <xdr:col>22</xdr:col>
          <xdr:colOff>184150</xdr:colOff>
          <xdr:row>155</xdr:row>
          <xdr:rowOff>184150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600-00001C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157</xdr:row>
          <xdr:rowOff>0</xdr:rowOff>
        </xdr:from>
        <xdr:to>
          <xdr:col>22</xdr:col>
          <xdr:colOff>184150</xdr:colOff>
          <xdr:row>157</xdr:row>
          <xdr:rowOff>184150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600-00001D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163</xdr:row>
          <xdr:rowOff>0</xdr:rowOff>
        </xdr:from>
        <xdr:to>
          <xdr:col>22</xdr:col>
          <xdr:colOff>184150</xdr:colOff>
          <xdr:row>163</xdr:row>
          <xdr:rowOff>184150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600-00001F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191</xdr:row>
          <xdr:rowOff>0</xdr:rowOff>
        </xdr:from>
        <xdr:to>
          <xdr:col>22</xdr:col>
          <xdr:colOff>184150</xdr:colOff>
          <xdr:row>191</xdr:row>
          <xdr:rowOff>184150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600-000021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190</xdr:row>
          <xdr:rowOff>0</xdr:rowOff>
        </xdr:from>
        <xdr:to>
          <xdr:col>22</xdr:col>
          <xdr:colOff>184150</xdr:colOff>
          <xdr:row>190</xdr:row>
          <xdr:rowOff>184150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600-000022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232</xdr:row>
          <xdr:rowOff>0</xdr:rowOff>
        </xdr:from>
        <xdr:to>
          <xdr:col>22</xdr:col>
          <xdr:colOff>184150</xdr:colOff>
          <xdr:row>232</xdr:row>
          <xdr:rowOff>184150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600-000024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230</xdr:row>
          <xdr:rowOff>0</xdr:rowOff>
        </xdr:from>
        <xdr:to>
          <xdr:col>22</xdr:col>
          <xdr:colOff>184150</xdr:colOff>
          <xdr:row>230</xdr:row>
          <xdr:rowOff>184150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600-000025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227</xdr:row>
          <xdr:rowOff>0</xdr:rowOff>
        </xdr:from>
        <xdr:to>
          <xdr:col>22</xdr:col>
          <xdr:colOff>184150</xdr:colOff>
          <xdr:row>227</xdr:row>
          <xdr:rowOff>184150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600-000026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218</xdr:row>
          <xdr:rowOff>0</xdr:rowOff>
        </xdr:from>
        <xdr:to>
          <xdr:col>22</xdr:col>
          <xdr:colOff>184150</xdr:colOff>
          <xdr:row>218</xdr:row>
          <xdr:rowOff>184150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600-00002A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144</xdr:row>
          <xdr:rowOff>0</xdr:rowOff>
        </xdr:from>
        <xdr:to>
          <xdr:col>22</xdr:col>
          <xdr:colOff>184150</xdr:colOff>
          <xdr:row>144</xdr:row>
          <xdr:rowOff>184150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600-000038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148</xdr:row>
          <xdr:rowOff>0</xdr:rowOff>
        </xdr:from>
        <xdr:to>
          <xdr:col>22</xdr:col>
          <xdr:colOff>184150</xdr:colOff>
          <xdr:row>148</xdr:row>
          <xdr:rowOff>184150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600-000039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149</xdr:row>
          <xdr:rowOff>0</xdr:rowOff>
        </xdr:from>
        <xdr:to>
          <xdr:col>22</xdr:col>
          <xdr:colOff>184150</xdr:colOff>
          <xdr:row>149</xdr:row>
          <xdr:rowOff>184150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600-00003A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150</xdr:row>
          <xdr:rowOff>0</xdr:rowOff>
        </xdr:from>
        <xdr:to>
          <xdr:col>22</xdr:col>
          <xdr:colOff>184150</xdr:colOff>
          <xdr:row>150</xdr:row>
          <xdr:rowOff>184150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600-00003B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165</xdr:row>
          <xdr:rowOff>0</xdr:rowOff>
        </xdr:from>
        <xdr:to>
          <xdr:col>22</xdr:col>
          <xdr:colOff>184150</xdr:colOff>
          <xdr:row>165</xdr:row>
          <xdr:rowOff>184150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600-00003D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167</xdr:row>
          <xdr:rowOff>0</xdr:rowOff>
        </xdr:from>
        <xdr:to>
          <xdr:col>22</xdr:col>
          <xdr:colOff>184150</xdr:colOff>
          <xdr:row>167</xdr:row>
          <xdr:rowOff>184150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600-00003E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168</xdr:row>
          <xdr:rowOff>0</xdr:rowOff>
        </xdr:from>
        <xdr:to>
          <xdr:col>22</xdr:col>
          <xdr:colOff>184150</xdr:colOff>
          <xdr:row>168</xdr:row>
          <xdr:rowOff>184150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600-00003F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170</xdr:row>
          <xdr:rowOff>0</xdr:rowOff>
        </xdr:from>
        <xdr:to>
          <xdr:col>22</xdr:col>
          <xdr:colOff>184150</xdr:colOff>
          <xdr:row>170</xdr:row>
          <xdr:rowOff>184150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600-000040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210</xdr:row>
          <xdr:rowOff>0</xdr:rowOff>
        </xdr:from>
        <xdr:to>
          <xdr:col>22</xdr:col>
          <xdr:colOff>184150</xdr:colOff>
          <xdr:row>210</xdr:row>
          <xdr:rowOff>184150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600-000043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12</xdr:col>
      <xdr:colOff>476250</xdr:colOff>
      <xdr:row>0</xdr:row>
      <xdr:rowOff>0</xdr:rowOff>
    </xdr:from>
    <xdr:to>
      <xdr:col>22</xdr:col>
      <xdr:colOff>885825</xdr:colOff>
      <xdr:row>4</xdr:row>
      <xdr:rowOff>141767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67475"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11</xdr:row>
          <xdr:rowOff>0</xdr:rowOff>
        </xdr:from>
        <xdr:to>
          <xdr:col>22</xdr:col>
          <xdr:colOff>184150</xdr:colOff>
          <xdr:row>11</xdr:row>
          <xdr:rowOff>184150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xdr:row>
          <xdr:rowOff>0</xdr:rowOff>
        </xdr:from>
        <xdr:to>
          <xdr:col>22</xdr:col>
          <xdr:colOff>184150</xdr:colOff>
          <xdr:row>17</xdr:row>
          <xdr:rowOff>184150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33</xdr:row>
          <xdr:rowOff>0</xdr:rowOff>
        </xdr:from>
        <xdr:to>
          <xdr:col>22</xdr:col>
          <xdr:colOff>184150</xdr:colOff>
          <xdr:row>33</xdr:row>
          <xdr:rowOff>184150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700-000006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xdr:row>
          <xdr:rowOff>0</xdr:rowOff>
        </xdr:from>
        <xdr:to>
          <xdr:col>22</xdr:col>
          <xdr:colOff>184150</xdr:colOff>
          <xdr:row>54</xdr:row>
          <xdr:rowOff>184150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700-00000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67</xdr:row>
          <xdr:rowOff>0</xdr:rowOff>
        </xdr:from>
        <xdr:to>
          <xdr:col>22</xdr:col>
          <xdr:colOff>184150</xdr:colOff>
          <xdr:row>67</xdr:row>
          <xdr:rowOff>184150</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61</xdr:row>
          <xdr:rowOff>0</xdr:rowOff>
        </xdr:from>
        <xdr:to>
          <xdr:col>22</xdr:col>
          <xdr:colOff>184150</xdr:colOff>
          <xdr:row>61</xdr:row>
          <xdr:rowOff>184150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700-000010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90</xdr:row>
          <xdr:rowOff>0</xdr:rowOff>
        </xdr:from>
        <xdr:to>
          <xdr:col>22</xdr:col>
          <xdr:colOff>184150</xdr:colOff>
          <xdr:row>90</xdr:row>
          <xdr:rowOff>184150</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700-00001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xdr:row>
          <xdr:rowOff>0</xdr:rowOff>
        </xdr:from>
        <xdr:to>
          <xdr:col>22</xdr:col>
          <xdr:colOff>184150</xdr:colOff>
          <xdr:row>92</xdr:row>
          <xdr:rowOff>184150</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700-00001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95</xdr:row>
          <xdr:rowOff>0</xdr:rowOff>
        </xdr:from>
        <xdr:to>
          <xdr:col>22</xdr:col>
          <xdr:colOff>184150</xdr:colOff>
          <xdr:row>95</xdr:row>
          <xdr:rowOff>184150</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700-00001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118</xdr:row>
          <xdr:rowOff>0</xdr:rowOff>
        </xdr:from>
        <xdr:to>
          <xdr:col>22</xdr:col>
          <xdr:colOff>184150</xdr:colOff>
          <xdr:row>118</xdr:row>
          <xdr:rowOff>184150</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700-000017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129</xdr:row>
          <xdr:rowOff>0</xdr:rowOff>
        </xdr:from>
        <xdr:to>
          <xdr:col>22</xdr:col>
          <xdr:colOff>184150</xdr:colOff>
          <xdr:row>129</xdr:row>
          <xdr:rowOff>184150</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700-000018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131</xdr:row>
          <xdr:rowOff>0</xdr:rowOff>
        </xdr:from>
        <xdr:to>
          <xdr:col>22</xdr:col>
          <xdr:colOff>184150</xdr:colOff>
          <xdr:row>131</xdr:row>
          <xdr:rowOff>184150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700-00001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xdr:row>
          <xdr:rowOff>0</xdr:rowOff>
        </xdr:from>
        <xdr:to>
          <xdr:col>22</xdr:col>
          <xdr:colOff>184150</xdr:colOff>
          <xdr:row>132</xdr:row>
          <xdr:rowOff>184150</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700-00001A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139</xdr:row>
          <xdr:rowOff>0</xdr:rowOff>
        </xdr:from>
        <xdr:to>
          <xdr:col>22</xdr:col>
          <xdr:colOff>184150</xdr:colOff>
          <xdr:row>139</xdr:row>
          <xdr:rowOff>184150</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700-00001B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148</xdr:row>
          <xdr:rowOff>0</xdr:rowOff>
        </xdr:from>
        <xdr:to>
          <xdr:col>22</xdr:col>
          <xdr:colOff>184150</xdr:colOff>
          <xdr:row>148</xdr:row>
          <xdr:rowOff>184150</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700-00001C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153</xdr:row>
          <xdr:rowOff>0</xdr:rowOff>
        </xdr:from>
        <xdr:to>
          <xdr:col>22</xdr:col>
          <xdr:colOff>184150</xdr:colOff>
          <xdr:row>153</xdr:row>
          <xdr:rowOff>184150</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700-00001D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154</xdr:row>
          <xdr:rowOff>0</xdr:rowOff>
        </xdr:from>
        <xdr:to>
          <xdr:col>22</xdr:col>
          <xdr:colOff>184150</xdr:colOff>
          <xdr:row>154</xdr:row>
          <xdr:rowOff>184150</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700-00001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158</xdr:row>
          <xdr:rowOff>0</xdr:rowOff>
        </xdr:from>
        <xdr:to>
          <xdr:col>22</xdr:col>
          <xdr:colOff>184150</xdr:colOff>
          <xdr:row>158</xdr:row>
          <xdr:rowOff>184150</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700-00001F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171</xdr:row>
          <xdr:rowOff>0</xdr:rowOff>
        </xdr:from>
        <xdr:to>
          <xdr:col>22</xdr:col>
          <xdr:colOff>184150</xdr:colOff>
          <xdr:row>171</xdr:row>
          <xdr:rowOff>184150</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700-000021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172</xdr:row>
          <xdr:rowOff>0</xdr:rowOff>
        </xdr:from>
        <xdr:to>
          <xdr:col>22</xdr:col>
          <xdr:colOff>184150</xdr:colOff>
          <xdr:row>172</xdr:row>
          <xdr:rowOff>184150</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700-00002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175</xdr:row>
          <xdr:rowOff>0</xdr:rowOff>
        </xdr:from>
        <xdr:to>
          <xdr:col>22</xdr:col>
          <xdr:colOff>184150</xdr:colOff>
          <xdr:row>175</xdr:row>
          <xdr:rowOff>184150</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700-00002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177</xdr:row>
          <xdr:rowOff>0</xdr:rowOff>
        </xdr:from>
        <xdr:to>
          <xdr:col>22</xdr:col>
          <xdr:colOff>184150</xdr:colOff>
          <xdr:row>177</xdr:row>
          <xdr:rowOff>184150</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700-00002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183</xdr:row>
          <xdr:rowOff>0</xdr:rowOff>
        </xdr:from>
        <xdr:to>
          <xdr:col>22</xdr:col>
          <xdr:colOff>184150</xdr:colOff>
          <xdr:row>183</xdr:row>
          <xdr:rowOff>184150</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700-00002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xdr:row>
          <xdr:rowOff>0</xdr:rowOff>
        </xdr:from>
        <xdr:to>
          <xdr:col>22</xdr:col>
          <xdr:colOff>184150</xdr:colOff>
          <xdr:row>185</xdr:row>
          <xdr:rowOff>184150</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700-000026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189</xdr:row>
          <xdr:rowOff>0</xdr:rowOff>
        </xdr:from>
        <xdr:to>
          <xdr:col>22</xdr:col>
          <xdr:colOff>184150</xdr:colOff>
          <xdr:row>189</xdr:row>
          <xdr:rowOff>184150</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700-000027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196</xdr:row>
          <xdr:rowOff>0</xdr:rowOff>
        </xdr:from>
        <xdr:to>
          <xdr:col>22</xdr:col>
          <xdr:colOff>184150</xdr:colOff>
          <xdr:row>196</xdr:row>
          <xdr:rowOff>184150</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700-000028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207</xdr:row>
          <xdr:rowOff>0</xdr:rowOff>
        </xdr:from>
        <xdr:to>
          <xdr:col>22</xdr:col>
          <xdr:colOff>184150</xdr:colOff>
          <xdr:row>207</xdr:row>
          <xdr:rowOff>184150</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700-00002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209</xdr:row>
          <xdr:rowOff>0</xdr:rowOff>
        </xdr:from>
        <xdr:to>
          <xdr:col>22</xdr:col>
          <xdr:colOff>184150</xdr:colOff>
          <xdr:row>209</xdr:row>
          <xdr:rowOff>184150</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700-00002A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211</xdr:row>
          <xdr:rowOff>0</xdr:rowOff>
        </xdr:from>
        <xdr:to>
          <xdr:col>22</xdr:col>
          <xdr:colOff>184150</xdr:colOff>
          <xdr:row>211</xdr:row>
          <xdr:rowOff>184150</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700-00002B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229</xdr:row>
          <xdr:rowOff>0</xdr:rowOff>
        </xdr:from>
        <xdr:to>
          <xdr:col>22</xdr:col>
          <xdr:colOff>184150</xdr:colOff>
          <xdr:row>229</xdr:row>
          <xdr:rowOff>184150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700-00002C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231</xdr:row>
          <xdr:rowOff>0</xdr:rowOff>
        </xdr:from>
        <xdr:to>
          <xdr:col>22</xdr:col>
          <xdr:colOff>184150</xdr:colOff>
          <xdr:row>231</xdr:row>
          <xdr:rowOff>184150</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700-00002D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234</xdr:row>
          <xdr:rowOff>0</xdr:rowOff>
        </xdr:from>
        <xdr:to>
          <xdr:col>22</xdr:col>
          <xdr:colOff>184150</xdr:colOff>
          <xdr:row>234</xdr:row>
          <xdr:rowOff>184150</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700-00002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313</xdr:row>
          <xdr:rowOff>0</xdr:rowOff>
        </xdr:from>
        <xdr:to>
          <xdr:col>22</xdr:col>
          <xdr:colOff>184150</xdr:colOff>
          <xdr:row>313</xdr:row>
          <xdr:rowOff>184150</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700-000030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315</xdr:row>
          <xdr:rowOff>0</xdr:rowOff>
        </xdr:from>
        <xdr:to>
          <xdr:col>22</xdr:col>
          <xdr:colOff>184150</xdr:colOff>
          <xdr:row>315</xdr:row>
          <xdr:rowOff>184150</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700-000031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321</xdr:row>
          <xdr:rowOff>0</xdr:rowOff>
        </xdr:from>
        <xdr:to>
          <xdr:col>22</xdr:col>
          <xdr:colOff>184150</xdr:colOff>
          <xdr:row>321</xdr:row>
          <xdr:rowOff>184150</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700-00003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323</xdr:row>
          <xdr:rowOff>0</xdr:rowOff>
        </xdr:from>
        <xdr:to>
          <xdr:col>22</xdr:col>
          <xdr:colOff>184150</xdr:colOff>
          <xdr:row>323</xdr:row>
          <xdr:rowOff>184150</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700-00003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337</xdr:row>
          <xdr:rowOff>0</xdr:rowOff>
        </xdr:from>
        <xdr:to>
          <xdr:col>22</xdr:col>
          <xdr:colOff>184150</xdr:colOff>
          <xdr:row>337</xdr:row>
          <xdr:rowOff>184150</xdr:rowOff>
        </xdr:to>
        <xdr:sp macro="" textlink="">
          <xdr:nvSpPr>
            <xdr:cNvPr id="7221" name="Check Box 53" hidden="1">
              <a:extLst>
                <a:ext uri="{63B3BB69-23CF-44E3-9099-C40C66FF867C}">
                  <a14:compatExt spid="_x0000_s7221"/>
                </a:ext>
                <a:ext uri="{FF2B5EF4-FFF2-40B4-BE49-F238E27FC236}">
                  <a16:creationId xmlns:a16="http://schemas.microsoft.com/office/drawing/2014/main" id="{00000000-0008-0000-0700-00003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338</xdr:row>
          <xdr:rowOff>0</xdr:rowOff>
        </xdr:from>
        <xdr:to>
          <xdr:col>22</xdr:col>
          <xdr:colOff>184150</xdr:colOff>
          <xdr:row>338</xdr:row>
          <xdr:rowOff>184150</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700-000036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343</xdr:row>
          <xdr:rowOff>0</xdr:rowOff>
        </xdr:from>
        <xdr:to>
          <xdr:col>22</xdr:col>
          <xdr:colOff>184150</xdr:colOff>
          <xdr:row>343</xdr:row>
          <xdr:rowOff>184150</xdr:rowOff>
        </xdr:to>
        <xdr:sp macro="" textlink="">
          <xdr:nvSpPr>
            <xdr:cNvPr id="7223" name="Check Box 55" hidden="1">
              <a:extLst>
                <a:ext uri="{63B3BB69-23CF-44E3-9099-C40C66FF867C}">
                  <a14:compatExt spid="_x0000_s7223"/>
                </a:ext>
                <a:ext uri="{FF2B5EF4-FFF2-40B4-BE49-F238E27FC236}">
                  <a16:creationId xmlns:a16="http://schemas.microsoft.com/office/drawing/2014/main" id="{00000000-0008-0000-0700-000037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348</xdr:row>
          <xdr:rowOff>0</xdr:rowOff>
        </xdr:from>
        <xdr:to>
          <xdr:col>22</xdr:col>
          <xdr:colOff>184150</xdr:colOff>
          <xdr:row>348</xdr:row>
          <xdr:rowOff>184150</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700-000038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365</xdr:row>
          <xdr:rowOff>0</xdr:rowOff>
        </xdr:from>
        <xdr:to>
          <xdr:col>22</xdr:col>
          <xdr:colOff>184150</xdr:colOff>
          <xdr:row>365</xdr:row>
          <xdr:rowOff>184150</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700-00003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370</xdr:row>
          <xdr:rowOff>0</xdr:rowOff>
        </xdr:from>
        <xdr:to>
          <xdr:col>22</xdr:col>
          <xdr:colOff>184150</xdr:colOff>
          <xdr:row>370</xdr:row>
          <xdr:rowOff>184150</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700-00003A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134</xdr:row>
          <xdr:rowOff>0</xdr:rowOff>
        </xdr:from>
        <xdr:to>
          <xdr:col>22</xdr:col>
          <xdr:colOff>184150</xdr:colOff>
          <xdr:row>134</xdr:row>
          <xdr:rowOff>184150</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700-00003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163</xdr:row>
          <xdr:rowOff>0</xdr:rowOff>
        </xdr:from>
        <xdr:to>
          <xdr:col>22</xdr:col>
          <xdr:colOff>184150</xdr:colOff>
          <xdr:row>163</xdr:row>
          <xdr:rowOff>184150</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700-000040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214</xdr:row>
          <xdr:rowOff>0</xdr:rowOff>
        </xdr:from>
        <xdr:to>
          <xdr:col>22</xdr:col>
          <xdr:colOff>184150</xdr:colOff>
          <xdr:row>214</xdr:row>
          <xdr:rowOff>184150</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700-00004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285</xdr:row>
          <xdr:rowOff>0</xdr:rowOff>
        </xdr:from>
        <xdr:to>
          <xdr:col>22</xdr:col>
          <xdr:colOff>184150</xdr:colOff>
          <xdr:row>285</xdr:row>
          <xdr:rowOff>184150</xdr:rowOff>
        </xdr:to>
        <xdr:sp macro="" textlink="">
          <xdr:nvSpPr>
            <xdr:cNvPr id="7239" name="Check Box 71" hidden="1">
              <a:extLst>
                <a:ext uri="{63B3BB69-23CF-44E3-9099-C40C66FF867C}">
                  <a14:compatExt spid="_x0000_s7239"/>
                </a:ext>
                <a:ext uri="{FF2B5EF4-FFF2-40B4-BE49-F238E27FC236}">
                  <a16:creationId xmlns:a16="http://schemas.microsoft.com/office/drawing/2014/main" id="{00000000-0008-0000-0700-000047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287</xdr:row>
          <xdr:rowOff>0</xdr:rowOff>
        </xdr:from>
        <xdr:to>
          <xdr:col>22</xdr:col>
          <xdr:colOff>184150</xdr:colOff>
          <xdr:row>287</xdr:row>
          <xdr:rowOff>184150</xdr:rowOff>
        </xdr:to>
        <xdr:sp macro="" textlink="">
          <xdr:nvSpPr>
            <xdr:cNvPr id="7240" name="Check Box 72" hidden="1">
              <a:extLst>
                <a:ext uri="{63B3BB69-23CF-44E3-9099-C40C66FF867C}">
                  <a14:compatExt spid="_x0000_s7240"/>
                </a:ext>
                <a:ext uri="{FF2B5EF4-FFF2-40B4-BE49-F238E27FC236}">
                  <a16:creationId xmlns:a16="http://schemas.microsoft.com/office/drawing/2014/main" id="{00000000-0008-0000-0700-000048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318</xdr:row>
          <xdr:rowOff>0</xdr:rowOff>
        </xdr:from>
        <xdr:to>
          <xdr:col>22</xdr:col>
          <xdr:colOff>184150</xdr:colOff>
          <xdr:row>318</xdr:row>
          <xdr:rowOff>184150</xdr:rowOff>
        </xdr:to>
        <xdr:sp macro="" textlink="">
          <xdr:nvSpPr>
            <xdr:cNvPr id="7245" name="Check Box 77" hidden="1">
              <a:extLst>
                <a:ext uri="{63B3BB69-23CF-44E3-9099-C40C66FF867C}">
                  <a14:compatExt spid="_x0000_s7245"/>
                </a:ext>
                <a:ext uri="{FF2B5EF4-FFF2-40B4-BE49-F238E27FC236}">
                  <a16:creationId xmlns:a16="http://schemas.microsoft.com/office/drawing/2014/main" id="{00000000-0008-0000-0700-00004D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353</xdr:row>
          <xdr:rowOff>0</xdr:rowOff>
        </xdr:from>
        <xdr:to>
          <xdr:col>22</xdr:col>
          <xdr:colOff>184150</xdr:colOff>
          <xdr:row>353</xdr:row>
          <xdr:rowOff>184150</xdr:rowOff>
        </xdr:to>
        <xdr:sp macro="" textlink="">
          <xdr:nvSpPr>
            <xdr:cNvPr id="7247" name="Check Box 79" hidden="1">
              <a:extLst>
                <a:ext uri="{63B3BB69-23CF-44E3-9099-C40C66FF867C}">
                  <a14:compatExt spid="_x0000_s7247"/>
                </a:ext>
                <a:ext uri="{FF2B5EF4-FFF2-40B4-BE49-F238E27FC236}">
                  <a16:creationId xmlns:a16="http://schemas.microsoft.com/office/drawing/2014/main" id="{00000000-0008-0000-0700-00004F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361</xdr:row>
          <xdr:rowOff>0</xdr:rowOff>
        </xdr:from>
        <xdr:to>
          <xdr:col>22</xdr:col>
          <xdr:colOff>184150</xdr:colOff>
          <xdr:row>361</xdr:row>
          <xdr:rowOff>184150</xdr:rowOff>
        </xdr:to>
        <xdr:sp macro="" textlink="">
          <xdr:nvSpPr>
            <xdr:cNvPr id="7248" name="Check Box 80" hidden="1">
              <a:extLst>
                <a:ext uri="{63B3BB69-23CF-44E3-9099-C40C66FF867C}">
                  <a14:compatExt spid="_x0000_s7248"/>
                </a:ext>
                <a:ext uri="{FF2B5EF4-FFF2-40B4-BE49-F238E27FC236}">
                  <a16:creationId xmlns:a16="http://schemas.microsoft.com/office/drawing/2014/main" id="{00000000-0008-0000-0700-000050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373</xdr:row>
          <xdr:rowOff>0</xdr:rowOff>
        </xdr:from>
        <xdr:to>
          <xdr:col>22</xdr:col>
          <xdr:colOff>184150</xdr:colOff>
          <xdr:row>373</xdr:row>
          <xdr:rowOff>184150</xdr:rowOff>
        </xdr:to>
        <xdr:sp macro="" textlink="">
          <xdr:nvSpPr>
            <xdr:cNvPr id="7250" name="Check Box 82" hidden="1">
              <a:extLst>
                <a:ext uri="{63B3BB69-23CF-44E3-9099-C40C66FF867C}">
                  <a14:compatExt spid="_x0000_s7250"/>
                </a:ext>
                <a:ext uri="{FF2B5EF4-FFF2-40B4-BE49-F238E27FC236}">
                  <a16:creationId xmlns:a16="http://schemas.microsoft.com/office/drawing/2014/main" id="{00000000-0008-0000-0700-00005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374</xdr:row>
          <xdr:rowOff>0</xdr:rowOff>
        </xdr:from>
        <xdr:to>
          <xdr:col>22</xdr:col>
          <xdr:colOff>184150</xdr:colOff>
          <xdr:row>374</xdr:row>
          <xdr:rowOff>184150</xdr:rowOff>
        </xdr:to>
        <xdr:sp macro="" textlink="">
          <xdr:nvSpPr>
            <xdr:cNvPr id="7251" name="Check Box 83" hidden="1">
              <a:extLst>
                <a:ext uri="{63B3BB69-23CF-44E3-9099-C40C66FF867C}">
                  <a14:compatExt spid="_x0000_s7251"/>
                </a:ext>
                <a:ext uri="{FF2B5EF4-FFF2-40B4-BE49-F238E27FC236}">
                  <a16:creationId xmlns:a16="http://schemas.microsoft.com/office/drawing/2014/main" id="{00000000-0008-0000-0700-00005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376</xdr:row>
          <xdr:rowOff>0</xdr:rowOff>
        </xdr:from>
        <xdr:to>
          <xdr:col>22</xdr:col>
          <xdr:colOff>184150</xdr:colOff>
          <xdr:row>376</xdr:row>
          <xdr:rowOff>184150</xdr:rowOff>
        </xdr:to>
        <xdr:sp macro="" textlink="">
          <xdr:nvSpPr>
            <xdr:cNvPr id="7252" name="Check Box 84" hidden="1">
              <a:extLst>
                <a:ext uri="{63B3BB69-23CF-44E3-9099-C40C66FF867C}">
                  <a14:compatExt spid="_x0000_s7252"/>
                </a:ext>
                <a:ext uri="{FF2B5EF4-FFF2-40B4-BE49-F238E27FC236}">
                  <a16:creationId xmlns:a16="http://schemas.microsoft.com/office/drawing/2014/main" id="{00000000-0008-0000-0700-00005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381</xdr:row>
          <xdr:rowOff>0</xdr:rowOff>
        </xdr:from>
        <xdr:to>
          <xdr:col>22</xdr:col>
          <xdr:colOff>184150</xdr:colOff>
          <xdr:row>381</xdr:row>
          <xdr:rowOff>184150</xdr:rowOff>
        </xdr:to>
        <xdr:sp macro="" textlink="">
          <xdr:nvSpPr>
            <xdr:cNvPr id="7253" name="Check Box 85" hidden="1">
              <a:extLst>
                <a:ext uri="{63B3BB69-23CF-44E3-9099-C40C66FF867C}">
                  <a14:compatExt spid="_x0000_s7253"/>
                </a:ext>
                <a:ext uri="{FF2B5EF4-FFF2-40B4-BE49-F238E27FC236}">
                  <a16:creationId xmlns:a16="http://schemas.microsoft.com/office/drawing/2014/main" id="{00000000-0008-0000-0700-00005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12</xdr:col>
      <xdr:colOff>476250</xdr:colOff>
      <xdr:row>0</xdr:row>
      <xdr:rowOff>0</xdr:rowOff>
    </xdr:from>
    <xdr:to>
      <xdr:col>22</xdr:col>
      <xdr:colOff>885825</xdr:colOff>
      <xdr:row>4</xdr:row>
      <xdr:rowOff>141767</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67475"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14</xdr:row>
          <xdr:rowOff>0</xdr:rowOff>
        </xdr:from>
        <xdr:to>
          <xdr:col>22</xdr:col>
          <xdr:colOff>184150</xdr:colOff>
          <xdr:row>14</xdr:row>
          <xdr:rowOff>184150</xdr:rowOff>
        </xdr:to>
        <xdr:sp macro="" textlink="">
          <xdr:nvSpPr>
            <xdr:cNvPr id="8316" name="Check Box 124" hidden="1">
              <a:extLst>
                <a:ext uri="{63B3BB69-23CF-44E3-9099-C40C66FF867C}">
                  <a14:compatExt spid="_x0000_s8316"/>
                </a:ext>
                <a:ext uri="{FF2B5EF4-FFF2-40B4-BE49-F238E27FC236}">
                  <a16:creationId xmlns:a16="http://schemas.microsoft.com/office/drawing/2014/main" id="{00000000-0008-0000-0800-00007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xdr:row>
          <xdr:rowOff>0</xdr:rowOff>
        </xdr:from>
        <xdr:to>
          <xdr:col>22</xdr:col>
          <xdr:colOff>184150</xdr:colOff>
          <xdr:row>15</xdr:row>
          <xdr:rowOff>184150</xdr:rowOff>
        </xdr:to>
        <xdr:sp macro="" textlink="">
          <xdr:nvSpPr>
            <xdr:cNvPr id="8317" name="Check Box 125" hidden="1">
              <a:extLst>
                <a:ext uri="{63B3BB69-23CF-44E3-9099-C40C66FF867C}">
                  <a14:compatExt spid="_x0000_s8317"/>
                </a:ext>
                <a:ext uri="{FF2B5EF4-FFF2-40B4-BE49-F238E27FC236}">
                  <a16:creationId xmlns:a16="http://schemas.microsoft.com/office/drawing/2014/main" id="{00000000-0008-0000-0800-00007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xdr:row>
          <xdr:rowOff>0</xdr:rowOff>
        </xdr:from>
        <xdr:to>
          <xdr:col>22</xdr:col>
          <xdr:colOff>184150</xdr:colOff>
          <xdr:row>16</xdr:row>
          <xdr:rowOff>184150</xdr:rowOff>
        </xdr:to>
        <xdr:sp macro="" textlink="">
          <xdr:nvSpPr>
            <xdr:cNvPr id="8318" name="Check Box 126" hidden="1">
              <a:extLst>
                <a:ext uri="{63B3BB69-23CF-44E3-9099-C40C66FF867C}">
                  <a14:compatExt spid="_x0000_s8318"/>
                </a:ext>
                <a:ext uri="{FF2B5EF4-FFF2-40B4-BE49-F238E27FC236}">
                  <a16:creationId xmlns:a16="http://schemas.microsoft.com/office/drawing/2014/main" id="{00000000-0008-0000-0800-00007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xdr:row>
          <xdr:rowOff>0</xdr:rowOff>
        </xdr:from>
        <xdr:to>
          <xdr:col>22</xdr:col>
          <xdr:colOff>184150</xdr:colOff>
          <xdr:row>20</xdr:row>
          <xdr:rowOff>184150</xdr:rowOff>
        </xdr:to>
        <xdr:sp macro="" textlink="">
          <xdr:nvSpPr>
            <xdr:cNvPr id="8319" name="Check Box 127" hidden="1">
              <a:extLst>
                <a:ext uri="{63B3BB69-23CF-44E3-9099-C40C66FF867C}">
                  <a14:compatExt spid="_x0000_s8319"/>
                </a:ext>
                <a:ext uri="{FF2B5EF4-FFF2-40B4-BE49-F238E27FC236}">
                  <a16:creationId xmlns:a16="http://schemas.microsoft.com/office/drawing/2014/main" id="{00000000-0008-0000-0800-00007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xdr:row>
          <xdr:rowOff>0</xdr:rowOff>
        </xdr:from>
        <xdr:to>
          <xdr:col>22</xdr:col>
          <xdr:colOff>184150</xdr:colOff>
          <xdr:row>21</xdr:row>
          <xdr:rowOff>184150</xdr:rowOff>
        </xdr:to>
        <xdr:sp macro="" textlink="">
          <xdr:nvSpPr>
            <xdr:cNvPr id="8320" name="Check Box 128" hidden="1">
              <a:extLst>
                <a:ext uri="{63B3BB69-23CF-44E3-9099-C40C66FF867C}">
                  <a14:compatExt spid="_x0000_s8320"/>
                </a:ext>
                <a:ext uri="{FF2B5EF4-FFF2-40B4-BE49-F238E27FC236}">
                  <a16:creationId xmlns:a16="http://schemas.microsoft.com/office/drawing/2014/main" id="{00000000-0008-0000-0800-00008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xdr:row>
          <xdr:rowOff>0</xdr:rowOff>
        </xdr:from>
        <xdr:to>
          <xdr:col>22</xdr:col>
          <xdr:colOff>184150</xdr:colOff>
          <xdr:row>22</xdr:row>
          <xdr:rowOff>184150</xdr:rowOff>
        </xdr:to>
        <xdr:sp macro="" textlink="">
          <xdr:nvSpPr>
            <xdr:cNvPr id="8321" name="Check Box 129" hidden="1">
              <a:extLst>
                <a:ext uri="{63B3BB69-23CF-44E3-9099-C40C66FF867C}">
                  <a14:compatExt spid="_x0000_s8321"/>
                </a:ext>
                <a:ext uri="{FF2B5EF4-FFF2-40B4-BE49-F238E27FC236}">
                  <a16:creationId xmlns:a16="http://schemas.microsoft.com/office/drawing/2014/main" id="{00000000-0008-0000-0800-00008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xdr:row>
          <xdr:rowOff>0</xdr:rowOff>
        </xdr:from>
        <xdr:to>
          <xdr:col>22</xdr:col>
          <xdr:colOff>184150</xdr:colOff>
          <xdr:row>24</xdr:row>
          <xdr:rowOff>184150</xdr:rowOff>
        </xdr:to>
        <xdr:sp macro="" textlink="">
          <xdr:nvSpPr>
            <xdr:cNvPr id="8322" name="Check Box 130" hidden="1">
              <a:extLst>
                <a:ext uri="{63B3BB69-23CF-44E3-9099-C40C66FF867C}">
                  <a14:compatExt spid="_x0000_s8322"/>
                </a:ext>
                <a:ext uri="{FF2B5EF4-FFF2-40B4-BE49-F238E27FC236}">
                  <a16:creationId xmlns:a16="http://schemas.microsoft.com/office/drawing/2014/main" id="{00000000-0008-0000-0800-00008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xdr:row>
          <xdr:rowOff>0</xdr:rowOff>
        </xdr:from>
        <xdr:to>
          <xdr:col>22</xdr:col>
          <xdr:colOff>184150</xdr:colOff>
          <xdr:row>26</xdr:row>
          <xdr:rowOff>184150</xdr:rowOff>
        </xdr:to>
        <xdr:sp macro="" textlink="">
          <xdr:nvSpPr>
            <xdr:cNvPr id="8323" name="Check Box 131" hidden="1">
              <a:extLst>
                <a:ext uri="{63B3BB69-23CF-44E3-9099-C40C66FF867C}">
                  <a14:compatExt spid="_x0000_s8323"/>
                </a:ext>
                <a:ext uri="{FF2B5EF4-FFF2-40B4-BE49-F238E27FC236}">
                  <a16:creationId xmlns:a16="http://schemas.microsoft.com/office/drawing/2014/main" id="{00000000-0008-0000-0800-00008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xdr:row>
          <xdr:rowOff>0</xdr:rowOff>
        </xdr:from>
        <xdr:to>
          <xdr:col>22</xdr:col>
          <xdr:colOff>184150</xdr:colOff>
          <xdr:row>27</xdr:row>
          <xdr:rowOff>184150</xdr:rowOff>
        </xdr:to>
        <xdr:sp macro="" textlink="">
          <xdr:nvSpPr>
            <xdr:cNvPr id="8324" name="Check Box 132" hidden="1">
              <a:extLst>
                <a:ext uri="{63B3BB69-23CF-44E3-9099-C40C66FF867C}">
                  <a14:compatExt spid="_x0000_s8324"/>
                </a:ext>
                <a:ext uri="{FF2B5EF4-FFF2-40B4-BE49-F238E27FC236}">
                  <a16:creationId xmlns:a16="http://schemas.microsoft.com/office/drawing/2014/main" id="{00000000-0008-0000-0800-00008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xdr:row>
          <xdr:rowOff>0</xdr:rowOff>
        </xdr:from>
        <xdr:to>
          <xdr:col>22</xdr:col>
          <xdr:colOff>184150</xdr:colOff>
          <xdr:row>29</xdr:row>
          <xdr:rowOff>184150</xdr:rowOff>
        </xdr:to>
        <xdr:sp macro="" textlink="">
          <xdr:nvSpPr>
            <xdr:cNvPr id="8325" name="Check Box 133" hidden="1">
              <a:extLst>
                <a:ext uri="{63B3BB69-23CF-44E3-9099-C40C66FF867C}">
                  <a14:compatExt spid="_x0000_s8325"/>
                </a:ext>
                <a:ext uri="{FF2B5EF4-FFF2-40B4-BE49-F238E27FC236}">
                  <a16:creationId xmlns:a16="http://schemas.microsoft.com/office/drawing/2014/main" id="{00000000-0008-0000-0800-00008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xdr:row>
          <xdr:rowOff>0</xdr:rowOff>
        </xdr:from>
        <xdr:to>
          <xdr:col>22</xdr:col>
          <xdr:colOff>184150</xdr:colOff>
          <xdr:row>30</xdr:row>
          <xdr:rowOff>184150</xdr:rowOff>
        </xdr:to>
        <xdr:sp macro="" textlink="">
          <xdr:nvSpPr>
            <xdr:cNvPr id="8326" name="Check Box 134" hidden="1">
              <a:extLst>
                <a:ext uri="{63B3BB69-23CF-44E3-9099-C40C66FF867C}">
                  <a14:compatExt spid="_x0000_s8326"/>
                </a:ext>
                <a:ext uri="{FF2B5EF4-FFF2-40B4-BE49-F238E27FC236}">
                  <a16:creationId xmlns:a16="http://schemas.microsoft.com/office/drawing/2014/main" id="{00000000-0008-0000-0800-00008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xdr:row>
          <xdr:rowOff>0</xdr:rowOff>
        </xdr:from>
        <xdr:to>
          <xdr:col>22</xdr:col>
          <xdr:colOff>184150</xdr:colOff>
          <xdr:row>31</xdr:row>
          <xdr:rowOff>184150</xdr:rowOff>
        </xdr:to>
        <xdr:sp macro="" textlink="">
          <xdr:nvSpPr>
            <xdr:cNvPr id="8327" name="Check Box 135" hidden="1">
              <a:extLst>
                <a:ext uri="{63B3BB69-23CF-44E3-9099-C40C66FF867C}">
                  <a14:compatExt spid="_x0000_s8327"/>
                </a:ext>
                <a:ext uri="{FF2B5EF4-FFF2-40B4-BE49-F238E27FC236}">
                  <a16:creationId xmlns:a16="http://schemas.microsoft.com/office/drawing/2014/main" id="{00000000-0008-0000-0800-00008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xdr:row>
          <xdr:rowOff>0</xdr:rowOff>
        </xdr:from>
        <xdr:to>
          <xdr:col>22</xdr:col>
          <xdr:colOff>184150</xdr:colOff>
          <xdr:row>37</xdr:row>
          <xdr:rowOff>184150</xdr:rowOff>
        </xdr:to>
        <xdr:sp macro="" textlink="">
          <xdr:nvSpPr>
            <xdr:cNvPr id="8328" name="Check Box 136" hidden="1">
              <a:extLst>
                <a:ext uri="{63B3BB69-23CF-44E3-9099-C40C66FF867C}">
                  <a14:compatExt spid="_x0000_s8328"/>
                </a:ext>
                <a:ext uri="{FF2B5EF4-FFF2-40B4-BE49-F238E27FC236}">
                  <a16:creationId xmlns:a16="http://schemas.microsoft.com/office/drawing/2014/main" id="{00000000-0008-0000-0800-000088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xdr:row>
          <xdr:rowOff>0</xdr:rowOff>
        </xdr:from>
        <xdr:to>
          <xdr:col>22</xdr:col>
          <xdr:colOff>184150</xdr:colOff>
          <xdr:row>41</xdr:row>
          <xdr:rowOff>184150</xdr:rowOff>
        </xdr:to>
        <xdr:sp macro="" textlink="">
          <xdr:nvSpPr>
            <xdr:cNvPr id="8329" name="Check Box 137" hidden="1">
              <a:extLst>
                <a:ext uri="{63B3BB69-23CF-44E3-9099-C40C66FF867C}">
                  <a14:compatExt spid="_x0000_s8329"/>
                </a:ext>
                <a:ext uri="{FF2B5EF4-FFF2-40B4-BE49-F238E27FC236}">
                  <a16:creationId xmlns:a16="http://schemas.microsoft.com/office/drawing/2014/main" id="{00000000-0008-0000-0800-00008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43</xdr:row>
          <xdr:rowOff>0</xdr:rowOff>
        </xdr:from>
        <xdr:to>
          <xdr:col>22</xdr:col>
          <xdr:colOff>184150</xdr:colOff>
          <xdr:row>43</xdr:row>
          <xdr:rowOff>184150</xdr:rowOff>
        </xdr:to>
        <xdr:sp macro="" textlink="">
          <xdr:nvSpPr>
            <xdr:cNvPr id="8330" name="Check Box 138" hidden="1">
              <a:extLst>
                <a:ext uri="{63B3BB69-23CF-44E3-9099-C40C66FF867C}">
                  <a14:compatExt spid="_x0000_s8330"/>
                </a:ext>
                <a:ext uri="{FF2B5EF4-FFF2-40B4-BE49-F238E27FC236}">
                  <a16:creationId xmlns:a16="http://schemas.microsoft.com/office/drawing/2014/main" id="{00000000-0008-0000-0800-00008A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xdr:row>
          <xdr:rowOff>0</xdr:rowOff>
        </xdr:from>
        <xdr:to>
          <xdr:col>22</xdr:col>
          <xdr:colOff>184150</xdr:colOff>
          <xdr:row>45</xdr:row>
          <xdr:rowOff>184150</xdr:rowOff>
        </xdr:to>
        <xdr:sp macro="" textlink="">
          <xdr:nvSpPr>
            <xdr:cNvPr id="8331" name="Check Box 139" hidden="1">
              <a:extLst>
                <a:ext uri="{63B3BB69-23CF-44E3-9099-C40C66FF867C}">
                  <a14:compatExt spid="_x0000_s8331"/>
                </a:ext>
                <a:ext uri="{FF2B5EF4-FFF2-40B4-BE49-F238E27FC236}">
                  <a16:creationId xmlns:a16="http://schemas.microsoft.com/office/drawing/2014/main" id="{00000000-0008-0000-0800-00008B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xdr:row>
          <xdr:rowOff>0</xdr:rowOff>
        </xdr:from>
        <xdr:to>
          <xdr:col>22</xdr:col>
          <xdr:colOff>184150</xdr:colOff>
          <xdr:row>46</xdr:row>
          <xdr:rowOff>184150</xdr:rowOff>
        </xdr:to>
        <xdr:sp macro="" textlink="">
          <xdr:nvSpPr>
            <xdr:cNvPr id="8332" name="Check Box 140" hidden="1">
              <a:extLst>
                <a:ext uri="{63B3BB69-23CF-44E3-9099-C40C66FF867C}">
                  <a14:compatExt spid="_x0000_s8332"/>
                </a:ext>
                <a:ext uri="{FF2B5EF4-FFF2-40B4-BE49-F238E27FC236}">
                  <a16:creationId xmlns:a16="http://schemas.microsoft.com/office/drawing/2014/main" id="{00000000-0008-0000-0800-00008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xdr:row>
          <xdr:rowOff>0</xdr:rowOff>
        </xdr:from>
        <xdr:to>
          <xdr:col>22</xdr:col>
          <xdr:colOff>184150</xdr:colOff>
          <xdr:row>48</xdr:row>
          <xdr:rowOff>184150</xdr:rowOff>
        </xdr:to>
        <xdr:sp macro="" textlink="">
          <xdr:nvSpPr>
            <xdr:cNvPr id="8333" name="Check Box 141" hidden="1">
              <a:extLst>
                <a:ext uri="{63B3BB69-23CF-44E3-9099-C40C66FF867C}">
                  <a14:compatExt spid="_x0000_s8333"/>
                </a:ext>
                <a:ext uri="{FF2B5EF4-FFF2-40B4-BE49-F238E27FC236}">
                  <a16:creationId xmlns:a16="http://schemas.microsoft.com/office/drawing/2014/main" id="{00000000-0008-0000-0800-00008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xdr:row>
          <xdr:rowOff>0</xdr:rowOff>
        </xdr:from>
        <xdr:to>
          <xdr:col>22</xdr:col>
          <xdr:colOff>184150</xdr:colOff>
          <xdr:row>50</xdr:row>
          <xdr:rowOff>184150</xdr:rowOff>
        </xdr:to>
        <xdr:sp macro="" textlink="">
          <xdr:nvSpPr>
            <xdr:cNvPr id="8334" name="Check Box 142" hidden="1">
              <a:extLst>
                <a:ext uri="{63B3BB69-23CF-44E3-9099-C40C66FF867C}">
                  <a14:compatExt spid="_x0000_s8334"/>
                </a:ext>
                <a:ext uri="{FF2B5EF4-FFF2-40B4-BE49-F238E27FC236}">
                  <a16:creationId xmlns:a16="http://schemas.microsoft.com/office/drawing/2014/main" id="{00000000-0008-0000-0800-00008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xdr:row>
          <xdr:rowOff>0</xdr:rowOff>
        </xdr:from>
        <xdr:to>
          <xdr:col>22</xdr:col>
          <xdr:colOff>184150</xdr:colOff>
          <xdr:row>51</xdr:row>
          <xdr:rowOff>184150</xdr:rowOff>
        </xdr:to>
        <xdr:sp macro="" textlink="">
          <xdr:nvSpPr>
            <xdr:cNvPr id="8335" name="Check Box 143" hidden="1">
              <a:extLst>
                <a:ext uri="{63B3BB69-23CF-44E3-9099-C40C66FF867C}">
                  <a14:compatExt spid="_x0000_s8335"/>
                </a:ext>
                <a:ext uri="{FF2B5EF4-FFF2-40B4-BE49-F238E27FC236}">
                  <a16:creationId xmlns:a16="http://schemas.microsoft.com/office/drawing/2014/main" id="{00000000-0008-0000-0800-00008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xdr:row>
          <xdr:rowOff>0</xdr:rowOff>
        </xdr:from>
        <xdr:to>
          <xdr:col>22</xdr:col>
          <xdr:colOff>184150</xdr:colOff>
          <xdr:row>53</xdr:row>
          <xdr:rowOff>184150</xdr:rowOff>
        </xdr:to>
        <xdr:sp macro="" textlink="">
          <xdr:nvSpPr>
            <xdr:cNvPr id="8336" name="Check Box 144" hidden="1">
              <a:extLst>
                <a:ext uri="{63B3BB69-23CF-44E3-9099-C40C66FF867C}">
                  <a14:compatExt spid="_x0000_s8336"/>
                </a:ext>
                <a:ext uri="{FF2B5EF4-FFF2-40B4-BE49-F238E27FC236}">
                  <a16:creationId xmlns:a16="http://schemas.microsoft.com/office/drawing/2014/main" id="{00000000-0008-0000-0800-00009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xdr:row>
          <xdr:rowOff>0</xdr:rowOff>
        </xdr:from>
        <xdr:to>
          <xdr:col>22</xdr:col>
          <xdr:colOff>184150</xdr:colOff>
          <xdr:row>55</xdr:row>
          <xdr:rowOff>184150</xdr:rowOff>
        </xdr:to>
        <xdr:sp macro="" textlink="">
          <xdr:nvSpPr>
            <xdr:cNvPr id="8337" name="Check Box 145" hidden="1">
              <a:extLst>
                <a:ext uri="{63B3BB69-23CF-44E3-9099-C40C66FF867C}">
                  <a14:compatExt spid="_x0000_s8337"/>
                </a:ext>
                <a:ext uri="{FF2B5EF4-FFF2-40B4-BE49-F238E27FC236}">
                  <a16:creationId xmlns:a16="http://schemas.microsoft.com/office/drawing/2014/main" id="{00000000-0008-0000-0800-00009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57</xdr:row>
          <xdr:rowOff>0</xdr:rowOff>
        </xdr:from>
        <xdr:to>
          <xdr:col>22</xdr:col>
          <xdr:colOff>184150</xdr:colOff>
          <xdr:row>57</xdr:row>
          <xdr:rowOff>184150</xdr:rowOff>
        </xdr:to>
        <xdr:sp macro="" textlink="">
          <xdr:nvSpPr>
            <xdr:cNvPr id="8338" name="Check Box 146" hidden="1">
              <a:extLst>
                <a:ext uri="{63B3BB69-23CF-44E3-9099-C40C66FF867C}">
                  <a14:compatExt spid="_x0000_s8338"/>
                </a:ext>
                <a:ext uri="{FF2B5EF4-FFF2-40B4-BE49-F238E27FC236}">
                  <a16:creationId xmlns:a16="http://schemas.microsoft.com/office/drawing/2014/main" id="{00000000-0008-0000-0800-00009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58</xdr:row>
          <xdr:rowOff>0</xdr:rowOff>
        </xdr:from>
        <xdr:to>
          <xdr:col>22</xdr:col>
          <xdr:colOff>184150</xdr:colOff>
          <xdr:row>58</xdr:row>
          <xdr:rowOff>184150</xdr:rowOff>
        </xdr:to>
        <xdr:sp macro="" textlink="">
          <xdr:nvSpPr>
            <xdr:cNvPr id="8339" name="Check Box 147" hidden="1">
              <a:extLst>
                <a:ext uri="{63B3BB69-23CF-44E3-9099-C40C66FF867C}">
                  <a14:compatExt spid="_x0000_s8339"/>
                </a:ext>
                <a:ext uri="{FF2B5EF4-FFF2-40B4-BE49-F238E27FC236}">
                  <a16:creationId xmlns:a16="http://schemas.microsoft.com/office/drawing/2014/main" id="{00000000-0008-0000-0800-00009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xdr:row>
          <xdr:rowOff>0</xdr:rowOff>
        </xdr:from>
        <xdr:to>
          <xdr:col>22</xdr:col>
          <xdr:colOff>184150</xdr:colOff>
          <xdr:row>59</xdr:row>
          <xdr:rowOff>184150</xdr:rowOff>
        </xdr:to>
        <xdr:sp macro="" textlink="">
          <xdr:nvSpPr>
            <xdr:cNvPr id="8340" name="Check Box 148" hidden="1">
              <a:extLst>
                <a:ext uri="{63B3BB69-23CF-44E3-9099-C40C66FF867C}">
                  <a14:compatExt spid="_x0000_s8340"/>
                </a:ext>
                <a:ext uri="{FF2B5EF4-FFF2-40B4-BE49-F238E27FC236}">
                  <a16:creationId xmlns:a16="http://schemas.microsoft.com/office/drawing/2014/main" id="{00000000-0008-0000-0800-00009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81</xdr:row>
          <xdr:rowOff>0</xdr:rowOff>
        </xdr:from>
        <xdr:to>
          <xdr:col>22</xdr:col>
          <xdr:colOff>184150</xdr:colOff>
          <xdr:row>81</xdr:row>
          <xdr:rowOff>184150</xdr:rowOff>
        </xdr:to>
        <xdr:sp macro="" textlink="">
          <xdr:nvSpPr>
            <xdr:cNvPr id="8341" name="Check Box 149" hidden="1">
              <a:extLst>
                <a:ext uri="{63B3BB69-23CF-44E3-9099-C40C66FF867C}">
                  <a14:compatExt spid="_x0000_s8341"/>
                </a:ext>
                <a:ext uri="{FF2B5EF4-FFF2-40B4-BE49-F238E27FC236}">
                  <a16:creationId xmlns:a16="http://schemas.microsoft.com/office/drawing/2014/main" id="{00000000-0008-0000-0800-00009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84</xdr:row>
          <xdr:rowOff>0</xdr:rowOff>
        </xdr:from>
        <xdr:to>
          <xdr:col>22</xdr:col>
          <xdr:colOff>184150</xdr:colOff>
          <xdr:row>84</xdr:row>
          <xdr:rowOff>184150</xdr:rowOff>
        </xdr:to>
        <xdr:sp macro="" textlink="">
          <xdr:nvSpPr>
            <xdr:cNvPr id="8342" name="Check Box 150" hidden="1">
              <a:extLst>
                <a:ext uri="{63B3BB69-23CF-44E3-9099-C40C66FF867C}">
                  <a14:compatExt spid="_x0000_s8342"/>
                </a:ext>
                <a:ext uri="{FF2B5EF4-FFF2-40B4-BE49-F238E27FC236}">
                  <a16:creationId xmlns:a16="http://schemas.microsoft.com/office/drawing/2014/main" id="{00000000-0008-0000-0800-00009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87</xdr:row>
          <xdr:rowOff>0</xdr:rowOff>
        </xdr:from>
        <xdr:to>
          <xdr:col>22</xdr:col>
          <xdr:colOff>184150</xdr:colOff>
          <xdr:row>87</xdr:row>
          <xdr:rowOff>184150</xdr:rowOff>
        </xdr:to>
        <xdr:sp macro="" textlink="">
          <xdr:nvSpPr>
            <xdr:cNvPr id="8343" name="Check Box 151" hidden="1">
              <a:extLst>
                <a:ext uri="{63B3BB69-23CF-44E3-9099-C40C66FF867C}">
                  <a14:compatExt spid="_x0000_s8343"/>
                </a:ext>
                <a:ext uri="{FF2B5EF4-FFF2-40B4-BE49-F238E27FC236}">
                  <a16:creationId xmlns:a16="http://schemas.microsoft.com/office/drawing/2014/main" id="{00000000-0008-0000-0800-00009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89</xdr:row>
          <xdr:rowOff>0</xdr:rowOff>
        </xdr:from>
        <xdr:to>
          <xdr:col>22</xdr:col>
          <xdr:colOff>184150</xdr:colOff>
          <xdr:row>89</xdr:row>
          <xdr:rowOff>184150</xdr:rowOff>
        </xdr:to>
        <xdr:sp macro="" textlink="">
          <xdr:nvSpPr>
            <xdr:cNvPr id="8344" name="Check Box 152" hidden="1">
              <a:extLst>
                <a:ext uri="{63B3BB69-23CF-44E3-9099-C40C66FF867C}">
                  <a14:compatExt spid="_x0000_s8344"/>
                </a:ext>
                <a:ext uri="{FF2B5EF4-FFF2-40B4-BE49-F238E27FC236}">
                  <a16:creationId xmlns:a16="http://schemas.microsoft.com/office/drawing/2014/main" id="{00000000-0008-0000-0800-000098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90</xdr:row>
          <xdr:rowOff>0</xdr:rowOff>
        </xdr:from>
        <xdr:to>
          <xdr:col>22</xdr:col>
          <xdr:colOff>184150</xdr:colOff>
          <xdr:row>90</xdr:row>
          <xdr:rowOff>184150</xdr:rowOff>
        </xdr:to>
        <xdr:sp macro="" textlink="">
          <xdr:nvSpPr>
            <xdr:cNvPr id="8345" name="Check Box 153" hidden="1">
              <a:extLst>
                <a:ext uri="{63B3BB69-23CF-44E3-9099-C40C66FF867C}">
                  <a14:compatExt spid="_x0000_s8345"/>
                </a:ext>
                <a:ext uri="{FF2B5EF4-FFF2-40B4-BE49-F238E27FC236}">
                  <a16:creationId xmlns:a16="http://schemas.microsoft.com/office/drawing/2014/main" id="{00000000-0008-0000-0800-00009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xdr:row>
          <xdr:rowOff>0</xdr:rowOff>
        </xdr:from>
        <xdr:to>
          <xdr:col>22</xdr:col>
          <xdr:colOff>184150</xdr:colOff>
          <xdr:row>92</xdr:row>
          <xdr:rowOff>184150</xdr:rowOff>
        </xdr:to>
        <xdr:sp macro="" textlink="">
          <xdr:nvSpPr>
            <xdr:cNvPr id="8346" name="Check Box 154" hidden="1">
              <a:extLst>
                <a:ext uri="{63B3BB69-23CF-44E3-9099-C40C66FF867C}">
                  <a14:compatExt spid="_x0000_s8346"/>
                </a:ext>
                <a:ext uri="{FF2B5EF4-FFF2-40B4-BE49-F238E27FC236}">
                  <a16:creationId xmlns:a16="http://schemas.microsoft.com/office/drawing/2014/main" id="{00000000-0008-0000-0800-00009A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93</xdr:row>
          <xdr:rowOff>0</xdr:rowOff>
        </xdr:from>
        <xdr:to>
          <xdr:col>22</xdr:col>
          <xdr:colOff>184150</xdr:colOff>
          <xdr:row>93</xdr:row>
          <xdr:rowOff>184150</xdr:rowOff>
        </xdr:to>
        <xdr:sp macro="" textlink="">
          <xdr:nvSpPr>
            <xdr:cNvPr id="8347" name="Check Box 155" hidden="1">
              <a:extLst>
                <a:ext uri="{63B3BB69-23CF-44E3-9099-C40C66FF867C}">
                  <a14:compatExt spid="_x0000_s8347"/>
                </a:ext>
                <a:ext uri="{FF2B5EF4-FFF2-40B4-BE49-F238E27FC236}">
                  <a16:creationId xmlns:a16="http://schemas.microsoft.com/office/drawing/2014/main" id="{00000000-0008-0000-0800-00009B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94</xdr:row>
          <xdr:rowOff>0</xdr:rowOff>
        </xdr:from>
        <xdr:to>
          <xdr:col>22</xdr:col>
          <xdr:colOff>184150</xdr:colOff>
          <xdr:row>94</xdr:row>
          <xdr:rowOff>184150</xdr:rowOff>
        </xdr:to>
        <xdr:sp macro="" textlink="">
          <xdr:nvSpPr>
            <xdr:cNvPr id="8348" name="Check Box 156" hidden="1">
              <a:extLst>
                <a:ext uri="{63B3BB69-23CF-44E3-9099-C40C66FF867C}">
                  <a14:compatExt spid="_x0000_s8348"/>
                </a:ext>
                <a:ext uri="{FF2B5EF4-FFF2-40B4-BE49-F238E27FC236}">
                  <a16:creationId xmlns:a16="http://schemas.microsoft.com/office/drawing/2014/main" id="{00000000-0008-0000-0800-00009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100</xdr:row>
          <xdr:rowOff>0</xdr:rowOff>
        </xdr:from>
        <xdr:to>
          <xdr:col>22</xdr:col>
          <xdr:colOff>184150</xdr:colOff>
          <xdr:row>100</xdr:row>
          <xdr:rowOff>184150</xdr:rowOff>
        </xdr:to>
        <xdr:sp macro="" textlink="">
          <xdr:nvSpPr>
            <xdr:cNvPr id="8349" name="Check Box 157" hidden="1">
              <a:extLst>
                <a:ext uri="{63B3BB69-23CF-44E3-9099-C40C66FF867C}">
                  <a14:compatExt spid="_x0000_s8349"/>
                </a:ext>
                <a:ext uri="{FF2B5EF4-FFF2-40B4-BE49-F238E27FC236}">
                  <a16:creationId xmlns:a16="http://schemas.microsoft.com/office/drawing/2014/main" id="{00000000-0008-0000-0800-00009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102</xdr:row>
          <xdr:rowOff>0</xdr:rowOff>
        </xdr:from>
        <xdr:to>
          <xdr:col>22</xdr:col>
          <xdr:colOff>184150</xdr:colOff>
          <xdr:row>102</xdr:row>
          <xdr:rowOff>184150</xdr:rowOff>
        </xdr:to>
        <xdr:sp macro="" textlink="">
          <xdr:nvSpPr>
            <xdr:cNvPr id="8350" name="Check Box 158" hidden="1">
              <a:extLst>
                <a:ext uri="{63B3BB69-23CF-44E3-9099-C40C66FF867C}">
                  <a14:compatExt spid="_x0000_s8350"/>
                </a:ext>
                <a:ext uri="{FF2B5EF4-FFF2-40B4-BE49-F238E27FC236}">
                  <a16:creationId xmlns:a16="http://schemas.microsoft.com/office/drawing/2014/main" id="{00000000-0008-0000-0800-00009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105</xdr:row>
          <xdr:rowOff>0</xdr:rowOff>
        </xdr:from>
        <xdr:to>
          <xdr:col>22</xdr:col>
          <xdr:colOff>184150</xdr:colOff>
          <xdr:row>105</xdr:row>
          <xdr:rowOff>184150</xdr:rowOff>
        </xdr:to>
        <xdr:sp macro="" textlink="">
          <xdr:nvSpPr>
            <xdr:cNvPr id="8351" name="Check Box 159" hidden="1">
              <a:extLst>
                <a:ext uri="{63B3BB69-23CF-44E3-9099-C40C66FF867C}">
                  <a14:compatExt spid="_x0000_s8351"/>
                </a:ext>
                <a:ext uri="{FF2B5EF4-FFF2-40B4-BE49-F238E27FC236}">
                  <a16:creationId xmlns:a16="http://schemas.microsoft.com/office/drawing/2014/main" id="{00000000-0008-0000-0800-00009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107</xdr:row>
          <xdr:rowOff>0</xdr:rowOff>
        </xdr:from>
        <xdr:to>
          <xdr:col>22</xdr:col>
          <xdr:colOff>184150</xdr:colOff>
          <xdr:row>107</xdr:row>
          <xdr:rowOff>184150</xdr:rowOff>
        </xdr:to>
        <xdr:sp macro="" textlink="">
          <xdr:nvSpPr>
            <xdr:cNvPr id="8352" name="Check Box 160" hidden="1">
              <a:extLst>
                <a:ext uri="{63B3BB69-23CF-44E3-9099-C40C66FF867C}">
                  <a14:compatExt spid="_x0000_s8352"/>
                </a:ext>
                <a:ext uri="{FF2B5EF4-FFF2-40B4-BE49-F238E27FC236}">
                  <a16:creationId xmlns:a16="http://schemas.microsoft.com/office/drawing/2014/main" id="{00000000-0008-0000-0800-0000A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110</xdr:row>
          <xdr:rowOff>0</xdr:rowOff>
        </xdr:from>
        <xdr:to>
          <xdr:col>22</xdr:col>
          <xdr:colOff>184150</xdr:colOff>
          <xdr:row>110</xdr:row>
          <xdr:rowOff>184150</xdr:rowOff>
        </xdr:to>
        <xdr:sp macro="" textlink="">
          <xdr:nvSpPr>
            <xdr:cNvPr id="8353" name="Check Box 161" hidden="1">
              <a:extLst>
                <a:ext uri="{63B3BB69-23CF-44E3-9099-C40C66FF867C}">
                  <a14:compatExt spid="_x0000_s8353"/>
                </a:ext>
                <a:ext uri="{FF2B5EF4-FFF2-40B4-BE49-F238E27FC236}">
                  <a16:creationId xmlns:a16="http://schemas.microsoft.com/office/drawing/2014/main" id="{00000000-0008-0000-0800-0000A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112</xdr:row>
          <xdr:rowOff>0</xdr:rowOff>
        </xdr:from>
        <xdr:to>
          <xdr:col>22</xdr:col>
          <xdr:colOff>184150</xdr:colOff>
          <xdr:row>112</xdr:row>
          <xdr:rowOff>184150</xdr:rowOff>
        </xdr:to>
        <xdr:sp macro="" textlink="">
          <xdr:nvSpPr>
            <xdr:cNvPr id="8354" name="Check Box 162" hidden="1">
              <a:extLst>
                <a:ext uri="{63B3BB69-23CF-44E3-9099-C40C66FF867C}">
                  <a14:compatExt spid="_x0000_s8354"/>
                </a:ext>
                <a:ext uri="{FF2B5EF4-FFF2-40B4-BE49-F238E27FC236}">
                  <a16:creationId xmlns:a16="http://schemas.microsoft.com/office/drawing/2014/main" id="{00000000-0008-0000-0800-0000A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113</xdr:row>
          <xdr:rowOff>0</xdr:rowOff>
        </xdr:from>
        <xdr:to>
          <xdr:col>22</xdr:col>
          <xdr:colOff>184150</xdr:colOff>
          <xdr:row>113</xdr:row>
          <xdr:rowOff>184150</xdr:rowOff>
        </xdr:to>
        <xdr:sp macro="" textlink="">
          <xdr:nvSpPr>
            <xdr:cNvPr id="8355" name="Check Box 163" hidden="1">
              <a:extLst>
                <a:ext uri="{63B3BB69-23CF-44E3-9099-C40C66FF867C}">
                  <a14:compatExt spid="_x0000_s8355"/>
                </a:ext>
                <a:ext uri="{FF2B5EF4-FFF2-40B4-BE49-F238E27FC236}">
                  <a16:creationId xmlns:a16="http://schemas.microsoft.com/office/drawing/2014/main" id="{00000000-0008-0000-0800-0000A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115</xdr:row>
          <xdr:rowOff>0</xdr:rowOff>
        </xdr:from>
        <xdr:to>
          <xdr:col>22</xdr:col>
          <xdr:colOff>184150</xdr:colOff>
          <xdr:row>115</xdr:row>
          <xdr:rowOff>184150</xdr:rowOff>
        </xdr:to>
        <xdr:sp macro="" textlink="">
          <xdr:nvSpPr>
            <xdr:cNvPr id="8356" name="Check Box 164" hidden="1">
              <a:extLst>
                <a:ext uri="{63B3BB69-23CF-44E3-9099-C40C66FF867C}">
                  <a14:compatExt spid="_x0000_s8356"/>
                </a:ext>
                <a:ext uri="{FF2B5EF4-FFF2-40B4-BE49-F238E27FC236}">
                  <a16:creationId xmlns:a16="http://schemas.microsoft.com/office/drawing/2014/main" id="{00000000-0008-0000-0800-0000A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117</xdr:row>
          <xdr:rowOff>0</xdr:rowOff>
        </xdr:from>
        <xdr:to>
          <xdr:col>22</xdr:col>
          <xdr:colOff>184150</xdr:colOff>
          <xdr:row>117</xdr:row>
          <xdr:rowOff>184150</xdr:rowOff>
        </xdr:to>
        <xdr:sp macro="" textlink="">
          <xdr:nvSpPr>
            <xdr:cNvPr id="8357" name="Check Box 165" hidden="1">
              <a:extLst>
                <a:ext uri="{63B3BB69-23CF-44E3-9099-C40C66FF867C}">
                  <a14:compatExt spid="_x0000_s8357"/>
                </a:ext>
                <a:ext uri="{FF2B5EF4-FFF2-40B4-BE49-F238E27FC236}">
                  <a16:creationId xmlns:a16="http://schemas.microsoft.com/office/drawing/2014/main" id="{00000000-0008-0000-0800-0000A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118</xdr:row>
          <xdr:rowOff>0</xdr:rowOff>
        </xdr:from>
        <xdr:to>
          <xdr:col>22</xdr:col>
          <xdr:colOff>184150</xdr:colOff>
          <xdr:row>118</xdr:row>
          <xdr:rowOff>184150</xdr:rowOff>
        </xdr:to>
        <xdr:sp macro="" textlink="">
          <xdr:nvSpPr>
            <xdr:cNvPr id="8358" name="Check Box 166" hidden="1">
              <a:extLst>
                <a:ext uri="{63B3BB69-23CF-44E3-9099-C40C66FF867C}">
                  <a14:compatExt spid="_x0000_s8358"/>
                </a:ext>
                <a:ext uri="{FF2B5EF4-FFF2-40B4-BE49-F238E27FC236}">
                  <a16:creationId xmlns:a16="http://schemas.microsoft.com/office/drawing/2014/main" id="{00000000-0008-0000-0800-0000A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121</xdr:row>
          <xdr:rowOff>0</xdr:rowOff>
        </xdr:from>
        <xdr:to>
          <xdr:col>22</xdr:col>
          <xdr:colOff>184150</xdr:colOff>
          <xdr:row>121</xdr:row>
          <xdr:rowOff>184150</xdr:rowOff>
        </xdr:to>
        <xdr:sp macro="" textlink="">
          <xdr:nvSpPr>
            <xdr:cNvPr id="8359" name="Check Box 167" hidden="1">
              <a:extLst>
                <a:ext uri="{63B3BB69-23CF-44E3-9099-C40C66FF867C}">
                  <a14:compatExt spid="_x0000_s8359"/>
                </a:ext>
                <a:ext uri="{FF2B5EF4-FFF2-40B4-BE49-F238E27FC236}">
                  <a16:creationId xmlns:a16="http://schemas.microsoft.com/office/drawing/2014/main" id="{00000000-0008-0000-0800-0000A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127</xdr:row>
          <xdr:rowOff>0</xdr:rowOff>
        </xdr:from>
        <xdr:to>
          <xdr:col>22</xdr:col>
          <xdr:colOff>184150</xdr:colOff>
          <xdr:row>127</xdr:row>
          <xdr:rowOff>184150</xdr:rowOff>
        </xdr:to>
        <xdr:sp macro="" textlink="">
          <xdr:nvSpPr>
            <xdr:cNvPr id="8360" name="Check Box 168" hidden="1">
              <a:extLst>
                <a:ext uri="{63B3BB69-23CF-44E3-9099-C40C66FF867C}">
                  <a14:compatExt spid="_x0000_s8360"/>
                </a:ext>
                <a:ext uri="{FF2B5EF4-FFF2-40B4-BE49-F238E27FC236}">
                  <a16:creationId xmlns:a16="http://schemas.microsoft.com/office/drawing/2014/main" id="{00000000-0008-0000-0800-0000A8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129</xdr:row>
          <xdr:rowOff>0</xdr:rowOff>
        </xdr:from>
        <xdr:to>
          <xdr:col>22</xdr:col>
          <xdr:colOff>184150</xdr:colOff>
          <xdr:row>129</xdr:row>
          <xdr:rowOff>184150</xdr:rowOff>
        </xdr:to>
        <xdr:sp macro="" textlink="">
          <xdr:nvSpPr>
            <xdr:cNvPr id="8361" name="Check Box 169" hidden="1">
              <a:extLst>
                <a:ext uri="{63B3BB69-23CF-44E3-9099-C40C66FF867C}">
                  <a14:compatExt spid="_x0000_s8361"/>
                </a:ext>
                <a:ext uri="{FF2B5EF4-FFF2-40B4-BE49-F238E27FC236}">
                  <a16:creationId xmlns:a16="http://schemas.microsoft.com/office/drawing/2014/main" id="{00000000-0008-0000-0800-0000A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133</xdr:row>
          <xdr:rowOff>0</xdr:rowOff>
        </xdr:from>
        <xdr:to>
          <xdr:col>22</xdr:col>
          <xdr:colOff>184150</xdr:colOff>
          <xdr:row>133</xdr:row>
          <xdr:rowOff>184150</xdr:rowOff>
        </xdr:to>
        <xdr:sp macro="" textlink="">
          <xdr:nvSpPr>
            <xdr:cNvPr id="8362" name="Check Box 170" hidden="1">
              <a:extLst>
                <a:ext uri="{63B3BB69-23CF-44E3-9099-C40C66FF867C}">
                  <a14:compatExt spid="_x0000_s8362"/>
                </a:ext>
                <a:ext uri="{FF2B5EF4-FFF2-40B4-BE49-F238E27FC236}">
                  <a16:creationId xmlns:a16="http://schemas.microsoft.com/office/drawing/2014/main" id="{00000000-0008-0000-0800-0000AA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140</xdr:row>
          <xdr:rowOff>0</xdr:rowOff>
        </xdr:from>
        <xdr:to>
          <xdr:col>22</xdr:col>
          <xdr:colOff>184150</xdr:colOff>
          <xdr:row>140</xdr:row>
          <xdr:rowOff>184150</xdr:rowOff>
        </xdr:to>
        <xdr:sp macro="" textlink="">
          <xdr:nvSpPr>
            <xdr:cNvPr id="8363" name="Check Box 171" hidden="1">
              <a:extLst>
                <a:ext uri="{63B3BB69-23CF-44E3-9099-C40C66FF867C}">
                  <a14:compatExt spid="_x0000_s8363"/>
                </a:ext>
                <a:ext uri="{FF2B5EF4-FFF2-40B4-BE49-F238E27FC236}">
                  <a16:creationId xmlns:a16="http://schemas.microsoft.com/office/drawing/2014/main" id="{00000000-0008-0000-0800-0000AB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142</xdr:row>
          <xdr:rowOff>0</xdr:rowOff>
        </xdr:from>
        <xdr:to>
          <xdr:col>22</xdr:col>
          <xdr:colOff>184150</xdr:colOff>
          <xdr:row>142</xdr:row>
          <xdr:rowOff>184150</xdr:rowOff>
        </xdr:to>
        <xdr:sp macro="" textlink="">
          <xdr:nvSpPr>
            <xdr:cNvPr id="8364" name="Check Box 172" hidden="1">
              <a:extLst>
                <a:ext uri="{63B3BB69-23CF-44E3-9099-C40C66FF867C}">
                  <a14:compatExt spid="_x0000_s8364"/>
                </a:ext>
                <a:ext uri="{FF2B5EF4-FFF2-40B4-BE49-F238E27FC236}">
                  <a16:creationId xmlns:a16="http://schemas.microsoft.com/office/drawing/2014/main" id="{00000000-0008-0000-0800-0000A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143</xdr:row>
          <xdr:rowOff>0</xdr:rowOff>
        </xdr:from>
        <xdr:to>
          <xdr:col>22</xdr:col>
          <xdr:colOff>184150</xdr:colOff>
          <xdr:row>143</xdr:row>
          <xdr:rowOff>184150</xdr:rowOff>
        </xdr:to>
        <xdr:sp macro="" textlink="">
          <xdr:nvSpPr>
            <xdr:cNvPr id="8365" name="Check Box 173" hidden="1">
              <a:extLst>
                <a:ext uri="{63B3BB69-23CF-44E3-9099-C40C66FF867C}">
                  <a14:compatExt spid="_x0000_s8365"/>
                </a:ext>
                <a:ext uri="{FF2B5EF4-FFF2-40B4-BE49-F238E27FC236}">
                  <a16:creationId xmlns:a16="http://schemas.microsoft.com/office/drawing/2014/main" id="{00000000-0008-0000-0800-0000A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145</xdr:row>
          <xdr:rowOff>0</xdr:rowOff>
        </xdr:from>
        <xdr:to>
          <xdr:col>22</xdr:col>
          <xdr:colOff>184150</xdr:colOff>
          <xdr:row>145</xdr:row>
          <xdr:rowOff>184150</xdr:rowOff>
        </xdr:to>
        <xdr:sp macro="" textlink="">
          <xdr:nvSpPr>
            <xdr:cNvPr id="8366" name="Check Box 174" hidden="1">
              <a:extLst>
                <a:ext uri="{63B3BB69-23CF-44E3-9099-C40C66FF867C}">
                  <a14:compatExt spid="_x0000_s8366"/>
                </a:ext>
                <a:ext uri="{FF2B5EF4-FFF2-40B4-BE49-F238E27FC236}">
                  <a16:creationId xmlns:a16="http://schemas.microsoft.com/office/drawing/2014/main" id="{00000000-0008-0000-0800-0000A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146</xdr:row>
          <xdr:rowOff>0</xdr:rowOff>
        </xdr:from>
        <xdr:to>
          <xdr:col>22</xdr:col>
          <xdr:colOff>184150</xdr:colOff>
          <xdr:row>146</xdr:row>
          <xdr:rowOff>184150</xdr:rowOff>
        </xdr:to>
        <xdr:sp macro="" textlink="">
          <xdr:nvSpPr>
            <xdr:cNvPr id="8367" name="Check Box 175" hidden="1">
              <a:extLst>
                <a:ext uri="{63B3BB69-23CF-44E3-9099-C40C66FF867C}">
                  <a14:compatExt spid="_x0000_s8367"/>
                </a:ext>
                <a:ext uri="{FF2B5EF4-FFF2-40B4-BE49-F238E27FC236}">
                  <a16:creationId xmlns:a16="http://schemas.microsoft.com/office/drawing/2014/main" id="{00000000-0008-0000-0800-0000A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147</xdr:row>
          <xdr:rowOff>0</xdr:rowOff>
        </xdr:from>
        <xdr:to>
          <xdr:col>22</xdr:col>
          <xdr:colOff>184150</xdr:colOff>
          <xdr:row>147</xdr:row>
          <xdr:rowOff>184150</xdr:rowOff>
        </xdr:to>
        <xdr:sp macro="" textlink="">
          <xdr:nvSpPr>
            <xdr:cNvPr id="8368" name="Check Box 176" hidden="1">
              <a:extLst>
                <a:ext uri="{63B3BB69-23CF-44E3-9099-C40C66FF867C}">
                  <a14:compatExt spid="_x0000_s8368"/>
                </a:ext>
                <a:ext uri="{FF2B5EF4-FFF2-40B4-BE49-F238E27FC236}">
                  <a16:creationId xmlns:a16="http://schemas.microsoft.com/office/drawing/2014/main" id="{00000000-0008-0000-0800-0000B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148</xdr:row>
          <xdr:rowOff>0</xdr:rowOff>
        </xdr:from>
        <xdr:to>
          <xdr:col>22</xdr:col>
          <xdr:colOff>184150</xdr:colOff>
          <xdr:row>148</xdr:row>
          <xdr:rowOff>184150</xdr:rowOff>
        </xdr:to>
        <xdr:sp macro="" textlink="">
          <xdr:nvSpPr>
            <xdr:cNvPr id="8369" name="Check Box 177" hidden="1">
              <a:extLst>
                <a:ext uri="{63B3BB69-23CF-44E3-9099-C40C66FF867C}">
                  <a14:compatExt spid="_x0000_s8369"/>
                </a:ext>
                <a:ext uri="{FF2B5EF4-FFF2-40B4-BE49-F238E27FC236}">
                  <a16:creationId xmlns:a16="http://schemas.microsoft.com/office/drawing/2014/main" id="{00000000-0008-0000-0800-0000B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151</xdr:row>
          <xdr:rowOff>0</xdr:rowOff>
        </xdr:from>
        <xdr:to>
          <xdr:col>22</xdr:col>
          <xdr:colOff>184150</xdr:colOff>
          <xdr:row>151</xdr:row>
          <xdr:rowOff>184150</xdr:rowOff>
        </xdr:to>
        <xdr:sp macro="" textlink="">
          <xdr:nvSpPr>
            <xdr:cNvPr id="8370" name="Check Box 178" hidden="1">
              <a:extLst>
                <a:ext uri="{63B3BB69-23CF-44E3-9099-C40C66FF867C}">
                  <a14:compatExt spid="_x0000_s8370"/>
                </a:ext>
                <a:ext uri="{FF2B5EF4-FFF2-40B4-BE49-F238E27FC236}">
                  <a16:creationId xmlns:a16="http://schemas.microsoft.com/office/drawing/2014/main" id="{00000000-0008-0000-0800-0000B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192</xdr:row>
          <xdr:rowOff>0</xdr:rowOff>
        </xdr:from>
        <xdr:to>
          <xdr:col>22</xdr:col>
          <xdr:colOff>184150</xdr:colOff>
          <xdr:row>192</xdr:row>
          <xdr:rowOff>184150</xdr:rowOff>
        </xdr:to>
        <xdr:sp macro="" textlink="">
          <xdr:nvSpPr>
            <xdr:cNvPr id="8371" name="Check Box 179" hidden="1">
              <a:extLst>
                <a:ext uri="{63B3BB69-23CF-44E3-9099-C40C66FF867C}">
                  <a14:compatExt spid="_x0000_s8371"/>
                </a:ext>
                <a:ext uri="{FF2B5EF4-FFF2-40B4-BE49-F238E27FC236}">
                  <a16:creationId xmlns:a16="http://schemas.microsoft.com/office/drawing/2014/main" id="{00000000-0008-0000-0800-0000B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194</xdr:row>
          <xdr:rowOff>0</xdr:rowOff>
        </xdr:from>
        <xdr:to>
          <xdr:col>22</xdr:col>
          <xdr:colOff>184150</xdr:colOff>
          <xdr:row>194</xdr:row>
          <xdr:rowOff>184150</xdr:rowOff>
        </xdr:to>
        <xdr:sp macro="" textlink="">
          <xdr:nvSpPr>
            <xdr:cNvPr id="8372" name="Check Box 180" hidden="1">
              <a:extLst>
                <a:ext uri="{63B3BB69-23CF-44E3-9099-C40C66FF867C}">
                  <a14:compatExt spid="_x0000_s8372"/>
                </a:ext>
                <a:ext uri="{FF2B5EF4-FFF2-40B4-BE49-F238E27FC236}">
                  <a16:creationId xmlns:a16="http://schemas.microsoft.com/office/drawing/2014/main" id="{00000000-0008-0000-0800-0000B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197</xdr:row>
          <xdr:rowOff>0</xdr:rowOff>
        </xdr:from>
        <xdr:to>
          <xdr:col>22</xdr:col>
          <xdr:colOff>184150</xdr:colOff>
          <xdr:row>197</xdr:row>
          <xdr:rowOff>184150</xdr:rowOff>
        </xdr:to>
        <xdr:sp macro="" textlink="">
          <xdr:nvSpPr>
            <xdr:cNvPr id="8373" name="Check Box 181" hidden="1">
              <a:extLst>
                <a:ext uri="{63B3BB69-23CF-44E3-9099-C40C66FF867C}">
                  <a14:compatExt spid="_x0000_s8373"/>
                </a:ext>
                <a:ext uri="{FF2B5EF4-FFF2-40B4-BE49-F238E27FC236}">
                  <a16:creationId xmlns:a16="http://schemas.microsoft.com/office/drawing/2014/main" id="{00000000-0008-0000-0800-0000B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210</xdr:row>
          <xdr:rowOff>0</xdr:rowOff>
        </xdr:from>
        <xdr:to>
          <xdr:col>22</xdr:col>
          <xdr:colOff>184150</xdr:colOff>
          <xdr:row>210</xdr:row>
          <xdr:rowOff>184150</xdr:rowOff>
        </xdr:to>
        <xdr:sp macro="" textlink="">
          <xdr:nvSpPr>
            <xdr:cNvPr id="8374" name="Check Box 182" hidden="1">
              <a:extLst>
                <a:ext uri="{63B3BB69-23CF-44E3-9099-C40C66FF867C}">
                  <a14:compatExt spid="_x0000_s8374"/>
                </a:ext>
                <a:ext uri="{FF2B5EF4-FFF2-40B4-BE49-F238E27FC236}">
                  <a16:creationId xmlns:a16="http://schemas.microsoft.com/office/drawing/2014/main" id="{00000000-0008-0000-0800-0000B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212</xdr:row>
          <xdr:rowOff>0</xdr:rowOff>
        </xdr:from>
        <xdr:to>
          <xdr:col>22</xdr:col>
          <xdr:colOff>184150</xdr:colOff>
          <xdr:row>212</xdr:row>
          <xdr:rowOff>184150</xdr:rowOff>
        </xdr:to>
        <xdr:sp macro="" textlink="">
          <xdr:nvSpPr>
            <xdr:cNvPr id="8375" name="Check Box 183" hidden="1">
              <a:extLst>
                <a:ext uri="{63B3BB69-23CF-44E3-9099-C40C66FF867C}">
                  <a14:compatExt spid="_x0000_s8375"/>
                </a:ext>
                <a:ext uri="{FF2B5EF4-FFF2-40B4-BE49-F238E27FC236}">
                  <a16:creationId xmlns:a16="http://schemas.microsoft.com/office/drawing/2014/main" id="{00000000-0008-0000-0800-0000B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149</xdr:row>
          <xdr:rowOff>0</xdr:rowOff>
        </xdr:from>
        <xdr:to>
          <xdr:col>22</xdr:col>
          <xdr:colOff>184150</xdr:colOff>
          <xdr:row>149</xdr:row>
          <xdr:rowOff>184150</xdr:rowOff>
        </xdr:to>
        <xdr:sp macro="" textlink="">
          <xdr:nvSpPr>
            <xdr:cNvPr id="8377" name="Check Box 185" hidden="1">
              <a:extLst>
                <a:ext uri="{63B3BB69-23CF-44E3-9099-C40C66FF867C}">
                  <a14:compatExt spid="_x0000_s8377"/>
                </a:ext>
                <a:ext uri="{FF2B5EF4-FFF2-40B4-BE49-F238E27FC236}">
                  <a16:creationId xmlns:a16="http://schemas.microsoft.com/office/drawing/2014/main" id="{00000000-0008-0000-0800-0000B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166</xdr:row>
          <xdr:rowOff>0</xdr:rowOff>
        </xdr:from>
        <xdr:to>
          <xdr:col>22</xdr:col>
          <xdr:colOff>184150</xdr:colOff>
          <xdr:row>166</xdr:row>
          <xdr:rowOff>184150</xdr:rowOff>
        </xdr:to>
        <xdr:sp macro="" textlink="">
          <xdr:nvSpPr>
            <xdr:cNvPr id="8379" name="Check Box 187" hidden="1">
              <a:extLst>
                <a:ext uri="{63B3BB69-23CF-44E3-9099-C40C66FF867C}">
                  <a14:compatExt spid="_x0000_s8379"/>
                </a:ext>
                <a:ext uri="{FF2B5EF4-FFF2-40B4-BE49-F238E27FC236}">
                  <a16:creationId xmlns:a16="http://schemas.microsoft.com/office/drawing/2014/main" id="{00000000-0008-0000-0800-0000BB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167</xdr:row>
          <xdr:rowOff>0</xdr:rowOff>
        </xdr:from>
        <xdr:to>
          <xdr:col>22</xdr:col>
          <xdr:colOff>184150</xdr:colOff>
          <xdr:row>167</xdr:row>
          <xdr:rowOff>184150</xdr:rowOff>
        </xdr:to>
        <xdr:sp macro="" textlink="">
          <xdr:nvSpPr>
            <xdr:cNvPr id="8380" name="Check Box 188" hidden="1">
              <a:extLst>
                <a:ext uri="{63B3BB69-23CF-44E3-9099-C40C66FF867C}">
                  <a14:compatExt spid="_x0000_s8380"/>
                </a:ext>
                <a:ext uri="{FF2B5EF4-FFF2-40B4-BE49-F238E27FC236}">
                  <a16:creationId xmlns:a16="http://schemas.microsoft.com/office/drawing/2014/main" id="{00000000-0008-0000-0800-0000B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168</xdr:row>
          <xdr:rowOff>0</xdr:rowOff>
        </xdr:from>
        <xdr:to>
          <xdr:col>22</xdr:col>
          <xdr:colOff>184150</xdr:colOff>
          <xdr:row>168</xdr:row>
          <xdr:rowOff>184150</xdr:rowOff>
        </xdr:to>
        <xdr:sp macro="" textlink="">
          <xdr:nvSpPr>
            <xdr:cNvPr id="8381" name="Check Box 189" hidden="1">
              <a:extLst>
                <a:ext uri="{63B3BB69-23CF-44E3-9099-C40C66FF867C}">
                  <a14:compatExt spid="_x0000_s8381"/>
                </a:ext>
                <a:ext uri="{FF2B5EF4-FFF2-40B4-BE49-F238E27FC236}">
                  <a16:creationId xmlns:a16="http://schemas.microsoft.com/office/drawing/2014/main" id="{00000000-0008-0000-0800-0000B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170</xdr:row>
          <xdr:rowOff>0</xdr:rowOff>
        </xdr:from>
        <xdr:to>
          <xdr:col>22</xdr:col>
          <xdr:colOff>184150</xdr:colOff>
          <xdr:row>170</xdr:row>
          <xdr:rowOff>184150</xdr:rowOff>
        </xdr:to>
        <xdr:sp macro="" textlink="">
          <xdr:nvSpPr>
            <xdr:cNvPr id="8382" name="Check Box 190" hidden="1">
              <a:extLst>
                <a:ext uri="{63B3BB69-23CF-44E3-9099-C40C66FF867C}">
                  <a14:compatExt spid="_x0000_s8382"/>
                </a:ext>
                <a:ext uri="{FF2B5EF4-FFF2-40B4-BE49-F238E27FC236}">
                  <a16:creationId xmlns:a16="http://schemas.microsoft.com/office/drawing/2014/main" id="{00000000-0008-0000-0800-0000B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171</xdr:row>
          <xdr:rowOff>0</xdr:rowOff>
        </xdr:from>
        <xdr:to>
          <xdr:col>22</xdr:col>
          <xdr:colOff>184150</xdr:colOff>
          <xdr:row>171</xdr:row>
          <xdr:rowOff>184150</xdr:rowOff>
        </xdr:to>
        <xdr:sp macro="" textlink="">
          <xdr:nvSpPr>
            <xdr:cNvPr id="8383" name="Check Box 191" hidden="1">
              <a:extLst>
                <a:ext uri="{63B3BB69-23CF-44E3-9099-C40C66FF867C}">
                  <a14:compatExt spid="_x0000_s8383"/>
                </a:ext>
                <a:ext uri="{FF2B5EF4-FFF2-40B4-BE49-F238E27FC236}">
                  <a16:creationId xmlns:a16="http://schemas.microsoft.com/office/drawing/2014/main" id="{00000000-0008-0000-0800-0000B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172</xdr:row>
          <xdr:rowOff>0</xdr:rowOff>
        </xdr:from>
        <xdr:to>
          <xdr:col>22</xdr:col>
          <xdr:colOff>184150</xdr:colOff>
          <xdr:row>172</xdr:row>
          <xdr:rowOff>184150</xdr:rowOff>
        </xdr:to>
        <xdr:sp macro="" textlink="">
          <xdr:nvSpPr>
            <xdr:cNvPr id="8384" name="Check Box 192" hidden="1">
              <a:extLst>
                <a:ext uri="{63B3BB69-23CF-44E3-9099-C40C66FF867C}">
                  <a14:compatExt spid="_x0000_s8384"/>
                </a:ext>
                <a:ext uri="{FF2B5EF4-FFF2-40B4-BE49-F238E27FC236}">
                  <a16:creationId xmlns:a16="http://schemas.microsoft.com/office/drawing/2014/main" id="{00000000-0008-0000-0800-0000C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173</xdr:row>
          <xdr:rowOff>0</xdr:rowOff>
        </xdr:from>
        <xdr:to>
          <xdr:col>22</xdr:col>
          <xdr:colOff>184150</xdr:colOff>
          <xdr:row>173</xdr:row>
          <xdr:rowOff>184150</xdr:rowOff>
        </xdr:to>
        <xdr:sp macro="" textlink="">
          <xdr:nvSpPr>
            <xdr:cNvPr id="8385" name="Check Box 193" hidden="1">
              <a:extLst>
                <a:ext uri="{63B3BB69-23CF-44E3-9099-C40C66FF867C}">
                  <a14:compatExt spid="_x0000_s8385"/>
                </a:ext>
                <a:ext uri="{FF2B5EF4-FFF2-40B4-BE49-F238E27FC236}">
                  <a16:creationId xmlns:a16="http://schemas.microsoft.com/office/drawing/2014/main" id="{00000000-0008-0000-0800-0000C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174</xdr:row>
          <xdr:rowOff>0</xdr:rowOff>
        </xdr:from>
        <xdr:to>
          <xdr:col>22</xdr:col>
          <xdr:colOff>184150</xdr:colOff>
          <xdr:row>174</xdr:row>
          <xdr:rowOff>184150</xdr:rowOff>
        </xdr:to>
        <xdr:sp macro="" textlink="">
          <xdr:nvSpPr>
            <xdr:cNvPr id="8386" name="Check Box 194" hidden="1">
              <a:extLst>
                <a:ext uri="{63B3BB69-23CF-44E3-9099-C40C66FF867C}">
                  <a14:compatExt spid="_x0000_s8386"/>
                </a:ext>
                <a:ext uri="{FF2B5EF4-FFF2-40B4-BE49-F238E27FC236}">
                  <a16:creationId xmlns:a16="http://schemas.microsoft.com/office/drawing/2014/main" id="{00000000-0008-0000-0800-0000C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175</xdr:row>
          <xdr:rowOff>0</xdr:rowOff>
        </xdr:from>
        <xdr:to>
          <xdr:col>22</xdr:col>
          <xdr:colOff>184150</xdr:colOff>
          <xdr:row>175</xdr:row>
          <xdr:rowOff>184150</xdr:rowOff>
        </xdr:to>
        <xdr:sp macro="" textlink="">
          <xdr:nvSpPr>
            <xdr:cNvPr id="8387" name="Check Box 195" hidden="1">
              <a:extLst>
                <a:ext uri="{63B3BB69-23CF-44E3-9099-C40C66FF867C}">
                  <a14:compatExt spid="_x0000_s8387"/>
                </a:ext>
                <a:ext uri="{FF2B5EF4-FFF2-40B4-BE49-F238E27FC236}">
                  <a16:creationId xmlns:a16="http://schemas.microsoft.com/office/drawing/2014/main" id="{00000000-0008-0000-0800-0000C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180</xdr:row>
          <xdr:rowOff>0</xdr:rowOff>
        </xdr:from>
        <xdr:to>
          <xdr:col>22</xdr:col>
          <xdr:colOff>184150</xdr:colOff>
          <xdr:row>180</xdr:row>
          <xdr:rowOff>184150</xdr:rowOff>
        </xdr:to>
        <xdr:sp macro="" textlink="">
          <xdr:nvSpPr>
            <xdr:cNvPr id="8388" name="Check Box 196" hidden="1">
              <a:extLst>
                <a:ext uri="{63B3BB69-23CF-44E3-9099-C40C66FF867C}">
                  <a14:compatExt spid="_x0000_s8388"/>
                </a:ext>
                <a:ext uri="{FF2B5EF4-FFF2-40B4-BE49-F238E27FC236}">
                  <a16:creationId xmlns:a16="http://schemas.microsoft.com/office/drawing/2014/main" id="{00000000-0008-0000-0800-0000C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181</xdr:row>
          <xdr:rowOff>0</xdr:rowOff>
        </xdr:from>
        <xdr:to>
          <xdr:col>22</xdr:col>
          <xdr:colOff>184150</xdr:colOff>
          <xdr:row>181</xdr:row>
          <xdr:rowOff>184150</xdr:rowOff>
        </xdr:to>
        <xdr:sp macro="" textlink="">
          <xdr:nvSpPr>
            <xdr:cNvPr id="8389" name="Check Box 197" hidden="1">
              <a:extLst>
                <a:ext uri="{63B3BB69-23CF-44E3-9099-C40C66FF867C}">
                  <a14:compatExt spid="_x0000_s8389"/>
                </a:ext>
                <a:ext uri="{FF2B5EF4-FFF2-40B4-BE49-F238E27FC236}">
                  <a16:creationId xmlns:a16="http://schemas.microsoft.com/office/drawing/2014/main" id="{00000000-0008-0000-0800-0000C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182</xdr:row>
          <xdr:rowOff>0</xdr:rowOff>
        </xdr:from>
        <xdr:to>
          <xdr:col>22</xdr:col>
          <xdr:colOff>184150</xdr:colOff>
          <xdr:row>182</xdr:row>
          <xdr:rowOff>184150</xdr:rowOff>
        </xdr:to>
        <xdr:sp macro="" textlink="">
          <xdr:nvSpPr>
            <xdr:cNvPr id="8390" name="Check Box 198" hidden="1">
              <a:extLst>
                <a:ext uri="{63B3BB69-23CF-44E3-9099-C40C66FF867C}">
                  <a14:compatExt spid="_x0000_s8390"/>
                </a:ext>
                <a:ext uri="{FF2B5EF4-FFF2-40B4-BE49-F238E27FC236}">
                  <a16:creationId xmlns:a16="http://schemas.microsoft.com/office/drawing/2014/main" id="{00000000-0008-0000-0800-0000C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183</xdr:row>
          <xdr:rowOff>0</xdr:rowOff>
        </xdr:from>
        <xdr:to>
          <xdr:col>22</xdr:col>
          <xdr:colOff>184150</xdr:colOff>
          <xdr:row>183</xdr:row>
          <xdr:rowOff>184150</xdr:rowOff>
        </xdr:to>
        <xdr:sp macro="" textlink="">
          <xdr:nvSpPr>
            <xdr:cNvPr id="8391" name="Check Box 199" hidden="1">
              <a:extLst>
                <a:ext uri="{63B3BB69-23CF-44E3-9099-C40C66FF867C}">
                  <a14:compatExt spid="_x0000_s8391"/>
                </a:ext>
                <a:ext uri="{FF2B5EF4-FFF2-40B4-BE49-F238E27FC236}">
                  <a16:creationId xmlns:a16="http://schemas.microsoft.com/office/drawing/2014/main" id="{00000000-0008-0000-0800-0000C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xdr:row>
          <xdr:rowOff>0</xdr:rowOff>
        </xdr:from>
        <xdr:to>
          <xdr:col>22</xdr:col>
          <xdr:colOff>184150</xdr:colOff>
          <xdr:row>184</xdr:row>
          <xdr:rowOff>184150</xdr:rowOff>
        </xdr:to>
        <xdr:sp macro="" textlink="">
          <xdr:nvSpPr>
            <xdr:cNvPr id="8392" name="Check Box 200" hidden="1">
              <a:extLst>
                <a:ext uri="{63B3BB69-23CF-44E3-9099-C40C66FF867C}">
                  <a14:compatExt spid="_x0000_s8392"/>
                </a:ext>
                <a:ext uri="{FF2B5EF4-FFF2-40B4-BE49-F238E27FC236}">
                  <a16:creationId xmlns:a16="http://schemas.microsoft.com/office/drawing/2014/main" id="{00000000-0008-0000-0800-0000C8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xdr:row>
          <xdr:rowOff>0</xdr:rowOff>
        </xdr:from>
        <xdr:to>
          <xdr:col>22</xdr:col>
          <xdr:colOff>184150</xdr:colOff>
          <xdr:row>185</xdr:row>
          <xdr:rowOff>184150</xdr:rowOff>
        </xdr:to>
        <xdr:sp macro="" textlink="">
          <xdr:nvSpPr>
            <xdr:cNvPr id="8393" name="Check Box 201" hidden="1">
              <a:extLst>
                <a:ext uri="{63B3BB69-23CF-44E3-9099-C40C66FF867C}">
                  <a14:compatExt spid="_x0000_s8393"/>
                </a:ext>
                <a:ext uri="{FF2B5EF4-FFF2-40B4-BE49-F238E27FC236}">
                  <a16:creationId xmlns:a16="http://schemas.microsoft.com/office/drawing/2014/main" id="{00000000-0008-0000-0800-0000C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186</xdr:row>
          <xdr:rowOff>0</xdr:rowOff>
        </xdr:from>
        <xdr:to>
          <xdr:col>22</xdr:col>
          <xdr:colOff>184150</xdr:colOff>
          <xdr:row>186</xdr:row>
          <xdr:rowOff>184150</xdr:rowOff>
        </xdr:to>
        <xdr:sp macro="" textlink="">
          <xdr:nvSpPr>
            <xdr:cNvPr id="8394" name="Check Box 202" hidden="1">
              <a:extLst>
                <a:ext uri="{63B3BB69-23CF-44E3-9099-C40C66FF867C}">
                  <a14:compatExt spid="_x0000_s8394"/>
                </a:ext>
                <a:ext uri="{FF2B5EF4-FFF2-40B4-BE49-F238E27FC236}">
                  <a16:creationId xmlns:a16="http://schemas.microsoft.com/office/drawing/2014/main" id="{00000000-0008-0000-0800-0000CA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219</xdr:row>
          <xdr:rowOff>0</xdr:rowOff>
        </xdr:from>
        <xdr:to>
          <xdr:col>22</xdr:col>
          <xdr:colOff>184150</xdr:colOff>
          <xdr:row>219</xdr:row>
          <xdr:rowOff>184150</xdr:rowOff>
        </xdr:to>
        <xdr:sp macro="" textlink="">
          <xdr:nvSpPr>
            <xdr:cNvPr id="8396" name="Check Box 204" hidden="1">
              <a:extLst>
                <a:ext uri="{63B3BB69-23CF-44E3-9099-C40C66FF867C}">
                  <a14:compatExt spid="_x0000_s8396"/>
                </a:ext>
                <a:ext uri="{FF2B5EF4-FFF2-40B4-BE49-F238E27FC236}">
                  <a16:creationId xmlns:a16="http://schemas.microsoft.com/office/drawing/2014/main" id="{00000000-0008-0000-0800-0000C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216</xdr:row>
          <xdr:rowOff>0</xdr:rowOff>
        </xdr:from>
        <xdr:to>
          <xdr:col>22</xdr:col>
          <xdr:colOff>184150</xdr:colOff>
          <xdr:row>216</xdr:row>
          <xdr:rowOff>184150</xdr:rowOff>
        </xdr:to>
        <xdr:sp macro="" textlink="">
          <xdr:nvSpPr>
            <xdr:cNvPr id="8397" name="Check Box 205" hidden="1">
              <a:extLst>
                <a:ext uri="{63B3BB69-23CF-44E3-9099-C40C66FF867C}">
                  <a14:compatExt spid="_x0000_s8397"/>
                </a:ext>
                <a:ext uri="{FF2B5EF4-FFF2-40B4-BE49-F238E27FC236}">
                  <a16:creationId xmlns:a16="http://schemas.microsoft.com/office/drawing/2014/main" id="{00000000-0008-0000-0800-0000C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6</xdr:col>
      <xdr:colOff>2924175</xdr:colOff>
      <xdr:row>0</xdr:row>
      <xdr:rowOff>0</xdr:rowOff>
    </xdr:from>
    <xdr:to>
      <xdr:col>6</xdr:col>
      <xdr:colOff>4752975</xdr:colOff>
      <xdr:row>4</xdr:row>
      <xdr:rowOff>141767</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0"/>
          <a:ext cx="1828800" cy="9037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omeinnovation.com/FindNGBSverifier" TargetMode="External"/><Relationship Id="rId1" Type="http://schemas.openxmlformats.org/officeDocument/2006/relationships/hyperlink" Target="http://www.homeinnovation.com/greenscorin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up.codes/viewer/connecticut/iecc-2015/chapter/CE_4/ce-commercial-energy-efficiency" TargetMode="External"/><Relationship Id="rId1" Type="http://schemas.openxmlformats.org/officeDocument/2006/relationships/hyperlink" Target="https://www.energystar.gov/sites/default/files/ES%20HERS%20Index%20Target%20Procedure%20v40%202018-03-15_clean.pdf" TargetMode="Externa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39.xml"/><Relationship Id="rId13" Type="http://schemas.openxmlformats.org/officeDocument/2006/relationships/ctrlProp" Target="../ctrlProps/ctrlProp444.xml"/><Relationship Id="rId18" Type="http://schemas.openxmlformats.org/officeDocument/2006/relationships/ctrlProp" Target="../ctrlProps/ctrlProp449.xml"/><Relationship Id="rId3" Type="http://schemas.openxmlformats.org/officeDocument/2006/relationships/vmlDrawing" Target="../drawings/vmlDrawing8.vml"/><Relationship Id="rId21" Type="http://schemas.openxmlformats.org/officeDocument/2006/relationships/ctrlProp" Target="../ctrlProps/ctrlProp452.xml"/><Relationship Id="rId7" Type="http://schemas.openxmlformats.org/officeDocument/2006/relationships/ctrlProp" Target="../ctrlProps/ctrlProp438.xml"/><Relationship Id="rId12" Type="http://schemas.openxmlformats.org/officeDocument/2006/relationships/ctrlProp" Target="../ctrlProps/ctrlProp443.xml"/><Relationship Id="rId17" Type="http://schemas.openxmlformats.org/officeDocument/2006/relationships/ctrlProp" Target="../ctrlProps/ctrlProp448.xml"/><Relationship Id="rId2" Type="http://schemas.openxmlformats.org/officeDocument/2006/relationships/drawing" Target="../drawings/drawing11.xml"/><Relationship Id="rId16" Type="http://schemas.openxmlformats.org/officeDocument/2006/relationships/ctrlProp" Target="../ctrlProps/ctrlProp447.xml"/><Relationship Id="rId20" Type="http://schemas.openxmlformats.org/officeDocument/2006/relationships/ctrlProp" Target="../ctrlProps/ctrlProp451.xml"/><Relationship Id="rId1" Type="http://schemas.openxmlformats.org/officeDocument/2006/relationships/printerSettings" Target="../printerSettings/printerSettings12.bin"/><Relationship Id="rId6" Type="http://schemas.openxmlformats.org/officeDocument/2006/relationships/ctrlProp" Target="../ctrlProps/ctrlProp437.xml"/><Relationship Id="rId11" Type="http://schemas.openxmlformats.org/officeDocument/2006/relationships/ctrlProp" Target="../ctrlProps/ctrlProp442.xml"/><Relationship Id="rId5" Type="http://schemas.openxmlformats.org/officeDocument/2006/relationships/ctrlProp" Target="../ctrlProps/ctrlProp436.xml"/><Relationship Id="rId15" Type="http://schemas.openxmlformats.org/officeDocument/2006/relationships/ctrlProp" Target="../ctrlProps/ctrlProp446.xml"/><Relationship Id="rId10" Type="http://schemas.openxmlformats.org/officeDocument/2006/relationships/ctrlProp" Target="../ctrlProps/ctrlProp441.xml"/><Relationship Id="rId19" Type="http://schemas.openxmlformats.org/officeDocument/2006/relationships/ctrlProp" Target="../ctrlProps/ctrlProp450.xml"/><Relationship Id="rId4" Type="http://schemas.openxmlformats.org/officeDocument/2006/relationships/ctrlProp" Target="../ctrlProps/ctrlProp435.xml"/><Relationship Id="rId9" Type="http://schemas.openxmlformats.org/officeDocument/2006/relationships/ctrlProp" Target="../ctrlProps/ctrlProp440.xml"/><Relationship Id="rId14" Type="http://schemas.openxmlformats.org/officeDocument/2006/relationships/ctrlProp" Target="../ctrlProps/ctrlProp445.xml"/><Relationship Id="rId22" Type="http://schemas.openxmlformats.org/officeDocument/2006/relationships/ctrlProp" Target="../ctrlProps/ctrlProp453.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56.xml"/><Relationship Id="rId13" Type="http://schemas.openxmlformats.org/officeDocument/2006/relationships/ctrlProp" Target="../ctrlProps/ctrlProp461.xml"/><Relationship Id="rId18" Type="http://schemas.openxmlformats.org/officeDocument/2006/relationships/ctrlProp" Target="../ctrlProps/ctrlProp466.xml"/><Relationship Id="rId3" Type="http://schemas.openxmlformats.org/officeDocument/2006/relationships/printerSettings" Target="../printerSettings/printerSettings13.bin"/><Relationship Id="rId7" Type="http://schemas.openxmlformats.org/officeDocument/2006/relationships/ctrlProp" Target="../ctrlProps/ctrlProp455.xml"/><Relationship Id="rId12" Type="http://schemas.openxmlformats.org/officeDocument/2006/relationships/ctrlProp" Target="../ctrlProps/ctrlProp460.xml"/><Relationship Id="rId17" Type="http://schemas.openxmlformats.org/officeDocument/2006/relationships/ctrlProp" Target="../ctrlProps/ctrlProp465.xml"/><Relationship Id="rId2" Type="http://schemas.openxmlformats.org/officeDocument/2006/relationships/hyperlink" Target="https://www.epa.gov/watersense/irrigation-pro" TargetMode="External"/><Relationship Id="rId16" Type="http://schemas.openxmlformats.org/officeDocument/2006/relationships/ctrlProp" Target="../ctrlProps/ctrlProp464.xml"/><Relationship Id="rId20" Type="http://schemas.openxmlformats.org/officeDocument/2006/relationships/ctrlProp" Target="../ctrlProps/ctrlProp468.xml"/><Relationship Id="rId1" Type="http://schemas.openxmlformats.org/officeDocument/2006/relationships/hyperlink" Target="https://www.epa.gov/watersense/irrigation-controllers" TargetMode="External"/><Relationship Id="rId6" Type="http://schemas.openxmlformats.org/officeDocument/2006/relationships/ctrlProp" Target="../ctrlProps/ctrlProp454.xml"/><Relationship Id="rId11" Type="http://schemas.openxmlformats.org/officeDocument/2006/relationships/ctrlProp" Target="../ctrlProps/ctrlProp459.xml"/><Relationship Id="rId5" Type="http://schemas.openxmlformats.org/officeDocument/2006/relationships/vmlDrawing" Target="../drawings/vmlDrawing9.vml"/><Relationship Id="rId15" Type="http://schemas.openxmlformats.org/officeDocument/2006/relationships/ctrlProp" Target="../ctrlProps/ctrlProp463.xml"/><Relationship Id="rId10" Type="http://schemas.openxmlformats.org/officeDocument/2006/relationships/ctrlProp" Target="../ctrlProps/ctrlProp458.xml"/><Relationship Id="rId19" Type="http://schemas.openxmlformats.org/officeDocument/2006/relationships/ctrlProp" Target="../ctrlProps/ctrlProp467.xml"/><Relationship Id="rId4" Type="http://schemas.openxmlformats.org/officeDocument/2006/relationships/drawing" Target="../drawings/drawing12.xml"/><Relationship Id="rId9" Type="http://schemas.openxmlformats.org/officeDocument/2006/relationships/ctrlProp" Target="../ctrlProps/ctrlProp457.xml"/><Relationship Id="rId14" Type="http://schemas.openxmlformats.org/officeDocument/2006/relationships/ctrlProp" Target="../ctrlProps/ctrlProp46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478.xml"/><Relationship Id="rId18" Type="http://schemas.openxmlformats.org/officeDocument/2006/relationships/ctrlProp" Target="../ctrlProps/ctrlProp483.xml"/><Relationship Id="rId26" Type="http://schemas.openxmlformats.org/officeDocument/2006/relationships/ctrlProp" Target="../ctrlProps/ctrlProp491.xml"/><Relationship Id="rId39" Type="http://schemas.openxmlformats.org/officeDocument/2006/relationships/ctrlProp" Target="../ctrlProps/ctrlProp504.xml"/><Relationship Id="rId21" Type="http://schemas.openxmlformats.org/officeDocument/2006/relationships/ctrlProp" Target="../ctrlProps/ctrlProp486.xml"/><Relationship Id="rId34" Type="http://schemas.openxmlformats.org/officeDocument/2006/relationships/ctrlProp" Target="../ctrlProps/ctrlProp499.xml"/><Relationship Id="rId42" Type="http://schemas.openxmlformats.org/officeDocument/2006/relationships/ctrlProp" Target="../ctrlProps/ctrlProp507.xml"/><Relationship Id="rId7" Type="http://schemas.openxmlformats.org/officeDocument/2006/relationships/ctrlProp" Target="../ctrlProps/ctrlProp472.xml"/><Relationship Id="rId2" Type="http://schemas.openxmlformats.org/officeDocument/2006/relationships/drawing" Target="../drawings/drawing13.xml"/><Relationship Id="rId16" Type="http://schemas.openxmlformats.org/officeDocument/2006/relationships/ctrlProp" Target="../ctrlProps/ctrlProp481.xml"/><Relationship Id="rId29" Type="http://schemas.openxmlformats.org/officeDocument/2006/relationships/ctrlProp" Target="../ctrlProps/ctrlProp494.xml"/><Relationship Id="rId1" Type="http://schemas.openxmlformats.org/officeDocument/2006/relationships/printerSettings" Target="../printerSettings/printerSettings18.bin"/><Relationship Id="rId6" Type="http://schemas.openxmlformats.org/officeDocument/2006/relationships/ctrlProp" Target="../ctrlProps/ctrlProp471.xml"/><Relationship Id="rId11" Type="http://schemas.openxmlformats.org/officeDocument/2006/relationships/ctrlProp" Target="../ctrlProps/ctrlProp476.xml"/><Relationship Id="rId24" Type="http://schemas.openxmlformats.org/officeDocument/2006/relationships/ctrlProp" Target="../ctrlProps/ctrlProp489.xml"/><Relationship Id="rId32" Type="http://schemas.openxmlformats.org/officeDocument/2006/relationships/ctrlProp" Target="../ctrlProps/ctrlProp497.xml"/><Relationship Id="rId37" Type="http://schemas.openxmlformats.org/officeDocument/2006/relationships/ctrlProp" Target="../ctrlProps/ctrlProp502.xml"/><Relationship Id="rId40" Type="http://schemas.openxmlformats.org/officeDocument/2006/relationships/ctrlProp" Target="../ctrlProps/ctrlProp505.xml"/><Relationship Id="rId45" Type="http://schemas.openxmlformats.org/officeDocument/2006/relationships/ctrlProp" Target="../ctrlProps/ctrlProp510.xml"/><Relationship Id="rId5" Type="http://schemas.openxmlformats.org/officeDocument/2006/relationships/ctrlProp" Target="../ctrlProps/ctrlProp470.xml"/><Relationship Id="rId15" Type="http://schemas.openxmlformats.org/officeDocument/2006/relationships/ctrlProp" Target="../ctrlProps/ctrlProp480.xml"/><Relationship Id="rId23" Type="http://schemas.openxmlformats.org/officeDocument/2006/relationships/ctrlProp" Target="../ctrlProps/ctrlProp488.xml"/><Relationship Id="rId28" Type="http://schemas.openxmlformats.org/officeDocument/2006/relationships/ctrlProp" Target="../ctrlProps/ctrlProp493.xml"/><Relationship Id="rId36" Type="http://schemas.openxmlformats.org/officeDocument/2006/relationships/ctrlProp" Target="../ctrlProps/ctrlProp501.xml"/><Relationship Id="rId10" Type="http://schemas.openxmlformats.org/officeDocument/2006/relationships/ctrlProp" Target="../ctrlProps/ctrlProp475.xml"/><Relationship Id="rId19" Type="http://schemas.openxmlformats.org/officeDocument/2006/relationships/ctrlProp" Target="../ctrlProps/ctrlProp484.xml"/><Relationship Id="rId31" Type="http://schemas.openxmlformats.org/officeDocument/2006/relationships/ctrlProp" Target="../ctrlProps/ctrlProp496.xml"/><Relationship Id="rId44" Type="http://schemas.openxmlformats.org/officeDocument/2006/relationships/ctrlProp" Target="../ctrlProps/ctrlProp509.xml"/><Relationship Id="rId4" Type="http://schemas.openxmlformats.org/officeDocument/2006/relationships/ctrlProp" Target="../ctrlProps/ctrlProp469.xml"/><Relationship Id="rId9" Type="http://schemas.openxmlformats.org/officeDocument/2006/relationships/ctrlProp" Target="../ctrlProps/ctrlProp474.xml"/><Relationship Id="rId14" Type="http://schemas.openxmlformats.org/officeDocument/2006/relationships/ctrlProp" Target="../ctrlProps/ctrlProp479.xml"/><Relationship Id="rId22" Type="http://schemas.openxmlformats.org/officeDocument/2006/relationships/ctrlProp" Target="../ctrlProps/ctrlProp487.xml"/><Relationship Id="rId27" Type="http://schemas.openxmlformats.org/officeDocument/2006/relationships/ctrlProp" Target="../ctrlProps/ctrlProp492.xml"/><Relationship Id="rId30" Type="http://schemas.openxmlformats.org/officeDocument/2006/relationships/ctrlProp" Target="../ctrlProps/ctrlProp495.xml"/><Relationship Id="rId35" Type="http://schemas.openxmlformats.org/officeDocument/2006/relationships/ctrlProp" Target="../ctrlProps/ctrlProp500.xml"/><Relationship Id="rId43" Type="http://schemas.openxmlformats.org/officeDocument/2006/relationships/ctrlProp" Target="../ctrlProps/ctrlProp508.xml"/><Relationship Id="rId8" Type="http://schemas.openxmlformats.org/officeDocument/2006/relationships/ctrlProp" Target="../ctrlProps/ctrlProp473.xml"/><Relationship Id="rId3" Type="http://schemas.openxmlformats.org/officeDocument/2006/relationships/vmlDrawing" Target="../drawings/vmlDrawing10.vml"/><Relationship Id="rId12" Type="http://schemas.openxmlformats.org/officeDocument/2006/relationships/ctrlProp" Target="../ctrlProps/ctrlProp477.xml"/><Relationship Id="rId17" Type="http://schemas.openxmlformats.org/officeDocument/2006/relationships/ctrlProp" Target="../ctrlProps/ctrlProp482.xml"/><Relationship Id="rId25" Type="http://schemas.openxmlformats.org/officeDocument/2006/relationships/ctrlProp" Target="../ctrlProps/ctrlProp490.xml"/><Relationship Id="rId33" Type="http://schemas.openxmlformats.org/officeDocument/2006/relationships/ctrlProp" Target="../ctrlProps/ctrlProp498.xml"/><Relationship Id="rId38" Type="http://schemas.openxmlformats.org/officeDocument/2006/relationships/ctrlProp" Target="../ctrlProps/ctrlProp503.xml"/><Relationship Id="rId20" Type="http://schemas.openxmlformats.org/officeDocument/2006/relationships/ctrlProp" Target="../ctrlProps/ctrlProp485.xml"/><Relationship Id="rId41" Type="http://schemas.openxmlformats.org/officeDocument/2006/relationships/ctrlProp" Target="../ctrlProps/ctrlProp50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17" Type="http://schemas.openxmlformats.org/officeDocument/2006/relationships/ctrlProp" Target="../ctrlProps/ctrlProp624.xml"/><Relationship Id="rId299" Type="http://schemas.openxmlformats.org/officeDocument/2006/relationships/ctrlProp" Target="../ctrlProps/ctrlProp806.xml"/><Relationship Id="rId21" Type="http://schemas.openxmlformats.org/officeDocument/2006/relationships/ctrlProp" Target="../ctrlProps/ctrlProp528.xml"/><Relationship Id="rId63" Type="http://schemas.openxmlformats.org/officeDocument/2006/relationships/ctrlProp" Target="../ctrlProps/ctrlProp570.xml"/><Relationship Id="rId159" Type="http://schemas.openxmlformats.org/officeDocument/2006/relationships/ctrlProp" Target="../ctrlProps/ctrlProp666.xml"/><Relationship Id="rId324" Type="http://schemas.openxmlformats.org/officeDocument/2006/relationships/ctrlProp" Target="../ctrlProps/ctrlProp831.xml"/><Relationship Id="rId366" Type="http://schemas.openxmlformats.org/officeDocument/2006/relationships/ctrlProp" Target="../ctrlProps/ctrlProp873.xml"/><Relationship Id="rId170" Type="http://schemas.openxmlformats.org/officeDocument/2006/relationships/ctrlProp" Target="../ctrlProps/ctrlProp677.xml"/><Relationship Id="rId226" Type="http://schemas.openxmlformats.org/officeDocument/2006/relationships/ctrlProp" Target="../ctrlProps/ctrlProp733.xml"/><Relationship Id="rId433" Type="http://schemas.openxmlformats.org/officeDocument/2006/relationships/ctrlProp" Target="../ctrlProps/ctrlProp940.xml"/><Relationship Id="rId268" Type="http://schemas.openxmlformats.org/officeDocument/2006/relationships/ctrlProp" Target="../ctrlProps/ctrlProp775.xml"/><Relationship Id="rId32" Type="http://schemas.openxmlformats.org/officeDocument/2006/relationships/ctrlProp" Target="../ctrlProps/ctrlProp539.xml"/><Relationship Id="rId74" Type="http://schemas.openxmlformats.org/officeDocument/2006/relationships/ctrlProp" Target="../ctrlProps/ctrlProp581.xml"/><Relationship Id="rId128" Type="http://schemas.openxmlformats.org/officeDocument/2006/relationships/ctrlProp" Target="../ctrlProps/ctrlProp635.xml"/><Relationship Id="rId335" Type="http://schemas.openxmlformats.org/officeDocument/2006/relationships/ctrlProp" Target="../ctrlProps/ctrlProp842.xml"/><Relationship Id="rId377" Type="http://schemas.openxmlformats.org/officeDocument/2006/relationships/ctrlProp" Target="../ctrlProps/ctrlProp884.xml"/><Relationship Id="rId5" Type="http://schemas.openxmlformats.org/officeDocument/2006/relationships/ctrlProp" Target="../ctrlProps/ctrlProp512.xml"/><Relationship Id="rId181" Type="http://schemas.openxmlformats.org/officeDocument/2006/relationships/ctrlProp" Target="../ctrlProps/ctrlProp688.xml"/><Relationship Id="rId237" Type="http://schemas.openxmlformats.org/officeDocument/2006/relationships/ctrlProp" Target="../ctrlProps/ctrlProp744.xml"/><Relationship Id="rId402" Type="http://schemas.openxmlformats.org/officeDocument/2006/relationships/ctrlProp" Target="../ctrlProps/ctrlProp909.xml"/><Relationship Id="rId279" Type="http://schemas.openxmlformats.org/officeDocument/2006/relationships/ctrlProp" Target="../ctrlProps/ctrlProp786.xml"/><Relationship Id="rId43" Type="http://schemas.openxmlformats.org/officeDocument/2006/relationships/ctrlProp" Target="../ctrlProps/ctrlProp550.xml"/><Relationship Id="rId139" Type="http://schemas.openxmlformats.org/officeDocument/2006/relationships/ctrlProp" Target="../ctrlProps/ctrlProp646.xml"/><Relationship Id="rId290" Type="http://schemas.openxmlformats.org/officeDocument/2006/relationships/ctrlProp" Target="../ctrlProps/ctrlProp797.xml"/><Relationship Id="rId304" Type="http://schemas.openxmlformats.org/officeDocument/2006/relationships/ctrlProp" Target="../ctrlProps/ctrlProp811.xml"/><Relationship Id="rId346" Type="http://schemas.openxmlformats.org/officeDocument/2006/relationships/ctrlProp" Target="../ctrlProps/ctrlProp853.xml"/><Relationship Id="rId388" Type="http://schemas.openxmlformats.org/officeDocument/2006/relationships/ctrlProp" Target="../ctrlProps/ctrlProp895.xml"/><Relationship Id="rId85" Type="http://schemas.openxmlformats.org/officeDocument/2006/relationships/ctrlProp" Target="../ctrlProps/ctrlProp592.xml"/><Relationship Id="rId150" Type="http://schemas.openxmlformats.org/officeDocument/2006/relationships/ctrlProp" Target="../ctrlProps/ctrlProp657.xml"/><Relationship Id="rId192" Type="http://schemas.openxmlformats.org/officeDocument/2006/relationships/ctrlProp" Target="../ctrlProps/ctrlProp699.xml"/><Relationship Id="rId206" Type="http://schemas.openxmlformats.org/officeDocument/2006/relationships/ctrlProp" Target="../ctrlProps/ctrlProp713.xml"/><Relationship Id="rId413" Type="http://schemas.openxmlformats.org/officeDocument/2006/relationships/ctrlProp" Target="../ctrlProps/ctrlProp920.xml"/><Relationship Id="rId248" Type="http://schemas.openxmlformats.org/officeDocument/2006/relationships/ctrlProp" Target="../ctrlProps/ctrlProp755.xml"/><Relationship Id="rId12" Type="http://schemas.openxmlformats.org/officeDocument/2006/relationships/ctrlProp" Target="../ctrlProps/ctrlProp519.xml"/><Relationship Id="rId108" Type="http://schemas.openxmlformats.org/officeDocument/2006/relationships/ctrlProp" Target="../ctrlProps/ctrlProp615.xml"/><Relationship Id="rId315" Type="http://schemas.openxmlformats.org/officeDocument/2006/relationships/ctrlProp" Target="../ctrlProps/ctrlProp822.xml"/><Relationship Id="rId357" Type="http://schemas.openxmlformats.org/officeDocument/2006/relationships/ctrlProp" Target="../ctrlProps/ctrlProp864.xml"/><Relationship Id="rId54" Type="http://schemas.openxmlformats.org/officeDocument/2006/relationships/ctrlProp" Target="../ctrlProps/ctrlProp561.xml"/><Relationship Id="rId96" Type="http://schemas.openxmlformats.org/officeDocument/2006/relationships/ctrlProp" Target="../ctrlProps/ctrlProp603.xml"/><Relationship Id="rId161" Type="http://schemas.openxmlformats.org/officeDocument/2006/relationships/ctrlProp" Target="../ctrlProps/ctrlProp668.xml"/><Relationship Id="rId217" Type="http://schemas.openxmlformats.org/officeDocument/2006/relationships/ctrlProp" Target="../ctrlProps/ctrlProp724.xml"/><Relationship Id="rId399" Type="http://schemas.openxmlformats.org/officeDocument/2006/relationships/ctrlProp" Target="../ctrlProps/ctrlProp906.xml"/><Relationship Id="rId259" Type="http://schemas.openxmlformats.org/officeDocument/2006/relationships/ctrlProp" Target="../ctrlProps/ctrlProp766.xml"/><Relationship Id="rId424" Type="http://schemas.openxmlformats.org/officeDocument/2006/relationships/ctrlProp" Target="../ctrlProps/ctrlProp931.xml"/><Relationship Id="rId23" Type="http://schemas.openxmlformats.org/officeDocument/2006/relationships/ctrlProp" Target="../ctrlProps/ctrlProp530.xml"/><Relationship Id="rId119" Type="http://schemas.openxmlformats.org/officeDocument/2006/relationships/ctrlProp" Target="../ctrlProps/ctrlProp626.xml"/><Relationship Id="rId270" Type="http://schemas.openxmlformats.org/officeDocument/2006/relationships/ctrlProp" Target="../ctrlProps/ctrlProp777.xml"/><Relationship Id="rId326" Type="http://schemas.openxmlformats.org/officeDocument/2006/relationships/ctrlProp" Target="../ctrlProps/ctrlProp833.xml"/><Relationship Id="rId65" Type="http://schemas.openxmlformats.org/officeDocument/2006/relationships/ctrlProp" Target="../ctrlProps/ctrlProp572.xml"/><Relationship Id="rId130" Type="http://schemas.openxmlformats.org/officeDocument/2006/relationships/ctrlProp" Target="../ctrlProps/ctrlProp637.xml"/><Relationship Id="rId368" Type="http://schemas.openxmlformats.org/officeDocument/2006/relationships/ctrlProp" Target="../ctrlProps/ctrlProp875.xml"/><Relationship Id="rId172" Type="http://schemas.openxmlformats.org/officeDocument/2006/relationships/ctrlProp" Target="../ctrlProps/ctrlProp679.xml"/><Relationship Id="rId228" Type="http://schemas.openxmlformats.org/officeDocument/2006/relationships/ctrlProp" Target="../ctrlProps/ctrlProp735.xml"/><Relationship Id="rId435" Type="http://schemas.openxmlformats.org/officeDocument/2006/relationships/ctrlProp" Target="../ctrlProps/ctrlProp942.xml"/><Relationship Id="rId281" Type="http://schemas.openxmlformats.org/officeDocument/2006/relationships/ctrlProp" Target="../ctrlProps/ctrlProp788.xml"/><Relationship Id="rId337" Type="http://schemas.openxmlformats.org/officeDocument/2006/relationships/ctrlProp" Target="../ctrlProps/ctrlProp844.xml"/><Relationship Id="rId34" Type="http://schemas.openxmlformats.org/officeDocument/2006/relationships/ctrlProp" Target="../ctrlProps/ctrlProp541.xml"/><Relationship Id="rId76" Type="http://schemas.openxmlformats.org/officeDocument/2006/relationships/ctrlProp" Target="../ctrlProps/ctrlProp583.xml"/><Relationship Id="rId141" Type="http://schemas.openxmlformats.org/officeDocument/2006/relationships/ctrlProp" Target="../ctrlProps/ctrlProp648.xml"/><Relationship Id="rId379" Type="http://schemas.openxmlformats.org/officeDocument/2006/relationships/ctrlProp" Target="../ctrlProps/ctrlProp886.xml"/><Relationship Id="rId7" Type="http://schemas.openxmlformats.org/officeDocument/2006/relationships/ctrlProp" Target="../ctrlProps/ctrlProp514.xml"/><Relationship Id="rId183" Type="http://schemas.openxmlformats.org/officeDocument/2006/relationships/ctrlProp" Target="../ctrlProps/ctrlProp690.xml"/><Relationship Id="rId239" Type="http://schemas.openxmlformats.org/officeDocument/2006/relationships/ctrlProp" Target="../ctrlProps/ctrlProp746.xml"/><Relationship Id="rId390" Type="http://schemas.openxmlformats.org/officeDocument/2006/relationships/ctrlProp" Target="../ctrlProps/ctrlProp897.xml"/><Relationship Id="rId404" Type="http://schemas.openxmlformats.org/officeDocument/2006/relationships/ctrlProp" Target="../ctrlProps/ctrlProp911.xml"/><Relationship Id="rId250" Type="http://schemas.openxmlformats.org/officeDocument/2006/relationships/ctrlProp" Target="../ctrlProps/ctrlProp757.xml"/><Relationship Id="rId292" Type="http://schemas.openxmlformats.org/officeDocument/2006/relationships/ctrlProp" Target="../ctrlProps/ctrlProp799.xml"/><Relationship Id="rId306" Type="http://schemas.openxmlformats.org/officeDocument/2006/relationships/ctrlProp" Target="../ctrlProps/ctrlProp813.xml"/><Relationship Id="rId45" Type="http://schemas.openxmlformats.org/officeDocument/2006/relationships/ctrlProp" Target="../ctrlProps/ctrlProp552.xml"/><Relationship Id="rId87" Type="http://schemas.openxmlformats.org/officeDocument/2006/relationships/ctrlProp" Target="../ctrlProps/ctrlProp594.xml"/><Relationship Id="rId110" Type="http://schemas.openxmlformats.org/officeDocument/2006/relationships/ctrlProp" Target="../ctrlProps/ctrlProp617.xml"/><Relationship Id="rId348" Type="http://schemas.openxmlformats.org/officeDocument/2006/relationships/ctrlProp" Target="../ctrlProps/ctrlProp855.xml"/><Relationship Id="rId152" Type="http://schemas.openxmlformats.org/officeDocument/2006/relationships/ctrlProp" Target="../ctrlProps/ctrlProp659.xml"/><Relationship Id="rId194" Type="http://schemas.openxmlformats.org/officeDocument/2006/relationships/ctrlProp" Target="../ctrlProps/ctrlProp701.xml"/><Relationship Id="rId208" Type="http://schemas.openxmlformats.org/officeDocument/2006/relationships/ctrlProp" Target="../ctrlProps/ctrlProp715.xml"/><Relationship Id="rId415" Type="http://schemas.openxmlformats.org/officeDocument/2006/relationships/ctrlProp" Target="../ctrlProps/ctrlProp922.xml"/><Relationship Id="rId261" Type="http://schemas.openxmlformats.org/officeDocument/2006/relationships/ctrlProp" Target="../ctrlProps/ctrlProp768.xml"/><Relationship Id="rId14" Type="http://schemas.openxmlformats.org/officeDocument/2006/relationships/ctrlProp" Target="../ctrlProps/ctrlProp521.xml"/><Relationship Id="rId56" Type="http://schemas.openxmlformats.org/officeDocument/2006/relationships/ctrlProp" Target="../ctrlProps/ctrlProp563.xml"/><Relationship Id="rId317" Type="http://schemas.openxmlformats.org/officeDocument/2006/relationships/ctrlProp" Target="../ctrlProps/ctrlProp824.xml"/><Relationship Id="rId359" Type="http://schemas.openxmlformats.org/officeDocument/2006/relationships/ctrlProp" Target="../ctrlProps/ctrlProp866.xml"/><Relationship Id="rId98" Type="http://schemas.openxmlformats.org/officeDocument/2006/relationships/ctrlProp" Target="../ctrlProps/ctrlProp605.xml"/><Relationship Id="rId121" Type="http://schemas.openxmlformats.org/officeDocument/2006/relationships/ctrlProp" Target="../ctrlProps/ctrlProp628.xml"/><Relationship Id="rId163" Type="http://schemas.openxmlformats.org/officeDocument/2006/relationships/ctrlProp" Target="../ctrlProps/ctrlProp670.xml"/><Relationship Id="rId219" Type="http://schemas.openxmlformats.org/officeDocument/2006/relationships/ctrlProp" Target="../ctrlProps/ctrlProp726.xml"/><Relationship Id="rId370" Type="http://schemas.openxmlformats.org/officeDocument/2006/relationships/ctrlProp" Target="../ctrlProps/ctrlProp877.xml"/><Relationship Id="rId426" Type="http://schemas.openxmlformats.org/officeDocument/2006/relationships/ctrlProp" Target="../ctrlProps/ctrlProp933.xml"/><Relationship Id="rId230" Type="http://schemas.openxmlformats.org/officeDocument/2006/relationships/ctrlProp" Target="../ctrlProps/ctrlProp737.xml"/><Relationship Id="rId25" Type="http://schemas.openxmlformats.org/officeDocument/2006/relationships/ctrlProp" Target="../ctrlProps/ctrlProp532.xml"/><Relationship Id="rId67" Type="http://schemas.openxmlformats.org/officeDocument/2006/relationships/ctrlProp" Target="../ctrlProps/ctrlProp574.xml"/><Relationship Id="rId272" Type="http://schemas.openxmlformats.org/officeDocument/2006/relationships/ctrlProp" Target="../ctrlProps/ctrlProp779.xml"/><Relationship Id="rId328" Type="http://schemas.openxmlformats.org/officeDocument/2006/relationships/ctrlProp" Target="../ctrlProps/ctrlProp835.xml"/><Relationship Id="rId132" Type="http://schemas.openxmlformats.org/officeDocument/2006/relationships/ctrlProp" Target="../ctrlProps/ctrlProp639.xml"/><Relationship Id="rId174" Type="http://schemas.openxmlformats.org/officeDocument/2006/relationships/ctrlProp" Target="../ctrlProps/ctrlProp681.xml"/><Relationship Id="rId381" Type="http://schemas.openxmlformats.org/officeDocument/2006/relationships/ctrlProp" Target="../ctrlProps/ctrlProp888.xml"/><Relationship Id="rId241" Type="http://schemas.openxmlformats.org/officeDocument/2006/relationships/ctrlProp" Target="../ctrlProps/ctrlProp748.xml"/><Relationship Id="rId36" Type="http://schemas.openxmlformats.org/officeDocument/2006/relationships/ctrlProp" Target="../ctrlProps/ctrlProp543.xml"/><Relationship Id="rId283" Type="http://schemas.openxmlformats.org/officeDocument/2006/relationships/ctrlProp" Target="../ctrlProps/ctrlProp790.xml"/><Relationship Id="rId339" Type="http://schemas.openxmlformats.org/officeDocument/2006/relationships/ctrlProp" Target="../ctrlProps/ctrlProp846.xml"/><Relationship Id="rId78" Type="http://schemas.openxmlformats.org/officeDocument/2006/relationships/ctrlProp" Target="../ctrlProps/ctrlProp585.xml"/><Relationship Id="rId101" Type="http://schemas.openxmlformats.org/officeDocument/2006/relationships/ctrlProp" Target="../ctrlProps/ctrlProp608.xml"/><Relationship Id="rId143" Type="http://schemas.openxmlformats.org/officeDocument/2006/relationships/ctrlProp" Target="../ctrlProps/ctrlProp650.xml"/><Relationship Id="rId185" Type="http://schemas.openxmlformats.org/officeDocument/2006/relationships/ctrlProp" Target="../ctrlProps/ctrlProp692.xml"/><Relationship Id="rId350" Type="http://schemas.openxmlformats.org/officeDocument/2006/relationships/ctrlProp" Target="../ctrlProps/ctrlProp857.xml"/><Relationship Id="rId406" Type="http://schemas.openxmlformats.org/officeDocument/2006/relationships/ctrlProp" Target="../ctrlProps/ctrlProp913.xml"/><Relationship Id="rId9" Type="http://schemas.openxmlformats.org/officeDocument/2006/relationships/ctrlProp" Target="../ctrlProps/ctrlProp516.xml"/><Relationship Id="rId210" Type="http://schemas.openxmlformats.org/officeDocument/2006/relationships/ctrlProp" Target="../ctrlProps/ctrlProp717.xml"/><Relationship Id="rId392" Type="http://schemas.openxmlformats.org/officeDocument/2006/relationships/ctrlProp" Target="../ctrlProps/ctrlProp899.xml"/><Relationship Id="rId252" Type="http://schemas.openxmlformats.org/officeDocument/2006/relationships/ctrlProp" Target="../ctrlProps/ctrlProp759.xml"/><Relationship Id="rId294" Type="http://schemas.openxmlformats.org/officeDocument/2006/relationships/ctrlProp" Target="../ctrlProps/ctrlProp801.xml"/><Relationship Id="rId308" Type="http://schemas.openxmlformats.org/officeDocument/2006/relationships/ctrlProp" Target="../ctrlProps/ctrlProp815.xml"/><Relationship Id="rId47" Type="http://schemas.openxmlformats.org/officeDocument/2006/relationships/ctrlProp" Target="../ctrlProps/ctrlProp554.xml"/><Relationship Id="rId89" Type="http://schemas.openxmlformats.org/officeDocument/2006/relationships/ctrlProp" Target="../ctrlProps/ctrlProp596.xml"/><Relationship Id="rId112" Type="http://schemas.openxmlformats.org/officeDocument/2006/relationships/ctrlProp" Target="../ctrlProps/ctrlProp619.xml"/><Relationship Id="rId154" Type="http://schemas.openxmlformats.org/officeDocument/2006/relationships/ctrlProp" Target="../ctrlProps/ctrlProp661.xml"/><Relationship Id="rId361" Type="http://schemas.openxmlformats.org/officeDocument/2006/relationships/ctrlProp" Target="../ctrlProps/ctrlProp868.xml"/><Relationship Id="rId196" Type="http://schemas.openxmlformats.org/officeDocument/2006/relationships/ctrlProp" Target="../ctrlProps/ctrlProp703.xml"/><Relationship Id="rId417" Type="http://schemas.openxmlformats.org/officeDocument/2006/relationships/ctrlProp" Target="../ctrlProps/ctrlProp924.xml"/><Relationship Id="rId16" Type="http://schemas.openxmlformats.org/officeDocument/2006/relationships/ctrlProp" Target="../ctrlProps/ctrlProp523.xml"/><Relationship Id="rId221" Type="http://schemas.openxmlformats.org/officeDocument/2006/relationships/ctrlProp" Target="../ctrlProps/ctrlProp728.xml"/><Relationship Id="rId263" Type="http://schemas.openxmlformats.org/officeDocument/2006/relationships/ctrlProp" Target="../ctrlProps/ctrlProp770.xml"/><Relationship Id="rId319" Type="http://schemas.openxmlformats.org/officeDocument/2006/relationships/ctrlProp" Target="../ctrlProps/ctrlProp826.xml"/><Relationship Id="rId58" Type="http://schemas.openxmlformats.org/officeDocument/2006/relationships/ctrlProp" Target="../ctrlProps/ctrlProp565.xml"/><Relationship Id="rId123" Type="http://schemas.openxmlformats.org/officeDocument/2006/relationships/ctrlProp" Target="../ctrlProps/ctrlProp630.xml"/><Relationship Id="rId330" Type="http://schemas.openxmlformats.org/officeDocument/2006/relationships/ctrlProp" Target="../ctrlProps/ctrlProp837.xml"/><Relationship Id="rId165" Type="http://schemas.openxmlformats.org/officeDocument/2006/relationships/ctrlProp" Target="../ctrlProps/ctrlProp672.xml"/><Relationship Id="rId372" Type="http://schemas.openxmlformats.org/officeDocument/2006/relationships/ctrlProp" Target="../ctrlProps/ctrlProp879.xml"/><Relationship Id="rId428" Type="http://schemas.openxmlformats.org/officeDocument/2006/relationships/ctrlProp" Target="../ctrlProps/ctrlProp935.xml"/><Relationship Id="rId232" Type="http://schemas.openxmlformats.org/officeDocument/2006/relationships/ctrlProp" Target="../ctrlProps/ctrlProp739.xml"/><Relationship Id="rId274" Type="http://schemas.openxmlformats.org/officeDocument/2006/relationships/ctrlProp" Target="../ctrlProps/ctrlProp781.xml"/><Relationship Id="rId27" Type="http://schemas.openxmlformats.org/officeDocument/2006/relationships/ctrlProp" Target="../ctrlProps/ctrlProp534.xml"/><Relationship Id="rId69" Type="http://schemas.openxmlformats.org/officeDocument/2006/relationships/ctrlProp" Target="../ctrlProps/ctrlProp576.xml"/><Relationship Id="rId134" Type="http://schemas.openxmlformats.org/officeDocument/2006/relationships/ctrlProp" Target="../ctrlProps/ctrlProp641.xml"/><Relationship Id="rId80" Type="http://schemas.openxmlformats.org/officeDocument/2006/relationships/ctrlProp" Target="../ctrlProps/ctrlProp587.xml"/><Relationship Id="rId176" Type="http://schemas.openxmlformats.org/officeDocument/2006/relationships/ctrlProp" Target="../ctrlProps/ctrlProp683.xml"/><Relationship Id="rId341" Type="http://schemas.openxmlformats.org/officeDocument/2006/relationships/ctrlProp" Target="../ctrlProps/ctrlProp848.xml"/><Relationship Id="rId383" Type="http://schemas.openxmlformats.org/officeDocument/2006/relationships/ctrlProp" Target="../ctrlProps/ctrlProp890.xml"/><Relationship Id="rId201" Type="http://schemas.openxmlformats.org/officeDocument/2006/relationships/ctrlProp" Target="../ctrlProps/ctrlProp708.xml"/><Relationship Id="rId243" Type="http://schemas.openxmlformats.org/officeDocument/2006/relationships/ctrlProp" Target="../ctrlProps/ctrlProp750.xml"/><Relationship Id="rId285" Type="http://schemas.openxmlformats.org/officeDocument/2006/relationships/ctrlProp" Target="../ctrlProps/ctrlProp792.xml"/><Relationship Id="rId38" Type="http://schemas.openxmlformats.org/officeDocument/2006/relationships/ctrlProp" Target="../ctrlProps/ctrlProp545.xml"/><Relationship Id="rId103" Type="http://schemas.openxmlformats.org/officeDocument/2006/relationships/ctrlProp" Target="../ctrlProps/ctrlProp610.xml"/><Relationship Id="rId310" Type="http://schemas.openxmlformats.org/officeDocument/2006/relationships/ctrlProp" Target="../ctrlProps/ctrlProp817.xml"/><Relationship Id="rId91" Type="http://schemas.openxmlformats.org/officeDocument/2006/relationships/ctrlProp" Target="../ctrlProps/ctrlProp598.xml"/><Relationship Id="rId145" Type="http://schemas.openxmlformats.org/officeDocument/2006/relationships/ctrlProp" Target="../ctrlProps/ctrlProp652.xml"/><Relationship Id="rId187" Type="http://schemas.openxmlformats.org/officeDocument/2006/relationships/ctrlProp" Target="../ctrlProps/ctrlProp694.xml"/><Relationship Id="rId352" Type="http://schemas.openxmlformats.org/officeDocument/2006/relationships/ctrlProp" Target="../ctrlProps/ctrlProp859.xml"/><Relationship Id="rId394" Type="http://schemas.openxmlformats.org/officeDocument/2006/relationships/ctrlProp" Target="../ctrlProps/ctrlProp901.xml"/><Relationship Id="rId408" Type="http://schemas.openxmlformats.org/officeDocument/2006/relationships/ctrlProp" Target="../ctrlProps/ctrlProp915.xml"/><Relationship Id="rId212" Type="http://schemas.openxmlformats.org/officeDocument/2006/relationships/ctrlProp" Target="../ctrlProps/ctrlProp719.xml"/><Relationship Id="rId254" Type="http://schemas.openxmlformats.org/officeDocument/2006/relationships/ctrlProp" Target="../ctrlProps/ctrlProp761.xml"/><Relationship Id="rId28" Type="http://schemas.openxmlformats.org/officeDocument/2006/relationships/ctrlProp" Target="../ctrlProps/ctrlProp535.xml"/><Relationship Id="rId49" Type="http://schemas.openxmlformats.org/officeDocument/2006/relationships/ctrlProp" Target="../ctrlProps/ctrlProp556.xml"/><Relationship Id="rId114" Type="http://schemas.openxmlformats.org/officeDocument/2006/relationships/ctrlProp" Target="../ctrlProps/ctrlProp621.xml"/><Relationship Id="rId275" Type="http://schemas.openxmlformats.org/officeDocument/2006/relationships/ctrlProp" Target="../ctrlProps/ctrlProp782.xml"/><Relationship Id="rId296" Type="http://schemas.openxmlformats.org/officeDocument/2006/relationships/ctrlProp" Target="../ctrlProps/ctrlProp803.xml"/><Relationship Id="rId300" Type="http://schemas.openxmlformats.org/officeDocument/2006/relationships/ctrlProp" Target="../ctrlProps/ctrlProp807.xml"/><Relationship Id="rId60" Type="http://schemas.openxmlformats.org/officeDocument/2006/relationships/ctrlProp" Target="../ctrlProps/ctrlProp567.xml"/><Relationship Id="rId81" Type="http://schemas.openxmlformats.org/officeDocument/2006/relationships/ctrlProp" Target="../ctrlProps/ctrlProp588.xml"/><Relationship Id="rId135" Type="http://schemas.openxmlformats.org/officeDocument/2006/relationships/ctrlProp" Target="../ctrlProps/ctrlProp642.xml"/><Relationship Id="rId156" Type="http://schemas.openxmlformats.org/officeDocument/2006/relationships/ctrlProp" Target="../ctrlProps/ctrlProp663.xml"/><Relationship Id="rId177" Type="http://schemas.openxmlformats.org/officeDocument/2006/relationships/ctrlProp" Target="../ctrlProps/ctrlProp684.xml"/><Relationship Id="rId198" Type="http://schemas.openxmlformats.org/officeDocument/2006/relationships/ctrlProp" Target="../ctrlProps/ctrlProp705.xml"/><Relationship Id="rId321" Type="http://schemas.openxmlformats.org/officeDocument/2006/relationships/ctrlProp" Target="../ctrlProps/ctrlProp828.xml"/><Relationship Id="rId342" Type="http://schemas.openxmlformats.org/officeDocument/2006/relationships/ctrlProp" Target="../ctrlProps/ctrlProp849.xml"/><Relationship Id="rId363" Type="http://schemas.openxmlformats.org/officeDocument/2006/relationships/ctrlProp" Target="../ctrlProps/ctrlProp870.xml"/><Relationship Id="rId384" Type="http://schemas.openxmlformats.org/officeDocument/2006/relationships/ctrlProp" Target="../ctrlProps/ctrlProp891.xml"/><Relationship Id="rId419" Type="http://schemas.openxmlformats.org/officeDocument/2006/relationships/ctrlProp" Target="../ctrlProps/ctrlProp926.xml"/><Relationship Id="rId202" Type="http://schemas.openxmlformats.org/officeDocument/2006/relationships/ctrlProp" Target="../ctrlProps/ctrlProp709.xml"/><Relationship Id="rId223" Type="http://schemas.openxmlformats.org/officeDocument/2006/relationships/ctrlProp" Target="../ctrlProps/ctrlProp730.xml"/><Relationship Id="rId244" Type="http://schemas.openxmlformats.org/officeDocument/2006/relationships/ctrlProp" Target="../ctrlProps/ctrlProp751.xml"/><Relationship Id="rId430" Type="http://schemas.openxmlformats.org/officeDocument/2006/relationships/ctrlProp" Target="../ctrlProps/ctrlProp937.xml"/><Relationship Id="rId18" Type="http://schemas.openxmlformats.org/officeDocument/2006/relationships/ctrlProp" Target="../ctrlProps/ctrlProp525.xml"/><Relationship Id="rId39" Type="http://schemas.openxmlformats.org/officeDocument/2006/relationships/ctrlProp" Target="../ctrlProps/ctrlProp546.xml"/><Relationship Id="rId265" Type="http://schemas.openxmlformats.org/officeDocument/2006/relationships/ctrlProp" Target="../ctrlProps/ctrlProp772.xml"/><Relationship Id="rId286" Type="http://schemas.openxmlformats.org/officeDocument/2006/relationships/ctrlProp" Target="../ctrlProps/ctrlProp793.xml"/><Relationship Id="rId50" Type="http://schemas.openxmlformats.org/officeDocument/2006/relationships/ctrlProp" Target="../ctrlProps/ctrlProp557.xml"/><Relationship Id="rId104" Type="http://schemas.openxmlformats.org/officeDocument/2006/relationships/ctrlProp" Target="../ctrlProps/ctrlProp611.xml"/><Relationship Id="rId125" Type="http://schemas.openxmlformats.org/officeDocument/2006/relationships/ctrlProp" Target="../ctrlProps/ctrlProp632.xml"/><Relationship Id="rId146" Type="http://schemas.openxmlformats.org/officeDocument/2006/relationships/ctrlProp" Target="../ctrlProps/ctrlProp653.xml"/><Relationship Id="rId167" Type="http://schemas.openxmlformats.org/officeDocument/2006/relationships/ctrlProp" Target="../ctrlProps/ctrlProp674.xml"/><Relationship Id="rId188" Type="http://schemas.openxmlformats.org/officeDocument/2006/relationships/ctrlProp" Target="../ctrlProps/ctrlProp695.xml"/><Relationship Id="rId311" Type="http://schemas.openxmlformats.org/officeDocument/2006/relationships/ctrlProp" Target="../ctrlProps/ctrlProp818.xml"/><Relationship Id="rId332" Type="http://schemas.openxmlformats.org/officeDocument/2006/relationships/ctrlProp" Target="../ctrlProps/ctrlProp839.xml"/><Relationship Id="rId353" Type="http://schemas.openxmlformats.org/officeDocument/2006/relationships/ctrlProp" Target="../ctrlProps/ctrlProp860.xml"/><Relationship Id="rId374" Type="http://schemas.openxmlformats.org/officeDocument/2006/relationships/ctrlProp" Target="../ctrlProps/ctrlProp881.xml"/><Relationship Id="rId395" Type="http://schemas.openxmlformats.org/officeDocument/2006/relationships/ctrlProp" Target="../ctrlProps/ctrlProp902.xml"/><Relationship Id="rId409" Type="http://schemas.openxmlformats.org/officeDocument/2006/relationships/ctrlProp" Target="../ctrlProps/ctrlProp916.xml"/><Relationship Id="rId71" Type="http://schemas.openxmlformats.org/officeDocument/2006/relationships/ctrlProp" Target="../ctrlProps/ctrlProp578.xml"/><Relationship Id="rId92" Type="http://schemas.openxmlformats.org/officeDocument/2006/relationships/ctrlProp" Target="../ctrlProps/ctrlProp599.xml"/><Relationship Id="rId213" Type="http://schemas.openxmlformats.org/officeDocument/2006/relationships/ctrlProp" Target="../ctrlProps/ctrlProp720.xml"/><Relationship Id="rId234" Type="http://schemas.openxmlformats.org/officeDocument/2006/relationships/ctrlProp" Target="../ctrlProps/ctrlProp741.xml"/><Relationship Id="rId420" Type="http://schemas.openxmlformats.org/officeDocument/2006/relationships/ctrlProp" Target="../ctrlProps/ctrlProp927.xml"/><Relationship Id="rId2" Type="http://schemas.openxmlformats.org/officeDocument/2006/relationships/drawing" Target="../drawings/drawing14.xml"/><Relationship Id="rId29" Type="http://schemas.openxmlformats.org/officeDocument/2006/relationships/ctrlProp" Target="../ctrlProps/ctrlProp536.xml"/><Relationship Id="rId255" Type="http://schemas.openxmlformats.org/officeDocument/2006/relationships/ctrlProp" Target="../ctrlProps/ctrlProp762.xml"/><Relationship Id="rId276" Type="http://schemas.openxmlformats.org/officeDocument/2006/relationships/ctrlProp" Target="../ctrlProps/ctrlProp783.xml"/><Relationship Id="rId297" Type="http://schemas.openxmlformats.org/officeDocument/2006/relationships/ctrlProp" Target="../ctrlProps/ctrlProp804.xml"/><Relationship Id="rId40" Type="http://schemas.openxmlformats.org/officeDocument/2006/relationships/ctrlProp" Target="../ctrlProps/ctrlProp547.xml"/><Relationship Id="rId115" Type="http://schemas.openxmlformats.org/officeDocument/2006/relationships/ctrlProp" Target="../ctrlProps/ctrlProp622.xml"/><Relationship Id="rId136" Type="http://schemas.openxmlformats.org/officeDocument/2006/relationships/ctrlProp" Target="../ctrlProps/ctrlProp643.xml"/><Relationship Id="rId157" Type="http://schemas.openxmlformats.org/officeDocument/2006/relationships/ctrlProp" Target="../ctrlProps/ctrlProp664.xml"/><Relationship Id="rId178" Type="http://schemas.openxmlformats.org/officeDocument/2006/relationships/ctrlProp" Target="../ctrlProps/ctrlProp685.xml"/><Relationship Id="rId301" Type="http://schemas.openxmlformats.org/officeDocument/2006/relationships/ctrlProp" Target="../ctrlProps/ctrlProp808.xml"/><Relationship Id="rId322" Type="http://schemas.openxmlformats.org/officeDocument/2006/relationships/ctrlProp" Target="../ctrlProps/ctrlProp829.xml"/><Relationship Id="rId343" Type="http://schemas.openxmlformats.org/officeDocument/2006/relationships/ctrlProp" Target="../ctrlProps/ctrlProp850.xml"/><Relationship Id="rId364" Type="http://schemas.openxmlformats.org/officeDocument/2006/relationships/ctrlProp" Target="../ctrlProps/ctrlProp871.xml"/><Relationship Id="rId61" Type="http://schemas.openxmlformats.org/officeDocument/2006/relationships/ctrlProp" Target="../ctrlProps/ctrlProp568.xml"/><Relationship Id="rId82" Type="http://schemas.openxmlformats.org/officeDocument/2006/relationships/ctrlProp" Target="../ctrlProps/ctrlProp589.xml"/><Relationship Id="rId199" Type="http://schemas.openxmlformats.org/officeDocument/2006/relationships/ctrlProp" Target="../ctrlProps/ctrlProp706.xml"/><Relationship Id="rId203" Type="http://schemas.openxmlformats.org/officeDocument/2006/relationships/ctrlProp" Target="../ctrlProps/ctrlProp710.xml"/><Relationship Id="rId385" Type="http://schemas.openxmlformats.org/officeDocument/2006/relationships/ctrlProp" Target="../ctrlProps/ctrlProp892.xml"/><Relationship Id="rId19" Type="http://schemas.openxmlformats.org/officeDocument/2006/relationships/ctrlProp" Target="../ctrlProps/ctrlProp526.xml"/><Relationship Id="rId224" Type="http://schemas.openxmlformats.org/officeDocument/2006/relationships/ctrlProp" Target="../ctrlProps/ctrlProp731.xml"/><Relationship Id="rId245" Type="http://schemas.openxmlformats.org/officeDocument/2006/relationships/ctrlProp" Target="../ctrlProps/ctrlProp752.xml"/><Relationship Id="rId266" Type="http://schemas.openxmlformats.org/officeDocument/2006/relationships/ctrlProp" Target="../ctrlProps/ctrlProp773.xml"/><Relationship Id="rId287" Type="http://schemas.openxmlformats.org/officeDocument/2006/relationships/ctrlProp" Target="../ctrlProps/ctrlProp794.xml"/><Relationship Id="rId410" Type="http://schemas.openxmlformats.org/officeDocument/2006/relationships/ctrlProp" Target="../ctrlProps/ctrlProp917.xml"/><Relationship Id="rId431" Type="http://schemas.openxmlformats.org/officeDocument/2006/relationships/ctrlProp" Target="../ctrlProps/ctrlProp938.xml"/><Relationship Id="rId30" Type="http://schemas.openxmlformats.org/officeDocument/2006/relationships/ctrlProp" Target="../ctrlProps/ctrlProp537.xml"/><Relationship Id="rId105" Type="http://schemas.openxmlformats.org/officeDocument/2006/relationships/ctrlProp" Target="../ctrlProps/ctrlProp612.xml"/><Relationship Id="rId126" Type="http://schemas.openxmlformats.org/officeDocument/2006/relationships/ctrlProp" Target="../ctrlProps/ctrlProp633.xml"/><Relationship Id="rId147" Type="http://schemas.openxmlformats.org/officeDocument/2006/relationships/ctrlProp" Target="../ctrlProps/ctrlProp654.xml"/><Relationship Id="rId168" Type="http://schemas.openxmlformats.org/officeDocument/2006/relationships/ctrlProp" Target="../ctrlProps/ctrlProp675.xml"/><Relationship Id="rId312" Type="http://schemas.openxmlformats.org/officeDocument/2006/relationships/ctrlProp" Target="../ctrlProps/ctrlProp819.xml"/><Relationship Id="rId333" Type="http://schemas.openxmlformats.org/officeDocument/2006/relationships/ctrlProp" Target="../ctrlProps/ctrlProp840.xml"/><Relationship Id="rId354" Type="http://schemas.openxmlformats.org/officeDocument/2006/relationships/ctrlProp" Target="../ctrlProps/ctrlProp861.xml"/><Relationship Id="rId51" Type="http://schemas.openxmlformats.org/officeDocument/2006/relationships/ctrlProp" Target="../ctrlProps/ctrlProp558.xml"/><Relationship Id="rId72" Type="http://schemas.openxmlformats.org/officeDocument/2006/relationships/ctrlProp" Target="../ctrlProps/ctrlProp579.xml"/><Relationship Id="rId93" Type="http://schemas.openxmlformats.org/officeDocument/2006/relationships/ctrlProp" Target="../ctrlProps/ctrlProp600.xml"/><Relationship Id="rId189" Type="http://schemas.openxmlformats.org/officeDocument/2006/relationships/ctrlProp" Target="../ctrlProps/ctrlProp696.xml"/><Relationship Id="rId375" Type="http://schemas.openxmlformats.org/officeDocument/2006/relationships/ctrlProp" Target="../ctrlProps/ctrlProp882.xml"/><Relationship Id="rId396" Type="http://schemas.openxmlformats.org/officeDocument/2006/relationships/ctrlProp" Target="../ctrlProps/ctrlProp903.xml"/><Relationship Id="rId3" Type="http://schemas.openxmlformats.org/officeDocument/2006/relationships/vmlDrawing" Target="../drawings/vmlDrawing11.vml"/><Relationship Id="rId214" Type="http://schemas.openxmlformats.org/officeDocument/2006/relationships/ctrlProp" Target="../ctrlProps/ctrlProp721.xml"/><Relationship Id="rId235" Type="http://schemas.openxmlformats.org/officeDocument/2006/relationships/ctrlProp" Target="../ctrlProps/ctrlProp742.xml"/><Relationship Id="rId256" Type="http://schemas.openxmlformats.org/officeDocument/2006/relationships/ctrlProp" Target="../ctrlProps/ctrlProp763.xml"/><Relationship Id="rId277" Type="http://schemas.openxmlformats.org/officeDocument/2006/relationships/ctrlProp" Target="../ctrlProps/ctrlProp784.xml"/><Relationship Id="rId298" Type="http://schemas.openxmlformats.org/officeDocument/2006/relationships/ctrlProp" Target="../ctrlProps/ctrlProp805.xml"/><Relationship Id="rId400" Type="http://schemas.openxmlformats.org/officeDocument/2006/relationships/ctrlProp" Target="../ctrlProps/ctrlProp907.xml"/><Relationship Id="rId421" Type="http://schemas.openxmlformats.org/officeDocument/2006/relationships/ctrlProp" Target="../ctrlProps/ctrlProp928.xml"/><Relationship Id="rId116" Type="http://schemas.openxmlformats.org/officeDocument/2006/relationships/ctrlProp" Target="../ctrlProps/ctrlProp623.xml"/><Relationship Id="rId137" Type="http://schemas.openxmlformats.org/officeDocument/2006/relationships/ctrlProp" Target="../ctrlProps/ctrlProp644.xml"/><Relationship Id="rId158" Type="http://schemas.openxmlformats.org/officeDocument/2006/relationships/ctrlProp" Target="../ctrlProps/ctrlProp665.xml"/><Relationship Id="rId302" Type="http://schemas.openxmlformats.org/officeDocument/2006/relationships/ctrlProp" Target="../ctrlProps/ctrlProp809.xml"/><Relationship Id="rId323" Type="http://schemas.openxmlformats.org/officeDocument/2006/relationships/ctrlProp" Target="../ctrlProps/ctrlProp830.xml"/><Relationship Id="rId344" Type="http://schemas.openxmlformats.org/officeDocument/2006/relationships/ctrlProp" Target="../ctrlProps/ctrlProp851.xml"/><Relationship Id="rId20" Type="http://schemas.openxmlformats.org/officeDocument/2006/relationships/ctrlProp" Target="../ctrlProps/ctrlProp527.xml"/><Relationship Id="rId41" Type="http://schemas.openxmlformats.org/officeDocument/2006/relationships/ctrlProp" Target="../ctrlProps/ctrlProp548.xml"/><Relationship Id="rId62" Type="http://schemas.openxmlformats.org/officeDocument/2006/relationships/ctrlProp" Target="../ctrlProps/ctrlProp569.xml"/><Relationship Id="rId83" Type="http://schemas.openxmlformats.org/officeDocument/2006/relationships/ctrlProp" Target="../ctrlProps/ctrlProp590.xml"/><Relationship Id="rId179" Type="http://schemas.openxmlformats.org/officeDocument/2006/relationships/ctrlProp" Target="../ctrlProps/ctrlProp686.xml"/><Relationship Id="rId365" Type="http://schemas.openxmlformats.org/officeDocument/2006/relationships/ctrlProp" Target="../ctrlProps/ctrlProp872.xml"/><Relationship Id="rId386" Type="http://schemas.openxmlformats.org/officeDocument/2006/relationships/ctrlProp" Target="../ctrlProps/ctrlProp893.xml"/><Relationship Id="rId190" Type="http://schemas.openxmlformats.org/officeDocument/2006/relationships/ctrlProp" Target="../ctrlProps/ctrlProp697.xml"/><Relationship Id="rId204" Type="http://schemas.openxmlformats.org/officeDocument/2006/relationships/ctrlProp" Target="../ctrlProps/ctrlProp711.xml"/><Relationship Id="rId225" Type="http://schemas.openxmlformats.org/officeDocument/2006/relationships/ctrlProp" Target="../ctrlProps/ctrlProp732.xml"/><Relationship Id="rId246" Type="http://schemas.openxmlformats.org/officeDocument/2006/relationships/ctrlProp" Target="../ctrlProps/ctrlProp753.xml"/><Relationship Id="rId267" Type="http://schemas.openxmlformats.org/officeDocument/2006/relationships/ctrlProp" Target="../ctrlProps/ctrlProp774.xml"/><Relationship Id="rId288" Type="http://schemas.openxmlformats.org/officeDocument/2006/relationships/ctrlProp" Target="../ctrlProps/ctrlProp795.xml"/><Relationship Id="rId411" Type="http://schemas.openxmlformats.org/officeDocument/2006/relationships/ctrlProp" Target="../ctrlProps/ctrlProp918.xml"/><Relationship Id="rId432" Type="http://schemas.openxmlformats.org/officeDocument/2006/relationships/ctrlProp" Target="../ctrlProps/ctrlProp939.xml"/><Relationship Id="rId106" Type="http://schemas.openxmlformats.org/officeDocument/2006/relationships/ctrlProp" Target="../ctrlProps/ctrlProp613.xml"/><Relationship Id="rId127" Type="http://schemas.openxmlformats.org/officeDocument/2006/relationships/ctrlProp" Target="../ctrlProps/ctrlProp634.xml"/><Relationship Id="rId313" Type="http://schemas.openxmlformats.org/officeDocument/2006/relationships/ctrlProp" Target="../ctrlProps/ctrlProp820.xml"/><Relationship Id="rId10" Type="http://schemas.openxmlformats.org/officeDocument/2006/relationships/ctrlProp" Target="../ctrlProps/ctrlProp517.xml"/><Relationship Id="rId31" Type="http://schemas.openxmlformats.org/officeDocument/2006/relationships/ctrlProp" Target="../ctrlProps/ctrlProp538.xml"/><Relationship Id="rId52" Type="http://schemas.openxmlformats.org/officeDocument/2006/relationships/ctrlProp" Target="../ctrlProps/ctrlProp559.xml"/><Relationship Id="rId73" Type="http://schemas.openxmlformats.org/officeDocument/2006/relationships/ctrlProp" Target="../ctrlProps/ctrlProp580.xml"/><Relationship Id="rId94" Type="http://schemas.openxmlformats.org/officeDocument/2006/relationships/ctrlProp" Target="../ctrlProps/ctrlProp601.xml"/><Relationship Id="rId148" Type="http://schemas.openxmlformats.org/officeDocument/2006/relationships/ctrlProp" Target="../ctrlProps/ctrlProp655.xml"/><Relationship Id="rId169" Type="http://schemas.openxmlformats.org/officeDocument/2006/relationships/ctrlProp" Target="../ctrlProps/ctrlProp676.xml"/><Relationship Id="rId334" Type="http://schemas.openxmlformats.org/officeDocument/2006/relationships/ctrlProp" Target="../ctrlProps/ctrlProp841.xml"/><Relationship Id="rId355" Type="http://schemas.openxmlformats.org/officeDocument/2006/relationships/ctrlProp" Target="../ctrlProps/ctrlProp862.xml"/><Relationship Id="rId376" Type="http://schemas.openxmlformats.org/officeDocument/2006/relationships/ctrlProp" Target="../ctrlProps/ctrlProp883.xml"/><Relationship Id="rId397" Type="http://schemas.openxmlformats.org/officeDocument/2006/relationships/ctrlProp" Target="../ctrlProps/ctrlProp904.xml"/><Relationship Id="rId4" Type="http://schemas.openxmlformats.org/officeDocument/2006/relationships/ctrlProp" Target="../ctrlProps/ctrlProp511.xml"/><Relationship Id="rId180" Type="http://schemas.openxmlformats.org/officeDocument/2006/relationships/ctrlProp" Target="../ctrlProps/ctrlProp687.xml"/><Relationship Id="rId215" Type="http://schemas.openxmlformats.org/officeDocument/2006/relationships/ctrlProp" Target="../ctrlProps/ctrlProp722.xml"/><Relationship Id="rId236" Type="http://schemas.openxmlformats.org/officeDocument/2006/relationships/ctrlProp" Target="../ctrlProps/ctrlProp743.xml"/><Relationship Id="rId257" Type="http://schemas.openxmlformats.org/officeDocument/2006/relationships/ctrlProp" Target="../ctrlProps/ctrlProp764.xml"/><Relationship Id="rId278" Type="http://schemas.openxmlformats.org/officeDocument/2006/relationships/ctrlProp" Target="../ctrlProps/ctrlProp785.xml"/><Relationship Id="rId401" Type="http://schemas.openxmlformats.org/officeDocument/2006/relationships/ctrlProp" Target="../ctrlProps/ctrlProp908.xml"/><Relationship Id="rId422" Type="http://schemas.openxmlformats.org/officeDocument/2006/relationships/ctrlProp" Target="../ctrlProps/ctrlProp929.xml"/><Relationship Id="rId303" Type="http://schemas.openxmlformats.org/officeDocument/2006/relationships/ctrlProp" Target="../ctrlProps/ctrlProp810.xml"/><Relationship Id="rId42" Type="http://schemas.openxmlformats.org/officeDocument/2006/relationships/ctrlProp" Target="../ctrlProps/ctrlProp549.xml"/><Relationship Id="rId84" Type="http://schemas.openxmlformats.org/officeDocument/2006/relationships/ctrlProp" Target="../ctrlProps/ctrlProp591.xml"/><Relationship Id="rId138" Type="http://schemas.openxmlformats.org/officeDocument/2006/relationships/ctrlProp" Target="../ctrlProps/ctrlProp645.xml"/><Relationship Id="rId345" Type="http://schemas.openxmlformats.org/officeDocument/2006/relationships/ctrlProp" Target="../ctrlProps/ctrlProp852.xml"/><Relationship Id="rId387" Type="http://schemas.openxmlformats.org/officeDocument/2006/relationships/ctrlProp" Target="../ctrlProps/ctrlProp894.xml"/><Relationship Id="rId191" Type="http://schemas.openxmlformats.org/officeDocument/2006/relationships/ctrlProp" Target="../ctrlProps/ctrlProp698.xml"/><Relationship Id="rId205" Type="http://schemas.openxmlformats.org/officeDocument/2006/relationships/ctrlProp" Target="../ctrlProps/ctrlProp712.xml"/><Relationship Id="rId247" Type="http://schemas.openxmlformats.org/officeDocument/2006/relationships/ctrlProp" Target="../ctrlProps/ctrlProp754.xml"/><Relationship Id="rId412" Type="http://schemas.openxmlformats.org/officeDocument/2006/relationships/ctrlProp" Target="../ctrlProps/ctrlProp919.xml"/><Relationship Id="rId107" Type="http://schemas.openxmlformats.org/officeDocument/2006/relationships/ctrlProp" Target="../ctrlProps/ctrlProp614.xml"/><Relationship Id="rId289" Type="http://schemas.openxmlformats.org/officeDocument/2006/relationships/ctrlProp" Target="../ctrlProps/ctrlProp796.xml"/><Relationship Id="rId11" Type="http://schemas.openxmlformats.org/officeDocument/2006/relationships/ctrlProp" Target="../ctrlProps/ctrlProp518.xml"/><Relationship Id="rId53" Type="http://schemas.openxmlformats.org/officeDocument/2006/relationships/ctrlProp" Target="../ctrlProps/ctrlProp560.xml"/><Relationship Id="rId149" Type="http://schemas.openxmlformats.org/officeDocument/2006/relationships/ctrlProp" Target="../ctrlProps/ctrlProp656.xml"/><Relationship Id="rId314" Type="http://schemas.openxmlformats.org/officeDocument/2006/relationships/ctrlProp" Target="../ctrlProps/ctrlProp821.xml"/><Relationship Id="rId356" Type="http://schemas.openxmlformats.org/officeDocument/2006/relationships/ctrlProp" Target="../ctrlProps/ctrlProp863.xml"/><Relationship Id="rId398" Type="http://schemas.openxmlformats.org/officeDocument/2006/relationships/ctrlProp" Target="../ctrlProps/ctrlProp905.xml"/><Relationship Id="rId95" Type="http://schemas.openxmlformats.org/officeDocument/2006/relationships/ctrlProp" Target="../ctrlProps/ctrlProp602.xml"/><Relationship Id="rId160" Type="http://schemas.openxmlformats.org/officeDocument/2006/relationships/ctrlProp" Target="../ctrlProps/ctrlProp667.xml"/><Relationship Id="rId216" Type="http://schemas.openxmlformats.org/officeDocument/2006/relationships/ctrlProp" Target="../ctrlProps/ctrlProp723.xml"/><Relationship Id="rId423" Type="http://schemas.openxmlformats.org/officeDocument/2006/relationships/ctrlProp" Target="../ctrlProps/ctrlProp930.xml"/><Relationship Id="rId258" Type="http://schemas.openxmlformats.org/officeDocument/2006/relationships/ctrlProp" Target="../ctrlProps/ctrlProp765.xml"/><Relationship Id="rId22" Type="http://schemas.openxmlformats.org/officeDocument/2006/relationships/ctrlProp" Target="../ctrlProps/ctrlProp529.xml"/><Relationship Id="rId64" Type="http://schemas.openxmlformats.org/officeDocument/2006/relationships/ctrlProp" Target="../ctrlProps/ctrlProp571.xml"/><Relationship Id="rId118" Type="http://schemas.openxmlformats.org/officeDocument/2006/relationships/ctrlProp" Target="../ctrlProps/ctrlProp625.xml"/><Relationship Id="rId325" Type="http://schemas.openxmlformats.org/officeDocument/2006/relationships/ctrlProp" Target="../ctrlProps/ctrlProp832.xml"/><Relationship Id="rId367" Type="http://schemas.openxmlformats.org/officeDocument/2006/relationships/ctrlProp" Target="../ctrlProps/ctrlProp874.xml"/><Relationship Id="rId171" Type="http://schemas.openxmlformats.org/officeDocument/2006/relationships/ctrlProp" Target="../ctrlProps/ctrlProp678.xml"/><Relationship Id="rId227" Type="http://schemas.openxmlformats.org/officeDocument/2006/relationships/ctrlProp" Target="../ctrlProps/ctrlProp734.xml"/><Relationship Id="rId269" Type="http://schemas.openxmlformats.org/officeDocument/2006/relationships/ctrlProp" Target="../ctrlProps/ctrlProp776.xml"/><Relationship Id="rId434" Type="http://schemas.openxmlformats.org/officeDocument/2006/relationships/ctrlProp" Target="../ctrlProps/ctrlProp941.xml"/><Relationship Id="rId33" Type="http://schemas.openxmlformats.org/officeDocument/2006/relationships/ctrlProp" Target="../ctrlProps/ctrlProp540.xml"/><Relationship Id="rId129" Type="http://schemas.openxmlformats.org/officeDocument/2006/relationships/ctrlProp" Target="../ctrlProps/ctrlProp636.xml"/><Relationship Id="rId280" Type="http://schemas.openxmlformats.org/officeDocument/2006/relationships/ctrlProp" Target="../ctrlProps/ctrlProp787.xml"/><Relationship Id="rId336" Type="http://schemas.openxmlformats.org/officeDocument/2006/relationships/ctrlProp" Target="../ctrlProps/ctrlProp843.xml"/><Relationship Id="rId75" Type="http://schemas.openxmlformats.org/officeDocument/2006/relationships/ctrlProp" Target="../ctrlProps/ctrlProp582.xml"/><Relationship Id="rId140" Type="http://schemas.openxmlformats.org/officeDocument/2006/relationships/ctrlProp" Target="../ctrlProps/ctrlProp647.xml"/><Relationship Id="rId182" Type="http://schemas.openxmlformats.org/officeDocument/2006/relationships/ctrlProp" Target="../ctrlProps/ctrlProp689.xml"/><Relationship Id="rId378" Type="http://schemas.openxmlformats.org/officeDocument/2006/relationships/ctrlProp" Target="../ctrlProps/ctrlProp885.xml"/><Relationship Id="rId403" Type="http://schemas.openxmlformats.org/officeDocument/2006/relationships/ctrlProp" Target="../ctrlProps/ctrlProp910.xml"/><Relationship Id="rId6" Type="http://schemas.openxmlformats.org/officeDocument/2006/relationships/ctrlProp" Target="../ctrlProps/ctrlProp513.xml"/><Relationship Id="rId238" Type="http://schemas.openxmlformats.org/officeDocument/2006/relationships/ctrlProp" Target="../ctrlProps/ctrlProp745.xml"/><Relationship Id="rId291" Type="http://schemas.openxmlformats.org/officeDocument/2006/relationships/ctrlProp" Target="../ctrlProps/ctrlProp798.xml"/><Relationship Id="rId305" Type="http://schemas.openxmlformats.org/officeDocument/2006/relationships/ctrlProp" Target="../ctrlProps/ctrlProp812.xml"/><Relationship Id="rId347" Type="http://schemas.openxmlformats.org/officeDocument/2006/relationships/ctrlProp" Target="../ctrlProps/ctrlProp854.xml"/><Relationship Id="rId44" Type="http://schemas.openxmlformats.org/officeDocument/2006/relationships/ctrlProp" Target="../ctrlProps/ctrlProp551.xml"/><Relationship Id="rId86" Type="http://schemas.openxmlformats.org/officeDocument/2006/relationships/ctrlProp" Target="../ctrlProps/ctrlProp593.xml"/><Relationship Id="rId151" Type="http://schemas.openxmlformats.org/officeDocument/2006/relationships/ctrlProp" Target="../ctrlProps/ctrlProp658.xml"/><Relationship Id="rId389" Type="http://schemas.openxmlformats.org/officeDocument/2006/relationships/ctrlProp" Target="../ctrlProps/ctrlProp896.xml"/><Relationship Id="rId193" Type="http://schemas.openxmlformats.org/officeDocument/2006/relationships/ctrlProp" Target="../ctrlProps/ctrlProp700.xml"/><Relationship Id="rId207" Type="http://schemas.openxmlformats.org/officeDocument/2006/relationships/ctrlProp" Target="../ctrlProps/ctrlProp714.xml"/><Relationship Id="rId249" Type="http://schemas.openxmlformats.org/officeDocument/2006/relationships/ctrlProp" Target="../ctrlProps/ctrlProp756.xml"/><Relationship Id="rId414" Type="http://schemas.openxmlformats.org/officeDocument/2006/relationships/ctrlProp" Target="../ctrlProps/ctrlProp921.xml"/><Relationship Id="rId13" Type="http://schemas.openxmlformats.org/officeDocument/2006/relationships/ctrlProp" Target="../ctrlProps/ctrlProp520.xml"/><Relationship Id="rId109" Type="http://schemas.openxmlformats.org/officeDocument/2006/relationships/ctrlProp" Target="../ctrlProps/ctrlProp616.xml"/><Relationship Id="rId260" Type="http://schemas.openxmlformats.org/officeDocument/2006/relationships/ctrlProp" Target="../ctrlProps/ctrlProp767.xml"/><Relationship Id="rId316" Type="http://schemas.openxmlformats.org/officeDocument/2006/relationships/ctrlProp" Target="../ctrlProps/ctrlProp823.xml"/><Relationship Id="rId55" Type="http://schemas.openxmlformats.org/officeDocument/2006/relationships/ctrlProp" Target="../ctrlProps/ctrlProp562.xml"/><Relationship Id="rId97" Type="http://schemas.openxmlformats.org/officeDocument/2006/relationships/ctrlProp" Target="../ctrlProps/ctrlProp604.xml"/><Relationship Id="rId120" Type="http://schemas.openxmlformats.org/officeDocument/2006/relationships/ctrlProp" Target="../ctrlProps/ctrlProp627.xml"/><Relationship Id="rId358" Type="http://schemas.openxmlformats.org/officeDocument/2006/relationships/ctrlProp" Target="../ctrlProps/ctrlProp865.xml"/><Relationship Id="rId162" Type="http://schemas.openxmlformats.org/officeDocument/2006/relationships/ctrlProp" Target="../ctrlProps/ctrlProp669.xml"/><Relationship Id="rId218" Type="http://schemas.openxmlformats.org/officeDocument/2006/relationships/ctrlProp" Target="../ctrlProps/ctrlProp725.xml"/><Relationship Id="rId425" Type="http://schemas.openxmlformats.org/officeDocument/2006/relationships/ctrlProp" Target="../ctrlProps/ctrlProp932.xml"/><Relationship Id="rId271" Type="http://schemas.openxmlformats.org/officeDocument/2006/relationships/ctrlProp" Target="../ctrlProps/ctrlProp778.xml"/><Relationship Id="rId24" Type="http://schemas.openxmlformats.org/officeDocument/2006/relationships/ctrlProp" Target="../ctrlProps/ctrlProp531.xml"/><Relationship Id="rId66" Type="http://schemas.openxmlformats.org/officeDocument/2006/relationships/ctrlProp" Target="../ctrlProps/ctrlProp573.xml"/><Relationship Id="rId131" Type="http://schemas.openxmlformats.org/officeDocument/2006/relationships/ctrlProp" Target="../ctrlProps/ctrlProp638.xml"/><Relationship Id="rId327" Type="http://schemas.openxmlformats.org/officeDocument/2006/relationships/ctrlProp" Target="../ctrlProps/ctrlProp834.xml"/><Relationship Id="rId369" Type="http://schemas.openxmlformats.org/officeDocument/2006/relationships/ctrlProp" Target="../ctrlProps/ctrlProp876.xml"/><Relationship Id="rId173" Type="http://schemas.openxmlformats.org/officeDocument/2006/relationships/ctrlProp" Target="../ctrlProps/ctrlProp680.xml"/><Relationship Id="rId229" Type="http://schemas.openxmlformats.org/officeDocument/2006/relationships/ctrlProp" Target="../ctrlProps/ctrlProp736.xml"/><Relationship Id="rId380" Type="http://schemas.openxmlformats.org/officeDocument/2006/relationships/ctrlProp" Target="../ctrlProps/ctrlProp887.xml"/><Relationship Id="rId436" Type="http://schemas.openxmlformats.org/officeDocument/2006/relationships/ctrlProp" Target="../ctrlProps/ctrlProp943.xml"/><Relationship Id="rId240" Type="http://schemas.openxmlformats.org/officeDocument/2006/relationships/ctrlProp" Target="../ctrlProps/ctrlProp747.xml"/><Relationship Id="rId35" Type="http://schemas.openxmlformats.org/officeDocument/2006/relationships/ctrlProp" Target="../ctrlProps/ctrlProp542.xml"/><Relationship Id="rId77" Type="http://schemas.openxmlformats.org/officeDocument/2006/relationships/ctrlProp" Target="../ctrlProps/ctrlProp584.xml"/><Relationship Id="rId100" Type="http://schemas.openxmlformats.org/officeDocument/2006/relationships/ctrlProp" Target="../ctrlProps/ctrlProp607.xml"/><Relationship Id="rId282" Type="http://schemas.openxmlformats.org/officeDocument/2006/relationships/ctrlProp" Target="../ctrlProps/ctrlProp789.xml"/><Relationship Id="rId338" Type="http://schemas.openxmlformats.org/officeDocument/2006/relationships/ctrlProp" Target="../ctrlProps/ctrlProp845.xml"/><Relationship Id="rId8" Type="http://schemas.openxmlformats.org/officeDocument/2006/relationships/ctrlProp" Target="../ctrlProps/ctrlProp515.xml"/><Relationship Id="rId142" Type="http://schemas.openxmlformats.org/officeDocument/2006/relationships/ctrlProp" Target="../ctrlProps/ctrlProp649.xml"/><Relationship Id="rId184" Type="http://schemas.openxmlformats.org/officeDocument/2006/relationships/ctrlProp" Target="../ctrlProps/ctrlProp691.xml"/><Relationship Id="rId391" Type="http://schemas.openxmlformats.org/officeDocument/2006/relationships/ctrlProp" Target="../ctrlProps/ctrlProp898.xml"/><Relationship Id="rId405" Type="http://schemas.openxmlformats.org/officeDocument/2006/relationships/ctrlProp" Target="../ctrlProps/ctrlProp912.xml"/><Relationship Id="rId251" Type="http://schemas.openxmlformats.org/officeDocument/2006/relationships/ctrlProp" Target="../ctrlProps/ctrlProp758.xml"/><Relationship Id="rId46" Type="http://schemas.openxmlformats.org/officeDocument/2006/relationships/ctrlProp" Target="../ctrlProps/ctrlProp553.xml"/><Relationship Id="rId293" Type="http://schemas.openxmlformats.org/officeDocument/2006/relationships/ctrlProp" Target="../ctrlProps/ctrlProp800.xml"/><Relationship Id="rId307" Type="http://schemas.openxmlformats.org/officeDocument/2006/relationships/ctrlProp" Target="../ctrlProps/ctrlProp814.xml"/><Relationship Id="rId349" Type="http://schemas.openxmlformats.org/officeDocument/2006/relationships/ctrlProp" Target="../ctrlProps/ctrlProp856.xml"/><Relationship Id="rId88" Type="http://schemas.openxmlformats.org/officeDocument/2006/relationships/ctrlProp" Target="../ctrlProps/ctrlProp595.xml"/><Relationship Id="rId111" Type="http://schemas.openxmlformats.org/officeDocument/2006/relationships/ctrlProp" Target="../ctrlProps/ctrlProp618.xml"/><Relationship Id="rId153" Type="http://schemas.openxmlformats.org/officeDocument/2006/relationships/ctrlProp" Target="../ctrlProps/ctrlProp660.xml"/><Relationship Id="rId195" Type="http://schemas.openxmlformats.org/officeDocument/2006/relationships/ctrlProp" Target="../ctrlProps/ctrlProp702.xml"/><Relationship Id="rId209" Type="http://schemas.openxmlformats.org/officeDocument/2006/relationships/ctrlProp" Target="../ctrlProps/ctrlProp716.xml"/><Relationship Id="rId360" Type="http://schemas.openxmlformats.org/officeDocument/2006/relationships/ctrlProp" Target="../ctrlProps/ctrlProp867.xml"/><Relationship Id="rId416" Type="http://schemas.openxmlformats.org/officeDocument/2006/relationships/ctrlProp" Target="../ctrlProps/ctrlProp923.xml"/><Relationship Id="rId220" Type="http://schemas.openxmlformats.org/officeDocument/2006/relationships/ctrlProp" Target="../ctrlProps/ctrlProp727.xml"/><Relationship Id="rId15" Type="http://schemas.openxmlformats.org/officeDocument/2006/relationships/ctrlProp" Target="../ctrlProps/ctrlProp522.xml"/><Relationship Id="rId57" Type="http://schemas.openxmlformats.org/officeDocument/2006/relationships/ctrlProp" Target="../ctrlProps/ctrlProp564.xml"/><Relationship Id="rId262" Type="http://schemas.openxmlformats.org/officeDocument/2006/relationships/ctrlProp" Target="../ctrlProps/ctrlProp769.xml"/><Relationship Id="rId318" Type="http://schemas.openxmlformats.org/officeDocument/2006/relationships/ctrlProp" Target="../ctrlProps/ctrlProp825.xml"/><Relationship Id="rId99" Type="http://schemas.openxmlformats.org/officeDocument/2006/relationships/ctrlProp" Target="../ctrlProps/ctrlProp606.xml"/><Relationship Id="rId122" Type="http://schemas.openxmlformats.org/officeDocument/2006/relationships/ctrlProp" Target="../ctrlProps/ctrlProp629.xml"/><Relationship Id="rId164" Type="http://schemas.openxmlformats.org/officeDocument/2006/relationships/ctrlProp" Target="../ctrlProps/ctrlProp671.xml"/><Relationship Id="rId371" Type="http://schemas.openxmlformats.org/officeDocument/2006/relationships/ctrlProp" Target="../ctrlProps/ctrlProp878.xml"/><Relationship Id="rId427" Type="http://schemas.openxmlformats.org/officeDocument/2006/relationships/ctrlProp" Target="../ctrlProps/ctrlProp934.xml"/><Relationship Id="rId26" Type="http://schemas.openxmlformats.org/officeDocument/2006/relationships/ctrlProp" Target="../ctrlProps/ctrlProp533.xml"/><Relationship Id="rId231" Type="http://schemas.openxmlformats.org/officeDocument/2006/relationships/ctrlProp" Target="../ctrlProps/ctrlProp738.xml"/><Relationship Id="rId273" Type="http://schemas.openxmlformats.org/officeDocument/2006/relationships/ctrlProp" Target="../ctrlProps/ctrlProp780.xml"/><Relationship Id="rId329" Type="http://schemas.openxmlformats.org/officeDocument/2006/relationships/ctrlProp" Target="../ctrlProps/ctrlProp836.xml"/><Relationship Id="rId68" Type="http://schemas.openxmlformats.org/officeDocument/2006/relationships/ctrlProp" Target="../ctrlProps/ctrlProp575.xml"/><Relationship Id="rId133" Type="http://schemas.openxmlformats.org/officeDocument/2006/relationships/ctrlProp" Target="../ctrlProps/ctrlProp640.xml"/><Relationship Id="rId175" Type="http://schemas.openxmlformats.org/officeDocument/2006/relationships/ctrlProp" Target="../ctrlProps/ctrlProp682.xml"/><Relationship Id="rId340" Type="http://schemas.openxmlformats.org/officeDocument/2006/relationships/ctrlProp" Target="../ctrlProps/ctrlProp847.xml"/><Relationship Id="rId200" Type="http://schemas.openxmlformats.org/officeDocument/2006/relationships/ctrlProp" Target="../ctrlProps/ctrlProp707.xml"/><Relationship Id="rId382" Type="http://schemas.openxmlformats.org/officeDocument/2006/relationships/ctrlProp" Target="../ctrlProps/ctrlProp889.xml"/><Relationship Id="rId242" Type="http://schemas.openxmlformats.org/officeDocument/2006/relationships/ctrlProp" Target="../ctrlProps/ctrlProp749.xml"/><Relationship Id="rId284" Type="http://schemas.openxmlformats.org/officeDocument/2006/relationships/ctrlProp" Target="../ctrlProps/ctrlProp791.xml"/><Relationship Id="rId37" Type="http://schemas.openxmlformats.org/officeDocument/2006/relationships/ctrlProp" Target="../ctrlProps/ctrlProp544.xml"/><Relationship Id="rId79" Type="http://schemas.openxmlformats.org/officeDocument/2006/relationships/ctrlProp" Target="../ctrlProps/ctrlProp586.xml"/><Relationship Id="rId102" Type="http://schemas.openxmlformats.org/officeDocument/2006/relationships/ctrlProp" Target="../ctrlProps/ctrlProp609.xml"/><Relationship Id="rId144" Type="http://schemas.openxmlformats.org/officeDocument/2006/relationships/ctrlProp" Target="../ctrlProps/ctrlProp651.xml"/><Relationship Id="rId90" Type="http://schemas.openxmlformats.org/officeDocument/2006/relationships/ctrlProp" Target="../ctrlProps/ctrlProp597.xml"/><Relationship Id="rId186" Type="http://schemas.openxmlformats.org/officeDocument/2006/relationships/ctrlProp" Target="../ctrlProps/ctrlProp693.xml"/><Relationship Id="rId351" Type="http://schemas.openxmlformats.org/officeDocument/2006/relationships/ctrlProp" Target="../ctrlProps/ctrlProp858.xml"/><Relationship Id="rId393" Type="http://schemas.openxmlformats.org/officeDocument/2006/relationships/ctrlProp" Target="../ctrlProps/ctrlProp900.xml"/><Relationship Id="rId407" Type="http://schemas.openxmlformats.org/officeDocument/2006/relationships/ctrlProp" Target="../ctrlProps/ctrlProp914.xml"/><Relationship Id="rId211" Type="http://schemas.openxmlformats.org/officeDocument/2006/relationships/ctrlProp" Target="../ctrlProps/ctrlProp718.xml"/><Relationship Id="rId253" Type="http://schemas.openxmlformats.org/officeDocument/2006/relationships/ctrlProp" Target="../ctrlProps/ctrlProp760.xml"/><Relationship Id="rId295" Type="http://schemas.openxmlformats.org/officeDocument/2006/relationships/ctrlProp" Target="../ctrlProps/ctrlProp802.xml"/><Relationship Id="rId309" Type="http://schemas.openxmlformats.org/officeDocument/2006/relationships/ctrlProp" Target="../ctrlProps/ctrlProp816.xml"/><Relationship Id="rId48" Type="http://schemas.openxmlformats.org/officeDocument/2006/relationships/ctrlProp" Target="../ctrlProps/ctrlProp555.xml"/><Relationship Id="rId113" Type="http://schemas.openxmlformats.org/officeDocument/2006/relationships/ctrlProp" Target="../ctrlProps/ctrlProp620.xml"/><Relationship Id="rId320" Type="http://schemas.openxmlformats.org/officeDocument/2006/relationships/ctrlProp" Target="../ctrlProps/ctrlProp827.xml"/><Relationship Id="rId155" Type="http://schemas.openxmlformats.org/officeDocument/2006/relationships/ctrlProp" Target="../ctrlProps/ctrlProp662.xml"/><Relationship Id="rId197" Type="http://schemas.openxmlformats.org/officeDocument/2006/relationships/ctrlProp" Target="../ctrlProps/ctrlProp704.xml"/><Relationship Id="rId362" Type="http://schemas.openxmlformats.org/officeDocument/2006/relationships/ctrlProp" Target="../ctrlProps/ctrlProp869.xml"/><Relationship Id="rId418" Type="http://schemas.openxmlformats.org/officeDocument/2006/relationships/ctrlProp" Target="../ctrlProps/ctrlProp925.xml"/><Relationship Id="rId222" Type="http://schemas.openxmlformats.org/officeDocument/2006/relationships/ctrlProp" Target="../ctrlProps/ctrlProp729.xml"/><Relationship Id="rId264" Type="http://schemas.openxmlformats.org/officeDocument/2006/relationships/ctrlProp" Target="../ctrlProps/ctrlProp771.xml"/><Relationship Id="rId17" Type="http://schemas.openxmlformats.org/officeDocument/2006/relationships/ctrlProp" Target="../ctrlProps/ctrlProp524.xml"/><Relationship Id="rId59" Type="http://schemas.openxmlformats.org/officeDocument/2006/relationships/ctrlProp" Target="../ctrlProps/ctrlProp566.xml"/><Relationship Id="rId124" Type="http://schemas.openxmlformats.org/officeDocument/2006/relationships/ctrlProp" Target="../ctrlProps/ctrlProp631.xml"/><Relationship Id="rId70" Type="http://schemas.openxmlformats.org/officeDocument/2006/relationships/ctrlProp" Target="../ctrlProps/ctrlProp577.xml"/><Relationship Id="rId166" Type="http://schemas.openxmlformats.org/officeDocument/2006/relationships/ctrlProp" Target="../ctrlProps/ctrlProp673.xml"/><Relationship Id="rId331" Type="http://schemas.openxmlformats.org/officeDocument/2006/relationships/ctrlProp" Target="../ctrlProps/ctrlProp838.xml"/><Relationship Id="rId373" Type="http://schemas.openxmlformats.org/officeDocument/2006/relationships/ctrlProp" Target="../ctrlProps/ctrlProp880.xml"/><Relationship Id="rId429" Type="http://schemas.openxmlformats.org/officeDocument/2006/relationships/ctrlProp" Target="../ctrlProps/ctrlProp936.xml"/><Relationship Id="rId1" Type="http://schemas.openxmlformats.org/officeDocument/2006/relationships/printerSettings" Target="../printerSettings/printerSettings20.bin"/><Relationship Id="rId233" Type="http://schemas.openxmlformats.org/officeDocument/2006/relationships/ctrlProp" Target="../ctrlProps/ctrlProp740.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948.xml"/><Relationship Id="rId13" Type="http://schemas.openxmlformats.org/officeDocument/2006/relationships/ctrlProp" Target="../ctrlProps/ctrlProp953.xml"/><Relationship Id="rId18" Type="http://schemas.openxmlformats.org/officeDocument/2006/relationships/ctrlProp" Target="../ctrlProps/ctrlProp958.xml"/><Relationship Id="rId3" Type="http://schemas.openxmlformats.org/officeDocument/2006/relationships/vmlDrawing" Target="../drawings/vmlDrawing12.vml"/><Relationship Id="rId21" Type="http://schemas.openxmlformats.org/officeDocument/2006/relationships/ctrlProp" Target="../ctrlProps/ctrlProp961.xml"/><Relationship Id="rId7" Type="http://schemas.openxmlformats.org/officeDocument/2006/relationships/ctrlProp" Target="../ctrlProps/ctrlProp947.xml"/><Relationship Id="rId12" Type="http://schemas.openxmlformats.org/officeDocument/2006/relationships/ctrlProp" Target="../ctrlProps/ctrlProp952.xml"/><Relationship Id="rId17" Type="http://schemas.openxmlformats.org/officeDocument/2006/relationships/ctrlProp" Target="../ctrlProps/ctrlProp957.xml"/><Relationship Id="rId2" Type="http://schemas.openxmlformats.org/officeDocument/2006/relationships/drawing" Target="../drawings/drawing15.xml"/><Relationship Id="rId16" Type="http://schemas.openxmlformats.org/officeDocument/2006/relationships/ctrlProp" Target="../ctrlProps/ctrlProp956.xml"/><Relationship Id="rId20" Type="http://schemas.openxmlformats.org/officeDocument/2006/relationships/ctrlProp" Target="../ctrlProps/ctrlProp960.xml"/><Relationship Id="rId1" Type="http://schemas.openxmlformats.org/officeDocument/2006/relationships/printerSettings" Target="../printerSettings/printerSettings21.bin"/><Relationship Id="rId6" Type="http://schemas.openxmlformats.org/officeDocument/2006/relationships/ctrlProp" Target="../ctrlProps/ctrlProp946.xml"/><Relationship Id="rId11" Type="http://schemas.openxmlformats.org/officeDocument/2006/relationships/ctrlProp" Target="../ctrlProps/ctrlProp951.xml"/><Relationship Id="rId5" Type="http://schemas.openxmlformats.org/officeDocument/2006/relationships/ctrlProp" Target="../ctrlProps/ctrlProp945.xml"/><Relationship Id="rId15" Type="http://schemas.openxmlformats.org/officeDocument/2006/relationships/ctrlProp" Target="../ctrlProps/ctrlProp955.xml"/><Relationship Id="rId10" Type="http://schemas.openxmlformats.org/officeDocument/2006/relationships/ctrlProp" Target="../ctrlProps/ctrlProp950.xml"/><Relationship Id="rId19" Type="http://schemas.openxmlformats.org/officeDocument/2006/relationships/ctrlProp" Target="../ctrlProps/ctrlProp959.xml"/><Relationship Id="rId4" Type="http://schemas.openxmlformats.org/officeDocument/2006/relationships/ctrlProp" Target="../ctrlProps/ctrlProp944.xml"/><Relationship Id="rId9" Type="http://schemas.openxmlformats.org/officeDocument/2006/relationships/ctrlProp" Target="../ctrlProps/ctrlProp949.xml"/><Relationship Id="rId14" Type="http://schemas.openxmlformats.org/officeDocument/2006/relationships/ctrlProp" Target="../ctrlProps/ctrlProp954.xml"/><Relationship Id="rId22" Type="http://schemas.openxmlformats.org/officeDocument/2006/relationships/ctrlProp" Target="../ctrlProps/ctrlProp962.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965.xml"/><Relationship Id="rId13" Type="http://schemas.openxmlformats.org/officeDocument/2006/relationships/ctrlProp" Target="../ctrlProps/ctrlProp970.xml"/><Relationship Id="rId18" Type="http://schemas.openxmlformats.org/officeDocument/2006/relationships/ctrlProp" Target="../ctrlProps/ctrlProp975.xml"/><Relationship Id="rId3" Type="http://schemas.openxmlformats.org/officeDocument/2006/relationships/printerSettings" Target="../printerSettings/printerSettings22.bin"/><Relationship Id="rId7" Type="http://schemas.openxmlformats.org/officeDocument/2006/relationships/ctrlProp" Target="../ctrlProps/ctrlProp964.xml"/><Relationship Id="rId12" Type="http://schemas.openxmlformats.org/officeDocument/2006/relationships/ctrlProp" Target="../ctrlProps/ctrlProp969.xml"/><Relationship Id="rId17" Type="http://schemas.openxmlformats.org/officeDocument/2006/relationships/ctrlProp" Target="../ctrlProps/ctrlProp974.xml"/><Relationship Id="rId2" Type="http://schemas.openxmlformats.org/officeDocument/2006/relationships/hyperlink" Target="https://www.epa.gov/watersense/irrigation-pro" TargetMode="External"/><Relationship Id="rId16" Type="http://schemas.openxmlformats.org/officeDocument/2006/relationships/ctrlProp" Target="../ctrlProps/ctrlProp973.xml"/><Relationship Id="rId20" Type="http://schemas.openxmlformats.org/officeDocument/2006/relationships/ctrlProp" Target="../ctrlProps/ctrlProp977.xml"/><Relationship Id="rId1" Type="http://schemas.openxmlformats.org/officeDocument/2006/relationships/hyperlink" Target="https://www.epa.gov/watersense/irrigation-controllers" TargetMode="External"/><Relationship Id="rId6" Type="http://schemas.openxmlformats.org/officeDocument/2006/relationships/ctrlProp" Target="../ctrlProps/ctrlProp963.xml"/><Relationship Id="rId11" Type="http://schemas.openxmlformats.org/officeDocument/2006/relationships/ctrlProp" Target="../ctrlProps/ctrlProp968.xml"/><Relationship Id="rId5" Type="http://schemas.openxmlformats.org/officeDocument/2006/relationships/vmlDrawing" Target="../drawings/vmlDrawing13.vml"/><Relationship Id="rId15" Type="http://schemas.openxmlformats.org/officeDocument/2006/relationships/ctrlProp" Target="../ctrlProps/ctrlProp972.xml"/><Relationship Id="rId10" Type="http://schemas.openxmlformats.org/officeDocument/2006/relationships/ctrlProp" Target="../ctrlProps/ctrlProp967.xml"/><Relationship Id="rId19" Type="http://schemas.openxmlformats.org/officeDocument/2006/relationships/ctrlProp" Target="../ctrlProps/ctrlProp976.xml"/><Relationship Id="rId4" Type="http://schemas.openxmlformats.org/officeDocument/2006/relationships/drawing" Target="../drawings/drawing16.xml"/><Relationship Id="rId9" Type="http://schemas.openxmlformats.org/officeDocument/2006/relationships/ctrlProp" Target="../ctrlProps/ctrlProp966.xml"/><Relationship Id="rId14" Type="http://schemas.openxmlformats.org/officeDocument/2006/relationships/ctrlProp" Target="../ctrlProps/ctrlProp97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hyperlink" Target="http://www.ul.com/" TargetMode="External"/><Relationship Id="rId7" Type="http://schemas.openxmlformats.org/officeDocument/2006/relationships/hyperlink" Target="http://www.ul.com/" TargetMode="External"/><Relationship Id="rId2" Type="http://schemas.openxmlformats.org/officeDocument/2006/relationships/hyperlink" Target="http://www.carpet-rug.org/" TargetMode="External"/><Relationship Id="rId1" Type="http://schemas.openxmlformats.org/officeDocument/2006/relationships/hyperlink" Target="http://www.kcma.org/" TargetMode="External"/><Relationship Id="rId6" Type="http://schemas.openxmlformats.org/officeDocument/2006/relationships/hyperlink" Target="http://www.greenseal.org/" TargetMode="External"/><Relationship Id="rId5" Type="http://schemas.openxmlformats.org/officeDocument/2006/relationships/hyperlink" Target="http://www.scscertified.com/" TargetMode="External"/><Relationship Id="rId4" Type="http://schemas.openxmlformats.org/officeDocument/2006/relationships/hyperlink" Target="http://www.rfci.com/"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1.bin"/><Relationship Id="rId1" Type="http://schemas.openxmlformats.org/officeDocument/2006/relationships/hyperlink" Target="http://www.nationalatlas.gov/"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32.bin"/><Relationship Id="rId1" Type="http://schemas.openxmlformats.org/officeDocument/2006/relationships/hyperlink" Target="http://www.iccsafe.org/"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4.xml"/><Relationship Id="rId21" Type="http://schemas.openxmlformats.org/officeDocument/2006/relationships/ctrlProp" Target="../ctrlProps/ctrlProp19.xml"/><Relationship Id="rId42" Type="http://schemas.openxmlformats.org/officeDocument/2006/relationships/ctrlProp" Target="../ctrlProps/ctrlProp40.xml"/><Relationship Id="rId47" Type="http://schemas.openxmlformats.org/officeDocument/2006/relationships/ctrlProp" Target="../ctrlProps/ctrlProp45.xml"/><Relationship Id="rId63" Type="http://schemas.openxmlformats.org/officeDocument/2006/relationships/ctrlProp" Target="../ctrlProps/ctrlProp61.xml"/><Relationship Id="rId68" Type="http://schemas.openxmlformats.org/officeDocument/2006/relationships/ctrlProp" Target="../ctrlProps/ctrlProp66.xml"/><Relationship Id="rId84" Type="http://schemas.openxmlformats.org/officeDocument/2006/relationships/ctrlProp" Target="../ctrlProps/ctrlProp82.xml"/><Relationship Id="rId89" Type="http://schemas.openxmlformats.org/officeDocument/2006/relationships/ctrlProp" Target="../ctrlProps/ctrlProp87.xml"/><Relationship Id="rId16" Type="http://schemas.openxmlformats.org/officeDocument/2006/relationships/ctrlProp" Target="../ctrlProps/ctrlProp14.xml"/><Relationship Id="rId11" Type="http://schemas.openxmlformats.org/officeDocument/2006/relationships/ctrlProp" Target="../ctrlProps/ctrlProp9.xml"/><Relationship Id="rId32" Type="http://schemas.openxmlformats.org/officeDocument/2006/relationships/ctrlProp" Target="../ctrlProps/ctrlProp30.xml"/><Relationship Id="rId37" Type="http://schemas.openxmlformats.org/officeDocument/2006/relationships/ctrlProp" Target="../ctrlProps/ctrlProp35.xml"/><Relationship Id="rId53" Type="http://schemas.openxmlformats.org/officeDocument/2006/relationships/ctrlProp" Target="../ctrlProps/ctrlProp51.xml"/><Relationship Id="rId58" Type="http://schemas.openxmlformats.org/officeDocument/2006/relationships/ctrlProp" Target="../ctrlProps/ctrlProp56.xml"/><Relationship Id="rId74" Type="http://schemas.openxmlformats.org/officeDocument/2006/relationships/ctrlProp" Target="../ctrlProps/ctrlProp72.xml"/><Relationship Id="rId79" Type="http://schemas.openxmlformats.org/officeDocument/2006/relationships/ctrlProp" Target="../ctrlProps/ctrlProp77.xml"/><Relationship Id="rId5" Type="http://schemas.openxmlformats.org/officeDocument/2006/relationships/ctrlProp" Target="../ctrlProps/ctrlProp3.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 Id="rId43" Type="http://schemas.openxmlformats.org/officeDocument/2006/relationships/ctrlProp" Target="../ctrlProps/ctrlProp41.xml"/><Relationship Id="rId48" Type="http://schemas.openxmlformats.org/officeDocument/2006/relationships/ctrlProp" Target="../ctrlProps/ctrlProp46.xml"/><Relationship Id="rId56" Type="http://schemas.openxmlformats.org/officeDocument/2006/relationships/ctrlProp" Target="../ctrlProps/ctrlProp54.xml"/><Relationship Id="rId64" Type="http://schemas.openxmlformats.org/officeDocument/2006/relationships/ctrlProp" Target="../ctrlProps/ctrlProp62.xml"/><Relationship Id="rId69" Type="http://schemas.openxmlformats.org/officeDocument/2006/relationships/ctrlProp" Target="../ctrlProps/ctrlProp67.xml"/><Relationship Id="rId77" Type="http://schemas.openxmlformats.org/officeDocument/2006/relationships/ctrlProp" Target="../ctrlProps/ctrlProp75.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80" Type="http://schemas.openxmlformats.org/officeDocument/2006/relationships/ctrlProp" Target="../ctrlProps/ctrlProp78.xml"/><Relationship Id="rId85" Type="http://schemas.openxmlformats.org/officeDocument/2006/relationships/ctrlProp" Target="../ctrlProps/ctrlProp83.xml"/><Relationship Id="rId3" Type="http://schemas.openxmlformats.org/officeDocument/2006/relationships/vmlDrawing" Target="../drawings/vmlDrawing2.v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38" Type="http://schemas.openxmlformats.org/officeDocument/2006/relationships/ctrlProp" Target="../ctrlProps/ctrlProp36.xml"/><Relationship Id="rId46" Type="http://schemas.openxmlformats.org/officeDocument/2006/relationships/ctrlProp" Target="../ctrlProps/ctrlProp44.xml"/><Relationship Id="rId59" Type="http://schemas.openxmlformats.org/officeDocument/2006/relationships/ctrlProp" Target="../ctrlProps/ctrlProp57.xml"/><Relationship Id="rId67" Type="http://schemas.openxmlformats.org/officeDocument/2006/relationships/ctrlProp" Target="../ctrlProps/ctrlProp65.xml"/><Relationship Id="rId20" Type="http://schemas.openxmlformats.org/officeDocument/2006/relationships/ctrlProp" Target="../ctrlProps/ctrlProp18.xml"/><Relationship Id="rId41" Type="http://schemas.openxmlformats.org/officeDocument/2006/relationships/ctrlProp" Target="../ctrlProps/ctrlProp39.xml"/><Relationship Id="rId54" Type="http://schemas.openxmlformats.org/officeDocument/2006/relationships/ctrlProp" Target="../ctrlProps/ctrlProp52.xml"/><Relationship Id="rId62" Type="http://schemas.openxmlformats.org/officeDocument/2006/relationships/ctrlProp" Target="../ctrlProps/ctrlProp60.xml"/><Relationship Id="rId70" Type="http://schemas.openxmlformats.org/officeDocument/2006/relationships/ctrlProp" Target="../ctrlProps/ctrlProp68.xml"/><Relationship Id="rId75" Type="http://schemas.openxmlformats.org/officeDocument/2006/relationships/ctrlProp" Target="../ctrlProps/ctrlProp73.xml"/><Relationship Id="rId83" Type="http://schemas.openxmlformats.org/officeDocument/2006/relationships/ctrlProp" Target="../ctrlProps/ctrlProp81.xml"/><Relationship Id="rId88" Type="http://schemas.openxmlformats.org/officeDocument/2006/relationships/ctrlProp" Target="../ctrlProps/ctrlProp86.xml"/><Relationship Id="rId1" Type="http://schemas.openxmlformats.org/officeDocument/2006/relationships/printerSettings" Target="../printerSettings/printerSettings4.bin"/><Relationship Id="rId6" Type="http://schemas.openxmlformats.org/officeDocument/2006/relationships/ctrlProp" Target="../ctrlProps/ctrlProp4.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49" Type="http://schemas.openxmlformats.org/officeDocument/2006/relationships/ctrlProp" Target="../ctrlProps/ctrlProp47.xml"/><Relationship Id="rId57" Type="http://schemas.openxmlformats.org/officeDocument/2006/relationships/ctrlProp" Target="../ctrlProps/ctrlProp55.xml"/><Relationship Id="rId10" Type="http://schemas.openxmlformats.org/officeDocument/2006/relationships/ctrlProp" Target="../ctrlProps/ctrlProp8.xml"/><Relationship Id="rId31" Type="http://schemas.openxmlformats.org/officeDocument/2006/relationships/ctrlProp" Target="../ctrlProps/ctrlProp29.xml"/><Relationship Id="rId44" Type="http://schemas.openxmlformats.org/officeDocument/2006/relationships/ctrlProp" Target="../ctrlProps/ctrlProp42.xml"/><Relationship Id="rId52" Type="http://schemas.openxmlformats.org/officeDocument/2006/relationships/ctrlProp" Target="../ctrlProps/ctrlProp50.xml"/><Relationship Id="rId60" Type="http://schemas.openxmlformats.org/officeDocument/2006/relationships/ctrlProp" Target="../ctrlProps/ctrlProp58.xml"/><Relationship Id="rId65" Type="http://schemas.openxmlformats.org/officeDocument/2006/relationships/ctrlProp" Target="../ctrlProps/ctrlProp63.xml"/><Relationship Id="rId73" Type="http://schemas.openxmlformats.org/officeDocument/2006/relationships/ctrlProp" Target="../ctrlProps/ctrlProp71.xml"/><Relationship Id="rId78" Type="http://schemas.openxmlformats.org/officeDocument/2006/relationships/ctrlProp" Target="../ctrlProps/ctrlProp76.xml"/><Relationship Id="rId81" Type="http://schemas.openxmlformats.org/officeDocument/2006/relationships/ctrlProp" Target="../ctrlProps/ctrlProp79.xml"/><Relationship Id="rId86" Type="http://schemas.openxmlformats.org/officeDocument/2006/relationships/ctrlProp" Target="../ctrlProps/ctrlProp84.xml"/><Relationship Id="rId4" Type="http://schemas.openxmlformats.org/officeDocument/2006/relationships/ctrlProp" Target="../ctrlProps/ctrlProp2.xml"/><Relationship Id="rId9" Type="http://schemas.openxmlformats.org/officeDocument/2006/relationships/ctrlProp" Target="../ctrlProps/ctrlProp7.xml"/><Relationship Id="rId13" Type="http://schemas.openxmlformats.org/officeDocument/2006/relationships/ctrlProp" Target="../ctrlProps/ctrlProp11.xml"/><Relationship Id="rId18" Type="http://schemas.openxmlformats.org/officeDocument/2006/relationships/ctrlProp" Target="../ctrlProps/ctrlProp16.xml"/><Relationship Id="rId39" Type="http://schemas.openxmlformats.org/officeDocument/2006/relationships/ctrlProp" Target="../ctrlProps/ctrlProp37.xml"/><Relationship Id="rId34" Type="http://schemas.openxmlformats.org/officeDocument/2006/relationships/ctrlProp" Target="../ctrlProps/ctrlProp32.xml"/><Relationship Id="rId50" Type="http://schemas.openxmlformats.org/officeDocument/2006/relationships/ctrlProp" Target="../ctrlProps/ctrlProp48.xml"/><Relationship Id="rId55" Type="http://schemas.openxmlformats.org/officeDocument/2006/relationships/ctrlProp" Target="../ctrlProps/ctrlProp53.xml"/><Relationship Id="rId76" Type="http://schemas.openxmlformats.org/officeDocument/2006/relationships/ctrlProp" Target="../ctrlProps/ctrlProp74.xml"/><Relationship Id="rId7" Type="http://schemas.openxmlformats.org/officeDocument/2006/relationships/ctrlProp" Target="../ctrlProps/ctrlProp5.xml"/><Relationship Id="rId71" Type="http://schemas.openxmlformats.org/officeDocument/2006/relationships/ctrlProp" Target="../ctrlProps/ctrlProp69.xml"/><Relationship Id="rId2" Type="http://schemas.openxmlformats.org/officeDocument/2006/relationships/drawing" Target="../drawings/drawing3.xml"/><Relationship Id="rId29" Type="http://schemas.openxmlformats.org/officeDocument/2006/relationships/ctrlProp" Target="../ctrlProps/ctrlProp27.xml"/><Relationship Id="rId24" Type="http://schemas.openxmlformats.org/officeDocument/2006/relationships/ctrlProp" Target="../ctrlProps/ctrlProp22.xml"/><Relationship Id="rId40" Type="http://schemas.openxmlformats.org/officeDocument/2006/relationships/ctrlProp" Target="../ctrlProps/ctrlProp38.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61" Type="http://schemas.openxmlformats.org/officeDocument/2006/relationships/ctrlProp" Target="../ctrlProps/ctrlProp59.xml"/><Relationship Id="rId82" Type="http://schemas.openxmlformats.org/officeDocument/2006/relationships/ctrlProp" Target="../ctrlProps/ctrlProp80.xml"/><Relationship Id="rId19" Type="http://schemas.openxmlformats.org/officeDocument/2006/relationships/ctrlProp" Target="../ctrlProps/ctrlProp17.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110.xml"/><Relationship Id="rId21" Type="http://schemas.openxmlformats.org/officeDocument/2006/relationships/ctrlProp" Target="../ctrlProps/ctrlProp105.xml"/><Relationship Id="rId42" Type="http://schemas.openxmlformats.org/officeDocument/2006/relationships/ctrlProp" Target="../ctrlProps/ctrlProp126.xml"/><Relationship Id="rId47" Type="http://schemas.openxmlformats.org/officeDocument/2006/relationships/ctrlProp" Target="../ctrlProps/ctrlProp131.xml"/><Relationship Id="rId63" Type="http://schemas.openxmlformats.org/officeDocument/2006/relationships/ctrlProp" Target="../ctrlProps/ctrlProp147.xml"/><Relationship Id="rId68" Type="http://schemas.openxmlformats.org/officeDocument/2006/relationships/ctrlProp" Target="../ctrlProps/ctrlProp152.xml"/><Relationship Id="rId84" Type="http://schemas.openxmlformats.org/officeDocument/2006/relationships/ctrlProp" Target="../ctrlProps/ctrlProp168.xml"/><Relationship Id="rId16" Type="http://schemas.openxmlformats.org/officeDocument/2006/relationships/ctrlProp" Target="../ctrlProps/ctrlProp100.xml"/><Relationship Id="rId11" Type="http://schemas.openxmlformats.org/officeDocument/2006/relationships/ctrlProp" Target="../ctrlProps/ctrlProp95.xml"/><Relationship Id="rId32" Type="http://schemas.openxmlformats.org/officeDocument/2006/relationships/ctrlProp" Target="../ctrlProps/ctrlProp116.xml"/><Relationship Id="rId37" Type="http://schemas.openxmlformats.org/officeDocument/2006/relationships/ctrlProp" Target="../ctrlProps/ctrlProp121.xml"/><Relationship Id="rId53" Type="http://schemas.openxmlformats.org/officeDocument/2006/relationships/ctrlProp" Target="../ctrlProps/ctrlProp137.xml"/><Relationship Id="rId58" Type="http://schemas.openxmlformats.org/officeDocument/2006/relationships/ctrlProp" Target="../ctrlProps/ctrlProp142.xml"/><Relationship Id="rId74" Type="http://schemas.openxmlformats.org/officeDocument/2006/relationships/ctrlProp" Target="../ctrlProps/ctrlProp158.xml"/><Relationship Id="rId79" Type="http://schemas.openxmlformats.org/officeDocument/2006/relationships/ctrlProp" Target="../ctrlProps/ctrlProp163.xml"/><Relationship Id="rId5" Type="http://schemas.openxmlformats.org/officeDocument/2006/relationships/ctrlProp" Target="../ctrlProps/ctrlProp89.xml"/><Relationship Id="rId19" Type="http://schemas.openxmlformats.org/officeDocument/2006/relationships/ctrlProp" Target="../ctrlProps/ctrlProp10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43" Type="http://schemas.openxmlformats.org/officeDocument/2006/relationships/ctrlProp" Target="../ctrlProps/ctrlProp127.xml"/><Relationship Id="rId48" Type="http://schemas.openxmlformats.org/officeDocument/2006/relationships/ctrlProp" Target="../ctrlProps/ctrlProp132.xml"/><Relationship Id="rId56" Type="http://schemas.openxmlformats.org/officeDocument/2006/relationships/ctrlProp" Target="../ctrlProps/ctrlProp140.xml"/><Relationship Id="rId64" Type="http://schemas.openxmlformats.org/officeDocument/2006/relationships/ctrlProp" Target="../ctrlProps/ctrlProp148.xml"/><Relationship Id="rId69" Type="http://schemas.openxmlformats.org/officeDocument/2006/relationships/ctrlProp" Target="../ctrlProps/ctrlProp153.xml"/><Relationship Id="rId77" Type="http://schemas.openxmlformats.org/officeDocument/2006/relationships/ctrlProp" Target="../ctrlProps/ctrlProp161.xml"/><Relationship Id="rId8" Type="http://schemas.openxmlformats.org/officeDocument/2006/relationships/ctrlProp" Target="../ctrlProps/ctrlProp92.xml"/><Relationship Id="rId51" Type="http://schemas.openxmlformats.org/officeDocument/2006/relationships/ctrlProp" Target="../ctrlProps/ctrlProp135.xml"/><Relationship Id="rId72" Type="http://schemas.openxmlformats.org/officeDocument/2006/relationships/ctrlProp" Target="../ctrlProps/ctrlProp156.xml"/><Relationship Id="rId80" Type="http://schemas.openxmlformats.org/officeDocument/2006/relationships/ctrlProp" Target="../ctrlProps/ctrlProp164.xml"/><Relationship Id="rId85" Type="http://schemas.openxmlformats.org/officeDocument/2006/relationships/ctrlProp" Target="../ctrlProps/ctrlProp169.xml"/><Relationship Id="rId3" Type="http://schemas.openxmlformats.org/officeDocument/2006/relationships/vmlDrawing" Target="../drawings/vmlDrawing3.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 Id="rId46" Type="http://schemas.openxmlformats.org/officeDocument/2006/relationships/ctrlProp" Target="../ctrlProps/ctrlProp130.xml"/><Relationship Id="rId59" Type="http://schemas.openxmlformats.org/officeDocument/2006/relationships/ctrlProp" Target="../ctrlProps/ctrlProp143.xml"/><Relationship Id="rId67" Type="http://schemas.openxmlformats.org/officeDocument/2006/relationships/ctrlProp" Target="../ctrlProps/ctrlProp151.xml"/><Relationship Id="rId20" Type="http://schemas.openxmlformats.org/officeDocument/2006/relationships/ctrlProp" Target="../ctrlProps/ctrlProp104.xml"/><Relationship Id="rId41" Type="http://schemas.openxmlformats.org/officeDocument/2006/relationships/ctrlProp" Target="../ctrlProps/ctrlProp125.xml"/><Relationship Id="rId54" Type="http://schemas.openxmlformats.org/officeDocument/2006/relationships/ctrlProp" Target="../ctrlProps/ctrlProp138.xml"/><Relationship Id="rId62" Type="http://schemas.openxmlformats.org/officeDocument/2006/relationships/ctrlProp" Target="../ctrlProps/ctrlProp146.xml"/><Relationship Id="rId70" Type="http://schemas.openxmlformats.org/officeDocument/2006/relationships/ctrlProp" Target="../ctrlProps/ctrlProp154.xml"/><Relationship Id="rId75" Type="http://schemas.openxmlformats.org/officeDocument/2006/relationships/ctrlProp" Target="../ctrlProps/ctrlProp159.xml"/><Relationship Id="rId83" Type="http://schemas.openxmlformats.org/officeDocument/2006/relationships/ctrlProp" Target="../ctrlProps/ctrlProp167.xml"/><Relationship Id="rId1" Type="http://schemas.openxmlformats.org/officeDocument/2006/relationships/printerSettings" Target="../printerSettings/printerSettings5.bin"/><Relationship Id="rId6" Type="http://schemas.openxmlformats.org/officeDocument/2006/relationships/ctrlProp" Target="../ctrlProps/ctrlProp90.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49" Type="http://schemas.openxmlformats.org/officeDocument/2006/relationships/ctrlProp" Target="../ctrlProps/ctrlProp133.xml"/><Relationship Id="rId57" Type="http://schemas.openxmlformats.org/officeDocument/2006/relationships/ctrlProp" Target="../ctrlProps/ctrlProp141.xml"/><Relationship Id="rId10" Type="http://schemas.openxmlformats.org/officeDocument/2006/relationships/ctrlProp" Target="../ctrlProps/ctrlProp94.xml"/><Relationship Id="rId31" Type="http://schemas.openxmlformats.org/officeDocument/2006/relationships/ctrlProp" Target="../ctrlProps/ctrlProp115.xml"/><Relationship Id="rId44" Type="http://schemas.openxmlformats.org/officeDocument/2006/relationships/ctrlProp" Target="../ctrlProps/ctrlProp128.xml"/><Relationship Id="rId52" Type="http://schemas.openxmlformats.org/officeDocument/2006/relationships/ctrlProp" Target="../ctrlProps/ctrlProp136.xml"/><Relationship Id="rId60" Type="http://schemas.openxmlformats.org/officeDocument/2006/relationships/ctrlProp" Target="../ctrlProps/ctrlProp144.xml"/><Relationship Id="rId65" Type="http://schemas.openxmlformats.org/officeDocument/2006/relationships/ctrlProp" Target="../ctrlProps/ctrlProp149.xml"/><Relationship Id="rId73" Type="http://schemas.openxmlformats.org/officeDocument/2006/relationships/ctrlProp" Target="../ctrlProps/ctrlProp157.xml"/><Relationship Id="rId78" Type="http://schemas.openxmlformats.org/officeDocument/2006/relationships/ctrlProp" Target="../ctrlProps/ctrlProp162.xml"/><Relationship Id="rId81" Type="http://schemas.openxmlformats.org/officeDocument/2006/relationships/ctrlProp" Target="../ctrlProps/ctrlProp165.xml"/><Relationship Id="rId86" Type="http://schemas.openxmlformats.org/officeDocument/2006/relationships/ctrlProp" Target="../ctrlProps/ctrlProp170.xml"/><Relationship Id="rId4" Type="http://schemas.openxmlformats.org/officeDocument/2006/relationships/ctrlProp" Target="../ctrlProps/ctrlProp88.xml"/><Relationship Id="rId9" Type="http://schemas.openxmlformats.org/officeDocument/2006/relationships/ctrlProp" Target="../ctrlProps/ctrlProp93.xml"/><Relationship Id="rId13" Type="http://schemas.openxmlformats.org/officeDocument/2006/relationships/ctrlProp" Target="../ctrlProps/ctrlProp97.xml"/><Relationship Id="rId18" Type="http://schemas.openxmlformats.org/officeDocument/2006/relationships/ctrlProp" Target="../ctrlProps/ctrlProp102.xml"/><Relationship Id="rId39" Type="http://schemas.openxmlformats.org/officeDocument/2006/relationships/ctrlProp" Target="../ctrlProps/ctrlProp123.xml"/><Relationship Id="rId34" Type="http://schemas.openxmlformats.org/officeDocument/2006/relationships/ctrlProp" Target="../ctrlProps/ctrlProp118.xml"/><Relationship Id="rId50" Type="http://schemas.openxmlformats.org/officeDocument/2006/relationships/ctrlProp" Target="../ctrlProps/ctrlProp134.xml"/><Relationship Id="rId55" Type="http://schemas.openxmlformats.org/officeDocument/2006/relationships/ctrlProp" Target="../ctrlProps/ctrlProp139.xml"/><Relationship Id="rId76" Type="http://schemas.openxmlformats.org/officeDocument/2006/relationships/ctrlProp" Target="../ctrlProps/ctrlProp160.xml"/><Relationship Id="rId7" Type="http://schemas.openxmlformats.org/officeDocument/2006/relationships/ctrlProp" Target="../ctrlProps/ctrlProp91.xml"/><Relationship Id="rId71" Type="http://schemas.openxmlformats.org/officeDocument/2006/relationships/ctrlProp" Target="../ctrlProps/ctrlProp155.xml"/><Relationship Id="rId2" Type="http://schemas.openxmlformats.org/officeDocument/2006/relationships/drawing" Target="../drawings/drawing4.xml"/><Relationship Id="rId29" Type="http://schemas.openxmlformats.org/officeDocument/2006/relationships/ctrlProp" Target="../ctrlProps/ctrlProp113.xml"/><Relationship Id="rId24" Type="http://schemas.openxmlformats.org/officeDocument/2006/relationships/ctrlProp" Target="../ctrlProps/ctrlProp108.xml"/><Relationship Id="rId40" Type="http://schemas.openxmlformats.org/officeDocument/2006/relationships/ctrlProp" Target="../ctrlProps/ctrlProp124.xml"/><Relationship Id="rId45" Type="http://schemas.openxmlformats.org/officeDocument/2006/relationships/ctrlProp" Target="../ctrlProps/ctrlProp129.xml"/><Relationship Id="rId66" Type="http://schemas.openxmlformats.org/officeDocument/2006/relationships/ctrlProp" Target="../ctrlProps/ctrlProp150.xml"/><Relationship Id="rId61" Type="http://schemas.openxmlformats.org/officeDocument/2006/relationships/ctrlProp" Target="../ctrlProps/ctrlProp145.xml"/><Relationship Id="rId82" Type="http://schemas.openxmlformats.org/officeDocument/2006/relationships/ctrlProp" Target="../ctrlProps/ctrlProp166.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93.xml"/><Relationship Id="rId21" Type="http://schemas.openxmlformats.org/officeDocument/2006/relationships/ctrlProp" Target="../ctrlProps/ctrlProp188.xml"/><Relationship Id="rId42" Type="http://schemas.openxmlformats.org/officeDocument/2006/relationships/ctrlProp" Target="../ctrlProps/ctrlProp209.xml"/><Relationship Id="rId47" Type="http://schemas.openxmlformats.org/officeDocument/2006/relationships/ctrlProp" Target="../ctrlProps/ctrlProp214.xml"/><Relationship Id="rId63" Type="http://schemas.openxmlformats.org/officeDocument/2006/relationships/ctrlProp" Target="../ctrlProps/ctrlProp230.xml"/><Relationship Id="rId68" Type="http://schemas.openxmlformats.org/officeDocument/2006/relationships/ctrlProp" Target="../ctrlProps/ctrlProp235.xml"/><Relationship Id="rId84" Type="http://schemas.openxmlformats.org/officeDocument/2006/relationships/ctrlProp" Target="../ctrlProps/ctrlProp251.xml"/><Relationship Id="rId89" Type="http://schemas.openxmlformats.org/officeDocument/2006/relationships/ctrlProp" Target="../ctrlProps/ctrlProp256.xml"/><Relationship Id="rId16" Type="http://schemas.openxmlformats.org/officeDocument/2006/relationships/ctrlProp" Target="../ctrlProps/ctrlProp183.xml"/><Relationship Id="rId107" Type="http://schemas.openxmlformats.org/officeDocument/2006/relationships/ctrlProp" Target="../ctrlProps/ctrlProp274.xml"/><Relationship Id="rId11" Type="http://schemas.openxmlformats.org/officeDocument/2006/relationships/ctrlProp" Target="../ctrlProps/ctrlProp178.xml"/><Relationship Id="rId32" Type="http://schemas.openxmlformats.org/officeDocument/2006/relationships/ctrlProp" Target="../ctrlProps/ctrlProp199.xml"/><Relationship Id="rId37" Type="http://schemas.openxmlformats.org/officeDocument/2006/relationships/ctrlProp" Target="../ctrlProps/ctrlProp204.xml"/><Relationship Id="rId53" Type="http://schemas.openxmlformats.org/officeDocument/2006/relationships/ctrlProp" Target="../ctrlProps/ctrlProp220.xml"/><Relationship Id="rId58" Type="http://schemas.openxmlformats.org/officeDocument/2006/relationships/ctrlProp" Target="../ctrlProps/ctrlProp225.xml"/><Relationship Id="rId74" Type="http://schemas.openxmlformats.org/officeDocument/2006/relationships/ctrlProp" Target="../ctrlProps/ctrlProp241.xml"/><Relationship Id="rId79" Type="http://schemas.openxmlformats.org/officeDocument/2006/relationships/ctrlProp" Target="../ctrlProps/ctrlProp246.xml"/><Relationship Id="rId102" Type="http://schemas.openxmlformats.org/officeDocument/2006/relationships/ctrlProp" Target="../ctrlProps/ctrlProp269.xml"/><Relationship Id="rId5" Type="http://schemas.openxmlformats.org/officeDocument/2006/relationships/ctrlProp" Target="../ctrlProps/ctrlProp172.xml"/><Relationship Id="rId90" Type="http://schemas.openxmlformats.org/officeDocument/2006/relationships/ctrlProp" Target="../ctrlProps/ctrlProp257.xml"/><Relationship Id="rId95" Type="http://schemas.openxmlformats.org/officeDocument/2006/relationships/ctrlProp" Target="../ctrlProps/ctrlProp262.xml"/><Relationship Id="rId22" Type="http://schemas.openxmlformats.org/officeDocument/2006/relationships/ctrlProp" Target="../ctrlProps/ctrlProp189.xml"/><Relationship Id="rId27" Type="http://schemas.openxmlformats.org/officeDocument/2006/relationships/ctrlProp" Target="../ctrlProps/ctrlProp194.xml"/><Relationship Id="rId43" Type="http://schemas.openxmlformats.org/officeDocument/2006/relationships/ctrlProp" Target="../ctrlProps/ctrlProp210.xml"/><Relationship Id="rId48" Type="http://schemas.openxmlformats.org/officeDocument/2006/relationships/ctrlProp" Target="../ctrlProps/ctrlProp215.xml"/><Relationship Id="rId64" Type="http://schemas.openxmlformats.org/officeDocument/2006/relationships/ctrlProp" Target="../ctrlProps/ctrlProp231.xml"/><Relationship Id="rId69" Type="http://schemas.openxmlformats.org/officeDocument/2006/relationships/ctrlProp" Target="../ctrlProps/ctrlProp236.xml"/><Relationship Id="rId80" Type="http://schemas.openxmlformats.org/officeDocument/2006/relationships/ctrlProp" Target="../ctrlProps/ctrlProp247.xml"/><Relationship Id="rId85" Type="http://schemas.openxmlformats.org/officeDocument/2006/relationships/ctrlProp" Target="../ctrlProps/ctrlProp252.xml"/><Relationship Id="rId12" Type="http://schemas.openxmlformats.org/officeDocument/2006/relationships/ctrlProp" Target="../ctrlProps/ctrlProp179.xml"/><Relationship Id="rId17" Type="http://schemas.openxmlformats.org/officeDocument/2006/relationships/ctrlProp" Target="../ctrlProps/ctrlProp184.xml"/><Relationship Id="rId33" Type="http://schemas.openxmlformats.org/officeDocument/2006/relationships/ctrlProp" Target="../ctrlProps/ctrlProp200.xml"/><Relationship Id="rId38" Type="http://schemas.openxmlformats.org/officeDocument/2006/relationships/ctrlProp" Target="../ctrlProps/ctrlProp205.xml"/><Relationship Id="rId59" Type="http://schemas.openxmlformats.org/officeDocument/2006/relationships/ctrlProp" Target="../ctrlProps/ctrlProp226.xml"/><Relationship Id="rId103" Type="http://schemas.openxmlformats.org/officeDocument/2006/relationships/ctrlProp" Target="../ctrlProps/ctrlProp270.xml"/><Relationship Id="rId108" Type="http://schemas.openxmlformats.org/officeDocument/2006/relationships/ctrlProp" Target="../ctrlProps/ctrlProp275.xml"/><Relationship Id="rId54" Type="http://schemas.openxmlformats.org/officeDocument/2006/relationships/ctrlProp" Target="../ctrlProps/ctrlProp221.xml"/><Relationship Id="rId70" Type="http://schemas.openxmlformats.org/officeDocument/2006/relationships/ctrlProp" Target="../ctrlProps/ctrlProp237.xml"/><Relationship Id="rId75" Type="http://schemas.openxmlformats.org/officeDocument/2006/relationships/ctrlProp" Target="../ctrlProps/ctrlProp242.xml"/><Relationship Id="rId91" Type="http://schemas.openxmlformats.org/officeDocument/2006/relationships/ctrlProp" Target="../ctrlProps/ctrlProp258.xml"/><Relationship Id="rId96" Type="http://schemas.openxmlformats.org/officeDocument/2006/relationships/ctrlProp" Target="../ctrlProps/ctrlProp263.xml"/><Relationship Id="rId1" Type="http://schemas.openxmlformats.org/officeDocument/2006/relationships/printerSettings" Target="../printerSettings/printerSettings6.bin"/><Relationship Id="rId6" Type="http://schemas.openxmlformats.org/officeDocument/2006/relationships/ctrlProp" Target="../ctrlProps/ctrlProp173.xml"/><Relationship Id="rId15" Type="http://schemas.openxmlformats.org/officeDocument/2006/relationships/ctrlProp" Target="../ctrlProps/ctrlProp182.xml"/><Relationship Id="rId23" Type="http://schemas.openxmlformats.org/officeDocument/2006/relationships/ctrlProp" Target="../ctrlProps/ctrlProp190.xml"/><Relationship Id="rId28" Type="http://schemas.openxmlformats.org/officeDocument/2006/relationships/ctrlProp" Target="../ctrlProps/ctrlProp195.xml"/><Relationship Id="rId36" Type="http://schemas.openxmlformats.org/officeDocument/2006/relationships/ctrlProp" Target="../ctrlProps/ctrlProp203.xml"/><Relationship Id="rId49" Type="http://schemas.openxmlformats.org/officeDocument/2006/relationships/ctrlProp" Target="../ctrlProps/ctrlProp216.xml"/><Relationship Id="rId57" Type="http://schemas.openxmlformats.org/officeDocument/2006/relationships/ctrlProp" Target="../ctrlProps/ctrlProp224.xml"/><Relationship Id="rId106" Type="http://schemas.openxmlformats.org/officeDocument/2006/relationships/ctrlProp" Target="../ctrlProps/ctrlProp273.xml"/><Relationship Id="rId10" Type="http://schemas.openxmlformats.org/officeDocument/2006/relationships/ctrlProp" Target="../ctrlProps/ctrlProp177.xml"/><Relationship Id="rId31" Type="http://schemas.openxmlformats.org/officeDocument/2006/relationships/ctrlProp" Target="../ctrlProps/ctrlProp198.xml"/><Relationship Id="rId44" Type="http://schemas.openxmlformats.org/officeDocument/2006/relationships/ctrlProp" Target="../ctrlProps/ctrlProp211.xml"/><Relationship Id="rId52" Type="http://schemas.openxmlformats.org/officeDocument/2006/relationships/ctrlProp" Target="../ctrlProps/ctrlProp219.xml"/><Relationship Id="rId60" Type="http://schemas.openxmlformats.org/officeDocument/2006/relationships/ctrlProp" Target="../ctrlProps/ctrlProp227.xml"/><Relationship Id="rId65" Type="http://schemas.openxmlformats.org/officeDocument/2006/relationships/ctrlProp" Target="../ctrlProps/ctrlProp232.xml"/><Relationship Id="rId73" Type="http://schemas.openxmlformats.org/officeDocument/2006/relationships/ctrlProp" Target="../ctrlProps/ctrlProp240.xml"/><Relationship Id="rId78" Type="http://schemas.openxmlformats.org/officeDocument/2006/relationships/ctrlProp" Target="../ctrlProps/ctrlProp245.xml"/><Relationship Id="rId81" Type="http://schemas.openxmlformats.org/officeDocument/2006/relationships/ctrlProp" Target="../ctrlProps/ctrlProp248.xml"/><Relationship Id="rId86" Type="http://schemas.openxmlformats.org/officeDocument/2006/relationships/ctrlProp" Target="../ctrlProps/ctrlProp253.xml"/><Relationship Id="rId94" Type="http://schemas.openxmlformats.org/officeDocument/2006/relationships/ctrlProp" Target="../ctrlProps/ctrlProp261.xml"/><Relationship Id="rId99" Type="http://schemas.openxmlformats.org/officeDocument/2006/relationships/ctrlProp" Target="../ctrlProps/ctrlProp266.xml"/><Relationship Id="rId101" Type="http://schemas.openxmlformats.org/officeDocument/2006/relationships/ctrlProp" Target="../ctrlProps/ctrlProp268.xml"/><Relationship Id="rId4" Type="http://schemas.openxmlformats.org/officeDocument/2006/relationships/ctrlProp" Target="../ctrlProps/ctrlProp171.xml"/><Relationship Id="rId9" Type="http://schemas.openxmlformats.org/officeDocument/2006/relationships/ctrlProp" Target="../ctrlProps/ctrlProp176.xml"/><Relationship Id="rId13" Type="http://schemas.openxmlformats.org/officeDocument/2006/relationships/ctrlProp" Target="../ctrlProps/ctrlProp180.xml"/><Relationship Id="rId18" Type="http://schemas.openxmlformats.org/officeDocument/2006/relationships/ctrlProp" Target="../ctrlProps/ctrlProp185.xml"/><Relationship Id="rId39" Type="http://schemas.openxmlformats.org/officeDocument/2006/relationships/ctrlProp" Target="../ctrlProps/ctrlProp206.xml"/><Relationship Id="rId109" Type="http://schemas.openxmlformats.org/officeDocument/2006/relationships/ctrlProp" Target="../ctrlProps/ctrlProp276.xml"/><Relationship Id="rId34" Type="http://schemas.openxmlformats.org/officeDocument/2006/relationships/ctrlProp" Target="../ctrlProps/ctrlProp201.xml"/><Relationship Id="rId50" Type="http://schemas.openxmlformats.org/officeDocument/2006/relationships/ctrlProp" Target="../ctrlProps/ctrlProp217.xml"/><Relationship Id="rId55" Type="http://schemas.openxmlformats.org/officeDocument/2006/relationships/ctrlProp" Target="../ctrlProps/ctrlProp222.xml"/><Relationship Id="rId76" Type="http://schemas.openxmlformats.org/officeDocument/2006/relationships/ctrlProp" Target="../ctrlProps/ctrlProp243.xml"/><Relationship Id="rId97" Type="http://schemas.openxmlformats.org/officeDocument/2006/relationships/ctrlProp" Target="../ctrlProps/ctrlProp264.xml"/><Relationship Id="rId104" Type="http://schemas.openxmlformats.org/officeDocument/2006/relationships/ctrlProp" Target="../ctrlProps/ctrlProp271.xml"/><Relationship Id="rId7" Type="http://schemas.openxmlformats.org/officeDocument/2006/relationships/ctrlProp" Target="../ctrlProps/ctrlProp174.xml"/><Relationship Id="rId71" Type="http://schemas.openxmlformats.org/officeDocument/2006/relationships/ctrlProp" Target="../ctrlProps/ctrlProp238.xml"/><Relationship Id="rId92" Type="http://schemas.openxmlformats.org/officeDocument/2006/relationships/ctrlProp" Target="../ctrlProps/ctrlProp259.xml"/><Relationship Id="rId2" Type="http://schemas.openxmlformats.org/officeDocument/2006/relationships/drawing" Target="../drawings/drawing5.xml"/><Relationship Id="rId29" Type="http://schemas.openxmlformats.org/officeDocument/2006/relationships/ctrlProp" Target="../ctrlProps/ctrlProp196.xml"/><Relationship Id="rId24" Type="http://schemas.openxmlformats.org/officeDocument/2006/relationships/ctrlProp" Target="../ctrlProps/ctrlProp191.xml"/><Relationship Id="rId40" Type="http://schemas.openxmlformats.org/officeDocument/2006/relationships/ctrlProp" Target="../ctrlProps/ctrlProp207.xml"/><Relationship Id="rId45" Type="http://schemas.openxmlformats.org/officeDocument/2006/relationships/ctrlProp" Target="../ctrlProps/ctrlProp212.xml"/><Relationship Id="rId66" Type="http://schemas.openxmlformats.org/officeDocument/2006/relationships/ctrlProp" Target="../ctrlProps/ctrlProp233.xml"/><Relationship Id="rId87" Type="http://schemas.openxmlformats.org/officeDocument/2006/relationships/ctrlProp" Target="../ctrlProps/ctrlProp254.xml"/><Relationship Id="rId110" Type="http://schemas.openxmlformats.org/officeDocument/2006/relationships/ctrlProp" Target="../ctrlProps/ctrlProp277.xml"/><Relationship Id="rId61" Type="http://schemas.openxmlformats.org/officeDocument/2006/relationships/ctrlProp" Target="../ctrlProps/ctrlProp228.xml"/><Relationship Id="rId82" Type="http://schemas.openxmlformats.org/officeDocument/2006/relationships/ctrlProp" Target="../ctrlProps/ctrlProp249.xml"/><Relationship Id="rId19" Type="http://schemas.openxmlformats.org/officeDocument/2006/relationships/ctrlProp" Target="../ctrlProps/ctrlProp186.xml"/><Relationship Id="rId14" Type="http://schemas.openxmlformats.org/officeDocument/2006/relationships/ctrlProp" Target="../ctrlProps/ctrlProp181.xml"/><Relationship Id="rId30" Type="http://schemas.openxmlformats.org/officeDocument/2006/relationships/ctrlProp" Target="../ctrlProps/ctrlProp197.xml"/><Relationship Id="rId35" Type="http://schemas.openxmlformats.org/officeDocument/2006/relationships/ctrlProp" Target="../ctrlProps/ctrlProp202.xml"/><Relationship Id="rId56" Type="http://schemas.openxmlformats.org/officeDocument/2006/relationships/ctrlProp" Target="../ctrlProps/ctrlProp223.xml"/><Relationship Id="rId77" Type="http://schemas.openxmlformats.org/officeDocument/2006/relationships/ctrlProp" Target="../ctrlProps/ctrlProp244.xml"/><Relationship Id="rId100" Type="http://schemas.openxmlformats.org/officeDocument/2006/relationships/ctrlProp" Target="../ctrlProps/ctrlProp267.xml"/><Relationship Id="rId105" Type="http://schemas.openxmlformats.org/officeDocument/2006/relationships/ctrlProp" Target="../ctrlProps/ctrlProp272.xml"/><Relationship Id="rId8" Type="http://schemas.openxmlformats.org/officeDocument/2006/relationships/ctrlProp" Target="../ctrlProps/ctrlProp175.xml"/><Relationship Id="rId51" Type="http://schemas.openxmlformats.org/officeDocument/2006/relationships/ctrlProp" Target="../ctrlProps/ctrlProp218.xml"/><Relationship Id="rId72" Type="http://schemas.openxmlformats.org/officeDocument/2006/relationships/ctrlProp" Target="../ctrlProps/ctrlProp239.xml"/><Relationship Id="rId93" Type="http://schemas.openxmlformats.org/officeDocument/2006/relationships/ctrlProp" Target="../ctrlProps/ctrlProp260.xml"/><Relationship Id="rId98" Type="http://schemas.openxmlformats.org/officeDocument/2006/relationships/ctrlProp" Target="../ctrlProps/ctrlProp265.xml"/><Relationship Id="rId3" Type="http://schemas.openxmlformats.org/officeDocument/2006/relationships/vmlDrawing" Target="../drawings/vmlDrawing4.vml"/><Relationship Id="rId25" Type="http://schemas.openxmlformats.org/officeDocument/2006/relationships/ctrlProp" Target="../ctrlProps/ctrlProp192.xml"/><Relationship Id="rId46" Type="http://schemas.openxmlformats.org/officeDocument/2006/relationships/ctrlProp" Target="../ctrlProps/ctrlProp213.xml"/><Relationship Id="rId67" Type="http://schemas.openxmlformats.org/officeDocument/2006/relationships/ctrlProp" Target="../ctrlProps/ctrlProp234.xml"/><Relationship Id="rId20" Type="http://schemas.openxmlformats.org/officeDocument/2006/relationships/ctrlProp" Target="../ctrlProps/ctrlProp187.xml"/><Relationship Id="rId41" Type="http://schemas.openxmlformats.org/officeDocument/2006/relationships/ctrlProp" Target="../ctrlProps/ctrlProp208.xml"/><Relationship Id="rId62" Type="http://schemas.openxmlformats.org/officeDocument/2006/relationships/ctrlProp" Target="../ctrlProps/ctrlProp229.xml"/><Relationship Id="rId83" Type="http://schemas.openxmlformats.org/officeDocument/2006/relationships/ctrlProp" Target="../ctrlProps/ctrlProp250.xml"/><Relationship Id="rId88" Type="http://schemas.openxmlformats.org/officeDocument/2006/relationships/ctrlProp" Target="../ctrlProps/ctrlProp255.xml"/><Relationship Id="rId111" Type="http://schemas.openxmlformats.org/officeDocument/2006/relationships/ctrlProp" Target="../ctrlProps/ctrlProp27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83.xml"/><Relationship Id="rId13" Type="http://schemas.openxmlformats.org/officeDocument/2006/relationships/ctrlProp" Target="../ctrlProps/ctrlProp288.xml"/><Relationship Id="rId18" Type="http://schemas.openxmlformats.org/officeDocument/2006/relationships/ctrlProp" Target="../ctrlProps/ctrlProp293.xml"/><Relationship Id="rId26" Type="http://schemas.openxmlformats.org/officeDocument/2006/relationships/ctrlProp" Target="../ctrlProps/ctrlProp301.xml"/><Relationship Id="rId3" Type="http://schemas.openxmlformats.org/officeDocument/2006/relationships/vmlDrawing" Target="../drawings/vmlDrawing5.vml"/><Relationship Id="rId21" Type="http://schemas.openxmlformats.org/officeDocument/2006/relationships/ctrlProp" Target="../ctrlProps/ctrlProp296.xml"/><Relationship Id="rId7" Type="http://schemas.openxmlformats.org/officeDocument/2006/relationships/ctrlProp" Target="../ctrlProps/ctrlProp282.xml"/><Relationship Id="rId12" Type="http://schemas.openxmlformats.org/officeDocument/2006/relationships/ctrlProp" Target="../ctrlProps/ctrlProp287.xml"/><Relationship Id="rId17" Type="http://schemas.openxmlformats.org/officeDocument/2006/relationships/ctrlProp" Target="../ctrlProps/ctrlProp292.xml"/><Relationship Id="rId25" Type="http://schemas.openxmlformats.org/officeDocument/2006/relationships/ctrlProp" Target="../ctrlProps/ctrlProp300.xml"/><Relationship Id="rId2" Type="http://schemas.openxmlformats.org/officeDocument/2006/relationships/drawing" Target="../drawings/drawing6.xml"/><Relationship Id="rId16" Type="http://schemas.openxmlformats.org/officeDocument/2006/relationships/ctrlProp" Target="../ctrlProps/ctrlProp291.xml"/><Relationship Id="rId20" Type="http://schemas.openxmlformats.org/officeDocument/2006/relationships/ctrlProp" Target="../ctrlProps/ctrlProp295.xml"/><Relationship Id="rId1" Type="http://schemas.openxmlformats.org/officeDocument/2006/relationships/printerSettings" Target="../printerSettings/printerSettings7.bin"/><Relationship Id="rId6" Type="http://schemas.openxmlformats.org/officeDocument/2006/relationships/ctrlProp" Target="../ctrlProps/ctrlProp281.xml"/><Relationship Id="rId11" Type="http://schemas.openxmlformats.org/officeDocument/2006/relationships/ctrlProp" Target="../ctrlProps/ctrlProp286.xml"/><Relationship Id="rId24" Type="http://schemas.openxmlformats.org/officeDocument/2006/relationships/ctrlProp" Target="../ctrlProps/ctrlProp299.xml"/><Relationship Id="rId5" Type="http://schemas.openxmlformats.org/officeDocument/2006/relationships/ctrlProp" Target="../ctrlProps/ctrlProp280.xml"/><Relationship Id="rId15" Type="http://schemas.openxmlformats.org/officeDocument/2006/relationships/ctrlProp" Target="../ctrlProps/ctrlProp290.xml"/><Relationship Id="rId23" Type="http://schemas.openxmlformats.org/officeDocument/2006/relationships/ctrlProp" Target="../ctrlProps/ctrlProp298.xml"/><Relationship Id="rId10" Type="http://schemas.openxmlformats.org/officeDocument/2006/relationships/ctrlProp" Target="../ctrlProps/ctrlProp285.xml"/><Relationship Id="rId19" Type="http://schemas.openxmlformats.org/officeDocument/2006/relationships/ctrlProp" Target="../ctrlProps/ctrlProp294.xml"/><Relationship Id="rId4" Type="http://schemas.openxmlformats.org/officeDocument/2006/relationships/ctrlProp" Target="../ctrlProps/ctrlProp279.xml"/><Relationship Id="rId9" Type="http://schemas.openxmlformats.org/officeDocument/2006/relationships/ctrlProp" Target="../ctrlProps/ctrlProp284.xml"/><Relationship Id="rId14" Type="http://schemas.openxmlformats.org/officeDocument/2006/relationships/ctrlProp" Target="../ctrlProps/ctrlProp289.xml"/><Relationship Id="rId22" Type="http://schemas.openxmlformats.org/officeDocument/2006/relationships/ctrlProp" Target="../ctrlProps/ctrlProp297.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311.xml"/><Relationship Id="rId18" Type="http://schemas.openxmlformats.org/officeDocument/2006/relationships/ctrlProp" Target="../ctrlProps/ctrlProp316.xml"/><Relationship Id="rId26" Type="http://schemas.openxmlformats.org/officeDocument/2006/relationships/ctrlProp" Target="../ctrlProps/ctrlProp324.xml"/><Relationship Id="rId39" Type="http://schemas.openxmlformats.org/officeDocument/2006/relationships/ctrlProp" Target="../ctrlProps/ctrlProp337.xml"/><Relationship Id="rId21" Type="http://schemas.openxmlformats.org/officeDocument/2006/relationships/ctrlProp" Target="../ctrlProps/ctrlProp319.xml"/><Relationship Id="rId34" Type="http://schemas.openxmlformats.org/officeDocument/2006/relationships/ctrlProp" Target="../ctrlProps/ctrlProp332.xml"/><Relationship Id="rId42" Type="http://schemas.openxmlformats.org/officeDocument/2006/relationships/ctrlProp" Target="../ctrlProps/ctrlProp340.xml"/><Relationship Id="rId47" Type="http://schemas.openxmlformats.org/officeDocument/2006/relationships/ctrlProp" Target="../ctrlProps/ctrlProp345.xml"/><Relationship Id="rId50" Type="http://schemas.openxmlformats.org/officeDocument/2006/relationships/ctrlProp" Target="../ctrlProps/ctrlProp348.xml"/><Relationship Id="rId55" Type="http://schemas.openxmlformats.org/officeDocument/2006/relationships/ctrlProp" Target="../ctrlProps/ctrlProp353.xml"/><Relationship Id="rId7" Type="http://schemas.openxmlformats.org/officeDocument/2006/relationships/ctrlProp" Target="../ctrlProps/ctrlProp305.xml"/><Relationship Id="rId2" Type="http://schemas.openxmlformats.org/officeDocument/2006/relationships/drawing" Target="../drawings/drawing7.xml"/><Relationship Id="rId16" Type="http://schemas.openxmlformats.org/officeDocument/2006/relationships/ctrlProp" Target="../ctrlProps/ctrlProp314.xml"/><Relationship Id="rId29" Type="http://schemas.openxmlformats.org/officeDocument/2006/relationships/ctrlProp" Target="../ctrlProps/ctrlProp327.xml"/><Relationship Id="rId11" Type="http://schemas.openxmlformats.org/officeDocument/2006/relationships/ctrlProp" Target="../ctrlProps/ctrlProp309.xml"/><Relationship Id="rId24" Type="http://schemas.openxmlformats.org/officeDocument/2006/relationships/ctrlProp" Target="../ctrlProps/ctrlProp322.xml"/><Relationship Id="rId32" Type="http://schemas.openxmlformats.org/officeDocument/2006/relationships/ctrlProp" Target="../ctrlProps/ctrlProp330.xml"/><Relationship Id="rId37" Type="http://schemas.openxmlformats.org/officeDocument/2006/relationships/ctrlProp" Target="../ctrlProps/ctrlProp335.xml"/><Relationship Id="rId40" Type="http://schemas.openxmlformats.org/officeDocument/2006/relationships/ctrlProp" Target="../ctrlProps/ctrlProp338.xml"/><Relationship Id="rId45" Type="http://schemas.openxmlformats.org/officeDocument/2006/relationships/ctrlProp" Target="../ctrlProps/ctrlProp343.xml"/><Relationship Id="rId53" Type="http://schemas.openxmlformats.org/officeDocument/2006/relationships/ctrlProp" Target="../ctrlProps/ctrlProp351.xml"/><Relationship Id="rId5" Type="http://schemas.openxmlformats.org/officeDocument/2006/relationships/ctrlProp" Target="../ctrlProps/ctrlProp303.xml"/><Relationship Id="rId19" Type="http://schemas.openxmlformats.org/officeDocument/2006/relationships/ctrlProp" Target="../ctrlProps/ctrlProp317.xml"/><Relationship Id="rId4" Type="http://schemas.openxmlformats.org/officeDocument/2006/relationships/ctrlProp" Target="../ctrlProps/ctrlProp302.xml"/><Relationship Id="rId9" Type="http://schemas.openxmlformats.org/officeDocument/2006/relationships/ctrlProp" Target="../ctrlProps/ctrlProp307.xml"/><Relationship Id="rId14" Type="http://schemas.openxmlformats.org/officeDocument/2006/relationships/ctrlProp" Target="../ctrlProps/ctrlProp312.xml"/><Relationship Id="rId22" Type="http://schemas.openxmlformats.org/officeDocument/2006/relationships/ctrlProp" Target="../ctrlProps/ctrlProp320.xml"/><Relationship Id="rId27" Type="http://schemas.openxmlformats.org/officeDocument/2006/relationships/ctrlProp" Target="../ctrlProps/ctrlProp325.xml"/><Relationship Id="rId30" Type="http://schemas.openxmlformats.org/officeDocument/2006/relationships/ctrlProp" Target="../ctrlProps/ctrlProp328.xml"/><Relationship Id="rId35" Type="http://schemas.openxmlformats.org/officeDocument/2006/relationships/ctrlProp" Target="../ctrlProps/ctrlProp333.xml"/><Relationship Id="rId43" Type="http://schemas.openxmlformats.org/officeDocument/2006/relationships/ctrlProp" Target="../ctrlProps/ctrlProp341.xml"/><Relationship Id="rId48" Type="http://schemas.openxmlformats.org/officeDocument/2006/relationships/ctrlProp" Target="../ctrlProps/ctrlProp346.xml"/><Relationship Id="rId56" Type="http://schemas.openxmlformats.org/officeDocument/2006/relationships/ctrlProp" Target="../ctrlProps/ctrlProp354.xml"/><Relationship Id="rId8" Type="http://schemas.openxmlformats.org/officeDocument/2006/relationships/ctrlProp" Target="../ctrlProps/ctrlProp306.xml"/><Relationship Id="rId51" Type="http://schemas.openxmlformats.org/officeDocument/2006/relationships/ctrlProp" Target="../ctrlProps/ctrlProp349.xml"/><Relationship Id="rId3" Type="http://schemas.openxmlformats.org/officeDocument/2006/relationships/vmlDrawing" Target="../drawings/vmlDrawing6.vml"/><Relationship Id="rId12" Type="http://schemas.openxmlformats.org/officeDocument/2006/relationships/ctrlProp" Target="../ctrlProps/ctrlProp310.xml"/><Relationship Id="rId17" Type="http://schemas.openxmlformats.org/officeDocument/2006/relationships/ctrlProp" Target="../ctrlProps/ctrlProp315.xml"/><Relationship Id="rId25" Type="http://schemas.openxmlformats.org/officeDocument/2006/relationships/ctrlProp" Target="../ctrlProps/ctrlProp323.xml"/><Relationship Id="rId33" Type="http://schemas.openxmlformats.org/officeDocument/2006/relationships/ctrlProp" Target="../ctrlProps/ctrlProp331.xml"/><Relationship Id="rId38" Type="http://schemas.openxmlformats.org/officeDocument/2006/relationships/ctrlProp" Target="../ctrlProps/ctrlProp336.xml"/><Relationship Id="rId46" Type="http://schemas.openxmlformats.org/officeDocument/2006/relationships/ctrlProp" Target="../ctrlProps/ctrlProp344.xml"/><Relationship Id="rId20" Type="http://schemas.openxmlformats.org/officeDocument/2006/relationships/ctrlProp" Target="../ctrlProps/ctrlProp318.xml"/><Relationship Id="rId41" Type="http://schemas.openxmlformats.org/officeDocument/2006/relationships/ctrlProp" Target="../ctrlProps/ctrlProp339.xml"/><Relationship Id="rId54" Type="http://schemas.openxmlformats.org/officeDocument/2006/relationships/ctrlProp" Target="../ctrlProps/ctrlProp352.xml"/><Relationship Id="rId1" Type="http://schemas.openxmlformats.org/officeDocument/2006/relationships/printerSettings" Target="../printerSettings/printerSettings8.bin"/><Relationship Id="rId6" Type="http://schemas.openxmlformats.org/officeDocument/2006/relationships/ctrlProp" Target="../ctrlProps/ctrlProp304.xml"/><Relationship Id="rId15" Type="http://schemas.openxmlformats.org/officeDocument/2006/relationships/ctrlProp" Target="../ctrlProps/ctrlProp313.xml"/><Relationship Id="rId23" Type="http://schemas.openxmlformats.org/officeDocument/2006/relationships/ctrlProp" Target="../ctrlProps/ctrlProp321.xml"/><Relationship Id="rId28" Type="http://schemas.openxmlformats.org/officeDocument/2006/relationships/ctrlProp" Target="../ctrlProps/ctrlProp326.xml"/><Relationship Id="rId36" Type="http://schemas.openxmlformats.org/officeDocument/2006/relationships/ctrlProp" Target="../ctrlProps/ctrlProp334.xml"/><Relationship Id="rId49" Type="http://schemas.openxmlformats.org/officeDocument/2006/relationships/ctrlProp" Target="../ctrlProps/ctrlProp347.xml"/><Relationship Id="rId57" Type="http://schemas.openxmlformats.org/officeDocument/2006/relationships/ctrlProp" Target="../ctrlProps/ctrlProp355.xml"/><Relationship Id="rId10" Type="http://schemas.openxmlformats.org/officeDocument/2006/relationships/ctrlProp" Target="../ctrlProps/ctrlProp308.xml"/><Relationship Id="rId31" Type="http://schemas.openxmlformats.org/officeDocument/2006/relationships/ctrlProp" Target="../ctrlProps/ctrlProp329.xml"/><Relationship Id="rId44" Type="http://schemas.openxmlformats.org/officeDocument/2006/relationships/ctrlProp" Target="../ctrlProps/ctrlProp342.xml"/><Relationship Id="rId52" Type="http://schemas.openxmlformats.org/officeDocument/2006/relationships/ctrlProp" Target="../ctrlProps/ctrlProp350.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378.xml"/><Relationship Id="rId21" Type="http://schemas.openxmlformats.org/officeDocument/2006/relationships/ctrlProp" Target="../ctrlProps/ctrlProp373.xml"/><Relationship Id="rId42" Type="http://schemas.openxmlformats.org/officeDocument/2006/relationships/ctrlProp" Target="../ctrlProps/ctrlProp394.xml"/><Relationship Id="rId47" Type="http://schemas.openxmlformats.org/officeDocument/2006/relationships/ctrlProp" Target="../ctrlProps/ctrlProp399.xml"/><Relationship Id="rId63" Type="http://schemas.openxmlformats.org/officeDocument/2006/relationships/ctrlProp" Target="../ctrlProps/ctrlProp415.xml"/><Relationship Id="rId68" Type="http://schemas.openxmlformats.org/officeDocument/2006/relationships/ctrlProp" Target="../ctrlProps/ctrlProp420.xml"/><Relationship Id="rId16" Type="http://schemas.openxmlformats.org/officeDocument/2006/relationships/ctrlProp" Target="../ctrlProps/ctrlProp368.xml"/><Relationship Id="rId11" Type="http://schemas.openxmlformats.org/officeDocument/2006/relationships/ctrlProp" Target="../ctrlProps/ctrlProp363.xml"/><Relationship Id="rId32" Type="http://schemas.openxmlformats.org/officeDocument/2006/relationships/ctrlProp" Target="../ctrlProps/ctrlProp384.xml"/><Relationship Id="rId37" Type="http://schemas.openxmlformats.org/officeDocument/2006/relationships/ctrlProp" Target="../ctrlProps/ctrlProp389.xml"/><Relationship Id="rId53" Type="http://schemas.openxmlformats.org/officeDocument/2006/relationships/ctrlProp" Target="../ctrlProps/ctrlProp405.xml"/><Relationship Id="rId58" Type="http://schemas.openxmlformats.org/officeDocument/2006/relationships/ctrlProp" Target="../ctrlProps/ctrlProp410.xml"/><Relationship Id="rId74" Type="http://schemas.openxmlformats.org/officeDocument/2006/relationships/ctrlProp" Target="../ctrlProps/ctrlProp426.xml"/><Relationship Id="rId79" Type="http://schemas.openxmlformats.org/officeDocument/2006/relationships/ctrlProp" Target="../ctrlProps/ctrlProp431.xml"/><Relationship Id="rId5" Type="http://schemas.openxmlformats.org/officeDocument/2006/relationships/ctrlProp" Target="../ctrlProps/ctrlProp357.xml"/><Relationship Id="rId61" Type="http://schemas.openxmlformats.org/officeDocument/2006/relationships/ctrlProp" Target="../ctrlProps/ctrlProp413.xml"/><Relationship Id="rId82" Type="http://schemas.openxmlformats.org/officeDocument/2006/relationships/ctrlProp" Target="../ctrlProps/ctrlProp434.xml"/><Relationship Id="rId19" Type="http://schemas.openxmlformats.org/officeDocument/2006/relationships/ctrlProp" Target="../ctrlProps/ctrlProp371.xml"/><Relationship Id="rId14" Type="http://schemas.openxmlformats.org/officeDocument/2006/relationships/ctrlProp" Target="../ctrlProps/ctrlProp366.xml"/><Relationship Id="rId22" Type="http://schemas.openxmlformats.org/officeDocument/2006/relationships/ctrlProp" Target="../ctrlProps/ctrlProp374.xml"/><Relationship Id="rId27" Type="http://schemas.openxmlformats.org/officeDocument/2006/relationships/ctrlProp" Target="../ctrlProps/ctrlProp379.xml"/><Relationship Id="rId30" Type="http://schemas.openxmlformats.org/officeDocument/2006/relationships/ctrlProp" Target="../ctrlProps/ctrlProp382.xml"/><Relationship Id="rId35" Type="http://schemas.openxmlformats.org/officeDocument/2006/relationships/ctrlProp" Target="../ctrlProps/ctrlProp387.xml"/><Relationship Id="rId43" Type="http://schemas.openxmlformats.org/officeDocument/2006/relationships/ctrlProp" Target="../ctrlProps/ctrlProp395.xml"/><Relationship Id="rId48" Type="http://schemas.openxmlformats.org/officeDocument/2006/relationships/ctrlProp" Target="../ctrlProps/ctrlProp400.xml"/><Relationship Id="rId56" Type="http://schemas.openxmlformats.org/officeDocument/2006/relationships/ctrlProp" Target="../ctrlProps/ctrlProp408.xml"/><Relationship Id="rId64" Type="http://schemas.openxmlformats.org/officeDocument/2006/relationships/ctrlProp" Target="../ctrlProps/ctrlProp416.xml"/><Relationship Id="rId69" Type="http://schemas.openxmlformats.org/officeDocument/2006/relationships/ctrlProp" Target="../ctrlProps/ctrlProp421.xml"/><Relationship Id="rId77" Type="http://schemas.openxmlformats.org/officeDocument/2006/relationships/ctrlProp" Target="../ctrlProps/ctrlProp429.xml"/><Relationship Id="rId8" Type="http://schemas.openxmlformats.org/officeDocument/2006/relationships/ctrlProp" Target="../ctrlProps/ctrlProp360.xml"/><Relationship Id="rId51" Type="http://schemas.openxmlformats.org/officeDocument/2006/relationships/ctrlProp" Target="../ctrlProps/ctrlProp403.xml"/><Relationship Id="rId72" Type="http://schemas.openxmlformats.org/officeDocument/2006/relationships/ctrlProp" Target="../ctrlProps/ctrlProp424.xml"/><Relationship Id="rId80" Type="http://schemas.openxmlformats.org/officeDocument/2006/relationships/ctrlProp" Target="../ctrlProps/ctrlProp432.xml"/><Relationship Id="rId3" Type="http://schemas.openxmlformats.org/officeDocument/2006/relationships/vmlDrawing" Target="../drawings/vmlDrawing7.vml"/><Relationship Id="rId12" Type="http://schemas.openxmlformats.org/officeDocument/2006/relationships/ctrlProp" Target="../ctrlProps/ctrlProp364.xml"/><Relationship Id="rId17" Type="http://schemas.openxmlformats.org/officeDocument/2006/relationships/ctrlProp" Target="../ctrlProps/ctrlProp369.xml"/><Relationship Id="rId25" Type="http://schemas.openxmlformats.org/officeDocument/2006/relationships/ctrlProp" Target="../ctrlProps/ctrlProp377.xml"/><Relationship Id="rId33" Type="http://schemas.openxmlformats.org/officeDocument/2006/relationships/ctrlProp" Target="../ctrlProps/ctrlProp385.xml"/><Relationship Id="rId38" Type="http://schemas.openxmlformats.org/officeDocument/2006/relationships/ctrlProp" Target="../ctrlProps/ctrlProp390.xml"/><Relationship Id="rId46" Type="http://schemas.openxmlformats.org/officeDocument/2006/relationships/ctrlProp" Target="../ctrlProps/ctrlProp398.xml"/><Relationship Id="rId59" Type="http://schemas.openxmlformats.org/officeDocument/2006/relationships/ctrlProp" Target="../ctrlProps/ctrlProp411.xml"/><Relationship Id="rId67" Type="http://schemas.openxmlformats.org/officeDocument/2006/relationships/ctrlProp" Target="../ctrlProps/ctrlProp419.xml"/><Relationship Id="rId20" Type="http://schemas.openxmlformats.org/officeDocument/2006/relationships/ctrlProp" Target="../ctrlProps/ctrlProp372.xml"/><Relationship Id="rId41" Type="http://schemas.openxmlformats.org/officeDocument/2006/relationships/ctrlProp" Target="../ctrlProps/ctrlProp393.xml"/><Relationship Id="rId54" Type="http://schemas.openxmlformats.org/officeDocument/2006/relationships/ctrlProp" Target="../ctrlProps/ctrlProp406.xml"/><Relationship Id="rId62" Type="http://schemas.openxmlformats.org/officeDocument/2006/relationships/ctrlProp" Target="../ctrlProps/ctrlProp414.xml"/><Relationship Id="rId70" Type="http://schemas.openxmlformats.org/officeDocument/2006/relationships/ctrlProp" Target="../ctrlProps/ctrlProp422.xml"/><Relationship Id="rId75" Type="http://schemas.openxmlformats.org/officeDocument/2006/relationships/ctrlProp" Target="../ctrlProps/ctrlProp427.xml"/><Relationship Id="rId1" Type="http://schemas.openxmlformats.org/officeDocument/2006/relationships/printerSettings" Target="../printerSettings/printerSettings9.bin"/><Relationship Id="rId6" Type="http://schemas.openxmlformats.org/officeDocument/2006/relationships/ctrlProp" Target="../ctrlProps/ctrlProp358.xml"/><Relationship Id="rId15" Type="http://schemas.openxmlformats.org/officeDocument/2006/relationships/ctrlProp" Target="../ctrlProps/ctrlProp367.xml"/><Relationship Id="rId23" Type="http://schemas.openxmlformats.org/officeDocument/2006/relationships/ctrlProp" Target="../ctrlProps/ctrlProp375.xml"/><Relationship Id="rId28" Type="http://schemas.openxmlformats.org/officeDocument/2006/relationships/ctrlProp" Target="../ctrlProps/ctrlProp380.xml"/><Relationship Id="rId36" Type="http://schemas.openxmlformats.org/officeDocument/2006/relationships/ctrlProp" Target="../ctrlProps/ctrlProp388.xml"/><Relationship Id="rId49" Type="http://schemas.openxmlformats.org/officeDocument/2006/relationships/ctrlProp" Target="../ctrlProps/ctrlProp401.xml"/><Relationship Id="rId57" Type="http://schemas.openxmlformats.org/officeDocument/2006/relationships/ctrlProp" Target="../ctrlProps/ctrlProp409.xml"/><Relationship Id="rId10" Type="http://schemas.openxmlformats.org/officeDocument/2006/relationships/ctrlProp" Target="../ctrlProps/ctrlProp362.xml"/><Relationship Id="rId31" Type="http://schemas.openxmlformats.org/officeDocument/2006/relationships/ctrlProp" Target="../ctrlProps/ctrlProp383.xml"/><Relationship Id="rId44" Type="http://schemas.openxmlformats.org/officeDocument/2006/relationships/ctrlProp" Target="../ctrlProps/ctrlProp396.xml"/><Relationship Id="rId52" Type="http://schemas.openxmlformats.org/officeDocument/2006/relationships/ctrlProp" Target="../ctrlProps/ctrlProp404.xml"/><Relationship Id="rId60" Type="http://schemas.openxmlformats.org/officeDocument/2006/relationships/ctrlProp" Target="../ctrlProps/ctrlProp412.xml"/><Relationship Id="rId65" Type="http://schemas.openxmlformats.org/officeDocument/2006/relationships/ctrlProp" Target="../ctrlProps/ctrlProp417.xml"/><Relationship Id="rId73" Type="http://schemas.openxmlformats.org/officeDocument/2006/relationships/ctrlProp" Target="../ctrlProps/ctrlProp425.xml"/><Relationship Id="rId78" Type="http://schemas.openxmlformats.org/officeDocument/2006/relationships/ctrlProp" Target="../ctrlProps/ctrlProp430.xml"/><Relationship Id="rId81" Type="http://schemas.openxmlformats.org/officeDocument/2006/relationships/ctrlProp" Target="../ctrlProps/ctrlProp433.xml"/><Relationship Id="rId4" Type="http://schemas.openxmlformats.org/officeDocument/2006/relationships/ctrlProp" Target="../ctrlProps/ctrlProp356.xml"/><Relationship Id="rId9" Type="http://schemas.openxmlformats.org/officeDocument/2006/relationships/ctrlProp" Target="../ctrlProps/ctrlProp361.xml"/><Relationship Id="rId13" Type="http://schemas.openxmlformats.org/officeDocument/2006/relationships/ctrlProp" Target="../ctrlProps/ctrlProp365.xml"/><Relationship Id="rId18" Type="http://schemas.openxmlformats.org/officeDocument/2006/relationships/ctrlProp" Target="../ctrlProps/ctrlProp370.xml"/><Relationship Id="rId39" Type="http://schemas.openxmlformats.org/officeDocument/2006/relationships/ctrlProp" Target="../ctrlProps/ctrlProp391.xml"/><Relationship Id="rId34" Type="http://schemas.openxmlformats.org/officeDocument/2006/relationships/ctrlProp" Target="../ctrlProps/ctrlProp386.xml"/><Relationship Id="rId50" Type="http://schemas.openxmlformats.org/officeDocument/2006/relationships/ctrlProp" Target="../ctrlProps/ctrlProp402.xml"/><Relationship Id="rId55" Type="http://schemas.openxmlformats.org/officeDocument/2006/relationships/ctrlProp" Target="../ctrlProps/ctrlProp407.xml"/><Relationship Id="rId76" Type="http://schemas.openxmlformats.org/officeDocument/2006/relationships/ctrlProp" Target="../ctrlProps/ctrlProp428.xml"/><Relationship Id="rId7" Type="http://schemas.openxmlformats.org/officeDocument/2006/relationships/ctrlProp" Target="../ctrlProps/ctrlProp359.xml"/><Relationship Id="rId71" Type="http://schemas.openxmlformats.org/officeDocument/2006/relationships/ctrlProp" Target="../ctrlProps/ctrlProp423.xml"/><Relationship Id="rId2" Type="http://schemas.openxmlformats.org/officeDocument/2006/relationships/drawing" Target="../drawings/drawing8.xml"/><Relationship Id="rId29" Type="http://schemas.openxmlformats.org/officeDocument/2006/relationships/ctrlProp" Target="../ctrlProps/ctrlProp381.xml"/><Relationship Id="rId24" Type="http://schemas.openxmlformats.org/officeDocument/2006/relationships/ctrlProp" Target="../ctrlProps/ctrlProp376.xml"/><Relationship Id="rId40" Type="http://schemas.openxmlformats.org/officeDocument/2006/relationships/ctrlProp" Target="../ctrlProps/ctrlProp392.xml"/><Relationship Id="rId45" Type="http://schemas.openxmlformats.org/officeDocument/2006/relationships/ctrlProp" Target="../ctrlProps/ctrlProp397.xml"/><Relationship Id="rId66" Type="http://schemas.openxmlformats.org/officeDocument/2006/relationships/ctrlProp" Target="../ctrlProps/ctrlProp4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S105"/>
  <sheetViews>
    <sheetView showGridLines="0" tabSelected="1" zoomScaleNormal="100" workbookViewId="0">
      <selection activeCell="B49" sqref="B49:R49"/>
    </sheetView>
  </sheetViews>
  <sheetFormatPr defaultRowHeight="14.5" x14ac:dyDescent="0.35"/>
  <sheetData>
    <row r="1" spans="1:19" ht="14.5" customHeight="1" x14ac:dyDescent="0.35">
      <c r="A1" s="762"/>
      <c r="B1" s="762"/>
      <c r="C1" s="762"/>
      <c r="D1" s="763" t="s">
        <v>5147</v>
      </c>
      <c r="E1" s="763"/>
      <c r="F1" s="763"/>
      <c r="G1" s="763"/>
      <c r="H1" s="763"/>
      <c r="I1" s="763"/>
      <c r="J1" s="763"/>
      <c r="K1" s="763"/>
      <c r="L1" s="763"/>
      <c r="M1" s="763"/>
      <c r="N1" s="763"/>
      <c r="O1" s="763"/>
      <c r="P1" s="763"/>
      <c r="Q1" s="763"/>
      <c r="R1" s="763"/>
      <c r="S1" s="763"/>
    </row>
    <row r="2" spans="1:19" ht="14.5" customHeight="1" x14ac:dyDescent="0.35">
      <c r="A2" s="762"/>
      <c r="B2" s="762"/>
      <c r="C2" s="762"/>
      <c r="D2" s="763"/>
      <c r="E2" s="763"/>
      <c r="F2" s="763"/>
      <c r="G2" s="763"/>
      <c r="H2" s="763"/>
      <c r="I2" s="763"/>
      <c r="J2" s="763"/>
      <c r="K2" s="763"/>
      <c r="L2" s="763"/>
      <c r="M2" s="763"/>
      <c r="N2" s="763"/>
      <c r="O2" s="763"/>
      <c r="P2" s="763"/>
      <c r="Q2" s="763"/>
      <c r="R2" s="763"/>
      <c r="S2" s="763"/>
    </row>
    <row r="3" spans="1:19" ht="14.5" customHeight="1" x14ac:dyDescent="0.35">
      <c r="A3" s="762"/>
      <c r="B3" s="762"/>
      <c r="C3" s="762"/>
      <c r="D3" s="763"/>
      <c r="E3" s="763"/>
      <c r="F3" s="763"/>
      <c r="G3" s="763"/>
      <c r="H3" s="763"/>
      <c r="I3" s="763"/>
      <c r="J3" s="763"/>
      <c r="K3" s="763"/>
      <c r="L3" s="763"/>
      <c r="M3" s="763"/>
      <c r="N3" s="763"/>
      <c r="O3" s="763"/>
      <c r="P3" s="763"/>
      <c r="Q3" s="763"/>
      <c r="R3" s="763"/>
      <c r="S3" s="763"/>
    </row>
    <row r="4" spans="1:19" ht="14.5" customHeight="1" x14ac:dyDescent="0.35">
      <c r="A4" s="762"/>
      <c r="B4" s="762"/>
      <c r="C4" s="762"/>
      <c r="D4" s="764" t="s">
        <v>5242</v>
      </c>
      <c r="E4" s="764"/>
      <c r="F4" s="764"/>
      <c r="G4" s="764"/>
      <c r="H4" s="764"/>
      <c r="I4" s="764"/>
      <c r="J4" s="764"/>
      <c r="K4" s="764"/>
      <c r="L4" s="764"/>
      <c r="M4" s="764"/>
      <c r="N4" s="764"/>
      <c r="O4" s="764"/>
      <c r="P4" s="764"/>
      <c r="Q4" s="764"/>
      <c r="R4" s="764"/>
      <c r="S4" s="764"/>
    </row>
    <row r="5" spans="1:19" x14ac:dyDescent="0.35">
      <c r="A5" s="762"/>
      <c r="B5" s="762"/>
      <c r="C5" s="762"/>
      <c r="D5" s="764"/>
      <c r="E5" s="764"/>
      <c r="F5" s="764"/>
      <c r="G5" s="764"/>
      <c r="H5" s="764"/>
      <c r="I5" s="764"/>
      <c r="J5" s="764"/>
      <c r="K5" s="764"/>
      <c r="L5" s="764"/>
      <c r="M5" s="764"/>
      <c r="N5" s="764"/>
      <c r="O5" s="764"/>
      <c r="P5" s="764"/>
      <c r="Q5" s="764"/>
      <c r="R5" s="764"/>
      <c r="S5" s="764"/>
    </row>
    <row r="6" spans="1:19" x14ac:dyDescent="0.35">
      <c r="A6" s="762"/>
      <c r="B6" s="762"/>
      <c r="C6" s="762"/>
      <c r="D6" s="764"/>
      <c r="E6" s="764"/>
      <c r="F6" s="764"/>
      <c r="G6" s="764"/>
      <c r="H6" s="764"/>
      <c r="I6" s="764"/>
      <c r="J6" s="764"/>
      <c r="K6" s="764"/>
      <c r="L6" s="764"/>
      <c r="M6" s="764"/>
      <c r="N6" s="764"/>
      <c r="O6" s="764"/>
      <c r="P6" s="764"/>
      <c r="Q6" s="764"/>
      <c r="R6" s="764"/>
      <c r="S6" s="764"/>
    </row>
    <row r="7" spans="1:19" ht="18.5" x14ac:dyDescent="0.45">
      <c r="A7" s="11" t="s">
        <v>241</v>
      </c>
      <c r="B7" s="445" t="s">
        <v>6088</v>
      </c>
      <c r="C7" s="766" t="s">
        <v>246</v>
      </c>
      <c r="D7" s="766"/>
      <c r="E7" s="767">
        <v>45071.762599189817</v>
      </c>
      <c r="F7" s="767"/>
      <c r="G7" s="11"/>
      <c r="H7" s="11"/>
      <c r="I7" s="11"/>
      <c r="J7" s="11"/>
      <c r="K7" s="11"/>
      <c r="L7" s="11"/>
      <c r="M7" s="11"/>
      <c r="N7" s="11"/>
      <c r="O7" s="11"/>
      <c r="P7" s="11"/>
      <c r="Q7" s="11"/>
      <c r="R7" s="11"/>
      <c r="S7" s="11"/>
    </row>
    <row r="8" spans="1:19" x14ac:dyDescent="0.35">
      <c r="A8" s="765"/>
      <c r="B8" s="765"/>
      <c r="C8" s="765"/>
      <c r="D8" s="765"/>
      <c r="E8" s="765"/>
      <c r="F8" s="765"/>
      <c r="G8" s="765"/>
      <c r="H8" s="765"/>
      <c r="I8" s="765"/>
      <c r="J8" s="765"/>
      <c r="K8" s="765"/>
      <c r="L8" s="765"/>
      <c r="M8" s="765"/>
      <c r="N8" s="765"/>
      <c r="O8" s="765"/>
      <c r="P8" s="765"/>
      <c r="Q8" s="765"/>
      <c r="R8" s="765"/>
      <c r="S8" s="765"/>
    </row>
    <row r="9" spans="1:19" x14ac:dyDescent="0.35">
      <c r="B9" s="768" t="s">
        <v>3975</v>
      </c>
      <c r="C9" s="768"/>
      <c r="D9" s="768"/>
      <c r="E9" s="768"/>
      <c r="F9" s="768"/>
      <c r="G9" s="768"/>
      <c r="H9" s="768"/>
      <c r="I9" s="768"/>
      <c r="J9" s="768"/>
      <c r="K9" s="768"/>
      <c r="L9" s="768"/>
      <c r="M9" s="768"/>
      <c r="N9" s="768"/>
      <c r="O9" s="768"/>
      <c r="P9" s="768"/>
      <c r="Q9" s="768"/>
      <c r="R9" s="768"/>
    </row>
    <row r="10" spans="1:19" x14ac:dyDescent="0.35">
      <c r="B10" s="769" t="s">
        <v>245</v>
      </c>
      <c r="C10" s="769"/>
      <c r="D10" s="769"/>
      <c r="E10" s="769"/>
      <c r="F10" s="769"/>
      <c r="G10" s="769"/>
      <c r="H10" s="769"/>
      <c r="I10" s="769"/>
      <c r="J10" s="769"/>
      <c r="K10" s="769"/>
      <c r="L10" s="769"/>
      <c r="M10" s="769"/>
      <c r="N10" s="769"/>
      <c r="O10" s="769"/>
      <c r="P10" s="769"/>
      <c r="Q10" s="769"/>
      <c r="R10" s="769"/>
    </row>
    <row r="11" spans="1:19" x14ac:dyDescent="0.35">
      <c r="A11" s="765"/>
      <c r="B11" s="765"/>
      <c r="C11" s="765"/>
      <c r="D11" s="765"/>
      <c r="E11" s="765"/>
      <c r="F11" s="765"/>
      <c r="G11" s="765"/>
      <c r="H11" s="765"/>
      <c r="I11" s="765"/>
      <c r="J11" s="765"/>
      <c r="K11" s="765"/>
      <c r="L11" s="765"/>
      <c r="M11" s="765"/>
      <c r="N11" s="765"/>
      <c r="O11" s="765"/>
      <c r="P11" s="765"/>
      <c r="Q11" s="765"/>
      <c r="R11" s="765"/>
      <c r="S11" s="765"/>
    </row>
    <row r="12" spans="1:19" ht="18.5" x14ac:dyDescent="0.45">
      <c r="A12" s="758" t="s">
        <v>244</v>
      </c>
      <c r="B12" s="758"/>
      <c r="C12" s="758"/>
      <c r="D12" s="758"/>
      <c r="E12" s="758"/>
      <c r="F12" s="758"/>
      <c r="G12" s="758"/>
      <c r="H12" s="758"/>
      <c r="I12" s="758"/>
      <c r="J12" s="758"/>
      <c r="K12" s="758"/>
      <c r="L12" s="758"/>
      <c r="M12" s="758"/>
      <c r="N12" s="758"/>
      <c r="O12" s="758"/>
      <c r="P12" s="758"/>
      <c r="Q12" s="758"/>
      <c r="R12" s="758"/>
      <c r="S12" s="758"/>
    </row>
    <row r="13" spans="1:19" x14ac:dyDescent="0.35">
      <c r="A13" s="765"/>
      <c r="B13" s="765"/>
      <c r="C13" s="765"/>
      <c r="D13" s="765"/>
      <c r="E13" s="765"/>
      <c r="F13" s="765"/>
      <c r="G13" s="765"/>
      <c r="H13" s="765"/>
      <c r="I13" s="765"/>
      <c r="J13" s="765"/>
      <c r="K13" s="765"/>
      <c r="L13" s="765"/>
      <c r="M13" s="765"/>
      <c r="N13" s="765"/>
      <c r="O13" s="765"/>
      <c r="P13" s="765"/>
      <c r="Q13" s="765"/>
      <c r="R13" s="765"/>
      <c r="S13" s="765"/>
    </row>
    <row r="14" spans="1:19" ht="14.5" customHeight="1" x14ac:dyDescent="0.35">
      <c r="B14" s="755" t="s">
        <v>5149</v>
      </c>
      <c r="C14" s="755"/>
      <c r="D14" s="755"/>
      <c r="E14" s="755"/>
      <c r="F14" s="755"/>
      <c r="G14" s="755"/>
      <c r="H14" s="755"/>
      <c r="I14" s="755"/>
      <c r="J14" s="755"/>
      <c r="K14" s="755"/>
      <c r="L14" s="755"/>
      <c r="M14" s="755"/>
      <c r="N14" s="755"/>
      <c r="O14" s="755"/>
      <c r="P14" s="755"/>
      <c r="Q14" s="755"/>
      <c r="R14" s="755"/>
    </row>
    <row r="15" spans="1:19" x14ac:dyDescent="0.35">
      <c r="B15" s="755"/>
      <c r="C15" s="755"/>
      <c r="D15" s="755"/>
      <c r="E15" s="755"/>
      <c r="F15" s="755"/>
      <c r="G15" s="755"/>
      <c r="H15" s="755"/>
      <c r="I15" s="755"/>
      <c r="J15" s="755"/>
      <c r="K15" s="755"/>
      <c r="L15" s="755"/>
      <c r="M15" s="755"/>
      <c r="N15" s="755"/>
      <c r="O15" s="755"/>
      <c r="P15" s="755"/>
      <c r="Q15" s="755"/>
      <c r="R15" s="755"/>
    </row>
    <row r="16" spans="1:19" x14ac:dyDescent="0.35">
      <c r="B16" s="755"/>
      <c r="C16" s="755"/>
      <c r="D16" s="755"/>
      <c r="E16" s="755"/>
      <c r="F16" s="755"/>
      <c r="G16" s="755"/>
      <c r="H16" s="755"/>
      <c r="I16" s="755"/>
      <c r="J16" s="755"/>
      <c r="K16" s="755"/>
      <c r="L16" s="755"/>
      <c r="M16" s="755"/>
      <c r="N16" s="755"/>
      <c r="O16" s="755"/>
      <c r="P16" s="755"/>
      <c r="Q16" s="755"/>
      <c r="R16" s="755"/>
    </row>
    <row r="17" spans="1:19" x14ac:dyDescent="0.35">
      <c r="B17" s="755"/>
      <c r="C17" s="755"/>
      <c r="D17" s="755"/>
      <c r="E17" s="755"/>
      <c r="F17" s="755"/>
      <c r="G17" s="755"/>
      <c r="H17" s="755"/>
      <c r="I17" s="755"/>
      <c r="J17" s="755"/>
      <c r="K17" s="755"/>
      <c r="L17" s="755"/>
      <c r="M17" s="755"/>
      <c r="N17" s="755"/>
      <c r="O17" s="755"/>
      <c r="P17" s="755"/>
      <c r="Q17" s="755"/>
      <c r="R17" s="755"/>
    </row>
    <row r="18" spans="1:19" x14ac:dyDescent="0.35">
      <c r="A18" s="765"/>
      <c r="B18" s="765"/>
      <c r="C18" s="765"/>
      <c r="D18" s="765"/>
      <c r="E18" s="765"/>
      <c r="F18" s="765"/>
      <c r="G18" s="765"/>
      <c r="H18" s="765"/>
      <c r="I18" s="765"/>
      <c r="J18" s="765"/>
      <c r="K18" s="765"/>
      <c r="L18" s="765"/>
      <c r="M18" s="765"/>
      <c r="N18" s="765"/>
      <c r="O18" s="765"/>
      <c r="P18" s="765"/>
      <c r="Q18" s="765"/>
      <c r="R18" s="765"/>
      <c r="S18" s="765"/>
    </row>
    <row r="19" spans="1:19" ht="18.5" x14ac:dyDescent="0.45">
      <c r="A19" s="758" t="s">
        <v>3953</v>
      </c>
      <c r="B19" s="758"/>
      <c r="C19" s="758"/>
      <c r="D19" s="758"/>
      <c r="E19" s="758"/>
      <c r="F19" s="758"/>
      <c r="G19" s="758"/>
      <c r="H19" s="758"/>
      <c r="I19" s="758"/>
      <c r="J19" s="758"/>
      <c r="K19" s="758"/>
      <c r="L19" s="758"/>
      <c r="M19" s="758"/>
      <c r="N19" s="758"/>
      <c r="O19" s="758"/>
      <c r="P19" s="758"/>
      <c r="Q19" s="758"/>
      <c r="R19" s="758"/>
      <c r="S19" s="758"/>
    </row>
    <row r="21" spans="1:19" x14ac:dyDescent="0.35">
      <c r="B21" s="759" t="s">
        <v>3500</v>
      </c>
      <c r="C21" s="759"/>
      <c r="D21" s="759"/>
      <c r="E21" s="759"/>
      <c r="F21" s="759"/>
      <c r="G21" s="759"/>
      <c r="H21" s="759"/>
      <c r="I21" s="759"/>
      <c r="J21" s="759"/>
      <c r="K21" s="759"/>
      <c r="L21" s="759"/>
      <c r="M21" s="759"/>
      <c r="N21" s="759"/>
      <c r="O21" s="759"/>
      <c r="P21" s="759"/>
      <c r="Q21" s="759"/>
      <c r="R21" s="759"/>
    </row>
    <row r="23" spans="1:19" ht="15" customHeight="1" x14ac:dyDescent="0.35">
      <c r="B23" s="760" t="s">
        <v>3976</v>
      </c>
      <c r="C23" s="760"/>
      <c r="D23" s="760"/>
      <c r="E23" s="760"/>
      <c r="F23" s="760"/>
      <c r="G23" s="760"/>
      <c r="H23" s="760"/>
      <c r="I23" s="760"/>
      <c r="J23" s="760"/>
      <c r="K23" s="760"/>
      <c r="L23" s="760"/>
      <c r="M23" s="760"/>
      <c r="N23" s="760"/>
      <c r="O23" s="760"/>
      <c r="P23" s="760"/>
      <c r="Q23" s="760"/>
      <c r="R23" s="760"/>
    </row>
    <row r="24" spans="1:19" x14ac:dyDescent="0.35">
      <c r="B24" s="760"/>
      <c r="C24" s="760"/>
      <c r="D24" s="760"/>
      <c r="E24" s="760"/>
      <c r="F24" s="760"/>
      <c r="G24" s="760"/>
      <c r="H24" s="760"/>
      <c r="I24" s="760"/>
      <c r="J24" s="760"/>
      <c r="K24" s="760"/>
      <c r="L24" s="760"/>
      <c r="M24" s="760"/>
      <c r="N24" s="760"/>
      <c r="O24" s="760"/>
      <c r="P24" s="760"/>
      <c r="Q24" s="760"/>
      <c r="R24" s="760"/>
    </row>
    <row r="26" spans="1:19" ht="18.5" x14ac:dyDescent="0.45">
      <c r="A26" s="758" t="s">
        <v>242</v>
      </c>
      <c r="B26" s="758"/>
      <c r="C26" s="758"/>
      <c r="D26" s="758"/>
      <c r="E26" s="758"/>
      <c r="F26" s="758"/>
      <c r="G26" s="758"/>
      <c r="H26" s="758"/>
      <c r="I26" s="758"/>
      <c r="J26" s="758"/>
      <c r="K26" s="758"/>
      <c r="L26" s="758"/>
      <c r="M26" s="758"/>
      <c r="N26" s="758"/>
      <c r="O26" s="758"/>
      <c r="P26" s="758"/>
      <c r="Q26" s="758"/>
      <c r="R26" s="758"/>
      <c r="S26" s="758"/>
    </row>
    <row r="28" spans="1:19" ht="15" customHeight="1" x14ac:dyDescent="0.35">
      <c r="B28" s="755" t="s">
        <v>4895</v>
      </c>
      <c r="C28" s="755"/>
      <c r="D28" s="755"/>
      <c r="E28" s="755"/>
      <c r="F28" s="755"/>
      <c r="G28" s="755"/>
      <c r="H28" s="755"/>
      <c r="I28" s="755"/>
      <c r="J28" s="755"/>
      <c r="K28" s="755"/>
      <c r="L28" s="755"/>
      <c r="M28" s="755"/>
      <c r="N28" s="755"/>
      <c r="O28" s="755"/>
      <c r="P28" s="755"/>
      <c r="Q28" s="755"/>
      <c r="R28" s="755"/>
    </row>
    <row r="29" spans="1:19" x14ac:dyDescent="0.35">
      <c r="B29" s="755"/>
      <c r="C29" s="755"/>
      <c r="D29" s="755"/>
      <c r="E29" s="755"/>
      <c r="F29" s="755"/>
      <c r="G29" s="755"/>
      <c r="H29" s="755"/>
      <c r="I29" s="755"/>
      <c r="J29" s="755"/>
      <c r="K29" s="755"/>
      <c r="L29" s="755"/>
      <c r="M29" s="755"/>
      <c r="N29" s="755"/>
      <c r="O29" s="755"/>
      <c r="P29" s="755"/>
      <c r="Q29" s="755"/>
      <c r="R29" s="755"/>
    </row>
    <row r="30" spans="1:19" x14ac:dyDescent="0.35">
      <c r="B30" s="755"/>
      <c r="C30" s="755"/>
      <c r="D30" s="755"/>
      <c r="E30" s="755"/>
      <c r="F30" s="755"/>
      <c r="G30" s="755"/>
      <c r="H30" s="755"/>
      <c r="I30" s="755"/>
      <c r="J30" s="755"/>
      <c r="K30" s="755"/>
      <c r="L30" s="755"/>
      <c r="M30" s="755"/>
      <c r="N30" s="755"/>
      <c r="O30" s="755"/>
      <c r="P30" s="755"/>
      <c r="Q30" s="755"/>
      <c r="R30" s="755"/>
    </row>
    <row r="31" spans="1:19" x14ac:dyDescent="0.35">
      <c r="B31" s="399"/>
      <c r="C31" s="399"/>
      <c r="D31" s="399"/>
      <c r="E31" s="399"/>
      <c r="F31" s="399"/>
      <c r="G31" s="399"/>
      <c r="H31" s="399"/>
      <c r="I31" s="399"/>
      <c r="J31" s="399"/>
      <c r="K31" s="399"/>
      <c r="L31" s="399"/>
      <c r="M31" s="399"/>
      <c r="N31" s="399"/>
      <c r="O31" s="399"/>
      <c r="P31" s="399"/>
      <c r="Q31" s="399"/>
      <c r="R31" s="399"/>
    </row>
    <row r="32" spans="1:19" ht="15" customHeight="1" x14ac:dyDescent="0.35">
      <c r="B32" s="756" t="s">
        <v>3955</v>
      </c>
      <c r="C32" s="756"/>
      <c r="D32" s="756"/>
      <c r="E32" s="756"/>
      <c r="F32" s="756"/>
      <c r="G32" s="756"/>
      <c r="H32" s="756"/>
      <c r="I32" s="756"/>
      <c r="J32" s="756"/>
      <c r="K32" s="756"/>
      <c r="L32" s="756"/>
      <c r="M32" s="756"/>
      <c r="N32" s="756"/>
      <c r="O32" s="756"/>
      <c r="P32" s="756"/>
      <c r="Q32" s="756"/>
      <c r="R32" s="756"/>
    </row>
    <row r="33" spans="2:19" x14ac:dyDescent="0.35">
      <c r="B33" s="399"/>
      <c r="C33" s="399"/>
      <c r="D33" s="399"/>
      <c r="E33" s="399"/>
      <c r="F33" s="399"/>
      <c r="G33" s="399"/>
      <c r="H33" s="399"/>
      <c r="I33" s="399"/>
      <c r="J33" s="399"/>
      <c r="K33" s="399"/>
      <c r="L33" s="399"/>
      <c r="M33" s="399"/>
      <c r="N33" s="399"/>
      <c r="O33" s="399"/>
      <c r="P33" s="399"/>
      <c r="Q33" s="399"/>
      <c r="R33" s="399"/>
    </row>
    <row r="34" spans="2:19" ht="15" customHeight="1" x14ac:dyDescent="0.35">
      <c r="B34" s="755" t="s">
        <v>3956</v>
      </c>
      <c r="C34" s="755"/>
      <c r="D34" s="755"/>
      <c r="E34" s="755"/>
      <c r="F34" s="755"/>
      <c r="G34" s="755"/>
      <c r="H34" s="755"/>
      <c r="I34" s="755"/>
      <c r="J34" s="755"/>
      <c r="K34" s="755"/>
      <c r="L34" s="755"/>
      <c r="M34" s="755"/>
      <c r="N34" s="755"/>
      <c r="O34" s="755"/>
      <c r="P34" s="755"/>
      <c r="Q34" s="755"/>
      <c r="R34" s="755"/>
      <c r="S34" s="755"/>
    </row>
    <row r="35" spans="2:19" x14ac:dyDescent="0.35">
      <c r="B35" s="399"/>
      <c r="C35" s="399"/>
      <c r="D35" s="399"/>
      <c r="E35" s="399"/>
      <c r="F35" s="399"/>
      <c r="G35" s="399"/>
      <c r="H35" s="399"/>
      <c r="I35" s="399"/>
      <c r="J35" s="399"/>
      <c r="K35" s="399"/>
      <c r="L35" s="399"/>
      <c r="M35" s="399"/>
      <c r="N35" s="399"/>
      <c r="O35" s="399"/>
      <c r="P35" s="399"/>
      <c r="Q35" s="399"/>
      <c r="R35" s="399"/>
    </row>
    <row r="36" spans="2:19" ht="15" customHeight="1" x14ac:dyDescent="0.35">
      <c r="B36" s="755" t="s">
        <v>3977</v>
      </c>
      <c r="C36" s="755"/>
      <c r="D36" s="755"/>
      <c r="E36" s="755"/>
      <c r="F36" s="755"/>
      <c r="G36" s="755"/>
      <c r="H36" s="755"/>
      <c r="I36" s="755"/>
      <c r="J36" s="755"/>
      <c r="K36" s="755"/>
      <c r="L36" s="755"/>
      <c r="M36" s="755"/>
      <c r="N36" s="755"/>
      <c r="O36" s="755"/>
      <c r="P36" s="755"/>
      <c r="Q36" s="755"/>
      <c r="R36" s="755"/>
    </row>
    <row r="37" spans="2:19" x14ac:dyDescent="0.35">
      <c r="B37" s="755"/>
      <c r="C37" s="755"/>
      <c r="D37" s="755"/>
      <c r="E37" s="755"/>
      <c r="F37" s="755"/>
      <c r="G37" s="755"/>
      <c r="H37" s="755"/>
      <c r="I37" s="755"/>
      <c r="J37" s="755"/>
      <c r="K37" s="755"/>
      <c r="L37" s="755"/>
      <c r="M37" s="755"/>
      <c r="N37" s="755"/>
      <c r="O37" s="755"/>
      <c r="P37" s="755"/>
      <c r="Q37" s="755"/>
      <c r="R37" s="755"/>
    </row>
    <row r="38" spans="2:19" x14ac:dyDescent="0.35">
      <c r="B38" s="399"/>
      <c r="C38" s="399"/>
      <c r="D38" s="399"/>
      <c r="E38" s="399"/>
      <c r="F38" s="399"/>
      <c r="G38" s="399"/>
      <c r="H38" s="399"/>
      <c r="I38" s="399"/>
      <c r="J38" s="399"/>
      <c r="K38" s="399"/>
      <c r="L38" s="399"/>
      <c r="M38" s="399"/>
      <c r="N38" s="399"/>
      <c r="O38" s="399"/>
      <c r="P38" s="399"/>
      <c r="Q38" s="399"/>
      <c r="R38" s="399"/>
    </row>
    <row r="39" spans="2:19" ht="15" customHeight="1" x14ac:dyDescent="0.35">
      <c r="C39" s="755" t="s">
        <v>4061</v>
      </c>
      <c r="D39" s="755"/>
      <c r="E39" s="755"/>
      <c r="F39" s="755"/>
      <c r="G39" s="755"/>
      <c r="H39" s="755"/>
      <c r="I39" s="755"/>
      <c r="J39" s="755"/>
      <c r="K39" s="755"/>
      <c r="L39" s="755"/>
      <c r="M39" s="755"/>
      <c r="N39" s="755"/>
      <c r="O39" s="755"/>
      <c r="P39" s="755"/>
      <c r="Q39" s="755"/>
      <c r="R39" s="755"/>
    </row>
    <row r="40" spans="2:19" x14ac:dyDescent="0.35">
      <c r="B40" s="399"/>
      <c r="C40" s="399"/>
      <c r="D40" s="399"/>
      <c r="E40" s="399"/>
      <c r="F40" s="399"/>
      <c r="G40" s="399"/>
      <c r="H40" s="399"/>
      <c r="I40" s="399"/>
      <c r="J40" s="399"/>
      <c r="K40" s="399"/>
      <c r="L40" s="399"/>
      <c r="M40" s="399"/>
      <c r="N40" s="399"/>
      <c r="O40" s="399"/>
      <c r="P40" s="399"/>
      <c r="Q40" s="399"/>
      <c r="R40" s="399"/>
    </row>
    <row r="41" spans="2:19" ht="15" customHeight="1" x14ac:dyDescent="0.35">
      <c r="C41" s="755" t="s">
        <v>3958</v>
      </c>
      <c r="D41" s="755"/>
      <c r="E41" s="755"/>
      <c r="F41" s="755"/>
      <c r="G41" s="755"/>
      <c r="H41" s="755"/>
      <c r="I41" s="755"/>
      <c r="J41" s="755"/>
      <c r="K41" s="755"/>
      <c r="L41" s="755"/>
      <c r="M41" s="755"/>
      <c r="N41" s="755"/>
      <c r="O41" s="755"/>
      <c r="P41" s="755"/>
      <c r="Q41" s="755"/>
      <c r="R41" s="755"/>
    </row>
    <row r="42" spans="2:19" x14ac:dyDescent="0.35">
      <c r="B42" s="399"/>
      <c r="C42" s="755"/>
      <c r="D42" s="755"/>
      <c r="E42" s="755"/>
      <c r="F42" s="755"/>
      <c r="G42" s="755"/>
      <c r="H42" s="755"/>
      <c r="I42" s="755"/>
      <c r="J42" s="755"/>
      <c r="K42" s="755"/>
      <c r="L42" s="755"/>
      <c r="M42" s="755"/>
      <c r="N42" s="755"/>
      <c r="O42" s="755"/>
      <c r="P42" s="755"/>
      <c r="Q42" s="755"/>
      <c r="R42" s="755"/>
    </row>
    <row r="43" spans="2:19" x14ac:dyDescent="0.35">
      <c r="B43" s="399"/>
      <c r="C43" s="399"/>
      <c r="D43" s="399"/>
      <c r="E43" s="399"/>
      <c r="F43" s="399"/>
      <c r="G43" s="399"/>
      <c r="H43" s="399"/>
      <c r="I43" s="399"/>
      <c r="J43" s="399"/>
      <c r="K43" s="399"/>
      <c r="L43" s="399"/>
      <c r="M43" s="399"/>
      <c r="N43" s="399"/>
      <c r="O43" s="399"/>
      <c r="P43" s="399"/>
      <c r="Q43" s="399"/>
      <c r="R43" s="399"/>
    </row>
    <row r="44" spans="2:19" ht="15" customHeight="1" x14ac:dyDescent="0.35">
      <c r="B44" s="755" t="s">
        <v>4069</v>
      </c>
      <c r="C44" s="755"/>
      <c r="D44" s="755"/>
      <c r="E44" s="755"/>
      <c r="F44" s="755"/>
      <c r="G44" s="755"/>
      <c r="H44" s="755"/>
      <c r="I44" s="755"/>
      <c r="J44" s="755"/>
      <c r="K44" s="755"/>
      <c r="L44" s="755"/>
      <c r="M44" s="755"/>
      <c r="N44" s="755"/>
      <c r="O44" s="755"/>
      <c r="P44" s="755"/>
      <c r="Q44" s="755"/>
      <c r="R44" s="755"/>
      <c r="S44" s="755"/>
    </row>
    <row r="45" spans="2:19" x14ac:dyDescent="0.35">
      <c r="B45" s="399"/>
      <c r="C45" s="399"/>
      <c r="D45" s="399"/>
      <c r="E45" s="399"/>
      <c r="F45" s="399"/>
      <c r="G45" s="399"/>
      <c r="H45" s="399"/>
      <c r="I45" s="399"/>
      <c r="J45" s="399"/>
      <c r="K45" s="399"/>
      <c r="L45" s="399"/>
      <c r="M45" s="399"/>
      <c r="N45" s="399"/>
      <c r="O45" s="399"/>
      <c r="P45" s="399"/>
      <c r="Q45" s="399"/>
      <c r="R45" s="399"/>
    </row>
    <row r="46" spans="2:19" ht="15" customHeight="1" x14ac:dyDescent="0.35">
      <c r="B46" s="755" t="s">
        <v>3961</v>
      </c>
      <c r="C46" s="755"/>
      <c r="D46" s="755"/>
      <c r="E46" s="755"/>
      <c r="F46" s="755"/>
      <c r="G46" s="755"/>
      <c r="H46" s="755"/>
      <c r="I46" s="755"/>
      <c r="J46" s="755"/>
      <c r="K46" s="755"/>
      <c r="L46" s="755"/>
      <c r="M46" s="755"/>
      <c r="N46" s="755"/>
      <c r="O46" s="755"/>
      <c r="P46" s="755"/>
      <c r="Q46" s="755"/>
      <c r="R46" s="755"/>
    </row>
    <row r="47" spans="2:19" x14ac:dyDescent="0.35">
      <c r="B47" s="399"/>
      <c r="C47" s="399"/>
      <c r="D47" s="399"/>
      <c r="E47" s="399"/>
      <c r="F47" s="399"/>
      <c r="G47" s="399"/>
      <c r="H47" s="399"/>
      <c r="I47" s="399"/>
      <c r="J47" s="399"/>
      <c r="K47" s="399"/>
      <c r="L47" s="399"/>
      <c r="M47" s="399"/>
      <c r="N47" s="399"/>
      <c r="O47" s="399"/>
      <c r="P47" s="399"/>
      <c r="Q47" s="399"/>
      <c r="R47" s="399"/>
    </row>
    <row r="48" spans="2:19" ht="15" customHeight="1" x14ac:dyDescent="0.35">
      <c r="B48" s="755" t="s">
        <v>3960</v>
      </c>
      <c r="C48" s="755"/>
      <c r="D48" s="755"/>
      <c r="E48" s="755"/>
      <c r="F48" s="755"/>
      <c r="G48" s="755"/>
      <c r="H48" s="755"/>
      <c r="I48" s="755"/>
      <c r="J48" s="755"/>
      <c r="K48" s="755"/>
      <c r="L48" s="755"/>
      <c r="M48" s="755"/>
      <c r="N48" s="755"/>
      <c r="O48" s="755"/>
      <c r="P48" s="755"/>
      <c r="Q48" s="755"/>
      <c r="R48" s="755"/>
    </row>
    <row r="49" spans="2:19" ht="15" customHeight="1" x14ac:dyDescent="0.35">
      <c r="B49" s="761" t="s">
        <v>3959</v>
      </c>
      <c r="C49" s="761"/>
      <c r="D49" s="761"/>
      <c r="E49" s="761"/>
      <c r="F49" s="761"/>
      <c r="G49" s="761"/>
      <c r="H49" s="761"/>
      <c r="I49" s="761"/>
      <c r="J49" s="761"/>
      <c r="K49" s="761"/>
      <c r="L49" s="761"/>
      <c r="M49" s="761"/>
      <c r="N49" s="761"/>
      <c r="O49" s="761"/>
      <c r="P49" s="761"/>
      <c r="Q49" s="761"/>
      <c r="R49" s="761"/>
    </row>
    <row r="50" spans="2:19" x14ac:dyDescent="0.35">
      <c r="B50" s="399"/>
      <c r="C50" s="399"/>
      <c r="D50" s="399"/>
      <c r="E50" s="399"/>
      <c r="F50" s="399"/>
      <c r="G50" s="399"/>
      <c r="H50" s="399"/>
      <c r="I50" s="399"/>
      <c r="J50" s="399"/>
      <c r="K50" s="399"/>
      <c r="L50" s="399"/>
      <c r="M50" s="399"/>
      <c r="N50" s="399"/>
      <c r="O50" s="399"/>
      <c r="P50" s="399"/>
      <c r="Q50" s="399"/>
      <c r="R50" s="399"/>
    </row>
    <row r="51" spans="2:19" ht="15" customHeight="1" x14ac:dyDescent="0.35">
      <c r="B51" s="756" t="s">
        <v>3957</v>
      </c>
      <c r="C51" s="756"/>
      <c r="D51" s="756"/>
      <c r="E51" s="756"/>
      <c r="F51" s="756"/>
      <c r="G51" s="756"/>
      <c r="H51" s="756"/>
      <c r="I51" s="756"/>
      <c r="J51" s="756"/>
      <c r="K51" s="756"/>
      <c r="L51" s="756"/>
      <c r="M51" s="756"/>
      <c r="N51" s="756"/>
      <c r="O51" s="756"/>
      <c r="P51" s="756"/>
      <c r="Q51" s="756"/>
      <c r="R51" s="756"/>
    </row>
    <row r="53" spans="2:19" ht="15" customHeight="1" x14ac:dyDescent="0.35">
      <c r="B53" s="755" t="s">
        <v>3978</v>
      </c>
      <c r="C53" s="755"/>
      <c r="D53" s="755"/>
      <c r="E53" s="755"/>
      <c r="F53" s="755"/>
      <c r="G53" s="755"/>
      <c r="H53" s="755"/>
      <c r="I53" s="755"/>
      <c r="J53" s="755"/>
      <c r="K53" s="755"/>
      <c r="L53" s="755"/>
      <c r="M53" s="755"/>
      <c r="N53" s="755"/>
      <c r="O53" s="755"/>
      <c r="P53" s="755"/>
      <c r="Q53" s="755"/>
      <c r="R53" s="755"/>
    </row>
    <row r="54" spans="2:19" x14ac:dyDescent="0.35">
      <c r="B54" s="755"/>
      <c r="C54" s="755"/>
      <c r="D54" s="755"/>
      <c r="E54" s="755"/>
      <c r="F54" s="755"/>
      <c r="G54" s="755"/>
      <c r="H54" s="755"/>
      <c r="I54" s="755"/>
      <c r="J54" s="755"/>
      <c r="K54" s="755"/>
      <c r="L54" s="755"/>
      <c r="M54" s="755"/>
      <c r="N54" s="755"/>
      <c r="O54" s="755"/>
      <c r="P54" s="755"/>
      <c r="Q54" s="755"/>
      <c r="R54" s="755"/>
    </row>
    <row r="56" spans="2:19" ht="15" customHeight="1" x14ac:dyDescent="0.35">
      <c r="B56" s="755" t="s">
        <v>3963</v>
      </c>
      <c r="C56" s="755"/>
      <c r="D56" s="755"/>
      <c r="E56" s="755"/>
      <c r="F56" s="755"/>
      <c r="G56" s="755"/>
      <c r="H56" s="755"/>
      <c r="I56" s="755"/>
      <c r="J56" s="755"/>
      <c r="K56" s="755"/>
      <c r="L56" s="755"/>
      <c r="M56" s="755"/>
      <c r="N56" s="755"/>
      <c r="O56" s="755"/>
      <c r="P56" s="755"/>
      <c r="Q56" s="755"/>
      <c r="R56" s="755"/>
    </row>
    <row r="58" spans="2:19" ht="15" customHeight="1" x14ac:dyDescent="0.35">
      <c r="C58" s="755" t="s">
        <v>3964</v>
      </c>
      <c r="D58" s="755"/>
      <c r="E58" s="755"/>
      <c r="F58" s="755"/>
      <c r="G58" s="755"/>
      <c r="H58" s="755"/>
      <c r="I58" s="755"/>
      <c r="J58" s="755"/>
      <c r="K58" s="755"/>
      <c r="L58" s="755"/>
      <c r="M58" s="755"/>
      <c r="N58" s="755"/>
      <c r="O58" s="755"/>
      <c r="P58" s="755"/>
      <c r="Q58" s="755"/>
      <c r="R58" s="755"/>
    </row>
    <row r="60" spans="2:19" ht="15" customHeight="1" x14ac:dyDescent="0.35">
      <c r="C60" s="755" t="s">
        <v>3965</v>
      </c>
      <c r="D60" s="755"/>
      <c r="E60" s="755"/>
      <c r="F60" s="755"/>
      <c r="G60" s="755"/>
      <c r="H60" s="755"/>
      <c r="I60" s="755"/>
      <c r="J60" s="755"/>
      <c r="K60" s="755"/>
      <c r="L60" s="755"/>
      <c r="M60" s="755"/>
      <c r="N60" s="755"/>
      <c r="O60" s="755"/>
      <c r="P60" s="755"/>
      <c r="Q60" s="755"/>
      <c r="R60" s="755"/>
    </row>
    <row r="61" spans="2:19" ht="15" customHeight="1" x14ac:dyDescent="0.35">
      <c r="C61" s="755"/>
      <c r="D61" s="755"/>
      <c r="E61" s="755"/>
      <c r="F61" s="755"/>
      <c r="G61" s="755"/>
      <c r="H61" s="755"/>
      <c r="I61" s="755"/>
      <c r="J61" s="755"/>
      <c r="K61" s="755"/>
      <c r="L61" s="755"/>
      <c r="M61" s="755"/>
      <c r="N61" s="755"/>
      <c r="O61" s="755"/>
      <c r="P61" s="755"/>
      <c r="Q61" s="755"/>
      <c r="R61" s="755"/>
    </row>
    <row r="63" spans="2:19" ht="15" customHeight="1" x14ac:dyDescent="0.35">
      <c r="B63" s="755" t="s">
        <v>5801</v>
      </c>
      <c r="C63" s="755"/>
      <c r="D63" s="755"/>
      <c r="E63" s="755"/>
      <c r="F63" s="755"/>
      <c r="G63" s="755"/>
      <c r="H63" s="755"/>
      <c r="I63" s="755"/>
      <c r="J63" s="755"/>
      <c r="K63" s="755"/>
      <c r="L63" s="755"/>
      <c r="M63" s="755"/>
      <c r="N63" s="755"/>
      <c r="O63" s="755"/>
      <c r="P63" s="755"/>
      <c r="Q63" s="755"/>
      <c r="R63" s="755"/>
      <c r="S63" s="755"/>
    </row>
    <row r="65" spans="1:19" ht="15" customHeight="1" x14ac:dyDescent="0.35">
      <c r="B65" s="755" t="s">
        <v>5802</v>
      </c>
      <c r="C65" s="755"/>
      <c r="D65" s="755"/>
      <c r="E65" s="755"/>
      <c r="F65" s="755"/>
      <c r="G65" s="755"/>
      <c r="H65" s="755"/>
      <c r="I65" s="755"/>
      <c r="J65" s="755"/>
      <c r="K65" s="755"/>
      <c r="L65" s="755"/>
      <c r="M65" s="755"/>
      <c r="N65" s="755"/>
      <c r="O65" s="755"/>
      <c r="P65" s="755"/>
      <c r="Q65" s="755"/>
      <c r="R65" s="755"/>
      <c r="S65" s="755"/>
    </row>
    <row r="66" spans="1:19" ht="15" customHeight="1" x14ac:dyDescent="0.35">
      <c r="B66" s="399"/>
      <c r="C66" s="399"/>
      <c r="D66" s="399"/>
      <c r="E66" s="399"/>
      <c r="F66" s="399"/>
      <c r="G66" s="399"/>
      <c r="H66" s="399"/>
      <c r="I66" s="399"/>
      <c r="J66" s="399"/>
      <c r="K66" s="399"/>
      <c r="L66" s="399"/>
      <c r="M66" s="399"/>
      <c r="N66" s="399"/>
      <c r="O66" s="399"/>
      <c r="P66" s="399"/>
      <c r="Q66" s="399"/>
      <c r="R66" s="399"/>
      <c r="S66" s="399"/>
    </row>
    <row r="67" spans="1:19" ht="15" customHeight="1" x14ac:dyDescent="0.35">
      <c r="B67" s="756" t="s">
        <v>4821</v>
      </c>
      <c r="C67" s="756"/>
      <c r="D67" s="756"/>
      <c r="E67" s="399"/>
      <c r="F67" s="399"/>
      <c r="G67" s="399"/>
      <c r="H67" s="399"/>
      <c r="I67" s="399"/>
      <c r="J67" s="399"/>
      <c r="K67" s="399"/>
      <c r="L67" s="399"/>
      <c r="M67" s="399"/>
      <c r="N67" s="399"/>
      <c r="O67" s="399"/>
      <c r="P67" s="399"/>
      <c r="Q67" s="399"/>
      <c r="R67" s="399"/>
      <c r="S67" s="399"/>
    </row>
    <row r="68" spans="1:19" ht="15" customHeight="1" x14ac:dyDescent="0.35">
      <c r="B68" s="399"/>
      <c r="C68" s="399"/>
      <c r="D68" s="399"/>
      <c r="E68" s="399"/>
      <c r="F68" s="399"/>
      <c r="G68" s="399"/>
      <c r="H68" s="399"/>
      <c r="I68" s="399"/>
      <c r="J68" s="399"/>
      <c r="K68" s="399"/>
      <c r="L68" s="399"/>
      <c r="M68" s="399"/>
      <c r="N68" s="399"/>
      <c r="O68" s="399"/>
      <c r="P68" s="399"/>
      <c r="Q68" s="399"/>
      <c r="R68" s="399"/>
      <c r="S68" s="399"/>
    </row>
    <row r="69" spans="1:19" ht="15" customHeight="1" x14ac:dyDescent="0.35">
      <c r="B69" s="755" t="s">
        <v>4822</v>
      </c>
      <c r="C69" s="755"/>
      <c r="D69" s="755"/>
      <c r="E69" s="755"/>
      <c r="F69" s="755"/>
      <c r="G69" s="755"/>
      <c r="H69" s="755"/>
      <c r="I69" s="755"/>
      <c r="J69" s="755"/>
      <c r="K69" s="755"/>
      <c r="L69" s="755"/>
      <c r="M69" s="755"/>
      <c r="N69" s="755"/>
      <c r="O69" s="755"/>
      <c r="P69" s="755"/>
      <c r="Q69" s="755"/>
      <c r="R69" s="755"/>
      <c r="S69" s="755"/>
    </row>
    <row r="70" spans="1:19" ht="15" customHeight="1" x14ac:dyDescent="0.35">
      <c r="B70" s="755"/>
      <c r="C70" s="755"/>
      <c r="D70" s="755"/>
      <c r="E70" s="755"/>
      <c r="F70" s="755"/>
      <c r="G70" s="755"/>
      <c r="H70" s="755"/>
      <c r="I70" s="755"/>
      <c r="J70" s="755"/>
      <c r="K70" s="755"/>
      <c r="L70" s="755"/>
      <c r="M70" s="755"/>
      <c r="N70" s="755"/>
      <c r="O70" s="755"/>
      <c r="P70" s="755"/>
      <c r="Q70" s="755"/>
      <c r="R70" s="755"/>
      <c r="S70" s="755"/>
    </row>
    <row r="71" spans="1:19" ht="15" customHeight="1" x14ac:dyDescent="0.35">
      <c r="B71" s="399"/>
      <c r="C71" s="399"/>
      <c r="D71" s="399"/>
      <c r="E71" s="399"/>
      <c r="F71" s="399"/>
      <c r="G71" s="399"/>
      <c r="H71" s="399"/>
      <c r="I71" s="399"/>
      <c r="J71" s="399"/>
      <c r="K71" s="399"/>
      <c r="L71" s="399"/>
      <c r="M71" s="399"/>
      <c r="N71" s="399"/>
      <c r="O71" s="399"/>
      <c r="P71" s="399"/>
      <c r="Q71" s="399"/>
      <c r="R71" s="399"/>
      <c r="S71" s="399"/>
    </row>
    <row r="72" spans="1:19" ht="15" customHeight="1" x14ac:dyDescent="0.35">
      <c r="B72" s="755" t="s">
        <v>4820</v>
      </c>
      <c r="C72" s="755"/>
      <c r="D72" s="755"/>
      <c r="E72" s="755"/>
      <c r="F72" s="755"/>
      <c r="G72" s="755"/>
      <c r="H72" s="755"/>
      <c r="I72" s="755"/>
      <c r="J72" s="755"/>
      <c r="K72" s="755"/>
      <c r="L72" s="755"/>
      <c r="M72" s="755"/>
      <c r="N72" s="755"/>
      <c r="O72" s="755"/>
      <c r="P72" s="755"/>
      <c r="Q72" s="755"/>
      <c r="R72" s="755"/>
      <c r="S72" s="755"/>
    </row>
    <row r="73" spans="1:19" ht="15" customHeight="1" x14ac:dyDescent="0.35">
      <c r="B73" s="755"/>
      <c r="C73" s="755"/>
      <c r="D73" s="755"/>
      <c r="E73" s="755"/>
      <c r="F73" s="755"/>
      <c r="G73" s="755"/>
      <c r="H73" s="755"/>
      <c r="I73" s="755"/>
      <c r="J73" s="755"/>
      <c r="K73" s="755"/>
      <c r="L73" s="755"/>
      <c r="M73" s="755"/>
      <c r="N73" s="755"/>
      <c r="O73" s="755"/>
      <c r="P73" s="755"/>
      <c r="Q73" s="755"/>
      <c r="R73" s="755"/>
      <c r="S73" s="755"/>
    </row>
    <row r="74" spans="1:19" ht="15" customHeight="1" x14ac:dyDescent="0.35">
      <c r="B74" s="399"/>
      <c r="C74" s="399"/>
      <c r="D74" s="399"/>
      <c r="E74" s="399"/>
      <c r="F74" s="399"/>
      <c r="G74" s="399"/>
      <c r="H74" s="399"/>
      <c r="I74" s="399"/>
      <c r="J74" s="399"/>
      <c r="K74" s="399"/>
      <c r="L74" s="399"/>
      <c r="M74" s="399"/>
      <c r="N74" s="399"/>
      <c r="O74" s="399"/>
      <c r="P74" s="399"/>
      <c r="Q74" s="399"/>
      <c r="R74" s="399"/>
      <c r="S74" s="399"/>
    </row>
    <row r="75" spans="1:19" ht="15" customHeight="1" x14ac:dyDescent="0.35">
      <c r="B75" s="755" t="s">
        <v>5803</v>
      </c>
      <c r="C75" s="755"/>
      <c r="D75" s="755"/>
      <c r="E75" s="755"/>
      <c r="F75" s="755"/>
      <c r="G75" s="755"/>
      <c r="H75" s="755"/>
      <c r="I75" s="755"/>
      <c r="J75" s="755"/>
      <c r="K75" s="755"/>
      <c r="L75" s="755"/>
      <c r="M75" s="755"/>
      <c r="N75" s="755"/>
      <c r="O75" s="755"/>
      <c r="P75" s="755"/>
      <c r="Q75" s="755"/>
      <c r="R75" s="755"/>
      <c r="S75" s="755"/>
    </row>
    <row r="76" spans="1:19" ht="15" customHeight="1" x14ac:dyDescent="0.35">
      <c r="B76" s="399"/>
      <c r="C76" s="399"/>
      <c r="D76" s="399"/>
      <c r="E76" s="399"/>
      <c r="F76" s="399"/>
      <c r="G76" s="399"/>
      <c r="H76" s="399"/>
      <c r="I76" s="399"/>
      <c r="J76" s="399"/>
      <c r="K76" s="399"/>
      <c r="L76" s="399"/>
      <c r="M76" s="399"/>
      <c r="N76" s="399"/>
      <c r="O76" s="399"/>
      <c r="P76" s="399"/>
      <c r="Q76" s="399"/>
      <c r="R76" s="399"/>
      <c r="S76" s="399"/>
    </row>
    <row r="77" spans="1:19" ht="18.5" x14ac:dyDescent="0.45">
      <c r="A77" s="758" t="s">
        <v>4055</v>
      </c>
      <c r="B77" s="758"/>
      <c r="C77" s="758"/>
      <c r="D77" s="758"/>
      <c r="E77" s="758"/>
      <c r="F77" s="758"/>
      <c r="G77" s="758"/>
      <c r="H77" s="758"/>
      <c r="I77" s="758"/>
      <c r="J77" s="758"/>
      <c r="K77" s="758"/>
      <c r="L77" s="758"/>
      <c r="M77" s="758"/>
      <c r="N77" s="758"/>
      <c r="O77" s="758"/>
      <c r="P77" s="758"/>
      <c r="Q77" s="758"/>
      <c r="R77" s="758"/>
      <c r="S77" s="758"/>
    </row>
    <row r="79" spans="1:19" x14ac:dyDescent="0.35">
      <c r="B79" s="755" t="s">
        <v>4054</v>
      </c>
      <c r="C79" s="755"/>
      <c r="D79" s="755"/>
      <c r="E79" s="755"/>
      <c r="F79" s="755"/>
      <c r="G79" s="755"/>
      <c r="H79" s="755"/>
      <c r="I79" s="755"/>
      <c r="J79" s="755"/>
      <c r="K79" s="755"/>
      <c r="L79" s="755"/>
      <c r="M79" s="755"/>
      <c r="N79" s="755"/>
      <c r="O79" s="755"/>
      <c r="P79" s="755"/>
      <c r="Q79" s="755"/>
      <c r="R79" s="755"/>
      <c r="S79" s="755"/>
    </row>
    <row r="81" spans="1:19" ht="15" customHeight="1" x14ac:dyDescent="0.35">
      <c r="C81" s="755" t="s">
        <v>4092</v>
      </c>
      <c r="D81" s="755"/>
      <c r="E81" s="755"/>
      <c r="F81" s="755"/>
      <c r="G81" s="755"/>
      <c r="H81" s="755"/>
      <c r="I81" s="755"/>
      <c r="J81" s="755"/>
      <c r="K81" s="755"/>
      <c r="L81" s="755"/>
      <c r="M81" s="755"/>
      <c r="N81" s="755"/>
      <c r="O81" s="755"/>
      <c r="P81" s="755"/>
      <c r="Q81" s="755"/>
      <c r="R81" s="755"/>
      <c r="S81" s="399"/>
    </row>
    <row r="82" spans="1:19" ht="15" customHeight="1" x14ac:dyDescent="0.35">
      <c r="C82" s="755" t="s">
        <v>4086</v>
      </c>
      <c r="D82" s="755"/>
      <c r="E82" s="755"/>
      <c r="F82" s="755"/>
      <c r="G82" s="755"/>
      <c r="H82" s="755"/>
      <c r="I82" s="755"/>
      <c r="J82" s="755"/>
      <c r="K82" s="755"/>
      <c r="L82" s="755"/>
      <c r="M82" s="755"/>
      <c r="N82" s="755"/>
      <c r="O82" s="755"/>
      <c r="P82" s="755"/>
      <c r="Q82" s="755"/>
      <c r="R82" s="755"/>
      <c r="S82" s="399"/>
    </row>
    <row r="84" spans="1:19" ht="15" customHeight="1" x14ac:dyDescent="0.35">
      <c r="C84" s="755" t="s">
        <v>4056</v>
      </c>
      <c r="D84" s="755"/>
      <c r="E84" s="755"/>
      <c r="F84" s="755"/>
      <c r="G84" s="755"/>
      <c r="H84" s="755"/>
      <c r="I84" s="755"/>
      <c r="J84" s="755"/>
      <c r="K84" s="755"/>
      <c r="L84" s="755"/>
      <c r="M84" s="755"/>
      <c r="N84" s="755"/>
      <c r="O84" s="755"/>
      <c r="P84" s="755"/>
      <c r="Q84" s="755"/>
      <c r="R84" s="755"/>
      <c r="S84" s="399"/>
    </row>
    <row r="85" spans="1:19" ht="15" customHeight="1" x14ac:dyDescent="0.35">
      <c r="C85" s="399"/>
      <c r="D85" s="399"/>
      <c r="E85" s="399"/>
      <c r="F85" s="399"/>
      <c r="G85" s="399"/>
      <c r="H85" s="399"/>
      <c r="I85" s="399"/>
      <c r="J85" s="399"/>
      <c r="K85" s="399"/>
      <c r="L85" s="399"/>
      <c r="M85" s="399"/>
      <c r="N85" s="399"/>
      <c r="O85" s="399"/>
      <c r="P85" s="399"/>
      <c r="Q85" s="399"/>
      <c r="R85" s="399"/>
      <c r="S85" s="399"/>
    </row>
    <row r="86" spans="1:19" ht="15" customHeight="1" x14ac:dyDescent="0.35">
      <c r="B86" s="755" t="s">
        <v>4058</v>
      </c>
      <c r="C86" s="755"/>
      <c r="D86" s="755"/>
      <c r="E86" s="755"/>
      <c r="F86" s="755"/>
      <c r="G86" s="755"/>
      <c r="H86" s="755"/>
      <c r="I86" s="755"/>
      <c r="J86" s="755"/>
      <c r="K86" s="755"/>
      <c r="L86" s="755"/>
      <c r="M86" s="755"/>
      <c r="N86" s="755"/>
      <c r="O86" s="755"/>
      <c r="P86" s="755"/>
      <c r="Q86" s="755"/>
      <c r="R86" s="755"/>
      <c r="S86" s="755"/>
    </row>
    <row r="87" spans="1:19" ht="15" customHeight="1" x14ac:dyDescent="0.35">
      <c r="B87" s="755" t="s">
        <v>4057</v>
      </c>
      <c r="C87" s="755"/>
      <c r="D87" s="755"/>
      <c r="E87" s="755"/>
      <c r="F87" s="755"/>
      <c r="G87" s="755"/>
      <c r="H87" s="755"/>
      <c r="I87" s="755"/>
      <c r="J87" s="755"/>
      <c r="K87" s="755"/>
      <c r="L87" s="755"/>
      <c r="M87" s="755"/>
      <c r="N87" s="755"/>
      <c r="O87" s="755"/>
      <c r="P87" s="755"/>
      <c r="Q87" s="755"/>
      <c r="R87" s="755"/>
      <c r="S87" s="755"/>
    </row>
    <row r="88" spans="1:19" ht="15" customHeight="1" x14ac:dyDescent="0.35">
      <c r="B88" s="399"/>
      <c r="C88" s="399"/>
      <c r="D88" s="399"/>
      <c r="E88" s="399"/>
      <c r="F88" s="399"/>
      <c r="G88" s="399"/>
      <c r="H88" s="399"/>
      <c r="I88" s="399"/>
      <c r="J88" s="399"/>
      <c r="K88" s="399"/>
      <c r="L88" s="399"/>
      <c r="M88" s="399"/>
      <c r="N88" s="399"/>
      <c r="O88" s="399"/>
      <c r="P88" s="399"/>
      <c r="Q88" s="399"/>
      <c r="R88" s="399"/>
      <c r="S88" s="399"/>
    </row>
    <row r="89" spans="1:19" ht="15" customHeight="1" x14ac:dyDescent="0.35">
      <c r="B89" s="770" t="s">
        <v>4059</v>
      </c>
      <c r="C89" s="770"/>
      <c r="D89" s="770"/>
      <c r="E89" s="770"/>
      <c r="F89" s="770"/>
      <c r="G89" s="770"/>
      <c r="H89" s="770"/>
      <c r="I89" s="770"/>
      <c r="J89" s="770"/>
      <c r="K89" s="770"/>
      <c r="L89" s="770"/>
      <c r="M89" s="770"/>
      <c r="N89" s="770"/>
      <c r="O89" s="770"/>
      <c r="P89" s="770"/>
      <c r="Q89" s="770"/>
      <c r="R89" s="770"/>
      <c r="S89" s="770"/>
    </row>
    <row r="91" spans="1:19" ht="18.5" x14ac:dyDescent="0.45">
      <c r="A91" s="758" t="s">
        <v>243</v>
      </c>
      <c r="B91" s="758"/>
      <c r="C91" s="758"/>
      <c r="D91" s="758"/>
      <c r="E91" s="758"/>
      <c r="F91" s="758"/>
      <c r="G91" s="758"/>
      <c r="H91" s="758"/>
      <c r="I91" s="758"/>
      <c r="J91" s="758"/>
      <c r="K91" s="758"/>
      <c r="L91" s="758"/>
      <c r="M91" s="758"/>
      <c r="N91" s="758"/>
      <c r="O91" s="758"/>
      <c r="P91" s="758"/>
      <c r="Q91" s="758"/>
      <c r="R91" s="758"/>
      <c r="S91" s="758"/>
    </row>
    <row r="93" spans="1:19" x14ac:dyDescent="0.35">
      <c r="B93" s="385"/>
      <c r="C93" t="s">
        <v>3517</v>
      </c>
    </row>
    <row r="95" spans="1:19" x14ac:dyDescent="0.35">
      <c r="B95" s="386"/>
      <c r="C95" t="s">
        <v>3518</v>
      </c>
    </row>
    <row r="97" spans="1:19" x14ac:dyDescent="0.35">
      <c r="B97" s="387"/>
      <c r="C97" t="s">
        <v>3819</v>
      </c>
    </row>
    <row r="99" spans="1:19" x14ac:dyDescent="0.35">
      <c r="B99" s="388"/>
      <c r="C99" t="s">
        <v>3514</v>
      </c>
    </row>
    <row r="101" spans="1:19" x14ac:dyDescent="0.35">
      <c r="B101" s="389"/>
      <c r="C101" t="s">
        <v>3515</v>
      </c>
    </row>
    <row r="103" spans="1:19" x14ac:dyDescent="0.35">
      <c r="B103" s="390"/>
      <c r="C103" t="s">
        <v>3516</v>
      </c>
    </row>
    <row r="105" spans="1:19" ht="18.75" customHeight="1" x14ac:dyDescent="0.45">
      <c r="A105" s="757" t="s">
        <v>3954</v>
      </c>
      <c r="B105" s="757"/>
      <c r="C105" s="757"/>
      <c r="D105" s="757"/>
      <c r="E105" s="757"/>
      <c r="F105" s="757"/>
      <c r="G105" s="757"/>
      <c r="H105" s="757"/>
      <c r="I105" s="757"/>
      <c r="J105" s="757"/>
      <c r="K105" s="757"/>
      <c r="L105" s="757"/>
      <c r="M105" s="757"/>
      <c r="N105" s="757"/>
      <c r="O105" s="757"/>
      <c r="P105" s="757"/>
      <c r="Q105" s="757"/>
      <c r="R105" s="757"/>
      <c r="S105" s="757"/>
    </row>
  </sheetData>
  <sheetProtection algorithmName="SHA-512" hashValue="A5c81zM3MEGd1EeGz2BHkYEjR1ZQX/Hu8P3PTh6ClXUHw43v+C/mXfvsjmcfVF7Sse05KQXc0QYUDKLSkxMYUw==" saltValue="ZUhahGqQlXNcGeTdP7rDeQ==" spinCount="100000" sheet="1" objects="1" scenarios="1" selectLockedCells="1" autoFilter="0"/>
  <dataConsolidate link="1"/>
  <mergeCells count="48">
    <mergeCell ref="B87:S87"/>
    <mergeCell ref="B89:S89"/>
    <mergeCell ref="B86:S86"/>
    <mergeCell ref="A77:S77"/>
    <mergeCell ref="B79:S79"/>
    <mergeCell ref="C82:R82"/>
    <mergeCell ref="C84:R84"/>
    <mergeCell ref="C81:R81"/>
    <mergeCell ref="A1:C6"/>
    <mergeCell ref="D1:S3"/>
    <mergeCell ref="D4:S6"/>
    <mergeCell ref="A18:S18"/>
    <mergeCell ref="C7:D7"/>
    <mergeCell ref="E7:F7"/>
    <mergeCell ref="B14:R17"/>
    <mergeCell ref="A8:S8"/>
    <mergeCell ref="B9:R9"/>
    <mergeCell ref="B10:R10"/>
    <mergeCell ref="A11:S11"/>
    <mergeCell ref="A13:S13"/>
    <mergeCell ref="A105:S105"/>
    <mergeCell ref="A12:S12"/>
    <mergeCell ref="A19:S19"/>
    <mergeCell ref="A26:S26"/>
    <mergeCell ref="A91:S91"/>
    <mergeCell ref="B21:R21"/>
    <mergeCell ref="B23:R24"/>
    <mergeCell ref="B28:R30"/>
    <mergeCell ref="B32:R32"/>
    <mergeCell ref="B34:S34"/>
    <mergeCell ref="B51:R51"/>
    <mergeCell ref="B46:R46"/>
    <mergeCell ref="B36:R37"/>
    <mergeCell ref="C58:R58"/>
    <mergeCell ref="B48:R48"/>
    <mergeCell ref="B49:R49"/>
    <mergeCell ref="C39:R39"/>
    <mergeCell ref="C41:R42"/>
    <mergeCell ref="B53:R54"/>
    <mergeCell ref="B75:S75"/>
    <mergeCell ref="B69:S70"/>
    <mergeCell ref="B72:S73"/>
    <mergeCell ref="B67:D67"/>
    <mergeCell ref="B65:S65"/>
    <mergeCell ref="C60:R61"/>
    <mergeCell ref="B63:S63"/>
    <mergeCell ref="B56:R56"/>
    <mergeCell ref="B44:S44"/>
  </mergeCells>
  <hyperlinks>
    <hyperlink ref="A105" location="'Overview (Design)'!A1" display="CLICK HERE TO GET STARTED!" xr:uid="{00000000-0004-0000-0000-000000000000}"/>
    <hyperlink ref="B10:R10" r:id="rId1" display="Go to http://www.homeinnovation.com/greenscoring to download the latest version of the NGBS Scoring for New Construction spreadsheet." xr:uid="{00000000-0004-0000-0000-000001000000}"/>
    <hyperlink ref="B49" r:id="rId2" xr:uid="{00000000-0004-0000-0000-000002000000}"/>
  </hyperlinks>
  <pageMargins left="0.7" right="0.7" top="0.75" bottom="0.75" header="0.3" footer="0.3"/>
  <pageSetup scale="51" fitToHeight="0" orientation="portrait" r:id="rId3"/>
  <rowBreaks count="1" manualBreakCount="1">
    <brk id="76" max="16383"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F4EA8-A1D2-4D2C-845A-047C24E8DDD1}">
  <sheetPr codeName="Sheet26">
    <pageSetUpPr fitToPage="1"/>
  </sheetPr>
  <dimension ref="A1:J3118"/>
  <sheetViews>
    <sheetView showGridLines="0" zoomScaleNormal="100" workbookViewId="0">
      <pane ySplit="6" topLeftCell="A7" activePane="bottomLeft" state="frozen"/>
      <selection activeCell="S48" sqref="S48"/>
      <selection pane="bottomLeft" activeCell="S48" sqref="S48"/>
    </sheetView>
  </sheetViews>
  <sheetFormatPr defaultRowHeight="14.5" x14ac:dyDescent="0.35"/>
  <cols>
    <col min="1" max="1" width="3.7265625" style="366" bestFit="1" customWidth="1"/>
    <col min="2" max="3" width="3.7265625" customWidth="1"/>
    <col min="4" max="4" width="10.453125" style="616" customWidth="1"/>
    <col min="5" max="6" width="3.81640625" style="616" customWidth="1"/>
    <col min="7" max="7" width="71.7265625" customWidth="1"/>
    <col min="8" max="8" width="19.1796875" style="46" hidden="1" customWidth="1"/>
    <col min="9" max="9" width="3" style="46" hidden="1" customWidth="1"/>
    <col min="10" max="10" width="73.54296875" style="4" customWidth="1"/>
  </cols>
  <sheetData>
    <row r="1" spans="1:10" ht="15" customHeight="1" x14ac:dyDescent="0.35">
      <c r="A1" s="980" t="s">
        <v>3541</v>
      </c>
      <c r="B1" s="981" t="s">
        <v>4088</v>
      </c>
      <c r="C1" s="981" t="s">
        <v>4089</v>
      </c>
      <c r="D1" s="813"/>
      <c r="E1" s="813"/>
      <c r="F1" s="813"/>
      <c r="G1" s="813"/>
      <c r="J1" s="982" t="s">
        <v>5054</v>
      </c>
    </row>
    <row r="2" spans="1:10" x14ac:dyDescent="0.35">
      <c r="A2" s="980"/>
      <c r="B2" s="981"/>
      <c r="C2" s="981"/>
      <c r="D2" s="813"/>
      <c r="E2" s="813"/>
      <c r="F2" s="813"/>
      <c r="G2" s="813"/>
      <c r="J2" s="982"/>
    </row>
    <row r="3" spans="1:10" x14ac:dyDescent="0.35">
      <c r="A3" s="980"/>
      <c r="B3" s="981"/>
      <c r="C3" s="981"/>
      <c r="D3" s="813"/>
      <c r="E3" s="813"/>
      <c r="F3" s="813"/>
      <c r="G3" s="813"/>
      <c r="J3" s="982"/>
    </row>
    <row r="4" spans="1:10" x14ac:dyDescent="0.35">
      <c r="A4" s="980"/>
      <c r="B4" s="981"/>
      <c r="C4" s="981"/>
      <c r="D4" s="813"/>
      <c r="E4" s="813"/>
      <c r="F4" s="813"/>
      <c r="G4" s="813"/>
      <c r="J4" s="982"/>
    </row>
    <row r="5" spans="1:10" x14ac:dyDescent="0.35">
      <c r="A5" s="980"/>
      <c r="B5" s="981"/>
      <c r="C5" s="981"/>
      <c r="D5" s="813"/>
      <c r="E5" s="813"/>
      <c r="F5" s="813"/>
      <c r="G5" s="813"/>
      <c r="J5" s="982"/>
    </row>
    <row r="6" spans="1:10" ht="21" x14ac:dyDescent="0.5">
      <c r="A6" s="726" t="s">
        <v>4060</v>
      </c>
      <c r="G6" s="354" t="s">
        <v>3542</v>
      </c>
      <c r="J6" s="983"/>
    </row>
    <row r="7" spans="1:10" ht="18.5" x14ac:dyDescent="0.45">
      <c r="A7" s="366" t="s">
        <v>3973</v>
      </c>
      <c r="B7" t="str">
        <f>IF(LEN('Ch5'!H9)=0,"",'Ch5'!H9)</f>
        <v/>
      </c>
      <c r="C7" t="str">
        <f>IF(LEN(B7)=0,IF(A7="P","P",""),B7)</f>
        <v>P</v>
      </c>
      <c r="D7" s="617" t="s">
        <v>6087</v>
      </c>
      <c r="E7" s="617"/>
      <c r="F7" s="617"/>
      <c r="G7" s="601"/>
      <c r="H7" s="521"/>
      <c r="I7" s="15"/>
      <c r="J7" s="580"/>
    </row>
    <row r="8" spans="1:10" x14ac:dyDescent="0.35">
      <c r="B8" t="str">
        <f>IF(LEN('Ch5'!H10)=0,"",'Ch5'!H10)</f>
        <v/>
      </c>
      <c r="C8" t="str">
        <f t="shared" ref="C8:C71" si="0">IF(LEN(B8)=0,IF(A8="P","P",""),B8)</f>
        <v/>
      </c>
      <c r="D8" s="402" t="s">
        <v>254</v>
      </c>
      <c r="E8" s="402"/>
      <c r="F8" s="402"/>
      <c r="G8" s="838" t="s">
        <v>4114</v>
      </c>
      <c r="H8"/>
      <c r="J8" s="580"/>
    </row>
    <row r="9" spans="1:10" x14ac:dyDescent="0.35">
      <c r="B9" t="str">
        <f>IF(LEN('Ch5'!H11)=0,"",'Ch5'!H11)</f>
        <v/>
      </c>
      <c r="C9" t="str">
        <f t="shared" si="0"/>
        <v/>
      </c>
      <c r="D9" s="402"/>
      <c r="E9" s="402"/>
      <c r="F9" s="402"/>
      <c r="G9" s="838"/>
      <c r="H9"/>
      <c r="J9" s="580"/>
    </row>
    <row r="10" spans="1:10" x14ac:dyDescent="0.35">
      <c r="B10" t="str">
        <f>IF(LEN('Ch5'!H12)=0,"",'Ch5'!H12)</f>
        <v/>
      </c>
      <c r="C10" t="str">
        <f t="shared" si="0"/>
        <v/>
      </c>
      <c r="D10" s="402"/>
      <c r="E10" s="402"/>
      <c r="F10" s="402"/>
      <c r="G10" s="838"/>
      <c r="H10"/>
      <c r="J10" s="580"/>
    </row>
    <row r="11" spans="1:10" ht="18.5" x14ac:dyDescent="0.35">
      <c r="A11" s="366" t="s">
        <v>3973</v>
      </c>
      <c r="B11" t="str">
        <f>IF(LEN('Ch5'!H13)=0,"",'Ch5'!H13)</f>
        <v/>
      </c>
      <c r="C11" t="str">
        <f t="shared" si="0"/>
        <v>P</v>
      </c>
      <c r="D11" s="617" t="s">
        <v>736</v>
      </c>
      <c r="E11" s="617"/>
      <c r="F11" s="617"/>
      <c r="G11" s="602"/>
      <c r="H11"/>
      <c r="J11" s="580"/>
    </row>
    <row r="12" spans="1:10" ht="39" x14ac:dyDescent="0.35">
      <c r="A12" s="366" t="str">
        <f>IF(I12&gt;0,"P","")</f>
        <v>P</v>
      </c>
      <c r="B12" t="str">
        <f>IF(LEN('Ch5'!H14)=0,"",'Ch5'!H14)</f>
        <v/>
      </c>
      <c r="C12" t="str">
        <f t="shared" si="0"/>
        <v>P</v>
      </c>
      <c r="D12" s="402" t="s">
        <v>255</v>
      </c>
      <c r="E12" s="402"/>
      <c r="F12" s="402"/>
      <c r="G12" s="578" t="s">
        <v>4896</v>
      </c>
      <c r="H12"/>
      <c r="I12" s="46">
        <f>'Ch5'!O14</f>
        <v>10</v>
      </c>
      <c r="J12" s="592" t="s">
        <v>4901</v>
      </c>
    </row>
    <row r="13" spans="1:10" x14ac:dyDescent="0.35">
      <c r="B13" t="str">
        <f>IF(LEN('Ch5'!H15)=0,"",'Ch5'!H15)</f>
        <v/>
      </c>
      <c r="C13" t="str">
        <f t="shared" si="0"/>
        <v/>
      </c>
      <c r="D13" s="402"/>
      <c r="E13" s="416" t="s">
        <v>256</v>
      </c>
      <c r="F13" s="416"/>
      <c r="G13" s="579" t="s">
        <v>4897</v>
      </c>
      <c r="H13" s="400" t="str">
        <f>IF(LEN('Ch5'!W15)=0,"",'Ch5'!W15)</f>
        <v/>
      </c>
      <c r="J13" s="580"/>
    </row>
    <row r="14" spans="1:10" x14ac:dyDescent="0.35">
      <c r="A14" s="727" t="str">
        <f>IF(COUNTIF(A15:A17,"P")&gt;0,"P","")</f>
        <v>P</v>
      </c>
      <c r="B14" t="str">
        <f>IF(LEN('Ch5'!H16)=0,"",'Ch5'!H16)</f>
        <v/>
      </c>
      <c r="C14" t="str">
        <f t="shared" si="0"/>
        <v>P</v>
      </c>
      <c r="D14" s="402"/>
      <c r="E14" s="424" t="s">
        <v>258</v>
      </c>
      <c r="F14" s="402"/>
      <c r="G14" s="175" t="s">
        <v>4898</v>
      </c>
      <c r="H14"/>
      <c r="J14" s="580"/>
    </row>
    <row r="15" spans="1:10" x14ac:dyDescent="0.35">
      <c r="A15" s="366" t="str">
        <f>IF(AND(LEN(H15)&gt;0,NOT(H15=FALSE)),"P","")</f>
        <v>P</v>
      </c>
      <c r="B15" t="str">
        <f>IF(LEN('Ch5'!H17)=0,"",'Ch5'!H17)</f>
        <v/>
      </c>
      <c r="C15" t="str">
        <f t="shared" si="0"/>
        <v>P</v>
      </c>
      <c r="D15" s="402"/>
      <c r="F15" s="416" t="s">
        <v>121</v>
      </c>
      <c r="G15" s="228" t="s">
        <v>257</v>
      </c>
      <c r="H15" s="400" t="b">
        <f>IF(LEN('Ch5'!W17)=0,"",'Ch5'!W17)</f>
        <v>1</v>
      </c>
      <c r="J15" s="975" t="s">
        <v>4902</v>
      </c>
    </row>
    <row r="16" spans="1:10" x14ac:dyDescent="0.35">
      <c r="A16" s="366" t="str">
        <f>IF(AND(LEN(H16)&gt;0,NOT(H16=FALSE)),"P","")</f>
        <v/>
      </c>
      <c r="B16" t="str">
        <f>IF(LEN('Ch5'!H18)=0,"",'Ch5'!H18)</f>
        <v/>
      </c>
      <c r="C16" t="str">
        <f t="shared" si="0"/>
        <v/>
      </c>
      <c r="D16" s="402"/>
      <c r="F16" s="422" t="s">
        <v>122</v>
      </c>
      <c r="G16" s="228" t="s">
        <v>259</v>
      </c>
      <c r="H16" s="400" t="str">
        <f>IF(LEN('Ch5'!W18)=0,"",'Ch5'!W18)</f>
        <v/>
      </c>
      <c r="J16" s="979"/>
    </row>
    <row r="17" spans="1:10" ht="15" thickBot="1" x14ac:dyDescent="0.4">
      <c r="A17" s="366" t="str">
        <f>IF(AND(LEN(H17)&gt;0,NOT(H17=FALSE)),"P","")</f>
        <v/>
      </c>
      <c r="B17" t="str">
        <f>IF(LEN('Ch5'!H19)=0,"",'Ch5'!H19)</f>
        <v/>
      </c>
      <c r="C17" t="str">
        <f t="shared" si="0"/>
        <v/>
      </c>
      <c r="D17" s="407"/>
      <c r="E17" s="618"/>
      <c r="F17" s="421" t="s">
        <v>123</v>
      </c>
      <c r="G17" s="229" t="s">
        <v>261</v>
      </c>
      <c r="H17" s="400" t="str">
        <f>IF(LEN('Ch5'!W19)=0,"",'Ch5'!W19)</f>
        <v/>
      </c>
      <c r="J17" s="976"/>
    </row>
    <row r="18" spans="1:10" ht="15" thickTop="1" x14ac:dyDescent="0.35">
      <c r="A18" s="366" t="str">
        <f ca="1">IF(I18&gt;0,"P","")</f>
        <v/>
      </c>
      <c r="B18" t="str">
        <f>IF(LEN('Ch5'!H20)=0,"",'Ch5'!H20)</f>
        <v/>
      </c>
      <c r="C18" t="str">
        <f t="shared" ca="1" si="0"/>
        <v/>
      </c>
      <c r="D18" s="402" t="s">
        <v>264</v>
      </c>
      <c r="E18" s="402"/>
      <c r="F18" s="402"/>
      <c r="G18" s="838" t="s">
        <v>265</v>
      </c>
      <c r="H18"/>
      <c r="I18" s="433">
        <f ca="1">SUM(I20:I54)</f>
        <v>0</v>
      </c>
      <c r="J18" s="580"/>
    </row>
    <row r="19" spans="1:10" x14ac:dyDescent="0.35">
      <c r="A19" s="366" t="str">
        <f ca="1">A18</f>
        <v/>
      </c>
      <c r="B19" t="str">
        <f>IF(LEN('Ch5'!H21)=0,"",'Ch5'!H21)</f>
        <v/>
      </c>
      <c r="C19" t="str">
        <f t="shared" ca="1" si="0"/>
        <v/>
      </c>
      <c r="D19" s="402"/>
      <c r="E19" s="402"/>
      <c r="F19" s="402"/>
      <c r="G19" s="838"/>
      <c r="H19"/>
      <c r="J19" s="580"/>
    </row>
    <row r="20" spans="1:10" x14ac:dyDescent="0.35">
      <c r="A20" s="366" t="str">
        <f>IF(I20&gt;0,"P","")</f>
        <v/>
      </c>
      <c r="B20" t="str">
        <f>IF(LEN('Ch5'!H22)=0,"",'Ch5'!H22)</f>
        <v/>
      </c>
      <c r="C20" t="str">
        <f t="shared" si="0"/>
        <v/>
      </c>
      <c r="D20" s="402"/>
      <c r="E20" s="402" t="s">
        <v>256</v>
      </c>
      <c r="F20" s="402"/>
      <c r="G20" s="848" t="s">
        <v>266</v>
      </c>
      <c r="H20" s="400" t="str">
        <f>IF(LEN('Ch5'!W22)=0,"",'Ch5'!W22)</f>
        <v/>
      </c>
      <c r="I20" s="46">
        <f>'Ch5'!O22</f>
        <v>0</v>
      </c>
      <c r="J20" s="580" t="s">
        <v>4903</v>
      </c>
    </row>
    <row r="21" spans="1:10" x14ac:dyDescent="0.35">
      <c r="A21" s="366" t="str">
        <f>A20</f>
        <v/>
      </c>
      <c r="B21" t="str">
        <f>IF(LEN('Ch5'!H23)=0,"",'Ch5'!H23)</f>
        <v/>
      </c>
      <c r="C21" t="str">
        <f t="shared" si="0"/>
        <v/>
      </c>
      <c r="D21" s="402"/>
      <c r="E21" s="416"/>
      <c r="F21" s="416"/>
      <c r="G21" s="821"/>
      <c r="H21"/>
      <c r="J21" s="580"/>
    </row>
    <row r="22" spans="1:10" x14ac:dyDescent="0.35">
      <c r="A22" s="366" t="str">
        <f>IF(I22&gt;0,"P","")</f>
        <v/>
      </c>
      <c r="B22" t="str">
        <f>IF(LEN('Ch5'!H24)=0,"",'Ch5'!H24)</f>
        <v/>
      </c>
      <c r="C22" t="str">
        <f t="shared" si="0"/>
        <v/>
      </c>
      <c r="D22" s="402"/>
      <c r="E22" s="402" t="s">
        <v>258</v>
      </c>
      <c r="F22" s="402"/>
      <c r="G22" s="814" t="s">
        <v>267</v>
      </c>
      <c r="H22" s="400" t="str">
        <f>IF(LEN('Ch5'!W24)=0,"",'Ch5'!W24)</f>
        <v/>
      </c>
      <c r="I22" s="46">
        <f>'Ch5'!O24</f>
        <v>0</v>
      </c>
      <c r="J22" s="975" t="s">
        <v>4904</v>
      </c>
    </row>
    <row r="23" spans="1:10" x14ac:dyDescent="0.35">
      <c r="A23" s="366" t="str">
        <f>A22</f>
        <v/>
      </c>
      <c r="B23" t="str">
        <f>IF(LEN('Ch5'!H25)=0,"",'Ch5'!H25)</f>
        <v/>
      </c>
      <c r="C23" t="str">
        <f t="shared" si="0"/>
        <v/>
      </c>
      <c r="D23" s="402"/>
      <c r="E23" s="416"/>
      <c r="F23" s="416"/>
      <c r="G23" s="815"/>
      <c r="H23"/>
      <c r="J23" s="976"/>
    </row>
    <row r="24" spans="1:10" x14ac:dyDescent="0.35">
      <c r="A24" s="366" t="str">
        <f>IF(I24&gt;0,"P","")</f>
        <v/>
      </c>
      <c r="B24" t="str">
        <f>IF(LEN('Ch5'!H26)=0,"",'Ch5'!H26)</f>
        <v/>
      </c>
      <c r="C24" t="str">
        <f t="shared" si="0"/>
        <v/>
      </c>
      <c r="D24" s="402"/>
      <c r="E24" s="402" t="s">
        <v>260</v>
      </c>
      <c r="F24" s="402"/>
      <c r="G24" s="848" t="s">
        <v>268</v>
      </c>
      <c r="H24" s="400" t="str">
        <f>IF(LEN('Ch5'!W26)=0,"",'Ch5'!W26)</f>
        <v/>
      </c>
      <c r="I24" s="46">
        <f>'Ch5'!O26</f>
        <v>0</v>
      </c>
      <c r="J24" s="975" t="s">
        <v>4905</v>
      </c>
    </row>
    <row r="25" spans="1:10" x14ac:dyDescent="0.35">
      <c r="A25" s="366" t="str">
        <f>A24</f>
        <v/>
      </c>
      <c r="B25" t="str">
        <f>IF(LEN('Ch5'!H27)=0,"",'Ch5'!H27)</f>
        <v/>
      </c>
      <c r="C25" t="str">
        <f t="shared" si="0"/>
        <v/>
      </c>
      <c r="D25" s="402"/>
      <c r="E25" s="416"/>
      <c r="F25" s="416"/>
      <c r="G25" s="821"/>
      <c r="H25"/>
      <c r="J25" s="976"/>
    </row>
    <row r="26" spans="1:10" x14ac:dyDescent="0.35">
      <c r="A26" s="366" t="str">
        <f>IF(I26&gt;0,"P","")</f>
        <v/>
      </c>
      <c r="B26" t="str">
        <f>IF(LEN('Ch5'!H28)=0,"",'Ch5'!H28)</f>
        <v/>
      </c>
      <c r="C26" t="str">
        <f t="shared" si="0"/>
        <v/>
      </c>
      <c r="D26" s="402"/>
      <c r="E26" s="402" t="s">
        <v>269</v>
      </c>
      <c r="F26" s="402"/>
      <c r="G26" s="814" t="s">
        <v>270</v>
      </c>
      <c r="H26" s="400" t="str">
        <f>IF(LEN('Ch5'!W28)=0,"",'Ch5'!W28)</f>
        <v/>
      </c>
      <c r="I26" s="46">
        <f>'Ch5'!O28</f>
        <v>0</v>
      </c>
      <c r="J26" s="975" t="s">
        <v>4906</v>
      </c>
    </row>
    <row r="27" spans="1:10" x14ac:dyDescent="0.35">
      <c r="A27" s="366" t="str">
        <f>A26</f>
        <v/>
      </c>
      <c r="B27" t="str">
        <f>IF(LEN('Ch5'!H29)=0,"",'Ch5'!H29)</f>
        <v/>
      </c>
      <c r="C27" t="str">
        <f t="shared" si="0"/>
        <v/>
      </c>
      <c r="D27" s="402"/>
      <c r="E27" s="402"/>
      <c r="F27" s="402"/>
      <c r="G27" s="814"/>
      <c r="H27"/>
      <c r="J27" s="976"/>
    </row>
    <row r="28" spans="1:10" x14ac:dyDescent="0.35">
      <c r="A28" s="366" t="str">
        <f>A27</f>
        <v/>
      </c>
      <c r="B28" t="str">
        <f>IF(LEN('Ch5'!H30)=0,"",'Ch5'!H30)</f>
        <v/>
      </c>
      <c r="C28" t="str">
        <f t="shared" si="0"/>
        <v/>
      </c>
      <c r="D28" s="402"/>
      <c r="E28" s="402"/>
      <c r="F28" s="402"/>
      <c r="G28" s="814"/>
      <c r="H28"/>
      <c r="J28" s="580"/>
    </row>
    <row r="29" spans="1:10" x14ac:dyDescent="0.35">
      <c r="A29" s="366" t="str">
        <f>A28</f>
        <v/>
      </c>
      <c r="B29" t="str">
        <f>IF(LEN('Ch5'!H31)=0,"",'Ch5'!H31)</f>
        <v/>
      </c>
      <c r="C29" t="str">
        <f t="shared" si="0"/>
        <v/>
      </c>
      <c r="D29" s="402"/>
      <c r="E29" s="402"/>
      <c r="F29" s="402"/>
      <c r="G29" s="814"/>
      <c r="H29"/>
      <c r="J29" s="580"/>
    </row>
    <row r="30" spans="1:10" ht="15" customHeight="1" x14ac:dyDescent="0.35">
      <c r="B30" t="str">
        <f>IF(LEN('Ch5'!H32)=0,"",'Ch5'!H32)</f>
        <v/>
      </c>
      <c r="C30" t="str">
        <f t="shared" si="0"/>
        <v/>
      </c>
      <c r="D30" s="402"/>
      <c r="E30" s="402"/>
      <c r="F30" s="402"/>
      <c r="G30" s="90" t="s">
        <v>271</v>
      </c>
      <c r="H30"/>
      <c r="J30" s="580"/>
    </row>
    <row r="31" spans="1:10" x14ac:dyDescent="0.35">
      <c r="B31" t="str">
        <f>IF(LEN('Ch5'!H33)=0,"",'Ch5'!H33)</f>
        <v/>
      </c>
      <c r="C31" t="str">
        <f t="shared" si="0"/>
        <v/>
      </c>
      <c r="D31" s="402"/>
      <c r="E31" s="402"/>
      <c r="F31" s="402"/>
      <c r="G31" s="90" t="s">
        <v>272</v>
      </c>
      <c r="H31"/>
      <c r="J31" s="580"/>
    </row>
    <row r="32" spans="1:10" x14ac:dyDescent="0.35">
      <c r="B32" t="str">
        <f>IF(LEN('Ch5'!H34)=0,"",'Ch5'!H34)</f>
        <v/>
      </c>
      <c r="C32" t="str">
        <f t="shared" si="0"/>
        <v/>
      </c>
      <c r="D32" s="402"/>
      <c r="E32" s="402"/>
      <c r="F32" s="402"/>
      <c r="G32" s="90" t="s">
        <v>273</v>
      </c>
      <c r="H32"/>
      <c r="J32" s="580"/>
    </row>
    <row r="33" spans="1:10" x14ac:dyDescent="0.35">
      <c r="B33" t="str">
        <f>IF(LEN('Ch5'!H35)=0,"",'Ch5'!H35)</f>
        <v/>
      </c>
      <c r="C33" t="str">
        <f t="shared" si="0"/>
        <v/>
      </c>
      <c r="D33" s="402"/>
      <c r="E33" s="402"/>
      <c r="F33" s="402"/>
      <c r="G33" s="90" t="s">
        <v>274</v>
      </c>
      <c r="H33"/>
      <c r="J33" s="580"/>
    </row>
    <row r="34" spans="1:10" x14ac:dyDescent="0.35">
      <c r="B34" t="str">
        <f>IF(LEN('Ch5'!H36)=0,"",'Ch5'!H36)</f>
        <v/>
      </c>
      <c r="C34" t="str">
        <f t="shared" si="0"/>
        <v/>
      </c>
      <c r="D34" s="402"/>
      <c r="E34" s="416"/>
      <c r="F34" s="416"/>
      <c r="G34" s="603" t="s">
        <v>284</v>
      </c>
      <c r="H34"/>
      <c r="J34" s="580"/>
    </row>
    <row r="35" spans="1:10" x14ac:dyDescent="0.35">
      <c r="A35" s="366" t="str">
        <f ca="1">IF(I35&gt;0,"P","")</f>
        <v/>
      </c>
      <c r="B35" t="str">
        <f>IF(LEN('Ch5'!H37)=0,"",'Ch5'!H37)</f>
        <v/>
      </c>
      <c r="C35" t="str">
        <f t="shared" ca="1" si="0"/>
        <v/>
      </c>
      <c r="G35" s="866" t="s">
        <v>4115</v>
      </c>
      <c r="H35"/>
      <c r="I35" s="433">
        <f ca="1">SUM(I36)</f>
        <v>0</v>
      </c>
      <c r="J35" s="580"/>
    </row>
    <row r="36" spans="1:10" x14ac:dyDescent="0.35">
      <c r="A36" s="366" t="str">
        <f ca="1">IF(I36&gt;0,"P","")</f>
        <v/>
      </c>
      <c r="B36" t="str">
        <f>IF(LEN('Ch5'!H38)=0,"",'Ch5'!H38)</f>
        <v/>
      </c>
      <c r="C36" t="str">
        <f t="shared" ca="1" si="0"/>
        <v/>
      </c>
      <c r="G36" s="848"/>
      <c r="H36" s="400" t="str">
        <f>IF(LEN('Ch5'!W38)=0,"",'Ch5'!W38)</f>
        <v/>
      </c>
      <c r="I36" s="46">
        <f ca="1">'Ch5'!O38</f>
        <v>0</v>
      </c>
      <c r="J36" s="975" t="s">
        <v>4907</v>
      </c>
    </row>
    <row r="37" spans="1:10" x14ac:dyDescent="0.35">
      <c r="A37" s="366" t="str">
        <f ca="1">A36</f>
        <v/>
      </c>
      <c r="B37" t="str">
        <f>IF(LEN('Ch5'!H39)=0,"",'Ch5'!H39)</f>
        <v/>
      </c>
      <c r="C37" t="str">
        <f t="shared" ca="1" si="0"/>
        <v/>
      </c>
      <c r="G37" s="848"/>
      <c r="H37"/>
      <c r="J37" s="977"/>
    </row>
    <row r="38" spans="1:10" x14ac:dyDescent="0.35">
      <c r="A38" s="366" t="str">
        <f ca="1">A37</f>
        <v/>
      </c>
      <c r="B38" t="str">
        <f>IF(LEN('Ch5'!H40)=0,"",'Ch5'!H40)</f>
        <v/>
      </c>
      <c r="C38" t="str">
        <f t="shared" ca="1" si="0"/>
        <v/>
      </c>
      <c r="G38" s="848"/>
      <c r="H38"/>
      <c r="J38" s="977"/>
    </row>
    <row r="39" spans="1:10" x14ac:dyDescent="0.35">
      <c r="A39" s="366" t="str">
        <f ca="1">A38</f>
        <v/>
      </c>
      <c r="B39" t="str">
        <f>IF(LEN('Ch5'!H41)=0,"",'Ch5'!H41)</f>
        <v/>
      </c>
      <c r="C39" t="str">
        <f t="shared" ca="1" si="0"/>
        <v/>
      </c>
      <c r="F39" s="402" t="s">
        <v>121</v>
      </c>
      <c r="G39" s="470" t="s">
        <v>4116</v>
      </c>
      <c r="H39"/>
      <c r="J39" s="977"/>
    </row>
    <row r="40" spans="1:10" x14ac:dyDescent="0.35">
      <c r="A40" s="366" t="str">
        <f ca="1">A39</f>
        <v/>
      </c>
      <c r="B40" t="str">
        <f>IF(LEN('Ch5'!H42)=0,"",'Ch5'!H42)</f>
        <v/>
      </c>
      <c r="C40" t="str">
        <f t="shared" ca="1" si="0"/>
        <v/>
      </c>
      <c r="E40" s="619"/>
      <c r="F40" s="416" t="s">
        <v>122</v>
      </c>
      <c r="G40" s="477" t="s">
        <v>4117</v>
      </c>
      <c r="H40"/>
      <c r="J40" s="978"/>
    </row>
    <row r="41" spans="1:10" x14ac:dyDescent="0.35">
      <c r="A41" s="366" t="str">
        <f>IF(I41&gt;0,"P","")</f>
        <v/>
      </c>
      <c r="B41" t="str">
        <f>IF(LEN('Ch5'!H43)=0,"",'Ch5'!H43)</f>
        <v/>
      </c>
      <c r="C41" t="str">
        <f t="shared" si="0"/>
        <v/>
      </c>
      <c r="D41" s="402"/>
      <c r="E41" s="402" t="s">
        <v>275</v>
      </c>
      <c r="F41" s="402"/>
      <c r="G41" s="814" t="s">
        <v>276</v>
      </c>
      <c r="H41" s="400" t="str">
        <f>IF(LEN('Ch5'!W43)=0,"",'Ch5'!W43)</f>
        <v/>
      </c>
      <c r="I41" s="46">
        <f>'Ch5'!O43</f>
        <v>0</v>
      </c>
      <c r="J41" s="580" t="s">
        <v>3877</v>
      </c>
    </row>
    <row r="42" spans="1:10" x14ac:dyDescent="0.35">
      <c r="A42" s="366" t="str">
        <f>A41</f>
        <v/>
      </c>
      <c r="B42" t="str">
        <f>IF(LEN('Ch5'!H44)=0,"",'Ch5'!H44)</f>
        <v/>
      </c>
      <c r="C42" t="str">
        <f t="shared" si="0"/>
        <v/>
      </c>
      <c r="D42" s="402"/>
      <c r="E42" s="402"/>
      <c r="F42" s="402"/>
      <c r="G42" s="814"/>
      <c r="H42"/>
      <c r="J42" s="580"/>
    </row>
    <row r="43" spans="1:10" x14ac:dyDescent="0.35">
      <c r="A43" s="366" t="str">
        <f>A42</f>
        <v/>
      </c>
      <c r="B43" t="str">
        <f>IF(LEN('Ch5'!H45)=0,"",'Ch5'!H45)</f>
        <v/>
      </c>
      <c r="C43" t="str">
        <f t="shared" si="0"/>
        <v/>
      </c>
      <c r="D43" s="402"/>
      <c r="E43" s="416"/>
      <c r="F43" s="416"/>
      <c r="G43" s="815"/>
      <c r="H43"/>
      <c r="J43" s="580"/>
    </row>
    <row r="44" spans="1:10" x14ac:dyDescent="0.35">
      <c r="A44" s="366" t="str">
        <f ca="1">IF(I44&gt;0,"P","")</f>
        <v/>
      </c>
      <c r="B44" t="str">
        <f>IF(LEN('Ch5'!H46)=0,"",'Ch5'!H46)</f>
        <v/>
      </c>
      <c r="C44" t="str">
        <f t="shared" ca="1" si="0"/>
        <v/>
      </c>
      <c r="D44" s="402"/>
      <c r="E44" s="402" t="s">
        <v>277</v>
      </c>
      <c r="F44" s="402"/>
      <c r="G44" s="814" t="s">
        <v>278</v>
      </c>
      <c r="H44" s="400" t="str">
        <f>IF(LEN('Ch5'!W46)=0,"",'Ch5'!W46)</f>
        <v/>
      </c>
      <c r="I44" s="46">
        <f ca="1">'Ch5'!O46</f>
        <v>0</v>
      </c>
      <c r="J44" s="580" t="s">
        <v>4908</v>
      </c>
    </row>
    <row r="45" spans="1:10" x14ac:dyDescent="0.35">
      <c r="A45" s="366" t="str">
        <f ca="1">A44</f>
        <v/>
      </c>
      <c r="B45" t="str">
        <f>IF(LEN('Ch5'!H47)=0,"",'Ch5'!H47)</f>
        <v/>
      </c>
      <c r="C45" t="str">
        <f t="shared" ca="1" si="0"/>
        <v/>
      </c>
      <c r="D45" s="402"/>
      <c r="E45" s="402"/>
      <c r="F45" s="402"/>
      <c r="G45" s="814"/>
      <c r="H45"/>
      <c r="J45" s="580"/>
    </row>
    <row r="46" spans="1:10" x14ac:dyDescent="0.35">
      <c r="B46" t="str">
        <f>IF(LEN('Ch5'!H48)=0,"",'Ch5'!H48)</f>
        <v/>
      </c>
      <c r="C46" t="str">
        <f t="shared" si="0"/>
        <v/>
      </c>
      <c r="D46" s="402"/>
      <c r="E46" s="402"/>
      <c r="F46" s="402" t="s">
        <v>121</v>
      </c>
      <c r="G46" s="90" t="s">
        <v>279</v>
      </c>
      <c r="H46"/>
      <c r="J46" s="580"/>
    </row>
    <row r="47" spans="1:10" x14ac:dyDescent="0.35">
      <c r="B47" t="str">
        <f>IF(LEN('Ch5'!H49)=0,"",'Ch5'!H49)</f>
        <v/>
      </c>
      <c r="C47" t="str">
        <f t="shared" si="0"/>
        <v/>
      </c>
      <c r="D47" s="402"/>
      <c r="E47" s="402"/>
      <c r="F47" s="402" t="s">
        <v>122</v>
      </c>
      <c r="G47" s="90" t="s">
        <v>280</v>
      </c>
      <c r="H47"/>
      <c r="J47" s="580"/>
    </row>
    <row r="48" spans="1:10" x14ac:dyDescent="0.35">
      <c r="B48" t="str">
        <f>IF(LEN('Ch5'!H50)=0,"",'Ch5'!H50)</f>
        <v/>
      </c>
      <c r="C48" t="str">
        <f t="shared" si="0"/>
        <v/>
      </c>
      <c r="D48" s="402"/>
      <c r="E48" s="402"/>
      <c r="F48" s="417" t="s">
        <v>123</v>
      </c>
      <c r="G48" s="90" t="s">
        <v>281</v>
      </c>
      <c r="H48"/>
      <c r="J48" s="580"/>
    </row>
    <row r="49" spans="1:10" x14ac:dyDescent="0.35">
      <c r="B49" t="str">
        <f>IF(LEN('Ch5'!H51)=0,"",'Ch5'!H51)</f>
        <v/>
      </c>
      <c r="C49" t="str">
        <f t="shared" si="0"/>
        <v/>
      </c>
      <c r="F49" s="417" t="s">
        <v>401</v>
      </c>
      <c r="G49" s="825" t="s">
        <v>4118</v>
      </c>
      <c r="H49" s="400" t="str">
        <f>IF(LEN('Ch5'!W51)=0,"",'Ch5'!W51)</f>
        <v/>
      </c>
      <c r="I49" s="46">
        <f ca="1">'Ch5'!O51</f>
        <v>0</v>
      </c>
      <c r="J49" s="580"/>
    </row>
    <row r="50" spans="1:10" x14ac:dyDescent="0.35">
      <c r="B50" t="str">
        <f>IF(LEN('Ch5'!H52)=0,"",'Ch5'!H52)</f>
        <v/>
      </c>
      <c r="C50" t="str">
        <f t="shared" si="0"/>
        <v/>
      </c>
      <c r="G50" s="825"/>
      <c r="H50"/>
      <c r="J50" s="580"/>
    </row>
    <row r="51" spans="1:10" x14ac:dyDescent="0.35">
      <c r="A51" s="366" t="str">
        <f>IF(I51&gt;0,"P","")</f>
        <v/>
      </c>
      <c r="B51" t="str">
        <f>IF(LEN('Ch5'!H53)=0,"",'Ch5'!H53)</f>
        <v/>
      </c>
      <c r="C51" t="str">
        <f t="shared" si="0"/>
        <v/>
      </c>
      <c r="E51" s="424" t="s">
        <v>383</v>
      </c>
      <c r="F51" s="424"/>
      <c r="G51" s="828" t="s">
        <v>4120</v>
      </c>
      <c r="H51" s="400" t="str">
        <f>IF(LEN('Ch5'!W53)=0,"",'Ch5'!W53)</f>
        <v/>
      </c>
      <c r="I51" s="46">
        <f>'Ch5'!O53</f>
        <v>0</v>
      </c>
      <c r="J51" s="975" t="s">
        <v>4909</v>
      </c>
    </row>
    <row r="52" spans="1:10" x14ac:dyDescent="0.35">
      <c r="A52" s="366" t="str">
        <f>A51</f>
        <v/>
      </c>
      <c r="B52" t="str">
        <f>IF(LEN('Ch5'!H54)=0,"",'Ch5'!H54)</f>
        <v/>
      </c>
      <c r="C52" t="str">
        <f t="shared" si="0"/>
        <v/>
      </c>
      <c r="E52" s="402"/>
      <c r="F52" s="402"/>
      <c r="G52" s="825"/>
      <c r="H52"/>
      <c r="J52" s="976"/>
    </row>
    <row r="53" spans="1:10" x14ac:dyDescent="0.35">
      <c r="B53" t="str">
        <f>IF(LEN('Ch5'!H55)=0,"",'Ch5'!H55)</f>
        <v/>
      </c>
      <c r="C53" t="str">
        <f t="shared" si="0"/>
        <v/>
      </c>
      <c r="E53" s="416"/>
      <c r="F53" s="416"/>
      <c r="G53" s="603" t="s">
        <v>4123</v>
      </c>
      <c r="H53"/>
      <c r="J53" s="580"/>
    </row>
    <row r="54" spans="1:10" ht="52" x14ac:dyDescent="0.35">
      <c r="A54" s="366" t="str">
        <f>IF(I54&gt;0,"P","")</f>
        <v/>
      </c>
      <c r="B54" t="str">
        <f>IF(LEN('Ch5'!H56)=0,"",'Ch5'!H56)</f>
        <v/>
      </c>
      <c r="C54" t="str">
        <f t="shared" si="0"/>
        <v/>
      </c>
      <c r="E54" s="424" t="s">
        <v>428</v>
      </c>
      <c r="F54" s="424"/>
      <c r="G54" s="573" t="s">
        <v>4121</v>
      </c>
      <c r="H54" s="400" t="str">
        <f>IF(LEN('Ch5'!W56)=0,"",'Ch5'!W56)</f>
        <v/>
      </c>
      <c r="I54" s="46">
        <f>'Ch5'!O56</f>
        <v>0</v>
      </c>
      <c r="J54" s="580" t="s">
        <v>4910</v>
      </c>
    </row>
    <row r="55" spans="1:10" x14ac:dyDescent="0.35">
      <c r="B55" t="str">
        <f>IF(LEN('Ch5'!H57)=0,"",'Ch5'!H57)</f>
        <v/>
      </c>
      <c r="C55" t="str">
        <f t="shared" si="0"/>
        <v/>
      </c>
      <c r="E55" s="402"/>
      <c r="F55" s="402"/>
      <c r="G55" s="604" t="s">
        <v>4122</v>
      </c>
      <c r="H55"/>
      <c r="J55" s="580"/>
    </row>
    <row r="56" spans="1:10" ht="18.5" x14ac:dyDescent="0.35">
      <c r="A56" s="366" t="s">
        <v>3973</v>
      </c>
      <c r="B56" t="str">
        <f>IF(LEN('Ch5'!H58)=0,"",'Ch5'!H58)</f>
        <v/>
      </c>
      <c r="C56" t="str">
        <f t="shared" si="0"/>
        <v>P</v>
      </c>
      <c r="D56" s="620" t="s">
        <v>367</v>
      </c>
      <c r="E56" s="620"/>
      <c r="F56" s="620"/>
      <c r="G56" s="605"/>
      <c r="H56"/>
      <c r="J56" s="580"/>
    </row>
    <row r="57" spans="1:10" x14ac:dyDescent="0.35">
      <c r="A57" s="366" t="str">
        <f>IF(I57&gt;0,"P","")</f>
        <v/>
      </c>
      <c r="B57" t="str">
        <f>IF(LEN('Ch5'!H59)=0,"",'Ch5'!H59)</f>
        <v/>
      </c>
      <c r="C57" t="str">
        <f t="shared" si="0"/>
        <v/>
      </c>
      <c r="D57" s="31">
        <v>502.1</v>
      </c>
      <c r="E57" s="402"/>
      <c r="F57" s="402"/>
      <c r="G57" s="838" t="s">
        <v>369</v>
      </c>
      <c r="H57" s="400" t="str">
        <f>IF(LEN('Ch5'!W59)=0,"",'Ch5'!W59)</f>
        <v/>
      </c>
      <c r="I57" s="46">
        <f>'Ch5'!O59</f>
        <v>0</v>
      </c>
      <c r="J57" s="975" t="s">
        <v>4911</v>
      </c>
    </row>
    <row r="58" spans="1:10" x14ac:dyDescent="0.35">
      <c r="A58" s="366" t="str">
        <f>A57</f>
        <v/>
      </c>
      <c r="B58" t="str">
        <f>IF(LEN('Ch5'!H60)=0,"",'Ch5'!H60)</f>
        <v/>
      </c>
      <c r="C58" t="str">
        <f t="shared" si="0"/>
        <v/>
      </c>
      <c r="D58" s="402"/>
      <c r="E58" s="402"/>
      <c r="F58" s="402"/>
      <c r="G58" s="838"/>
      <c r="H58"/>
      <c r="J58" s="979"/>
    </row>
    <row r="59" spans="1:10" x14ac:dyDescent="0.35">
      <c r="A59" s="366" t="str">
        <f>A58</f>
        <v/>
      </c>
      <c r="B59" t="str">
        <f>IF(LEN('Ch5'!H61)=0,"",'Ch5'!H61)</f>
        <v/>
      </c>
      <c r="C59" t="str">
        <f t="shared" si="0"/>
        <v/>
      </c>
      <c r="D59" s="402"/>
      <c r="E59" s="402"/>
      <c r="F59" s="402"/>
      <c r="G59" s="838"/>
      <c r="H59"/>
      <c r="J59" s="979"/>
    </row>
    <row r="60" spans="1:10" x14ac:dyDescent="0.35">
      <c r="A60" s="366" t="str">
        <f>A59</f>
        <v/>
      </c>
      <c r="B60" t="str">
        <f>IF(LEN('Ch5'!H62)=0,"",'Ch5'!H62)</f>
        <v/>
      </c>
      <c r="C60" t="str">
        <f t="shared" si="0"/>
        <v/>
      </c>
      <c r="D60" s="402"/>
      <c r="E60" s="402"/>
      <c r="F60" s="402"/>
      <c r="G60" s="838"/>
      <c r="H60"/>
      <c r="J60" s="976"/>
    </row>
    <row r="61" spans="1:10" ht="18.5" x14ac:dyDescent="0.35">
      <c r="A61" s="366" t="s">
        <v>3973</v>
      </c>
      <c r="B61" t="str">
        <f>IF(LEN('Ch5'!H63)=0,"",'Ch5'!H63)</f>
        <v/>
      </c>
      <c r="C61" t="str">
        <f t="shared" si="0"/>
        <v>P</v>
      </c>
      <c r="D61" s="620" t="s">
        <v>371</v>
      </c>
      <c r="E61" s="617"/>
      <c r="F61" s="617"/>
      <c r="G61" s="602"/>
      <c r="H61"/>
      <c r="J61" s="580"/>
    </row>
    <row r="62" spans="1:10" x14ac:dyDescent="0.35">
      <c r="B62" t="str">
        <f>IF(LEN('Ch5'!H64)=0,"",'Ch5'!H64)</f>
        <v/>
      </c>
      <c r="C62" t="str">
        <f t="shared" si="0"/>
        <v/>
      </c>
      <c r="D62" s="402" t="s">
        <v>372</v>
      </c>
      <c r="E62" s="402"/>
      <c r="F62" s="402"/>
      <c r="G62" s="838" t="s">
        <v>373</v>
      </c>
      <c r="H62"/>
      <c r="J62" s="580"/>
    </row>
    <row r="63" spans="1:10" x14ac:dyDescent="0.35">
      <c r="B63" t="str">
        <f>IF(LEN('Ch5'!H65)=0,"",'Ch5'!H65)</f>
        <v/>
      </c>
      <c r="C63" t="str">
        <f t="shared" si="0"/>
        <v/>
      </c>
      <c r="D63" s="402"/>
      <c r="E63" s="402"/>
      <c r="F63" s="402"/>
      <c r="G63" s="838"/>
      <c r="H63"/>
      <c r="J63" s="580"/>
    </row>
    <row r="64" spans="1:10" x14ac:dyDescent="0.35">
      <c r="B64" t="str">
        <f>IF(LEN('Ch5'!H66)=0,"",'Ch5'!H66)</f>
        <v/>
      </c>
      <c r="C64" t="str">
        <f t="shared" si="0"/>
        <v/>
      </c>
      <c r="D64" s="402"/>
      <c r="E64" s="402"/>
      <c r="F64" s="402"/>
      <c r="G64" s="838"/>
      <c r="H64"/>
      <c r="J64" s="580"/>
    </row>
    <row r="65" spans="1:10" x14ac:dyDescent="0.35">
      <c r="B65" t="str">
        <f>IF(LEN('Ch5'!H67)=0,"",'Ch5'!H67)</f>
        <v/>
      </c>
      <c r="C65" t="str">
        <f t="shared" si="0"/>
        <v/>
      </c>
      <c r="D65" s="402"/>
      <c r="E65" s="402"/>
      <c r="F65" s="402"/>
      <c r="G65" s="838"/>
      <c r="H65"/>
      <c r="J65" s="580"/>
    </row>
    <row r="66" spans="1:10" ht="15" thickBot="1" x14ac:dyDescent="0.4">
      <c r="B66" t="str">
        <f>IF(LEN('Ch5'!H68)=0,"",'Ch5'!H68)</f>
        <v/>
      </c>
      <c r="C66" t="str">
        <f t="shared" si="0"/>
        <v/>
      </c>
      <c r="D66" s="407"/>
      <c r="E66" s="407"/>
      <c r="F66" s="407"/>
      <c r="G66" s="275" t="s">
        <v>374</v>
      </c>
      <c r="H66"/>
      <c r="J66" s="580"/>
    </row>
    <row r="67" spans="1:10" ht="15" customHeight="1" thickTop="1" x14ac:dyDescent="0.35">
      <c r="A67" s="366" t="str">
        <f>IF(I67&gt;0,"P","")</f>
        <v>P</v>
      </c>
      <c r="B67" t="str">
        <f>IF(LEN('Ch5'!H69)=0,"",'Ch5'!H69)</f>
        <v/>
      </c>
      <c r="C67" t="str">
        <f t="shared" si="0"/>
        <v>P</v>
      </c>
      <c r="D67" s="31">
        <v>503.1</v>
      </c>
      <c r="E67" s="172"/>
      <c r="F67" s="172"/>
      <c r="G67" s="172" t="s">
        <v>376</v>
      </c>
      <c r="H67"/>
      <c r="I67" s="433">
        <f>SUM(I68:I82)</f>
        <v>4</v>
      </c>
      <c r="J67" s="580" t="s">
        <v>3878</v>
      </c>
    </row>
    <row r="68" spans="1:10" x14ac:dyDescent="0.35">
      <c r="A68" s="366" t="str">
        <f>IF(I68&gt;0,"P","")</f>
        <v/>
      </c>
      <c r="B68" t="str">
        <f>IF(LEN('Ch5'!H70)=0,"",'Ch5'!H70)</f>
        <v/>
      </c>
      <c r="C68" t="str">
        <f t="shared" si="0"/>
        <v/>
      </c>
      <c r="D68" s="402"/>
      <c r="E68" s="402" t="s">
        <v>256</v>
      </c>
      <c r="F68" s="402"/>
      <c r="G68" s="821" t="s">
        <v>377</v>
      </c>
      <c r="H68" s="400" t="str">
        <f>IF(LEN('Ch5'!W70)=0,"",'Ch5'!W70)</f>
        <v/>
      </c>
      <c r="I68" s="46">
        <f>'Ch5'!O70</f>
        <v>0</v>
      </c>
      <c r="J68" s="975" t="s">
        <v>4912</v>
      </c>
    </row>
    <row r="69" spans="1:10" x14ac:dyDescent="0.35">
      <c r="A69" s="366" t="str">
        <f>A68</f>
        <v/>
      </c>
      <c r="B69" t="str">
        <f>IF(LEN('Ch5'!H71)=0,"",'Ch5'!H71)</f>
        <v/>
      </c>
      <c r="C69" t="str">
        <f t="shared" si="0"/>
        <v/>
      </c>
      <c r="D69" s="402"/>
      <c r="E69" s="416"/>
      <c r="F69" s="416"/>
      <c r="G69" s="821"/>
      <c r="H69"/>
      <c r="J69" s="976"/>
    </row>
    <row r="70" spans="1:10" x14ac:dyDescent="0.35">
      <c r="A70" s="366" t="str">
        <f>IF(I70&gt;0,"P","")</f>
        <v/>
      </c>
      <c r="B70" t="str">
        <f>IF(LEN('Ch5'!H72)=0,"",'Ch5'!H72)</f>
        <v/>
      </c>
      <c r="C70" t="str">
        <f t="shared" si="0"/>
        <v/>
      </c>
      <c r="D70" s="402"/>
      <c r="E70" s="402" t="s">
        <v>258</v>
      </c>
      <c r="F70" s="402"/>
      <c r="G70" s="814" t="s">
        <v>378</v>
      </c>
      <c r="H70" s="400" t="str">
        <f>IF(LEN('Ch5'!W72)=0,"",'Ch5'!W72)</f>
        <v/>
      </c>
      <c r="I70" s="46">
        <f>'Ch5'!O72</f>
        <v>0</v>
      </c>
      <c r="J70" s="975" t="s">
        <v>4913</v>
      </c>
    </row>
    <row r="71" spans="1:10" x14ac:dyDescent="0.35">
      <c r="A71" s="366" t="str">
        <f>A70</f>
        <v/>
      </c>
      <c r="B71" t="str">
        <f>IF(LEN('Ch5'!H73)=0,"",'Ch5'!H73)</f>
        <v/>
      </c>
      <c r="C71" t="str">
        <f t="shared" si="0"/>
        <v/>
      </c>
      <c r="D71" s="402"/>
      <c r="E71" s="416"/>
      <c r="F71" s="416"/>
      <c r="G71" s="815"/>
      <c r="H71"/>
      <c r="J71" s="976"/>
    </row>
    <row r="72" spans="1:10" x14ac:dyDescent="0.35">
      <c r="A72" s="366" t="str">
        <f>IF(I72&gt;0,"P","")</f>
        <v/>
      </c>
      <c r="B72" t="str">
        <f>IF(LEN('Ch5'!H74)=0,"",'Ch5'!H74)</f>
        <v/>
      </c>
      <c r="C72" t="str">
        <f t="shared" ref="C72:C135" si="1">IF(LEN(B72)=0,IF(A72="P","P",""),B72)</f>
        <v/>
      </c>
      <c r="D72" s="402"/>
      <c r="E72" s="402" t="s">
        <v>260</v>
      </c>
      <c r="F72" s="402"/>
      <c r="G72" s="814" t="s">
        <v>379</v>
      </c>
      <c r="H72" s="400" t="str">
        <f>IF(LEN('Ch5'!W74)=0,"",'Ch5'!W74)</f>
        <v/>
      </c>
      <c r="I72" s="46">
        <f>'Ch5'!O74</f>
        <v>0</v>
      </c>
      <c r="J72" s="975" t="s">
        <v>4914</v>
      </c>
    </row>
    <row r="73" spans="1:10" x14ac:dyDescent="0.35">
      <c r="A73" s="366" t="str">
        <f>A72</f>
        <v/>
      </c>
      <c r="B73" t="str">
        <f>IF(LEN('Ch5'!H75)=0,"",'Ch5'!H75)</f>
        <v/>
      </c>
      <c r="C73" t="str">
        <f t="shared" si="1"/>
        <v/>
      </c>
      <c r="D73" s="402"/>
      <c r="E73" s="416"/>
      <c r="F73" s="416"/>
      <c r="G73" s="815"/>
      <c r="H73"/>
      <c r="J73" s="976"/>
    </row>
    <row r="74" spans="1:10" x14ac:dyDescent="0.35">
      <c r="A74" s="366" t="str">
        <f>IF(I74&gt;0,"P","")</f>
        <v>P</v>
      </c>
      <c r="B74" t="str">
        <f>IF(LEN('Ch5'!H76)=0,"",'Ch5'!H76)</f>
        <v/>
      </c>
      <c r="C74" t="str">
        <f t="shared" si="1"/>
        <v>P</v>
      </c>
      <c r="D74" s="402"/>
      <c r="E74" s="402" t="s">
        <v>269</v>
      </c>
      <c r="F74" s="402"/>
      <c r="G74" s="820" t="s">
        <v>380</v>
      </c>
      <c r="H74" s="400" t="b">
        <f>IF(LEN('Ch5'!W76)=0,"",'Ch5'!W76)</f>
        <v>1</v>
      </c>
      <c r="I74" s="46">
        <f>'Ch5'!O76</f>
        <v>4</v>
      </c>
      <c r="J74" s="975" t="s">
        <v>4915</v>
      </c>
    </row>
    <row r="75" spans="1:10" x14ac:dyDescent="0.35">
      <c r="A75" s="366" t="str">
        <f>A74</f>
        <v>P</v>
      </c>
      <c r="B75" t="str">
        <f>IF(LEN('Ch5'!H77)=0,"",'Ch5'!H77)</f>
        <v/>
      </c>
      <c r="C75" t="str">
        <f t="shared" si="1"/>
        <v>P</v>
      </c>
      <c r="D75" s="402"/>
      <c r="E75" s="416"/>
      <c r="F75" s="416"/>
      <c r="G75" s="821"/>
      <c r="H75"/>
      <c r="J75" s="976"/>
    </row>
    <row r="76" spans="1:10" x14ac:dyDescent="0.35">
      <c r="A76" s="366" t="str">
        <f>IF(I76&gt;0,"P","")</f>
        <v/>
      </c>
      <c r="B76" t="str">
        <f>IF(LEN('Ch5'!H78)=0,"",'Ch5'!H78)</f>
        <v/>
      </c>
      <c r="C76" t="str">
        <f t="shared" si="1"/>
        <v/>
      </c>
      <c r="D76" s="402"/>
      <c r="E76" s="424" t="s">
        <v>275</v>
      </c>
      <c r="F76" s="424"/>
      <c r="G76" s="820" t="s">
        <v>381</v>
      </c>
      <c r="H76" s="400" t="str">
        <f>IF(LEN('Ch5'!W78)=0,"",'Ch5'!W78)</f>
        <v/>
      </c>
      <c r="I76" s="46">
        <f>'Ch5'!O78</f>
        <v>0</v>
      </c>
      <c r="J76" s="592" t="s">
        <v>3879</v>
      </c>
    </row>
    <row r="77" spans="1:10" x14ac:dyDescent="0.35">
      <c r="A77" s="366" t="str">
        <f>A76</f>
        <v/>
      </c>
      <c r="B77" t="str">
        <f>IF(LEN('Ch5'!H79)=0,"",'Ch5'!H79)</f>
        <v/>
      </c>
      <c r="C77" t="str">
        <f t="shared" si="1"/>
        <v/>
      </c>
      <c r="D77" s="402"/>
      <c r="E77" s="416"/>
      <c r="F77" s="416"/>
      <c r="G77" s="821"/>
      <c r="H77"/>
      <c r="J77" s="580"/>
    </row>
    <row r="78" spans="1:10" ht="15" customHeight="1" x14ac:dyDescent="0.35">
      <c r="A78" s="366" t="str">
        <f>IF(I78&gt;0,"P","")</f>
        <v/>
      </c>
      <c r="B78" t="str">
        <f>IF(LEN('Ch5'!H80)=0,"",'Ch5'!H80)</f>
        <v/>
      </c>
      <c r="C78" t="str">
        <f t="shared" si="1"/>
        <v/>
      </c>
      <c r="D78" s="402"/>
      <c r="E78" s="402" t="s">
        <v>277</v>
      </c>
      <c r="F78" s="402"/>
      <c r="G78" s="814" t="s">
        <v>382</v>
      </c>
      <c r="H78" s="400" t="str">
        <f>IF(LEN('Ch5'!W80)=0,"",'Ch5'!W80)</f>
        <v/>
      </c>
      <c r="I78" s="46">
        <f>'Ch5'!O80</f>
        <v>0</v>
      </c>
      <c r="J78" s="592" t="s">
        <v>3880</v>
      </c>
    </row>
    <row r="79" spans="1:10" x14ac:dyDescent="0.35">
      <c r="A79" s="366" t="str">
        <f>A78</f>
        <v/>
      </c>
      <c r="B79" t="str">
        <f>IF(LEN('Ch5'!H81)=0,"",'Ch5'!H81)</f>
        <v/>
      </c>
      <c r="C79" t="str">
        <f t="shared" si="1"/>
        <v/>
      </c>
      <c r="D79" s="402"/>
      <c r="E79" s="416"/>
      <c r="F79" s="416"/>
      <c r="G79" s="815"/>
      <c r="H79"/>
      <c r="J79" s="580"/>
    </row>
    <row r="80" spans="1:10" x14ac:dyDescent="0.35">
      <c r="A80" s="366" t="str">
        <f>IF(I80&gt;0,"P","")</f>
        <v/>
      </c>
      <c r="B80" t="str">
        <f>IF(LEN('Ch5'!H82)=0,"",'Ch5'!H82)</f>
        <v/>
      </c>
      <c r="C80" t="str">
        <f t="shared" si="1"/>
        <v/>
      </c>
      <c r="D80" s="402"/>
      <c r="E80" s="402" t="s">
        <v>383</v>
      </c>
      <c r="F80" s="402"/>
      <c r="G80" s="814" t="s">
        <v>384</v>
      </c>
      <c r="H80" s="400" t="str">
        <f>IF(LEN('Ch5'!W82)=0,"",'Ch5'!W82)</f>
        <v/>
      </c>
      <c r="I80" s="46">
        <f>'Ch5'!O82</f>
        <v>0</v>
      </c>
      <c r="J80" s="580" t="s">
        <v>3881</v>
      </c>
    </row>
    <row r="81" spans="1:10" x14ac:dyDescent="0.35">
      <c r="A81" s="366" t="str">
        <f>A80</f>
        <v/>
      </c>
      <c r="B81" t="str">
        <f>IF(LEN('Ch5'!H83)=0,"",'Ch5'!H83)</f>
        <v/>
      </c>
      <c r="C81" t="str">
        <f t="shared" si="1"/>
        <v/>
      </c>
      <c r="D81" s="402"/>
      <c r="E81" s="402"/>
      <c r="F81" s="402"/>
      <c r="G81" s="814"/>
      <c r="H81"/>
      <c r="J81" s="580"/>
    </row>
    <row r="82" spans="1:10" x14ac:dyDescent="0.35">
      <c r="A82" s="366" t="str">
        <f>IF(I82&gt;0,"P","")</f>
        <v/>
      </c>
      <c r="B82" t="str">
        <f>IF(LEN('Ch5'!H84)=0,"",'Ch5'!H84)</f>
        <v/>
      </c>
      <c r="C82" t="str">
        <f t="shared" si="1"/>
        <v/>
      </c>
      <c r="E82" s="424" t="s">
        <v>428</v>
      </c>
      <c r="F82" s="424"/>
      <c r="G82" s="828" t="s">
        <v>4124</v>
      </c>
      <c r="H82" s="400" t="str">
        <f>IF(LEN('Ch5'!W84)=0,"",'Ch5'!W84)</f>
        <v/>
      </c>
      <c r="I82" s="46">
        <f>'Ch5'!O84</f>
        <v>0</v>
      </c>
      <c r="J82" s="580" t="s">
        <v>4916</v>
      </c>
    </row>
    <row r="83" spans="1:10" x14ac:dyDescent="0.35">
      <c r="A83" s="366" t="str">
        <f>A82</f>
        <v/>
      </c>
      <c r="B83" t="str">
        <f>IF(LEN('Ch5'!H85)=0,"",'Ch5'!H85)</f>
        <v/>
      </c>
      <c r="C83" t="str">
        <f t="shared" si="1"/>
        <v/>
      </c>
      <c r="E83" s="402"/>
      <c r="F83" s="402"/>
      <c r="G83" s="825"/>
      <c r="H83"/>
      <c r="J83" s="580"/>
    </row>
    <row r="84" spans="1:10" x14ac:dyDescent="0.35">
      <c r="A84" s="366" t="str">
        <f>A83</f>
        <v/>
      </c>
      <c r="B84" t="str">
        <f>IF(LEN('Ch5'!H86)=0,"",'Ch5'!H86)</f>
        <v/>
      </c>
      <c r="C84" t="str">
        <f t="shared" si="1"/>
        <v/>
      </c>
      <c r="E84" s="402"/>
      <c r="F84" s="402"/>
      <c r="G84" s="825"/>
      <c r="H84"/>
      <c r="J84" s="580"/>
    </row>
    <row r="85" spans="1:10" x14ac:dyDescent="0.35">
      <c r="A85" s="366" t="str">
        <f>A84</f>
        <v/>
      </c>
      <c r="B85" t="str">
        <f>IF(LEN('Ch5'!H87)=0,"",'Ch5'!H87)</f>
        <v/>
      </c>
      <c r="C85" t="str">
        <f t="shared" si="1"/>
        <v/>
      </c>
      <c r="E85" s="402"/>
      <c r="F85" s="402"/>
      <c r="G85" s="825"/>
      <c r="H85"/>
      <c r="J85" s="580"/>
    </row>
    <row r="86" spans="1:10" ht="15" thickBot="1" x14ac:dyDescent="0.4">
      <c r="A86" s="366" t="str">
        <f>A85</f>
        <v/>
      </c>
      <c r="B86" t="str">
        <f>IF(LEN('Ch5'!H88)=0,"",'Ch5'!H88)</f>
        <v/>
      </c>
      <c r="C86" t="str">
        <f t="shared" si="1"/>
        <v/>
      </c>
      <c r="E86" s="407"/>
      <c r="F86" s="407"/>
      <c r="G86" s="826"/>
      <c r="H86"/>
      <c r="J86" s="580"/>
    </row>
    <row r="87" spans="1:10" ht="15" customHeight="1" thickTop="1" x14ac:dyDescent="0.35">
      <c r="A87" s="366" t="str">
        <f ca="1">IF(I87&gt;0,"P","")</f>
        <v/>
      </c>
      <c r="B87" t="str">
        <f>IF(LEN('Ch5'!H89)=0,"",'Ch5'!H89)</f>
        <v/>
      </c>
      <c r="C87" t="str">
        <f t="shared" ca="1" si="1"/>
        <v/>
      </c>
      <c r="D87" s="60">
        <v>503.2</v>
      </c>
      <c r="E87" s="414"/>
      <c r="F87" s="414"/>
      <c r="G87" s="274" t="s">
        <v>386</v>
      </c>
      <c r="H87"/>
      <c r="I87" s="433">
        <f ca="1">SUM(I89:I99)</f>
        <v>0</v>
      </c>
      <c r="J87" s="580"/>
    </row>
    <row r="88" spans="1:10" x14ac:dyDescent="0.35">
      <c r="B88" t="str">
        <f>IF(LEN('Ch5'!H90)=0,"",'Ch5'!H90)</f>
        <v/>
      </c>
      <c r="C88" t="str">
        <f t="shared" si="1"/>
        <v/>
      </c>
      <c r="D88" s="31"/>
      <c r="E88" s="402"/>
      <c r="F88" s="402"/>
      <c r="G88" s="604" t="s">
        <v>3379</v>
      </c>
      <c r="H88" s="400" t="str">
        <f>IF(LEN('Ch5'!W90)=0,"",'Ch5'!W90)</f>
        <v/>
      </c>
      <c r="J88" s="580"/>
    </row>
    <row r="89" spans="1:10" x14ac:dyDescent="0.35">
      <c r="A89" s="366" t="str">
        <f>IF(I89&gt;0,"P","")</f>
        <v/>
      </c>
      <c r="B89" t="str">
        <f>IF(LEN('Ch5'!H91)=0,"",'Ch5'!H91)</f>
        <v/>
      </c>
      <c r="C89" t="str">
        <f t="shared" si="1"/>
        <v/>
      </c>
      <c r="D89" s="402"/>
      <c r="E89" s="416" t="s">
        <v>256</v>
      </c>
      <c r="F89" s="416"/>
      <c r="G89" s="228" t="s">
        <v>387</v>
      </c>
      <c r="H89" s="400" t="str">
        <f>IF(LEN('Ch5'!W91)=0,"",'Ch5'!W91)</f>
        <v/>
      </c>
      <c r="I89" s="46">
        <f>'Ch5'!O91</f>
        <v>0</v>
      </c>
      <c r="J89" s="580" t="s">
        <v>3891</v>
      </c>
    </row>
    <row r="90" spans="1:10" x14ac:dyDescent="0.35">
      <c r="A90" s="366" t="str">
        <f>IF(I90&gt;0,"P","")</f>
        <v/>
      </c>
      <c r="B90" t="str">
        <f>IF(LEN('Ch5'!H92)=0,"",'Ch5'!H92)</f>
        <v/>
      </c>
      <c r="C90" t="str">
        <f t="shared" si="1"/>
        <v/>
      </c>
      <c r="D90" s="402"/>
      <c r="E90" s="402" t="s">
        <v>258</v>
      </c>
      <c r="F90" s="402"/>
      <c r="G90" s="814" t="s">
        <v>388</v>
      </c>
      <c r="H90" s="400" t="str">
        <f>IF(LEN('Ch5'!W92)=0,"",'Ch5'!W92)</f>
        <v/>
      </c>
      <c r="I90" s="46">
        <f>'Ch5'!O92</f>
        <v>0</v>
      </c>
      <c r="J90" s="975" t="s">
        <v>4917</v>
      </c>
    </row>
    <row r="91" spans="1:10" x14ac:dyDescent="0.35">
      <c r="A91" s="366" t="str">
        <f>A90</f>
        <v/>
      </c>
      <c r="B91" t="str">
        <f>IF(LEN('Ch5'!H93)=0,"",'Ch5'!H93)</f>
        <v/>
      </c>
      <c r="C91" t="str">
        <f t="shared" si="1"/>
        <v/>
      </c>
      <c r="D91" s="402"/>
      <c r="E91" s="416"/>
      <c r="F91" s="416"/>
      <c r="G91" s="815"/>
      <c r="H91"/>
      <c r="J91" s="976"/>
    </row>
    <row r="92" spans="1:10" x14ac:dyDescent="0.35">
      <c r="A92" s="366" t="str">
        <f ca="1">IF(I92&gt;0,"P","")</f>
        <v/>
      </c>
      <c r="B92" t="str">
        <f>IF(LEN('Ch5'!H94)=0,"",'Ch5'!H94)</f>
        <v/>
      </c>
      <c r="C92" t="str">
        <f t="shared" ca="1" si="1"/>
        <v/>
      </c>
      <c r="D92" s="402"/>
      <c r="E92" s="402" t="s">
        <v>260</v>
      </c>
      <c r="F92" s="402"/>
      <c r="G92" s="814" t="s">
        <v>389</v>
      </c>
      <c r="H92" s="400" t="str">
        <f>IF(LEN('Ch5'!W94)=0,"",'Ch5'!W94)</f>
        <v/>
      </c>
      <c r="I92" s="46">
        <f ca="1">'Ch5'!O94</f>
        <v>0</v>
      </c>
      <c r="J92" s="580" t="s">
        <v>3882</v>
      </c>
    </row>
    <row r="93" spans="1:10" x14ac:dyDescent="0.35">
      <c r="A93" s="366" t="str">
        <f ca="1">A92</f>
        <v/>
      </c>
      <c r="B93" t="str">
        <f>IF(LEN('Ch5'!H95)=0,"",'Ch5'!H95)</f>
        <v/>
      </c>
      <c r="C93" t="str">
        <f t="shared" ca="1" si="1"/>
        <v/>
      </c>
      <c r="D93" s="402"/>
      <c r="E93" s="402"/>
      <c r="F93" s="402"/>
      <c r="G93" s="814"/>
      <c r="H93"/>
      <c r="J93" s="580"/>
    </row>
    <row r="94" spans="1:10" x14ac:dyDescent="0.35">
      <c r="B94" t="str">
        <f>IF(LEN('Ch5'!H96)=0,"",'Ch5'!H96)</f>
        <v/>
      </c>
      <c r="C94" t="str">
        <f t="shared" si="1"/>
        <v/>
      </c>
      <c r="D94" s="402"/>
      <c r="E94" s="402"/>
      <c r="F94" s="402" t="s">
        <v>121</v>
      </c>
      <c r="G94" s="90" t="s">
        <v>766</v>
      </c>
      <c r="H94"/>
      <c r="J94" s="580"/>
    </row>
    <row r="95" spans="1:10" x14ac:dyDescent="0.35">
      <c r="B95" t="str">
        <f>IF(LEN('Ch5'!H97)=0,"",'Ch5'!H97)</f>
        <v/>
      </c>
      <c r="C95" t="str">
        <f t="shared" si="1"/>
        <v/>
      </c>
      <c r="D95" s="402"/>
      <c r="E95" s="402"/>
      <c r="F95" s="402" t="s">
        <v>122</v>
      </c>
      <c r="G95" s="90" t="s">
        <v>390</v>
      </c>
      <c r="H95"/>
      <c r="J95" s="580"/>
    </row>
    <row r="96" spans="1:10" x14ac:dyDescent="0.35">
      <c r="B96" t="str">
        <f>IF(LEN('Ch5'!H98)=0,"",'Ch5'!H98)</f>
        <v/>
      </c>
      <c r="C96" t="str">
        <f t="shared" si="1"/>
        <v/>
      </c>
      <c r="D96" s="402"/>
      <c r="E96" s="416"/>
      <c r="F96" s="420" t="s">
        <v>123</v>
      </c>
      <c r="G96" s="228" t="s">
        <v>391</v>
      </c>
      <c r="H96"/>
      <c r="J96" s="580"/>
    </row>
    <row r="97" spans="1:10" x14ac:dyDescent="0.35">
      <c r="A97" s="366" t="str">
        <f>IF(I97&gt;0,"P","")</f>
        <v/>
      </c>
      <c r="B97" t="str">
        <f>IF(LEN('Ch5'!H99)=0,"",'Ch5'!H99)</f>
        <v/>
      </c>
      <c r="C97" t="str">
        <f t="shared" si="1"/>
        <v/>
      </c>
      <c r="D97" s="402"/>
      <c r="E97" s="402" t="s">
        <v>269</v>
      </c>
      <c r="F97" s="402"/>
      <c r="G97" s="814" t="s">
        <v>392</v>
      </c>
      <c r="H97" s="400" t="str">
        <f>IF(LEN('Ch5'!W99)=0,"",'Ch5'!W99)</f>
        <v/>
      </c>
      <c r="I97" s="46">
        <f>'Ch5'!O99</f>
        <v>0</v>
      </c>
      <c r="J97" s="975" t="s">
        <v>4918</v>
      </c>
    </row>
    <row r="98" spans="1:10" x14ac:dyDescent="0.35">
      <c r="A98" s="366" t="str">
        <f>A97</f>
        <v/>
      </c>
      <c r="B98" t="str">
        <f>IF(LEN('Ch5'!H100)=0,"",'Ch5'!H100)</f>
        <v/>
      </c>
      <c r="C98" t="str">
        <f t="shared" si="1"/>
        <v/>
      </c>
      <c r="D98" s="402"/>
      <c r="E98" s="416"/>
      <c r="F98" s="416"/>
      <c r="G98" s="815"/>
      <c r="H98"/>
      <c r="J98" s="976"/>
    </row>
    <row r="99" spans="1:10" ht="15" thickBot="1" x14ac:dyDescent="0.4">
      <c r="A99" s="366" t="str">
        <f>IF(I99&gt;0,"P","")</f>
        <v/>
      </c>
      <c r="B99" t="str">
        <f>IF(LEN('Ch5'!H101)=0,"",'Ch5'!H101)</f>
        <v/>
      </c>
      <c r="C99" t="str">
        <f t="shared" si="1"/>
        <v/>
      </c>
      <c r="D99" s="407"/>
      <c r="E99" s="407" t="s">
        <v>275</v>
      </c>
      <c r="F99" s="407"/>
      <c r="G99" s="229" t="s">
        <v>393</v>
      </c>
      <c r="H99" s="400" t="str">
        <f>IF(LEN('Ch5'!W101)=0,"",'Ch5'!W101)</f>
        <v/>
      </c>
      <c r="I99" s="46">
        <f>'Ch5'!O101</f>
        <v>0</v>
      </c>
      <c r="J99" s="580" t="s">
        <v>3891</v>
      </c>
    </row>
    <row r="100" spans="1:10" ht="15" thickTop="1" x14ac:dyDescent="0.35">
      <c r="A100" s="366" t="str">
        <f>IF(I100&gt;0,"P","")</f>
        <v>P</v>
      </c>
      <c r="B100" t="str">
        <f>IF(LEN('Ch5'!H102)=0,"",'Ch5'!H102)</f>
        <v/>
      </c>
      <c r="C100" t="str">
        <f t="shared" si="1"/>
        <v>P</v>
      </c>
      <c r="D100" s="60">
        <v>503.3</v>
      </c>
      <c r="E100" s="414"/>
      <c r="F100" s="414"/>
      <c r="G100" s="837" t="s">
        <v>395</v>
      </c>
      <c r="H100"/>
      <c r="I100" s="433">
        <f>SUM(I103:I112)</f>
        <v>5</v>
      </c>
      <c r="J100" s="580"/>
    </row>
    <row r="101" spans="1:10" x14ac:dyDescent="0.35">
      <c r="A101" s="366" t="str">
        <f>A100</f>
        <v>P</v>
      </c>
      <c r="B101" t="str">
        <f>IF(LEN('Ch5'!H103)=0,"",'Ch5'!H103)</f>
        <v/>
      </c>
      <c r="C101" t="str">
        <f t="shared" si="1"/>
        <v>P</v>
      </c>
      <c r="D101" s="402"/>
      <c r="E101" s="402"/>
      <c r="F101" s="402"/>
      <c r="G101" s="838"/>
      <c r="H101"/>
      <c r="J101" s="580"/>
    </row>
    <row r="102" spans="1:10" x14ac:dyDescent="0.35">
      <c r="B102" t="str">
        <f>IF(LEN('Ch5'!H104)=0,"",'Ch5'!H104)</f>
        <v/>
      </c>
      <c r="C102" t="str">
        <f t="shared" si="1"/>
        <v/>
      </c>
      <c r="D102" s="402"/>
      <c r="E102" s="402"/>
      <c r="F102" s="402"/>
      <c r="G102" s="604" t="s">
        <v>767</v>
      </c>
      <c r="H102"/>
      <c r="J102" s="580"/>
    </row>
    <row r="103" spans="1:10" ht="54" customHeight="1" x14ac:dyDescent="0.35">
      <c r="A103" s="366" t="str">
        <f>IF(I103&gt;0,"P","")</f>
        <v/>
      </c>
      <c r="B103" t="str">
        <f>IF(LEN('Ch5'!H105)=0,"",'Ch5'!H105)</f>
        <v/>
      </c>
      <c r="C103" t="str">
        <f t="shared" si="1"/>
        <v/>
      </c>
      <c r="D103" s="402"/>
      <c r="E103" s="402" t="s">
        <v>256</v>
      </c>
      <c r="F103" s="402"/>
      <c r="G103" s="814" t="s">
        <v>5053</v>
      </c>
      <c r="H103" s="400" t="str">
        <f>IF(LEN('Ch5'!W105)=0,"",'Ch5'!W105)</f>
        <v/>
      </c>
      <c r="I103" s="46">
        <f>'Ch5'!O105</f>
        <v>0</v>
      </c>
      <c r="J103" s="975" t="s">
        <v>4919</v>
      </c>
    </row>
    <row r="104" spans="1:10" x14ac:dyDescent="0.35">
      <c r="A104" s="366" t="str">
        <f>A103</f>
        <v/>
      </c>
      <c r="B104" t="str">
        <f>IF(LEN('Ch5'!H106)=0,"",'Ch5'!H106)</f>
        <v/>
      </c>
      <c r="C104" t="str">
        <f t="shared" si="1"/>
        <v/>
      </c>
      <c r="D104" s="402"/>
      <c r="E104" s="416"/>
      <c r="F104" s="416"/>
      <c r="G104" s="815"/>
      <c r="H104"/>
      <c r="J104" s="976"/>
    </row>
    <row r="105" spans="1:10" x14ac:dyDescent="0.35">
      <c r="A105" s="366" t="str">
        <f>IF(I105&gt;0,"P","")</f>
        <v/>
      </c>
      <c r="B105" t="str">
        <f>IF(LEN('Ch5'!H107)=0,"",'Ch5'!H107)</f>
        <v/>
      </c>
      <c r="C105" t="str">
        <f t="shared" si="1"/>
        <v/>
      </c>
      <c r="D105" s="402"/>
      <c r="E105" s="402" t="s">
        <v>258</v>
      </c>
      <c r="F105" s="402"/>
      <c r="G105" s="814" t="s">
        <v>397</v>
      </c>
      <c r="H105"/>
      <c r="I105" s="46">
        <f>'Ch5'!O107</f>
        <v>0</v>
      </c>
      <c r="J105" s="580" t="s">
        <v>4920</v>
      </c>
    </row>
    <row r="106" spans="1:10" x14ac:dyDescent="0.35">
      <c r="A106" s="366" t="str">
        <f>A105</f>
        <v/>
      </c>
      <c r="B106" t="str">
        <f>IF(LEN('Ch5'!H108)=0,"",'Ch5'!H108)</f>
        <v/>
      </c>
      <c r="C106" t="str">
        <f t="shared" si="1"/>
        <v/>
      </c>
      <c r="D106" s="402"/>
      <c r="E106" s="402"/>
      <c r="F106" s="402"/>
      <c r="G106" s="814"/>
      <c r="H106"/>
      <c r="J106" s="580"/>
    </row>
    <row r="107" spans="1:10" x14ac:dyDescent="0.35">
      <c r="B107" t="str">
        <f>IF(LEN('Ch5'!H109)=0,"",'Ch5'!H109)</f>
        <v/>
      </c>
      <c r="C107" t="str">
        <f t="shared" si="1"/>
        <v/>
      </c>
      <c r="D107" s="402"/>
      <c r="E107" s="402"/>
      <c r="F107" s="402" t="s">
        <v>121</v>
      </c>
      <c r="G107" s="90" t="s">
        <v>398</v>
      </c>
      <c r="H107" s="400" t="str">
        <f>IF(LEN('Ch5'!W109)=0,"",'Ch5'!W109)</f>
        <v/>
      </c>
      <c r="J107" s="580"/>
    </row>
    <row r="108" spans="1:10" x14ac:dyDescent="0.35">
      <c r="B108" t="str">
        <f>IF(LEN('Ch5'!H110)=0,"",'Ch5'!H110)</f>
        <v/>
      </c>
      <c r="C108" t="str">
        <f t="shared" si="1"/>
        <v/>
      </c>
      <c r="D108" s="402"/>
      <c r="E108" s="402"/>
      <c r="F108" s="402" t="s">
        <v>122</v>
      </c>
      <c r="G108" s="814" t="s">
        <v>399</v>
      </c>
      <c r="H108" s="400" t="str">
        <f>IF(LEN('Ch5'!W110)=0,"",'Ch5'!W110)</f>
        <v/>
      </c>
      <c r="J108" s="580"/>
    </row>
    <row r="109" spans="1:10" x14ac:dyDescent="0.35">
      <c r="B109" t="str">
        <f>IF(LEN('Ch5'!H111)=0,"",'Ch5'!H111)</f>
        <v/>
      </c>
      <c r="C109" t="str">
        <f t="shared" si="1"/>
        <v/>
      </c>
      <c r="D109" s="402"/>
      <c r="E109" s="402"/>
      <c r="F109" s="402"/>
      <c r="G109" s="814"/>
      <c r="H109"/>
      <c r="J109" s="580"/>
    </row>
    <row r="110" spans="1:10" x14ac:dyDescent="0.35">
      <c r="B110" t="str">
        <f>IF(LEN('Ch5'!H112)=0,"",'Ch5'!H112)</f>
        <v/>
      </c>
      <c r="C110" t="str">
        <f t="shared" si="1"/>
        <v/>
      </c>
      <c r="D110" s="402"/>
      <c r="E110" s="402"/>
      <c r="F110" s="417" t="s">
        <v>123</v>
      </c>
      <c r="G110" s="90" t="s">
        <v>400</v>
      </c>
      <c r="H110" s="400" t="str">
        <f>IF(LEN('Ch5'!W112)=0,"",'Ch5'!W112)</f>
        <v/>
      </c>
      <c r="J110" s="580"/>
    </row>
    <row r="111" spans="1:10" x14ac:dyDescent="0.35">
      <c r="B111" t="str">
        <f>IF(LEN('Ch5'!H113)=0,"",'Ch5'!H113)</f>
        <v/>
      </c>
      <c r="C111" t="str">
        <f t="shared" si="1"/>
        <v/>
      </c>
      <c r="D111" s="402"/>
      <c r="E111" s="416"/>
      <c r="F111" s="420" t="s">
        <v>401</v>
      </c>
      <c r="G111" s="228" t="s">
        <v>402</v>
      </c>
      <c r="H111" s="400" t="str">
        <f>IF(LEN('Ch5'!W113)=0,"",'Ch5'!W113)</f>
        <v/>
      </c>
      <c r="J111" s="580"/>
    </row>
    <row r="112" spans="1:10" ht="15" thickBot="1" x14ac:dyDescent="0.4">
      <c r="A112" s="366" t="str">
        <f>IF(I112&gt;0,"P","")</f>
        <v>P</v>
      </c>
      <c r="B112" t="str">
        <f>IF(LEN('Ch5'!H114)=0,"",'Ch5'!H114)</f>
        <v/>
      </c>
      <c r="C112" t="str">
        <f t="shared" si="1"/>
        <v>P</v>
      </c>
      <c r="D112" s="407"/>
      <c r="E112" s="407" t="s">
        <v>260</v>
      </c>
      <c r="F112" s="407"/>
      <c r="G112" s="229" t="s">
        <v>403</v>
      </c>
      <c r="H112" s="400" t="b">
        <f>IF(LEN('Ch5'!W114)=0,"",'Ch5'!W114)</f>
        <v>1</v>
      </c>
      <c r="I112" s="46">
        <f>'Ch5'!O114</f>
        <v>5</v>
      </c>
      <c r="J112" s="580" t="s">
        <v>3883</v>
      </c>
    </row>
    <row r="113" spans="1:10" ht="15" thickTop="1" x14ac:dyDescent="0.35">
      <c r="A113" s="366" t="str">
        <f ca="1">IF(I113&gt;0,"P","")</f>
        <v>P</v>
      </c>
      <c r="B113" t="str">
        <f>IF(LEN('Ch5'!H115)=0,"",'Ch5'!H115)</f>
        <v/>
      </c>
      <c r="C113" t="str">
        <f t="shared" ca="1" si="1"/>
        <v>P</v>
      </c>
      <c r="D113" s="31">
        <v>503.4</v>
      </c>
      <c r="E113" s="402"/>
      <c r="F113" s="402"/>
      <c r="G113" s="837" t="s">
        <v>405</v>
      </c>
      <c r="H113"/>
      <c r="I113" s="433">
        <f ca="1">SUM(I120:I141)</f>
        <v>3</v>
      </c>
      <c r="J113" s="580" t="s">
        <v>4921</v>
      </c>
    </row>
    <row r="114" spans="1:10" x14ac:dyDescent="0.35">
      <c r="A114" s="366" t="str">
        <f ca="1">A113</f>
        <v>P</v>
      </c>
      <c r="B114" t="str">
        <f>IF(LEN('Ch5'!H116)=0,"",'Ch5'!H116)</f>
        <v/>
      </c>
      <c r="C114" t="str">
        <f t="shared" ca="1" si="1"/>
        <v>P</v>
      </c>
      <c r="D114" s="402"/>
      <c r="E114" s="402"/>
      <c r="F114" s="402"/>
      <c r="G114" s="838"/>
      <c r="H114"/>
      <c r="J114" s="580"/>
    </row>
    <row r="115" spans="1:10" x14ac:dyDescent="0.35">
      <c r="A115" s="366" t="str">
        <f ca="1">A114</f>
        <v>P</v>
      </c>
      <c r="B115" t="str">
        <f>IF(LEN('Ch5'!H117)=0,"",'Ch5'!H117)</f>
        <v/>
      </c>
      <c r="C115" t="str">
        <f t="shared" ca="1" si="1"/>
        <v>P</v>
      </c>
      <c r="D115" s="402"/>
      <c r="E115" s="402"/>
      <c r="F115" s="402"/>
      <c r="G115" s="838"/>
      <c r="H115"/>
      <c r="J115" s="580"/>
    </row>
    <row r="116" spans="1:10" x14ac:dyDescent="0.35">
      <c r="A116" s="366" t="str">
        <f ca="1">A115</f>
        <v>P</v>
      </c>
      <c r="B116" t="str">
        <f>IF(LEN('Ch5'!H118)=0,"",'Ch5'!H118)</f>
        <v/>
      </c>
      <c r="C116" t="str">
        <f t="shared" ca="1" si="1"/>
        <v>P</v>
      </c>
      <c r="D116" s="402"/>
      <c r="E116" s="402"/>
      <c r="F116" s="402"/>
      <c r="G116" s="838"/>
      <c r="H116"/>
      <c r="J116" s="580"/>
    </row>
    <row r="117" spans="1:10" x14ac:dyDescent="0.35">
      <c r="B117" t="str">
        <f>IF(LEN('Ch5'!H119)=0,"",'Ch5'!H119)</f>
        <v/>
      </c>
      <c r="C117" t="str">
        <f t="shared" si="1"/>
        <v/>
      </c>
      <c r="D117" s="402"/>
      <c r="E117" s="402"/>
      <c r="F117" s="402"/>
      <c r="G117" s="984" t="s">
        <v>2964</v>
      </c>
      <c r="H117"/>
      <c r="J117" s="580"/>
    </row>
    <row r="118" spans="1:10" x14ac:dyDescent="0.35">
      <c r="B118" t="str">
        <f>IF(LEN('Ch5'!H120)=0,"",'Ch5'!H120)</f>
        <v/>
      </c>
      <c r="C118" t="str">
        <f t="shared" si="1"/>
        <v/>
      </c>
      <c r="D118" s="402"/>
      <c r="E118" s="402"/>
      <c r="F118" s="402"/>
      <c r="G118" s="984"/>
      <c r="H118"/>
      <c r="J118" s="580"/>
    </row>
    <row r="119" spans="1:10" x14ac:dyDescent="0.35">
      <c r="B119" t="str">
        <f>IF(LEN('Ch5'!H121)=0,"",'Ch5'!H121)</f>
        <v/>
      </c>
      <c r="C119" t="str">
        <f t="shared" si="1"/>
        <v/>
      </c>
      <c r="D119" s="402"/>
      <c r="E119" s="402"/>
      <c r="F119" s="402"/>
      <c r="G119" s="984"/>
      <c r="H119"/>
      <c r="J119" s="580"/>
    </row>
    <row r="120" spans="1:10" x14ac:dyDescent="0.35">
      <c r="A120" s="366" t="str">
        <f>IF(I120&gt;0,"P","")</f>
        <v/>
      </c>
      <c r="B120" t="str">
        <f>IF(LEN('Ch5'!H122)=0,"",'Ch5'!H122)</f>
        <v/>
      </c>
      <c r="C120" t="str">
        <f t="shared" si="1"/>
        <v/>
      </c>
      <c r="D120" s="402"/>
      <c r="E120" s="402" t="s">
        <v>256</v>
      </c>
      <c r="F120" s="402"/>
      <c r="G120" s="814" t="s">
        <v>406</v>
      </c>
      <c r="H120" s="400" t="str">
        <f>IF(LEN('Ch5'!W122)=0,"",'Ch5'!W122)</f>
        <v/>
      </c>
      <c r="I120" s="46">
        <f>'Ch5'!O122</f>
        <v>0</v>
      </c>
      <c r="J120" s="975" t="s">
        <v>4922</v>
      </c>
    </row>
    <row r="121" spans="1:10" x14ac:dyDescent="0.35">
      <c r="A121" s="366" t="str">
        <f>A120</f>
        <v/>
      </c>
      <c r="B121" t="str">
        <f>IF(LEN('Ch5'!H123)=0,"",'Ch5'!H123)</f>
        <v/>
      </c>
      <c r="C121" t="str">
        <f t="shared" si="1"/>
        <v/>
      </c>
      <c r="D121" s="402"/>
      <c r="E121" s="402"/>
      <c r="F121" s="402"/>
      <c r="G121" s="814"/>
      <c r="H121"/>
      <c r="J121" s="979"/>
    </row>
    <row r="122" spans="1:10" x14ac:dyDescent="0.35">
      <c r="A122" s="366" t="str">
        <f>A121</f>
        <v/>
      </c>
      <c r="B122" t="str">
        <f>IF(LEN('Ch5'!H124)=0,"",'Ch5'!H124)</f>
        <v/>
      </c>
      <c r="C122" t="str">
        <f t="shared" si="1"/>
        <v/>
      </c>
      <c r="D122" s="402"/>
      <c r="E122" s="416"/>
      <c r="F122" s="416"/>
      <c r="G122" s="815"/>
      <c r="H122"/>
      <c r="J122" s="976"/>
    </row>
    <row r="123" spans="1:10" x14ac:dyDescent="0.35">
      <c r="A123" s="366" t="str">
        <f>IF(I123&gt;0,"P","")</f>
        <v/>
      </c>
      <c r="B123" t="str">
        <f>IF(LEN('Ch5'!H125)=0,"",'Ch5'!H125)</f>
        <v/>
      </c>
      <c r="C123" t="str">
        <f t="shared" si="1"/>
        <v/>
      </c>
      <c r="D123" s="402"/>
      <c r="E123" s="402" t="s">
        <v>258</v>
      </c>
      <c r="F123" s="402"/>
      <c r="G123" s="814" t="s">
        <v>407</v>
      </c>
      <c r="H123" s="400" t="str">
        <f>IF(LEN('Ch5'!W125)=0,"",'Ch5'!W125)</f>
        <v/>
      </c>
      <c r="I123" s="46">
        <f>'Ch5'!O125</f>
        <v>0</v>
      </c>
      <c r="J123" s="580" t="s">
        <v>3974</v>
      </c>
    </row>
    <row r="124" spans="1:10" x14ac:dyDescent="0.35">
      <c r="A124" s="366" t="str">
        <f>A123</f>
        <v/>
      </c>
      <c r="B124" t="str">
        <f>IF(LEN('Ch5'!H126)=0,"",'Ch5'!H126)</f>
        <v/>
      </c>
      <c r="C124" t="str">
        <f t="shared" si="1"/>
        <v/>
      </c>
      <c r="D124" s="402"/>
      <c r="E124" s="402"/>
      <c r="F124" s="402"/>
      <c r="G124" s="814"/>
      <c r="H124"/>
      <c r="J124" s="580"/>
    </row>
    <row r="125" spans="1:10" x14ac:dyDescent="0.35">
      <c r="A125" s="366" t="str">
        <f>A124</f>
        <v/>
      </c>
      <c r="B125" t="str">
        <f>IF(LEN('Ch5'!H127)=0,"",'Ch5'!H127)</f>
        <v/>
      </c>
      <c r="C125" t="str">
        <f t="shared" si="1"/>
        <v/>
      </c>
      <c r="D125" s="402"/>
      <c r="E125" s="402"/>
      <c r="F125" s="402"/>
      <c r="G125" s="814"/>
      <c r="H125"/>
      <c r="J125" s="580"/>
    </row>
    <row r="126" spans="1:10" x14ac:dyDescent="0.35">
      <c r="A126" s="366" t="str">
        <f>A125</f>
        <v/>
      </c>
      <c r="B126" t="str">
        <f>IF(LEN('Ch5'!H128)=0,"",'Ch5'!H128)</f>
        <v/>
      </c>
      <c r="C126" t="str">
        <f t="shared" si="1"/>
        <v/>
      </c>
      <c r="D126" s="402"/>
      <c r="E126" s="416"/>
      <c r="F126" s="416"/>
      <c r="G126" s="815"/>
      <c r="H126"/>
      <c r="J126" s="580"/>
    </row>
    <row r="127" spans="1:10" x14ac:dyDescent="0.35">
      <c r="A127" s="366" t="str">
        <f ca="1">IF(I127&gt;0,"P","")</f>
        <v/>
      </c>
      <c r="B127" t="str">
        <f>IF(LEN('Ch5'!H129)=0,"",'Ch5'!H129)</f>
        <v/>
      </c>
      <c r="C127" t="str">
        <f t="shared" ca="1" si="1"/>
        <v/>
      </c>
      <c r="D127" s="402"/>
      <c r="E127" s="402" t="s">
        <v>260</v>
      </c>
      <c r="F127" s="402"/>
      <c r="G127" s="814" t="s">
        <v>408</v>
      </c>
      <c r="H127" s="400" t="str">
        <f>IF(LEN('Ch5'!W129)=0,"",'Ch5'!W129)</f>
        <v/>
      </c>
      <c r="I127" s="46">
        <f ca="1">'Ch5'!O129</f>
        <v>0</v>
      </c>
      <c r="J127" s="975" t="s">
        <v>4923</v>
      </c>
    </row>
    <row r="128" spans="1:10" x14ac:dyDescent="0.35">
      <c r="A128" s="366" t="str">
        <f ca="1">A127</f>
        <v/>
      </c>
      <c r="B128" t="str">
        <f>IF(LEN('Ch5'!H130)=0,"",'Ch5'!H130)</f>
        <v/>
      </c>
      <c r="C128" t="str">
        <f t="shared" ca="1" si="1"/>
        <v/>
      </c>
      <c r="D128" s="402"/>
      <c r="E128" s="402"/>
      <c r="F128" s="402"/>
      <c r="G128" s="814"/>
      <c r="H128"/>
      <c r="J128" s="976"/>
    </row>
    <row r="129" spans="1:10" x14ac:dyDescent="0.35">
      <c r="A129" s="366" t="str">
        <f ca="1">A128</f>
        <v/>
      </c>
      <c r="B129" t="str">
        <f>IF(LEN('Ch5'!H131)=0,"",'Ch5'!H131)</f>
        <v/>
      </c>
      <c r="C129" t="str">
        <f t="shared" ca="1" si="1"/>
        <v/>
      </c>
      <c r="D129" s="402"/>
      <c r="E129" s="402"/>
      <c r="F129" s="402"/>
      <c r="G129" s="814"/>
      <c r="H129"/>
      <c r="J129" s="580"/>
    </row>
    <row r="130" spans="1:10" x14ac:dyDescent="0.35">
      <c r="A130" s="366" t="str">
        <f ca="1">A129</f>
        <v/>
      </c>
      <c r="B130" t="str">
        <f>IF(LEN('Ch5'!H132)=0,"",'Ch5'!H132)</f>
        <v/>
      </c>
      <c r="C130" t="str">
        <f t="shared" ca="1" si="1"/>
        <v/>
      </c>
      <c r="D130" s="402"/>
      <c r="E130" s="402"/>
      <c r="F130" s="402"/>
      <c r="G130" s="814"/>
      <c r="H130"/>
      <c r="J130" s="580"/>
    </row>
    <row r="131" spans="1:10" x14ac:dyDescent="0.35">
      <c r="B131" t="str">
        <f>IF(LEN('Ch5'!H133)=0,"",'Ch5'!H133)</f>
        <v/>
      </c>
      <c r="C131" t="str">
        <f t="shared" si="1"/>
        <v/>
      </c>
      <c r="D131" s="402"/>
      <c r="E131" s="402"/>
      <c r="F131" s="402" t="s">
        <v>121</v>
      </c>
      <c r="G131" s="90" t="s">
        <v>409</v>
      </c>
      <c r="H131"/>
      <c r="J131" s="580"/>
    </row>
    <row r="132" spans="1:10" x14ac:dyDescent="0.35">
      <c r="B132" t="str">
        <f>IF(LEN('Ch5'!H134)=0,"",'Ch5'!H134)</f>
        <v/>
      </c>
      <c r="C132" t="str">
        <f t="shared" si="1"/>
        <v/>
      </c>
      <c r="D132" s="402"/>
      <c r="E132" s="402"/>
      <c r="F132" s="402" t="s">
        <v>122</v>
      </c>
      <c r="G132" s="90" t="s">
        <v>410</v>
      </c>
      <c r="H132"/>
      <c r="J132" s="580"/>
    </row>
    <row r="133" spans="1:10" x14ac:dyDescent="0.35">
      <c r="B133" t="str">
        <f>IF(LEN('Ch5'!H135)=0,"",'Ch5'!H135)</f>
        <v/>
      </c>
      <c r="C133" t="str">
        <f t="shared" si="1"/>
        <v/>
      </c>
      <c r="D133" s="402"/>
      <c r="E133" s="416"/>
      <c r="F133" s="420" t="s">
        <v>123</v>
      </c>
      <c r="G133" s="228" t="s">
        <v>411</v>
      </c>
      <c r="H133"/>
      <c r="J133" s="580"/>
    </row>
    <row r="134" spans="1:10" x14ac:dyDescent="0.35">
      <c r="A134" s="366" t="str">
        <f ca="1">IF(I134&gt;0,"P","")</f>
        <v/>
      </c>
      <c r="B134" t="str">
        <f>IF(LEN('Ch5'!H136)=0,"",'Ch5'!H136)</f>
        <v/>
      </c>
      <c r="C134" t="str">
        <f t="shared" ca="1" si="1"/>
        <v/>
      </c>
      <c r="D134" s="402"/>
      <c r="E134" s="402" t="s">
        <v>269</v>
      </c>
      <c r="F134" s="417"/>
      <c r="G134" s="814" t="s">
        <v>412</v>
      </c>
      <c r="H134" s="400" t="str">
        <f>IF(LEN('Ch5'!W136)=0,"",'Ch5'!W136)</f>
        <v/>
      </c>
      <c r="I134" s="46">
        <f ca="1">'Ch5'!O136</f>
        <v>0</v>
      </c>
      <c r="J134" s="580" t="s">
        <v>3884</v>
      </c>
    </row>
    <row r="135" spans="1:10" x14ac:dyDescent="0.35">
      <c r="A135" s="366" t="str">
        <f ca="1">A134</f>
        <v/>
      </c>
      <c r="B135" t="str">
        <f>IF(LEN('Ch5'!H137)=0,"",'Ch5'!H137)</f>
        <v/>
      </c>
      <c r="C135" t="str">
        <f t="shared" ca="1" si="1"/>
        <v/>
      </c>
      <c r="D135" s="402"/>
      <c r="E135" s="402"/>
      <c r="F135" s="402"/>
      <c r="G135" s="814"/>
      <c r="H135"/>
      <c r="J135" s="580"/>
    </row>
    <row r="136" spans="1:10" x14ac:dyDescent="0.35">
      <c r="B136" t="str">
        <f>IF(LEN('Ch5'!H138)=0,"",'Ch5'!H138)</f>
        <v/>
      </c>
      <c r="C136" t="str">
        <f t="shared" ref="C136:C199" si="2">IF(LEN(B136)=0,IF(A136="P","P",""),B136)</f>
        <v/>
      </c>
      <c r="D136" s="402"/>
      <c r="E136" s="402"/>
      <c r="F136" s="402" t="s">
        <v>121</v>
      </c>
      <c r="G136" s="90" t="s">
        <v>4125</v>
      </c>
      <c r="H136"/>
      <c r="J136" s="580"/>
    </row>
    <row r="137" spans="1:10" x14ac:dyDescent="0.35">
      <c r="B137" t="str">
        <f>IF(LEN('Ch5'!H139)=0,"",'Ch5'!H139)</f>
        <v/>
      </c>
      <c r="C137" t="str">
        <f t="shared" si="2"/>
        <v/>
      </c>
      <c r="D137" s="402"/>
      <c r="E137" s="402"/>
      <c r="F137" s="402" t="s">
        <v>122</v>
      </c>
      <c r="G137" s="90" t="s">
        <v>4126</v>
      </c>
      <c r="H137"/>
      <c r="J137" s="580"/>
    </row>
    <row r="138" spans="1:10" x14ac:dyDescent="0.35">
      <c r="B138" t="str">
        <f>IF(LEN('Ch5'!H140)=0,"",'Ch5'!H140)</f>
        <v/>
      </c>
      <c r="C138" t="str">
        <f t="shared" si="2"/>
        <v/>
      </c>
      <c r="D138" s="402"/>
      <c r="E138" s="402"/>
      <c r="F138" s="417" t="s">
        <v>123</v>
      </c>
      <c r="G138" s="90" t="s">
        <v>4127</v>
      </c>
      <c r="H138"/>
      <c r="J138" s="580"/>
    </row>
    <row r="139" spans="1:10" x14ac:dyDescent="0.35">
      <c r="B139" t="str">
        <f>IF(LEN('Ch5'!H141)=0,"",'Ch5'!H141)</f>
        <v/>
      </c>
      <c r="C139" t="str">
        <f t="shared" si="2"/>
        <v/>
      </c>
      <c r="G139" s="848" t="s">
        <v>4128</v>
      </c>
      <c r="H139" s="400" t="str">
        <f>IF(LEN('Ch5'!W141)=0,"",'Ch5'!W141)</f>
        <v/>
      </c>
      <c r="I139" s="46">
        <f ca="1">'Ch5'!O141</f>
        <v>0</v>
      </c>
      <c r="J139" s="580"/>
    </row>
    <row r="140" spans="1:10" x14ac:dyDescent="0.35">
      <c r="B140" t="str">
        <f>IF(LEN('Ch5'!H142)=0,"",'Ch5'!H142)</f>
        <v/>
      </c>
      <c r="C140" t="str">
        <f t="shared" si="2"/>
        <v/>
      </c>
      <c r="E140" s="619"/>
      <c r="F140" s="619"/>
      <c r="G140" s="821"/>
      <c r="H140"/>
      <c r="J140" s="580"/>
    </row>
    <row r="141" spans="1:10" x14ac:dyDescent="0.35">
      <c r="A141" s="366" t="str">
        <f>IF(I141&gt;0,"P","")</f>
        <v>P</v>
      </c>
      <c r="B141" t="str">
        <f>IF(LEN('Ch5'!H143)=0,"",'Ch5'!H143)</f>
        <v/>
      </c>
      <c r="C141" t="str">
        <f t="shared" si="2"/>
        <v>P</v>
      </c>
      <c r="E141" s="402" t="s">
        <v>275</v>
      </c>
      <c r="F141" s="402"/>
      <c r="G141" s="825" t="s">
        <v>4129</v>
      </c>
      <c r="H141" s="400" t="b">
        <f>IF(LEN('Ch5'!W143)=0,"",'Ch5'!W143)</f>
        <v>1</v>
      </c>
      <c r="I141" s="46">
        <f>'Ch5'!O143</f>
        <v>3</v>
      </c>
      <c r="J141" s="580" t="s">
        <v>3891</v>
      </c>
    </row>
    <row r="142" spans="1:10" x14ac:dyDescent="0.35">
      <c r="A142" s="366" t="str">
        <f>A141</f>
        <v>P</v>
      </c>
      <c r="B142" t="str">
        <f>IF(LEN('Ch5'!H144)=0,"",'Ch5'!H144)</f>
        <v/>
      </c>
      <c r="C142" t="str">
        <f t="shared" si="2"/>
        <v>P</v>
      </c>
      <c r="E142" s="402"/>
      <c r="F142" s="402"/>
      <c r="G142" s="825"/>
      <c r="H142"/>
      <c r="J142" s="580"/>
    </row>
    <row r="143" spans="1:10" ht="15" thickBot="1" x14ac:dyDescent="0.4">
      <c r="A143" s="366" t="str">
        <f>A142</f>
        <v>P</v>
      </c>
      <c r="B143" t="str">
        <f>IF(LEN('Ch5'!H145)=0,"",'Ch5'!H145)</f>
        <v/>
      </c>
      <c r="C143" t="str">
        <f t="shared" si="2"/>
        <v>P</v>
      </c>
      <c r="E143" s="407"/>
      <c r="F143" s="407"/>
      <c r="G143" s="826"/>
      <c r="H143"/>
      <c r="J143" s="580"/>
    </row>
    <row r="144" spans="1:10" ht="15" thickTop="1" x14ac:dyDescent="0.35">
      <c r="A144" s="366" t="str">
        <f ca="1">IF(I144&gt;0,"P","")</f>
        <v>P</v>
      </c>
      <c r="B144" t="str">
        <f>IF(LEN('Ch5'!H146)=0,"",'Ch5'!H146)</f>
        <v/>
      </c>
      <c r="C144" t="str">
        <f t="shared" ca="1" si="2"/>
        <v>P</v>
      </c>
      <c r="D144" s="31">
        <v>503.5</v>
      </c>
      <c r="E144" s="402"/>
      <c r="F144" s="402"/>
      <c r="G144" s="838" t="s">
        <v>414</v>
      </c>
      <c r="H144"/>
      <c r="I144" s="433">
        <f ca="1">SUM(I148:I184)</f>
        <v>17</v>
      </c>
      <c r="J144" s="580" t="s">
        <v>4924</v>
      </c>
    </row>
    <row r="145" spans="1:10" x14ac:dyDescent="0.35">
      <c r="A145" s="366" t="str">
        <f ca="1">A144</f>
        <v>P</v>
      </c>
      <c r="B145" t="str">
        <f>IF(LEN('Ch5'!H147)=0,"",'Ch5'!H147)</f>
        <v/>
      </c>
      <c r="C145" t="str">
        <f t="shared" ca="1" si="2"/>
        <v>P</v>
      </c>
      <c r="D145" s="402"/>
      <c r="E145" s="402"/>
      <c r="F145" s="402"/>
      <c r="G145" s="838"/>
      <c r="H145"/>
      <c r="J145" s="580"/>
    </row>
    <row r="146" spans="1:10" x14ac:dyDescent="0.35">
      <c r="B146" t="str">
        <f>IF(LEN('Ch5'!H148)=0,"",'Ch5'!H148)</f>
        <v/>
      </c>
      <c r="C146" t="str">
        <f t="shared" si="2"/>
        <v/>
      </c>
      <c r="D146" s="402"/>
      <c r="E146" s="402"/>
      <c r="F146" s="402"/>
      <c r="G146" s="984" t="s">
        <v>4130</v>
      </c>
      <c r="H146" s="400" t="str">
        <f>IF(LEN('Ch5'!W148)=0,"",'Ch5'!W148)</f>
        <v>full</v>
      </c>
      <c r="J146" s="580"/>
    </row>
    <row r="147" spans="1:10" x14ac:dyDescent="0.35">
      <c r="B147" t="str">
        <f>IF(LEN('Ch5'!H149)=0,"",'Ch5'!H149)</f>
        <v/>
      </c>
      <c r="C147" t="str">
        <f t="shared" si="2"/>
        <v/>
      </c>
      <c r="D147" s="402"/>
      <c r="E147" s="402"/>
      <c r="F147" s="402"/>
      <c r="G147" s="984"/>
      <c r="H147"/>
      <c r="J147" s="580"/>
    </row>
    <row r="148" spans="1:10" x14ac:dyDescent="0.35">
      <c r="A148" s="366" t="str">
        <f ca="1">IF(I148&gt;0,"P","")</f>
        <v/>
      </c>
      <c r="B148" t="str">
        <f>IF(LEN('Ch5'!H150)=0,"",'Ch5'!H150)</f>
        <v/>
      </c>
      <c r="C148" t="str">
        <f t="shared" ca="1" si="2"/>
        <v/>
      </c>
      <c r="D148" s="402"/>
      <c r="E148" s="402" t="s">
        <v>256</v>
      </c>
      <c r="F148" s="402"/>
      <c r="G148" s="814" t="s">
        <v>415</v>
      </c>
      <c r="H148" s="400" t="str">
        <f>IF(LEN('Ch5'!W150)=0,"",'Ch5'!W150)</f>
        <v/>
      </c>
      <c r="I148" s="46">
        <f ca="1">'Ch5'!O150</f>
        <v>0</v>
      </c>
      <c r="J148" s="975" t="s">
        <v>3885</v>
      </c>
    </row>
    <row r="149" spans="1:10" x14ac:dyDescent="0.35">
      <c r="A149" s="366" t="str">
        <f ca="1">A148</f>
        <v/>
      </c>
      <c r="B149" t="str">
        <f>IF(LEN('Ch5'!H151)=0,"",'Ch5'!H151)</f>
        <v/>
      </c>
      <c r="C149" t="str">
        <f t="shared" ca="1" si="2"/>
        <v/>
      </c>
      <c r="D149" s="402"/>
      <c r="E149" s="402"/>
      <c r="F149" s="402"/>
      <c r="G149" s="814"/>
      <c r="H149"/>
      <c r="J149" s="976"/>
    </row>
    <row r="150" spans="1:10" x14ac:dyDescent="0.35">
      <c r="B150" t="str">
        <f>IF(LEN('Ch5'!H152)=0,"",'Ch5'!H152)</f>
        <v/>
      </c>
      <c r="C150" t="str">
        <f t="shared" si="2"/>
        <v/>
      </c>
      <c r="D150" s="402"/>
      <c r="E150" s="402"/>
      <c r="F150" s="402" t="s">
        <v>121</v>
      </c>
      <c r="G150" s="90" t="s">
        <v>416</v>
      </c>
      <c r="H150"/>
      <c r="J150" s="580"/>
    </row>
    <row r="151" spans="1:10" x14ac:dyDescent="0.35">
      <c r="B151" t="str">
        <f>IF(LEN('Ch5'!H153)=0,"",'Ch5'!H153)</f>
        <v/>
      </c>
      <c r="C151" t="str">
        <f t="shared" si="2"/>
        <v/>
      </c>
      <c r="D151" s="402"/>
      <c r="E151" s="402"/>
      <c r="F151" s="402" t="s">
        <v>122</v>
      </c>
      <c r="G151" s="90" t="s">
        <v>417</v>
      </c>
      <c r="H151"/>
      <c r="J151" s="580"/>
    </row>
    <row r="152" spans="1:10" x14ac:dyDescent="0.35">
      <c r="B152" t="str">
        <f>IF(LEN('Ch5'!H154)=0,"",'Ch5'!H154)</f>
        <v/>
      </c>
      <c r="C152" t="str">
        <f t="shared" si="2"/>
        <v/>
      </c>
      <c r="D152" s="402"/>
      <c r="E152" s="402"/>
      <c r="F152" s="417" t="s">
        <v>123</v>
      </c>
      <c r="G152" s="90" t="s">
        <v>418</v>
      </c>
      <c r="H152"/>
      <c r="J152" s="580"/>
    </row>
    <row r="153" spans="1:10" x14ac:dyDescent="0.35">
      <c r="B153" t="str">
        <f>IF(LEN('Ch5'!H155)=0,"",'Ch5'!H155)</f>
        <v/>
      </c>
      <c r="C153" t="str">
        <f t="shared" si="2"/>
        <v/>
      </c>
      <c r="D153" s="402"/>
      <c r="E153" s="416"/>
      <c r="F153" s="420" t="s">
        <v>401</v>
      </c>
      <c r="G153" s="228" t="s">
        <v>419</v>
      </c>
      <c r="H153"/>
      <c r="J153" s="580"/>
    </row>
    <row r="154" spans="1:10" x14ac:dyDescent="0.35">
      <c r="A154" s="366" t="str">
        <f ca="1">IF(I154&gt;0,"P","")</f>
        <v>P</v>
      </c>
      <c r="B154" t="str">
        <f>IF(LEN('Ch5'!H156)=0,"",'Ch5'!H156)</f>
        <v/>
      </c>
      <c r="C154" t="str">
        <f t="shared" ca="1" si="2"/>
        <v>P</v>
      </c>
      <c r="D154" s="402"/>
      <c r="E154" s="402" t="s">
        <v>258</v>
      </c>
      <c r="F154" s="402"/>
      <c r="G154" s="814" t="s">
        <v>420</v>
      </c>
      <c r="H154" s="400" t="b">
        <f>IF(LEN('Ch5'!W156)=0,"",'Ch5'!W156)</f>
        <v>1</v>
      </c>
      <c r="I154" s="46">
        <f ca="1">'Ch5'!O156</f>
        <v>7</v>
      </c>
      <c r="J154" s="975" t="s">
        <v>3886</v>
      </c>
    </row>
    <row r="155" spans="1:10" x14ac:dyDescent="0.35">
      <c r="A155" s="366" t="str">
        <f ca="1">A154</f>
        <v>P</v>
      </c>
      <c r="B155" t="str">
        <f>IF(LEN('Ch5'!H157)=0,"",'Ch5'!H157)</f>
        <v/>
      </c>
      <c r="C155" t="str">
        <f t="shared" ca="1" si="2"/>
        <v>P</v>
      </c>
      <c r="D155" s="402"/>
      <c r="E155" s="416"/>
      <c r="F155" s="416"/>
      <c r="G155" s="815"/>
      <c r="H155"/>
      <c r="J155" s="976"/>
    </row>
    <row r="156" spans="1:10" x14ac:dyDescent="0.35">
      <c r="A156" s="366" t="str">
        <f ca="1">IF(I156&gt;0,"P","")</f>
        <v/>
      </c>
      <c r="B156" t="str">
        <f>IF(LEN('Ch5'!H158)=0,"",'Ch5'!H158)</f>
        <v/>
      </c>
      <c r="C156" t="str">
        <f t="shared" ca="1" si="2"/>
        <v/>
      </c>
      <c r="D156" s="402"/>
      <c r="E156" s="402" t="s">
        <v>260</v>
      </c>
      <c r="F156" s="402"/>
      <c r="G156" s="814" t="s">
        <v>4131</v>
      </c>
      <c r="H156" s="400" t="str">
        <f>IF(LEN('Ch5'!W158)=0,"",'Ch5'!W158)</f>
        <v/>
      </c>
      <c r="I156" s="46">
        <f ca="1">'Ch5'!O158</f>
        <v>0</v>
      </c>
      <c r="J156" s="975" t="s">
        <v>3887</v>
      </c>
    </row>
    <row r="157" spans="1:10" x14ac:dyDescent="0.35">
      <c r="A157" s="366" t="str">
        <f ca="1">A156</f>
        <v/>
      </c>
      <c r="B157" t="str">
        <f>IF(LEN('Ch5'!H159)=0,"",'Ch5'!H159)</f>
        <v/>
      </c>
      <c r="C157" t="str">
        <f t="shared" ca="1" si="2"/>
        <v/>
      </c>
      <c r="D157" s="402"/>
      <c r="E157" s="402"/>
      <c r="F157" s="402"/>
      <c r="G157" s="814"/>
      <c r="H157"/>
      <c r="J157" s="976"/>
    </row>
    <row r="158" spans="1:10" x14ac:dyDescent="0.35">
      <c r="A158" s="366" t="str">
        <f ca="1">A157</f>
        <v/>
      </c>
      <c r="B158" t="str">
        <f>IF(LEN('Ch5'!H160)=0,"",'Ch5'!H160)</f>
        <v/>
      </c>
      <c r="C158" t="str">
        <f t="shared" ca="1" si="2"/>
        <v/>
      </c>
      <c r="D158" s="402"/>
      <c r="E158" s="416"/>
      <c r="F158" s="416"/>
      <c r="G158" s="815"/>
      <c r="H158"/>
      <c r="J158" s="580"/>
    </row>
    <row r="159" spans="1:10" x14ac:dyDescent="0.35">
      <c r="A159" s="366" t="str">
        <f ca="1">IF(I159&gt;0,"P","")</f>
        <v/>
      </c>
      <c r="B159" t="str">
        <f>IF(LEN('Ch5'!H161)=0,"",'Ch5'!H161)</f>
        <v/>
      </c>
      <c r="C159" t="str">
        <f t="shared" ca="1" si="2"/>
        <v/>
      </c>
      <c r="D159" s="402"/>
      <c r="E159" s="402" t="s">
        <v>269</v>
      </c>
      <c r="F159" s="402"/>
      <c r="G159" s="814" t="s">
        <v>4132</v>
      </c>
      <c r="H159" s="400" t="str">
        <f>IF(LEN('Ch5'!W161)=0,"",'Ch5'!W161)</f>
        <v/>
      </c>
      <c r="I159" s="46">
        <f ca="1">'Ch5'!O161</f>
        <v>0</v>
      </c>
      <c r="J159" s="975" t="s">
        <v>4925</v>
      </c>
    </row>
    <row r="160" spans="1:10" x14ac:dyDescent="0.35">
      <c r="A160" s="366" t="str">
        <f ca="1">A159</f>
        <v/>
      </c>
      <c r="B160" t="str">
        <f>IF(LEN('Ch5'!H162)=0,"",'Ch5'!H162)</f>
        <v/>
      </c>
      <c r="C160" t="str">
        <f t="shared" ca="1" si="2"/>
        <v/>
      </c>
      <c r="D160" s="402"/>
      <c r="E160" s="416"/>
      <c r="F160" s="416"/>
      <c r="G160" s="815"/>
      <c r="H160"/>
      <c r="J160" s="976"/>
    </row>
    <row r="161" spans="1:10" x14ac:dyDescent="0.35">
      <c r="A161" s="366" t="str">
        <f ca="1">IF(I161&gt;0,"P","")</f>
        <v>P</v>
      </c>
      <c r="B161" t="str">
        <f>IF(LEN('Ch5'!H163)=0,"",'Ch5'!H163)</f>
        <v/>
      </c>
      <c r="C161" t="str">
        <f t="shared" ca="1" si="2"/>
        <v>P</v>
      </c>
      <c r="E161" s="424" t="s">
        <v>275</v>
      </c>
      <c r="F161" s="621"/>
      <c r="G161" s="820" t="s">
        <v>4133</v>
      </c>
      <c r="H161" s="400" t="b">
        <f>IF(LEN('Ch5'!W163)=0,"",'Ch5'!W163)</f>
        <v>1</v>
      </c>
      <c r="I161" s="46">
        <f ca="1">'Ch5'!O163</f>
        <v>3</v>
      </c>
      <c r="J161" s="975" t="s">
        <v>4926</v>
      </c>
    </row>
    <row r="162" spans="1:10" x14ac:dyDescent="0.35">
      <c r="A162" s="366" t="str">
        <f ca="1">A161</f>
        <v>P</v>
      </c>
      <c r="B162" t="str">
        <f>IF(LEN('Ch5'!H164)=0,"",'Ch5'!H164)</f>
        <v/>
      </c>
      <c r="C162" t="str">
        <f t="shared" ca="1" si="2"/>
        <v>P</v>
      </c>
      <c r="G162" s="848"/>
      <c r="H162"/>
      <c r="J162" s="976"/>
    </row>
    <row r="163" spans="1:10" x14ac:dyDescent="0.35">
      <c r="A163" s="366" t="str">
        <f ca="1">A162</f>
        <v>P</v>
      </c>
      <c r="B163" t="str">
        <f>IF(LEN('Ch5'!H165)=0,"",'Ch5'!H165)</f>
        <v/>
      </c>
      <c r="C163" t="str">
        <f t="shared" ca="1" si="2"/>
        <v>P</v>
      </c>
      <c r="E163" s="619"/>
      <c r="F163" s="619"/>
      <c r="G163" s="821"/>
      <c r="H163"/>
      <c r="J163" s="580"/>
    </row>
    <row r="164" spans="1:10" x14ac:dyDescent="0.35">
      <c r="A164" s="366" t="str">
        <f ca="1">IF(I164&gt;0,"P","")</f>
        <v>P</v>
      </c>
      <c r="B164" t="str">
        <f>IF(LEN('Ch5'!H166)=0,"",'Ch5'!H166)</f>
        <v/>
      </c>
      <c r="C164" t="str">
        <f t="shared" ca="1" si="2"/>
        <v>P</v>
      </c>
      <c r="D164" s="402"/>
      <c r="E164" s="402" t="s">
        <v>277</v>
      </c>
      <c r="F164" s="402"/>
      <c r="G164" s="90" t="s">
        <v>421</v>
      </c>
      <c r="H164" s="400" t="str">
        <f>IF(LEN('Ch5'!W166)=0,"",'Ch5'!W166)</f>
        <v>(d)</v>
      </c>
      <c r="I164" s="46">
        <f ca="1">'Ch5'!O166</f>
        <v>2</v>
      </c>
      <c r="J164" s="580" t="s">
        <v>4927</v>
      </c>
    </row>
    <row r="165" spans="1:10" x14ac:dyDescent="0.35">
      <c r="B165" t="str">
        <f>IF(LEN('Ch5'!H167)=0,"",'Ch5'!H167)</f>
        <v/>
      </c>
      <c r="C165" t="str">
        <f t="shared" si="2"/>
        <v/>
      </c>
      <c r="D165" s="402"/>
      <c r="E165" s="402"/>
      <c r="F165" s="402" t="s">
        <v>121</v>
      </c>
      <c r="G165" s="90" t="s">
        <v>422</v>
      </c>
      <c r="H165"/>
      <c r="J165" s="580"/>
    </row>
    <row r="166" spans="1:10" x14ac:dyDescent="0.35">
      <c r="B166" t="str">
        <f>IF(LEN('Ch5'!H168)=0,"",'Ch5'!H168)</f>
        <v/>
      </c>
      <c r="C166" t="str">
        <f t="shared" si="2"/>
        <v/>
      </c>
      <c r="D166" s="402"/>
      <c r="E166" s="402"/>
      <c r="F166" s="402" t="s">
        <v>122</v>
      </c>
      <c r="G166" s="90" t="s">
        <v>423</v>
      </c>
      <c r="H166"/>
      <c r="J166" s="580"/>
    </row>
    <row r="167" spans="1:10" x14ac:dyDescent="0.35">
      <c r="B167" t="str">
        <f>IF(LEN('Ch5'!H169)=0,"",'Ch5'!H169)</f>
        <v/>
      </c>
      <c r="C167" t="str">
        <f t="shared" si="2"/>
        <v/>
      </c>
      <c r="D167" s="402"/>
      <c r="E167" s="402"/>
      <c r="F167" s="417" t="s">
        <v>123</v>
      </c>
      <c r="G167" s="90" t="s">
        <v>424</v>
      </c>
      <c r="H167"/>
      <c r="J167" s="580"/>
    </row>
    <row r="168" spans="1:10" x14ac:dyDescent="0.35">
      <c r="B168" t="str">
        <f>IF(LEN('Ch5'!H170)=0,"",'Ch5'!H170)</f>
        <v/>
      </c>
      <c r="C168" t="str">
        <f t="shared" si="2"/>
        <v/>
      </c>
      <c r="D168" s="402"/>
      <c r="E168" s="416"/>
      <c r="F168" s="420" t="s">
        <v>401</v>
      </c>
      <c r="G168" s="228" t="s">
        <v>425</v>
      </c>
      <c r="H168"/>
      <c r="J168" s="580"/>
    </row>
    <row r="169" spans="1:10" ht="26" x14ac:dyDescent="0.35">
      <c r="A169" s="366" t="str">
        <f ca="1">IF(I169&gt;0,"P","")</f>
        <v>P</v>
      </c>
      <c r="B169" t="str">
        <f>IF(LEN('Ch5'!H171)=0,"",'Ch5'!H171)</f>
        <v/>
      </c>
      <c r="C169" t="str">
        <f t="shared" ca="1" si="2"/>
        <v>P</v>
      </c>
      <c r="D169" s="402"/>
      <c r="E169" s="416" t="s">
        <v>383</v>
      </c>
      <c r="F169" s="416"/>
      <c r="G169" s="228" t="s">
        <v>426</v>
      </c>
      <c r="H169" s="400" t="b">
        <f>IF(LEN('Ch5'!W171)=0,"",'Ch5'!W171)</f>
        <v>1</v>
      </c>
      <c r="I169" s="46">
        <f ca="1">'Ch5'!O171</f>
        <v>5</v>
      </c>
      <c r="J169" s="580" t="s">
        <v>4928</v>
      </c>
    </row>
    <row r="170" spans="1:10" x14ac:dyDescent="0.35">
      <c r="A170" s="366" t="str">
        <f ca="1">IF(I170&gt;0,"P","")</f>
        <v/>
      </c>
      <c r="B170" t="str">
        <f>IF(LEN('Ch5'!H172)=0,"",'Ch5'!H172)</f>
        <v/>
      </c>
      <c r="C170" t="str">
        <f t="shared" ca="1" si="2"/>
        <v/>
      </c>
      <c r="D170" s="402"/>
      <c r="E170" s="402" t="s">
        <v>428</v>
      </c>
      <c r="F170" s="402"/>
      <c r="G170" s="814" t="s">
        <v>427</v>
      </c>
      <c r="H170" s="400" t="str">
        <f>IF(LEN('Ch5'!W172)=0,"",'Ch5'!W172)</f>
        <v/>
      </c>
      <c r="I170" s="46">
        <f ca="1">'Ch5'!O172</f>
        <v>0</v>
      </c>
      <c r="J170" s="580" t="s">
        <v>3889</v>
      </c>
    </row>
    <row r="171" spans="1:10" x14ac:dyDescent="0.35">
      <c r="A171" s="366" t="str">
        <f ca="1">A170</f>
        <v/>
      </c>
      <c r="B171" t="str">
        <f>IF(LEN('Ch5'!H173)=0,"",'Ch5'!H173)</f>
        <v/>
      </c>
      <c r="C171" t="str">
        <f t="shared" ca="1" si="2"/>
        <v/>
      </c>
      <c r="D171" s="402"/>
      <c r="E171" s="402"/>
      <c r="F171" s="402"/>
      <c r="G171" s="814"/>
      <c r="H171"/>
      <c r="J171" s="580"/>
    </row>
    <row r="172" spans="1:10" x14ac:dyDescent="0.35">
      <c r="A172" s="366" t="str">
        <f ca="1">A171</f>
        <v/>
      </c>
      <c r="B172" t="str">
        <f>IF(LEN('Ch5'!H174)=0,"",'Ch5'!H174)</f>
        <v/>
      </c>
      <c r="C172" t="str">
        <f t="shared" ca="1" si="2"/>
        <v/>
      </c>
      <c r="D172" s="402"/>
      <c r="E172" s="402"/>
      <c r="F172" s="402"/>
      <c r="G172" s="814"/>
      <c r="H172"/>
      <c r="J172" s="580"/>
    </row>
    <row r="173" spans="1:10" x14ac:dyDescent="0.35">
      <c r="A173" s="366" t="str">
        <f ca="1">A172</f>
        <v/>
      </c>
      <c r="B173" t="str">
        <f>IF(LEN('Ch5'!H175)=0,"",'Ch5'!H175)</f>
        <v/>
      </c>
      <c r="C173" t="str">
        <f t="shared" ca="1" si="2"/>
        <v/>
      </c>
      <c r="D173" s="402"/>
      <c r="E173" s="402"/>
      <c r="F173" s="402"/>
      <c r="G173" s="814"/>
      <c r="H173"/>
      <c r="J173" s="580"/>
    </row>
    <row r="174" spans="1:10" x14ac:dyDescent="0.35">
      <c r="A174" s="366" t="str">
        <f ca="1">A173</f>
        <v/>
      </c>
      <c r="B174" t="str">
        <f>IF(LEN('Ch5'!H176)=0,"",'Ch5'!H176)</f>
        <v/>
      </c>
      <c r="C174" t="str">
        <f t="shared" ca="1" si="2"/>
        <v/>
      </c>
      <c r="D174" s="402"/>
      <c r="E174" s="416"/>
      <c r="F174" s="416"/>
      <c r="G174" s="815"/>
      <c r="H174"/>
      <c r="J174" s="580"/>
    </row>
    <row r="175" spans="1:10" x14ac:dyDescent="0.35">
      <c r="A175" s="366" t="str">
        <f ca="1">IF(I175&gt;0,"P","")</f>
        <v/>
      </c>
      <c r="B175" t="str">
        <f>IF(LEN('Ch5'!H177)=0,"",'Ch5'!H177)</f>
        <v/>
      </c>
      <c r="C175" t="str">
        <f t="shared" ca="1" si="2"/>
        <v/>
      </c>
      <c r="D175" s="402"/>
      <c r="E175" s="402" t="s">
        <v>430</v>
      </c>
      <c r="F175" s="402"/>
      <c r="G175" s="814" t="s">
        <v>429</v>
      </c>
      <c r="H175" s="400" t="str">
        <f>IF(LEN('Ch5'!W177)=0,"",'Ch5'!W177)</f>
        <v/>
      </c>
      <c r="I175" s="46">
        <f ca="1">'Ch5'!O177</f>
        <v>0</v>
      </c>
      <c r="J175" s="975" t="s">
        <v>4929</v>
      </c>
    </row>
    <row r="176" spans="1:10" x14ac:dyDescent="0.35">
      <c r="A176" s="366" t="str">
        <f ca="1">A175</f>
        <v/>
      </c>
      <c r="B176" t="str">
        <f>IF(LEN('Ch5'!H178)=0,"",'Ch5'!H178)</f>
        <v/>
      </c>
      <c r="C176" t="str">
        <f t="shared" ca="1" si="2"/>
        <v/>
      </c>
      <c r="D176" s="402"/>
      <c r="E176" s="416"/>
      <c r="F176" s="416"/>
      <c r="G176" s="815"/>
      <c r="H176"/>
      <c r="J176" s="976"/>
    </row>
    <row r="177" spans="1:10" x14ac:dyDescent="0.35">
      <c r="A177" s="366" t="str">
        <f>IF(I177&gt;0,"P","")</f>
        <v/>
      </c>
      <c r="B177" t="str">
        <f>IF(LEN('Ch5'!H179)=0,"",'Ch5'!H179)</f>
        <v/>
      </c>
      <c r="C177" t="str">
        <f t="shared" si="2"/>
        <v/>
      </c>
      <c r="D177" s="402"/>
      <c r="E177" s="402" t="s">
        <v>432</v>
      </c>
      <c r="F177" s="402"/>
      <c r="G177" s="814" t="s">
        <v>431</v>
      </c>
      <c r="H177" s="400" t="str">
        <f>IF(LEN('Ch5'!W179)=0,"",'Ch5'!W179)</f>
        <v/>
      </c>
      <c r="I177" s="46">
        <f>'Ch5'!O179</f>
        <v>0</v>
      </c>
      <c r="J177" s="580" t="s">
        <v>3890</v>
      </c>
    </row>
    <row r="178" spans="1:10" x14ac:dyDescent="0.35">
      <c r="A178" s="366" t="str">
        <f>A177</f>
        <v/>
      </c>
      <c r="B178" t="str">
        <f>IF(LEN('Ch5'!H180)=0,"",'Ch5'!H180)</f>
        <v/>
      </c>
      <c r="C178" t="str">
        <f t="shared" si="2"/>
        <v/>
      </c>
      <c r="D178" s="402"/>
      <c r="E178" s="402"/>
      <c r="F178" s="402"/>
      <c r="G178" s="814"/>
      <c r="H178"/>
      <c r="J178" s="580"/>
    </row>
    <row r="179" spans="1:10" x14ac:dyDescent="0.35">
      <c r="A179" s="366" t="str">
        <f>A178</f>
        <v/>
      </c>
      <c r="B179" t="str">
        <f>IF(LEN('Ch5'!H181)=0,"",'Ch5'!H181)</f>
        <v/>
      </c>
      <c r="C179" t="str">
        <f t="shared" si="2"/>
        <v/>
      </c>
      <c r="D179" s="402"/>
      <c r="E179" s="416"/>
      <c r="F179" s="416"/>
      <c r="G179" s="815"/>
      <c r="H179"/>
      <c r="J179" s="580"/>
    </row>
    <row r="180" spans="1:10" x14ac:dyDescent="0.35">
      <c r="A180" s="366" t="str">
        <f>IF(I180&gt;0,"P","")</f>
        <v/>
      </c>
      <c r="B180" t="str">
        <f>IF(LEN('Ch5'!H182)=0,"",'Ch5'!H182)</f>
        <v/>
      </c>
      <c r="C180" t="str">
        <f t="shared" si="2"/>
        <v/>
      </c>
      <c r="D180" s="402"/>
      <c r="E180" s="402" t="s">
        <v>434</v>
      </c>
      <c r="F180" s="402"/>
      <c r="G180" s="814" t="s">
        <v>433</v>
      </c>
      <c r="H180" s="400" t="str">
        <f>IF(LEN('Ch5'!W182)=0,"",'Ch5'!W182)</f>
        <v/>
      </c>
      <c r="I180" s="46">
        <f>'Ch5'!O182</f>
        <v>0</v>
      </c>
      <c r="J180" s="580" t="s">
        <v>4930</v>
      </c>
    </row>
    <row r="181" spans="1:10" x14ac:dyDescent="0.35">
      <c r="A181" s="366" t="str">
        <f>A180</f>
        <v/>
      </c>
      <c r="B181" t="str">
        <f>IF(LEN('Ch5'!H183)=0,"",'Ch5'!H183)</f>
        <v/>
      </c>
      <c r="C181" t="str">
        <f t="shared" si="2"/>
        <v/>
      </c>
      <c r="D181" s="402"/>
      <c r="E181" s="416"/>
      <c r="F181" s="416"/>
      <c r="G181" s="815"/>
      <c r="H181"/>
      <c r="J181" s="580"/>
    </row>
    <row r="182" spans="1:10" x14ac:dyDescent="0.35">
      <c r="A182" s="366" t="str">
        <f>IF(I182&gt;0,"P","")</f>
        <v/>
      </c>
      <c r="B182" t="str">
        <f>IF(LEN('Ch5'!H184)=0,"",'Ch5'!H184)</f>
        <v/>
      </c>
      <c r="C182" t="str">
        <f t="shared" si="2"/>
        <v/>
      </c>
      <c r="D182" s="402"/>
      <c r="E182" s="402" t="s">
        <v>436</v>
      </c>
      <c r="F182" s="402"/>
      <c r="G182" s="814" t="s">
        <v>435</v>
      </c>
      <c r="H182" s="400" t="str">
        <f>IF(LEN('Ch5'!W184)=0,"",'Ch5'!W184)</f>
        <v/>
      </c>
      <c r="I182" s="46">
        <f>'Ch5'!O184</f>
        <v>0</v>
      </c>
      <c r="J182" s="580" t="s">
        <v>3888</v>
      </c>
    </row>
    <row r="183" spans="1:10" x14ac:dyDescent="0.35">
      <c r="A183" s="366" t="str">
        <f>A182</f>
        <v/>
      </c>
      <c r="B183" t="str">
        <f>IF(LEN('Ch5'!H185)=0,"",'Ch5'!H185)</f>
        <v/>
      </c>
      <c r="C183" t="str">
        <f t="shared" si="2"/>
        <v/>
      </c>
      <c r="D183" s="402"/>
      <c r="E183" s="416"/>
      <c r="F183" s="416"/>
      <c r="G183" s="815"/>
      <c r="H183"/>
      <c r="J183" s="580"/>
    </row>
    <row r="184" spans="1:10" x14ac:dyDescent="0.35">
      <c r="A184" s="366" t="str">
        <f>IF(I184&gt;0,"P","")</f>
        <v/>
      </c>
      <c r="B184" t="str">
        <f>IF(LEN('Ch5'!H186)=0,"",'Ch5'!H186)</f>
        <v/>
      </c>
      <c r="C184" t="str">
        <f t="shared" si="2"/>
        <v/>
      </c>
      <c r="D184" s="402"/>
      <c r="E184" s="402" t="s">
        <v>3294</v>
      </c>
      <c r="F184" s="402"/>
      <c r="G184" s="814" t="s">
        <v>437</v>
      </c>
      <c r="H184" s="400" t="str">
        <f>IF(LEN('Ch5'!W186)=0,"",'Ch5'!W186)</f>
        <v/>
      </c>
      <c r="I184" s="46">
        <f>'Ch5'!O186</f>
        <v>0</v>
      </c>
      <c r="J184" s="580" t="s">
        <v>3888</v>
      </c>
    </row>
    <row r="185" spans="1:10" ht="15" thickBot="1" x14ac:dyDescent="0.4">
      <c r="A185" s="366" t="str">
        <f>A184</f>
        <v/>
      </c>
      <c r="B185" t="str">
        <f>IF(LEN('Ch5'!H187)=0,"",'Ch5'!H187)</f>
        <v/>
      </c>
      <c r="C185" t="str">
        <f t="shared" si="2"/>
        <v/>
      </c>
      <c r="D185" s="407"/>
      <c r="E185" s="407"/>
      <c r="F185" s="407"/>
      <c r="G185" s="839"/>
      <c r="H185"/>
      <c r="J185" s="580"/>
    </row>
    <row r="186" spans="1:10" ht="15" thickTop="1" x14ac:dyDescent="0.35">
      <c r="A186" s="366" t="str">
        <f>IF(I186&gt;0,"P","")</f>
        <v>P</v>
      </c>
      <c r="B186" t="str">
        <f>IF(LEN('Ch5'!H188)=0,"",'Ch5'!H188)</f>
        <v/>
      </c>
      <c r="C186" t="str">
        <f t="shared" si="2"/>
        <v>P</v>
      </c>
      <c r="D186" s="31">
        <v>503.6</v>
      </c>
      <c r="E186" s="402"/>
      <c r="F186" s="402"/>
      <c r="G186" s="838" t="s">
        <v>439</v>
      </c>
      <c r="H186"/>
      <c r="I186" s="46">
        <f>'Ch5'!O188</f>
        <v>6</v>
      </c>
      <c r="J186" s="580" t="s">
        <v>4931</v>
      </c>
    </row>
    <row r="187" spans="1:10" x14ac:dyDescent="0.35">
      <c r="A187" s="366" t="str">
        <f>A186</f>
        <v>P</v>
      </c>
      <c r="B187" t="str">
        <f>IF(LEN('Ch5'!H189)=0,"",'Ch5'!H189)</f>
        <v/>
      </c>
      <c r="C187" t="str">
        <f t="shared" si="2"/>
        <v>P</v>
      </c>
      <c r="D187" s="402"/>
      <c r="E187" s="402"/>
      <c r="F187" s="402"/>
      <c r="G187" s="838"/>
      <c r="H187"/>
      <c r="J187" s="580"/>
    </row>
    <row r="188" spans="1:10" x14ac:dyDescent="0.35">
      <c r="B188" t="str">
        <f>IF(LEN('Ch5'!H190)=0,"",'Ch5'!H190)</f>
        <v/>
      </c>
      <c r="C188" t="str">
        <f t="shared" si="2"/>
        <v/>
      </c>
      <c r="D188" s="402"/>
      <c r="E188" s="416" t="s">
        <v>256</v>
      </c>
      <c r="F188" s="416"/>
      <c r="G188" s="228" t="s">
        <v>440</v>
      </c>
      <c r="H188" s="400" t="b">
        <f>IF(LEN('Ch5'!W190)=0,"",'Ch5'!W190)</f>
        <v>1</v>
      </c>
      <c r="J188" s="580"/>
    </row>
    <row r="189" spans="1:10" x14ac:dyDescent="0.35">
      <c r="B189" t="str">
        <f>IF(LEN('Ch5'!H191)=0,"",'Ch5'!H191)</f>
        <v/>
      </c>
      <c r="C189" t="str">
        <f t="shared" si="2"/>
        <v/>
      </c>
      <c r="D189" s="402"/>
      <c r="E189" s="416" t="s">
        <v>258</v>
      </c>
      <c r="F189" s="416"/>
      <c r="G189" s="228" t="s">
        <v>441</v>
      </c>
      <c r="H189" s="400" t="str">
        <f>IF(LEN('Ch5'!W191)=0,"",'Ch5'!W191)</f>
        <v/>
      </c>
      <c r="J189" s="580"/>
    </row>
    <row r="190" spans="1:10" x14ac:dyDescent="0.35">
      <c r="B190" t="str">
        <f>IF(LEN('Ch5'!H192)=0,"",'Ch5'!H192)</f>
        <v/>
      </c>
      <c r="C190" t="str">
        <f t="shared" si="2"/>
        <v/>
      </c>
      <c r="D190" s="402"/>
      <c r="E190" s="402" t="s">
        <v>260</v>
      </c>
      <c r="F190" s="402"/>
      <c r="G190" s="814" t="s">
        <v>442</v>
      </c>
      <c r="H190" s="400" t="str">
        <f>IF(LEN('Ch5'!W192)=0,"",'Ch5'!W192)</f>
        <v/>
      </c>
      <c r="J190" s="580"/>
    </row>
    <row r="191" spans="1:10" x14ac:dyDescent="0.35">
      <c r="B191" t="str">
        <f>IF(LEN('Ch5'!H193)=0,"",'Ch5'!H193)</f>
        <v/>
      </c>
      <c r="C191" t="str">
        <f t="shared" si="2"/>
        <v/>
      </c>
      <c r="D191" s="402"/>
      <c r="E191" s="416"/>
      <c r="F191" s="416"/>
      <c r="G191" s="815"/>
      <c r="H191"/>
      <c r="J191" s="580"/>
    </row>
    <row r="192" spans="1:10" ht="15" thickBot="1" x14ac:dyDescent="0.4">
      <c r="B192" t="str">
        <f>IF(LEN('Ch5'!H194)=0,"",'Ch5'!H194)</f>
        <v/>
      </c>
      <c r="C192" t="str">
        <f t="shared" si="2"/>
        <v/>
      </c>
      <c r="D192" s="407"/>
      <c r="E192" s="407" t="s">
        <v>269</v>
      </c>
      <c r="F192" s="407"/>
      <c r="G192" s="229" t="s">
        <v>443</v>
      </c>
      <c r="H192" s="400" t="b">
        <f>IF(LEN('Ch5'!W194)=0,"",'Ch5'!W194)</f>
        <v>1</v>
      </c>
      <c r="J192" s="580"/>
    </row>
    <row r="193" spans="1:10" ht="15" thickTop="1" x14ac:dyDescent="0.35">
      <c r="A193" s="366" t="str">
        <f>IF(I193&gt;0,"P","")</f>
        <v/>
      </c>
      <c r="B193" t="str">
        <f>IF(LEN('Ch5'!H195)=0,"",'Ch5'!H195)</f>
        <v/>
      </c>
      <c r="C193" t="str">
        <f t="shared" si="2"/>
        <v/>
      </c>
      <c r="D193" s="31">
        <v>503.7</v>
      </c>
      <c r="E193" s="402"/>
      <c r="F193" s="402"/>
      <c r="G193" s="838" t="s">
        <v>445</v>
      </c>
      <c r="H193"/>
      <c r="I193" s="433">
        <f>SUM(I195:I197)</f>
        <v>0</v>
      </c>
      <c r="J193" s="580"/>
    </row>
    <row r="194" spans="1:10" x14ac:dyDescent="0.35">
      <c r="A194" s="366" t="str">
        <f>A193</f>
        <v/>
      </c>
      <c r="B194" t="str">
        <f>IF(LEN('Ch5'!H196)=0,"",'Ch5'!H196)</f>
        <v/>
      </c>
      <c r="C194" t="str">
        <f t="shared" si="2"/>
        <v/>
      </c>
      <c r="D194" s="402"/>
      <c r="E194" s="402"/>
      <c r="F194" s="402"/>
      <c r="G194" s="838"/>
      <c r="H194"/>
      <c r="J194" s="580"/>
    </row>
    <row r="195" spans="1:10" x14ac:dyDescent="0.35">
      <c r="A195" s="366" t="str">
        <f>IF(I195&gt;0,"P","")</f>
        <v/>
      </c>
      <c r="B195" t="str">
        <f>IF(LEN('Ch5'!H197)=0,"",'Ch5'!H197)</f>
        <v/>
      </c>
      <c r="C195" t="str">
        <f t="shared" si="2"/>
        <v/>
      </c>
      <c r="D195" s="402"/>
      <c r="E195" s="402" t="s">
        <v>256</v>
      </c>
      <c r="F195" s="402"/>
      <c r="G195" s="814" t="s">
        <v>446</v>
      </c>
      <c r="H195" s="400" t="str">
        <f>IF(LEN('Ch5'!W197)=0,"",'Ch5'!W197)</f>
        <v/>
      </c>
      <c r="I195" s="46">
        <f>'Ch5'!O197</f>
        <v>0</v>
      </c>
      <c r="J195" s="580" t="s">
        <v>4932</v>
      </c>
    </row>
    <row r="196" spans="1:10" x14ac:dyDescent="0.35">
      <c r="A196" s="366" t="str">
        <f>A195</f>
        <v/>
      </c>
      <c r="B196" t="str">
        <f>IF(LEN('Ch5'!H198)=0,"",'Ch5'!H198)</f>
        <v/>
      </c>
      <c r="C196" t="str">
        <f t="shared" si="2"/>
        <v/>
      </c>
      <c r="D196" s="402"/>
      <c r="E196" s="416"/>
      <c r="F196" s="416"/>
      <c r="G196" s="815"/>
      <c r="H196"/>
      <c r="J196" s="580"/>
    </row>
    <row r="197" spans="1:10" x14ac:dyDescent="0.35">
      <c r="A197" s="366" t="str">
        <f>IF(I197&gt;0,"P","")</f>
        <v/>
      </c>
      <c r="B197" t="str">
        <f>IF(LEN('Ch5'!H199)=0,"",'Ch5'!H199)</f>
        <v/>
      </c>
      <c r="C197" t="str">
        <f t="shared" si="2"/>
        <v/>
      </c>
      <c r="D197" s="402"/>
      <c r="E197" s="402" t="s">
        <v>258</v>
      </c>
      <c r="F197" s="402"/>
      <c r="G197" s="814" t="s">
        <v>447</v>
      </c>
      <c r="H197" s="400" t="str">
        <f>IF(LEN('Ch5'!W199)=0,"",'Ch5'!W199)</f>
        <v/>
      </c>
      <c r="I197" s="46">
        <f>'Ch5'!O199</f>
        <v>0</v>
      </c>
      <c r="J197" s="975" t="s">
        <v>4933</v>
      </c>
    </row>
    <row r="198" spans="1:10" ht="15" thickBot="1" x14ac:dyDescent="0.4">
      <c r="A198" s="366" t="str">
        <f>A197</f>
        <v/>
      </c>
      <c r="B198" t="str">
        <f>IF(LEN('Ch5'!H200)=0,"",'Ch5'!H200)</f>
        <v/>
      </c>
      <c r="C198" t="str">
        <f t="shared" si="2"/>
        <v/>
      </c>
      <c r="D198" s="407"/>
      <c r="E198" s="407"/>
      <c r="F198" s="407"/>
      <c r="G198" s="839"/>
      <c r="H198"/>
      <c r="J198" s="976"/>
    </row>
    <row r="199" spans="1:10" ht="15" thickTop="1" x14ac:dyDescent="0.35">
      <c r="A199" s="366" t="str">
        <f ca="1">IF(I199&gt;0,"P","")</f>
        <v/>
      </c>
      <c r="B199" t="str">
        <f>IF(LEN('Ch5'!H201)=0,"",'Ch5'!H201)</f>
        <v/>
      </c>
      <c r="C199" t="str">
        <f t="shared" ca="1" si="2"/>
        <v/>
      </c>
      <c r="D199" s="31">
        <v>503.8</v>
      </c>
      <c r="E199" s="402"/>
      <c r="F199" s="402"/>
      <c r="G199" s="838" t="s">
        <v>449</v>
      </c>
      <c r="H199"/>
      <c r="I199" s="46">
        <f ca="1">'Ch5'!O201</f>
        <v>0</v>
      </c>
      <c r="J199" s="580" t="s">
        <v>4934</v>
      </c>
    </row>
    <row r="200" spans="1:10" x14ac:dyDescent="0.35">
      <c r="A200" s="366" t="str">
        <f ca="1">A199</f>
        <v/>
      </c>
      <c r="B200" t="str">
        <f>IF(LEN('Ch5'!H202)=0,"",'Ch5'!H202)</f>
        <v/>
      </c>
      <c r="C200" t="str">
        <f t="shared" ref="C200:C263" ca="1" si="3">IF(LEN(B200)=0,IF(A200="P","P",""),B200)</f>
        <v/>
      </c>
      <c r="D200" s="402"/>
      <c r="E200" s="402"/>
      <c r="F200" s="402"/>
      <c r="G200" s="838"/>
      <c r="H200" s="400" t="str">
        <f>IF(LEN('Ch5'!W202)=0,"",'Ch5'!W202)</f>
        <v/>
      </c>
      <c r="J200" s="580"/>
    </row>
    <row r="201" spans="1:10" x14ac:dyDescent="0.35">
      <c r="A201" s="366" t="str">
        <f ca="1">A200</f>
        <v/>
      </c>
      <c r="B201" t="str">
        <f>IF(LEN('Ch5'!H203)=0,"",'Ch5'!H203)</f>
        <v/>
      </c>
      <c r="C201" t="str">
        <f t="shared" ca="1" si="3"/>
        <v/>
      </c>
      <c r="D201" s="402"/>
      <c r="E201" s="402"/>
      <c r="F201" s="402"/>
      <c r="G201" s="838"/>
      <c r="H201"/>
      <c r="J201" s="580"/>
    </row>
    <row r="202" spans="1:10" x14ac:dyDescent="0.35">
      <c r="B202" t="str">
        <f>IF(LEN('Ch5'!H204)=0,"",'Ch5'!H204)</f>
        <v/>
      </c>
      <c r="C202" t="str">
        <f t="shared" si="3"/>
        <v/>
      </c>
      <c r="D202" s="402"/>
      <c r="E202" s="402"/>
      <c r="F202" s="402"/>
      <c r="G202" s="814" t="s">
        <v>450</v>
      </c>
      <c r="H202"/>
      <c r="J202" s="580"/>
    </row>
    <row r="203" spans="1:10" x14ac:dyDescent="0.35">
      <c r="B203" t="str">
        <f>IF(LEN('Ch5'!H205)=0,"",'Ch5'!H205)</f>
        <v/>
      </c>
      <c r="C203" t="str">
        <f t="shared" si="3"/>
        <v/>
      </c>
      <c r="D203" s="402"/>
      <c r="E203" s="402"/>
      <c r="F203" s="402"/>
      <c r="G203" s="814"/>
      <c r="H203"/>
      <c r="J203" s="580"/>
    </row>
    <row r="204" spans="1:10" ht="18.5" x14ac:dyDescent="0.35">
      <c r="A204" s="366" t="s">
        <v>3973</v>
      </c>
      <c r="B204" t="str">
        <f>IF(LEN('Ch5'!H206)=0,"",'Ch5'!H206)</f>
        <v/>
      </c>
      <c r="C204" t="str">
        <f t="shared" si="3"/>
        <v>P</v>
      </c>
      <c r="D204" s="617" t="s">
        <v>452</v>
      </c>
      <c r="E204" s="617"/>
      <c r="F204" s="617"/>
      <c r="G204" s="602"/>
      <c r="H204"/>
      <c r="J204" s="580"/>
    </row>
    <row r="205" spans="1:10" x14ac:dyDescent="0.35">
      <c r="B205" t="str">
        <f>IF(LEN('Ch5'!H207)=0,"",'Ch5'!H207)</f>
        <v/>
      </c>
      <c r="C205" t="str">
        <f t="shared" si="3"/>
        <v/>
      </c>
      <c r="D205" s="402" t="s">
        <v>451</v>
      </c>
      <c r="E205" s="402"/>
      <c r="F205" s="402"/>
      <c r="G205" s="838" t="s">
        <v>453</v>
      </c>
      <c r="H205"/>
      <c r="J205" s="580"/>
    </row>
    <row r="206" spans="1:10" ht="15" thickBot="1" x14ac:dyDescent="0.4">
      <c r="B206" t="str">
        <f>IF(LEN('Ch5'!H208)=0,"",'Ch5'!H208)</f>
        <v/>
      </c>
      <c r="C206" t="str">
        <f t="shared" si="3"/>
        <v/>
      </c>
      <c r="D206" s="407"/>
      <c r="E206" s="407"/>
      <c r="F206" s="407"/>
      <c r="G206" s="849"/>
      <c r="H206"/>
      <c r="J206" s="580"/>
    </row>
    <row r="207" spans="1:10" ht="15" thickTop="1" x14ac:dyDescent="0.35">
      <c r="A207" s="366" t="str">
        <f>IF(I207&gt;0,"P","")</f>
        <v>P</v>
      </c>
      <c r="B207" t="str">
        <f>IF(LEN('Ch5'!H209)=0,"",'Ch5'!H209)</f>
        <v/>
      </c>
      <c r="C207" t="str">
        <f t="shared" si="3"/>
        <v>P</v>
      </c>
      <c r="D207" s="414" t="s">
        <v>454</v>
      </c>
      <c r="E207" s="414"/>
      <c r="F207" s="414"/>
      <c r="G207" s="837" t="s">
        <v>455</v>
      </c>
      <c r="H207" s="400" t="b">
        <f>IF(LEN('Ch5'!W209)=0,"",'Ch5'!W209)</f>
        <v>1</v>
      </c>
      <c r="I207" s="46">
        <f>'Ch5'!O209</f>
        <v>4</v>
      </c>
      <c r="J207" s="580" t="s">
        <v>4935</v>
      </c>
    </row>
    <row r="208" spans="1:10" x14ac:dyDescent="0.35">
      <c r="A208" s="366" t="str">
        <f>A207</f>
        <v>P</v>
      </c>
      <c r="B208" t="str">
        <f>IF(LEN('Ch5'!H210)=0,"",'Ch5'!H210)</f>
        <v/>
      </c>
      <c r="C208" t="str">
        <f t="shared" si="3"/>
        <v>P</v>
      </c>
      <c r="D208" s="402"/>
      <c r="E208" s="402"/>
      <c r="F208" s="402"/>
      <c r="G208" s="838"/>
      <c r="H208"/>
      <c r="J208" s="580"/>
    </row>
    <row r="209" spans="1:10" x14ac:dyDescent="0.35">
      <c r="A209" s="366" t="str">
        <f>A208</f>
        <v>P</v>
      </c>
      <c r="B209" t="str">
        <f>IF(LEN('Ch5'!H211)=0,"",'Ch5'!H211)</f>
        <v/>
      </c>
      <c r="C209" t="str">
        <f t="shared" si="3"/>
        <v>P</v>
      </c>
      <c r="D209" s="402"/>
      <c r="E209" s="402"/>
      <c r="F209" s="402"/>
      <c r="G209" s="838"/>
      <c r="H209"/>
      <c r="J209" s="580"/>
    </row>
    <row r="210" spans="1:10" x14ac:dyDescent="0.35">
      <c r="A210" s="366" t="str">
        <f>A209</f>
        <v>P</v>
      </c>
      <c r="B210" t="str">
        <f>IF(LEN('Ch5'!H212)=0,"",'Ch5'!H212)</f>
        <v/>
      </c>
      <c r="C210" t="str">
        <f t="shared" si="3"/>
        <v>P</v>
      </c>
      <c r="D210" s="402"/>
      <c r="E210" s="402"/>
      <c r="F210" s="402"/>
      <c r="G210" s="838"/>
      <c r="H210"/>
      <c r="J210" s="580"/>
    </row>
    <row r="211" spans="1:10" ht="15" thickBot="1" x14ac:dyDescent="0.4">
      <c r="B211" t="str">
        <f>IF(LEN('Ch5'!H213)=0,"",'Ch5'!H213)</f>
        <v/>
      </c>
      <c r="C211" t="str">
        <f t="shared" si="3"/>
        <v/>
      </c>
      <c r="D211" s="407"/>
      <c r="E211" s="407"/>
      <c r="F211" s="407"/>
      <c r="G211" s="606" t="s">
        <v>768</v>
      </c>
      <c r="H211"/>
      <c r="J211" s="580"/>
    </row>
    <row r="212" spans="1:10" ht="15" thickTop="1" x14ac:dyDescent="0.35">
      <c r="A212" s="366" t="str">
        <f>IF(I212&gt;0,"P","")</f>
        <v>P</v>
      </c>
      <c r="B212" t="str">
        <f>IF(LEN('Ch5'!H214)=0,"",'Ch5'!H214)</f>
        <v/>
      </c>
      <c r="C212" t="str">
        <f t="shared" si="3"/>
        <v>P</v>
      </c>
      <c r="D212" s="402" t="s">
        <v>456</v>
      </c>
      <c r="E212" s="402"/>
      <c r="F212" s="402"/>
      <c r="G212" s="838" t="s">
        <v>457</v>
      </c>
      <c r="H212"/>
      <c r="I212" s="433">
        <f>SUM(I214:I217)</f>
        <v>3</v>
      </c>
      <c r="J212" s="580"/>
    </row>
    <row r="213" spans="1:10" x14ac:dyDescent="0.35">
      <c r="A213" s="366" t="str">
        <f>A212</f>
        <v>P</v>
      </c>
      <c r="B213" t="str">
        <f>IF(LEN('Ch5'!H215)=0,"",'Ch5'!H215)</f>
        <v/>
      </c>
      <c r="C213" t="str">
        <f t="shared" si="3"/>
        <v>P</v>
      </c>
      <c r="D213" s="402"/>
      <c r="E213" s="402"/>
      <c r="F213" s="402"/>
      <c r="G213" s="838"/>
      <c r="H213"/>
      <c r="J213" s="580"/>
    </row>
    <row r="214" spans="1:10" ht="26" x14ac:dyDescent="0.35">
      <c r="A214" s="366" t="str">
        <f>IF(I214&gt;0,"P","")</f>
        <v>P</v>
      </c>
      <c r="B214" t="str">
        <f>IF(LEN('Ch5'!H216)=0,"",'Ch5'!H216)</f>
        <v/>
      </c>
      <c r="C214" t="str">
        <f t="shared" si="3"/>
        <v>P</v>
      </c>
      <c r="D214" s="402"/>
      <c r="E214" s="416" t="s">
        <v>256</v>
      </c>
      <c r="F214" s="416"/>
      <c r="G214" s="228" t="s">
        <v>458</v>
      </c>
      <c r="H214" s="400" t="b">
        <f>IF(LEN('Ch5'!W216)=0,"",'Ch5'!W216)</f>
        <v>1</v>
      </c>
      <c r="I214" s="46">
        <f>'Ch5'!O216</f>
        <v>3</v>
      </c>
      <c r="J214" s="580" t="s">
        <v>4936</v>
      </c>
    </row>
    <row r="215" spans="1:10" x14ac:dyDescent="0.35">
      <c r="A215" s="366" t="str">
        <f>IF(I215&gt;0,"P","")</f>
        <v/>
      </c>
      <c r="B215" t="str">
        <f>IF(LEN('Ch5'!H217)=0,"",'Ch5'!H217)</f>
        <v/>
      </c>
      <c r="C215" t="str">
        <f t="shared" si="3"/>
        <v/>
      </c>
      <c r="D215" s="402"/>
      <c r="E215" s="402" t="s">
        <v>258</v>
      </c>
      <c r="F215" s="402"/>
      <c r="G215" s="814" t="s">
        <v>459</v>
      </c>
      <c r="H215" s="400" t="str">
        <f>IF(LEN('Ch5'!W217)=0,"",'Ch5'!W217)</f>
        <v/>
      </c>
      <c r="I215" s="46">
        <f>'Ch5'!O217</f>
        <v>0</v>
      </c>
      <c r="J215" s="580" t="s">
        <v>4937</v>
      </c>
    </row>
    <row r="216" spans="1:10" x14ac:dyDescent="0.35">
      <c r="A216" s="366" t="str">
        <f>A215</f>
        <v/>
      </c>
      <c r="B216" t="str">
        <f>IF(LEN('Ch5'!H218)=0,"",'Ch5'!H218)</f>
        <v/>
      </c>
      <c r="C216" t="str">
        <f t="shared" si="3"/>
        <v/>
      </c>
      <c r="D216" s="402"/>
      <c r="E216" s="416"/>
      <c r="F216" s="416"/>
      <c r="G216" s="815"/>
      <c r="H216"/>
      <c r="J216" s="580"/>
    </row>
    <row r="217" spans="1:10" x14ac:dyDescent="0.35">
      <c r="A217" s="366" t="str">
        <f>IF(I217&gt;0,"P","")</f>
        <v/>
      </c>
      <c r="B217" t="str">
        <f>IF(LEN('Ch5'!H219)=0,"",'Ch5'!H219)</f>
        <v/>
      </c>
      <c r="C217" t="str">
        <f t="shared" si="3"/>
        <v/>
      </c>
      <c r="D217" s="402"/>
      <c r="E217" s="402" t="s">
        <v>260</v>
      </c>
      <c r="F217" s="402"/>
      <c r="G217" s="814" t="s">
        <v>460</v>
      </c>
      <c r="H217" s="400" t="str">
        <f>IF(LEN('Ch5'!W219)=0,"",'Ch5'!W219)</f>
        <v/>
      </c>
      <c r="I217" s="46">
        <f>'Ch5'!O219</f>
        <v>0</v>
      </c>
      <c r="J217" s="580" t="s">
        <v>4938</v>
      </c>
    </row>
    <row r="218" spans="1:10" ht="15" thickBot="1" x14ac:dyDescent="0.4">
      <c r="A218" s="366" t="str">
        <f>A217</f>
        <v/>
      </c>
      <c r="B218" t="str">
        <f>IF(LEN('Ch5'!H220)=0,"",'Ch5'!H220)</f>
        <v/>
      </c>
      <c r="C218" t="str">
        <f t="shared" si="3"/>
        <v/>
      </c>
      <c r="D218" s="407"/>
      <c r="E218" s="407"/>
      <c r="F218" s="407"/>
      <c r="G218" s="839"/>
      <c r="H218"/>
      <c r="J218" s="580"/>
    </row>
    <row r="219" spans="1:10" ht="15" thickTop="1" x14ac:dyDescent="0.35">
      <c r="A219" s="366" t="str">
        <f>IF(I219&gt;0,"P","")</f>
        <v>P</v>
      </c>
      <c r="B219" t="str">
        <f>IF(LEN('Ch5'!H221)=0,"",'Ch5'!H221)</f>
        <v/>
      </c>
      <c r="C219" t="str">
        <f t="shared" si="3"/>
        <v>P</v>
      </c>
      <c r="D219" s="402" t="s">
        <v>461</v>
      </c>
      <c r="E219" s="402"/>
      <c r="F219" s="402"/>
      <c r="G219" s="838" t="s">
        <v>462</v>
      </c>
      <c r="H219"/>
      <c r="I219" s="433">
        <f>SUM(I222:I245)</f>
        <v>5</v>
      </c>
      <c r="J219" s="580"/>
    </row>
    <row r="220" spans="1:10" x14ac:dyDescent="0.35">
      <c r="A220" s="366" t="str">
        <f>A219</f>
        <v>P</v>
      </c>
      <c r="B220" t="str">
        <f>IF(LEN('Ch5'!H222)=0,"",'Ch5'!H222)</f>
        <v/>
      </c>
      <c r="C220" t="str">
        <f t="shared" si="3"/>
        <v>P</v>
      </c>
      <c r="D220" s="402"/>
      <c r="E220" s="402"/>
      <c r="F220" s="402"/>
      <c r="G220" s="838"/>
      <c r="H220"/>
      <c r="J220" s="580"/>
    </row>
    <row r="221" spans="1:10" x14ac:dyDescent="0.35">
      <c r="A221" s="366" t="str">
        <f>A220</f>
        <v>P</v>
      </c>
      <c r="B221" t="str">
        <f>IF(LEN('Ch5'!H223)=0,"",'Ch5'!H223)</f>
        <v/>
      </c>
      <c r="C221" t="str">
        <f t="shared" si="3"/>
        <v>P</v>
      </c>
      <c r="D221" s="402"/>
      <c r="E221" s="402"/>
      <c r="F221" s="402"/>
      <c r="G221" s="838"/>
      <c r="H221"/>
      <c r="J221" s="580"/>
    </row>
    <row r="222" spans="1:10" x14ac:dyDescent="0.35">
      <c r="A222" s="366" t="str">
        <f>IF(I222&gt;0,"P","")</f>
        <v/>
      </c>
      <c r="B222" t="str">
        <f>IF(LEN('Ch5'!H224)=0,"",'Ch5'!H224)</f>
        <v/>
      </c>
      <c r="C222" t="str">
        <f t="shared" si="3"/>
        <v/>
      </c>
      <c r="D222" s="402"/>
      <c r="E222" s="402" t="s">
        <v>256</v>
      </c>
      <c r="F222" s="402"/>
      <c r="G222" s="814" t="s">
        <v>463</v>
      </c>
      <c r="H222" s="400" t="str">
        <f>IF(LEN('Ch5'!W224)=0,"",'Ch5'!W224)</f>
        <v/>
      </c>
      <c r="I222" s="46">
        <f>'Ch5'!O224</f>
        <v>0</v>
      </c>
      <c r="J222" s="580" t="s">
        <v>4939</v>
      </c>
    </row>
    <row r="223" spans="1:10" x14ac:dyDescent="0.35">
      <c r="A223" s="366" t="str">
        <f>A222</f>
        <v/>
      </c>
      <c r="B223" t="str">
        <f>IF(LEN('Ch5'!H225)=0,"",'Ch5'!H225)</f>
        <v/>
      </c>
      <c r="C223" t="str">
        <f t="shared" si="3"/>
        <v/>
      </c>
      <c r="D223" s="402"/>
      <c r="E223" s="416"/>
      <c r="F223" s="416"/>
      <c r="G223" s="815"/>
      <c r="H223"/>
      <c r="J223" s="580"/>
    </row>
    <row r="224" spans="1:10" x14ac:dyDescent="0.35">
      <c r="A224" s="366" t="str">
        <f>IF(I224&gt;0,"P","")</f>
        <v>P</v>
      </c>
      <c r="B224" t="str">
        <f>IF(LEN('Ch5'!H226)=0,"",'Ch5'!H226)</f>
        <v/>
      </c>
      <c r="C224" t="str">
        <f t="shared" si="3"/>
        <v>P</v>
      </c>
      <c r="D224" s="402"/>
      <c r="E224" s="416" t="s">
        <v>258</v>
      </c>
      <c r="F224" s="416"/>
      <c r="G224" s="228" t="s">
        <v>464</v>
      </c>
      <c r="H224" s="400" t="b">
        <f>IF(LEN('Ch5'!W226)=0,"",'Ch5'!W226)</f>
        <v>1</v>
      </c>
      <c r="I224" s="46">
        <f>'Ch5'!O226</f>
        <v>5</v>
      </c>
      <c r="J224" s="580" t="s">
        <v>3891</v>
      </c>
    </row>
    <row r="225" spans="1:10" x14ac:dyDescent="0.35">
      <c r="A225" s="366" t="str">
        <f>IF(I225&gt;0,"P","")</f>
        <v/>
      </c>
      <c r="B225" t="str">
        <f>IF(LEN('Ch5'!H227)=0,"",'Ch5'!H227)</f>
        <v/>
      </c>
      <c r="C225" t="str">
        <f t="shared" si="3"/>
        <v/>
      </c>
      <c r="D225" s="402"/>
      <c r="E225" s="402" t="s">
        <v>260</v>
      </c>
      <c r="F225" s="402"/>
      <c r="G225" s="814" t="s">
        <v>465</v>
      </c>
      <c r="H225" s="400" t="str">
        <f>IF(LEN('Ch5'!W227)=0,"",'Ch5'!W227)</f>
        <v/>
      </c>
      <c r="I225" s="46">
        <f>'Ch5'!O227</f>
        <v>0</v>
      </c>
      <c r="J225" s="580" t="s">
        <v>3891</v>
      </c>
    </row>
    <row r="226" spans="1:10" x14ac:dyDescent="0.35">
      <c r="A226" s="366" t="str">
        <f>A225</f>
        <v/>
      </c>
      <c r="B226" t="str">
        <f>IF(LEN('Ch5'!H228)=0,"",'Ch5'!H228)</f>
        <v/>
      </c>
      <c r="C226" t="str">
        <f t="shared" si="3"/>
        <v/>
      </c>
      <c r="D226" s="402"/>
      <c r="E226" s="416"/>
      <c r="F226" s="416"/>
      <c r="G226" s="815"/>
      <c r="H226"/>
      <c r="J226" s="580"/>
    </row>
    <row r="227" spans="1:10" x14ac:dyDescent="0.35">
      <c r="A227" s="366" t="str">
        <f>IF(I227&gt;0,"P","")</f>
        <v/>
      </c>
      <c r="B227" t="str">
        <f>IF(LEN('Ch5'!H229)=0,"",'Ch5'!H229)</f>
        <v/>
      </c>
      <c r="C227" t="str">
        <f t="shared" si="3"/>
        <v/>
      </c>
      <c r="D227" s="402"/>
      <c r="E227" s="402" t="s">
        <v>269</v>
      </c>
      <c r="F227" s="402"/>
      <c r="G227" s="814" t="s">
        <v>466</v>
      </c>
      <c r="H227" s="400" t="str">
        <f>IF(LEN('Ch5'!W229)=0,"",'Ch5'!W229)</f>
        <v/>
      </c>
      <c r="I227" s="46">
        <f>'Ch5'!O229</f>
        <v>0</v>
      </c>
      <c r="J227" s="580" t="s">
        <v>3891</v>
      </c>
    </row>
    <row r="228" spans="1:10" x14ac:dyDescent="0.35">
      <c r="A228" s="366" t="str">
        <f>A227</f>
        <v/>
      </c>
      <c r="B228" t="str">
        <f>IF(LEN('Ch5'!H230)=0,"",'Ch5'!H230)</f>
        <v/>
      </c>
      <c r="C228" t="str">
        <f t="shared" si="3"/>
        <v/>
      </c>
      <c r="D228" s="402"/>
      <c r="E228" s="416"/>
      <c r="F228" s="416"/>
      <c r="G228" s="815"/>
      <c r="H228"/>
      <c r="J228" s="580"/>
    </row>
    <row r="229" spans="1:10" x14ac:dyDescent="0.35">
      <c r="A229" s="366" t="str">
        <f>IF(I229&gt;0,"P","")</f>
        <v/>
      </c>
      <c r="B229" t="str">
        <f>IF(LEN('Ch5'!H231)=0,"",'Ch5'!H231)</f>
        <v/>
      </c>
      <c r="C229" t="str">
        <f t="shared" si="3"/>
        <v/>
      </c>
      <c r="D229" s="402"/>
      <c r="E229" s="402" t="s">
        <v>275</v>
      </c>
      <c r="F229" s="402"/>
      <c r="G229" s="814" t="s">
        <v>467</v>
      </c>
      <c r="H229" s="400" t="str">
        <f>IF(LEN('Ch5'!W231)=0,"",'Ch5'!W231)</f>
        <v/>
      </c>
      <c r="I229" s="46">
        <f>'Ch5'!O231</f>
        <v>0</v>
      </c>
      <c r="J229" s="580" t="s">
        <v>3891</v>
      </c>
    </row>
    <row r="230" spans="1:10" x14ac:dyDescent="0.35">
      <c r="A230" s="366" t="str">
        <f>A229</f>
        <v/>
      </c>
      <c r="B230" t="str">
        <f>IF(LEN('Ch5'!H232)=0,"",'Ch5'!H232)</f>
        <v/>
      </c>
      <c r="C230" t="str">
        <f t="shared" si="3"/>
        <v/>
      </c>
      <c r="D230" s="402"/>
      <c r="E230" s="402"/>
      <c r="F230" s="402"/>
      <c r="G230" s="814"/>
      <c r="H230"/>
      <c r="J230" s="580"/>
    </row>
    <row r="231" spans="1:10" x14ac:dyDescent="0.35">
      <c r="A231" s="366" t="str">
        <f>A230</f>
        <v/>
      </c>
      <c r="B231" t="str">
        <f>IF(LEN('Ch5'!H233)=0,"",'Ch5'!H233)</f>
        <v/>
      </c>
      <c r="C231" t="str">
        <f t="shared" si="3"/>
        <v/>
      </c>
      <c r="D231" s="402"/>
      <c r="E231" s="402"/>
      <c r="F231" s="402"/>
      <c r="G231" s="814"/>
      <c r="H231"/>
      <c r="J231" s="580"/>
    </row>
    <row r="232" spans="1:10" x14ac:dyDescent="0.35">
      <c r="A232" s="366" t="str">
        <f>A231</f>
        <v/>
      </c>
      <c r="B232" t="str">
        <f>IF(LEN('Ch5'!H234)=0,"",'Ch5'!H234)</f>
        <v/>
      </c>
      <c r="C232" t="str">
        <f t="shared" si="3"/>
        <v/>
      </c>
      <c r="D232" s="402"/>
      <c r="E232" s="416"/>
      <c r="F232" s="416"/>
      <c r="G232" s="815"/>
      <c r="H232"/>
      <c r="J232" s="580"/>
    </row>
    <row r="233" spans="1:10" x14ac:dyDescent="0.35">
      <c r="A233" s="366" t="str">
        <f>IF(I233&gt;0,"P","")</f>
        <v/>
      </c>
      <c r="B233" t="str">
        <f>IF(LEN('Ch5'!H235)=0,"",'Ch5'!H235)</f>
        <v/>
      </c>
      <c r="C233" t="str">
        <f t="shared" si="3"/>
        <v/>
      </c>
      <c r="D233" s="402"/>
      <c r="E233" s="402" t="s">
        <v>277</v>
      </c>
      <c r="F233" s="402"/>
      <c r="G233" s="814" t="s">
        <v>468</v>
      </c>
      <c r="H233" s="400" t="str">
        <f>IF(LEN('Ch5'!W235)=0,"",'Ch5'!W235)</f>
        <v/>
      </c>
      <c r="I233" s="46">
        <f>'Ch5'!O235</f>
        <v>0</v>
      </c>
      <c r="J233" s="580" t="s">
        <v>4940</v>
      </c>
    </row>
    <row r="234" spans="1:10" x14ac:dyDescent="0.35">
      <c r="A234" s="366" t="str">
        <f>A233</f>
        <v/>
      </c>
      <c r="B234" t="str">
        <f>IF(LEN('Ch5'!H236)=0,"",'Ch5'!H236)</f>
        <v/>
      </c>
      <c r="C234" t="str">
        <f t="shared" si="3"/>
        <v/>
      </c>
      <c r="D234" s="402"/>
      <c r="E234" s="402"/>
      <c r="F234" s="402"/>
      <c r="G234" s="814"/>
      <c r="H234"/>
      <c r="J234" s="580"/>
    </row>
    <row r="235" spans="1:10" x14ac:dyDescent="0.35">
      <c r="A235" s="366" t="str">
        <f>A234</f>
        <v/>
      </c>
      <c r="B235" t="str">
        <f>IF(LEN('Ch5'!H237)=0,"",'Ch5'!H237)</f>
        <v/>
      </c>
      <c r="C235" t="str">
        <f t="shared" si="3"/>
        <v/>
      </c>
      <c r="D235" s="402"/>
      <c r="E235" s="416"/>
      <c r="F235" s="416"/>
      <c r="G235" s="815"/>
      <c r="H235"/>
      <c r="J235" s="580"/>
    </row>
    <row r="236" spans="1:10" x14ac:dyDescent="0.35">
      <c r="A236" s="366" t="str">
        <f>IF(I236&gt;0,"P","")</f>
        <v/>
      </c>
      <c r="B236" t="str">
        <f>IF(LEN('Ch5'!H238)=0,"",'Ch5'!H238)</f>
        <v/>
      </c>
      <c r="C236" t="str">
        <f t="shared" si="3"/>
        <v/>
      </c>
      <c r="D236" s="402"/>
      <c r="E236" s="416" t="s">
        <v>383</v>
      </c>
      <c r="F236" s="416"/>
      <c r="G236" s="228" t="s">
        <v>469</v>
      </c>
      <c r="H236" s="400" t="str">
        <f>IF(LEN('Ch5'!W238)=0,"",'Ch5'!W238)</f>
        <v/>
      </c>
      <c r="I236" s="46">
        <f>'Ch5'!O238</f>
        <v>0</v>
      </c>
      <c r="J236" s="580" t="s">
        <v>4941</v>
      </c>
    </row>
    <row r="237" spans="1:10" x14ac:dyDescent="0.35">
      <c r="A237" s="366" t="str">
        <f>IF(I237&gt;0,"P","")</f>
        <v/>
      </c>
      <c r="B237" t="str">
        <f>IF(LEN('Ch5'!H239)=0,"",'Ch5'!H239)</f>
        <v/>
      </c>
      <c r="C237" t="str">
        <f t="shared" si="3"/>
        <v/>
      </c>
      <c r="D237" s="402"/>
      <c r="E237" s="402" t="s">
        <v>428</v>
      </c>
      <c r="F237" s="402"/>
      <c r="G237" s="266" t="s">
        <v>2977</v>
      </c>
      <c r="H237"/>
      <c r="I237" s="46">
        <f>'Ch5'!O239</f>
        <v>0</v>
      </c>
      <c r="J237" s="580" t="s">
        <v>4942</v>
      </c>
    </row>
    <row r="238" spans="1:10" x14ac:dyDescent="0.35">
      <c r="B238" t="str">
        <f>IF(LEN('Ch5'!H240)=0,"",'Ch5'!H240)</f>
        <v/>
      </c>
      <c r="C238" t="str">
        <f t="shared" si="3"/>
        <v/>
      </c>
      <c r="D238" s="402"/>
      <c r="E238" s="402"/>
      <c r="F238" s="402"/>
      <c r="G238" s="266" t="s">
        <v>2983</v>
      </c>
      <c r="H238" s="400" t="str">
        <f>IF(LEN('Ch5'!W240)=0,"",'Ch5'!W240)</f>
        <v/>
      </c>
      <c r="J238" s="580"/>
    </row>
    <row r="239" spans="1:10" x14ac:dyDescent="0.35">
      <c r="B239" t="str">
        <f>IF(LEN('Ch5'!H241)=0,"",'Ch5'!H241)</f>
        <v/>
      </c>
      <c r="C239" t="str">
        <f t="shared" si="3"/>
        <v/>
      </c>
      <c r="D239" s="402"/>
      <c r="E239" s="402"/>
      <c r="F239" s="402"/>
      <c r="G239" s="266" t="s">
        <v>2982</v>
      </c>
      <c r="H239" s="400" t="str">
        <f>IF(LEN('Ch5'!W241)=0,"",'Ch5'!W241)</f>
        <v/>
      </c>
      <c r="J239" s="580"/>
    </row>
    <row r="240" spans="1:10" x14ac:dyDescent="0.35">
      <c r="B240" t="str">
        <f>IF(LEN('Ch5'!H242)=0,"",'Ch5'!H242)</f>
        <v/>
      </c>
      <c r="C240" t="str">
        <f t="shared" si="3"/>
        <v/>
      </c>
      <c r="D240" s="402"/>
      <c r="E240" s="402"/>
      <c r="F240" s="402"/>
      <c r="G240" s="266" t="s">
        <v>2981</v>
      </c>
      <c r="H240" s="400" t="str">
        <f>IF(LEN('Ch5'!W242)=0,"",'Ch5'!W242)</f>
        <v/>
      </c>
      <c r="J240" s="580"/>
    </row>
    <row r="241" spans="1:10" x14ac:dyDescent="0.35">
      <c r="B241" t="str">
        <f>IF(LEN('Ch5'!H243)=0,"",'Ch5'!H243)</f>
        <v/>
      </c>
      <c r="C241" t="str">
        <f t="shared" si="3"/>
        <v/>
      </c>
      <c r="D241" s="402"/>
      <c r="E241" s="402"/>
      <c r="F241" s="402"/>
      <c r="G241" s="266" t="s">
        <v>2980</v>
      </c>
      <c r="H241" s="400" t="str">
        <f>IF(LEN('Ch5'!W243)=0,"",'Ch5'!W243)</f>
        <v/>
      </c>
      <c r="J241" s="580"/>
    </row>
    <row r="242" spans="1:10" x14ac:dyDescent="0.35">
      <c r="B242" t="str">
        <f>IF(LEN('Ch5'!H244)=0,"",'Ch5'!H244)</f>
        <v/>
      </c>
      <c r="C242" t="str">
        <f t="shared" si="3"/>
        <v/>
      </c>
      <c r="D242" s="402"/>
      <c r="E242" s="402"/>
      <c r="F242" s="402"/>
      <c r="G242" s="266" t="s">
        <v>2979</v>
      </c>
      <c r="H242" s="400" t="str">
        <f>IF(LEN('Ch5'!W244)=0,"",'Ch5'!W244)</f>
        <v/>
      </c>
      <c r="J242" s="580"/>
    </row>
    <row r="243" spans="1:10" x14ac:dyDescent="0.35">
      <c r="B243" t="str">
        <f>IF(LEN('Ch5'!H245)=0,"",'Ch5'!H245)</f>
        <v/>
      </c>
      <c r="C243" t="str">
        <f t="shared" si="3"/>
        <v/>
      </c>
      <c r="D243" s="402"/>
      <c r="E243" s="402"/>
      <c r="F243" s="402"/>
      <c r="G243" s="266" t="s">
        <v>2978</v>
      </c>
      <c r="H243" s="400" t="str">
        <f>IF(LEN('Ch5'!W245)=0,"",'Ch5'!W245)</f>
        <v/>
      </c>
      <c r="J243" s="580"/>
    </row>
    <row r="244" spans="1:10" x14ac:dyDescent="0.35">
      <c r="B244" t="str">
        <f>IF(LEN('Ch5'!H246)=0,"",'Ch5'!H246)</f>
        <v/>
      </c>
      <c r="C244" t="str">
        <f t="shared" si="3"/>
        <v/>
      </c>
      <c r="D244" s="402"/>
      <c r="E244" s="416"/>
      <c r="F244" s="416"/>
      <c r="G244" s="603" t="s">
        <v>2976</v>
      </c>
      <c r="H244"/>
      <c r="J244" s="580"/>
    </row>
    <row r="245" spans="1:10" x14ac:dyDescent="0.35">
      <c r="A245" s="366" t="str">
        <f>IF(I245&gt;0,"P","")</f>
        <v/>
      </c>
      <c r="B245" t="str">
        <f>IF(LEN('Ch5'!H247)=0,"",'Ch5'!H247)</f>
        <v/>
      </c>
      <c r="C245" t="str">
        <f t="shared" si="3"/>
        <v/>
      </c>
      <c r="D245" s="402"/>
      <c r="E245" s="402" t="s">
        <v>430</v>
      </c>
      <c r="F245" s="402"/>
      <c r="G245" s="90" t="s">
        <v>470</v>
      </c>
      <c r="H245" s="400" t="str">
        <f>IF(LEN('Ch5'!W247)=0,"",'Ch5'!W247)</f>
        <v/>
      </c>
      <c r="I245" s="46">
        <f>'Ch5'!O247</f>
        <v>0</v>
      </c>
      <c r="J245" s="580" t="s">
        <v>4943</v>
      </c>
    </row>
    <row r="246" spans="1:10" ht="18.5" x14ac:dyDescent="0.35">
      <c r="A246" s="366" t="s">
        <v>3973</v>
      </c>
      <c r="B246" t="str">
        <f>IF(LEN('Ch5'!H248)=0,"",'Ch5'!H248)</f>
        <v/>
      </c>
      <c r="C246" t="str">
        <f t="shared" si="3"/>
        <v>P</v>
      </c>
      <c r="D246" s="620" t="s">
        <v>472</v>
      </c>
      <c r="E246" s="620"/>
      <c r="F246" s="620"/>
      <c r="G246" s="602"/>
      <c r="H246"/>
      <c r="J246" s="580"/>
    </row>
    <row r="247" spans="1:10" x14ac:dyDescent="0.35">
      <c r="B247" t="str">
        <f>IF(LEN('Ch5'!H249)=0,"",'Ch5'!H249)</f>
        <v/>
      </c>
      <c r="C247" t="str">
        <f t="shared" si="3"/>
        <v/>
      </c>
      <c r="D247" s="402" t="s">
        <v>3983</v>
      </c>
      <c r="E247" s="402"/>
      <c r="F247" s="402"/>
      <c r="G247" s="838" t="s">
        <v>473</v>
      </c>
      <c r="H247"/>
      <c r="J247" s="580"/>
    </row>
    <row r="248" spans="1:10" x14ac:dyDescent="0.35">
      <c r="B248" t="str">
        <f>IF(LEN('Ch5'!H250)=0,"",'Ch5'!H250)</f>
        <v/>
      </c>
      <c r="C248" t="str">
        <f t="shared" si="3"/>
        <v/>
      </c>
      <c r="D248" s="402"/>
      <c r="E248" s="402"/>
      <c r="F248" s="402"/>
      <c r="G248" s="838"/>
      <c r="H248"/>
      <c r="J248" s="580"/>
    </row>
    <row r="249" spans="1:10" ht="15" thickBot="1" x14ac:dyDescent="0.4">
      <c r="B249" t="str">
        <f>IF(LEN('Ch5'!H251)=0,"",'Ch5'!H251)</f>
        <v/>
      </c>
      <c r="C249" t="str">
        <f t="shared" si="3"/>
        <v/>
      </c>
      <c r="D249" s="407"/>
      <c r="E249" s="407"/>
      <c r="F249" s="407"/>
      <c r="G249" s="849"/>
      <c r="H249"/>
      <c r="J249" s="580"/>
    </row>
    <row r="250" spans="1:10" ht="15" thickTop="1" x14ac:dyDescent="0.35">
      <c r="A250" s="366" t="str">
        <f ca="1">IF(I250&gt;0,"P","")</f>
        <v/>
      </c>
      <c r="B250" t="str">
        <f>IF(LEN('Ch5'!H252)=0,"",'Ch5'!H252)</f>
        <v/>
      </c>
      <c r="C250" t="str">
        <f t="shared" ca="1" si="3"/>
        <v/>
      </c>
      <c r="D250" s="402" t="s">
        <v>474</v>
      </c>
      <c r="E250" s="402"/>
      <c r="F250" s="402"/>
      <c r="G250" s="838" t="s">
        <v>475</v>
      </c>
      <c r="H250"/>
      <c r="I250" s="433">
        <f ca="1">SUM(I252:I256)</f>
        <v>0</v>
      </c>
      <c r="J250" s="580"/>
    </row>
    <row r="251" spans="1:10" x14ac:dyDescent="0.35">
      <c r="A251" s="366" t="str">
        <f ca="1">A250</f>
        <v/>
      </c>
      <c r="B251" t="str">
        <f>IF(LEN('Ch5'!H253)=0,"",'Ch5'!H253)</f>
        <v/>
      </c>
      <c r="C251" t="str">
        <f t="shared" ca="1" si="3"/>
        <v/>
      </c>
      <c r="D251" s="402"/>
      <c r="E251" s="402"/>
      <c r="F251" s="402"/>
      <c r="G251" s="838"/>
      <c r="H251"/>
      <c r="J251" s="580"/>
    </row>
    <row r="252" spans="1:10" x14ac:dyDescent="0.35">
      <c r="A252" s="366" t="str">
        <f>IF(I252&gt;0,"P","")</f>
        <v/>
      </c>
      <c r="B252" t="str">
        <f>IF(LEN('Ch5'!H254)=0,"",'Ch5'!H254)</f>
        <v/>
      </c>
      <c r="C252" t="str">
        <f t="shared" si="3"/>
        <v/>
      </c>
      <c r="D252" s="402"/>
      <c r="E252" s="402" t="s">
        <v>256</v>
      </c>
      <c r="F252" s="402"/>
      <c r="G252" s="814" t="s">
        <v>476</v>
      </c>
      <c r="H252" s="400" t="str">
        <f>IF(LEN('Ch5'!W254)=0,"",'Ch5'!W254)</f>
        <v/>
      </c>
      <c r="I252" s="46">
        <f>'Ch5'!O254</f>
        <v>0</v>
      </c>
      <c r="J252" s="580" t="s">
        <v>3891</v>
      </c>
    </row>
    <row r="253" spans="1:10" x14ac:dyDescent="0.35">
      <c r="A253" s="366" t="str">
        <f>A252</f>
        <v/>
      </c>
      <c r="B253" t="str">
        <f>IF(LEN('Ch5'!H255)=0,"",'Ch5'!H255)</f>
        <v/>
      </c>
      <c r="C253" t="str">
        <f t="shared" si="3"/>
        <v/>
      </c>
      <c r="D253" s="402"/>
      <c r="E253" s="416"/>
      <c r="F253" s="416"/>
      <c r="G253" s="815"/>
      <c r="H253"/>
      <c r="J253" s="580"/>
    </row>
    <row r="254" spans="1:10" x14ac:dyDescent="0.35">
      <c r="A254" s="366" t="str">
        <f ca="1">IF(I254&gt;0,"P","")</f>
        <v/>
      </c>
      <c r="B254" t="str">
        <f>IF(LEN('Ch5'!H256)=0,"",'Ch5'!H256)</f>
        <v/>
      </c>
      <c r="C254" t="str">
        <f t="shared" ca="1" si="3"/>
        <v/>
      </c>
      <c r="D254" s="402"/>
      <c r="E254" s="424" t="s">
        <v>258</v>
      </c>
      <c r="F254" s="424"/>
      <c r="G254" s="820" t="s">
        <v>477</v>
      </c>
      <c r="H254" s="400" t="str">
        <f>IF(LEN('Ch5'!W256)=0,"",'Ch5'!W256)</f>
        <v/>
      </c>
      <c r="I254" s="46">
        <f ca="1">'Ch5'!O256</f>
        <v>0</v>
      </c>
      <c r="J254" s="592" t="s">
        <v>4944</v>
      </c>
    </row>
    <row r="255" spans="1:10" x14ac:dyDescent="0.35">
      <c r="A255" s="366" t="str">
        <f ca="1">A254</f>
        <v/>
      </c>
      <c r="B255" t="str">
        <f>IF(LEN('Ch5'!H257)=0,"",'Ch5'!H257)</f>
        <v/>
      </c>
      <c r="C255" t="str">
        <f t="shared" ca="1" si="3"/>
        <v/>
      </c>
      <c r="E255" s="619"/>
      <c r="F255" s="619"/>
      <c r="G255" s="821"/>
      <c r="H255"/>
      <c r="J255" s="580"/>
    </row>
    <row r="256" spans="1:10" x14ac:dyDescent="0.35">
      <c r="A256" s="366" t="str">
        <f ca="1">IF(I256&gt;0,"P","")</f>
        <v/>
      </c>
      <c r="B256" t="str">
        <f>IF(LEN('Ch5'!H258)=0,"",'Ch5'!H258)</f>
        <v/>
      </c>
      <c r="C256" t="str">
        <f t="shared" ca="1" si="3"/>
        <v/>
      </c>
      <c r="D256" s="402"/>
      <c r="E256" s="402" t="s">
        <v>260</v>
      </c>
      <c r="F256" s="402"/>
      <c r="G256" s="90" t="s">
        <v>478</v>
      </c>
      <c r="H256" s="400" t="str">
        <f>IF(LEN('Ch5'!W258)=0,"",'Ch5'!W258)</f>
        <v/>
      </c>
      <c r="I256" s="46">
        <f ca="1">'Ch5'!O258</f>
        <v>0</v>
      </c>
      <c r="J256" s="580" t="s">
        <v>3891</v>
      </c>
    </row>
    <row r="257" spans="1:10" x14ac:dyDescent="0.35">
      <c r="B257" t="str">
        <f>IF(LEN('Ch5'!H259)=0,"",'Ch5'!H259)</f>
        <v/>
      </c>
      <c r="C257" t="str">
        <f t="shared" si="3"/>
        <v/>
      </c>
      <c r="E257" s="402"/>
      <c r="F257" s="402" t="s">
        <v>121</v>
      </c>
      <c r="G257" s="90" t="s">
        <v>479</v>
      </c>
      <c r="H257"/>
      <c r="J257" s="580"/>
    </row>
    <row r="258" spans="1:10" x14ac:dyDescent="0.35">
      <c r="B258" t="str">
        <f>IF(LEN('Ch5'!H260)=0,"",'Ch5'!H260)</f>
        <v/>
      </c>
      <c r="C258" t="str">
        <f t="shared" si="3"/>
        <v/>
      </c>
      <c r="E258" s="402"/>
      <c r="F258" s="402" t="s">
        <v>122</v>
      </c>
      <c r="G258" s="90" t="s">
        <v>480</v>
      </c>
      <c r="H258"/>
      <c r="J258" s="580"/>
    </row>
    <row r="259" spans="1:10" ht="15" thickBot="1" x14ac:dyDescent="0.4">
      <c r="B259" t="str">
        <f>IF(LEN('Ch5'!H261)=0,"",'Ch5'!H261)</f>
        <v/>
      </c>
      <c r="C259" t="str">
        <f t="shared" si="3"/>
        <v/>
      </c>
      <c r="D259" s="618"/>
      <c r="E259" s="407"/>
      <c r="F259" s="421" t="s">
        <v>123</v>
      </c>
      <c r="G259" s="229" t="s">
        <v>391</v>
      </c>
      <c r="H259"/>
      <c r="J259" s="580"/>
    </row>
    <row r="260" spans="1:10" ht="15" thickTop="1" x14ac:dyDescent="0.35">
      <c r="A260" s="366" t="str">
        <f>IF(I260&gt;0,"P","")</f>
        <v/>
      </c>
      <c r="B260" t="str">
        <f>IF(LEN('Ch5'!H262)=0,"",'Ch5'!H262)</f>
        <v/>
      </c>
      <c r="C260" t="str">
        <f t="shared" si="3"/>
        <v/>
      </c>
      <c r="D260" s="402" t="s">
        <v>482</v>
      </c>
      <c r="E260" s="402"/>
      <c r="F260" s="402"/>
      <c r="G260" s="95" t="s">
        <v>483</v>
      </c>
      <c r="H260"/>
      <c r="I260" s="433">
        <f>SUM(I261:I271)</f>
        <v>0</v>
      </c>
      <c r="J260" s="580"/>
    </row>
    <row r="261" spans="1:10" x14ac:dyDescent="0.35">
      <c r="A261" s="366" t="str">
        <f>IF(I261&gt;0,"P","")</f>
        <v/>
      </c>
      <c r="B261" t="str">
        <f>IF(LEN('Ch5'!H263)=0,"",'Ch5'!H263)</f>
        <v/>
      </c>
      <c r="C261" t="str">
        <f t="shared" si="3"/>
        <v/>
      </c>
      <c r="D261" s="402"/>
      <c r="E261" s="402" t="s">
        <v>256</v>
      </c>
      <c r="F261" s="402"/>
      <c r="G261" s="814" t="s">
        <v>484</v>
      </c>
      <c r="H261"/>
      <c r="I261" s="46">
        <f>'Ch5'!O263</f>
        <v>0</v>
      </c>
      <c r="J261" s="992" t="s">
        <v>4945</v>
      </c>
    </row>
    <row r="262" spans="1:10" x14ac:dyDescent="0.35">
      <c r="A262" s="366" t="str">
        <f>A261</f>
        <v/>
      </c>
      <c r="B262" t="str">
        <f>IF(LEN('Ch5'!H264)=0,"",'Ch5'!H264)</f>
        <v/>
      </c>
      <c r="C262" t="str">
        <f t="shared" si="3"/>
        <v/>
      </c>
      <c r="D262" s="402"/>
      <c r="E262" s="402"/>
      <c r="F262" s="402"/>
      <c r="G262" s="814"/>
      <c r="H262"/>
      <c r="J262" s="993"/>
    </row>
    <row r="263" spans="1:10" x14ac:dyDescent="0.35">
      <c r="B263" t="str">
        <f>IF(LEN('Ch5'!H265)=0,"",'Ch5'!H265)</f>
        <v/>
      </c>
      <c r="C263" t="str">
        <f t="shared" si="3"/>
        <v/>
      </c>
      <c r="E263" s="402"/>
      <c r="F263" s="402" t="s">
        <v>121</v>
      </c>
      <c r="G263" s="814" t="s">
        <v>485</v>
      </c>
      <c r="H263" s="400" t="str">
        <f>IF(LEN('Ch5'!W265)=0,"",'Ch5'!W265)</f>
        <v/>
      </c>
      <c r="J263" s="580"/>
    </row>
    <row r="264" spans="1:10" x14ac:dyDescent="0.35">
      <c r="B264" t="str">
        <f>IF(LEN('Ch5'!H266)=0,"",'Ch5'!H266)</f>
        <v/>
      </c>
      <c r="C264" t="str">
        <f t="shared" ref="C264:C327" si="4">IF(LEN(B264)=0,IF(A264="P","P",""),B264)</f>
        <v/>
      </c>
      <c r="E264" s="402"/>
      <c r="F264" s="402"/>
      <c r="G264" s="814"/>
      <c r="H264"/>
      <c r="J264" s="580"/>
    </row>
    <row r="265" spans="1:10" x14ac:dyDescent="0.35">
      <c r="B265" t="str">
        <f>IF(LEN('Ch5'!H267)=0,"",'Ch5'!H267)</f>
        <v/>
      </c>
      <c r="C265" t="str">
        <f t="shared" si="4"/>
        <v/>
      </c>
      <c r="E265" s="402"/>
      <c r="F265" s="402"/>
      <c r="G265" s="814"/>
      <c r="H265"/>
      <c r="J265" s="580"/>
    </row>
    <row r="266" spans="1:10" x14ac:dyDescent="0.35">
      <c r="B266" t="str">
        <f>IF(LEN('Ch5'!H268)=0,"",'Ch5'!H268)</f>
        <v/>
      </c>
      <c r="C266" t="str">
        <f t="shared" si="4"/>
        <v/>
      </c>
      <c r="E266" s="402"/>
      <c r="F266" s="402" t="s">
        <v>122</v>
      </c>
      <c r="G266" s="814" t="s">
        <v>486</v>
      </c>
      <c r="H266" s="400" t="str">
        <f>IF(LEN('Ch5'!W268)=0,"",'Ch5'!W268)</f>
        <v/>
      </c>
      <c r="J266" s="580"/>
    </row>
    <row r="267" spans="1:10" x14ac:dyDescent="0.35">
      <c r="B267" t="str">
        <f>IF(LEN('Ch5'!H269)=0,"",'Ch5'!H269)</f>
        <v/>
      </c>
      <c r="C267" t="str">
        <f t="shared" si="4"/>
        <v/>
      </c>
      <c r="E267" s="402"/>
      <c r="F267" s="402"/>
      <c r="G267" s="814"/>
      <c r="H267"/>
      <c r="J267" s="580"/>
    </row>
    <row r="268" spans="1:10" x14ac:dyDescent="0.35">
      <c r="B268" t="str">
        <f>IF(LEN('Ch5'!H270)=0,"",'Ch5'!H270)</f>
        <v/>
      </c>
      <c r="C268" t="str">
        <f t="shared" si="4"/>
        <v/>
      </c>
      <c r="E268" s="402"/>
      <c r="F268" s="402"/>
      <c r="G268" s="814"/>
      <c r="H268"/>
      <c r="J268" s="580"/>
    </row>
    <row r="269" spans="1:10" x14ac:dyDescent="0.35">
      <c r="B269" t="str">
        <f>IF(LEN('Ch5'!H271)=0,"",'Ch5'!H271)</f>
        <v/>
      </c>
      <c r="C269" t="str">
        <f t="shared" si="4"/>
        <v/>
      </c>
      <c r="E269" s="402"/>
      <c r="F269" s="402"/>
      <c r="G269" s="814"/>
      <c r="H269"/>
      <c r="J269" s="580"/>
    </row>
    <row r="270" spans="1:10" x14ac:dyDescent="0.35">
      <c r="B270" t="str">
        <f>IF(LEN('Ch5'!H272)=0,"",'Ch5'!H272)</f>
        <v/>
      </c>
      <c r="C270" t="str">
        <f t="shared" si="4"/>
        <v/>
      </c>
      <c r="E270" s="416"/>
      <c r="F270" s="420" t="s">
        <v>123</v>
      </c>
      <c r="G270" s="228" t="s">
        <v>487</v>
      </c>
      <c r="H270" s="400" t="str">
        <f>IF(LEN('Ch5'!W272)=0,"",'Ch5'!W272)</f>
        <v/>
      </c>
      <c r="J270" s="580"/>
    </row>
    <row r="271" spans="1:10" x14ac:dyDescent="0.35">
      <c r="A271" s="366" t="str">
        <f>IF(I271&gt;0,"P","")</f>
        <v/>
      </c>
      <c r="B271" t="str">
        <f>IF(LEN('Ch5'!H273)=0,"",'Ch5'!H273)</f>
        <v/>
      </c>
      <c r="C271" t="str">
        <f t="shared" si="4"/>
        <v/>
      </c>
      <c r="D271" s="402"/>
      <c r="E271" s="402" t="s">
        <v>258</v>
      </c>
      <c r="F271" s="402"/>
      <c r="G271" s="814" t="s">
        <v>488</v>
      </c>
      <c r="H271" s="400" t="str">
        <f>IF(LEN('Ch5'!W273)=0,"",'Ch5'!W273)</f>
        <v/>
      </c>
      <c r="I271" s="46">
        <f>'Ch5'!O273</f>
        <v>0</v>
      </c>
      <c r="J271" s="580" t="s">
        <v>4946</v>
      </c>
    </row>
    <row r="272" spans="1:10" x14ac:dyDescent="0.35">
      <c r="A272" s="366" t="str">
        <f>A271</f>
        <v/>
      </c>
      <c r="B272" t="str">
        <f>IF(LEN('Ch5'!H274)=0,"",'Ch5'!H274)</f>
        <v/>
      </c>
      <c r="C272" t="str">
        <f t="shared" si="4"/>
        <v/>
      </c>
      <c r="D272" s="402"/>
      <c r="E272" s="402"/>
      <c r="F272" s="402"/>
      <c r="G272" s="814"/>
      <c r="H272"/>
      <c r="J272" s="580"/>
    </row>
    <row r="273" spans="1:10" ht="15" thickBot="1" x14ac:dyDescent="0.4">
      <c r="A273" s="366" t="str">
        <f>A272</f>
        <v/>
      </c>
      <c r="B273" t="str">
        <f>IF(LEN('Ch5'!H275)=0,"",'Ch5'!H275)</f>
        <v/>
      </c>
      <c r="C273" t="str">
        <f t="shared" si="4"/>
        <v/>
      </c>
      <c r="D273" s="407"/>
      <c r="E273" s="407"/>
      <c r="F273" s="407"/>
      <c r="G273" s="839"/>
      <c r="H273"/>
      <c r="J273" s="580"/>
    </row>
    <row r="274" spans="1:10" ht="15" thickTop="1" x14ac:dyDescent="0.35">
      <c r="A274" s="366" t="str">
        <f ca="1">IF(I274&gt;0,"P","")</f>
        <v/>
      </c>
      <c r="B274" t="str">
        <f>IF(LEN('Ch5'!H276)=0,"",'Ch5'!H276)</f>
        <v/>
      </c>
      <c r="C274" t="str">
        <f t="shared" ca="1" si="4"/>
        <v/>
      </c>
      <c r="D274" s="402" t="s">
        <v>489</v>
      </c>
      <c r="E274" s="402"/>
      <c r="F274" s="402"/>
      <c r="G274" s="95" t="s">
        <v>490</v>
      </c>
      <c r="H274" s="2"/>
      <c r="I274" s="46">
        <f ca="1">'Ch5'!O276</f>
        <v>0</v>
      </c>
      <c r="J274" s="580" t="s">
        <v>3892</v>
      </c>
    </row>
    <row r="275" spans="1:10" x14ac:dyDescent="0.35">
      <c r="B275" t="str">
        <f>IF(LEN('Ch5'!H277)=0,"",'Ch5'!H277)</f>
        <v/>
      </c>
      <c r="C275" t="str">
        <f t="shared" si="4"/>
        <v/>
      </c>
      <c r="D275" s="402"/>
      <c r="E275" s="416" t="s">
        <v>256</v>
      </c>
      <c r="F275" s="416"/>
      <c r="G275" s="228" t="s">
        <v>4134</v>
      </c>
      <c r="H275" s="400" t="str">
        <f>IF(LEN('Ch5'!W277)=0,"",'Ch5'!W277)</f>
        <v/>
      </c>
      <c r="J275" s="580"/>
    </row>
    <row r="276" spans="1:10" x14ac:dyDescent="0.35">
      <c r="B276" t="str">
        <f>IF(LEN('Ch5'!H278)=0,"",'Ch5'!H278)</f>
        <v/>
      </c>
      <c r="C276" t="str">
        <f t="shared" si="4"/>
        <v/>
      </c>
      <c r="D276" s="402"/>
      <c r="E276" s="416" t="s">
        <v>258</v>
      </c>
      <c r="F276" s="416"/>
      <c r="G276" s="228" t="s">
        <v>4135</v>
      </c>
      <c r="H276"/>
      <c r="J276" s="580"/>
    </row>
    <row r="277" spans="1:10" x14ac:dyDescent="0.35">
      <c r="B277" t="str">
        <f>IF(LEN('Ch5'!H279)=0,"",'Ch5'!H279)</f>
        <v/>
      </c>
      <c r="C277" t="str">
        <f t="shared" si="4"/>
        <v/>
      </c>
      <c r="D277" s="402"/>
      <c r="E277" s="416" t="s">
        <v>260</v>
      </c>
      <c r="F277" s="416"/>
      <c r="G277" s="228" t="s">
        <v>4136</v>
      </c>
      <c r="H277" s="590"/>
      <c r="J277" s="580"/>
    </row>
    <row r="278" spans="1:10" x14ac:dyDescent="0.35">
      <c r="B278" t="str">
        <f>IF(LEN('Ch5'!H280)=0,"",'Ch5'!H280)</f>
        <v/>
      </c>
      <c r="C278" t="str">
        <f t="shared" si="4"/>
        <v/>
      </c>
      <c r="D278" s="402"/>
      <c r="E278" s="416" t="s">
        <v>269</v>
      </c>
      <c r="F278" s="416"/>
      <c r="G278" s="228" t="s">
        <v>4137</v>
      </c>
      <c r="H278"/>
      <c r="J278" s="580"/>
    </row>
    <row r="279" spans="1:10" ht="15" thickBot="1" x14ac:dyDescent="0.4">
      <c r="B279" t="str">
        <f>IF(LEN('Ch5'!H281)=0,"",'Ch5'!H281)</f>
        <v/>
      </c>
      <c r="C279" t="str">
        <f t="shared" si="4"/>
        <v/>
      </c>
      <c r="D279" s="407"/>
      <c r="E279" s="407" t="s">
        <v>275</v>
      </c>
      <c r="F279" s="407"/>
      <c r="G279" s="229" t="s">
        <v>4138</v>
      </c>
      <c r="H279"/>
      <c r="J279" s="580"/>
    </row>
    <row r="280" spans="1:10" ht="15" thickTop="1" x14ac:dyDescent="0.35">
      <c r="A280" s="727" t="str">
        <f ca="1">IF(COUNTIF(A281,"P")&gt;0,"P","")</f>
        <v/>
      </c>
      <c r="B280" t="str">
        <f>IF(LEN('Ch5'!H282)=0,"",'Ch5'!H282)</f>
        <v/>
      </c>
      <c r="C280" t="str">
        <f t="shared" ca="1" si="4"/>
        <v/>
      </c>
      <c r="D280" s="414" t="s">
        <v>491</v>
      </c>
      <c r="E280" s="414"/>
      <c r="F280" s="414"/>
      <c r="G280" s="274" t="s">
        <v>4139</v>
      </c>
      <c r="H280"/>
      <c r="I280"/>
      <c r="J280" s="580" t="s">
        <v>3891</v>
      </c>
    </row>
    <row r="281" spans="1:10" ht="15" thickBot="1" x14ac:dyDescent="0.4">
      <c r="A281" s="366" t="str">
        <f ca="1">IF(I281&gt;0,"P","")</f>
        <v/>
      </c>
      <c r="B281" t="str">
        <f>IF(LEN('Ch5'!H283)=0,"",'Ch5'!H283)</f>
        <v/>
      </c>
      <c r="C281" t="str">
        <f t="shared" ca="1" si="4"/>
        <v/>
      </c>
      <c r="D281" s="618"/>
      <c r="E281" s="407" t="s">
        <v>256</v>
      </c>
      <c r="F281" s="407"/>
      <c r="G281" s="229" t="s">
        <v>4140</v>
      </c>
      <c r="H281" s="400" t="str">
        <f>IF(LEN('Ch5'!W283)=0,"",'Ch5'!W283)</f>
        <v/>
      </c>
      <c r="I281" s="46">
        <f ca="1">'Ch5'!O283</f>
        <v>0</v>
      </c>
      <c r="J281" s="580"/>
    </row>
    <row r="282" spans="1:10" ht="15" thickTop="1" x14ac:dyDescent="0.35">
      <c r="A282" s="366" t="str">
        <f ca="1">IF(I282&gt;0,"P","")</f>
        <v/>
      </c>
      <c r="B282" t="str">
        <f>IF(LEN('Ch5'!H284)=0,"",'Ch5'!H284)</f>
        <v/>
      </c>
      <c r="C282" t="str">
        <f t="shared" ca="1" si="4"/>
        <v/>
      </c>
      <c r="D282" s="414" t="s">
        <v>492</v>
      </c>
      <c r="E282" s="414"/>
      <c r="F282" s="414"/>
      <c r="G282" s="837" t="s">
        <v>4848</v>
      </c>
      <c r="H282"/>
      <c r="I282" s="433">
        <f ca="1">SUM(I285:I287)</f>
        <v>0</v>
      </c>
      <c r="J282" s="975" t="s">
        <v>4947</v>
      </c>
    </row>
    <row r="283" spans="1:10" x14ac:dyDescent="0.35">
      <c r="A283" s="366" t="str">
        <f ca="1">A282</f>
        <v/>
      </c>
      <c r="B283" t="str">
        <f>IF(LEN('Ch5'!H285)=0,"",'Ch5'!H285)</f>
        <v/>
      </c>
      <c r="C283" t="str">
        <f t="shared" ca="1" si="4"/>
        <v/>
      </c>
      <c r="D283" s="402"/>
      <c r="E283" s="402"/>
      <c r="F283" s="402"/>
      <c r="G283" s="838"/>
      <c r="H283"/>
      <c r="J283" s="979"/>
    </row>
    <row r="284" spans="1:10" x14ac:dyDescent="0.35">
      <c r="A284" s="366" t="str">
        <f ca="1">A283</f>
        <v/>
      </c>
      <c r="B284" t="str">
        <f>IF(LEN('Ch5'!H286)=0,"",'Ch5'!H286)</f>
        <v/>
      </c>
      <c r="C284" t="str">
        <f t="shared" ca="1" si="4"/>
        <v/>
      </c>
      <c r="D284" s="402"/>
      <c r="E284" s="402"/>
      <c r="F284" s="402"/>
      <c r="G284" s="838"/>
      <c r="H284" s="2"/>
      <c r="J284" s="976"/>
    </row>
    <row r="285" spans="1:10" x14ac:dyDescent="0.35">
      <c r="B285" t="str">
        <f>IF(LEN('Ch5'!H287)=0,"",'Ch5'!H287)</f>
        <v/>
      </c>
      <c r="C285" t="str">
        <f t="shared" si="4"/>
        <v/>
      </c>
      <c r="F285" s="31" t="s">
        <v>121</v>
      </c>
      <c r="G285" s="814" t="s">
        <v>4141</v>
      </c>
      <c r="H285" s="400" t="str">
        <f>IF(LEN('Ch5'!W287)=0,"",'Ch5'!W287)</f>
        <v/>
      </c>
      <c r="I285" s="46">
        <f ca="1">'Ch5'!O287</f>
        <v>0</v>
      </c>
      <c r="J285" s="580"/>
    </row>
    <row r="286" spans="1:10" x14ac:dyDescent="0.35">
      <c r="B286" t="str">
        <f>IF(LEN('Ch5'!H288)=0,"",'Ch5'!H288)</f>
        <v/>
      </c>
      <c r="C286" t="str">
        <f t="shared" si="4"/>
        <v/>
      </c>
      <c r="F286" s="403"/>
      <c r="G286" s="815"/>
      <c r="H286"/>
      <c r="J286" s="580"/>
    </row>
    <row r="287" spans="1:10" x14ac:dyDescent="0.35">
      <c r="B287" t="str">
        <f>IF(LEN('Ch5'!H289)=0,"",'Ch5'!H289)</f>
        <v/>
      </c>
      <c r="C287" t="str">
        <f t="shared" si="4"/>
        <v/>
      </c>
      <c r="F287" s="405" t="s">
        <v>122</v>
      </c>
      <c r="G287" s="836" t="s">
        <v>4143</v>
      </c>
      <c r="H287" s="400" t="str">
        <f>IF(LEN('Ch5'!W289)=0,"",'Ch5'!W289)</f>
        <v/>
      </c>
      <c r="I287" s="46">
        <f ca="1">'Ch5'!O289</f>
        <v>0</v>
      </c>
      <c r="J287" s="580"/>
    </row>
    <row r="288" spans="1:10" x14ac:dyDescent="0.35">
      <c r="B288" t="str">
        <f>IF(LEN('Ch5'!H290)=0,"",'Ch5'!H290)</f>
        <v/>
      </c>
      <c r="C288" t="str">
        <f t="shared" si="4"/>
        <v/>
      </c>
      <c r="F288" s="31"/>
      <c r="G288" s="814"/>
      <c r="H288"/>
      <c r="J288" s="580"/>
    </row>
    <row r="289" spans="1:10" x14ac:dyDescent="0.35">
      <c r="B289" t="str">
        <f>IF(LEN('Ch5'!H291)=0,"",'Ch5'!H291)</f>
        <v/>
      </c>
      <c r="C289" t="str">
        <f t="shared" si="4"/>
        <v/>
      </c>
      <c r="F289" s="403"/>
      <c r="G289" s="815"/>
      <c r="H289"/>
      <c r="J289" s="580"/>
    </row>
    <row r="290" spans="1:10" x14ac:dyDescent="0.35">
      <c r="B290" t="str">
        <f>IF(LEN('Ch5'!H292)=0,"",'Ch5'!H292)</f>
        <v/>
      </c>
      <c r="C290" t="str">
        <f t="shared" si="4"/>
        <v/>
      </c>
      <c r="F290" s="415" t="s">
        <v>123</v>
      </c>
      <c r="G290" s="177" t="s">
        <v>4144</v>
      </c>
      <c r="H290" s="400" t="str">
        <f>IF(LEN('Ch5'!W292)=0,"",'Ch5'!W292)</f>
        <v/>
      </c>
      <c r="I290" s="46">
        <f ca="1">'Ch5'!O292</f>
        <v>0</v>
      </c>
      <c r="J290" s="580"/>
    </row>
    <row r="291" spans="1:10" ht="15" thickBot="1" x14ac:dyDescent="0.4">
      <c r="B291" t="str">
        <f>IF(LEN('Ch5'!H293)=0,"",'Ch5'!H293)</f>
        <v/>
      </c>
      <c r="C291" t="str">
        <f t="shared" si="4"/>
        <v/>
      </c>
      <c r="F291" s="404" t="s">
        <v>401</v>
      </c>
      <c r="G291" s="486" t="s">
        <v>4145</v>
      </c>
      <c r="H291" s="400" t="str">
        <f>IF(LEN('Ch5'!W293)=0,"",'Ch5'!W293)</f>
        <v/>
      </c>
      <c r="I291" s="46">
        <f ca="1">'Ch5'!O293</f>
        <v>0</v>
      </c>
      <c r="J291" s="580"/>
    </row>
    <row r="292" spans="1:10" ht="15" thickTop="1" x14ac:dyDescent="0.35">
      <c r="A292" s="727" t="str">
        <f ca="1">IF(COUNTIF(A293,"P")&gt;0,"P","")</f>
        <v/>
      </c>
      <c r="B292" t="str">
        <f>IF(LEN('Ch5'!H294)=0,"",'Ch5'!H294)</f>
        <v/>
      </c>
      <c r="C292" t="str">
        <f t="shared" ca="1" si="4"/>
        <v/>
      </c>
      <c r="D292" s="414" t="s">
        <v>493</v>
      </c>
      <c r="E292" s="414"/>
      <c r="F292" s="414"/>
      <c r="G292" s="837" t="s">
        <v>4147</v>
      </c>
      <c r="H292"/>
      <c r="I292"/>
      <c r="J292" s="580" t="s">
        <v>4948</v>
      </c>
    </row>
    <row r="293" spans="1:10" x14ac:dyDescent="0.35">
      <c r="A293" s="366" t="str">
        <f ca="1">IF(I293&gt;0,"P","")</f>
        <v/>
      </c>
      <c r="B293" t="str">
        <f>IF(LEN('Ch5'!H295)=0,"",'Ch5'!H295)</f>
        <v/>
      </c>
      <c r="C293" t="str">
        <f t="shared" ca="1" si="4"/>
        <v/>
      </c>
      <c r="D293" s="402"/>
      <c r="E293" s="402"/>
      <c r="F293" s="402"/>
      <c r="G293" s="838"/>
      <c r="H293" s="400" t="str">
        <f>IF(LEN('Ch5'!W295)=0,"",'Ch5'!W295)</f>
        <v/>
      </c>
      <c r="I293" s="46">
        <f ca="1">'Ch5'!O295</f>
        <v>0</v>
      </c>
      <c r="J293" s="580"/>
    </row>
    <row r="294" spans="1:10" x14ac:dyDescent="0.35">
      <c r="A294" s="366" t="str">
        <f ca="1">A293</f>
        <v/>
      </c>
      <c r="B294" t="str">
        <f>IF(LEN('Ch5'!H296)=0,"",'Ch5'!H296)</f>
        <v/>
      </c>
      <c r="C294" t="str">
        <f t="shared" ca="1" si="4"/>
        <v/>
      </c>
      <c r="D294" s="402"/>
      <c r="E294" s="402"/>
      <c r="F294" s="402"/>
      <c r="G294" s="838"/>
      <c r="H294"/>
      <c r="J294" s="580"/>
    </row>
    <row r="295" spans="1:10" x14ac:dyDescent="0.35">
      <c r="A295" s="366" t="str">
        <f ca="1">A294</f>
        <v/>
      </c>
      <c r="B295" t="str">
        <f>IF(LEN('Ch5'!H297)=0,"",'Ch5'!H297)</f>
        <v/>
      </c>
      <c r="C295" t="str">
        <f t="shared" ca="1" si="4"/>
        <v/>
      </c>
      <c r="D295" s="402"/>
      <c r="E295" s="402"/>
      <c r="F295" s="402"/>
      <c r="G295" s="838"/>
      <c r="H295"/>
      <c r="J295" s="580"/>
    </row>
    <row r="296" spans="1:10" x14ac:dyDescent="0.35">
      <c r="B296" t="str">
        <f>IF(LEN('Ch5'!H298)=0,"",'Ch5'!H298)</f>
        <v/>
      </c>
      <c r="C296" t="str">
        <f t="shared" si="4"/>
        <v/>
      </c>
      <c r="D296" s="402"/>
      <c r="E296" s="402"/>
      <c r="F296" s="402"/>
      <c r="G296" s="814" t="s">
        <v>4148</v>
      </c>
      <c r="H296"/>
      <c r="J296" s="580"/>
    </row>
    <row r="297" spans="1:10" x14ac:dyDescent="0.35">
      <c r="B297" t="str">
        <f>IF(LEN('Ch5'!H299)=0,"",'Ch5'!H299)</f>
        <v/>
      </c>
      <c r="C297" t="str">
        <f t="shared" si="4"/>
        <v/>
      </c>
      <c r="D297" s="402"/>
      <c r="E297" s="402"/>
      <c r="F297" s="402"/>
      <c r="G297" s="814"/>
      <c r="H297"/>
      <c r="J297" s="580"/>
    </row>
    <row r="298" spans="1:10" x14ac:dyDescent="0.35">
      <c r="B298" t="str">
        <f>IF(LEN('Ch5'!H300)=0,"",'Ch5'!H300)</f>
        <v/>
      </c>
      <c r="C298" t="str">
        <f t="shared" si="4"/>
        <v/>
      </c>
      <c r="D298" s="402"/>
      <c r="E298" s="402"/>
      <c r="F298" s="402"/>
      <c r="G298" s="814"/>
      <c r="H298"/>
      <c r="J298" s="580"/>
    </row>
    <row r="299" spans="1:10" x14ac:dyDescent="0.35">
      <c r="B299" t="str">
        <f>IF(LEN('Ch5'!H301)=0,"",'Ch5'!H301)</f>
        <v/>
      </c>
      <c r="C299" t="str">
        <f t="shared" si="4"/>
        <v/>
      </c>
      <c r="D299" s="402"/>
      <c r="E299" s="402"/>
      <c r="F299" s="402"/>
      <c r="G299" s="814"/>
      <c r="H299"/>
      <c r="J299" s="580"/>
    </row>
    <row r="300" spans="1:10" x14ac:dyDescent="0.35">
      <c r="B300" t="str">
        <f>IF(LEN('Ch5'!H302)=0,"",'Ch5'!H302)</f>
        <v/>
      </c>
      <c r="C300" t="str">
        <f t="shared" si="4"/>
        <v/>
      </c>
      <c r="D300" s="402"/>
      <c r="E300" s="402"/>
      <c r="F300" s="402"/>
      <c r="G300" s="814"/>
      <c r="H300"/>
      <c r="J300" s="580"/>
    </row>
    <row r="301" spans="1:10" x14ac:dyDescent="0.35">
      <c r="B301" t="str">
        <f>IF(LEN('Ch5'!H303)=0,"",'Ch5'!H303)</f>
        <v/>
      </c>
      <c r="C301" t="str">
        <f t="shared" si="4"/>
        <v/>
      </c>
      <c r="D301" s="402"/>
      <c r="E301" s="402"/>
      <c r="F301" s="402"/>
      <c r="G301" s="814"/>
      <c r="H301"/>
      <c r="J301" s="580"/>
    </row>
    <row r="302" spans="1:10" x14ac:dyDescent="0.35">
      <c r="B302" t="str">
        <f>IF(LEN('Ch5'!H304)=0,"",'Ch5'!H304)</f>
        <v/>
      </c>
      <c r="C302" t="str">
        <f t="shared" si="4"/>
        <v/>
      </c>
      <c r="D302" s="402"/>
      <c r="E302" s="402"/>
      <c r="F302" s="402"/>
      <c r="G302" s="814"/>
      <c r="H302"/>
      <c r="J302" s="580"/>
    </row>
    <row r="303" spans="1:10" ht="15" thickBot="1" x14ac:dyDescent="0.4">
      <c r="B303" t="str">
        <f>IF(LEN('Ch5'!H305)=0,"",'Ch5'!H305)</f>
        <v/>
      </c>
      <c r="C303" t="str">
        <f t="shared" si="4"/>
        <v/>
      </c>
      <c r="D303" s="407"/>
      <c r="E303" s="407"/>
      <c r="F303" s="407"/>
      <c r="G303" s="839"/>
      <c r="H303"/>
      <c r="J303" s="580"/>
    </row>
    <row r="304" spans="1:10" ht="15" thickTop="1" x14ac:dyDescent="0.35">
      <c r="A304" s="366" t="str">
        <f ca="1">IF(I304&gt;0,"P","")</f>
        <v/>
      </c>
      <c r="B304" t="str">
        <f>IF(LEN('Ch5'!H306)=0,"",'Ch5'!H306)</f>
        <v/>
      </c>
      <c r="C304" t="str">
        <f t="shared" ca="1" si="4"/>
        <v/>
      </c>
      <c r="D304" s="60" t="s">
        <v>4150</v>
      </c>
      <c r="E304" s="60"/>
      <c r="F304" s="622"/>
      <c r="G304" s="853" t="s">
        <v>4154</v>
      </c>
      <c r="H304" s="400" t="str">
        <f>IF(LEN('Ch5'!W306)=0,"",'Ch5'!W306)</f>
        <v/>
      </c>
      <c r="I304" s="46">
        <f ca="1">'Ch5'!O306</f>
        <v>0</v>
      </c>
      <c r="J304" s="580" t="s">
        <v>4948</v>
      </c>
    </row>
    <row r="305" spans="1:10" x14ac:dyDescent="0.35">
      <c r="A305" s="366" t="str">
        <f ca="1">A304</f>
        <v/>
      </c>
      <c r="B305" t="str">
        <f>IF(LEN('Ch5'!H307)=0,"",'Ch5'!H307)</f>
        <v/>
      </c>
      <c r="C305" t="str">
        <f t="shared" ca="1" si="4"/>
        <v/>
      </c>
      <c r="D305" s="31"/>
      <c r="E305" s="31"/>
      <c r="G305" s="841"/>
      <c r="H305"/>
      <c r="J305" s="580"/>
    </row>
    <row r="306" spans="1:10" x14ac:dyDescent="0.35">
      <c r="A306" s="366" t="str">
        <f ca="1">A305</f>
        <v/>
      </c>
      <c r="B306" t="str">
        <f>IF(LEN('Ch5'!H308)=0,"",'Ch5'!H308)</f>
        <v/>
      </c>
      <c r="C306" t="str">
        <f t="shared" ca="1" si="4"/>
        <v/>
      </c>
      <c r="D306" s="31"/>
      <c r="E306" s="31"/>
      <c r="G306" s="841"/>
      <c r="H306"/>
      <c r="J306" s="580"/>
    </row>
    <row r="307" spans="1:10" ht="15" thickBot="1" x14ac:dyDescent="0.4">
      <c r="A307" s="366" t="str">
        <f ca="1">A306</f>
        <v/>
      </c>
      <c r="B307" t="str">
        <f>IF(LEN('Ch5'!H309)=0,"",'Ch5'!H309)</f>
        <v/>
      </c>
      <c r="C307" t="str">
        <f t="shared" ca="1" si="4"/>
        <v/>
      </c>
      <c r="D307" s="404"/>
      <c r="E307" s="404"/>
      <c r="F307" s="618"/>
      <c r="G307" s="854"/>
      <c r="H307"/>
      <c r="J307" s="580"/>
    </row>
    <row r="308" spans="1:10" ht="27" thickTop="1" thickBot="1" x14ac:dyDescent="0.4">
      <c r="A308" s="366" t="str">
        <f>IF(I308&gt;0,"P","")</f>
        <v/>
      </c>
      <c r="B308" t="str">
        <f>IF(LEN('Ch5'!H310)=0,"",'Ch5'!H310)</f>
        <v/>
      </c>
      <c r="C308" t="str">
        <f t="shared" si="4"/>
        <v/>
      </c>
      <c r="D308" s="404" t="s">
        <v>4151</v>
      </c>
      <c r="E308" s="404"/>
      <c r="F308" s="618"/>
      <c r="G308" s="576" t="s">
        <v>4155</v>
      </c>
      <c r="H308" s="400" t="str">
        <f>IF(LEN('Ch5'!W310)=0,"",'Ch5'!W310)</f>
        <v/>
      </c>
      <c r="I308" s="46">
        <f>'Ch5'!O310</f>
        <v>0</v>
      </c>
      <c r="J308" s="580" t="s">
        <v>4949</v>
      </c>
    </row>
    <row r="309" spans="1:10" ht="15" thickTop="1" x14ac:dyDescent="0.35">
      <c r="A309" s="366" t="str">
        <f ca="1">IF(I309&gt;0,"P","")</f>
        <v/>
      </c>
      <c r="B309" t="str">
        <f>IF(LEN('Ch5'!H311)=0,"",'Ch5'!H311)</f>
        <v/>
      </c>
      <c r="C309" t="str">
        <f t="shared" ca="1" si="4"/>
        <v/>
      </c>
      <c r="D309" s="31" t="s">
        <v>4152</v>
      </c>
      <c r="E309" s="31"/>
      <c r="G309" s="841" t="s">
        <v>4156</v>
      </c>
      <c r="H309"/>
      <c r="I309" s="433">
        <f ca="1">SUM(I311:I315)</f>
        <v>0</v>
      </c>
      <c r="J309" s="580" t="s">
        <v>4950</v>
      </c>
    </row>
    <row r="310" spans="1:10" x14ac:dyDescent="0.35">
      <c r="A310" s="366" t="str">
        <f ca="1">A309</f>
        <v/>
      </c>
      <c r="B310" t="str">
        <f>IF(LEN('Ch5'!H312)=0,"",'Ch5'!H312)</f>
        <v/>
      </c>
      <c r="C310" t="str">
        <f t="shared" ca="1" si="4"/>
        <v/>
      </c>
      <c r="D310" s="31"/>
      <c r="E310" s="31"/>
      <c r="G310" s="841"/>
      <c r="H310"/>
      <c r="J310" s="580"/>
    </row>
    <row r="311" spans="1:10" x14ac:dyDescent="0.35">
      <c r="B311" t="str">
        <f>IF(LEN('Ch5'!H313)=0,"",'Ch5'!H313)</f>
        <v/>
      </c>
      <c r="C311" t="str">
        <f t="shared" si="4"/>
        <v/>
      </c>
      <c r="D311" s="31"/>
      <c r="E311" s="31" t="s">
        <v>121</v>
      </c>
      <c r="G311" s="825" t="s">
        <v>4157</v>
      </c>
      <c r="H311" s="400" t="str">
        <f>IF(LEN('Ch5'!W313)=0,"",'Ch5'!W313)</f>
        <v/>
      </c>
      <c r="I311" s="46">
        <f ca="1">'Ch5'!O313</f>
        <v>0</v>
      </c>
      <c r="J311" s="580"/>
    </row>
    <row r="312" spans="1:10" x14ac:dyDescent="0.35">
      <c r="B312" t="str">
        <f>IF(LEN('Ch5'!H314)=0,"",'Ch5'!H314)</f>
        <v/>
      </c>
      <c r="C312" t="str">
        <f t="shared" si="4"/>
        <v/>
      </c>
      <c r="D312" s="31"/>
      <c r="E312" s="31"/>
      <c r="G312" s="825"/>
      <c r="H312"/>
      <c r="J312" s="580"/>
    </row>
    <row r="313" spans="1:10" x14ac:dyDescent="0.35">
      <c r="B313" t="str">
        <f>IF(LEN('Ch5'!H315)=0,"",'Ch5'!H315)</f>
        <v/>
      </c>
      <c r="C313" t="str">
        <f t="shared" si="4"/>
        <v/>
      </c>
      <c r="D313" s="31"/>
      <c r="E313" s="403"/>
      <c r="F313" s="619"/>
      <c r="G313" s="842"/>
      <c r="H313"/>
      <c r="J313" s="580"/>
    </row>
    <row r="314" spans="1:10" x14ac:dyDescent="0.35">
      <c r="B314" t="str">
        <f>IF(LEN('Ch5'!H316)=0,"",'Ch5'!H316)</f>
        <v/>
      </c>
      <c r="C314" t="str">
        <f t="shared" si="4"/>
        <v/>
      </c>
      <c r="D314" s="31"/>
      <c r="E314" s="415" t="s">
        <v>122</v>
      </c>
      <c r="F314" s="623"/>
      <c r="G314" s="478" t="s">
        <v>4158</v>
      </c>
      <c r="H314" s="400" t="str">
        <f>IF(LEN('Ch5'!W316)=0,"",'Ch5'!W316)</f>
        <v/>
      </c>
      <c r="I314" s="46">
        <f ca="1">'Ch5'!O316</f>
        <v>0</v>
      </c>
      <c r="J314" s="580"/>
    </row>
    <row r="315" spans="1:10" x14ac:dyDescent="0.35">
      <c r="B315" t="str">
        <f>IF(LEN('Ch5'!H317)=0,"",'Ch5'!H317)</f>
        <v/>
      </c>
      <c r="C315" t="str">
        <f t="shared" si="4"/>
        <v/>
      </c>
      <c r="D315" s="31"/>
      <c r="E315" s="31" t="s">
        <v>123</v>
      </c>
      <c r="G315" s="825" t="s">
        <v>4159</v>
      </c>
      <c r="H315" s="400" t="str">
        <f>IF(LEN('Ch5'!W317)=0,"",'Ch5'!W317)</f>
        <v/>
      </c>
      <c r="I315" s="46">
        <f ca="1">'Ch5'!O317</f>
        <v>0</v>
      </c>
      <c r="J315" s="580"/>
    </row>
    <row r="316" spans="1:10" ht="15" thickBot="1" x14ac:dyDescent="0.4">
      <c r="B316" t="str">
        <f>IF(LEN('Ch5'!H318)=0,"",'Ch5'!H318)</f>
        <v/>
      </c>
      <c r="C316" t="str">
        <f t="shared" si="4"/>
        <v/>
      </c>
      <c r="D316" s="404"/>
      <c r="E316" s="404"/>
      <c r="F316" s="618"/>
      <c r="G316" s="826"/>
      <c r="H316"/>
      <c r="J316" s="580"/>
    </row>
    <row r="317" spans="1:10" ht="15" thickTop="1" x14ac:dyDescent="0.35">
      <c r="A317" s="366" t="str">
        <f ca="1">IF(I317&gt;0,"P","")</f>
        <v/>
      </c>
      <c r="B317" t="str">
        <f>IF(LEN('Ch5'!H319)=0,"",'Ch5'!H319)</f>
        <v/>
      </c>
      <c r="C317" t="str">
        <f t="shared" ca="1" si="4"/>
        <v/>
      </c>
      <c r="D317" s="31" t="s">
        <v>4153</v>
      </c>
      <c r="E317" s="31"/>
      <c r="G317" s="841" t="s">
        <v>4163</v>
      </c>
      <c r="H317"/>
      <c r="I317" s="433">
        <f ca="1">SUM(I320:I324)</f>
        <v>0</v>
      </c>
      <c r="J317" s="580" t="s">
        <v>3893</v>
      </c>
    </row>
    <row r="318" spans="1:10" x14ac:dyDescent="0.35">
      <c r="A318" s="366" t="str">
        <f ca="1">A317</f>
        <v/>
      </c>
      <c r="B318" t="str">
        <f>IF(LEN('Ch5'!H320)=0,"",'Ch5'!H320)</f>
        <v/>
      </c>
      <c r="C318" t="str">
        <f t="shared" ca="1" si="4"/>
        <v/>
      </c>
      <c r="D318" s="31"/>
      <c r="E318" s="31"/>
      <c r="G318" s="841"/>
      <c r="H318"/>
      <c r="J318" s="580"/>
    </row>
    <row r="319" spans="1:10" x14ac:dyDescent="0.35">
      <c r="A319" s="366" t="str">
        <f ca="1">A318</f>
        <v/>
      </c>
      <c r="B319" t="str">
        <f>IF(LEN('Ch5'!H321)=0,"",'Ch5'!H321)</f>
        <v/>
      </c>
      <c r="C319" t="str">
        <f t="shared" ca="1" si="4"/>
        <v/>
      </c>
      <c r="D319" s="31"/>
      <c r="E319" s="31"/>
      <c r="G319" s="841"/>
      <c r="H319"/>
      <c r="J319" s="580"/>
    </row>
    <row r="320" spans="1:10" x14ac:dyDescent="0.35">
      <c r="B320" t="str">
        <f>IF(LEN('Ch5'!H322)=0,"",'Ch5'!H322)</f>
        <v/>
      </c>
      <c r="C320" t="str">
        <f t="shared" si="4"/>
        <v/>
      </c>
      <c r="D320" s="31"/>
      <c r="E320" s="31" t="s">
        <v>121</v>
      </c>
      <c r="G320" s="825" t="s">
        <v>4160</v>
      </c>
      <c r="H320" s="400" t="str">
        <f>IF(LEN('Ch5'!W322)=0,"",'Ch5'!W322)</f>
        <v/>
      </c>
      <c r="I320" s="46">
        <f ca="1">'Ch5'!O322</f>
        <v>0</v>
      </c>
      <c r="J320" s="580"/>
    </row>
    <row r="321" spans="1:10" x14ac:dyDescent="0.35">
      <c r="B321" t="str">
        <f>IF(LEN('Ch5'!H323)=0,"",'Ch5'!H323)</f>
        <v/>
      </c>
      <c r="C321" t="str">
        <f t="shared" si="4"/>
        <v/>
      </c>
      <c r="D321" s="31"/>
      <c r="E321" s="403"/>
      <c r="F321" s="619"/>
      <c r="G321" s="842"/>
      <c r="H321"/>
      <c r="J321" s="580"/>
    </row>
    <row r="322" spans="1:10" x14ac:dyDescent="0.35">
      <c r="B322" t="str">
        <f>IF(LEN('Ch5'!H324)=0,"",'Ch5'!H324)</f>
        <v/>
      </c>
      <c r="C322" t="str">
        <f t="shared" si="4"/>
        <v/>
      </c>
      <c r="D322" s="31"/>
      <c r="E322" s="405" t="s">
        <v>122</v>
      </c>
      <c r="F322" s="621"/>
      <c r="G322" s="828" t="s">
        <v>4161</v>
      </c>
      <c r="H322" s="400" t="str">
        <f>IF(LEN('Ch5'!W324)=0,"",'Ch5'!W324)</f>
        <v/>
      </c>
      <c r="I322" s="46">
        <f ca="1">'Ch5'!O324</f>
        <v>0</v>
      </c>
      <c r="J322" s="580"/>
    </row>
    <row r="323" spans="1:10" x14ac:dyDescent="0.35">
      <c r="B323" t="str">
        <f>IF(LEN('Ch5'!H325)=0,"",'Ch5'!H325)</f>
        <v/>
      </c>
      <c r="C323" t="str">
        <f t="shared" si="4"/>
        <v/>
      </c>
      <c r="D323" s="31"/>
      <c r="E323" s="403"/>
      <c r="F323" s="619"/>
      <c r="G323" s="842"/>
      <c r="H323"/>
      <c r="J323" s="580"/>
    </row>
    <row r="324" spans="1:10" x14ac:dyDescent="0.35">
      <c r="B324" t="str">
        <f>IF(LEN('Ch5'!H326)=0,"",'Ch5'!H326)</f>
        <v/>
      </c>
      <c r="C324" t="str">
        <f t="shared" si="4"/>
        <v/>
      </c>
      <c r="D324" s="31"/>
      <c r="E324" s="31" t="s">
        <v>123</v>
      </c>
      <c r="G324" s="825" t="s">
        <v>4162</v>
      </c>
      <c r="H324" s="400" t="str">
        <f>IF(LEN('Ch5'!W326)=0,"",'Ch5'!W326)</f>
        <v/>
      </c>
      <c r="I324" s="46">
        <f ca="1">'Ch5'!O326</f>
        <v>0</v>
      </c>
      <c r="J324" s="580"/>
    </row>
    <row r="325" spans="1:10" x14ac:dyDescent="0.35">
      <c r="B325" t="str">
        <f>IF(LEN('Ch5'!H327)=0,"",'Ch5'!H327)</f>
        <v/>
      </c>
      <c r="C325" t="str">
        <f t="shared" si="4"/>
        <v/>
      </c>
      <c r="D325" s="403"/>
      <c r="E325" s="403"/>
      <c r="F325" s="619"/>
      <c r="G325" s="842"/>
      <c r="H325"/>
      <c r="J325" s="580"/>
    </row>
    <row r="326" spans="1:10" ht="18.5" x14ac:dyDescent="0.45">
      <c r="A326" s="366" t="s">
        <v>3973</v>
      </c>
      <c r="B326" t="str">
        <f>IF(LEN('Ch6'!H9)=0,"",'Ch6'!H9)</f>
        <v/>
      </c>
      <c r="C326" t="str">
        <f t="shared" si="4"/>
        <v>P</v>
      </c>
      <c r="D326" s="617" t="s">
        <v>498</v>
      </c>
      <c r="E326" s="617"/>
      <c r="F326" s="617"/>
      <c r="G326" s="601"/>
      <c r="H326"/>
      <c r="J326" s="580"/>
    </row>
    <row r="327" spans="1:10" x14ac:dyDescent="0.35">
      <c r="B327" t="str">
        <f>IF(LEN('Ch6'!H10)=0,"",'Ch6'!H10)</f>
        <v/>
      </c>
      <c r="C327" t="str">
        <f t="shared" si="4"/>
        <v/>
      </c>
      <c r="D327" s="402" t="s">
        <v>499</v>
      </c>
      <c r="E327" s="402"/>
      <c r="F327" s="402"/>
      <c r="G327" s="838" t="s">
        <v>500</v>
      </c>
      <c r="H327"/>
      <c r="J327" s="580"/>
    </row>
    <row r="328" spans="1:10" x14ac:dyDescent="0.35">
      <c r="B328" t="str">
        <f>IF(LEN('Ch6'!H11)=0,"",'Ch6'!H11)</f>
        <v/>
      </c>
      <c r="C328" t="str">
        <f t="shared" ref="C328:C391" si="5">IF(LEN(B328)=0,IF(A328="P","P",""),B328)</f>
        <v/>
      </c>
      <c r="D328" s="31"/>
      <c r="E328" s="31"/>
      <c r="F328" s="31"/>
      <c r="G328" s="838"/>
      <c r="H328"/>
      <c r="J328" s="580"/>
    </row>
    <row r="329" spans="1:10" ht="15" thickBot="1" x14ac:dyDescent="0.4">
      <c r="B329" t="str">
        <f>IF(LEN('Ch6'!H12)=0,"",'Ch6'!H12)</f>
        <v/>
      </c>
      <c r="C329" t="str">
        <f t="shared" si="5"/>
        <v/>
      </c>
      <c r="D329" s="31"/>
      <c r="E329" s="31"/>
      <c r="F329" s="31"/>
      <c r="G329" s="838"/>
      <c r="H329"/>
      <c r="J329" s="580"/>
    </row>
    <row r="330" spans="1:10" ht="15" thickTop="1" x14ac:dyDescent="0.35">
      <c r="A330" s="366" t="str">
        <f>IF(I330&gt;0,"P","")</f>
        <v/>
      </c>
      <c r="B330" t="str">
        <f>IF(LEN('Ch6'!H13)=0,"",'Ch6'!H13)</f>
        <v/>
      </c>
      <c r="C330" t="str">
        <f t="shared" si="5"/>
        <v/>
      </c>
      <c r="D330" s="60">
        <v>601.1</v>
      </c>
      <c r="E330" s="60"/>
      <c r="F330" s="60"/>
      <c r="G330" s="837" t="s">
        <v>4164</v>
      </c>
      <c r="H330"/>
      <c r="I330" s="46">
        <f>'Ch6'!O13</f>
        <v>0</v>
      </c>
      <c r="J330" s="994" t="s">
        <v>4951</v>
      </c>
    </row>
    <row r="331" spans="1:10" x14ac:dyDescent="0.35">
      <c r="A331" s="366" t="str">
        <f>A330</f>
        <v/>
      </c>
      <c r="B331" t="str">
        <f>IF(LEN('Ch6'!H14)=0,"",'Ch6'!H14)</f>
        <v/>
      </c>
      <c r="C331" t="str">
        <f t="shared" si="5"/>
        <v/>
      </c>
      <c r="D331" s="31"/>
      <c r="E331" s="31"/>
      <c r="F331" s="31"/>
      <c r="G331" s="838"/>
      <c r="H331"/>
      <c r="J331" s="994"/>
    </row>
    <row r="332" spans="1:10" x14ac:dyDescent="0.35">
      <c r="A332" s="366" t="str">
        <f>A331</f>
        <v/>
      </c>
      <c r="B332" t="str">
        <f>IF(LEN('Ch6'!H15)=0,"",'Ch6'!H15)</f>
        <v/>
      </c>
      <c r="C332" t="str">
        <f t="shared" si="5"/>
        <v/>
      </c>
      <c r="D332" s="31"/>
      <c r="E332" s="31"/>
      <c r="F332" s="31"/>
      <c r="G332" s="838"/>
      <c r="H332"/>
      <c r="J332" s="994"/>
    </row>
    <row r="333" spans="1:10" x14ac:dyDescent="0.35">
      <c r="A333" s="366" t="str">
        <f>A332</f>
        <v/>
      </c>
      <c r="B333" t="str">
        <f>IF(LEN('Ch6'!H16)=0,"",'Ch6'!H16)</f>
        <v/>
      </c>
      <c r="C333" t="str">
        <f t="shared" si="5"/>
        <v/>
      </c>
      <c r="D333" s="31"/>
      <c r="E333" s="31"/>
      <c r="F333" s="31"/>
      <c r="G333" s="838"/>
      <c r="H333"/>
      <c r="J333" s="994"/>
    </row>
    <row r="334" spans="1:10" x14ac:dyDescent="0.35">
      <c r="A334" s="366" t="str">
        <f>A333</f>
        <v/>
      </c>
      <c r="B334" t="str">
        <f>IF(LEN('Ch6'!H17)=0,"",'Ch6'!H17)</f>
        <v/>
      </c>
      <c r="C334" t="str">
        <f t="shared" si="5"/>
        <v/>
      </c>
      <c r="D334" s="31"/>
      <c r="E334" s="31"/>
      <c r="F334" s="31"/>
      <c r="G334" s="838"/>
      <c r="H334"/>
      <c r="J334" s="580"/>
    </row>
    <row r="335" spans="1:10" x14ac:dyDescent="0.35">
      <c r="A335" s="366" t="str">
        <f>A334</f>
        <v/>
      </c>
      <c r="B335" t="str">
        <f>IF(LEN('Ch6'!H18)=0,"",'Ch6'!H18)</f>
        <v/>
      </c>
      <c r="C335" t="str">
        <f t="shared" si="5"/>
        <v/>
      </c>
      <c r="D335" s="31"/>
      <c r="E335" s="31"/>
      <c r="F335" s="31"/>
      <c r="G335" s="838"/>
      <c r="H335"/>
      <c r="J335" s="580"/>
    </row>
    <row r="336" spans="1:10" x14ac:dyDescent="0.35">
      <c r="B336" t="str">
        <f>IF(LEN('Ch6'!H19)=0,"",'Ch6'!H19)</f>
        <v/>
      </c>
      <c r="C336" t="str">
        <f t="shared" si="5"/>
        <v/>
      </c>
      <c r="D336" s="31"/>
      <c r="E336" s="416" t="s">
        <v>256</v>
      </c>
      <c r="F336" s="403"/>
      <c r="G336" s="281" t="s">
        <v>501</v>
      </c>
      <c r="H336"/>
      <c r="J336" s="580"/>
    </row>
    <row r="337" spans="1:10" x14ac:dyDescent="0.35">
      <c r="B337" t="str">
        <f>IF(LEN('Ch6'!H20)=0,"",'Ch6'!H20)</f>
        <v/>
      </c>
      <c r="C337" t="str">
        <f t="shared" si="5"/>
        <v/>
      </c>
      <c r="D337" s="31"/>
      <c r="E337" s="422" t="s">
        <v>258</v>
      </c>
      <c r="F337" s="415"/>
      <c r="G337" s="177" t="s">
        <v>502</v>
      </c>
      <c r="H337"/>
      <c r="J337" s="580"/>
    </row>
    <row r="338" spans="1:10" x14ac:dyDescent="0.35">
      <c r="B338" t="str">
        <f>IF(LEN('Ch6'!H21)=0,"",'Ch6'!H21)</f>
        <v/>
      </c>
      <c r="C338" t="str">
        <f t="shared" si="5"/>
        <v/>
      </c>
      <c r="D338" s="31"/>
      <c r="E338" s="422" t="s">
        <v>260</v>
      </c>
      <c r="F338" s="415"/>
      <c r="G338" s="177" t="s">
        <v>503</v>
      </c>
      <c r="H338"/>
      <c r="J338" s="580"/>
    </row>
    <row r="339" spans="1:10" x14ac:dyDescent="0.35">
      <c r="B339" t="str">
        <f>IF(LEN('Ch6'!H22)=0,"",'Ch6'!H22)</f>
        <v/>
      </c>
      <c r="C339" t="str">
        <f t="shared" si="5"/>
        <v/>
      </c>
      <c r="D339" s="31"/>
      <c r="E339" s="422" t="s">
        <v>269</v>
      </c>
      <c r="F339" s="415"/>
      <c r="G339" s="177" t="s">
        <v>504</v>
      </c>
      <c r="H339"/>
      <c r="J339" s="580"/>
    </row>
    <row r="340" spans="1:10" x14ac:dyDescent="0.35">
      <c r="B340" t="str">
        <f>IF(LEN('Ch6'!H23)=0,"",'Ch6'!H23)</f>
        <v/>
      </c>
      <c r="C340" t="str">
        <f t="shared" si="5"/>
        <v/>
      </c>
      <c r="D340" s="31"/>
      <c r="E340" s="422" t="s">
        <v>275</v>
      </c>
      <c r="F340" s="415"/>
      <c r="G340" s="177" t="s">
        <v>505</v>
      </c>
      <c r="H340"/>
      <c r="J340" s="580"/>
    </row>
    <row r="341" spans="1:10" x14ac:dyDescent="0.35">
      <c r="B341" t="str">
        <f>IF(LEN('Ch6'!H24)=0,"",'Ch6'!H24)</f>
        <v/>
      </c>
      <c r="C341" t="str">
        <f t="shared" si="5"/>
        <v/>
      </c>
      <c r="D341" s="31"/>
      <c r="E341" s="402" t="s">
        <v>277</v>
      </c>
      <c r="F341" s="31"/>
      <c r="G341" s="266" t="s">
        <v>506</v>
      </c>
      <c r="H341"/>
      <c r="J341" s="580"/>
    </row>
    <row r="342" spans="1:10" x14ac:dyDescent="0.35">
      <c r="B342" t="str">
        <f>IF(LEN('Ch6'!H25)=0,"",'Ch6'!H25)</f>
        <v/>
      </c>
      <c r="C342" t="str">
        <f t="shared" si="5"/>
        <v/>
      </c>
      <c r="D342" s="31"/>
      <c r="E342" s="31"/>
      <c r="F342" s="31"/>
      <c r="G342" s="838" t="s">
        <v>507</v>
      </c>
      <c r="H342"/>
      <c r="J342" s="580"/>
    </row>
    <row r="343" spans="1:10" x14ac:dyDescent="0.35">
      <c r="B343" t="str">
        <f>IF(LEN('Ch6'!H26)=0,"",'Ch6'!H26)</f>
        <v/>
      </c>
      <c r="C343" t="str">
        <f t="shared" si="5"/>
        <v/>
      </c>
      <c r="D343" s="31"/>
      <c r="E343" s="31"/>
      <c r="F343" s="31"/>
      <c r="G343" s="838"/>
      <c r="H343"/>
      <c r="J343" s="580"/>
    </row>
    <row r="344" spans="1:10" x14ac:dyDescent="0.35">
      <c r="B344" t="str">
        <f>IF(LEN('Ch6'!H27)=0,"",'Ch6'!H27)</f>
        <v/>
      </c>
      <c r="C344" t="str">
        <f t="shared" si="5"/>
        <v/>
      </c>
      <c r="D344" s="31"/>
      <c r="E344" s="31"/>
      <c r="G344" s="984" t="s">
        <v>3832</v>
      </c>
      <c r="H344"/>
      <c r="J344" s="580"/>
    </row>
    <row r="345" spans="1:10" ht="15" thickBot="1" x14ac:dyDescent="0.4">
      <c r="B345" t="str">
        <f>IF(LEN('Ch6'!H28)=0,"",'Ch6'!H28)</f>
        <v/>
      </c>
      <c r="C345" t="str">
        <f t="shared" si="5"/>
        <v/>
      </c>
      <c r="D345" s="31"/>
      <c r="E345" s="31"/>
      <c r="F345" s="128"/>
      <c r="G345" s="984"/>
      <c r="H345"/>
      <c r="J345" s="580"/>
    </row>
    <row r="346" spans="1:10" ht="15" thickTop="1" x14ac:dyDescent="0.35">
      <c r="A346" s="366" t="str">
        <f>IF(I346&gt;0,"P","")</f>
        <v/>
      </c>
      <c r="B346" t="str">
        <f>IF(LEN('Ch6'!H29)=0,"",'Ch6'!H29)</f>
        <v/>
      </c>
      <c r="C346" t="str">
        <f t="shared" si="5"/>
        <v/>
      </c>
      <c r="D346" s="60">
        <v>601.20000000000005</v>
      </c>
      <c r="E346" s="60"/>
      <c r="F346" s="60"/>
      <c r="G346" s="837" t="s">
        <v>508</v>
      </c>
      <c r="H346"/>
      <c r="I346" s="433">
        <f>SUM(I348:I354)</f>
        <v>0</v>
      </c>
      <c r="J346" s="580"/>
    </row>
    <row r="347" spans="1:10" x14ac:dyDescent="0.35">
      <c r="A347" s="366" t="str">
        <f>A346</f>
        <v/>
      </c>
      <c r="B347" t="str">
        <f>IF(LEN('Ch6'!H30)=0,"",'Ch6'!H30)</f>
        <v/>
      </c>
      <c r="C347" t="str">
        <f t="shared" si="5"/>
        <v/>
      </c>
      <c r="D347" s="31"/>
      <c r="E347" s="31"/>
      <c r="F347" s="31"/>
      <c r="G347" s="838"/>
      <c r="H347"/>
      <c r="J347" s="580"/>
    </row>
    <row r="348" spans="1:10" x14ac:dyDescent="0.35">
      <c r="A348" s="366" t="str">
        <f>IF(I348&gt;0,"P","")</f>
        <v/>
      </c>
      <c r="B348" t="str">
        <f>IF(LEN('Ch6'!H31)=0,"",'Ch6'!H31)</f>
        <v/>
      </c>
      <c r="C348" t="str">
        <f t="shared" si="5"/>
        <v/>
      </c>
      <c r="D348" s="31"/>
      <c r="E348" s="402" t="s">
        <v>256</v>
      </c>
      <c r="F348" s="31"/>
      <c r="G348" s="814" t="s">
        <v>510</v>
      </c>
      <c r="H348" s="400" t="str">
        <f>IF(LEN('Ch6'!W31)=0,"",'Ch6'!W31)</f>
        <v/>
      </c>
      <c r="I348" s="46">
        <f>'Ch6'!O31</f>
        <v>0</v>
      </c>
      <c r="J348" s="580" t="s">
        <v>3894</v>
      </c>
    </row>
    <row r="349" spans="1:10" x14ac:dyDescent="0.35">
      <c r="A349" s="366" t="str">
        <f>A348</f>
        <v/>
      </c>
      <c r="B349" t="str">
        <f>IF(LEN('Ch6'!H32)=0,"",'Ch6'!H32)</f>
        <v/>
      </c>
      <c r="C349" t="str">
        <f t="shared" si="5"/>
        <v/>
      </c>
      <c r="D349" s="31"/>
      <c r="E349" s="31"/>
      <c r="F349" s="31"/>
      <c r="G349" s="814"/>
      <c r="H349"/>
      <c r="J349" s="580"/>
    </row>
    <row r="350" spans="1:10" x14ac:dyDescent="0.35">
      <c r="A350" s="366" t="str">
        <f>A349</f>
        <v/>
      </c>
      <c r="B350" t="str">
        <f>IF(LEN('Ch6'!H33)=0,"",'Ch6'!H33)</f>
        <v/>
      </c>
      <c r="C350" t="str">
        <f t="shared" si="5"/>
        <v/>
      </c>
      <c r="D350" s="31"/>
      <c r="E350" s="403"/>
      <c r="F350" s="403"/>
      <c r="G350" s="815"/>
      <c r="H350"/>
      <c r="J350" s="580"/>
    </row>
    <row r="351" spans="1:10" x14ac:dyDescent="0.35">
      <c r="A351" s="366" t="str">
        <f>IF(I351&gt;0,"P","")</f>
        <v/>
      </c>
      <c r="B351" t="str">
        <f>IF(LEN('Ch6'!H34)=0,"",'Ch6'!H34)</f>
        <v/>
      </c>
      <c r="C351" t="str">
        <f t="shared" si="5"/>
        <v/>
      </c>
      <c r="D351" s="31"/>
      <c r="E351" s="402" t="s">
        <v>258</v>
      </c>
      <c r="F351" s="31"/>
      <c r="G351" s="814" t="s">
        <v>511</v>
      </c>
      <c r="H351" s="400" t="str">
        <f>IF(LEN('Ch6'!W34)=0,"",'Ch6'!W34)</f>
        <v/>
      </c>
      <c r="I351" s="46">
        <f>'Ch6'!O34</f>
        <v>0</v>
      </c>
      <c r="J351" s="580" t="s">
        <v>3895</v>
      </c>
    </row>
    <row r="352" spans="1:10" x14ac:dyDescent="0.35">
      <c r="A352" s="366" t="str">
        <f>A351</f>
        <v/>
      </c>
      <c r="B352" t="str">
        <f>IF(LEN('Ch6'!H35)=0,"",'Ch6'!H35)</f>
        <v/>
      </c>
      <c r="C352" t="str">
        <f t="shared" si="5"/>
        <v/>
      </c>
      <c r="D352" s="31"/>
      <c r="E352" s="31"/>
      <c r="F352" s="31"/>
      <c r="G352" s="814"/>
      <c r="H352"/>
      <c r="J352" s="580"/>
    </row>
    <row r="353" spans="1:10" x14ac:dyDescent="0.35">
      <c r="A353" s="366" t="str">
        <f>A352</f>
        <v/>
      </c>
      <c r="B353" t="str">
        <f>IF(LEN('Ch6'!H36)=0,"",'Ch6'!H36)</f>
        <v/>
      </c>
      <c r="C353" t="str">
        <f t="shared" si="5"/>
        <v/>
      </c>
      <c r="D353" s="31"/>
      <c r="E353" s="403"/>
      <c r="F353" s="403"/>
      <c r="G353" s="815"/>
      <c r="H353"/>
      <c r="J353" s="580"/>
    </row>
    <row r="354" spans="1:10" ht="26.5" thickBot="1" x14ac:dyDescent="0.4">
      <c r="A354" s="366" t="str">
        <f>IF(I354&gt;0,"P","")</f>
        <v/>
      </c>
      <c r="B354" t="str">
        <f>IF(LEN('Ch6'!H37)=0,"",'Ch6'!H37)</f>
        <v/>
      </c>
      <c r="C354" t="str">
        <f t="shared" si="5"/>
        <v/>
      </c>
      <c r="D354" s="31"/>
      <c r="E354" s="402" t="s">
        <v>260</v>
      </c>
      <c r="F354" s="31"/>
      <c r="G354" s="90" t="s">
        <v>512</v>
      </c>
      <c r="H354" s="400" t="str">
        <f>IF(LEN('Ch6'!W37)=0,"",'Ch6'!W37)</f>
        <v/>
      </c>
      <c r="I354" s="46">
        <f>'Ch6'!O37</f>
        <v>0</v>
      </c>
      <c r="J354" s="580" t="s">
        <v>4952</v>
      </c>
    </row>
    <row r="355" spans="1:10" ht="15" thickTop="1" x14ac:dyDescent="0.35">
      <c r="A355" s="366" t="str">
        <f>IF(I355&gt;0,"P","")</f>
        <v>P</v>
      </c>
      <c r="B355" t="str">
        <f>IF(LEN('Ch6'!H38)=0,"",'Ch6'!H38)</f>
        <v/>
      </c>
      <c r="C355" t="str">
        <f t="shared" si="5"/>
        <v>P</v>
      </c>
      <c r="D355" s="60">
        <v>601.29999999999995</v>
      </c>
      <c r="E355" s="60"/>
      <c r="F355" s="60"/>
      <c r="G355" s="837" t="s">
        <v>513</v>
      </c>
      <c r="H355"/>
      <c r="I355" s="433">
        <f>SUM(I358:I362)</f>
        <v>9</v>
      </c>
      <c r="J355" s="580" t="s">
        <v>3896</v>
      </c>
    </row>
    <row r="356" spans="1:10" x14ac:dyDescent="0.35">
      <c r="A356" s="366" t="str">
        <f>A355</f>
        <v>P</v>
      </c>
      <c r="B356" t="str">
        <f>IF(LEN('Ch6'!H39)=0,"",'Ch6'!H39)</f>
        <v/>
      </c>
      <c r="C356" t="str">
        <f t="shared" si="5"/>
        <v>P</v>
      </c>
      <c r="D356" s="31"/>
      <c r="E356" s="31"/>
      <c r="F356" s="31"/>
      <c r="G356" s="838"/>
      <c r="H356"/>
      <c r="J356" s="580"/>
    </row>
    <row r="357" spans="1:10" x14ac:dyDescent="0.35">
      <c r="A357" s="366" t="str">
        <f>A356</f>
        <v>P</v>
      </c>
      <c r="B357" t="str">
        <f>IF(LEN('Ch6'!H40)=0,"",'Ch6'!H40)</f>
        <v/>
      </c>
      <c r="C357" t="str">
        <f t="shared" si="5"/>
        <v>P</v>
      </c>
      <c r="D357" s="31"/>
      <c r="E357" s="31"/>
      <c r="F357" s="31"/>
      <c r="G357" s="838"/>
      <c r="H357"/>
      <c r="J357" s="580"/>
    </row>
    <row r="358" spans="1:10" x14ac:dyDescent="0.35">
      <c r="B358" t="str">
        <f>IF(LEN('Ch6'!H41)=0,"",'Ch6'!H41)</f>
        <v/>
      </c>
      <c r="C358" t="str">
        <f t="shared" si="5"/>
        <v/>
      </c>
      <c r="D358" s="31"/>
      <c r="E358" s="416" t="s">
        <v>256</v>
      </c>
      <c r="F358" s="403"/>
      <c r="G358" s="228" t="s">
        <v>514</v>
      </c>
      <c r="H358" s="400" t="b">
        <f>IF(LEN('Ch6'!W41)=0,"",'Ch6'!W41)</f>
        <v>1</v>
      </c>
      <c r="I358" s="46">
        <f>'Ch6'!O41</f>
        <v>3</v>
      </c>
      <c r="J358" s="580"/>
    </row>
    <row r="359" spans="1:10" x14ac:dyDescent="0.35">
      <c r="B359" t="str">
        <f>IF(LEN('Ch6'!H42)=0,"",'Ch6'!H42)</f>
        <v/>
      </c>
      <c r="C359" t="str">
        <f t="shared" si="5"/>
        <v/>
      </c>
      <c r="D359" s="31"/>
      <c r="E359" s="422" t="s">
        <v>258</v>
      </c>
      <c r="F359" s="415"/>
      <c r="G359" s="178" t="s">
        <v>515</v>
      </c>
      <c r="H359" s="400" t="b">
        <f>IF(LEN('Ch6'!W42)=0,"",'Ch6'!W42)</f>
        <v>1</v>
      </c>
      <c r="I359" s="46">
        <f>'Ch6'!O42</f>
        <v>3</v>
      </c>
      <c r="J359" s="580"/>
    </row>
    <row r="360" spans="1:10" x14ac:dyDescent="0.35">
      <c r="B360" t="str">
        <f>IF(LEN('Ch6'!H43)=0,"",'Ch6'!H43)</f>
        <v/>
      </c>
      <c r="C360" t="str">
        <f t="shared" si="5"/>
        <v/>
      </c>
      <c r="D360" s="31"/>
      <c r="E360" s="422" t="s">
        <v>260</v>
      </c>
      <c r="F360" s="415"/>
      <c r="G360" s="178" t="s">
        <v>516</v>
      </c>
      <c r="H360" s="400" t="b">
        <f>IF(LEN('Ch6'!W43)=0,"",'Ch6'!W43)</f>
        <v>1</v>
      </c>
      <c r="I360" s="46">
        <f>'Ch6'!O43</f>
        <v>3</v>
      </c>
      <c r="J360" s="580"/>
    </row>
    <row r="361" spans="1:10" x14ac:dyDescent="0.35">
      <c r="B361" t="str">
        <f>IF(LEN('Ch6'!H44)=0,"",'Ch6'!H44)</f>
        <v/>
      </c>
      <c r="C361" t="str">
        <f t="shared" si="5"/>
        <v/>
      </c>
      <c r="D361" s="31"/>
      <c r="E361" s="422" t="s">
        <v>269</v>
      </c>
      <c r="F361" s="415"/>
      <c r="G361" s="178" t="s">
        <v>517</v>
      </c>
      <c r="H361" s="400" t="str">
        <f>IF(LEN('Ch6'!W44)=0,"",'Ch6'!W44)</f>
        <v/>
      </c>
      <c r="I361" s="46">
        <f>'Ch6'!O44</f>
        <v>0</v>
      </c>
      <c r="J361" s="580"/>
    </row>
    <row r="362" spans="1:10" ht="15" thickBot="1" x14ac:dyDescent="0.4">
      <c r="B362" t="str">
        <f>IF(LEN('Ch6'!H45)=0,"",'Ch6'!H45)</f>
        <v/>
      </c>
      <c r="C362" t="str">
        <f t="shared" si="5"/>
        <v/>
      </c>
      <c r="D362" s="31"/>
      <c r="E362" s="402" t="s">
        <v>275</v>
      </c>
      <c r="F362" s="31"/>
      <c r="G362" s="90" t="s">
        <v>518</v>
      </c>
      <c r="H362" s="400" t="str">
        <f>IF(LEN('Ch6'!W45)=0,"",'Ch6'!W45)</f>
        <v/>
      </c>
      <c r="I362" s="46">
        <f>'Ch6'!O45</f>
        <v>0</v>
      </c>
      <c r="J362" s="580"/>
    </row>
    <row r="363" spans="1:10" ht="15" thickTop="1" x14ac:dyDescent="0.35">
      <c r="A363" s="366" t="str">
        <f>IF(AND(LEN(H363)&gt;0,NOT(H363=FALSE)),"P","")</f>
        <v>P</v>
      </c>
      <c r="B363" t="str">
        <f>IF(LEN('Ch6'!H46)=0,"",'Ch6'!H46)</f>
        <v/>
      </c>
      <c r="C363" t="str">
        <f t="shared" si="5"/>
        <v>P</v>
      </c>
      <c r="D363" s="60">
        <v>601.4</v>
      </c>
      <c r="E363" s="60"/>
      <c r="F363" s="60"/>
      <c r="G363" s="837" t="s">
        <v>519</v>
      </c>
      <c r="H363" s="400" t="b">
        <f>IF(LEN('Ch6'!W46)=0,"",'Ch6'!W46)</f>
        <v>1</v>
      </c>
      <c r="I363" s="46">
        <f>'Ch6'!O46</f>
        <v>4</v>
      </c>
      <c r="J363" s="975" t="s">
        <v>4953</v>
      </c>
    </row>
    <row r="364" spans="1:10" x14ac:dyDescent="0.35">
      <c r="A364" s="366" t="str">
        <f>A363</f>
        <v>P</v>
      </c>
      <c r="B364" t="str">
        <f>IF(LEN('Ch6'!H47)=0,"",'Ch6'!H47)</f>
        <v/>
      </c>
      <c r="C364" t="str">
        <f t="shared" si="5"/>
        <v>P</v>
      </c>
      <c r="D364" s="31"/>
      <c r="E364" s="31"/>
      <c r="F364" s="31"/>
      <c r="G364" s="838"/>
      <c r="H364"/>
      <c r="J364" s="976"/>
    </row>
    <row r="365" spans="1:10" ht="15" thickBot="1" x14ac:dyDescent="0.4">
      <c r="A365" s="366" t="str">
        <f>A364</f>
        <v>P</v>
      </c>
      <c r="B365" t="str">
        <f>IF(LEN('Ch6'!H48)=0,"",'Ch6'!H48)</f>
        <v/>
      </c>
      <c r="C365" t="str">
        <f t="shared" si="5"/>
        <v>P</v>
      </c>
      <c r="D365" s="31"/>
      <c r="E365" s="31"/>
      <c r="F365" s="31"/>
      <c r="G365" s="838"/>
      <c r="H365"/>
      <c r="J365" s="580"/>
    </row>
    <row r="366" spans="1:10" ht="15" thickTop="1" x14ac:dyDescent="0.35">
      <c r="A366" s="727" t="str">
        <f>IF(COUNTIF(A369:A373,"P")&gt;0,"P","")</f>
        <v>P</v>
      </c>
      <c r="B366" t="str">
        <f>IF(LEN('Ch6'!H49)=0,"",'Ch6'!H49)</f>
        <v/>
      </c>
      <c r="C366" t="str">
        <f t="shared" si="5"/>
        <v>P</v>
      </c>
      <c r="D366" s="60">
        <v>601.5</v>
      </c>
      <c r="E366" s="60"/>
      <c r="F366" s="60"/>
      <c r="G366" s="837" t="s">
        <v>520</v>
      </c>
      <c r="H366"/>
      <c r="I366"/>
      <c r="J366" s="580"/>
    </row>
    <row r="367" spans="1:10" x14ac:dyDescent="0.35">
      <c r="A367" s="366" t="str">
        <f>A366</f>
        <v>P</v>
      </c>
      <c r="B367" t="str">
        <f>IF(LEN('Ch6'!H50)=0,"",'Ch6'!H50)</f>
        <v/>
      </c>
      <c r="C367" t="str">
        <f t="shared" si="5"/>
        <v>P</v>
      </c>
      <c r="D367" s="31"/>
      <c r="E367" s="31"/>
      <c r="F367" s="31"/>
      <c r="G367" s="838"/>
      <c r="H367"/>
      <c r="J367" s="580"/>
    </row>
    <row r="368" spans="1:10" x14ac:dyDescent="0.35">
      <c r="A368" s="366" t="str">
        <f>A367</f>
        <v>P</v>
      </c>
      <c r="B368" t="str">
        <f>IF(LEN('Ch6'!H51)=0,"",'Ch6'!H51)</f>
        <v/>
      </c>
      <c r="C368" t="str">
        <f t="shared" si="5"/>
        <v>P</v>
      </c>
      <c r="D368" s="31"/>
      <c r="E368" s="31"/>
      <c r="F368" s="31"/>
      <c r="G368" s="838"/>
      <c r="H368"/>
      <c r="J368" s="580"/>
    </row>
    <row r="369" spans="1:10" x14ac:dyDescent="0.35">
      <c r="A369" s="366" t="str">
        <f t="shared" ref="A369:A374" si="6">IF(I369&gt;0,"P","")</f>
        <v/>
      </c>
      <c r="B369" t="str">
        <f>IF(LEN('Ch6'!H52)=0,"",'Ch6'!H52)</f>
        <v/>
      </c>
      <c r="C369" t="str">
        <f t="shared" si="5"/>
        <v/>
      </c>
      <c r="D369" s="31"/>
      <c r="E369" s="416" t="s">
        <v>256</v>
      </c>
      <c r="F369" s="403"/>
      <c r="G369" s="228" t="s">
        <v>522</v>
      </c>
      <c r="H369" s="400" t="str">
        <f>IF(LEN('Ch6'!W52)=0,"",'Ch6'!W52)</f>
        <v/>
      </c>
      <c r="I369" s="46">
        <f>'Ch6'!O52</f>
        <v>0</v>
      </c>
      <c r="J369" s="580" t="s">
        <v>3891</v>
      </c>
    </row>
    <row r="370" spans="1:10" x14ac:dyDescent="0.35">
      <c r="A370" s="366" t="str">
        <f t="shared" si="6"/>
        <v>P</v>
      </c>
      <c r="B370" t="str">
        <f>IF(LEN('Ch6'!H53)=0,"",'Ch6'!H53)</f>
        <v/>
      </c>
      <c r="C370" t="str">
        <f t="shared" si="5"/>
        <v>P</v>
      </c>
      <c r="D370" s="31"/>
      <c r="E370" s="422" t="s">
        <v>258</v>
      </c>
      <c r="F370" s="415"/>
      <c r="G370" s="178" t="s">
        <v>523</v>
      </c>
      <c r="H370" s="400" t="b">
        <f>IF(LEN('Ch6'!W53)=0,"",'Ch6'!W53)</f>
        <v>1</v>
      </c>
      <c r="I370" s="46">
        <f>'Ch6'!O53</f>
        <v>4</v>
      </c>
      <c r="J370" s="580" t="s">
        <v>3891</v>
      </c>
    </row>
    <row r="371" spans="1:10" x14ac:dyDescent="0.35">
      <c r="A371" s="366" t="str">
        <f t="shared" si="6"/>
        <v/>
      </c>
      <c r="B371" t="str">
        <f>IF(LEN('Ch6'!H54)=0,"",'Ch6'!H54)</f>
        <v/>
      </c>
      <c r="C371" t="str">
        <f t="shared" si="5"/>
        <v/>
      </c>
      <c r="D371" s="31"/>
      <c r="E371" s="422" t="s">
        <v>260</v>
      </c>
      <c r="F371" s="415"/>
      <c r="G371" s="178" t="s">
        <v>524</v>
      </c>
      <c r="H371" s="400" t="str">
        <f>IF(LEN('Ch6'!W54)=0,"",'Ch6'!W54)</f>
        <v/>
      </c>
      <c r="I371" s="46">
        <f>'Ch6'!O54</f>
        <v>0</v>
      </c>
      <c r="J371" s="580" t="s">
        <v>3891</v>
      </c>
    </row>
    <row r="372" spans="1:10" x14ac:dyDescent="0.35">
      <c r="A372" s="366" t="str">
        <f t="shared" si="6"/>
        <v/>
      </c>
      <c r="B372" t="str">
        <f>IF(LEN('Ch6'!H55)=0,"",'Ch6'!H55)</f>
        <v/>
      </c>
      <c r="C372" t="str">
        <f t="shared" si="5"/>
        <v/>
      </c>
      <c r="D372" s="31"/>
      <c r="E372" s="422" t="s">
        <v>269</v>
      </c>
      <c r="F372" s="415"/>
      <c r="G372" s="178" t="s">
        <v>525</v>
      </c>
      <c r="H372" s="400" t="str">
        <f>IF(LEN('Ch6'!W55)=0,"",'Ch6'!W55)</f>
        <v/>
      </c>
      <c r="I372" s="46">
        <f>'Ch6'!O55</f>
        <v>0</v>
      </c>
      <c r="J372" s="580" t="s">
        <v>3897</v>
      </c>
    </row>
    <row r="373" spans="1:10" ht="15" thickBot="1" x14ac:dyDescent="0.4">
      <c r="A373" s="366" t="str">
        <f t="shared" si="6"/>
        <v/>
      </c>
      <c r="B373" t="str">
        <f>IF(LEN('Ch6'!H56)=0,"",'Ch6'!H56)</f>
        <v/>
      </c>
      <c r="C373" t="str">
        <f t="shared" si="5"/>
        <v/>
      </c>
      <c r="D373" s="31"/>
      <c r="E373" s="402" t="s">
        <v>275</v>
      </c>
      <c r="F373" s="31"/>
      <c r="G373" s="90" t="s">
        <v>526</v>
      </c>
      <c r="H373" s="400" t="str">
        <f>IF(LEN('Ch6'!W56)=0,"",'Ch6'!W56)</f>
        <v/>
      </c>
      <c r="I373" s="46">
        <f>'Ch6'!O56</f>
        <v>0</v>
      </c>
      <c r="J373" s="580" t="s">
        <v>3897</v>
      </c>
    </row>
    <row r="374" spans="1:10" ht="15" thickTop="1" x14ac:dyDescent="0.35">
      <c r="A374" s="366" t="str">
        <f t="shared" ca="1" si="6"/>
        <v>P</v>
      </c>
      <c r="B374" t="str">
        <f>IF(LEN('Ch6'!H57)=0,"",'Ch6'!H57)</f>
        <v/>
      </c>
      <c r="C374" t="str">
        <f t="shared" ca="1" si="5"/>
        <v>P</v>
      </c>
      <c r="D374" s="60">
        <v>601.6</v>
      </c>
      <c r="E374" s="60"/>
      <c r="F374" s="60"/>
      <c r="G374" s="837" t="s">
        <v>527</v>
      </c>
      <c r="H374"/>
      <c r="I374" s="46">
        <f ca="1">'Ch6'!O57</f>
        <v>4</v>
      </c>
      <c r="J374" s="580" t="s">
        <v>3891</v>
      </c>
    </row>
    <row r="375" spans="1:10" x14ac:dyDescent="0.35">
      <c r="A375" s="366" t="str">
        <f ca="1">A374</f>
        <v>P</v>
      </c>
      <c r="B375" t="str">
        <f>IF(LEN('Ch6'!H58)=0,"",'Ch6'!H58)</f>
        <v/>
      </c>
      <c r="C375" t="str">
        <f t="shared" ca="1" si="5"/>
        <v>P</v>
      </c>
      <c r="D375" s="31"/>
      <c r="E375" s="31"/>
      <c r="F375" s="31"/>
      <c r="G375" s="838"/>
      <c r="H375"/>
      <c r="J375" s="580"/>
    </row>
    <row r="376" spans="1:10" x14ac:dyDescent="0.35">
      <c r="A376" s="366" t="str">
        <f ca="1">A375</f>
        <v>P</v>
      </c>
      <c r="B376" t="str">
        <f>IF(LEN('Ch6'!H59)=0,"",'Ch6'!H59)</f>
        <v/>
      </c>
      <c r="C376" t="str">
        <f t="shared" ca="1" si="5"/>
        <v>P</v>
      </c>
      <c r="D376" s="31"/>
      <c r="E376" s="31"/>
      <c r="F376" s="31"/>
      <c r="G376" s="838"/>
      <c r="H376"/>
      <c r="J376" s="580"/>
    </row>
    <row r="377" spans="1:10" x14ac:dyDescent="0.35">
      <c r="B377" t="str">
        <f>IF(LEN('Ch6'!H60)=0,"",'Ch6'!H60)</f>
        <v/>
      </c>
      <c r="C377" t="str">
        <f t="shared" si="5"/>
        <v/>
      </c>
      <c r="D377" s="31"/>
      <c r="E377" s="416" t="s">
        <v>256</v>
      </c>
      <c r="F377" s="403"/>
      <c r="G377" s="228" t="s">
        <v>529</v>
      </c>
      <c r="H377"/>
      <c r="J377" s="580"/>
    </row>
    <row r="378" spans="1:10" ht="15" thickBot="1" x14ac:dyDescent="0.4">
      <c r="B378" t="str">
        <f>IF(LEN('Ch6'!H61)=0,"",'Ch6'!H61)</f>
        <v/>
      </c>
      <c r="C378" t="str">
        <f t="shared" si="5"/>
        <v/>
      </c>
      <c r="D378" s="31"/>
      <c r="E378" s="402" t="s">
        <v>258</v>
      </c>
      <c r="F378" s="31"/>
      <c r="G378" s="90" t="s">
        <v>530</v>
      </c>
      <c r="H378"/>
      <c r="J378" s="580"/>
    </row>
    <row r="379" spans="1:10" ht="15" thickTop="1" x14ac:dyDescent="0.35">
      <c r="A379" s="366" t="str">
        <f ca="1">IF(I379&gt;0,"P","")</f>
        <v/>
      </c>
      <c r="B379" t="str">
        <f>IF(LEN('Ch6'!H62)=0,"",'Ch6'!H62)</f>
        <v/>
      </c>
      <c r="C379" t="str">
        <f t="shared" ca="1" si="5"/>
        <v/>
      </c>
      <c r="D379" s="60">
        <v>601.70000000000005</v>
      </c>
      <c r="E379" s="60"/>
      <c r="F379" s="60"/>
      <c r="G379" s="837" t="s">
        <v>531</v>
      </c>
      <c r="H379"/>
      <c r="I379" s="46">
        <f ca="1">'Ch6'!O62</f>
        <v>0</v>
      </c>
      <c r="J379" s="975" t="s">
        <v>4954</v>
      </c>
    </row>
    <row r="380" spans="1:10" x14ac:dyDescent="0.35">
      <c r="A380" s="366" t="str">
        <f ca="1">A379</f>
        <v/>
      </c>
      <c r="B380" t="str">
        <f>IF(LEN('Ch6'!H63)=0,"",'Ch6'!H63)</f>
        <v/>
      </c>
      <c r="C380" t="str">
        <f t="shared" ca="1" si="5"/>
        <v/>
      </c>
      <c r="D380" s="31"/>
      <c r="E380" s="31"/>
      <c r="F380" s="31"/>
      <c r="G380" s="838"/>
      <c r="H380"/>
      <c r="J380" s="976"/>
    </row>
    <row r="381" spans="1:10" x14ac:dyDescent="0.35">
      <c r="B381" t="str">
        <f>IF(LEN('Ch6'!H64)=0,"",'Ch6'!H64)</f>
        <v/>
      </c>
      <c r="C381" t="str">
        <f t="shared" si="5"/>
        <v/>
      </c>
      <c r="D381" s="31"/>
      <c r="E381" s="31"/>
      <c r="F381" s="31"/>
      <c r="G381" s="92" t="s">
        <v>542</v>
      </c>
      <c r="H381"/>
      <c r="J381" s="580"/>
    </row>
    <row r="382" spans="1:10" x14ac:dyDescent="0.35">
      <c r="B382" t="str">
        <f>IF(LEN('Ch6'!H65)=0,"",'Ch6'!H65)</f>
        <v/>
      </c>
      <c r="C382" t="str">
        <f t="shared" si="5"/>
        <v/>
      </c>
      <c r="D382" s="31"/>
      <c r="E382" s="31"/>
      <c r="F382" s="416" t="s">
        <v>121</v>
      </c>
      <c r="G382" s="228" t="s">
        <v>533</v>
      </c>
      <c r="H382" s="400" t="str">
        <f>IF(LEN('Ch6'!W65)=0,"",'Ch6'!W65)</f>
        <v/>
      </c>
      <c r="J382" s="580"/>
    </row>
    <row r="383" spans="1:10" x14ac:dyDescent="0.35">
      <c r="B383" t="str">
        <f>IF(LEN('Ch6'!H66)=0,"",'Ch6'!H66)</f>
        <v/>
      </c>
      <c r="C383" t="str">
        <f t="shared" si="5"/>
        <v/>
      </c>
      <c r="D383" s="31"/>
      <c r="E383" s="31"/>
      <c r="F383" s="422" t="s">
        <v>122</v>
      </c>
      <c r="G383" s="178" t="s">
        <v>534</v>
      </c>
      <c r="H383" s="400" t="str">
        <f>IF(LEN('Ch6'!W66)=0,"",'Ch6'!W66)</f>
        <v/>
      </c>
      <c r="J383" s="580"/>
    </row>
    <row r="384" spans="1:10" x14ac:dyDescent="0.35">
      <c r="B384" t="str">
        <f>IF(LEN('Ch6'!H67)=0,"",'Ch6'!H67)</f>
        <v/>
      </c>
      <c r="C384" t="str">
        <f t="shared" si="5"/>
        <v/>
      </c>
      <c r="D384" s="31"/>
      <c r="E384" s="31"/>
      <c r="F384" s="423" t="s">
        <v>123</v>
      </c>
      <c r="G384" s="897" t="s">
        <v>535</v>
      </c>
      <c r="H384" s="400" t="str">
        <f>IF(LEN('Ch6'!W67)=0,"",'Ch6'!W67)</f>
        <v/>
      </c>
      <c r="J384" s="580"/>
    </row>
    <row r="385" spans="1:10" x14ac:dyDescent="0.35">
      <c r="B385" t="str">
        <f>IF(LEN('Ch6'!H68)=0,"",'Ch6'!H68)</f>
        <v/>
      </c>
      <c r="C385" t="str">
        <f t="shared" si="5"/>
        <v/>
      </c>
      <c r="D385" s="31"/>
      <c r="E385" s="31"/>
      <c r="F385" s="31"/>
      <c r="G385" s="898"/>
      <c r="H385"/>
      <c r="J385" s="580"/>
    </row>
    <row r="386" spans="1:10" x14ac:dyDescent="0.35">
      <c r="B386" t="str">
        <f>IF(LEN('Ch6'!H69)=0,"",'Ch6'!H69)</f>
        <v/>
      </c>
      <c r="C386" t="str">
        <f t="shared" si="5"/>
        <v/>
      </c>
      <c r="D386" s="31"/>
      <c r="E386" s="31"/>
      <c r="F386" s="31"/>
      <c r="G386" s="179" t="s">
        <v>536</v>
      </c>
      <c r="H386"/>
      <c r="J386" s="580"/>
    </row>
    <row r="387" spans="1:10" x14ac:dyDescent="0.35">
      <c r="B387" t="str">
        <f>IF(LEN('Ch6'!H70)=0,"",'Ch6'!H70)</f>
        <v/>
      </c>
      <c r="C387" t="str">
        <f t="shared" si="5"/>
        <v/>
      </c>
      <c r="D387" s="31"/>
      <c r="E387" s="31"/>
      <c r="F387" s="403"/>
      <c r="G387" s="281" t="s">
        <v>537</v>
      </c>
      <c r="H387"/>
      <c r="J387" s="580"/>
    </row>
    <row r="388" spans="1:10" x14ac:dyDescent="0.35">
      <c r="B388" t="str">
        <f>IF(LEN('Ch6'!H71)=0,"",'Ch6'!H71)</f>
        <v/>
      </c>
      <c r="C388" t="str">
        <f t="shared" si="5"/>
        <v/>
      </c>
      <c r="D388" s="31"/>
      <c r="E388" s="31"/>
      <c r="F388" s="405" t="s">
        <v>401</v>
      </c>
      <c r="G388" s="836" t="s">
        <v>538</v>
      </c>
      <c r="H388" s="400" t="str">
        <f>IF(LEN('Ch6'!W71)=0,"",'Ch6'!W71)</f>
        <v/>
      </c>
      <c r="J388" s="580"/>
    </row>
    <row r="389" spans="1:10" x14ac:dyDescent="0.35">
      <c r="B389" t="str">
        <f>IF(LEN('Ch6'!H72)=0,"",'Ch6'!H72)</f>
        <v/>
      </c>
      <c r="C389" t="str">
        <f t="shared" si="5"/>
        <v/>
      </c>
      <c r="D389" s="31"/>
      <c r="E389" s="31"/>
      <c r="F389" s="403"/>
      <c r="G389" s="815"/>
      <c r="H389"/>
      <c r="J389" s="580"/>
    </row>
    <row r="390" spans="1:10" x14ac:dyDescent="0.35">
      <c r="B390" t="str">
        <f>IF(LEN('Ch6'!H73)=0,"",'Ch6'!H73)</f>
        <v/>
      </c>
      <c r="C390" t="str">
        <f t="shared" si="5"/>
        <v/>
      </c>
      <c r="D390" s="31"/>
      <c r="E390" s="31"/>
      <c r="F390" s="405" t="s">
        <v>539</v>
      </c>
      <c r="G390" s="836" t="s">
        <v>540</v>
      </c>
      <c r="H390" s="400" t="str">
        <f>IF(LEN('Ch6'!W73)=0,"",'Ch6'!W73)</f>
        <v/>
      </c>
      <c r="J390" s="580"/>
    </row>
    <row r="391" spans="1:10" x14ac:dyDescent="0.35">
      <c r="B391" t="str">
        <f>IF(LEN('Ch6'!H74)=0,"",'Ch6'!H74)</f>
        <v/>
      </c>
      <c r="C391" t="str">
        <f t="shared" si="5"/>
        <v/>
      </c>
      <c r="D391" s="31"/>
      <c r="E391" s="31"/>
      <c r="F391" s="403"/>
      <c r="G391" s="815"/>
      <c r="H391"/>
      <c r="J391" s="580"/>
    </row>
    <row r="392" spans="1:10" x14ac:dyDescent="0.35">
      <c r="B392" t="str">
        <f>IF(LEN('Ch6'!H75)=0,"",'Ch6'!H75)</f>
        <v/>
      </c>
      <c r="C392" t="str">
        <f t="shared" ref="C392:C455" si="7">IF(LEN(B392)=0,IF(A392="P","P",""),B392)</f>
        <v/>
      </c>
      <c r="D392" s="31"/>
      <c r="E392" s="416" t="s">
        <v>256</v>
      </c>
      <c r="F392" s="31"/>
      <c r="G392" s="228" t="s">
        <v>541</v>
      </c>
      <c r="H392"/>
      <c r="J392" s="580"/>
    </row>
    <row r="393" spans="1:10" x14ac:dyDescent="0.35">
      <c r="B393" t="str">
        <f>IF(LEN('Ch6'!H76)=0,"",'Ch6'!H76)</f>
        <v/>
      </c>
      <c r="C393" t="str">
        <f t="shared" si="7"/>
        <v/>
      </c>
      <c r="D393" s="31"/>
      <c r="E393" s="402" t="s">
        <v>258</v>
      </c>
      <c r="F393" s="621"/>
      <c r="G393" s="820" t="s">
        <v>543</v>
      </c>
      <c r="H393"/>
      <c r="J393" s="580"/>
    </row>
    <row r="394" spans="1:10" x14ac:dyDescent="0.35">
      <c r="B394" t="str">
        <f>IF(LEN('Ch6'!H77)=0,"",'Ch6'!H77)</f>
        <v/>
      </c>
      <c r="C394" t="str">
        <f t="shared" si="7"/>
        <v/>
      </c>
      <c r="D394" s="31"/>
      <c r="E394" s="619"/>
      <c r="F394" s="403"/>
      <c r="G394" s="821"/>
      <c r="H394"/>
      <c r="J394" s="580"/>
    </row>
    <row r="395" spans="1:10" x14ac:dyDescent="0.35">
      <c r="B395" t="str">
        <f>IF(LEN('Ch6'!H78)=0,"",'Ch6'!H78)</f>
        <v/>
      </c>
      <c r="C395" t="str">
        <f t="shared" si="7"/>
        <v/>
      </c>
      <c r="D395" s="31"/>
      <c r="E395" s="402" t="s">
        <v>260</v>
      </c>
      <c r="F395" s="31"/>
      <c r="G395" s="848" t="s">
        <v>544</v>
      </c>
      <c r="H395"/>
      <c r="J395" s="580"/>
    </row>
    <row r="396" spans="1:10" ht="15" thickBot="1" x14ac:dyDescent="0.4">
      <c r="B396" t="str">
        <f>IF(LEN('Ch6'!H79)=0,"",'Ch6'!H79)</f>
        <v/>
      </c>
      <c r="C396" t="str">
        <f t="shared" si="7"/>
        <v/>
      </c>
      <c r="D396" s="31"/>
      <c r="E396" s="402"/>
      <c r="F396" s="31"/>
      <c r="G396" s="888"/>
      <c r="H396"/>
      <c r="J396" s="580"/>
    </row>
    <row r="397" spans="1:10" ht="15" thickTop="1" x14ac:dyDescent="0.35">
      <c r="A397" s="366" t="str">
        <f>IF(I397&gt;0,"P","")</f>
        <v/>
      </c>
      <c r="B397" t="str">
        <f>IF(LEN('Ch6'!H80)=0,"",'Ch6'!H80)</f>
        <v/>
      </c>
      <c r="C397" t="str">
        <f t="shared" si="7"/>
        <v/>
      </c>
      <c r="D397" s="60">
        <v>601.79999999999995</v>
      </c>
      <c r="E397" s="60"/>
      <c r="F397" s="60"/>
      <c r="G397" s="837" t="s">
        <v>545</v>
      </c>
      <c r="H397" s="400" t="str">
        <f>IF(LEN('Ch6'!W80)=0,"",'Ch6'!W80)</f>
        <v/>
      </c>
      <c r="I397" s="46">
        <f>'Ch6'!O80</f>
        <v>0</v>
      </c>
      <c r="J397" s="580" t="s">
        <v>3898</v>
      </c>
    </row>
    <row r="398" spans="1:10" x14ac:dyDescent="0.35">
      <c r="A398" s="366" t="str">
        <f>A397</f>
        <v/>
      </c>
      <c r="B398" t="str">
        <f>IF(LEN('Ch6'!H81)=0,"",'Ch6'!H81)</f>
        <v/>
      </c>
      <c r="C398" t="str">
        <f t="shared" si="7"/>
        <v/>
      </c>
      <c r="D398" s="31"/>
      <c r="E398" s="31"/>
      <c r="F398" s="31"/>
      <c r="G398" s="838"/>
      <c r="H398"/>
      <c r="J398" s="580"/>
    </row>
    <row r="399" spans="1:10" x14ac:dyDescent="0.35">
      <c r="A399" s="366" t="str">
        <f>A398</f>
        <v/>
      </c>
      <c r="B399" t="str">
        <f>IF(LEN('Ch6'!H82)=0,"",'Ch6'!H82)</f>
        <v/>
      </c>
      <c r="C399" t="str">
        <f t="shared" si="7"/>
        <v/>
      </c>
      <c r="D399" s="31"/>
      <c r="E399" s="31"/>
      <c r="F399" s="31"/>
      <c r="G399" s="838"/>
      <c r="H399"/>
      <c r="J399" s="580"/>
    </row>
    <row r="400" spans="1:10" x14ac:dyDescent="0.35">
      <c r="A400" s="366" t="str">
        <f>A399</f>
        <v/>
      </c>
      <c r="B400" t="str">
        <f>IF(LEN('Ch6'!H83)=0,"",'Ch6'!H83)</f>
        <v/>
      </c>
      <c r="C400" t="str">
        <f t="shared" si="7"/>
        <v/>
      </c>
      <c r="D400" s="31"/>
      <c r="E400" s="31"/>
      <c r="F400" s="31"/>
      <c r="G400" s="838"/>
      <c r="H400"/>
      <c r="J400" s="580"/>
    </row>
    <row r="401" spans="1:10" x14ac:dyDescent="0.35">
      <c r="A401" s="366" t="str">
        <f>A400</f>
        <v/>
      </c>
      <c r="B401" t="str">
        <f>IF(LEN('Ch6'!H84)=0,"",'Ch6'!H84)</f>
        <v/>
      </c>
      <c r="C401" t="str">
        <f t="shared" si="7"/>
        <v/>
      </c>
      <c r="D401" s="31"/>
      <c r="E401" s="31"/>
      <c r="F401" s="31"/>
      <c r="G401" s="838"/>
      <c r="H401"/>
      <c r="J401" s="580"/>
    </row>
    <row r="402" spans="1:10" x14ac:dyDescent="0.35">
      <c r="B402" t="str">
        <f>IF(LEN('Ch6'!H85)=0,"",'Ch6'!H85)</f>
        <v/>
      </c>
      <c r="C402" t="str">
        <f t="shared" si="7"/>
        <v/>
      </c>
      <c r="D402" s="31"/>
      <c r="E402" s="31"/>
      <c r="F402" s="31"/>
      <c r="G402" s="984" t="s">
        <v>1102</v>
      </c>
      <c r="H402"/>
      <c r="J402" s="580"/>
    </row>
    <row r="403" spans="1:10" x14ac:dyDescent="0.35">
      <c r="B403" t="str">
        <f>IF(LEN('Ch6'!H86)=0,"",'Ch6'!H86)</f>
        <v/>
      </c>
      <c r="C403" t="str">
        <f t="shared" si="7"/>
        <v/>
      </c>
      <c r="D403" s="31"/>
      <c r="E403" s="31"/>
      <c r="F403" s="31"/>
      <c r="G403" s="984"/>
      <c r="H403"/>
      <c r="J403" s="580"/>
    </row>
    <row r="404" spans="1:10" x14ac:dyDescent="0.35">
      <c r="B404" t="str">
        <f>IF(LEN('Ch6'!H87)=0,"",'Ch6'!H87)</f>
        <v/>
      </c>
      <c r="C404" t="str">
        <f t="shared" si="7"/>
        <v/>
      </c>
      <c r="D404" s="31"/>
      <c r="E404" s="31"/>
      <c r="F404" s="31"/>
      <c r="G404" s="985"/>
      <c r="H404"/>
      <c r="J404" s="580"/>
    </row>
    <row r="405" spans="1:10" ht="18.5" x14ac:dyDescent="0.35">
      <c r="A405" s="366" t="s">
        <v>3973</v>
      </c>
      <c r="B405" t="str">
        <f>IF(LEN('Ch6'!H88)=0,"",'Ch6'!H88)</f>
        <v/>
      </c>
      <c r="C405" t="str">
        <f t="shared" si="7"/>
        <v>P</v>
      </c>
      <c r="D405" s="620" t="s">
        <v>546</v>
      </c>
      <c r="E405" s="620"/>
      <c r="F405" s="620"/>
      <c r="G405" s="537"/>
      <c r="H405"/>
      <c r="J405" s="580"/>
    </row>
    <row r="406" spans="1:10" x14ac:dyDescent="0.35">
      <c r="B406" t="str">
        <f>IF(LEN('Ch6'!H89)=0,"",'Ch6'!H89)</f>
        <v/>
      </c>
      <c r="C406" t="str">
        <f t="shared" si="7"/>
        <v/>
      </c>
      <c r="D406" s="402" t="s">
        <v>3140</v>
      </c>
      <c r="E406" s="31"/>
      <c r="F406" s="31"/>
      <c r="G406" s="838" t="s">
        <v>547</v>
      </c>
      <c r="H406"/>
      <c r="J406" s="580"/>
    </row>
    <row r="407" spans="1:10" ht="15" thickBot="1" x14ac:dyDescent="0.4">
      <c r="B407" t="str">
        <f>IF(LEN('Ch6'!H90)=0,"",'Ch6'!H90)</f>
        <v/>
      </c>
      <c r="C407" t="str">
        <f t="shared" si="7"/>
        <v/>
      </c>
      <c r="D407" s="31"/>
      <c r="E407" s="31"/>
      <c r="F407" s="31"/>
      <c r="G407" s="838"/>
      <c r="H407"/>
      <c r="J407" s="580"/>
    </row>
    <row r="408" spans="1:10" ht="15.5" thickTop="1" thickBot="1" x14ac:dyDescent="0.4">
      <c r="A408" s="727" t="str">
        <f ca="1">IF(COUNTIF(A409:A537,"P")&gt;0,"P","")</f>
        <v>P</v>
      </c>
      <c r="B408" t="str">
        <f>IF(LEN('Ch6'!H91)=0,"",'Ch6'!H91)</f>
        <v/>
      </c>
      <c r="C408" t="str">
        <f t="shared" ca="1" si="7"/>
        <v>P</v>
      </c>
      <c r="D408" s="60">
        <v>602.1</v>
      </c>
      <c r="E408" s="60"/>
      <c r="F408" s="60"/>
      <c r="G408" s="274" t="s">
        <v>548</v>
      </c>
      <c r="H408"/>
      <c r="J408" s="580"/>
    </row>
    <row r="409" spans="1:10" ht="15" thickTop="1" x14ac:dyDescent="0.35">
      <c r="A409" s="727" t="str">
        <f>IF(COUNTIF(A410:A413,"P")&gt;0,"P","")</f>
        <v/>
      </c>
      <c r="B409" t="str">
        <f>IF(LEN('Ch6'!H92)=0,"",'Ch6'!H92)</f>
        <v/>
      </c>
      <c r="C409" t="str">
        <f t="shared" si="7"/>
        <v/>
      </c>
      <c r="D409" s="60" t="s">
        <v>549</v>
      </c>
      <c r="E409" s="60"/>
      <c r="F409" s="60"/>
      <c r="G409" s="274" t="s">
        <v>550</v>
      </c>
      <c r="H409"/>
      <c r="J409" s="580"/>
    </row>
    <row r="410" spans="1:10" x14ac:dyDescent="0.35">
      <c r="A410" s="366" t="str">
        <f>IF(AND(LEN(H410)&gt;0,NOT(H410=FALSE)),"P","")</f>
        <v/>
      </c>
      <c r="B410" t="str">
        <f>IF(LEN('Ch6'!H93)=0,"",'Ch6'!H93)</f>
        <v/>
      </c>
      <c r="C410" t="str">
        <f t="shared" si="7"/>
        <v/>
      </c>
      <c r="D410" s="31" t="s">
        <v>551</v>
      </c>
      <c r="E410" s="31"/>
      <c r="F410" s="31"/>
      <c r="G410" s="838" t="s">
        <v>4849</v>
      </c>
      <c r="H410" s="400" t="str">
        <f>IF(LEN('Ch6'!W93)=0,"",'Ch6'!W93)</f>
        <v/>
      </c>
      <c r="J410" s="975" t="s">
        <v>4955</v>
      </c>
    </row>
    <row r="411" spans="1:10" x14ac:dyDescent="0.35">
      <c r="A411" s="366" t="str">
        <f>A410</f>
        <v/>
      </c>
      <c r="B411" t="str">
        <f>IF(LEN('Ch6'!H94)=0,"",'Ch6'!H94)</f>
        <v/>
      </c>
      <c r="C411" t="str">
        <f t="shared" si="7"/>
        <v/>
      </c>
      <c r="D411" s="31"/>
      <c r="E411" s="31"/>
      <c r="F411" s="31"/>
      <c r="G411" s="838"/>
      <c r="H411"/>
      <c r="J411" s="979"/>
    </row>
    <row r="412" spans="1:10" x14ac:dyDescent="0.35">
      <c r="A412" s="366" t="str">
        <f>A411</f>
        <v/>
      </c>
      <c r="B412" t="str">
        <f>IF(LEN('Ch6'!H95)=0,"",'Ch6'!H95)</f>
        <v/>
      </c>
      <c r="C412" t="str">
        <f t="shared" si="7"/>
        <v/>
      </c>
      <c r="D412" s="403"/>
      <c r="E412" s="403"/>
      <c r="F412" s="403"/>
      <c r="G412" s="889"/>
      <c r="H412"/>
      <c r="J412" s="976"/>
    </row>
    <row r="413" spans="1:10" x14ac:dyDescent="0.35">
      <c r="A413" s="366" t="str">
        <f>IF(I413&gt;0,"P","")</f>
        <v/>
      </c>
      <c r="B413" t="str">
        <f>IF(LEN('Ch6'!H96)=0,"",'Ch6'!H96)</f>
        <v/>
      </c>
      <c r="C413" t="str">
        <f t="shared" si="7"/>
        <v/>
      </c>
      <c r="D413" s="31" t="s">
        <v>552</v>
      </c>
      <c r="E413" s="31"/>
      <c r="F413" s="31"/>
      <c r="G413" s="838" t="s">
        <v>553</v>
      </c>
      <c r="H413" s="400" t="str">
        <f>IF(LEN('Ch6'!W96)=0,"",'Ch6'!W96)</f>
        <v/>
      </c>
      <c r="I413" s="46">
        <f>'Ch6'!O96</f>
        <v>0</v>
      </c>
      <c r="J413" s="975" t="s">
        <v>3899</v>
      </c>
    </row>
    <row r="414" spans="1:10" ht="15" thickBot="1" x14ac:dyDescent="0.4">
      <c r="A414" s="366" t="str">
        <f>A413</f>
        <v/>
      </c>
      <c r="B414" t="str">
        <f>IF(LEN('Ch6'!H97)=0,"",'Ch6'!H97)</f>
        <v/>
      </c>
      <c r="C414" t="str">
        <f t="shared" si="7"/>
        <v/>
      </c>
      <c r="D414" s="31"/>
      <c r="E414" s="31"/>
      <c r="F414" s="31"/>
      <c r="G414" s="838"/>
      <c r="H414"/>
      <c r="J414" s="976"/>
    </row>
    <row r="415" spans="1:10" ht="15" thickTop="1" x14ac:dyDescent="0.35">
      <c r="A415" s="366" t="str">
        <f>IF(I415&gt;0,"P","")</f>
        <v/>
      </c>
      <c r="B415" t="str">
        <f>IF(LEN('Ch6'!H98)=0,"",'Ch6'!H98)</f>
        <v/>
      </c>
      <c r="C415" t="str">
        <f t="shared" si="7"/>
        <v/>
      </c>
      <c r="D415" s="60" t="s">
        <v>3141</v>
      </c>
      <c r="E415" s="60"/>
      <c r="F415" s="60"/>
      <c r="G415" s="837" t="s">
        <v>555</v>
      </c>
      <c r="H415"/>
      <c r="I415" s="46">
        <f>'Ch6'!O98</f>
        <v>0</v>
      </c>
      <c r="J415" s="580" t="s">
        <v>3900</v>
      </c>
    </row>
    <row r="416" spans="1:10" x14ac:dyDescent="0.35">
      <c r="A416" s="366" t="str">
        <f>A415</f>
        <v/>
      </c>
      <c r="B416" t="str">
        <f>IF(LEN('Ch6'!H99)=0,"",'Ch6'!H99)</f>
        <v/>
      </c>
      <c r="C416" t="str">
        <f t="shared" si="7"/>
        <v/>
      </c>
      <c r="D416" s="31"/>
      <c r="E416" s="31"/>
      <c r="F416" s="31"/>
      <c r="G416" s="838"/>
      <c r="H416"/>
      <c r="J416" s="580"/>
    </row>
    <row r="417" spans="1:10" x14ac:dyDescent="0.35">
      <c r="B417" t="str">
        <f>IF(LEN('Ch6'!H100)=0,"",'Ch6'!H100)</f>
        <v/>
      </c>
      <c r="C417" t="str">
        <f t="shared" si="7"/>
        <v/>
      </c>
      <c r="D417" s="31"/>
      <c r="E417" s="416" t="s">
        <v>256</v>
      </c>
      <c r="F417" s="403"/>
      <c r="G417" s="228" t="s">
        <v>556</v>
      </c>
      <c r="H417" s="400" t="str">
        <f>IF(LEN('Ch6'!W100)=0,"",'Ch6'!W100)</f>
        <v/>
      </c>
      <c r="J417" s="580"/>
    </row>
    <row r="418" spans="1:10" ht="15" thickBot="1" x14ac:dyDescent="0.4">
      <c r="B418" t="str">
        <f>IF(LEN('Ch6'!H101)=0,"",'Ch6'!H101)</f>
        <v/>
      </c>
      <c r="C418" t="str">
        <f t="shared" si="7"/>
        <v/>
      </c>
      <c r="D418" s="404"/>
      <c r="E418" s="407" t="s">
        <v>258</v>
      </c>
      <c r="F418" s="404"/>
      <c r="G418" s="229" t="s">
        <v>557</v>
      </c>
      <c r="H418" s="400" t="str">
        <f>IF(LEN('Ch6'!W101)=0,"",'Ch6'!W101)</f>
        <v/>
      </c>
      <c r="J418" s="580"/>
    </row>
    <row r="419" spans="1:10" ht="15" thickTop="1" x14ac:dyDescent="0.35">
      <c r="A419" s="727" t="str">
        <f>IF(COUNTIF(A420:A422,"P")&gt;0,"P","")</f>
        <v>P</v>
      </c>
      <c r="B419" t="str">
        <f>IF(LEN('Ch6'!H102)=0,"",'Ch6'!H102)</f>
        <v/>
      </c>
      <c r="C419" t="str">
        <f t="shared" si="7"/>
        <v>P</v>
      </c>
      <c r="D419" s="60" t="s">
        <v>558</v>
      </c>
      <c r="E419" s="60"/>
      <c r="F419" s="60"/>
      <c r="G419" s="274" t="s">
        <v>559</v>
      </c>
      <c r="H419"/>
      <c r="J419" s="580"/>
    </row>
    <row r="420" spans="1:10" x14ac:dyDescent="0.35">
      <c r="A420" s="366" t="str">
        <f>IF(AND(LEN(H420)&gt;0,NOT(H420=FALSE)),"P","")</f>
        <v/>
      </c>
      <c r="B420" t="str">
        <f>IF(LEN('Ch6'!H103)=0,"",'Ch6'!H103)</f>
        <v/>
      </c>
      <c r="C420" t="str">
        <f t="shared" si="7"/>
        <v/>
      </c>
      <c r="D420" s="31" t="s">
        <v>560</v>
      </c>
      <c r="E420" s="31"/>
      <c r="F420" s="31"/>
      <c r="G420" s="838" t="s">
        <v>561</v>
      </c>
      <c r="H420" s="400" t="str">
        <f>IF(LEN('Ch6'!W103)=0,"",'Ch6'!W103)</f>
        <v/>
      </c>
      <c r="J420" s="975" t="s">
        <v>4956</v>
      </c>
    </row>
    <row r="421" spans="1:10" x14ac:dyDescent="0.35">
      <c r="A421" s="366" t="str">
        <f>A420</f>
        <v/>
      </c>
      <c r="B421" t="str">
        <f>IF(LEN('Ch6'!H104)=0,"",'Ch6'!H104)</f>
        <v/>
      </c>
      <c r="C421" t="str">
        <f t="shared" si="7"/>
        <v/>
      </c>
      <c r="D421" s="403"/>
      <c r="E421" s="403"/>
      <c r="F421" s="403"/>
      <c r="G421" s="889"/>
      <c r="H421"/>
      <c r="J421" s="976"/>
    </row>
    <row r="422" spans="1:10" x14ac:dyDescent="0.35">
      <c r="A422" s="366" t="str">
        <f>IF(I422&gt;0,"P","")</f>
        <v>P</v>
      </c>
      <c r="B422" t="str">
        <f>IF(LEN('Ch6'!H105)=0,"",'Ch6'!H105)</f>
        <v/>
      </c>
      <c r="C422" t="str">
        <f t="shared" si="7"/>
        <v>P</v>
      </c>
      <c r="D422" s="31" t="s">
        <v>562</v>
      </c>
      <c r="E422" s="31"/>
      <c r="F422" s="31"/>
      <c r="G422" s="838" t="s">
        <v>563</v>
      </c>
      <c r="H422" s="400" t="b">
        <f>IF(LEN('Ch6'!W105)=0,"",'Ch6'!W105)</f>
        <v>1</v>
      </c>
      <c r="I422" s="46">
        <f>'Ch6'!O105</f>
        <v>4</v>
      </c>
      <c r="J422" s="580"/>
    </row>
    <row r="423" spans="1:10" ht="15" thickBot="1" x14ac:dyDescent="0.4">
      <c r="A423" s="366" t="str">
        <f>A422</f>
        <v>P</v>
      </c>
      <c r="B423" t="str">
        <f>IF(LEN('Ch6'!H106)=0,"",'Ch6'!H106)</f>
        <v/>
      </c>
      <c r="C423" t="str">
        <f t="shared" si="7"/>
        <v>P</v>
      </c>
      <c r="D423" s="31"/>
      <c r="E423" s="31"/>
      <c r="F423" s="31"/>
      <c r="G423" s="838"/>
      <c r="H423"/>
      <c r="J423" s="580" t="s">
        <v>3901</v>
      </c>
    </row>
    <row r="424" spans="1:10" ht="15" thickTop="1" x14ac:dyDescent="0.35">
      <c r="A424" s="727" t="str">
        <f>IF(COUNTIF(A425:A431,"P")&gt;0,"P","")</f>
        <v>P</v>
      </c>
      <c r="B424" t="str">
        <f>IF(LEN('Ch6'!H107)=0,"",'Ch6'!H107)</f>
        <v/>
      </c>
      <c r="C424" t="str">
        <f t="shared" si="7"/>
        <v>P</v>
      </c>
      <c r="D424" s="60" t="s">
        <v>564</v>
      </c>
      <c r="E424" s="60"/>
      <c r="F424" s="60"/>
      <c r="G424" s="274" t="s">
        <v>565</v>
      </c>
      <c r="H424"/>
      <c r="J424" s="580"/>
    </row>
    <row r="425" spans="1:10" x14ac:dyDescent="0.35">
      <c r="A425" s="366" t="str">
        <f>IF(I425&gt;0,"P","")</f>
        <v/>
      </c>
      <c r="B425" t="str">
        <f>IF(LEN('Ch6'!H108)=0,"",'Ch6'!H108)</f>
        <v/>
      </c>
      <c r="C425" t="str">
        <f t="shared" si="7"/>
        <v/>
      </c>
      <c r="D425" s="31" t="s">
        <v>566</v>
      </c>
      <c r="E425" s="31"/>
      <c r="F425" s="31"/>
      <c r="G425" s="838" t="s">
        <v>567</v>
      </c>
      <c r="H425"/>
      <c r="I425" s="433">
        <f>SUM(I428:I430)</f>
        <v>0</v>
      </c>
      <c r="J425" s="580" t="s">
        <v>3891</v>
      </c>
    </row>
    <row r="426" spans="1:10" x14ac:dyDescent="0.35">
      <c r="A426" s="366" t="str">
        <f>A425</f>
        <v/>
      </c>
      <c r="B426" t="str">
        <f>IF(LEN('Ch6'!H109)=0,"",'Ch6'!H109)</f>
        <v/>
      </c>
      <c r="C426" t="str">
        <f t="shared" si="7"/>
        <v/>
      </c>
      <c r="D426" s="31"/>
      <c r="E426" s="31"/>
      <c r="F426" s="31"/>
      <c r="G426" s="838"/>
      <c r="H426"/>
      <c r="J426" s="580"/>
    </row>
    <row r="427" spans="1:10" x14ac:dyDescent="0.35">
      <c r="A427" s="366" t="str">
        <f>A426</f>
        <v/>
      </c>
      <c r="B427" t="str">
        <f>IF(LEN('Ch6'!H110)=0,"",'Ch6'!H110)</f>
        <v/>
      </c>
      <c r="C427" t="str">
        <f t="shared" si="7"/>
        <v/>
      </c>
      <c r="D427" s="31"/>
      <c r="E427" s="31"/>
      <c r="F427" s="31"/>
      <c r="G427" s="838"/>
      <c r="H427"/>
      <c r="J427" s="580"/>
    </row>
    <row r="428" spans="1:10" x14ac:dyDescent="0.35">
      <c r="B428" t="str">
        <f>IF(LEN('Ch6'!H111)=0,"",'Ch6'!H111)</f>
        <v/>
      </c>
      <c r="C428" t="str">
        <f t="shared" si="7"/>
        <v/>
      </c>
      <c r="D428" s="31"/>
      <c r="E428" s="402" t="s">
        <v>256</v>
      </c>
      <c r="F428" s="31"/>
      <c r="G428" s="814" t="s">
        <v>568</v>
      </c>
      <c r="H428" s="400" t="str">
        <f>IF(LEN('Ch6'!W111)=0,"",'Ch6'!W111)</f>
        <v/>
      </c>
      <c r="I428" s="46">
        <f>'Ch6'!O111</f>
        <v>0</v>
      </c>
      <c r="J428" s="580"/>
    </row>
    <row r="429" spans="1:10" x14ac:dyDescent="0.35">
      <c r="B429" t="str">
        <f>IF(LEN('Ch6'!H112)=0,"",'Ch6'!H112)</f>
        <v/>
      </c>
      <c r="C429" t="str">
        <f t="shared" si="7"/>
        <v/>
      </c>
      <c r="D429" s="31"/>
      <c r="E429" s="403"/>
      <c r="F429" s="403"/>
      <c r="G429" s="815"/>
      <c r="H429"/>
      <c r="J429" s="580"/>
    </row>
    <row r="430" spans="1:10" x14ac:dyDescent="0.35">
      <c r="B430" t="str">
        <f>IF(LEN('Ch6'!H113)=0,"",'Ch6'!H113)</f>
        <v/>
      </c>
      <c r="C430" t="str">
        <f t="shared" si="7"/>
        <v/>
      </c>
      <c r="D430" s="403"/>
      <c r="E430" s="416" t="s">
        <v>258</v>
      </c>
      <c r="F430" s="403"/>
      <c r="G430" s="228" t="s">
        <v>569</v>
      </c>
      <c r="H430" s="400" t="str">
        <f>IF(LEN('Ch6'!W113)=0,"",'Ch6'!W113)</f>
        <v/>
      </c>
      <c r="J430" s="580"/>
    </row>
    <row r="431" spans="1:10" x14ac:dyDescent="0.35">
      <c r="A431" s="727" t="str">
        <f>IF(COUNTIF(A434:A436,"P")&gt;0,"P","")</f>
        <v>P</v>
      </c>
      <c r="B431" t="str">
        <f>IF(LEN('Ch6'!H114)=0,"",'Ch6'!H114)</f>
        <v/>
      </c>
      <c r="C431" t="str">
        <f t="shared" si="7"/>
        <v>P</v>
      </c>
      <c r="D431" s="31" t="s">
        <v>570</v>
      </c>
      <c r="E431" s="31"/>
      <c r="F431" s="31"/>
      <c r="G431" s="838" t="s">
        <v>571</v>
      </c>
      <c r="H431"/>
      <c r="I431"/>
      <c r="J431" s="580"/>
    </row>
    <row r="432" spans="1:10" x14ac:dyDescent="0.35">
      <c r="A432" s="366" t="str">
        <f>A431</f>
        <v>P</v>
      </c>
      <c r="B432" t="str">
        <f>IF(LEN('Ch6'!H115)=0,"",'Ch6'!H115)</f>
        <v/>
      </c>
      <c r="C432" t="str">
        <f t="shared" si="7"/>
        <v>P</v>
      </c>
      <c r="D432" s="31"/>
      <c r="E432" s="31"/>
      <c r="F432" s="31"/>
      <c r="G432" s="838"/>
      <c r="H432"/>
      <c r="J432" s="580"/>
    </row>
    <row r="433" spans="1:10" x14ac:dyDescent="0.35">
      <c r="A433" s="366" t="str">
        <f>A432</f>
        <v>P</v>
      </c>
      <c r="B433" t="str">
        <f>IF(LEN('Ch6'!H116)=0,"",'Ch6'!H116)</f>
        <v/>
      </c>
      <c r="C433" t="str">
        <f t="shared" si="7"/>
        <v>P</v>
      </c>
      <c r="D433" s="31"/>
      <c r="E433" s="31"/>
      <c r="F433" s="31"/>
      <c r="G433" s="838"/>
      <c r="H433"/>
      <c r="J433" s="580"/>
    </row>
    <row r="434" spans="1:10" x14ac:dyDescent="0.35">
      <c r="A434" s="366" t="str">
        <f>IF(AND(LEN(H434)&gt;0,NOT(H434=FALSE)),"P","")</f>
        <v/>
      </c>
      <c r="B434" t="str">
        <f>IF(LEN('Ch6'!H117)=0,"",'Ch6'!H117)</f>
        <v/>
      </c>
      <c r="C434" t="str">
        <f t="shared" si="7"/>
        <v/>
      </c>
      <c r="D434" s="31"/>
      <c r="E434" s="402" t="s">
        <v>256</v>
      </c>
      <c r="F434" s="31"/>
      <c r="G434" s="814" t="s">
        <v>3041</v>
      </c>
      <c r="H434" s="400" t="str">
        <f>IF(LEN('Ch6'!W117)=0,"",'Ch6'!W117)</f>
        <v/>
      </c>
      <c r="I434" s="46">
        <f>'Ch6'!O117</f>
        <v>0</v>
      </c>
      <c r="J434" s="975" t="s">
        <v>3899</v>
      </c>
    </row>
    <row r="435" spans="1:10" x14ac:dyDescent="0.35">
      <c r="A435" s="366" t="str">
        <f>A434</f>
        <v/>
      </c>
      <c r="B435" t="str">
        <f>IF(LEN('Ch6'!H118)=0,"",'Ch6'!H118)</f>
        <v/>
      </c>
      <c r="C435" t="str">
        <f t="shared" si="7"/>
        <v/>
      </c>
      <c r="D435" s="31"/>
      <c r="E435" s="403"/>
      <c r="F435" s="403"/>
      <c r="G435" s="815"/>
      <c r="H435"/>
      <c r="J435" s="976"/>
    </row>
    <row r="436" spans="1:10" x14ac:dyDescent="0.35">
      <c r="A436" s="366" t="str">
        <f>IF(AND(LEN(H436)&gt;0,NOT(H436=FALSE)),"P","")</f>
        <v>P</v>
      </c>
      <c r="B436" t="str">
        <f>IF(LEN('Ch6'!H119)=0,"",'Ch6'!H119)</f>
        <v/>
      </c>
      <c r="C436" t="str">
        <f t="shared" si="7"/>
        <v>P</v>
      </c>
      <c r="D436" s="31"/>
      <c r="E436" s="402" t="s">
        <v>258</v>
      </c>
      <c r="F436" s="31"/>
      <c r="G436" s="814" t="s">
        <v>3042</v>
      </c>
      <c r="H436" s="400" t="str">
        <f>IF(LEN('Ch6'!W119)=0,"",'Ch6'!W119)</f>
        <v>Met</v>
      </c>
      <c r="J436" s="580" t="s">
        <v>3891</v>
      </c>
    </row>
    <row r="437" spans="1:10" ht="15" thickBot="1" x14ac:dyDescent="0.4">
      <c r="A437" s="366" t="str">
        <f>A436</f>
        <v>P</v>
      </c>
      <c r="B437" t="str">
        <f>IF(LEN('Ch6'!H120)=0,"",'Ch6'!H120)</f>
        <v/>
      </c>
      <c r="C437" t="str">
        <f t="shared" si="7"/>
        <v>P</v>
      </c>
      <c r="D437" s="31"/>
      <c r="E437" s="31"/>
      <c r="F437" s="31"/>
      <c r="G437" s="814"/>
      <c r="H437"/>
      <c r="J437" s="580"/>
    </row>
    <row r="438" spans="1:10" ht="15" thickTop="1" x14ac:dyDescent="0.35">
      <c r="A438" s="366" t="str">
        <f ca="1">IF(I438&gt;0,"P","")</f>
        <v/>
      </c>
      <c r="B438" t="str">
        <f>IF(LEN('Ch6'!H121)=0,"",'Ch6'!H121)</f>
        <v/>
      </c>
      <c r="C438" t="str">
        <f t="shared" ca="1" si="7"/>
        <v/>
      </c>
      <c r="D438" s="60" t="s">
        <v>572</v>
      </c>
      <c r="E438" s="60"/>
      <c r="F438" s="60"/>
      <c r="G438" s="574" t="s">
        <v>573</v>
      </c>
      <c r="H438"/>
      <c r="I438" s="433">
        <f ca="1">SUM(I440:I442)</f>
        <v>0</v>
      </c>
      <c r="J438" s="580" t="s">
        <v>3891</v>
      </c>
    </row>
    <row r="439" spans="1:10" x14ac:dyDescent="0.35">
      <c r="B439" t="str">
        <f>IF(LEN('Ch6'!H122)=0,"",'Ch6'!H122)</f>
        <v/>
      </c>
      <c r="C439" t="str">
        <f t="shared" si="7"/>
        <v/>
      </c>
      <c r="D439" s="31"/>
      <c r="E439" s="31"/>
      <c r="F439" s="31"/>
      <c r="G439" s="607" t="s">
        <v>3033</v>
      </c>
      <c r="H439" s="400" t="str">
        <f>IF(LEN('Ch6'!W122)=0,"",'Ch6'!W122)</f>
        <v/>
      </c>
      <c r="J439" s="580"/>
    </row>
    <row r="440" spans="1:10" x14ac:dyDescent="0.35">
      <c r="B440" t="str">
        <f>IF(LEN('Ch6'!H123)=0,"",'Ch6'!H123)</f>
        <v/>
      </c>
      <c r="C440" t="str">
        <f t="shared" si="7"/>
        <v/>
      </c>
      <c r="D440" s="31"/>
      <c r="E440" s="402" t="s">
        <v>256</v>
      </c>
      <c r="F440" s="31"/>
      <c r="G440" s="814" t="s">
        <v>574</v>
      </c>
      <c r="H440" s="400" t="str">
        <f>IF(LEN('Ch6'!W123)=0,"",'Ch6'!W123)</f>
        <v/>
      </c>
      <c r="I440" s="46">
        <f ca="1">'Ch6'!O123</f>
        <v>0</v>
      </c>
      <c r="J440" s="580"/>
    </row>
    <row r="441" spans="1:10" x14ac:dyDescent="0.35">
      <c r="B441" t="str">
        <f>IF(LEN('Ch6'!H124)=0,"",'Ch6'!H124)</f>
        <v/>
      </c>
      <c r="C441" t="str">
        <f t="shared" si="7"/>
        <v/>
      </c>
      <c r="D441" s="31"/>
      <c r="E441" s="403"/>
      <c r="F441" s="403"/>
      <c r="G441" s="815"/>
      <c r="H441"/>
      <c r="J441" s="580"/>
    </row>
    <row r="442" spans="1:10" x14ac:dyDescent="0.35">
      <c r="B442" t="str">
        <f>IF(LEN('Ch6'!H125)=0,"",'Ch6'!H125)</f>
        <v/>
      </c>
      <c r="C442" t="str">
        <f t="shared" si="7"/>
        <v/>
      </c>
      <c r="D442" s="31"/>
      <c r="E442" s="402" t="s">
        <v>258</v>
      </c>
      <c r="F442" s="31"/>
      <c r="G442" s="814" t="s">
        <v>575</v>
      </c>
      <c r="H442" s="400" t="str">
        <f>IF(LEN('Ch6'!W125)=0,"",'Ch6'!W125)</f>
        <v/>
      </c>
      <c r="I442" s="46">
        <f ca="1">'Ch6'!O125</f>
        <v>0</v>
      </c>
      <c r="J442" s="580"/>
    </row>
    <row r="443" spans="1:10" x14ac:dyDescent="0.35">
      <c r="B443" t="str">
        <f>IF(LEN('Ch6'!H126)=0,"",'Ch6'!H126)</f>
        <v/>
      </c>
      <c r="C443" t="str">
        <f t="shared" si="7"/>
        <v/>
      </c>
      <c r="D443" s="31"/>
      <c r="E443" s="31"/>
      <c r="F443" s="31"/>
      <c r="G443" s="814"/>
      <c r="H443"/>
      <c r="J443" s="580"/>
    </row>
    <row r="444" spans="1:10" ht="15" thickBot="1" x14ac:dyDescent="0.4">
      <c r="B444" t="str">
        <f>IF(LEN('Ch6'!H127)=0,"",'Ch6'!H127)</f>
        <v/>
      </c>
      <c r="C444" t="str">
        <f t="shared" si="7"/>
        <v/>
      </c>
      <c r="D444" s="31"/>
      <c r="E444" s="31"/>
      <c r="F444" s="31"/>
      <c r="G444" s="814"/>
      <c r="H444"/>
      <c r="J444" s="580"/>
    </row>
    <row r="445" spans="1:10" ht="15" thickTop="1" x14ac:dyDescent="0.35">
      <c r="A445" s="366" t="str">
        <f ca="1">IF(I445&gt;0,"P","")</f>
        <v/>
      </c>
      <c r="B445" t="str">
        <f>IF(LEN('Ch6'!H128)=0,"",'Ch6'!H128)</f>
        <v/>
      </c>
      <c r="C445" t="str">
        <f t="shared" ca="1" si="7"/>
        <v/>
      </c>
      <c r="D445" s="60" t="s">
        <v>576</v>
      </c>
      <c r="E445" s="60"/>
      <c r="F445" s="60"/>
      <c r="G445" s="837" t="s">
        <v>577</v>
      </c>
      <c r="H445"/>
      <c r="I445" s="433">
        <f ca="1">SUM(I448:I456)</f>
        <v>0</v>
      </c>
      <c r="J445" s="580" t="s">
        <v>3891</v>
      </c>
    </row>
    <row r="446" spans="1:10" x14ac:dyDescent="0.35">
      <c r="A446" s="366" t="str">
        <f ca="1">A445</f>
        <v/>
      </c>
      <c r="B446" t="str">
        <f>IF(LEN('Ch6'!H129)=0,"",'Ch6'!H129)</f>
        <v/>
      </c>
      <c r="C446" t="str">
        <f t="shared" ca="1" si="7"/>
        <v/>
      </c>
      <c r="D446" s="31"/>
      <c r="E446" s="31"/>
      <c r="F446" s="31"/>
      <c r="G446" s="838"/>
      <c r="H446"/>
      <c r="J446" s="580"/>
    </row>
    <row r="447" spans="1:10" x14ac:dyDescent="0.35">
      <c r="B447" t="str">
        <f>IF(LEN('Ch6'!H130)=0,"",'Ch6'!H130)</f>
        <v/>
      </c>
      <c r="C447" t="str">
        <f t="shared" si="7"/>
        <v/>
      </c>
      <c r="D447" s="31"/>
      <c r="E447" s="31"/>
      <c r="F447" s="31"/>
      <c r="G447" s="607" t="s">
        <v>3033</v>
      </c>
      <c r="H447"/>
      <c r="J447" s="580"/>
    </row>
    <row r="448" spans="1:10" x14ac:dyDescent="0.35">
      <c r="B448" t="str">
        <f>IF(LEN('Ch6'!H131)=0,"",'Ch6'!H131)</f>
        <v/>
      </c>
      <c r="C448" t="str">
        <f t="shared" si="7"/>
        <v/>
      </c>
      <c r="D448" s="31"/>
      <c r="E448" s="402" t="s">
        <v>256</v>
      </c>
      <c r="F448" s="31"/>
      <c r="G448" s="814" t="s">
        <v>578</v>
      </c>
      <c r="H448" s="400" t="str">
        <f>IF(LEN('Ch6'!W131)=0,"",'Ch6'!W131)</f>
        <v/>
      </c>
      <c r="I448" s="46">
        <f ca="1">'Ch6'!O131</f>
        <v>0</v>
      </c>
      <c r="J448" s="580"/>
    </row>
    <row r="449" spans="1:10" x14ac:dyDescent="0.35">
      <c r="B449" t="str">
        <f>IF(LEN('Ch6'!H132)=0,"",'Ch6'!H132)</f>
        <v/>
      </c>
      <c r="C449" t="str">
        <f t="shared" si="7"/>
        <v/>
      </c>
      <c r="D449" s="31"/>
      <c r="E449" s="31"/>
      <c r="F449" s="31"/>
      <c r="G449" s="814"/>
      <c r="H449"/>
      <c r="J449" s="580"/>
    </row>
    <row r="450" spans="1:10" x14ac:dyDescent="0.35">
      <c r="B450" t="str">
        <f>IF(LEN('Ch6'!H133)=0,"",'Ch6'!H133)</f>
        <v/>
      </c>
      <c r="C450" t="str">
        <f t="shared" si="7"/>
        <v/>
      </c>
      <c r="D450" s="31"/>
      <c r="E450" s="31"/>
      <c r="F450" s="31"/>
      <c r="G450" s="814"/>
      <c r="H450"/>
      <c r="J450" s="580"/>
    </row>
    <row r="451" spans="1:10" x14ac:dyDescent="0.35">
      <c r="B451" t="str">
        <f>IF(LEN('Ch6'!H134)=0,"",'Ch6'!H134)</f>
        <v/>
      </c>
      <c r="C451" t="str">
        <f t="shared" si="7"/>
        <v/>
      </c>
      <c r="D451" s="31"/>
      <c r="E451" s="403"/>
      <c r="F451" s="403"/>
      <c r="G451" s="815"/>
      <c r="H451"/>
      <c r="J451" s="580"/>
    </row>
    <row r="452" spans="1:10" x14ac:dyDescent="0.35">
      <c r="B452" t="str">
        <f>IF(LEN('Ch6'!H135)=0,"",'Ch6'!H135)</f>
        <v/>
      </c>
      <c r="C452" t="str">
        <f t="shared" si="7"/>
        <v/>
      </c>
      <c r="D452" s="31"/>
      <c r="E452" s="424" t="s">
        <v>258</v>
      </c>
      <c r="F452" s="405"/>
      <c r="G452" s="836" t="s">
        <v>579</v>
      </c>
      <c r="H452" s="400" t="str">
        <f>IF(LEN('Ch6'!W135)=0,"",'Ch6'!W135)</f>
        <v/>
      </c>
      <c r="I452" s="46">
        <f ca="1">'Ch6'!O135</f>
        <v>0</v>
      </c>
      <c r="J452" s="580"/>
    </row>
    <row r="453" spans="1:10" x14ac:dyDescent="0.35">
      <c r="B453" t="str">
        <f>IF(LEN('Ch6'!H136)=0,"",'Ch6'!H136)</f>
        <v/>
      </c>
      <c r="C453" t="str">
        <f t="shared" si="7"/>
        <v/>
      </c>
      <c r="D453" s="31"/>
      <c r="E453" s="31"/>
      <c r="F453" s="31"/>
      <c r="G453" s="814"/>
      <c r="H453"/>
      <c r="J453" s="580"/>
    </row>
    <row r="454" spans="1:10" x14ac:dyDescent="0.35">
      <c r="B454" t="str">
        <f>IF(LEN('Ch6'!H137)=0,"",'Ch6'!H137)</f>
        <v/>
      </c>
      <c r="C454" t="str">
        <f t="shared" si="7"/>
        <v/>
      </c>
      <c r="D454" s="31"/>
      <c r="E454" s="31"/>
      <c r="F454" s="31"/>
      <c r="G454" s="814"/>
      <c r="H454"/>
      <c r="J454" s="580"/>
    </row>
    <row r="455" spans="1:10" x14ac:dyDescent="0.35">
      <c r="B455" t="str">
        <f>IF(LEN('Ch6'!H138)=0,"",'Ch6'!H138)</f>
        <v/>
      </c>
      <c r="C455" t="str">
        <f t="shared" si="7"/>
        <v/>
      </c>
      <c r="D455" s="31"/>
      <c r="E455" s="403"/>
      <c r="F455" s="403"/>
      <c r="G455" s="815"/>
      <c r="H455"/>
      <c r="J455" s="580"/>
    </row>
    <row r="456" spans="1:10" x14ac:dyDescent="0.35">
      <c r="B456" t="str">
        <f>IF(LEN('Ch6'!H139)=0,"",'Ch6'!H139)</f>
        <v/>
      </c>
      <c r="C456" t="str">
        <f t="shared" ref="C456:C519" si="8">IF(LEN(B456)=0,IF(A456="P","P",""),B456)</f>
        <v/>
      </c>
      <c r="D456" s="31"/>
      <c r="E456" s="402" t="s">
        <v>260</v>
      </c>
      <c r="F456" s="31"/>
      <c r="G456" s="814" t="s">
        <v>580</v>
      </c>
      <c r="H456" s="400" t="str">
        <f>IF(LEN('Ch6'!W139)=0,"",'Ch6'!W139)</f>
        <v/>
      </c>
      <c r="I456" s="46">
        <f ca="1">'Ch6'!O139</f>
        <v>0</v>
      </c>
      <c r="J456" s="580"/>
    </row>
    <row r="457" spans="1:10" x14ac:dyDescent="0.35">
      <c r="B457" t="str">
        <f>IF(LEN('Ch6'!H140)=0,"",'Ch6'!H140)</f>
        <v/>
      </c>
      <c r="C457" t="str">
        <f t="shared" si="8"/>
        <v/>
      </c>
      <c r="D457" s="31"/>
      <c r="E457" s="31"/>
      <c r="F457" s="31"/>
      <c r="G457" s="814"/>
      <c r="H457"/>
      <c r="J457" s="580"/>
    </row>
    <row r="458" spans="1:10" ht="15" thickBot="1" x14ac:dyDescent="0.4">
      <c r="B458" t="str">
        <f>IF(LEN('Ch6'!H141)=0,"",'Ch6'!H141)</f>
        <v/>
      </c>
      <c r="C458" t="str">
        <f t="shared" si="8"/>
        <v/>
      </c>
      <c r="D458" s="31"/>
      <c r="E458" s="31"/>
      <c r="F458" s="31"/>
      <c r="G458" s="814"/>
      <c r="H458"/>
      <c r="J458" s="580"/>
    </row>
    <row r="459" spans="1:10" ht="15" thickTop="1" x14ac:dyDescent="0.35">
      <c r="A459" s="727" t="str">
        <f>IF(COUNTIF(A460:A470,"P")&gt;0,"P","")</f>
        <v>P</v>
      </c>
      <c r="B459" t="str">
        <f>IF(LEN('Ch6'!H142)=0,"",'Ch6'!H142)</f>
        <v/>
      </c>
      <c r="C459" t="str">
        <f t="shared" si="8"/>
        <v>P</v>
      </c>
      <c r="D459" s="60" t="s">
        <v>581</v>
      </c>
      <c r="E459" s="60"/>
      <c r="F459" s="60"/>
      <c r="G459" s="274" t="s">
        <v>582</v>
      </c>
      <c r="H459"/>
      <c r="J459" s="580"/>
    </row>
    <row r="460" spans="1:10" x14ac:dyDescent="0.35">
      <c r="A460" s="366" t="str">
        <f>IF(I460&gt;0,"P","")</f>
        <v>P</v>
      </c>
      <c r="B460" t="str">
        <f>IF(LEN('Ch6'!H143)=0,"",'Ch6'!H143)</f>
        <v/>
      </c>
      <c r="C460" t="str">
        <f t="shared" si="8"/>
        <v>P</v>
      </c>
      <c r="D460" s="31" t="s">
        <v>583</v>
      </c>
      <c r="E460" s="31"/>
      <c r="F460" s="31"/>
      <c r="G460" s="95" t="s">
        <v>584</v>
      </c>
      <c r="H460"/>
      <c r="I460" s="433">
        <f>SUM(I461:I466)</f>
        <v>4</v>
      </c>
      <c r="J460" s="580"/>
    </row>
    <row r="461" spans="1:10" x14ac:dyDescent="0.35">
      <c r="A461" s="366" t="str">
        <f>IF(I461&gt;0,"P","")</f>
        <v>P</v>
      </c>
      <c r="B461" t="str">
        <f>IF(LEN('Ch6'!H144)=0,"",'Ch6'!H144)</f>
        <v/>
      </c>
      <c r="C461" t="str">
        <f t="shared" si="8"/>
        <v>P</v>
      </c>
      <c r="D461" s="31"/>
      <c r="E461" s="402" t="s">
        <v>256</v>
      </c>
      <c r="F461" s="31"/>
      <c r="G461" s="814" t="s">
        <v>585</v>
      </c>
      <c r="H461" s="400" t="b">
        <f>IF(LEN('Ch6'!W144)=0,"",'Ch6'!W144)</f>
        <v>1</v>
      </c>
      <c r="I461" s="46">
        <f>'Ch6'!O144</f>
        <v>2</v>
      </c>
      <c r="J461" s="580" t="s">
        <v>3891</v>
      </c>
    </row>
    <row r="462" spans="1:10" x14ac:dyDescent="0.35">
      <c r="A462" s="366" t="str">
        <f>A461</f>
        <v>P</v>
      </c>
      <c r="B462" t="str">
        <f>IF(LEN('Ch6'!H145)=0,"",'Ch6'!H145)</f>
        <v/>
      </c>
      <c r="C462" t="str">
        <f t="shared" si="8"/>
        <v>P</v>
      </c>
      <c r="D462" s="31"/>
      <c r="E462" s="403"/>
      <c r="F462" s="403"/>
      <c r="G462" s="815"/>
      <c r="H462"/>
      <c r="J462" s="580"/>
    </row>
    <row r="463" spans="1:10" x14ac:dyDescent="0.35">
      <c r="A463" s="366" t="str">
        <f>IF(I463&gt;0,"P","")</f>
        <v>P</v>
      </c>
      <c r="B463" t="str">
        <f>IF(LEN('Ch6'!H146)=0,"",'Ch6'!H146)</f>
        <v/>
      </c>
      <c r="C463" t="str">
        <f t="shared" si="8"/>
        <v>P</v>
      </c>
      <c r="D463" s="31"/>
      <c r="E463" s="402" t="s">
        <v>258</v>
      </c>
      <c r="F463" s="31"/>
      <c r="G463" s="814" t="s">
        <v>586</v>
      </c>
      <c r="H463" s="400" t="str">
        <f>IF(LEN('Ch6'!W146)=0,"",'Ch6'!W146)</f>
        <v>Met</v>
      </c>
      <c r="I463" s="46">
        <f>'Ch6'!O146</f>
        <v>2</v>
      </c>
      <c r="J463" s="580" t="s">
        <v>4957</v>
      </c>
    </row>
    <row r="464" spans="1:10" x14ac:dyDescent="0.35">
      <c r="A464" s="366" t="str">
        <f>A463</f>
        <v>P</v>
      </c>
      <c r="B464" t="str">
        <f>IF(LEN('Ch6'!H147)=0,"",'Ch6'!H147)</f>
        <v/>
      </c>
      <c r="C464" t="str">
        <f t="shared" si="8"/>
        <v>P</v>
      </c>
      <c r="D464" s="31"/>
      <c r="E464" s="31"/>
      <c r="F464" s="31"/>
      <c r="G464" s="814"/>
      <c r="H464"/>
      <c r="J464" s="580"/>
    </row>
    <row r="465" spans="1:10" x14ac:dyDescent="0.35">
      <c r="B465" t="str">
        <f>IF(LEN('Ch6'!H148)=0,"",'Ch6'!H148)</f>
        <v/>
      </c>
      <c r="C465" t="str">
        <f t="shared" si="8"/>
        <v/>
      </c>
      <c r="D465" s="31"/>
      <c r="E465" s="403"/>
      <c r="F465" s="403"/>
      <c r="G465" s="603" t="s">
        <v>1104</v>
      </c>
      <c r="H465"/>
      <c r="J465" s="580"/>
    </row>
    <row r="466" spans="1:10" x14ac:dyDescent="0.35">
      <c r="A466" s="366" t="str">
        <f>IF(I466&gt;0,"P","")</f>
        <v/>
      </c>
      <c r="B466" t="str">
        <f>IF(LEN('Ch6'!H149)=0,"",'Ch6'!H149)</f>
        <v/>
      </c>
      <c r="C466" t="str">
        <f t="shared" si="8"/>
        <v/>
      </c>
      <c r="D466" s="31"/>
      <c r="E466" s="402" t="s">
        <v>260</v>
      </c>
      <c r="F466" s="31"/>
      <c r="G466" s="814" t="s">
        <v>587</v>
      </c>
      <c r="H466" s="400" t="str">
        <f>IF(LEN('Ch6'!W149)=0,"",'Ch6'!W149)</f>
        <v/>
      </c>
      <c r="I466" s="46">
        <f>'Ch6'!O149</f>
        <v>0</v>
      </c>
      <c r="J466" s="580" t="s">
        <v>4958</v>
      </c>
    </row>
    <row r="467" spans="1:10" x14ac:dyDescent="0.35">
      <c r="A467" s="366" t="str">
        <f>A466</f>
        <v/>
      </c>
      <c r="B467" t="str">
        <f>IF(LEN('Ch6'!H150)=0,"",'Ch6'!H150)</f>
        <v/>
      </c>
      <c r="C467" t="str">
        <f t="shared" si="8"/>
        <v/>
      </c>
      <c r="D467" s="403"/>
      <c r="E467" s="403"/>
      <c r="F467" s="403"/>
      <c r="G467" s="815"/>
      <c r="H467"/>
      <c r="J467" s="580"/>
    </row>
    <row r="468" spans="1:10" x14ac:dyDescent="0.35">
      <c r="A468" s="366" t="str">
        <f>IF(I468&gt;0,"P","")</f>
        <v/>
      </c>
      <c r="B468" t="str">
        <f>IF(LEN('Ch6'!H151)=0,"",'Ch6'!H151)</f>
        <v/>
      </c>
      <c r="C468" t="str">
        <f t="shared" si="8"/>
        <v/>
      </c>
      <c r="D468" s="405" t="s">
        <v>589</v>
      </c>
      <c r="E468" s="405"/>
      <c r="F468" s="405"/>
      <c r="G468" s="905" t="s">
        <v>590</v>
      </c>
      <c r="H468" s="400" t="str">
        <f>IF(LEN('Ch6'!W151)=0,"",'Ch6'!W151)</f>
        <v/>
      </c>
      <c r="I468" s="46">
        <f>'Ch6'!O151</f>
        <v>0</v>
      </c>
      <c r="J468" s="975" t="s">
        <v>4959</v>
      </c>
    </row>
    <row r="469" spans="1:10" x14ac:dyDescent="0.35">
      <c r="A469" s="366" t="str">
        <f>A468</f>
        <v/>
      </c>
      <c r="B469" t="str">
        <f>IF(LEN('Ch6'!H152)=0,"",'Ch6'!H152)</f>
        <v/>
      </c>
      <c r="C469" t="str">
        <f t="shared" si="8"/>
        <v/>
      </c>
      <c r="D469" s="403"/>
      <c r="E469" s="403"/>
      <c r="F469" s="403"/>
      <c r="G469" s="889"/>
      <c r="H469"/>
      <c r="J469" s="976"/>
    </row>
    <row r="470" spans="1:10" x14ac:dyDescent="0.35">
      <c r="A470" s="366" t="str">
        <f>IF(I470&gt;0,"P","")</f>
        <v/>
      </c>
      <c r="B470" t="str">
        <f>IF(LEN('Ch6'!H153)=0,"",'Ch6'!H153)</f>
        <v/>
      </c>
      <c r="C470" t="str">
        <f t="shared" si="8"/>
        <v/>
      </c>
      <c r="D470" s="31" t="s">
        <v>592</v>
      </c>
      <c r="E470" s="31"/>
      <c r="F470" s="31"/>
      <c r="G470" s="838" t="s">
        <v>593</v>
      </c>
      <c r="H470" s="400" t="str">
        <f>IF(LEN('Ch6'!W153)=0,"",'Ch6'!W153)</f>
        <v/>
      </c>
      <c r="I470" s="46">
        <f>'Ch6'!O153</f>
        <v>0</v>
      </c>
      <c r="J470" s="580" t="s">
        <v>4960</v>
      </c>
    </row>
    <row r="471" spans="1:10" x14ac:dyDescent="0.35">
      <c r="A471" s="366" t="str">
        <f>A470</f>
        <v/>
      </c>
      <c r="B471" t="str">
        <f>IF(LEN('Ch6'!H154)=0,"",'Ch6'!H154)</f>
        <v/>
      </c>
      <c r="C471" t="str">
        <f t="shared" si="8"/>
        <v/>
      </c>
      <c r="D471" s="31"/>
      <c r="E471" s="31"/>
      <c r="F471" s="31"/>
      <c r="G471" s="838"/>
      <c r="H471"/>
      <c r="J471" s="580"/>
    </row>
    <row r="472" spans="1:10" x14ac:dyDescent="0.35">
      <c r="A472" s="366" t="str">
        <f>A471</f>
        <v/>
      </c>
      <c r="B472" t="str">
        <f>IF(LEN('Ch6'!H155)=0,"",'Ch6'!H155)</f>
        <v/>
      </c>
      <c r="C472" t="str">
        <f t="shared" si="8"/>
        <v/>
      </c>
      <c r="D472" s="31"/>
      <c r="E472" s="31"/>
      <c r="F472" s="31"/>
      <c r="G472" s="838"/>
      <c r="H472"/>
      <c r="J472" s="580"/>
    </row>
    <row r="473" spans="1:10" ht="15" thickBot="1" x14ac:dyDescent="0.4">
      <c r="A473" s="366" t="str">
        <f>A472</f>
        <v/>
      </c>
      <c r="B473" t="str">
        <f>IF(LEN('Ch6'!H156)=0,"",'Ch6'!H156)</f>
        <v/>
      </c>
      <c r="C473" t="str">
        <f t="shared" si="8"/>
        <v/>
      </c>
      <c r="D473" s="31"/>
      <c r="E473" s="31"/>
      <c r="F473" s="31"/>
      <c r="G473" s="838"/>
      <c r="H473"/>
      <c r="J473" s="580"/>
    </row>
    <row r="474" spans="1:10" ht="15" thickTop="1" x14ac:dyDescent="0.35">
      <c r="A474" s="366" t="str">
        <f>IF(AND(LEN(H474)&gt;0,NOT(H474=FALSE)),"P","")</f>
        <v>P</v>
      </c>
      <c r="B474" t="str">
        <f>IF(LEN('Ch6'!H157)=0,"",'Ch6'!H157)</f>
        <v/>
      </c>
      <c r="C474" t="str">
        <f t="shared" si="8"/>
        <v>P</v>
      </c>
      <c r="D474" s="60" t="s">
        <v>594</v>
      </c>
      <c r="E474" s="60"/>
      <c r="F474" s="60"/>
      <c r="G474" s="837" t="s">
        <v>595</v>
      </c>
      <c r="H474" s="400" t="str">
        <f>IF(LEN('Ch6'!W157)=0,"",'Ch6'!W157)</f>
        <v>Met</v>
      </c>
      <c r="J474" s="580" t="s">
        <v>4961</v>
      </c>
    </row>
    <row r="475" spans="1:10" x14ac:dyDescent="0.35">
      <c r="A475" s="366" t="str">
        <f>A474</f>
        <v>P</v>
      </c>
      <c r="B475" t="str">
        <f>IF(LEN('Ch6'!H158)=0,"",'Ch6'!H158)</f>
        <v/>
      </c>
      <c r="C475" t="str">
        <f t="shared" si="8"/>
        <v>P</v>
      </c>
      <c r="D475" s="31"/>
      <c r="E475" s="31"/>
      <c r="F475" s="31"/>
      <c r="G475" s="838"/>
      <c r="H475"/>
      <c r="J475" s="580"/>
    </row>
    <row r="476" spans="1:10" ht="15" thickBot="1" x14ac:dyDescent="0.4">
      <c r="B476" t="str">
        <f>IF(LEN('Ch6'!H159)=0,"",'Ch6'!H159)</f>
        <v/>
      </c>
      <c r="C476" t="str">
        <f t="shared" si="8"/>
        <v/>
      </c>
      <c r="D476" s="31"/>
      <c r="E476" s="31"/>
      <c r="F476" s="31"/>
      <c r="G476" s="608" t="s">
        <v>1104</v>
      </c>
      <c r="H476"/>
      <c r="J476" s="580"/>
    </row>
    <row r="477" spans="1:10" ht="15" thickTop="1" x14ac:dyDescent="0.35">
      <c r="A477" s="727" t="str">
        <f>IF(COUNTIF(A482,"P")&gt;0,"P","")</f>
        <v>P</v>
      </c>
      <c r="B477" t="str">
        <f>IF(LEN('Ch6'!H160)=0,"",'Ch6'!H160)</f>
        <v/>
      </c>
      <c r="C477" t="str">
        <f t="shared" si="8"/>
        <v>P</v>
      </c>
      <c r="D477" s="60" t="s">
        <v>596</v>
      </c>
      <c r="E477" s="60"/>
      <c r="F477" s="60"/>
      <c r="G477" s="837" t="s">
        <v>597</v>
      </c>
      <c r="H477"/>
      <c r="J477" s="580" t="s">
        <v>4962</v>
      </c>
    </row>
    <row r="478" spans="1:10" x14ac:dyDescent="0.35">
      <c r="A478" s="366" t="str">
        <f>A477</f>
        <v>P</v>
      </c>
      <c r="B478" t="str">
        <f>IF(LEN('Ch6'!H161)=0,"",'Ch6'!H161)</f>
        <v/>
      </c>
      <c r="C478" t="str">
        <f t="shared" si="8"/>
        <v>P</v>
      </c>
      <c r="D478" s="31"/>
      <c r="E478" s="31"/>
      <c r="F478" s="31"/>
      <c r="G478" s="838"/>
      <c r="H478"/>
      <c r="J478" s="580"/>
    </row>
    <row r="479" spans="1:10" x14ac:dyDescent="0.35">
      <c r="A479" s="366" t="str">
        <f>A478</f>
        <v>P</v>
      </c>
      <c r="B479" t="str">
        <f>IF(LEN('Ch6'!H162)=0,"",'Ch6'!H162)</f>
        <v/>
      </c>
      <c r="C479" t="str">
        <f t="shared" si="8"/>
        <v>P</v>
      </c>
      <c r="D479" s="31"/>
      <c r="E479" s="31"/>
      <c r="F479" s="31"/>
      <c r="G479" s="838"/>
      <c r="H479"/>
      <c r="J479" s="580"/>
    </row>
    <row r="480" spans="1:10" x14ac:dyDescent="0.35">
      <c r="A480" s="366" t="str">
        <f>A479</f>
        <v>P</v>
      </c>
      <c r="B480" t="str">
        <f>IF(LEN('Ch6'!H163)=0,"",'Ch6'!H163)</f>
        <v/>
      </c>
      <c r="C480" t="str">
        <f t="shared" si="8"/>
        <v>P</v>
      </c>
      <c r="D480" s="31"/>
      <c r="E480" s="31"/>
      <c r="F480" s="31"/>
      <c r="G480" s="838"/>
      <c r="H480"/>
      <c r="J480" s="580"/>
    </row>
    <row r="481" spans="1:10" x14ac:dyDescent="0.35">
      <c r="A481" s="366" t="str">
        <f>A480</f>
        <v>P</v>
      </c>
      <c r="B481" t="str">
        <f>IF(LEN('Ch6'!H164)=0,"",'Ch6'!H164)</f>
        <v/>
      </c>
      <c r="C481" t="str">
        <f t="shared" si="8"/>
        <v>P</v>
      </c>
      <c r="D481" s="31"/>
      <c r="E481" s="31"/>
      <c r="F481" s="31"/>
      <c r="G481" s="838"/>
      <c r="H481"/>
      <c r="J481" s="580"/>
    </row>
    <row r="482" spans="1:10" x14ac:dyDescent="0.35">
      <c r="A482" s="366" t="str">
        <f>IF(AND(LEN(H482)&gt;0,NOT(H482=FALSE)),"P","")</f>
        <v>P</v>
      </c>
      <c r="B482" t="str">
        <f>IF(LEN('Ch6'!H165)=0,"",'Ch6'!H165)</f>
        <v/>
      </c>
      <c r="C482" t="str">
        <f t="shared" si="8"/>
        <v>P</v>
      </c>
      <c r="D482" s="31"/>
      <c r="E482" s="402" t="s">
        <v>256</v>
      </c>
      <c r="F482" s="31"/>
      <c r="G482" s="90" t="s">
        <v>598</v>
      </c>
      <c r="H482" s="400" t="b">
        <f>IF(LEN('Ch6'!W165)=0,"",'Ch6'!W165)</f>
        <v>1</v>
      </c>
      <c r="J482" s="580"/>
    </row>
    <row r="483" spans="1:10" x14ac:dyDescent="0.35">
      <c r="A483" s="366" t="str">
        <f>A482</f>
        <v>P</v>
      </c>
      <c r="B483" t="str">
        <f>IF(LEN('Ch6'!H166)=0,"",'Ch6'!H166)</f>
        <v/>
      </c>
      <c r="C483" t="str">
        <f t="shared" si="8"/>
        <v>P</v>
      </c>
      <c r="D483" s="31"/>
      <c r="E483" s="31"/>
      <c r="F483" s="402" t="s">
        <v>121</v>
      </c>
      <c r="G483" s="90" t="s">
        <v>599</v>
      </c>
      <c r="H483"/>
      <c r="J483" s="580"/>
    </row>
    <row r="484" spans="1:10" x14ac:dyDescent="0.35">
      <c r="A484" s="366" t="str">
        <f t="shared" ref="A484:A491" si="9">A483</f>
        <v>P</v>
      </c>
      <c r="B484" t="str">
        <f>IF(LEN('Ch6'!H167)=0,"",'Ch6'!H167)</f>
        <v/>
      </c>
      <c r="C484" t="str">
        <f t="shared" si="8"/>
        <v>P</v>
      </c>
      <c r="D484" s="31"/>
      <c r="E484" s="31"/>
      <c r="F484" s="402" t="s">
        <v>122</v>
      </c>
      <c r="G484" s="90" t="s">
        <v>600</v>
      </c>
      <c r="H484"/>
      <c r="J484" s="580"/>
    </row>
    <row r="485" spans="1:10" x14ac:dyDescent="0.35">
      <c r="A485" s="366" t="str">
        <f t="shared" si="9"/>
        <v>P</v>
      </c>
      <c r="B485" t="str">
        <f>IF(LEN('Ch6'!H168)=0,"",'Ch6'!H168)</f>
        <v/>
      </c>
      <c r="C485" t="str">
        <f t="shared" si="8"/>
        <v>P</v>
      </c>
      <c r="D485" s="31"/>
      <c r="E485" s="31"/>
      <c r="F485" s="417" t="s">
        <v>123</v>
      </c>
      <c r="G485" s="90" t="s">
        <v>601</v>
      </c>
      <c r="H485"/>
      <c r="J485" s="580"/>
    </row>
    <row r="486" spans="1:10" x14ac:dyDescent="0.35">
      <c r="A486" s="366" t="str">
        <f t="shared" si="9"/>
        <v>P</v>
      </c>
      <c r="B486" t="str">
        <f>IF(LEN('Ch6'!H169)=0,"",'Ch6'!H169)</f>
        <v/>
      </c>
      <c r="C486" t="str">
        <f t="shared" si="8"/>
        <v>P</v>
      </c>
      <c r="D486" s="31"/>
      <c r="E486" s="31"/>
      <c r="F486" s="31" t="s">
        <v>401</v>
      </c>
      <c r="G486" s="814" t="s">
        <v>602</v>
      </c>
      <c r="H486"/>
      <c r="J486" s="580"/>
    </row>
    <row r="487" spans="1:10" x14ac:dyDescent="0.35">
      <c r="A487" s="366" t="str">
        <f t="shared" si="9"/>
        <v>P</v>
      </c>
      <c r="B487" t="str">
        <f>IF(LEN('Ch6'!H170)=0,"",'Ch6'!H170)</f>
        <v/>
      </c>
      <c r="C487" t="str">
        <f t="shared" si="8"/>
        <v>P</v>
      </c>
      <c r="D487" s="31"/>
      <c r="E487" s="31"/>
      <c r="F487" s="31"/>
      <c r="G487" s="814"/>
      <c r="H487"/>
      <c r="J487" s="580"/>
    </row>
    <row r="488" spans="1:10" x14ac:dyDescent="0.35">
      <c r="A488" s="366" t="str">
        <f t="shared" si="9"/>
        <v>P</v>
      </c>
      <c r="B488" t="str">
        <f>IF(LEN('Ch6'!H171)=0,"",'Ch6'!H171)</f>
        <v/>
      </c>
      <c r="C488" t="str">
        <f t="shared" si="8"/>
        <v>P</v>
      </c>
      <c r="D488" s="31"/>
      <c r="E488" s="31"/>
      <c r="F488" s="31" t="s">
        <v>539</v>
      </c>
      <c r="G488" s="90" t="s">
        <v>603</v>
      </c>
      <c r="H488"/>
      <c r="J488" s="580"/>
    </row>
    <row r="489" spans="1:10" x14ac:dyDescent="0.35">
      <c r="A489" s="366" t="str">
        <f t="shared" si="9"/>
        <v>P</v>
      </c>
      <c r="B489" t="str">
        <f>IF(LEN('Ch6'!H172)=0,"",'Ch6'!H172)</f>
        <v/>
      </c>
      <c r="C489" t="str">
        <f t="shared" si="8"/>
        <v>P</v>
      </c>
      <c r="D489" s="31"/>
      <c r="E489" s="31"/>
      <c r="F489" s="417" t="s">
        <v>604</v>
      </c>
      <c r="G489" s="90" t="s">
        <v>605</v>
      </c>
      <c r="H489"/>
      <c r="J489" s="580"/>
    </row>
    <row r="490" spans="1:10" x14ac:dyDescent="0.35">
      <c r="A490" s="366" t="str">
        <f t="shared" si="9"/>
        <v>P</v>
      </c>
      <c r="B490" t="str">
        <f>IF(LEN('Ch6'!H173)=0,"",'Ch6'!H173)</f>
        <v/>
      </c>
      <c r="C490" t="str">
        <f t="shared" si="8"/>
        <v>P</v>
      </c>
      <c r="D490" s="31"/>
      <c r="E490" s="31"/>
      <c r="F490" s="31" t="s">
        <v>606</v>
      </c>
      <c r="G490" s="90" t="s">
        <v>607</v>
      </c>
      <c r="H490"/>
      <c r="J490" s="580"/>
    </row>
    <row r="491" spans="1:10" x14ac:dyDescent="0.35">
      <c r="A491" s="366" t="str">
        <f t="shared" si="9"/>
        <v>P</v>
      </c>
      <c r="B491" t="str">
        <f>IF(LEN('Ch6'!H174)=0,"",'Ch6'!H174)</f>
        <v/>
      </c>
      <c r="C491" t="str">
        <f t="shared" si="8"/>
        <v>P</v>
      </c>
      <c r="D491" s="31"/>
      <c r="E491" s="403"/>
      <c r="F491" s="403" t="s">
        <v>608</v>
      </c>
      <c r="G491" s="228" t="s">
        <v>609</v>
      </c>
      <c r="H491"/>
      <c r="J491" s="580"/>
    </row>
    <row r="492" spans="1:10" x14ac:dyDescent="0.35">
      <c r="B492" t="str">
        <f>IF(LEN('Ch6'!H175)=0,"",'Ch6'!H175)</f>
        <v/>
      </c>
      <c r="C492" t="str">
        <f t="shared" si="8"/>
        <v/>
      </c>
      <c r="D492" s="31"/>
      <c r="E492" s="402" t="s">
        <v>258</v>
      </c>
      <c r="F492" s="31"/>
      <c r="G492" s="814" t="s">
        <v>610</v>
      </c>
      <c r="H492" s="400" t="str">
        <f>IF(LEN('Ch6'!W175)=0,"",'Ch6'!W175)</f>
        <v/>
      </c>
      <c r="I492" s="46">
        <f>'Ch6'!O175</f>
        <v>0</v>
      </c>
      <c r="J492" s="580"/>
    </row>
    <row r="493" spans="1:10" x14ac:dyDescent="0.35">
      <c r="B493" t="str">
        <f>IF(LEN('Ch6'!H176)=0,"",'Ch6'!H176)</f>
        <v/>
      </c>
      <c r="C493" t="str">
        <f t="shared" si="8"/>
        <v/>
      </c>
      <c r="D493" s="31"/>
      <c r="E493" s="31"/>
      <c r="F493" s="31"/>
      <c r="G493" s="814"/>
      <c r="H493"/>
      <c r="J493" s="580"/>
    </row>
    <row r="494" spans="1:10" x14ac:dyDescent="0.35">
      <c r="B494" t="str">
        <f>IF(LEN('Ch6'!H177)=0,"",'Ch6'!H177)</f>
        <v/>
      </c>
      <c r="C494" t="str">
        <f t="shared" si="8"/>
        <v/>
      </c>
      <c r="D494" s="31"/>
      <c r="E494" s="403"/>
      <c r="F494" s="403"/>
      <c r="G494" s="815"/>
      <c r="H494"/>
      <c r="J494" s="580"/>
    </row>
    <row r="495" spans="1:10" x14ac:dyDescent="0.35">
      <c r="B495" t="str">
        <f>IF(LEN('Ch6'!H178)=0,"",'Ch6'!H178)</f>
        <v/>
      </c>
      <c r="C495" t="str">
        <f t="shared" si="8"/>
        <v/>
      </c>
      <c r="D495" s="31"/>
      <c r="E495" s="422" t="s">
        <v>260</v>
      </c>
      <c r="F495" s="415"/>
      <c r="G495" s="178" t="s">
        <v>611</v>
      </c>
      <c r="H495" s="400" t="str">
        <f>IF(LEN('Ch6'!W178)=0,"",'Ch6'!W178)</f>
        <v/>
      </c>
      <c r="I495" s="46">
        <f>'Ch6'!O178</f>
        <v>0</v>
      </c>
      <c r="J495" s="580"/>
    </row>
    <row r="496" spans="1:10" x14ac:dyDescent="0.35">
      <c r="B496" t="str">
        <f>IF(LEN('Ch6'!H179)=0,"",'Ch6'!H179)</f>
        <v/>
      </c>
      <c r="C496" t="str">
        <f t="shared" si="8"/>
        <v/>
      </c>
      <c r="D496" s="31"/>
      <c r="E496" s="424" t="s">
        <v>269</v>
      </c>
      <c r="F496" s="405"/>
      <c r="G496" s="836" t="s">
        <v>612</v>
      </c>
      <c r="H496" s="400" t="str">
        <f>IF(LEN('Ch6'!W179)=0,"",'Ch6'!W179)</f>
        <v/>
      </c>
      <c r="I496" s="46">
        <f>'Ch6'!O179</f>
        <v>0</v>
      </c>
      <c r="J496" s="580"/>
    </row>
    <row r="497" spans="1:10" x14ac:dyDescent="0.35">
      <c r="B497" t="str">
        <f>IF(LEN('Ch6'!H180)=0,"",'Ch6'!H180)</f>
        <v/>
      </c>
      <c r="C497" t="str">
        <f t="shared" si="8"/>
        <v/>
      </c>
      <c r="D497" s="31"/>
      <c r="E497" s="31"/>
      <c r="F497" s="31"/>
      <c r="G497" s="814"/>
      <c r="H497"/>
      <c r="J497" s="580"/>
    </row>
    <row r="498" spans="1:10" x14ac:dyDescent="0.35">
      <c r="B498" t="str">
        <f>IF(LEN('Ch6'!H181)=0,"",'Ch6'!H181)</f>
        <v/>
      </c>
      <c r="C498" t="str">
        <f t="shared" si="8"/>
        <v/>
      </c>
      <c r="D498" s="31"/>
      <c r="E498" s="31"/>
      <c r="F498" s="31"/>
      <c r="G498" s="814"/>
      <c r="H498"/>
      <c r="J498" s="580"/>
    </row>
    <row r="499" spans="1:10" x14ac:dyDescent="0.35">
      <c r="B499" t="str">
        <f>IF(LEN('Ch6'!H182)=0,"",'Ch6'!H182)</f>
        <v/>
      </c>
      <c r="C499" t="str">
        <f t="shared" si="8"/>
        <v/>
      </c>
      <c r="D499" s="31"/>
      <c r="E499" s="403"/>
      <c r="F499" s="403"/>
      <c r="G499" s="815"/>
      <c r="H499"/>
      <c r="J499" s="580"/>
    </row>
    <row r="500" spans="1:10" x14ac:dyDescent="0.35">
      <c r="B500" t="str">
        <f>IF(LEN('Ch6'!H183)=0,"",'Ch6'!H183)</f>
        <v/>
      </c>
      <c r="C500" t="str">
        <f t="shared" si="8"/>
        <v/>
      </c>
      <c r="D500" s="31"/>
      <c r="E500" s="402" t="s">
        <v>275</v>
      </c>
      <c r="F500" s="31"/>
      <c r="G500" s="90" t="s">
        <v>613</v>
      </c>
      <c r="H500" s="400" t="str">
        <f>IF(LEN('Ch6'!W183)=0,"",'Ch6'!W183)</f>
        <v/>
      </c>
      <c r="I500" s="46">
        <f ca="1">'Ch6'!O183</f>
        <v>0</v>
      </c>
      <c r="J500" s="580"/>
    </row>
    <row r="501" spans="1:10" x14ac:dyDescent="0.35">
      <c r="B501" t="str">
        <f>IF(LEN('Ch6'!H184)=0,"",'Ch6'!H184)</f>
        <v/>
      </c>
      <c r="C501" t="str">
        <f t="shared" si="8"/>
        <v/>
      </c>
      <c r="D501" s="31"/>
      <c r="E501" s="31"/>
      <c r="F501" s="402" t="s">
        <v>121</v>
      </c>
      <c r="G501" s="814" t="s">
        <v>614</v>
      </c>
      <c r="H501"/>
      <c r="J501" s="580"/>
    </row>
    <row r="502" spans="1:10" x14ac:dyDescent="0.35">
      <c r="B502" t="str">
        <f>IF(LEN('Ch6'!H185)=0,"",'Ch6'!H185)</f>
        <v/>
      </c>
      <c r="C502" t="str">
        <f t="shared" si="8"/>
        <v/>
      </c>
      <c r="D502" s="31"/>
      <c r="E502" s="31"/>
      <c r="F502" s="402"/>
      <c r="G502" s="814"/>
      <c r="H502"/>
      <c r="J502" s="580"/>
    </row>
    <row r="503" spans="1:10" x14ac:dyDescent="0.35">
      <c r="B503" t="str">
        <f>IF(LEN('Ch6'!H186)=0,"",'Ch6'!H186)</f>
        <v/>
      </c>
      <c r="C503" t="str">
        <f t="shared" si="8"/>
        <v/>
      </c>
      <c r="D503" s="31"/>
      <c r="E503" s="31"/>
      <c r="F503" s="416"/>
      <c r="G503" s="815"/>
      <c r="H503"/>
      <c r="J503" s="580"/>
    </row>
    <row r="504" spans="1:10" x14ac:dyDescent="0.35">
      <c r="B504" t="str">
        <f>IF(LEN('Ch6'!H187)=0,"",'Ch6'!H187)</f>
        <v/>
      </c>
      <c r="C504" t="str">
        <f t="shared" si="8"/>
        <v/>
      </c>
      <c r="D504" s="31"/>
      <c r="E504" s="31"/>
      <c r="F504" s="402" t="s">
        <v>122</v>
      </c>
      <c r="G504" s="814" t="s">
        <v>615</v>
      </c>
      <c r="H504"/>
      <c r="J504" s="580"/>
    </row>
    <row r="505" spans="1:10" x14ac:dyDescent="0.35">
      <c r="B505" t="str">
        <f>IF(LEN('Ch6'!H188)=0,"",'Ch6'!H188)</f>
        <v/>
      </c>
      <c r="C505" t="str">
        <f t="shared" si="8"/>
        <v/>
      </c>
      <c r="D505" s="31"/>
      <c r="E505" s="403"/>
      <c r="F505" s="403"/>
      <c r="G505" s="815"/>
      <c r="H505"/>
      <c r="J505" s="580"/>
    </row>
    <row r="506" spans="1:10" x14ac:dyDescent="0.35">
      <c r="B506" t="str">
        <f>IF(LEN('Ch6'!H189)=0,"",'Ch6'!H189)</f>
        <v/>
      </c>
      <c r="C506" t="str">
        <f t="shared" si="8"/>
        <v/>
      </c>
      <c r="D506" s="31"/>
      <c r="E506" s="424" t="s">
        <v>277</v>
      </c>
      <c r="F506" s="405"/>
      <c r="G506" s="836" t="s">
        <v>616</v>
      </c>
      <c r="H506" s="400" t="str">
        <f>IF(LEN('Ch6'!W189)=0,"",'Ch6'!W189)</f>
        <v/>
      </c>
      <c r="I506" s="46">
        <f>'Ch6'!O189</f>
        <v>0</v>
      </c>
      <c r="J506" s="580"/>
    </row>
    <row r="507" spans="1:10" x14ac:dyDescent="0.35">
      <c r="B507" t="str">
        <f>IF(LEN('Ch6'!H190)=0,"",'Ch6'!H190)</f>
        <v/>
      </c>
      <c r="C507" t="str">
        <f t="shared" si="8"/>
        <v/>
      </c>
      <c r="D507" s="31"/>
      <c r="E507" s="403"/>
      <c r="F507" s="403"/>
      <c r="G507" s="815"/>
      <c r="H507"/>
      <c r="J507" s="580"/>
    </row>
    <row r="508" spans="1:10" ht="15" thickBot="1" x14ac:dyDescent="0.4">
      <c r="B508" t="str">
        <f>IF(LEN('Ch6'!H191)=0,"",'Ch6'!H191)</f>
        <v/>
      </c>
      <c r="C508" t="str">
        <f t="shared" si="8"/>
        <v/>
      </c>
      <c r="D508" s="31"/>
      <c r="E508" s="402" t="s">
        <v>383</v>
      </c>
      <c r="F508" s="31"/>
      <c r="G508" s="90" t="s">
        <v>617</v>
      </c>
      <c r="H508" s="400" t="str">
        <f>IF(LEN('Ch6'!W191)=0,"",'Ch6'!W191)</f>
        <v/>
      </c>
      <c r="I508" s="46">
        <f>'Ch6'!O191</f>
        <v>0</v>
      </c>
      <c r="J508" s="580"/>
    </row>
    <row r="509" spans="1:10" ht="15" thickTop="1" x14ac:dyDescent="0.35">
      <c r="A509" s="366" t="str">
        <f ca="1">IF(I509&gt;0,"P","")</f>
        <v>P</v>
      </c>
      <c r="B509" t="str">
        <f>IF(LEN('Ch6'!H192)=0,"",'Ch6'!H192)</f>
        <v/>
      </c>
      <c r="C509" t="str">
        <f t="shared" ca="1" si="8"/>
        <v>P</v>
      </c>
      <c r="D509" s="60" t="s">
        <v>619</v>
      </c>
      <c r="E509" s="60"/>
      <c r="F509" s="60"/>
      <c r="G509" s="837" t="s">
        <v>5584</v>
      </c>
      <c r="H509"/>
      <c r="I509" s="46">
        <f ca="1">'Ch6'!O192</f>
        <v>2</v>
      </c>
      <c r="J509" s="975" t="s">
        <v>4963</v>
      </c>
    </row>
    <row r="510" spans="1:10" x14ac:dyDescent="0.35">
      <c r="A510" s="366" t="str">
        <f ca="1">A509</f>
        <v>P</v>
      </c>
      <c r="B510" t="str">
        <f>IF(LEN('Ch6'!H193)=0,"",'Ch6'!H193)</f>
        <v/>
      </c>
      <c r="C510" t="str">
        <f t="shared" ca="1" si="8"/>
        <v>P</v>
      </c>
      <c r="D510" s="31"/>
      <c r="E510" s="31"/>
      <c r="F510" s="31"/>
      <c r="G510" s="838"/>
      <c r="H510" s="400" t="str">
        <f>IF(LEN('Ch6'!W193)=0,"",'Ch6'!W193)</f>
        <v>1 exterior door</v>
      </c>
      <c r="J510" s="979"/>
    </row>
    <row r="511" spans="1:10" x14ac:dyDescent="0.35">
      <c r="A511" s="366" t="str">
        <f ca="1">A510</f>
        <v>P</v>
      </c>
      <c r="B511" t="str">
        <f>IF(LEN('Ch6'!H194)=0,"",'Ch6'!H194)</f>
        <v/>
      </c>
      <c r="C511" t="str">
        <f t="shared" ca="1" si="8"/>
        <v>P</v>
      </c>
      <c r="D511" s="31"/>
      <c r="E511" s="31"/>
      <c r="F511" s="31"/>
      <c r="G511" s="838"/>
      <c r="H511"/>
      <c r="J511" s="976"/>
    </row>
    <row r="512" spans="1:10" x14ac:dyDescent="0.35">
      <c r="A512" s="366" t="str">
        <f ca="1">A511</f>
        <v>P</v>
      </c>
      <c r="B512" t="str">
        <f>IF(LEN('Ch6'!H195)=0,"",'Ch6'!H195)</f>
        <v/>
      </c>
      <c r="C512" t="str">
        <f t="shared" ca="1" si="8"/>
        <v>P</v>
      </c>
      <c r="D512" s="31"/>
      <c r="E512" s="31"/>
      <c r="F512" s="31"/>
      <c r="G512" s="838"/>
      <c r="H512"/>
      <c r="J512" s="580"/>
    </row>
    <row r="513" spans="1:10" x14ac:dyDescent="0.35">
      <c r="A513" s="366" t="str">
        <f ca="1">A512</f>
        <v>P</v>
      </c>
      <c r="B513" t="str">
        <f>IF(LEN('Ch6'!H196)=0,"",'Ch6'!H196)</f>
        <v/>
      </c>
      <c r="C513" t="str">
        <f t="shared" ca="1" si="8"/>
        <v>P</v>
      </c>
      <c r="D513" s="31"/>
      <c r="E513" s="31"/>
      <c r="F513" s="31"/>
      <c r="G513" s="838"/>
      <c r="H513"/>
      <c r="J513" s="580"/>
    </row>
    <row r="514" spans="1:10" x14ac:dyDescent="0.35">
      <c r="A514" s="366" t="str">
        <f ca="1">A513</f>
        <v>P</v>
      </c>
      <c r="B514" t="str">
        <f>IF(LEN('Ch6'!H197)=0,"",'Ch6'!H197)</f>
        <v/>
      </c>
      <c r="C514" t="str">
        <f t="shared" ca="1" si="8"/>
        <v>P</v>
      </c>
      <c r="D514" s="31"/>
      <c r="E514" s="31"/>
      <c r="F514" s="31"/>
      <c r="G514" s="838"/>
      <c r="H514"/>
      <c r="J514" s="580"/>
    </row>
    <row r="515" spans="1:10" x14ac:dyDescent="0.35">
      <c r="B515" t="str">
        <f>IF(LEN('Ch6'!H198)=0,"",'Ch6'!H198)</f>
        <v/>
      </c>
      <c r="C515" t="str">
        <f t="shared" si="8"/>
        <v/>
      </c>
      <c r="D515" s="31"/>
      <c r="E515" s="31"/>
      <c r="F515" s="31"/>
      <c r="G515" s="604" t="str">
        <f>"This Project's Climate Zone: "&amp;BA333</f>
        <v xml:space="preserve">This Project's Climate Zone: </v>
      </c>
      <c r="H515"/>
      <c r="J515" s="580"/>
    </row>
    <row r="516" spans="1:10" x14ac:dyDescent="0.35">
      <c r="B516" t="str">
        <f>IF(LEN('Ch6'!H199)=0,"",'Ch6'!H199)</f>
        <v/>
      </c>
      <c r="C516" t="str">
        <f t="shared" si="8"/>
        <v/>
      </c>
      <c r="D516" s="31"/>
      <c r="E516" s="31"/>
      <c r="F516" s="402" t="s">
        <v>121</v>
      </c>
      <c r="G516" s="90" t="s">
        <v>620</v>
      </c>
      <c r="H516"/>
      <c r="J516" s="580"/>
    </row>
    <row r="517" spans="1:10" x14ac:dyDescent="0.35">
      <c r="B517" t="str">
        <f>IF(LEN('Ch6'!H200)=0,"",'Ch6'!H200)</f>
        <v/>
      </c>
      <c r="C517" t="str">
        <f t="shared" si="8"/>
        <v/>
      </c>
      <c r="D517" s="31"/>
      <c r="E517" s="31"/>
      <c r="F517" s="402" t="s">
        <v>122</v>
      </c>
      <c r="G517" s="90" t="s">
        <v>621</v>
      </c>
      <c r="H517"/>
      <c r="J517" s="580"/>
    </row>
    <row r="518" spans="1:10" x14ac:dyDescent="0.35">
      <c r="B518" t="str">
        <f>IF(LEN('Ch6'!H201)=0,"",'Ch6'!H201)</f>
        <v/>
      </c>
      <c r="C518" t="str">
        <f t="shared" si="8"/>
        <v/>
      </c>
      <c r="D518" s="31"/>
      <c r="E518" s="31"/>
      <c r="F518" s="417" t="s">
        <v>123</v>
      </c>
      <c r="G518" s="90" t="s">
        <v>622</v>
      </c>
      <c r="H518"/>
      <c r="J518" s="580"/>
    </row>
    <row r="519" spans="1:10" x14ac:dyDescent="0.35">
      <c r="B519" t="str">
        <f>IF(LEN('Ch6'!H202)=0,"",'Ch6'!H202)</f>
        <v/>
      </c>
      <c r="C519" t="str">
        <f t="shared" si="8"/>
        <v/>
      </c>
      <c r="D519" s="31"/>
      <c r="E519" s="31"/>
      <c r="F519" s="31" t="s">
        <v>401</v>
      </c>
      <c r="G519" s="90" t="s">
        <v>623</v>
      </c>
      <c r="H519"/>
      <c r="J519" s="580"/>
    </row>
    <row r="520" spans="1:10" x14ac:dyDescent="0.35">
      <c r="B520" t="str">
        <f>IF(LEN('Ch6'!H203)=0,"",'Ch6'!H203)</f>
        <v/>
      </c>
      <c r="C520" t="str">
        <f t="shared" ref="C520:C583" si="10">IF(LEN(B520)=0,IF(A520="P","P",""),B520)</f>
        <v/>
      </c>
      <c r="D520" s="31"/>
      <c r="E520" s="31"/>
      <c r="F520" s="31"/>
      <c r="G520" s="984" t="s">
        <v>3050</v>
      </c>
      <c r="H520"/>
      <c r="J520" s="580"/>
    </row>
    <row r="521" spans="1:10" ht="15" thickBot="1" x14ac:dyDescent="0.4">
      <c r="B521" t="str">
        <f>IF(LEN('Ch6'!H204)=0,"",'Ch6'!H204)</f>
        <v/>
      </c>
      <c r="C521" t="str">
        <f t="shared" si="10"/>
        <v/>
      </c>
      <c r="D521" s="31"/>
      <c r="E521" s="31"/>
      <c r="F521" s="31"/>
      <c r="G521" s="985"/>
      <c r="H521"/>
      <c r="J521" s="580"/>
    </row>
    <row r="522" spans="1:10" ht="15" thickTop="1" x14ac:dyDescent="0.35">
      <c r="A522" s="366" t="str">
        <f>IF(AND(LEN(H522)&gt;0,NOT(H522=FALSE)),"P","")</f>
        <v>P</v>
      </c>
      <c r="B522" t="str">
        <f>IF(LEN('Ch6'!H205)=0,"",'Ch6'!H205)</f>
        <v/>
      </c>
      <c r="C522" t="str">
        <f t="shared" si="10"/>
        <v>P</v>
      </c>
      <c r="D522" s="60" t="s">
        <v>625</v>
      </c>
      <c r="E522" s="60"/>
      <c r="F522" s="60"/>
      <c r="G522" s="837" t="s">
        <v>626</v>
      </c>
      <c r="H522" s="400" t="str">
        <f>IF(LEN('Ch6'!W205)=0,"",'Ch6'!W205)</f>
        <v>Met</v>
      </c>
      <c r="J522" s="975" t="s">
        <v>4964</v>
      </c>
    </row>
    <row r="523" spans="1:10" ht="15" thickBot="1" x14ac:dyDescent="0.4">
      <c r="A523" s="366" t="str">
        <f>A522</f>
        <v>P</v>
      </c>
      <c r="B523" t="str">
        <f>IF(LEN('Ch6'!H206)=0,"",'Ch6'!H206)</f>
        <v/>
      </c>
      <c r="C523" t="str">
        <f t="shared" si="10"/>
        <v>P</v>
      </c>
      <c r="D523" s="31"/>
      <c r="E523" s="31"/>
      <c r="F523" s="31"/>
      <c r="G523" s="838"/>
      <c r="H523"/>
      <c r="J523" s="976"/>
    </row>
    <row r="524" spans="1:10" ht="15" thickTop="1" x14ac:dyDescent="0.35">
      <c r="A524" s="366" t="str">
        <f ca="1">IF(I524&gt;0,"P","")</f>
        <v>P</v>
      </c>
      <c r="B524" t="str">
        <f>IF(LEN('Ch6'!H207)=0,"",'Ch6'!H207)</f>
        <v/>
      </c>
      <c r="C524" t="str">
        <f t="shared" ca="1" si="10"/>
        <v>P</v>
      </c>
      <c r="D524" s="60" t="s">
        <v>627</v>
      </c>
      <c r="E524" s="60"/>
      <c r="F524" s="60"/>
      <c r="G524" s="837" t="s">
        <v>628</v>
      </c>
      <c r="H524" s="400" t="b">
        <f>IF(LEN('Ch6'!W207)=0,"",'Ch6'!W207)</f>
        <v>1</v>
      </c>
      <c r="I524" s="46">
        <f ca="1">'Ch6'!O207</f>
        <v>4</v>
      </c>
      <c r="J524" s="580" t="s">
        <v>3891</v>
      </c>
    </row>
    <row r="525" spans="1:10" x14ac:dyDescent="0.35">
      <c r="A525" s="366" t="str">
        <f ca="1">A524</f>
        <v>P</v>
      </c>
      <c r="B525" t="str">
        <f>IF(LEN('Ch6'!H208)=0,"",'Ch6'!H208)</f>
        <v/>
      </c>
      <c r="C525" t="str">
        <f t="shared" ca="1" si="10"/>
        <v>P</v>
      </c>
      <c r="D525" s="31"/>
      <c r="E525" s="31"/>
      <c r="F525" s="31"/>
      <c r="G525" s="838"/>
      <c r="H525"/>
      <c r="J525" s="580"/>
    </row>
    <row r="526" spans="1:10" ht="15" thickBot="1" x14ac:dyDescent="0.4">
      <c r="B526" t="str">
        <f>IF(LEN('Ch6'!H209)=0,"",'Ch6'!H209)</f>
        <v/>
      </c>
      <c r="C526" t="str">
        <f t="shared" si="10"/>
        <v/>
      </c>
      <c r="D526" s="31"/>
      <c r="E526" s="31"/>
      <c r="F526" s="31"/>
      <c r="G526" s="609" t="s">
        <v>3035</v>
      </c>
      <c r="H526"/>
      <c r="J526" s="580"/>
    </row>
    <row r="527" spans="1:10" ht="15" thickTop="1" x14ac:dyDescent="0.35">
      <c r="A527" s="366" t="str">
        <f>IF(AND(LEN(H527)&gt;0,NOT(H527=FALSE)),"P","")</f>
        <v>P</v>
      </c>
      <c r="B527" t="str">
        <f>IF(LEN('Ch6'!H210)=0,"",'Ch6'!H210)</f>
        <v/>
      </c>
      <c r="C527" t="str">
        <f t="shared" si="10"/>
        <v>P</v>
      </c>
      <c r="D527" s="60" t="s">
        <v>630</v>
      </c>
      <c r="E527" s="60"/>
      <c r="F527" s="60"/>
      <c r="G527" s="837" t="s">
        <v>631</v>
      </c>
      <c r="H527" s="400" t="str">
        <f>IF(LEN('Ch6'!W210)=0,"",'Ch6'!W210)</f>
        <v>N/A</v>
      </c>
      <c r="J527" s="580" t="s">
        <v>4965</v>
      </c>
    </row>
    <row r="528" spans="1:10" x14ac:dyDescent="0.35">
      <c r="A528" s="366" t="str">
        <f>A527</f>
        <v>P</v>
      </c>
      <c r="B528" t="str">
        <f>IF(LEN('Ch6'!H211)=0,"",'Ch6'!H211)</f>
        <v/>
      </c>
      <c r="C528" t="str">
        <f t="shared" si="10"/>
        <v>P</v>
      </c>
      <c r="D528" s="31"/>
      <c r="E528" s="31"/>
      <c r="F528" s="31"/>
      <c r="G528" s="838"/>
      <c r="H528"/>
      <c r="J528" s="580"/>
    </row>
    <row r="529" spans="1:10" x14ac:dyDescent="0.35">
      <c r="A529" s="366" t="str">
        <f>A528</f>
        <v>P</v>
      </c>
      <c r="B529" t="str">
        <f>IF(LEN('Ch6'!H212)=0,"",'Ch6'!H212)</f>
        <v/>
      </c>
      <c r="C529" t="str">
        <f t="shared" si="10"/>
        <v>P</v>
      </c>
      <c r="D529" s="31"/>
      <c r="E529" s="31"/>
      <c r="F529" s="31"/>
      <c r="G529" s="838"/>
      <c r="H529"/>
      <c r="J529" s="580"/>
    </row>
    <row r="530" spans="1:10" ht="15" thickBot="1" x14ac:dyDescent="0.4">
      <c r="A530" s="366" t="str">
        <f>A529</f>
        <v>P</v>
      </c>
      <c r="B530" t="str">
        <f>IF(LEN('Ch6'!H213)=0,"",'Ch6'!H213)</f>
        <v/>
      </c>
      <c r="C530" t="str">
        <f t="shared" si="10"/>
        <v>P</v>
      </c>
      <c r="D530" s="31"/>
      <c r="E530" s="31"/>
      <c r="F530" s="31"/>
      <c r="G530" s="838"/>
      <c r="H530"/>
      <c r="J530" s="580"/>
    </row>
    <row r="531" spans="1:10" ht="15" thickTop="1" x14ac:dyDescent="0.35">
      <c r="A531" s="366" t="str">
        <f>IF(I531&gt;0,"P","")</f>
        <v>P</v>
      </c>
      <c r="B531" t="str">
        <f>IF(LEN('Ch6'!H214)=0,"",'Ch6'!H214)</f>
        <v/>
      </c>
      <c r="C531" t="str">
        <f t="shared" si="10"/>
        <v>P</v>
      </c>
      <c r="D531" s="60" t="s">
        <v>632</v>
      </c>
      <c r="E531" s="60"/>
      <c r="F531" s="60"/>
      <c r="G531" s="837" t="s">
        <v>633</v>
      </c>
      <c r="H531"/>
      <c r="I531" s="433">
        <f>SUM(I533:I536)</f>
        <v>5</v>
      </c>
      <c r="J531" s="580" t="s">
        <v>3891</v>
      </c>
    </row>
    <row r="532" spans="1:10" x14ac:dyDescent="0.35">
      <c r="A532" s="366" t="str">
        <f>A531</f>
        <v>P</v>
      </c>
      <c r="B532" t="str">
        <f>IF(LEN('Ch6'!H215)=0,"",'Ch6'!H215)</f>
        <v/>
      </c>
      <c r="C532" t="str">
        <f t="shared" si="10"/>
        <v>P</v>
      </c>
      <c r="D532" s="31"/>
      <c r="E532" s="31"/>
      <c r="F532" s="31"/>
      <c r="G532" s="838"/>
      <c r="H532"/>
      <c r="J532" s="580"/>
    </row>
    <row r="533" spans="1:10" x14ac:dyDescent="0.35">
      <c r="B533" t="str">
        <f>IF(LEN('Ch6'!H216)=0,"",'Ch6'!H216)</f>
        <v/>
      </c>
      <c r="C533" t="str">
        <f t="shared" si="10"/>
        <v/>
      </c>
      <c r="D533" s="31"/>
      <c r="E533" s="402" t="s">
        <v>256</v>
      </c>
      <c r="F533" s="31"/>
      <c r="G533" s="814" t="s">
        <v>634</v>
      </c>
      <c r="H533" s="400" t="str">
        <f>IF(LEN('Ch6'!W216)=0,"",'Ch6'!W216)</f>
        <v>Met</v>
      </c>
      <c r="I533" s="46">
        <f>'Ch6'!O216</f>
        <v>1</v>
      </c>
      <c r="J533" s="580"/>
    </row>
    <row r="534" spans="1:10" x14ac:dyDescent="0.35">
      <c r="B534" t="str">
        <f>IF(LEN('Ch6'!H217)=0,"",'Ch6'!H217)</f>
        <v/>
      </c>
      <c r="C534" t="str">
        <f t="shared" si="10"/>
        <v/>
      </c>
      <c r="D534" s="31"/>
      <c r="E534" s="403"/>
      <c r="F534" s="403"/>
      <c r="G534" s="815"/>
      <c r="H534"/>
      <c r="J534" s="580"/>
    </row>
    <row r="535" spans="1:10" x14ac:dyDescent="0.35">
      <c r="B535" t="str">
        <f>IF(LEN('Ch6'!H218)=0,"",'Ch6'!H218)</f>
        <v/>
      </c>
      <c r="C535" t="str">
        <f t="shared" si="10"/>
        <v/>
      </c>
      <c r="D535" s="31"/>
      <c r="E535" s="422" t="s">
        <v>258</v>
      </c>
      <c r="F535" s="415"/>
      <c r="G535" s="178" t="s">
        <v>635</v>
      </c>
      <c r="H535" s="400" t="b">
        <f>IF(LEN('Ch6'!W218)=0,"",'Ch6'!W218)</f>
        <v>1</v>
      </c>
      <c r="I535" s="46">
        <f>'Ch6'!O218</f>
        <v>2</v>
      </c>
      <c r="J535" s="580"/>
    </row>
    <row r="536" spans="1:10" ht="15" thickBot="1" x14ac:dyDescent="0.4">
      <c r="B536" t="str">
        <f>IF(LEN('Ch6'!H219)=0,"",'Ch6'!H219)</f>
        <v/>
      </c>
      <c r="C536" t="str">
        <f t="shared" si="10"/>
        <v/>
      </c>
      <c r="D536" s="31"/>
      <c r="E536" s="407" t="s">
        <v>260</v>
      </c>
      <c r="F536" s="404"/>
      <c r="G536" s="229" t="s">
        <v>636</v>
      </c>
      <c r="H536" s="400" t="b">
        <f>IF(LEN('Ch6'!W219)=0,"",'Ch6'!W219)</f>
        <v>1</v>
      </c>
      <c r="I536" s="46">
        <f>'Ch6'!O219</f>
        <v>2</v>
      </c>
      <c r="J536" s="580"/>
    </row>
    <row r="537" spans="1:10" ht="15" thickTop="1" x14ac:dyDescent="0.35">
      <c r="A537" s="366" t="str">
        <f>IF(I537&gt;0,"P","")</f>
        <v/>
      </c>
      <c r="B537" t="str">
        <f>IF(LEN('Ch6'!H220)=0,"",'Ch6'!H220)</f>
        <v/>
      </c>
      <c r="C537" t="str">
        <f t="shared" si="10"/>
        <v/>
      </c>
      <c r="D537" s="60" t="s">
        <v>4165</v>
      </c>
      <c r="G537" s="881" t="s">
        <v>4166</v>
      </c>
      <c r="H537" s="400" t="str">
        <f>IF(LEN('Ch6'!W220)=0,"",'Ch6'!W220)</f>
        <v/>
      </c>
      <c r="I537" s="46">
        <f>'Ch6'!O220</f>
        <v>0</v>
      </c>
      <c r="J537" s="580" t="s">
        <v>4966</v>
      </c>
    </row>
    <row r="538" spans="1:10" x14ac:dyDescent="0.35">
      <c r="A538" s="366" t="str">
        <f>A537</f>
        <v/>
      </c>
      <c r="B538" t="str">
        <f>IF(LEN('Ch6'!H221)=0,"",'Ch6'!H221)</f>
        <v/>
      </c>
      <c r="C538" t="str">
        <f t="shared" si="10"/>
        <v/>
      </c>
      <c r="G538" s="881"/>
      <c r="H538"/>
      <c r="J538" s="580"/>
    </row>
    <row r="539" spans="1:10" ht="15" thickBot="1" x14ac:dyDescent="0.4">
      <c r="B539" t="str">
        <f>IF(LEN('Ch6'!H222)=0,"",'Ch6'!H222)</f>
        <v/>
      </c>
      <c r="C539" t="str">
        <f t="shared" si="10"/>
        <v/>
      </c>
      <c r="G539" s="608" t="s">
        <v>4167</v>
      </c>
      <c r="H539"/>
      <c r="J539" s="580"/>
    </row>
    <row r="540" spans="1:10" ht="15" thickTop="1" x14ac:dyDescent="0.35">
      <c r="A540" s="366" t="str">
        <f>IF(I540&gt;0,"P","")</f>
        <v/>
      </c>
      <c r="B540" t="str">
        <f>IF(LEN('Ch6'!H223)=0,"",'Ch6'!H223)</f>
        <v/>
      </c>
      <c r="C540" t="str">
        <f t="shared" si="10"/>
        <v/>
      </c>
      <c r="D540" s="60">
        <v>602.20000000000005</v>
      </c>
      <c r="E540" s="60"/>
      <c r="F540" s="60"/>
      <c r="G540" s="837" t="s">
        <v>637</v>
      </c>
      <c r="H540"/>
      <c r="I540" s="46">
        <f>'Ch6'!O223</f>
        <v>0</v>
      </c>
      <c r="J540" s="580"/>
    </row>
    <row r="541" spans="1:10" x14ac:dyDescent="0.35">
      <c r="A541" s="366" t="str">
        <f>A540</f>
        <v/>
      </c>
      <c r="B541" t="str">
        <f>IF(LEN('Ch6'!H224)=0,"",'Ch6'!H224)</f>
        <v/>
      </c>
      <c r="C541" t="str">
        <f t="shared" si="10"/>
        <v/>
      </c>
      <c r="D541" s="31"/>
      <c r="E541" s="31"/>
      <c r="F541" s="31"/>
      <c r="G541" s="838"/>
      <c r="H541"/>
      <c r="J541" s="580"/>
    </row>
    <row r="542" spans="1:10" x14ac:dyDescent="0.35">
      <c r="A542" s="366" t="str">
        <f>A541</f>
        <v/>
      </c>
      <c r="B542" t="str">
        <f>IF(LEN('Ch6'!H225)=0,"",'Ch6'!H225)</f>
        <v/>
      </c>
      <c r="C542" t="str">
        <f t="shared" si="10"/>
        <v/>
      </c>
      <c r="D542" s="31"/>
      <c r="E542" s="31"/>
      <c r="F542" s="31"/>
      <c r="G542" s="838"/>
      <c r="H542"/>
      <c r="J542" s="580"/>
    </row>
    <row r="543" spans="1:10" x14ac:dyDescent="0.35">
      <c r="A543" s="366" t="str">
        <f>A542</f>
        <v/>
      </c>
      <c r="B543" t="str">
        <f>IF(LEN('Ch6'!H226)=0,"",'Ch6'!H226)</f>
        <v/>
      </c>
      <c r="C543" t="str">
        <f t="shared" si="10"/>
        <v/>
      </c>
      <c r="D543" s="31"/>
      <c r="E543" s="31"/>
      <c r="F543" s="31"/>
      <c r="G543" s="838"/>
      <c r="H543"/>
      <c r="J543" s="580"/>
    </row>
    <row r="544" spans="1:10" x14ac:dyDescent="0.35">
      <c r="A544" s="366" t="str">
        <f>IF(AND(LEN(H544)&gt;0,NOT(H544=FALSE)),"P","")</f>
        <v/>
      </c>
      <c r="B544" t="str">
        <f>IF(LEN('Ch6'!H227)=0,"",'Ch6'!H227)</f>
        <v/>
      </c>
      <c r="C544" t="str">
        <f t="shared" si="10"/>
        <v/>
      </c>
      <c r="D544" s="31"/>
      <c r="E544" s="402" t="s">
        <v>256</v>
      </c>
      <c r="F544" s="31"/>
      <c r="G544" s="848" t="s">
        <v>638</v>
      </c>
      <c r="H544" s="400" t="str">
        <f>IF(LEN('Ch6'!W227)=0,"",'Ch6'!W227)</f>
        <v/>
      </c>
      <c r="J544" s="580" t="s">
        <v>4967</v>
      </c>
    </row>
    <row r="545" spans="1:10" x14ac:dyDescent="0.35">
      <c r="A545" s="366" t="str">
        <f>A544</f>
        <v/>
      </c>
      <c r="B545" t="str">
        <f>IF(LEN('Ch6'!H228)=0,"",'Ch6'!H228)</f>
        <v/>
      </c>
      <c r="C545" t="str">
        <f t="shared" si="10"/>
        <v/>
      </c>
      <c r="D545" s="31"/>
      <c r="E545" s="416"/>
      <c r="F545" s="403"/>
      <c r="G545" s="821"/>
      <c r="H545"/>
      <c r="J545" s="580"/>
    </row>
    <row r="546" spans="1:10" x14ac:dyDescent="0.35">
      <c r="A546" s="366" t="str">
        <f>IF(AND(LEN(H546)&gt;0,NOT(H546=FALSE)),"P","")</f>
        <v/>
      </c>
      <c r="B546" t="str">
        <f>IF(LEN('Ch6'!H229)=0,"",'Ch6'!H229)</f>
        <v/>
      </c>
      <c r="C546" t="str">
        <f t="shared" si="10"/>
        <v/>
      </c>
      <c r="D546" s="31"/>
      <c r="E546" s="422" t="s">
        <v>258</v>
      </c>
      <c r="F546" s="415"/>
      <c r="G546" s="178" t="s">
        <v>639</v>
      </c>
      <c r="H546" s="400" t="str">
        <f>IF(LEN('Ch6'!W229)=0,"",'Ch6'!W229)</f>
        <v/>
      </c>
      <c r="J546" s="580" t="s">
        <v>3891</v>
      </c>
    </row>
    <row r="547" spans="1:10" x14ac:dyDescent="0.35">
      <c r="A547" s="366" t="str">
        <f>IF(AND(LEN(H547)&gt;0,NOT(H547=FALSE)),"P","")</f>
        <v/>
      </c>
      <c r="B547" t="str">
        <f>IF(LEN('Ch6'!H230)=0,"",'Ch6'!H230)</f>
        <v/>
      </c>
      <c r="C547" t="str">
        <f t="shared" si="10"/>
        <v/>
      </c>
      <c r="D547" s="31"/>
      <c r="E547" s="402" t="s">
        <v>260</v>
      </c>
      <c r="F547" s="31"/>
      <c r="G547" s="814" t="s">
        <v>640</v>
      </c>
      <c r="H547" s="400" t="str">
        <f>IF(LEN('Ch6'!W230)=0,"",'Ch6'!W230)</f>
        <v/>
      </c>
      <c r="J547" s="580" t="s">
        <v>4968</v>
      </c>
    </row>
    <row r="548" spans="1:10" x14ac:dyDescent="0.35">
      <c r="A548" s="366" t="str">
        <f>A547</f>
        <v/>
      </c>
      <c r="B548" t="str">
        <f>IF(LEN('Ch6'!H231)=0,"",'Ch6'!H231)</f>
        <v/>
      </c>
      <c r="C548" t="str">
        <f t="shared" si="10"/>
        <v/>
      </c>
      <c r="D548" s="31"/>
      <c r="E548" s="31"/>
      <c r="F548" s="31"/>
      <c r="G548" s="814"/>
      <c r="H548"/>
      <c r="J548" s="580"/>
    </row>
    <row r="549" spans="1:10" ht="15" thickBot="1" x14ac:dyDescent="0.4">
      <c r="A549" s="366" t="str">
        <f>A548</f>
        <v/>
      </c>
      <c r="B549" t="str">
        <f>IF(LEN('Ch6'!H232)=0,"",'Ch6'!H232)</f>
        <v/>
      </c>
      <c r="C549" t="str">
        <f t="shared" si="10"/>
        <v/>
      </c>
      <c r="D549" s="31"/>
      <c r="E549" s="31"/>
      <c r="F549" s="31"/>
      <c r="G549" s="814"/>
      <c r="H549"/>
      <c r="J549" s="580"/>
    </row>
    <row r="550" spans="1:10" ht="15" thickTop="1" x14ac:dyDescent="0.35">
      <c r="A550" s="366" t="str">
        <f>IF(AND(LEN(H550)&gt;0,NOT(H550=FALSE)),"P","")</f>
        <v>P</v>
      </c>
      <c r="B550" t="str">
        <f>IF(LEN('Ch6'!H233)=0,"",'Ch6'!H233)</f>
        <v/>
      </c>
      <c r="C550" t="str">
        <f t="shared" si="10"/>
        <v>P</v>
      </c>
      <c r="D550" s="60">
        <v>602.29999999999995</v>
      </c>
      <c r="E550" s="60"/>
      <c r="F550" s="60"/>
      <c r="G550" s="837" t="s">
        <v>641</v>
      </c>
      <c r="H550" s="400" t="b">
        <f>IF(LEN('Ch6'!W233)=0,"",'Ch6'!W233)</f>
        <v>1</v>
      </c>
      <c r="I550" s="46">
        <f>'Ch6'!O233</f>
        <v>4</v>
      </c>
      <c r="J550" s="580" t="s">
        <v>3891</v>
      </c>
    </row>
    <row r="551" spans="1:10" x14ac:dyDescent="0.35">
      <c r="A551" s="366" t="str">
        <f>A550</f>
        <v>P</v>
      </c>
      <c r="B551" t="str">
        <f>IF(LEN('Ch6'!H234)=0,"",'Ch6'!H234)</f>
        <v/>
      </c>
      <c r="C551" t="str">
        <f t="shared" si="10"/>
        <v>P</v>
      </c>
      <c r="D551" s="31"/>
      <c r="E551" s="31"/>
      <c r="F551" s="31"/>
      <c r="G551" s="838"/>
      <c r="H551"/>
      <c r="J551" s="580"/>
    </row>
    <row r="552" spans="1:10" ht="15" thickBot="1" x14ac:dyDescent="0.4">
      <c r="A552" s="366" t="str">
        <f>A551</f>
        <v>P</v>
      </c>
      <c r="B552" t="str">
        <f>IF(LEN('Ch6'!H235)=0,"",'Ch6'!H235)</f>
        <v/>
      </c>
      <c r="C552" t="str">
        <f t="shared" si="10"/>
        <v>P</v>
      </c>
      <c r="D552" s="31"/>
      <c r="E552" s="31"/>
      <c r="F552" s="31"/>
      <c r="G552" s="838"/>
      <c r="H552"/>
      <c r="J552" s="580"/>
    </row>
    <row r="553" spans="1:10" ht="15" thickTop="1" x14ac:dyDescent="0.35">
      <c r="A553" s="727" t="str">
        <f>IF(COUNTIF(A554:A561,"P")&gt;0,"P","")</f>
        <v>P</v>
      </c>
      <c r="B553" t="str">
        <f>IF(LEN('Ch6'!H236)=0,"",'Ch6'!H236)</f>
        <v/>
      </c>
      <c r="C553" t="str">
        <f t="shared" si="10"/>
        <v>P</v>
      </c>
      <c r="D553" s="60">
        <v>602.4</v>
      </c>
      <c r="E553" s="60"/>
      <c r="F553" s="60"/>
      <c r="G553" s="274" t="s">
        <v>642</v>
      </c>
      <c r="H553"/>
      <c r="J553" s="580"/>
    </row>
    <row r="554" spans="1:10" x14ac:dyDescent="0.35">
      <c r="A554" s="366" t="str">
        <f>IF(AND(LEN(H554)&gt;0,NOT(H554=FALSE)),"P","")</f>
        <v>P</v>
      </c>
      <c r="B554" t="str">
        <f>IF(LEN('Ch6'!H237)=0,"",'Ch6'!H237)</f>
        <v/>
      </c>
      <c r="C554" t="str">
        <f t="shared" si="10"/>
        <v>P</v>
      </c>
      <c r="D554" s="31" t="s">
        <v>643</v>
      </c>
      <c r="E554" s="31"/>
      <c r="F554" s="31"/>
      <c r="G554" s="838" t="s">
        <v>644</v>
      </c>
      <c r="H554" s="400" t="b">
        <f>IF(LEN('Ch6'!W237)=0,"",'Ch6'!W237)</f>
        <v>1</v>
      </c>
      <c r="J554" s="580" t="s">
        <v>3891</v>
      </c>
    </row>
    <row r="555" spans="1:10" x14ac:dyDescent="0.35">
      <c r="A555" s="366" t="str">
        <f>A554</f>
        <v>P</v>
      </c>
      <c r="B555" t="str">
        <f>IF(LEN('Ch6'!H238)=0,"",'Ch6'!H238)</f>
        <v/>
      </c>
      <c r="C555" t="str">
        <f t="shared" si="10"/>
        <v>P</v>
      </c>
      <c r="D555" s="31"/>
      <c r="E555" s="31"/>
      <c r="F555" s="31"/>
      <c r="G555" s="838"/>
      <c r="H555"/>
      <c r="J555" s="580"/>
    </row>
    <row r="556" spans="1:10" x14ac:dyDescent="0.35">
      <c r="A556" s="366" t="str">
        <f>A555</f>
        <v>P</v>
      </c>
      <c r="B556" t="str">
        <f>IF(LEN('Ch6'!H239)=0,"",'Ch6'!H239)</f>
        <v/>
      </c>
      <c r="C556" t="str">
        <f t="shared" si="10"/>
        <v>P</v>
      </c>
      <c r="D556" s="31"/>
      <c r="E556" s="31"/>
      <c r="F556" s="31"/>
      <c r="G556" s="838"/>
      <c r="H556"/>
      <c r="J556" s="580"/>
    </row>
    <row r="557" spans="1:10" x14ac:dyDescent="0.35">
      <c r="A557" s="366" t="str">
        <f>A556</f>
        <v>P</v>
      </c>
      <c r="B557" t="str">
        <f>IF(LEN('Ch6'!H240)=0,"",'Ch6'!H240)</f>
        <v/>
      </c>
      <c r="C557" t="str">
        <f t="shared" si="10"/>
        <v>P</v>
      </c>
      <c r="D557" s="31"/>
      <c r="E557" s="31"/>
      <c r="F557" s="31"/>
      <c r="G557" s="838"/>
      <c r="H557"/>
      <c r="J557" s="580"/>
    </row>
    <row r="558" spans="1:10" x14ac:dyDescent="0.35">
      <c r="A558" s="366" t="str">
        <f>A557</f>
        <v>P</v>
      </c>
      <c r="B558" t="str">
        <f>IF(LEN('Ch6'!H241)=0,"",'Ch6'!H241)</f>
        <v/>
      </c>
      <c r="C558" t="str">
        <f t="shared" si="10"/>
        <v>P</v>
      </c>
      <c r="D558" s="403"/>
      <c r="E558" s="403"/>
      <c r="F558" s="403"/>
      <c r="G558" s="889"/>
      <c r="H558"/>
      <c r="J558" s="580"/>
    </row>
    <row r="559" spans="1:10" x14ac:dyDescent="0.35">
      <c r="A559" s="366" t="str">
        <f>IF(AND(LEN(H559)&gt;0,NOT(H559=FALSE)),"P","")</f>
        <v>P</v>
      </c>
      <c r="B559" t="str">
        <f>IF(LEN('Ch6'!H242)=0,"",'Ch6'!H242)</f>
        <v/>
      </c>
      <c r="C559" t="str">
        <f t="shared" si="10"/>
        <v>P</v>
      </c>
      <c r="D559" s="31" t="s">
        <v>645</v>
      </c>
      <c r="E559" s="31"/>
      <c r="F559" s="31"/>
      <c r="G559" s="838" t="s">
        <v>646</v>
      </c>
      <c r="H559" s="400" t="b">
        <f>IF(LEN('Ch6'!W242)=0,"",'Ch6'!W242)</f>
        <v>1</v>
      </c>
      <c r="I559" s="46">
        <f>'Ch6'!O242</f>
        <v>1</v>
      </c>
      <c r="J559" s="580" t="s">
        <v>3891</v>
      </c>
    </row>
    <row r="560" spans="1:10" x14ac:dyDescent="0.35">
      <c r="A560" s="366" t="str">
        <f>A559</f>
        <v>P</v>
      </c>
      <c r="B560" t="str">
        <f>IF(LEN('Ch6'!H243)=0,"",'Ch6'!H243)</f>
        <v/>
      </c>
      <c r="C560" t="str">
        <f t="shared" si="10"/>
        <v>P</v>
      </c>
      <c r="D560" s="403"/>
      <c r="E560" s="403"/>
      <c r="F560" s="403"/>
      <c r="G560" s="889"/>
      <c r="H560"/>
      <c r="J560" s="580"/>
    </row>
    <row r="561" spans="1:10" ht="15" customHeight="1" x14ac:dyDescent="0.35">
      <c r="A561" s="366" t="str">
        <f>IF(AND(LEN(H561)&gt;0,NOT(H561=FALSE)),"P","")</f>
        <v>P</v>
      </c>
      <c r="B561" t="str">
        <f>IF(LEN('Ch6'!H244)=0,"",'Ch6'!H244)</f>
        <v/>
      </c>
      <c r="C561" t="str">
        <f t="shared" si="10"/>
        <v>P</v>
      </c>
      <c r="D561" s="31" t="s">
        <v>647</v>
      </c>
      <c r="E561" s="31"/>
      <c r="F561" s="31"/>
      <c r="G561" s="95" t="s">
        <v>648</v>
      </c>
      <c r="H561" s="400" t="b">
        <f>IF(LEN('Ch6'!W244)=0,"",'Ch6'!W244)</f>
        <v>1</v>
      </c>
      <c r="I561" s="46">
        <f>'Ch6'!O244</f>
        <v>1</v>
      </c>
      <c r="J561" s="580" t="s">
        <v>3891</v>
      </c>
    </row>
    <row r="562" spans="1:10" ht="18.5" x14ac:dyDescent="0.35">
      <c r="A562" s="366" t="s">
        <v>3973</v>
      </c>
      <c r="B562" t="str">
        <f>IF(LEN('Ch6'!H245)=0,"",'Ch6'!H245)</f>
        <v/>
      </c>
      <c r="C562" t="str">
        <f t="shared" si="10"/>
        <v>P</v>
      </c>
      <c r="D562" s="620" t="s">
        <v>649</v>
      </c>
      <c r="E562" s="620"/>
      <c r="F562" s="620"/>
      <c r="G562" s="537"/>
      <c r="H562"/>
      <c r="J562" s="580"/>
    </row>
    <row r="563" spans="1:10" x14ac:dyDescent="0.35">
      <c r="B563" t="str">
        <f>IF(LEN('Ch6'!H246)=0,"",'Ch6'!H246)</f>
        <v/>
      </c>
      <c r="C563" t="str">
        <f t="shared" si="10"/>
        <v/>
      </c>
      <c r="D563" s="402" t="s">
        <v>3982</v>
      </c>
      <c r="E563" s="31"/>
      <c r="F563" s="31"/>
      <c r="G563" s="838" t="s">
        <v>650</v>
      </c>
      <c r="H563"/>
      <c r="J563" s="580"/>
    </row>
    <row r="564" spans="1:10" ht="15" thickBot="1" x14ac:dyDescent="0.4">
      <c r="B564" t="str">
        <f>IF(LEN('Ch6'!H247)=0,"",'Ch6'!H247)</f>
        <v/>
      </c>
      <c r="C564" t="str">
        <f t="shared" si="10"/>
        <v/>
      </c>
      <c r="D564" s="31"/>
      <c r="E564" s="31"/>
      <c r="F564" s="31"/>
      <c r="G564" s="838"/>
      <c r="H564"/>
      <c r="J564" s="580"/>
    </row>
    <row r="565" spans="1:10" ht="15" thickTop="1" x14ac:dyDescent="0.35">
      <c r="A565" s="366" t="str">
        <f>IF(I565&gt;0,"P","")</f>
        <v/>
      </c>
      <c r="B565" t="str">
        <f>IF(LEN('Ch6'!H248)=0,"",'Ch6'!H248)</f>
        <v/>
      </c>
      <c r="C565" t="str">
        <f t="shared" si="10"/>
        <v/>
      </c>
      <c r="D565" s="60">
        <v>603.1</v>
      </c>
      <c r="E565" s="60"/>
      <c r="F565" s="60"/>
      <c r="G565" s="837" t="s">
        <v>651</v>
      </c>
      <c r="H565" s="400" t="str">
        <f>IF(LEN('Ch6'!W248)=0,"",'Ch6'!W248)</f>
        <v/>
      </c>
      <c r="I565" s="46">
        <f>'Ch6'!O248</f>
        <v>0</v>
      </c>
      <c r="J565" s="975" t="s">
        <v>3902</v>
      </c>
    </row>
    <row r="566" spans="1:10" x14ac:dyDescent="0.35">
      <c r="A566" s="366" t="str">
        <f>A565</f>
        <v/>
      </c>
      <c r="B566" t="str">
        <f>IF(LEN('Ch6'!H249)=0,"",'Ch6'!H249)</f>
        <v/>
      </c>
      <c r="C566" t="str">
        <f t="shared" si="10"/>
        <v/>
      </c>
      <c r="D566" s="31"/>
      <c r="E566" s="31"/>
      <c r="F566" s="31"/>
      <c r="G566" s="838"/>
      <c r="H566"/>
      <c r="J566" s="979"/>
    </row>
    <row r="567" spans="1:10" x14ac:dyDescent="0.35">
      <c r="A567" s="366" t="str">
        <f>A566</f>
        <v/>
      </c>
      <c r="B567" t="str">
        <f>IF(LEN('Ch6'!H250)=0,"",'Ch6'!H250)</f>
        <v/>
      </c>
      <c r="C567" t="str">
        <f t="shared" si="10"/>
        <v/>
      </c>
      <c r="D567" s="31"/>
      <c r="E567" s="31"/>
      <c r="F567" s="31"/>
      <c r="G567" s="92" t="s">
        <v>652</v>
      </c>
      <c r="H567"/>
      <c r="J567" s="976"/>
    </row>
    <row r="568" spans="1:10" x14ac:dyDescent="0.35">
      <c r="B568" t="str">
        <f>IF(LEN('Ch6'!H251)=0,"",'Ch6'!H251)</f>
        <v/>
      </c>
      <c r="C568" t="str">
        <f t="shared" si="10"/>
        <v/>
      </c>
      <c r="D568" s="31"/>
      <c r="E568" s="31"/>
      <c r="F568" s="31"/>
      <c r="G568" s="985" t="s">
        <v>3054</v>
      </c>
      <c r="H568"/>
      <c r="J568" s="580"/>
    </row>
    <row r="569" spans="1:10" x14ac:dyDescent="0.35">
      <c r="B569" t="str">
        <f>IF(LEN('Ch6'!H252)=0,"",'Ch6'!H252)</f>
        <v/>
      </c>
      <c r="C569" t="str">
        <f t="shared" si="10"/>
        <v/>
      </c>
      <c r="D569" s="31"/>
      <c r="E569" s="31"/>
      <c r="F569" s="31"/>
      <c r="G569" s="986"/>
      <c r="H569"/>
      <c r="J569" s="580"/>
    </row>
    <row r="570" spans="1:10" ht="15" thickBot="1" x14ac:dyDescent="0.4">
      <c r="B570" t="str">
        <f>IF(LEN('Ch6'!H253)=0,"",'Ch6'!H253)</f>
        <v/>
      </c>
      <c r="C570" t="str">
        <f t="shared" si="10"/>
        <v/>
      </c>
      <c r="D570" s="31"/>
      <c r="E570" s="31"/>
      <c r="F570" s="31"/>
      <c r="G570" s="986"/>
      <c r="H570"/>
      <c r="J570" s="580"/>
    </row>
    <row r="571" spans="1:10" ht="15" thickTop="1" x14ac:dyDescent="0.35">
      <c r="A571" s="366" t="str">
        <f>IF(I571&gt;0,"P","")</f>
        <v/>
      </c>
      <c r="B571" t="str">
        <f>IF(LEN('Ch6'!H254)=0,"",'Ch6'!H254)</f>
        <v/>
      </c>
      <c r="C571" t="str">
        <f t="shared" si="10"/>
        <v/>
      </c>
      <c r="D571" s="60">
        <v>603.20000000000005</v>
      </c>
      <c r="E571" s="60"/>
      <c r="F571" s="60"/>
      <c r="G571" s="837" t="s">
        <v>653</v>
      </c>
      <c r="H571" s="400" t="str">
        <f>IF(LEN('Ch6'!W254)=0,"",'Ch6'!W254)</f>
        <v/>
      </c>
      <c r="I571" s="46">
        <f>'Ch6'!O254</f>
        <v>0</v>
      </c>
      <c r="J571" s="975" t="s">
        <v>4969</v>
      </c>
    </row>
    <row r="572" spans="1:10" x14ac:dyDescent="0.35">
      <c r="A572" s="366" t="str">
        <f>A571</f>
        <v/>
      </c>
      <c r="B572" t="str">
        <f>IF(LEN('Ch6'!H255)=0,"",'Ch6'!H255)</f>
        <v/>
      </c>
      <c r="C572" t="str">
        <f t="shared" si="10"/>
        <v/>
      </c>
      <c r="D572" s="31"/>
      <c r="E572" s="31"/>
      <c r="F572" s="31"/>
      <c r="G572" s="838"/>
      <c r="H572"/>
      <c r="J572" s="976"/>
    </row>
    <row r="573" spans="1:10" x14ac:dyDescent="0.35">
      <c r="A573" s="366" t="str">
        <f>A572</f>
        <v/>
      </c>
      <c r="B573" t="str">
        <f>IF(LEN('Ch6'!H256)=0,"",'Ch6'!H256)</f>
        <v/>
      </c>
      <c r="C573" t="str">
        <f t="shared" si="10"/>
        <v/>
      </c>
      <c r="D573" s="31"/>
      <c r="E573" s="31"/>
      <c r="F573" s="31"/>
      <c r="G573" s="838"/>
      <c r="H573"/>
      <c r="J573" s="580"/>
    </row>
    <row r="574" spans="1:10" ht="15" customHeight="1" x14ac:dyDescent="0.35">
      <c r="B574" t="str">
        <f>IF(LEN('Ch6'!H257)=0,"",'Ch6'!H257)</f>
        <v/>
      </c>
      <c r="C574" t="str">
        <f t="shared" si="10"/>
        <v/>
      </c>
      <c r="D574" s="31"/>
      <c r="E574" s="31"/>
      <c r="F574" s="31"/>
      <c r="G574" s="91" t="s">
        <v>3056</v>
      </c>
      <c r="H574"/>
      <c r="J574" s="580"/>
    </row>
    <row r="575" spans="1:10" x14ac:dyDescent="0.35">
      <c r="B575" t="str">
        <f>IF(LEN('Ch6'!H258)=0,"",'Ch6'!H258)</f>
        <v/>
      </c>
      <c r="C575" t="str">
        <f t="shared" si="10"/>
        <v/>
      </c>
      <c r="D575" s="31"/>
      <c r="E575" s="31"/>
      <c r="F575" s="31"/>
      <c r="G575" s="985" t="s">
        <v>3054</v>
      </c>
      <c r="H575"/>
      <c r="J575" s="580"/>
    </row>
    <row r="576" spans="1:10" x14ac:dyDescent="0.35">
      <c r="B576" t="str">
        <f>IF(LEN('Ch6'!H259)=0,"",'Ch6'!H259)</f>
        <v/>
      </c>
      <c r="C576" t="str">
        <f t="shared" si="10"/>
        <v/>
      </c>
      <c r="D576" s="31"/>
      <c r="E576" s="31"/>
      <c r="F576" s="31"/>
      <c r="G576" s="986"/>
      <c r="H576"/>
      <c r="J576" s="580"/>
    </row>
    <row r="577" spans="1:10" ht="15" thickBot="1" x14ac:dyDescent="0.4">
      <c r="B577" t="str">
        <f>IF(LEN('Ch6'!H260)=0,"",'Ch6'!H260)</f>
        <v/>
      </c>
      <c r="C577" t="str">
        <f t="shared" si="10"/>
        <v/>
      </c>
      <c r="D577" s="31"/>
      <c r="E577" s="31"/>
      <c r="F577" s="31"/>
      <c r="G577" s="986"/>
      <c r="H577"/>
      <c r="J577" s="580"/>
    </row>
    <row r="578" spans="1:10" ht="15" thickTop="1" x14ac:dyDescent="0.35">
      <c r="A578" s="366" t="str">
        <f>IF(I578&gt;0,"P","")</f>
        <v/>
      </c>
      <c r="B578" t="str">
        <f>IF(LEN('Ch6'!H261)=0,"",'Ch6'!H261)</f>
        <v/>
      </c>
      <c r="C578" t="str">
        <f t="shared" si="10"/>
        <v/>
      </c>
      <c r="D578" s="60">
        <v>603.29999999999995</v>
      </c>
      <c r="E578" s="60"/>
      <c r="F578" s="60"/>
      <c r="G578" s="837" t="s">
        <v>654</v>
      </c>
      <c r="H578" s="400" t="str">
        <f>IF(LEN('Ch6'!W261)=0,"",'Ch6'!W261)</f>
        <v/>
      </c>
      <c r="I578" s="46">
        <f>'Ch6'!O261</f>
        <v>0</v>
      </c>
      <c r="J578" s="580" t="s">
        <v>3891</v>
      </c>
    </row>
    <row r="579" spans="1:10" x14ac:dyDescent="0.35">
      <c r="A579" s="366" t="str">
        <f>A578</f>
        <v/>
      </c>
      <c r="B579" t="str">
        <f>IF(LEN('Ch6'!H262)=0,"",'Ch6'!H262)</f>
        <v/>
      </c>
      <c r="C579" t="str">
        <f t="shared" si="10"/>
        <v/>
      </c>
      <c r="D579" s="31"/>
      <c r="E579" s="31"/>
      <c r="F579" s="31"/>
      <c r="G579" s="838"/>
      <c r="H579"/>
      <c r="J579" s="580"/>
    </row>
    <row r="580" spans="1:10" ht="15" customHeight="1" x14ac:dyDescent="0.35">
      <c r="B580" t="str">
        <f>IF(LEN('Ch6'!H263)=0,"",'Ch6'!H263)</f>
        <v/>
      </c>
      <c r="C580" t="str">
        <f t="shared" si="10"/>
        <v/>
      </c>
      <c r="D580" s="31"/>
      <c r="E580" s="31"/>
      <c r="F580" s="31"/>
      <c r="G580" s="604" t="s">
        <v>3052</v>
      </c>
      <c r="H580"/>
      <c r="J580" s="580"/>
    </row>
    <row r="581" spans="1:10" ht="18.5" x14ac:dyDescent="0.35">
      <c r="A581" s="366" t="s">
        <v>3973</v>
      </c>
      <c r="B581" t="str">
        <f>IF(LEN('Ch6'!H264)=0,"",'Ch6'!H264)</f>
        <v/>
      </c>
      <c r="C581" t="str">
        <f t="shared" si="10"/>
        <v>P</v>
      </c>
      <c r="D581" s="620" t="s">
        <v>655</v>
      </c>
      <c r="E581" s="620"/>
      <c r="F581" s="620"/>
      <c r="G581" s="537"/>
      <c r="H581"/>
      <c r="J581" s="580"/>
    </row>
    <row r="582" spans="1:10" x14ac:dyDescent="0.35">
      <c r="A582" s="366" t="str">
        <f>IF(I582&gt;0,"P","")</f>
        <v/>
      </c>
      <c r="B582" t="str">
        <f>IF(LEN('Ch6'!H265)=0,"",'Ch6'!H265)</f>
        <v/>
      </c>
      <c r="C582" t="str">
        <f t="shared" si="10"/>
        <v/>
      </c>
      <c r="D582" s="31">
        <v>604.1</v>
      </c>
      <c r="E582" s="31"/>
      <c r="F582" s="31"/>
      <c r="G582" s="838" t="s">
        <v>656</v>
      </c>
      <c r="H582"/>
      <c r="I582" s="46">
        <f>'Ch6'!O265</f>
        <v>0</v>
      </c>
      <c r="J582" s="975" t="s">
        <v>3903</v>
      </c>
    </row>
    <row r="583" spans="1:10" x14ac:dyDescent="0.35">
      <c r="A583" s="366" t="str">
        <f>A582</f>
        <v/>
      </c>
      <c r="B583" t="str">
        <f>IF(LEN('Ch6'!H266)=0,"",'Ch6'!H266)</f>
        <v/>
      </c>
      <c r="C583" t="str">
        <f t="shared" si="10"/>
        <v/>
      </c>
      <c r="D583" s="31"/>
      <c r="E583" s="31"/>
      <c r="F583" s="31"/>
      <c r="G583" s="838"/>
      <c r="H583" s="400" t="str">
        <f>IF(LEN('Ch6'!W266)=0,"",'Ch6'!W266)</f>
        <v/>
      </c>
      <c r="J583" s="976"/>
    </row>
    <row r="584" spans="1:10" x14ac:dyDescent="0.35">
      <c r="B584" t="str">
        <f>IF(LEN('Ch6'!H267)=0,"",'Ch6'!H267)</f>
        <v/>
      </c>
      <c r="C584" t="str">
        <f t="shared" ref="C584:C647" si="11">IF(LEN(B584)=0,IF(A584="P","P",""),B584)</f>
        <v/>
      </c>
      <c r="D584" s="31"/>
      <c r="E584" s="31"/>
      <c r="F584" s="31"/>
      <c r="G584" s="604" t="s">
        <v>3066</v>
      </c>
      <c r="H584"/>
      <c r="J584" s="580"/>
    </row>
    <row r="585" spans="1:10" x14ac:dyDescent="0.35">
      <c r="B585" t="str">
        <f>IF(LEN('Ch6'!H268)=0,"",'Ch6'!H268)</f>
        <v/>
      </c>
      <c r="C585" t="str">
        <f t="shared" si="11"/>
        <v/>
      </c>
      <c r="D585" s="31"/>
      <c r="E585" s="31"/>
      <c r="F585" s="31"/>
      <c r="G585" s="610" t="s">
        <v>3063</v>
      </c>
      <c r="H585" s="400" t="str">
        <f>IF(LEN('Ch6'!W268)=0,"",'Ch6'!W268)</f>
        <v/>
      </c>
      <c r="J585" s="580"/>
    </row>
    <row r="586" spans="1:10" x14ac:dyDescent="0.35">
      <c r="B586" t="str">
        <f>IF(LEN('Ch6'!H269)=0,"",'Ch6'!H269)</f>
        <v/>
      </c>
      <c r="C586" t="str">
        <f t="shared" si="11"/>
        <v/>
      </c>
      <c r="D586" s="31"/>
      <c r="E586" s="31"/>
      <c r="F586" s="31"/>
      <c r="G586" s="984" t="s">
        <v>3065</v>
      </c>
      <c r="H586"/>
      <c r="J586" s="580"/>
    </row>
    <row r="587" spans="1:10" x14ac:dyDescent="0.35">
      <c r="B587" t="str">
        <f>IF(LEN('Ch6'!H270)=0,"",'Ch6'!H270)</f>
        <v/>
      </c>
      <c r="C587" t="str">
        <f t="shared" si="11"/>
        <v/>
      </c>
      <c r="D587" s="31"/>
      <c r="E587" s="31"/>
      <c r="F587" s="31"/>
      <c r="G587" s="984"/>
      <c r="H587" s="400" t="str">
        <f>IF(LEN('Ch6'!W270)=0,"",'Ch6'!W270)</f>
        <v/>
      </c>
      <c r="J587" s="580"/>
    </row>
    <row r="588" spans="1:10" x14ac:dyDescent="0.35">
      <c r="B588" t="str">
        <f>IF(LEN('Ch6'!H271)=0,"",'Ch6'!H271)</f>
        <v/>
      </c>
      <c r="C588" t="str">
        <f t="shared" si="11"/>
        <v/>
      </c>
      <c r="D588" s="31"/>
      <c r="E588" s="31"/>
      <c r="F588" s="31"/>
      <c r="G588" s="565"/>
      <c r="H588"/>
      <c r="J588" s="580"/>
    </row>
    <row r="589" spans="1:10" x14ac:dyDescent="0.35">
      <c r="B589" t="str">
        <f>IF(LEN('Ch6'!H272)=0,"",'Ch6'!H272)</f>
        <v/>
      </c>
      <c r="C589" t="str">
        <f t="shared" si="11"/>
        <v/>
      </c>
      <c r="D589" s="31"/>
      <c r="E589" s="31"/>
      <c r="F589" s="31"/>
      <c r="G589" s="565"/>
      <c r="H589" s="400" t="str">
        <f>IF(LEN('Ch6'!W272)=0,"",'Ch6'!W272)</f>
        <v/>
      </c>
      <c r="J589" s="580"/>
    </row>
    <row r="590" spans="1:10" ht="18.5" x14ac:dyDescent="0.35">
      <c r="A590" s="366" t="s">
        <v>3973</v>
      </c>
      <c r="B590" t="str">
        <f>IF(LEN('Ch6'!H273)=0,"",'Ch6'!H273)</f>
        <v/>
      </c>
      <c r="C590" t="str">
        <f t="shared" si="11"/>
        <v>P</v>
      </c>
      <c r="D590" s="620" t="s">
        <v>657</v>
      </c>
      <c r="E590" s="620"/>
      <c r="F590" s="620"/>
      <c r="G590" s="605"/>
      <c r="H590"/>
      <c r="J590" s="580"/>
    </row>
    <row r="591" spans="1:10" ht="15" thickBot="1" x14ac:dyDescent="0.4">
      <c r="B591" t="str">
        <f>IF(LEN('Ch6'!H274)=0,"",'Ch6'!H274)</f>
        <v/>
      </c>
      <c r="C591" t="str">
        <f t="shared" si="11"/>
        <v/>
      </c>
      <c r="D591" s="402" t="s">
        <v>3981</v>
      </c>
      <c r="E591" s="404"/>
      <c r="F591" s="404"/>
      <c r="G591" s="575" t="s">
        <v>4168</v>
      </c>
      <c r="H591"/>
      <c r="J591" s="580"/>
    </row>
    <row r="592" spans="1:10" ht="15" thickTop="1" x14ac:dyDescent="0.35">
      <c r="B592" t="str">
        <f>IF(LEN('Ch6'!H275)=0,"",'Ch6'!H275)</f>
        <v/>
      </c>
      <c r="C592" t="str">
        <f t="shared" si="11"/>
        <v/>
      </c>
      <c r="D592" s="60">
        <v>605.1</v>
      </c>
      <c r="E592" s="31"/>
      <c r="F592" s="31"/>
      <c r="G592" s="881" t="s">
        <v>4169</v>
      </c>
      <c r="H592" s="400" t="b">
        <f>IF(LEN('Ch6'!W275)=0,"",'Ch6'!W275)</f>
        <v>1</v>
      </c>
      <c r="J592" s="580"/>
    </row>
    <row r="593" spans="1:10" x14ac:dyDescent="0.35">
      <c r="B593" t="str">
        <f>IF(LEN('Ch6'!H276)=0,"",'Ch6'!H276)</f>
        <v/>
      </c>
      <c r="C593" t="str">
        <f t="shared" si="11"/>
        <v/>
      </c>
      <c r="D593" s="402"/>
      <c r="E593" s="31"/>
      <c r="F593" s="31"/>
      <c r="G593" s="881"/>
      <c r="H593"/>
      <c r="J593" s="580"/>
    </row>
    <row r="594" spans="1:10" ht="15" thickBot="1" x14ac:dyDescent="0.4">
      <c r="B594" t="str">
        <f>IF(LEN('Ch6'!H277)=0,"",'Ch6'!H277)</f>
        <v/>
      </c>
      <c r="C594" t="str">
        <f t="shared" si="11"/>
        <v/>
      </c>
      <c r="D594" s="402"/>
      <c r="E594" s="31"/>
      <c r="F594" s="31"/>
      <c r="G594" s="881"/>
      <c r="H594"/>
      <c r="J594" s="580"/>
    </row>
    <row r="595" spans="1:10" ht="15" thickTop="1" x14ac:dyDescent="0.35">
      <c r="A595" s="366" t="str">
        <f>IF(I595&gt;0,"P","")</f>
        <v/>
      </c>
      <c r="B595" t="str">
        <f>IF(LEN('Ch6'!H278)=0,"",'Ch6'!H278)</f>
        <v/>
      </c>
      <c r="C595" t="str">
        <f t="shared" si="11"/>
        <v/>
      </c>
      <c r="D595" s="60">
        <v>605.20000000000005</v>
      </c>
      <c r="E595" s="60"/>
      <c r="F595" s="60"/>
      <c r="G595" s="837" t="s">
        <v>4170</v>
      </c>
      <c r="H595" s="400" t="str">
        <f>IF(LEN('Ch6'!W278)=0,"",'Ch6'!W278)</f>
        <v/>
      </c>
      <c r="I595" s="46">
        <f>'Ch6'!O278</f>
        <v>0</v>
      </c>
      <c r="J595" s="975" t="s">
        <v>3904</v>
      </c>
    </row>
    <row r="596" spans="1:10" x14ac:dyDescent="0.35">
      <c r="A596" s="366" t="str">
        <f>A595</f>
        <v/>
      </c>
      <c r="B596" t="str">
        <f>IF(LEN('Ch6'!H279)=0,"",'Ch6'!H279)</f>
        <v/>
      </c>
      <c r="C596" t="str">
        <f t="shared" si="11"/>
        <v/>
      </c>
      <c r="D596" s="31"/>
      <c r="E596" s="31"/>
      <c r="F596" s="31"/>
      <c r="G596" s="838"/>
      <c r="H596"/>
      <c r="J596" s="976"/>
    </row>
    <row r="597" spans="1:10" x14ac:dyDescent="0.35">
      <c r="A597" s="366" t="str">
        <f>A596</f>
        <v/>
      </c>
      <c r="B597" t="str">
        <f>IF(LEN('Ch6'!H280)=0,"",'Ch6'!H280)</f>
        <v/>
      </c>
      <c r="C597" t="str">
        <f t="shared" si="11"/>
        <v/>
      </c>
      <c r="D597" s="31"/>
      <c r="E597" s="31"/>
      <c r="F597" s="31"/>
      <c r="G597" s="838"/>
      <c r="H597"/>
      <c r="J597" s="580"/>
    </row>
    <row r="598" spans="1:10" x14ac:dyDescent="0.35">
      <c r="A598" s="366" t="str">
        <f>A597</f>
        <v/>
      </c>
      <c r="B598" t="str">
        <f>IF(LEN('Ch6'!H281)=0,"",'Ch6'!H281)</f>
        <v/>
      </c>
      <c r="C598" t="str">
        <f t="shared" si="11"/>
        <v/>
      </c>
      <c r="D598" s="31"/>
      <c r="E598" s="31"/>
      <c r="F598" s="31"/>
      <c r="G598" s="838"/>
      <c r="H598"/>
      <c r="J598" s="580"/>
    </row>
    <row r="599" spans="1:10" x14ac:dyDescent="0.35">
      <c r="A599" s="366" t="str">
        <f>A598</f>
        <v/>
      </c>
      <c r="B599" t="str">
        <f>IF(LEN('Ch6'!H282)=0,"",'Ch6'!H282)</f>
        <v/>
      </c>
      <c r="C599" t="str">
        <f t="shared" si="11"/>
        <v/>
      </c>
      <c r="D599" s="31"/>
      <c r="E599" s="31"/>
      <c r="F599" s="31"/>
      <c r="G599" s="838"/>
      <c r="H599"/>
      <c r="J599" s="580"/>
    </row>
    <row r="600" spans="1:10" x14ac:dyDescent="0.35">
      <c r="A600" s="366" t="str">
        <f>A599</f>
        <v/>
      </c>
      <c r="B600" t="str">
        <f>IF(LEN('Ch6'!H283)=0,"",'Ch6'!H283)</f>
        <v/>
      </c>
      <c r="C600" t="str">
        <f t="shared" si="11"/>
        <v/>
      </c>
      <c r="D600" s="31"/>
      <c r="E600" s="31"/>
      <c r="F600" s="31"/>
      <c r="G600" s="838"/>
      <c r="H600"/>
      <c r="J600" s="580"/>
    </row>
    <row r="601" spans="1:10" x14ac:dyDescent="0.35">
      <c r="B601" t="str">
        <f>IF(LEN('Ch6'!H284)=0,"",'Ch6'!H284)</f>
        <v/>
      </c>
      <c r="C601" t="str">
        <f t="shared" si="11"/>
        <v/>
      </c>
      <c r="D601" s="31"/>
      <c r="E601" s="31"/>
      <c r="F601" s="31"/>
      <c r="G601" s="814" t="s">
        <v>4174</v>
      </c>
      <c r="H601"/>
      <c r="J601" s="580"/>
    </row>
    <row r="602" spans="1:10" x14ac:dyDescent="0.35">
      <c r="B602" t="str">
        <f>IF(LEN('Ch6'!H285)=0,"",'Ch6'!H285)</f>
        <v/>
      </c>
      <c r="C602" t="str">
        <f t="shared" si="11"/>
        <v/>
      </c>
      <c r="D602" s="31"/>
      <c r="E602" s="31"/>
      <c r="F602" s="31"/>
      <c r="G602" s="814"/>
      <c r="H602"/>
      <c r="J602" s="580"/>
    </row>
    <row r="603" spans="1:10" x14ac:dyDescent="0.35">
      <c r="B603" t="str">
        <f>IF(LEN('Ch6'!H286)=0,"",'Ch6'!H286)</f>
        <v/>
      </c>
      <c r="C603" t="str">
        <f t="shared" si="11"/>
        <v/>
      </c>
      <c r="D603" s="31"/>
      <c r="E603" s="31"/>
      <c r="F603" s="31"/>
      <c r="G603" s="814"/>
      <c r="H603"/>
      <c r="J603" s="580"/>
    </row>
    <row r="604" spans="1:10" x14ac:dyDescent="0.35">
      <c r="B604" t="str">
        <f>IF(LEN('Ch6'!H287)=0,"",'Ch6'!H287)</f>
        <v/>
      </c>
      <c r="C604" t="str">
        <f t="shared" si="11"/>
        <v/>
      </c>
      <c r="D604" s="31"/>
      <c r="E604" s="31"/>
      <c r="F604" s="31"/>
      <c r="G604" s="814"/>
      <c r="H604"/>
      <c r="J604" s="580"/>
    </row>
    <row r="605" spans="1:10" x14ac:dyDescent="0.35">
      <c r="B605" t="str">
        <f>IF(LEN('Ch6'!H288)=0,"",'Ch6'!H288)</f>
        <v/>
      </c>
      <c r="C605" t="str">
        <f t="shared" si="11"/>
        <v/>
      </c>
      <c r="D605" s="31"/>
      <c r="E605" s="31"/>
      <c r="F605" s="31"/>
      <c r="G605" s="95" t="s">
        <v>658</v>
      </c>
      <c r="H605"/>
      <c r="J605" s="580"/>
    </row>
    <row r="606" spans="1:10" x14ac:dyDescent="0.35">
      <c r="B606" t="str">
        <f>IF(LEN('Ch6'!H289)=0,"",'Ch6'!H289)</f>
        <v/>
      </c>
      <c r="C606" t="str">
        <f t="shared" si="11"/>
        <v/>
      </c>
      <c r="D606" s="31"/>
      <c r="E606" s="402" t="s">
        <v>256</v>
      </c>
      <c r="F606" s="31"/>
      <c r="G606" s="814" t="s">
        <v>4175</v>
      </c>
      <c r="H606"/>
      <c r="J606" s="580"/>
    </row>
    <row r="607" spans="1:10" x14ac:dyDescent="0.35">
      <c r="B607" t="str">
        <f>IF(LEN('Ch6'!H290)=0,"",'Ch6'!H290)</f>
        <v/>
      </c>
      <c r="C607" t="str">
        <f t="shared" si="11"/>
        <v/>
      </c>
      <c r="D607" s="31"/>
      <c r="E607" s="31"/>
      <c r="F607" s="31"/>
      <c r="G607" s="814"/>
      <c r="H607"/>
      <c r="J607" s="580"/>
    </row>
    <row r="608" spans="1:10" x14ac:dyDescent="0.35">
      <c r="B608" t="str">
        <f>IF(LEN('Ch6'!H291)=0,"",'Ch6'!H291)</f>
        <v/>
      </c>
      <c r="C608" t="str">
        <f t="shared" si="11"/>
        <v/>
      </c>
      <c r="D608" s="31"/>
      <c r="E608" s="402" t="s">
        <v>258</v>
      </c>
      <c r="F608" s="31"/>
      <c r="G608" s="814" t="s">
        <v>659</v>
      </c>
      <c r="H608" s="400" t="str">
        <f>IF(LEN('Ch6'!W291)=0,"",'Ch6'!W291)</f>
        <v/>
      </c>
      <c r="J608" s="580"/>
    </row>
    <row r="609" spans="1:10" ht="15" thickBot="1" x14ac:dyDescent="0.4">
      <c r="B609" t="str">
        <f>IF(LEN('Ch6'!H292)=0,"",'Ch6'!H292)</f>
        <v/>
      </c>
      <c r="C609" t="str">
        <f t="shared" si="11"/>
        <v/>
      </c>
      <c r="D609" s="31"/>
      <c r="E609" s="31"/>
      <c r="F609" s="31"/>
      <c r="G609" s="814"/>
      <c r="H609"/>
      <c r="J609" s="580"/>
    </row>
    <row r="610" spans="1:10" ht="15" thickTop="1" x14ac:dyDescent="0.35">
      <c r="A610" s="366" t="str">
        <f>IF(I610&gt;0,"P","")</f>
        <v/>
      </c>
      <c r="B610" t="str">
        <f>IF(LEN('Ch6'!H293)=0,"",'Ch6'!H293)</f>
        <v/>
      </c>
      <c r="C610" t="str">
        <f t="shared" si="11"/>
        <v/>
      </c>
      <c r="D610" s="60">
        <v>605.29999999999995</v>
      </c>
      <c r="E610" s="60"/>
      <c r="F610" s="60"/>
      <c r="G610" s="837" t="s">
        <v>4171</v>
      </c>
      <c r="H610" s="400" t="str">
        <f>IF(LEN('Ch6'!W293)=0,"",'Ch6'!W293)</f>
        <v/>
      </c>
      <c r="I610" s="46">
        <f>'Ch6'!O293</f>
        <v>0</v>
      </c>
      <c r="J610" s="975" t="s">
        <v>3905</v>
      </c>
    </row>
    <row r="611" spans="1:10" x14ac:dyDescent="0.35">
      <c r="A611" s="366" t="str">
        <f>A610</f>
        <v/>
      </c>
      <c r="B611" t="str">
        <f>IF(LEN('Ch6'!H294)=0,"",'Ch6'!H294)</f>
        <v/>
      </c>
      <c r="C611" t="str">
        <f t="shared" si="11"/>
        <v/>
      </c>
      <c r="D611" s="31"/>
      <c r="E611" s="31"/>
      <c r="F611" s="31"/>
      <c r="G611" s="838"/>
      <c r="H611"/>
      <c r="J611" s="976"/>
    </row>
    <row r="612" spans="1:10" x14ac:dyDescent="0.35">
      <c r="B612" t="str">
        <f>IF(LEN('Ch6'!H295)=0,"",'Ch6'!H295)</f>
        <v/>
      </c>
      <c r="C612" t="str">
        <f t="shared" si="11"/>
        <v/>
      </c>
      <c r="D612" s="31"/>
      <c r="E612" s="31"/>
      <c r="F612" s="402" t="s">
        <v>121</v>
      </c>
      <c r="G612" s="814" t="s">
        <v>660</v>
      </c>
      <c r="H612"/>
      <c r="J612" s="580"/>
    </row>
    <row r="613" spans="1:10" x14ac:dyDescent="0.35">
      <c r="B613" t="str">
        <f>IF(LEN('Ch6'!H296)=0,"",'Ch6'!H296)</f>
        <v/>
      </c>
      <c r="C613" t="str">
        <f t="shared" si="11"/>
        <v/>
      </c>
      <c r="D613" s="31"/>
      <c r="E613" s="31"/>
      <c r="F613" s="31"/>
      <c r="G613" s="814"/>
      <c r="H613"/>
      <c r="J613" s="580"/>
    </row>
    <row r="614" spans="1:10" x14ac:dyDescent="0.35">
      <c r="B614" t="str">
        <f>IF(LEN('Ch6'!H297)=0,"",'Ch6'!H297)</f>
        <v/>
      </c>
      <c r="C614" t="str">
        <f t="shared" si="11"/>
        <v/>
      </c>
      <c r="D614" s="31"/>
      <c r="E614" s="31"/>
      <c r="F614" s="403"/>
      <c r="G614" s="815"/>
      <c r="H614"/>
      <c r="J614" s="580"/>
    </row>
    <row r="615" spans="1:10" x14ac:dyDescent="0.35">
      <c r="B615" t="str">
        <f>IF(LEN('Ch6'!H298)=0,"",'Ch6'!H298)</f>
        <v/>
      </c>
      <c r="C615" t="str">
        <f t="shared" si="11"/>
        <v/>
      </c>
      <c r="D615" s="31"/>
      <c r="E615" s="31"/>
      <c r="F615" s="422" t="s">
        <v>122</v>
      </c>
      <c r="G615" s="178" t="s">
        <v>661</v>
      </c>
      <c r="H615"/>
      <c r="J615" s="580"/>
    </row>
    <row r="616" spans="1:10" x14ac:dyDescent="0.35">
      <c r="B616" t="str">
        <f>IF(LEN('Ch6'!H299)=0,"",'Ch6'!H299)</f>
        <v/>
      </c>
      <c r="C616" t="str">
        <f t="shared" si="11"/>
        <v/>
      </c>
      <c r="D616" s="31"/>
      <c r="E616" s="31"/>
      <c r="F616" s="417" t="s">
        <v>123</v>
      </c>
      <c r="G616" s="814" t="s">
        <v>662</v>
      </c>
      <c r="H616"/>
      <c r="J616" s="580"/>
    </row>
    <row r="617" spans="1:10" x14ac:dyDescent="0.35">
      <c r="B617" t="str">
        <f>IF(LEN('Ch6'!H300)=0,"",'Ch6'!H300)</f>
        <v/>
      </c>
      <c r="C617" t="str">
        <f t="shared" si="11"/>
        <v/>
      </c>
      <c r="D617" s="31"/>
      <c r="E617" s="31"/>
      <c r="F617" s="31"/>
      <c r="G617" s="814"/>
      <c r="H617"/>
      <c r="J617" s="580"/>
    </row>
    <row r="618" spans="1:10" ht="15" thickBot="1" x14ac:dyDescent="0.4">
      <c r="B618" t="str">
        <f>IF(LEN('Ch6'!H301)=0,"",'Ch6'!H301)</f>
        <v/>
      </c>
      <c r="C618" t="str">
        <f t="shared" si="11"/>
        <v/>
      </c>
      <c r="D618" s="31"/>
      <c r="E618" s="31"/>
      <c r="F618" s="31"/>
      <c r="G618" s="814"/>
      <c r="H618"/>
      <c r="J618" s="580"/>
    </row>
    <row r="619" spans="1:10" ht="15" thickTop="1" x14ac:dyDescent="0.35">
      <c r="A619" s="366" t="str">
        <f>IF(I619&gt;0,"P","")</f>
        <v/>
      </c>
      <c r="B619" t="str">
        <f>IF(LEN('Ch6'!H302)=0,"",'Ch6'!H302)</f>
        <v/>
      </c>
      <c r="C619" t="str">
        <f t="shared" si="11"/>
        <v/>
      </c>
      <c r="D619" s="60">
        <v>605.4</v>
      </c>
      <c r="E619" s="60"/>
      <c r="F619" s="60"/>
      <c r="G619" s="837" t="s">
        <v>4172</v>
      </c>
      <c r="H619"/>
      <c r="I619" s="46">
        <f>'Ch6'!O302</f>
        <v>0</v>
      </c>
      <c r="J619" s="975" t="s">
        <v>3906</v>
      </c>
    </row>
    <row r="620" spans="1:10" x14ac:dyDescent="0.35">
      <c r="A620" s="366" t="str">
        <f>A619</f>
        <v/>
      </c>
      <c r="B620" t="str">
        <f>IF(LEN('Ch6'!H303)=0,"",'Ch6'!H303)</f>
        <v/>
      </c>
      <c r="C620" t="str">
        <f t="shared" si="11"/>
        <v/>
      </c>
      <c r="D620" s="31"/>
      <c r="E620" s="31"/>
      <c r="F620" s="31"/>
      <c r="G620" s="838"/>
      <c r="H620"/>
      <c r="J620" s="976"/>
    </row>
    <row r="621" spans="1:10" x14ac:dyDescent="0.35">
      <c r="B621" t="str">
        <f>IF(LEN('Ch6'!H304)=0,"",'Ch6'!H304)</f>
        <v/>
      </c>
      <c r="C621" t="str">
        <f t="shared" si="11"/>
        <v/>
      </c>
      <c r="D621" s="31"/>
      <c r="E621" s="416" t="s">
        <v>256</v>
      </c>
      <c r="F621" s="403"/>
      <c r="G621" s="228" t="s">
        <v>664</v>
      </c>
      <c r="H621"/>
      <c r="J621" s="580"/>
    </row>
    <row r="622" spans="1:10" x14ac:dyDescent="0.35">
      <c r="B622" t="str">
        <f>IF(LEN('Ch6'!H305)=0,"",'Ch6'!H305)</f>
        <v/>
      </c>
      <c r="C622" t="str">
        <f t="shared" si="11"/>
        <v/>
      </c>
      <c r="D622" s="31"/>
      <c r="E622" s="402" t="s">
        <v>258</v>
      </c>
      <c r="F622" s="31"/>
      <c r="G622" s="90" t="s">
        <v>665</v>
      </c>
      <c r="H622"/>
      <c r="J622" s="580"/>
    </row>
    <row r="623" spans="1:10" x14ac:dyDescent="0.35">
      <c r="B623" t="str">
        <f>IF(LEN('Ch6'!H306)=0,"",'Ch6'!H306)</f>
        <v/>
      </c>
      <c r="C623" t="str">
        <f t="shared" si="11"/>
        <v/>
      </c>
      <c r="D623" s="31"/>
      <c r="E623" s="31"/>
      <c r="F623" s="416" t="s">
        <v>121</v>
      </c>
      <c r="G623" s="228" t="s">
        <v>3067</v>
      </c>
      <c r="H623" s="400" t="str">
        <f>IF(LEN('Ch6'!W306)=0,"",'Ch6'!W306)</f>
        <v/>
      </c>
      <c r="J623" s="580"/>
    </row>
    <row r="624" spans="1:10" x14ac:dyDescent="0.35">
      <c r="B624" t="str">
        <f>IF(LEN('Ch6'!H307)=0,"",'Ch6'!H307)</f>
        <v/>
      </c>
      <c r="C624" t="str">
        <f t="shared" si="11"/>
        <v/>
      </c>
      <c r="D624" s="31"/>
      <c r="E624" s="31"/>
      <c r="F624" s="422" t="s">
        <v>122</v>
      </c>
      <c r="G624" s="178" t="s">
        <v>3068</v>
      </c>
      <c r="H624" s="400" t="str">
        <f>IF(LEN('Ch6'!W307)=0,"",'Ch6'!W307)</f>
        <v/>
      </c>
      <c r="J624" s="580"/>
    </row>
    <row r="625" spans="1:10" x14ac:dyDescent="0.35">
      <c r="B625" t="str">
        <f>IF(LEN('Ch6'!H308)=0,"",'Ch6'!H308)</f>
        <v/>
      </c>
      <c r="C625" t="str">
        <f t="shared" si="11"/>
        <v/>
      </c>
      <c r="D625" s="31"/>
      <c r="E625" s="31"/>
      <c r="F625" s="425" t="s">
        <v>123</v>
      </c>
      <c r="G625" s="178" t="s">
        <v>3069</v>
      </c>
      <c r="H625" s="400" t="str">
        <f>IF(LEN('Ch6'!W308)=0,"",'Ch6'!W308)</f>
        <v/>
      </c>
      <c r="J625" s="580"/>
    </row>
    <row r="626" spans="1:10" x14ac:dyDescent="0.35">
      <c r="B626" t="str">
        <f>IF(LEN('Ch6'!H309)=0,"",'Ch6'!H309)</f>
        <v/>
      </c>
      <c r="C626" t="str">
        <f t="shared" si="11"/>
        <v/>
      </c>
      <c r="D626" s="31"/>
      <c r="E626" s="31"/>
      <c r="F626" s="415" t="s">
        <v>401</v>
      </c>
      <c r="G626" s="178" t="s">
        <v>3070</v>
      </c>
      <c r="H626" s="400" t="str">
        <f>IF(LEN('Ch6'!W309)=0,"",'Ch6'!W309)</f>
        <v/>
      </c>
      <c r="J626" s="580"/>
    </row>
    <row r="627" spans="1:10" x14ac:dyDescent="0.35">
      <c r="B627" t="str">
        <f>IF(LEN('Ch6'!H310)=0,"",'Ch6'!H310)</f>
        <v/>
      </c>
      <c r="C627" t="str">
        <f t="shared" si="11"/>
        <v/>
      </c>
      <c r="D627" s="31"/>
      <c r="E627" s="31"/>
      <c r="F627" s="422" t="s">
        <v>539</v>
      </c>
      <c r="G627" s="178" t="s">
        <v>3071</v>
      </c>
      <c r="H627" s="400" t="str">
        <f>IF(LEN('Ch6'!W310)=0,"",'Ch6'!W310)</f>
        <v/>
      </c>
      <c r="J627" s="580"/>
    </row>
    <row r="628" spans="1:10" x14ac:dyDescent="0.35">
      <c r="B628" t="str">
        <f>IF(LEN('Ch6'!H311)=0,"",'Ch6'!H311)</f>
        <v/>
      </c>
      <c r="C628" t="str">
        <f t="shared" si="11"/>
        <v/>
      </c>
      <c r="D628" s="31"/>
      <c r="E628" s="31"/>
      <c r="F628" s="422" t="s">
        <v>604</v>
      </c>
      <c r="G628" s="178" t="s">
        <v>3072</v>
      </c>
      <c r="H628" s="400" t="str">
        <f>IF(LEN('Ch6'!W311)=0,"",'Ch6'!W311)</f>
        <v/>
      </c>
      <c r="J628" s="580"/>
    </row>
    <row r="629" spans="1:10" x14ac:dyDescent="0.35">
      <c r="B629" t="str">
        <f>IF(LEN('Ch6'!H312)=0,"",'Ch6'!H312)</f>
        <v/>
      </c>
      <c r="C629" t="str">
        <f t="shared" si="11"/>
        <v/>
      </c>
      <c r="D629" s="31"/>
      <c r="E629" s="31"/>
      <c r="F629" s="425" t="s">
        <v>606</v>
      </c>
      <c r="G629" s="178" t="s">
        <v>3073</v>
      </c>
      <c r="H629" s="400" t="str">
        <f>IF(LEN('Ch6'!W312)=0,"",'Ch6'!W312)</f>
        <v/>
      </c>
      <c r="J629" s="580"/>
    </row>
    <row r="630" spans="1:10" x14ac:dyDescent="0.35">
      <c r="B630" t="str">
        <f>IF(LEN('Ch6'!H313)=0,"",'Ch6'!H313)</f>
        <v/>
      </c>
      <c r="C630" t="str">
        <f t="shared" si="11"/>
        <v/>
      </c>
      <c r="D630" s="31"/>
      <c r="F630" s="415" t="s">
        <v>608</v>
      </c>
      <c r="G630" s="178" t="s">
        <v>3074</v>
      </c>
      <c r="H630" s="400" t="str">
        <f>IF(LEN('Ch6'!W313)=0,"",'Ch6'!W313)</f>
        <v/>
      </c>
      <c r="J630" s="580"/>
    </row>
    <row r="631" spans="1:10" x14ac:dyDescent="0.35">
      <c r="B631" t="str">
        <f>IF(LEN('Ch6'!H314)=0,"",'Ch6'!H314)</f>
        <v/>
      </c>
      <c r="C631" t="str">
        <f t="shared" si="11"/>
        <v/>
      </c>
      <c r="D631" s="31"/>
      <c r="F631" s="31" t="s">
        <v>843</v>
      </c>
      <c r="G631" s="90" t="s">
        <v>3074</v>
      </c>
      <c r="H631" s="400" t="str">
        <f>IF(LEN('Ch6'!W314)=0,"",'Ch6'!W314)</f>
        <v/>
      </c>
      <c r="J631" s="580"/>
    </row>
    <row r="632" spans="1:10" x14ac:dyDescent="0.35">
      <c r="B632" t="str">
        <f>IF(LEN('Ch6'!H315)=0,"",'Ch6'!H315)</f>
        <v/>
      </c>
      <c r="C632" t="str">
        <f t="shared" si="11"/>
        <v/>
      </c>
      <c r="D632" s="31"/>
      <c r="F632" s="31"/>
      <c r="G632" s="604" t="s">
        <v>3075</v>
      </c>
      <c r="H632"/>
      <c r="J632" s="580"/>
    </row>
    <row r="633" spans="1:10" ht="18.5" x14ac:dyDescent="0.35">
      <c r="A633" s="366" t="s">
        <v>3973</v>
      </c>
      <c r="B633" t="str">
        <f>IF(LEN('Ch6'!H316)=0,"",'Ch6'!H316)</f>
        <v/>
      </c>
      <c r="C633" t="str">
        <f t="shared" si="11"/>
        <v>P</v>
      </c>
      <c r="D633" s="620" t="s">
        <v>666</v>
      </c>
      <c r="E633" s="620"/>
      <c r="F633" s="620"/>
      <c r="G633" s="537"/>
      <c r="H633"/>
      <c r="J633" s="580"/>
    </row>
    <row r="634" spans="1:10" ht="15" thickBot="1" x14ac:dyDescent="0.4">
      <c r="B634" t="str">
        <f>IF(LEN('Ch6'!H317)=0,"",'Ch6'!H317)</f>
        <v/>
      </c>
      <c r="C634" t="str">
        <f t="shared" si="11"/>
        <v/>
      </c>
      <c r="D634" s="402" t="s">
        <v>3980</v>
      </c>
      <c r="E634" s="31"/>
      <c r="F634" s="31"/>
      <c r="G634" s="95" t="s">
        <v>667</v>
      </c>
      <c r="H634"/>
      <c r="J634" s="580"/>
    </row>
    <row r="635" spans="1:10" ht="15" thickTop="1" x14ac:dyDescent="0.35">
      <c r="A635" s="366" t="str">
        <f ca="1">IF(I635&gt;0,"P","")</f>
        <v/>
      </c>
      <c r="B635" t="str">
        <f>IF(LEN('Ch6'!H318)=0,"",'Ch6'!H318)</f>
        <v/>
      </c>
      <c r="C635" t="str">
        <f t="shared" ca="1" si="11"/>
        <v/>
      </c>
      <c r="D635" s="60">
        <v>606.1</v>
      </c>
      <c r="E635" s="60"/>
      <c r="F635" s="60"/>
      <c r="G635" s="274" t="s">
        <v>668</v>
      </c>
      <c r="H635"/>
      <c r="I635" s="46">
        <f ca="1">'Ch6'!O318</f>
        <v>0</v>
      </c>
      <c r="J635" s="975" t="s">
        <v>3907</v>
      </c>
    </row>
    <row r="636" spans="1:10" x14ac:dyDescent="0.35">
      <c r="A636" s="366" t="str">
        <f ca="1">A635</f>
        <v/>
      </c>
      <c r="B636" t="str">
        <f>IF(LEN('Ch6'!H319)=0,"",'Ch6'!H319)</f>
        <v/>
      </c>
      <c r="C636" t="str">
        <f t="shared" ca="1" si="11"/>
        <v/>
      </c>
      <c r="D636" s="31"/>
      <c r="E636" s="31"/>
      <c r="F636" s="402" t="s">
        <v>121</v>
      </c>
      <c r="G636" s="90" t="s">
        <v>669</v>
      </c>
      <c r="H636" s="400" t="str">
        <f>IF(LEN('Ch6'!W319)=0,"",'Ch6'!W319)</f>
        <v/>
      </c>
      <c r="J636" s="976"/>
    </row>
    <row r="637" spans="1:10" x14ac:dyDescent="0.35">
      <c r="B637" t="str">
        <f>IF(LEN('Ch6'!H320)=0,"",'Ch6'!H320)</f>
        <v/>
      </c>
      <c r="C637" t="str">
        <f t="shared" si="11"/>
        <v/>
      </c>
      <c r="D637" s="31"/>
      <c r="E637" s="31"/>
      <c r="F637" s="402" t="s">
        <v>122</v>
      </c>
      <c r="G637" s="90" t="s">
        <v>670</v>
      </c>
      <c r="H637" s="400" t="str">
        <f>IF(LEN('Ch6'!W320)=0,"",'Ch6'!W320)</f>
        <v/>
      </c>
      <c r="J637" s="580"/>
    </row>
    <row r="638" spans="1:10" x14ac:dyDescent="0.35">
      <c r="B638" t="str">
        <f>IF(LEN('Ch6'!H321)=0,"",'Ch6'!H321)</f>
        <v/>
      </c>
      <c r="C638" t="str">
        <f t="shared" si="11"/>
        <v/>
      </c>
      <c r="D638" s="31"/>
      <c r="E638" s="31"/>
      <c r="F638" s="417" t="s">
        <v>123</v>
      </c>
      <c r="G638" s="90" t="s">
        <v>671</v>
      </c>
      <c r="H638" s="400" t="str">
        <f>IF(LEN('Ch6'!W321)=0,"",'Ch6'!W321)</f>
        <v/>
      </c>
      <c r="J638" s="580"/>
    </row>
    <row r="639" spans="1:10" x14ac:dyDescent="0.35">
      <c r="B639" t="str">
        <f>IF(LEN('Ch6'!H322)=0,"",'Ch6'!H322)</f>
        <v/>
      </c>
      <c r="C639" t="str">
        <f t="shared" si="11"/>
        <v/>
      </c>
      <c r="D639" s="31"/>
      <c r="E639" s="31"/>
      <c r="F639" s="31" t="s">
        <v>401</v>
      </c>
      <c r="G639" s="90" t="s">
        <v>672</v>
      </c>
      <c r="H639" s="400" t="str">
        <f>IF(LEN('Ch6'!W322)=0,"",'Ch6'!W322)</f>
        <v/>
      </c>
      <c r="J639" s="580"/>
    </row>
    <row r="640" spans="1:10" x14ac:dyDescent="0.35">
      <c r="B640" t="str">
        <f>IF(LEN('Ch6'!H323)=0,"",'Ch6'!H323)</f>
        <v/>
      </c>
      <c r="C640" t="str">
        <f t="shared" si="11"/>
        <v/>
      </c>
      <c r="D640" s="31"/>
      <c r="E640" s="31"/>
      <c r="F640" s="402" t="s">
        <v>539</v>
      </c>
      <c r="G640" s="90" t="s">
        <v>673</v>
      </c>
      <c r="H640" s="400" t="str">
        <f>IF(LEN('Ch6'!W323)=0,"",'Ch6'!W323)</f>
        <v/>
      </c>
      <c r="J640" s="580"/>
    </row>
    <row r="641" spans="1:10" x14ac:dyDescent="0.35">
      <c r="B641" t="str">
        <f>IF(LEN('Ch6'!H324)=0,"",'Ch6'!H324)</f>
        <v/>
      </c>
      <c r="C641" t="str">
        <f t="shared" si="11"/>
        <v/>
      </c>
      <c r="D641" s="31"/>
      <c r="E641" s="31"/>
      <c r="F641" s="402" t="s">
        <v>604</v>
      </c>
      <c r="G641" s="90" t="s">
        <v>674</v>
      </c>
      <c r="H641" s="400" t="str">
        <f>IF(LEN('Ch6'!W324)=0,"",'Ch6'!W324)</f>
        <v/>
      </c>
      <c r="J641" s="580"/>
    </row>
    <row r="642" spans="1:10" x14ac:dyDescent="0.35">
      <c r="B642" t="str">
        <f>IF(LEN('Ch6'!H325)=0,"",'Ch6'!H325)</f>
        <v/>
      </c>
      <c r="C642" t="str">
        <f t="shared" si="11"/>
        <v/>
      </c>
      <c r="D642" s="31"/>
      <c r="E642" s="31"/>
      <c r="F642" s="417" t="s">
        <v>606</v>
      </c>
      <c r="G642" s="90" t="s">
        <v>675</v>
      </c>
      <c r="H642" s="400" t="str">
        <f>IF(LEN('Ch6'!W325)=0,"",'Ch6'!W325)</f>
        <v/>
      </c>
      <c r="J642" s="580"/>
    </row>
    <row r="643" spans="1:10" x14ac:dyDescent="0.35">
      <c r="B643" t="str">
        <f>IF(LEN('Ch6'!H326)=0,"",'Ch6'!H326)</f>
        <v/>
      </c>
      <c r="C643" t="str">
        <f t="shared" si="11"/>
        <v/>
      </c>
      <c r="D643" s="31"/>
      <c r="E643" s="31"/>
      <c r="F643" s="31" t="s">
        <v>608</v>
      </c>
      <c r="G643" s="814" t="s">
        <v>676</v>
      </c>
      <c r="H643" s="400" t="str">
        <f>IF(LEN('Ch6'!W326)=0,"",'Ch6'!W326)</f>
        <v/>
      </c>
      <c r="J643" s="580"/>
    </row>
    <row r="644" spans="1:10" x14ac:dyDescent="0.35">
      <c r="B644" t="str">
        <f>IF(LEN('Ch6'!H327)=0,"",'Ch6'!H327)</f>
        <v/>
      </c>
      <c r="C644" t="str">
        <f t="shared" si="11"/>
        <v/>
      </c>
      <c r="D644" s="31"/>
      <c r="E644" s="31"/>
      <c r="F644" s="31"/>
      <c r="G644" s="814"/>
      <c r="H644"/>
      <c r="J644" s="580"/>
    </row>
    <row r="645" spans="1:10" x14ac:dyDescent="0.35">
      <c r="B645" t="str">
        <f>IF(LEN('Ch6'!H328)=0,"",'Ch6'!H328)</f>
        <v/>
      </c>
      <c r="C645" t="str">
        <f t="shared" si="11"/>
        <v/>
      </c>
      <c r="D645" s="31"/>
      <c r="E645" s="31"/>
      <c r="F645" s="31"/>
      <c r="G645" s="604" t="s">
        <v>1105</v>
      </c>
      <c r="H645"/>
      <c r="J645" s="580"/>
    </row>
    <row r="646" spans="1:10" x14ac:dyDescent="0.35">
      <c r="B646" t="str">
        <f>IF(LEN('Ch6'!H329)=0,"",'Ch6'!H329)</f>
        <v/>
      </c>
      <c r="C646" t="str">
        <f t="shared" si="11"/>
        <v/>
      </c>
      <c r="D646" s="31"/>
      <c r="E646" s="402" t="s">
        <v>256</v>
      </c>
      <c r="F646" s="31"/>
      <c r="G646" s="814" t="s">
        <v>677</v>
      </c>
      <c r="H646"/>
      <c r="J646" s="580"/>
    </row>
    <row r="647" spans="1:10" x14ac:dyDescent="0.35">
      <c r="B647" t="str">
        <f>IF(LEN('Ch6'!H330)=0,"",'Ch6'!H330)</f>
        <v/>
      </c>
      <c r="C647" t="str">
        <f t="shared" si="11"/>
        <v/>
      </c>
      <c r="D647" s="31"/>
      <c r="E647" s="403"/>
      <c r="F647" s="403"/>
      <c r="G647" s="815"/>
      <c r="H647"/>
      <c r="J647" s="580"/>
    </row>
    <row r="648" spans="1:10" x14ac:dyDescent="0.35">
      <c r="B648" t="str">
        <f>IF(LEN('Ch6'!H331)=0,"",'Ch6'!H331)</f>
        <v/>
      </c>
      <c r="C648" t="str">
        <f t="shared" ref="C648:C711" si="12">IF(LEN(B648)=0,IF(A648="P","P",""),B648)</f>
        <v/>
      </c>
      <c r="D648" s="31"/>
      <c r="E648" s="424" t="s">
        <v>258</v>
      </c>
      <c r="F648" s="405"/>
      <c r="G648" s="836" t="s">
        <v>678</v>
      </c>
      <c r="H648"/>
      <c r="J648" s="580"/>
    </row>
    <row r="649" spans="1:10" x14ac:dyDescent="0.35">
      <c r="B649" t="str">
        <f>IF(LEN('Ch6'!H332)=0,"",'Ch6'!H332)</f>
        <v/>
      </c>
      <c r="C649" t="str">
        <f t="shared" si="12"/>
        <v/>
      </c>
      <c r="D649" s="31"/>
      <c r="E649" s="403"/>
      <c r="F649" s="403"/>
      <c r="G649" s="815"/>
      <c r="H649"/>
      <c r="J649" s="580"/>
    </row>
    <row r="650" spans="1:10" x14ac:dyDescent="0.35">
      <c r="B650" t="str">
        <f>IF(LEN('Ch6'!H333)=0,"",'Ch6'!H333)</f>
        <v/>
      </c>
      <c r="C650" t="str">
        <f t="shared" si="12"/>
        <v/>
      </c>
      <c r="D650" s="31"/>
      <c r="E650" s="402" t="s">
        <v>260</v>
      </c>
      <c r="F650" s="31"/>
      <c r="G650" s="814" t="s">
        <v>679</v>
      </c>
      <c r="H650"/>
      <c r="J650" s="580"/>
    </row>
    <row r="651" spans="1:10" ht="15" thickBot="1" x14ac:dyDescent="0.4">
      <c r="B651" t="str">
        <f>IF(LEN('Ch6'!H334)=0,"",'Ch6'!H334)</f>
        <v/>
      </c>
      <c r="C651" t="str">
        <f t="shared" si="12"/>
        <v/>
      </c>
      <c r="D651" s="31"/>
      <c r="E651" s="31"/>
      <c r="F651" s="31"/>
      <c r="G651" s="814"/>
      <c r="H651"/>
      <c r="J651" s="580"/>
    </row>
    <row r="652" spans="1:10" ht="15" thickTop="1" x14ac:dyDescent="0.35">
      <c r="A652" s="366" t="str">
        <f>IF(I652&gt;0,"P","")</f>
        <v>P</v>
      </c>
      <c r="B652" t="str">
        <f>IF(LEN('Ch6'!H335)=0,"",'Ch6'!H335)</f>
        <v/>
      </c>
      <c r="C652" t="str">
        <f t="shared" si="12"/>
        <v>P</v>
      </c>
      <c r="D652" s="60">
        <v>606.20000000000005</v>
      </c>
      <c r="E652" s="60"/>
      <c r="F652" s="60"/>
      <c r="G652" s="837" t="s">
        <v>4180</v>
      </c>
      <c r="H652"/>
      <c r="I652" s="433">
        <f>SUM(I667:I670)</f>
        <v>3</v>
      </c>
      <c r="J652" s="580" t="s">
        <v>3908</v>
      </c>
    </row>
    <row r="653" spans="1:10" x14ac:dyDescent="0.35">
      <c r="A653" s="366" t="str">
        <f>A652</f>
        <v>P</v>
      </c>
      <c r="B653" t="str">
        <f>IF(LEN('Ch6'!H336)=0,"",'Ch6'!H336)</f>
        <v/>
      </c>
      <c r="C653" t="str">
        <f t="shared" si="12"/>
        <v>P</v>
      </c>
      <c r="D653" s="31"/>
      <c r="E653" s="31"/>
      <c r="F653" s="31"/>
      <c r="G653" s="838"/>
      <c r="H653"/>
      <c r="J653" s="580"/>
    </row>
    <row r="654" spans="1:10" x14ac:dyDescent="0.35">
      <c r="B654" t="str">
        <f>IF(LEN('Ch6'!H337)=0,"",'Ch6'!H337)</f>
        <v/>
      </c>
      <c r="C654" t="str">
        <f t="shared" si="12"/>
        <v/>
      </c>
      <c r="D654" s="31"/>
      <c r="E654" s="31"/>
      <c r="F654" s="402" t="s">
        <v>121</v>
      </c>
      <c r="G654" s="90" t="s">
        <v>680</v>
      </c>
      <c r="H654"/>
      <c r="J654" s="580"/>
    </row>
    <row r="655" spans="1:10" x14ac:dyDescent="0.35">
      <c r="B655" t="str">
        <f>IF(LEN('Ch6'!H338)=0,"",'Ch6'!H338)</f>
        <v/>
      </c>
      <c r="C655" t="str">
        <f t="shared" si="12"/>
        <v/>
      </c>
      <c r="D655" s="31"/>
      <c r="E655" s="31"/>
      <c r="F655" s="402" t="s">
        <v>122</v>
      </c>
      <c r="G655" s="814" t="s">
        <v>681</v>
      </c>
      <c r="H655"/>
      <c r="J655" s="580"/>
    </row>
    <row r="656" spans="1:10" x14ac:dyDescent="0.35">
      <c r="B656" t="str">
        <f>IF(LEN('Ch6'!H339)=0,"",'Ch6'!H339)</f>
        <v/>
      </c>
      <c r="C656" t="str">
        <f t="shared" si="12"/>
        <v/>
      </c>
      <c r="D656" s="31"/>
      <c r="E656" s="31"/>
      <c r="F656" s="402"/>
      <c r="G656" s="814"/>
      <c r="H656"/>
      <c r="J656" s="580"/>
    </row>
    <row r="657" spans="2:10" x14ac:dyDescent="0.35">
      <c r="B657" t="str">
        <f>IF(LEN('Ch6'!H340)=0,"",'Ch6'!H340)</f>
        <v/>
      </c>
      <c r="C657" t="str">
        <f t="shared" si="12"/>
        <v/>
      </c>
      <c r="D657" s="31"/>
      <c r="E657" s="31"/>
      <c r="F657" s="402" t="s">
        <v>123</v>
      </c>
      <c r="G657" s="155" t="s">
        <v>682</v>
      </c>
      <c r="H657"/>
      <c r="J657" s="580"/>
    </row>
    <row r="658" spans="2:10" x14ac:dyDescent="0.35">
      <c r="B658" t="str">
        <f>IF(LEN('Ch6'!H341)=0,"",'Ch6'!H341)</f>
        <v/>
      </c>
      <c r="C658" t="str">
        <f t="shared" si="12"/>
        <v/>
      </c>
      <c r="D658" s="31"/>
      <c r="E658" s="31"/>
      <c r="F658" s="417" t="s">
        <v>401</v>
      </c>
      <c r="G658" s="155" t="s">
        <v>683</v>
      </c>
      <c r="H658"/>
      <c r="J658" s="580"/>
    </row>
    <row r="659" spans="2:10" x14ac:dyDescent="0.35">
      <c r="B659" t="str">
        <f>IF(LEN('Ch6'!H342)=0,"",'Ch6'!H342)</f>
        <v/>
      </c>
      <c r="C659" t="str">
        <f t="shared" si="12"/>
        <v/>
      </c>
      <c r="D659" s="31"/>
      <c r="E659" s="31"/>
      <c r="F659" s="31" t="s">
        <v>539</v>
      </c>
      <c r="G659" s="155" t="s">
        <v>684</v>
      </c>
      <c r="H659"/>
      <c r="J659" s="580"/>
    </row>
    <row r="660" spans="2:10" x14ac:dyDescent="0.35">
      <c r="B660" t="str">
        <f>IF(LEN('Ch6'!H343)=0,"",'Ch6'!H343)</f>
        <v/>
      </c>
      <c r="C660" t="str">
        <f t="shared" si="12"/>
        <v/>
      </c>
      <c r="D660" s="31"/>
      <c r="E660" s="31"/>
      <c r="F660" s="402" t="s">
        <v>604</v>
      </c>
      <c r="G660" s="90" t="s">
        <v>685</v>
      </c>
      <c r="H660"/>
      <c r="J660" s="580"/>
    </row>
    <row r="661" spans="2:10" x14ac:dyDescent="0.35">
      <c r="B661" t="str">
        <f>IF(LEN('Ch6'!H344)=0,"",'Ch6'!H344)</f>
        <v/>
      </c>
      <c r="C661" t="str">
        <f t="shared" si="12"/>
        <v/>
      </c>
      <c r="D661" s="31"/>
      <c r="E661" s="31"/>
      <c r="F661" s="402" t="s">
        <v>606</v>
      </c>
      <c r="G661" s="90" t="s">
        <v>686</v>
      </c>
      <c r="H661"/>
      <c r="J661" s="580"/>
    </row>
    <row r="662" spans="2:10" x14ac:dyDescent="0.35">
      <c r="B662" t="str">
        <f>IF(LEN('Ch6'!H345)=0,"",'Ch6'!H345)</f>
        <v/>
      </c>
      <c r="C662" t="str">
        <f t="shared" si="12"/>
        <v/>
      </c>
      <c r="D662" s="31"/>
      <c r="E662" s="31"/>
      <c r="F662" s="402" t="s">
        <v>608</v>
      </c>
      <c r="G662" s="825" t="s">
        <v>4176</v>
      </c>
      <c r="H662"/>
      <c r="J662" s="580"/>
    </row>
    <row r="663" spans="2:10" x14ac:dyDescent="0.35">
      <c r="B663" t="str">
        <f>IF(LEN('Ch6'!H346)=0,"",'Ch6'!H346)</f>
        <v/>
      </c>
      <c r="C663" t="str">
        <f t="shared" si="12"/>
        <v/>
      </c>
      <c r="D663" s="31"/>
      <c r="E663" s="31"/>
      <c r="F663" s="402"/>
      <c r="G663" s="825"/>
      <c r="H663"/>
      <c r="J663" s="580"/>
    </row>
    <row r="664" spans="2:10" x14ac:dyDescent="0.35">
      <c r="B664" t="str">
        <f>IF(LEN('Ch6'!H347)=0,"",'Ch6'!H347)</f>
        <v/>
      </c>
      <c r="C664" t="str">
        <f t="shared" si="12"/>
        <v/>
      </c>
      <c r="D664" s="31"/>
      <c r="E664" s="31"/>
      <c r="F664" s="402"/>
      <c r="G664" s="825"/>
      <c r="H664"/>
      <c r="J664" s="580"/>
    </row>
    <row r="665" spans="2:10" x14ac:dyDescent="0.35">
      <c r="B665" t="str">
        <f>IF(LEN('Ch6'!H348)=0,"",'Ch6'!H348)</f>
        <v/>
      </c>
      <c r="C665" t="str">
        <f t="shared" si="12"/>
        <v/>
      </c>
      <c r="D665" s="31"/>
      <c r="E665" s="31"/>
      <c r="F665" s="402"/>
      <c r="G665" s="825"/>
      <c r="H665"/>
      <c r="J665" s="580"/>
    </row>
    <row r="666" spans="2:10" x14ac:dyDescent="0.35">
      <c r="B666" t="str">
        <f>IF(LEN('Ch6'!H349)=0,"",'Ch6'!H349)</f>
        <v/>
      </c>
      <c r="C666" t="str">
        <f t="shared" si="12"/>
        <v/>
      </c>
      <c r="D666" s="31"/>
      <c r="E666" s="31"/>
      <c r="F666" s="402"/>
      <c r="G666" s="825"/>
      <c r="H666"/>
      <c r="J666" s="580"/>
    </row>
    <row r="667" spans="2:10" x14ac:dyDescent="0.35">
      <c r="B667" t="str">
        <f>IF(LEN('Ch6'!H350)=0,"",'Ch6'!H350)</f>
        <v/>
      </c>
      <c r="C667" t="str">
        <f t="shared" si="12"/>
        <v/>
      </c>
      <c r="D667" s="31"/>
      <c r="E667" s="402" t="s">
        <v>256</v>
      </c>
      <c r="F667" s="31"/>
      <c r="G667" s="814" t="s">
        <v>4178</v>
      </c>
      <c r="H667" s="400" t="str">
        <f>IF(LEN('Ch6'!W350)=0,"",'Ch6'!W350)</f>
        <v>SFI</v>
      </c>
      <c r="I667" s="46">
        <f>'Ch6'!O350</f>
        <v>3</v>
      </c>
      <c r="J667" s="580"/>
    </row>
    <row r="668" spans="2:10" x14ac:dyDescent="0.35">
      <c r="B668" t="str">
        <f>IF(LEN('Ch6'!H351)=0,"",'Ch6'!H351)</f>
        <v/>
      </c>
      <c r="C668" t="str">
        <f t="shared" si="12"/>
        <v/>
      </c>
      <c r="D668" s="31"/>
      <c r="E668" s="402"/>
      <c r="F668" s="31"/>
      <c r="G668" s="814"/>
      <c r="H668" s="400" t="str">
        <f>IF(LEN('Ch6'!W351)=0,"",'Ch6'!W351)</f>
        <v>SFI</v>
      </c>
      <c r="J668" s="580"/>
    </row>
    <row r="669" spans="2:10" x14ac:dyDescent="0.35">
      <c r="B669" t="str">
        <f>IF(LEN('Ch6'!H352)=0,"",'Ch6'!H352)</f>
        <v/>
      </c>
      <c r="C669" t="str">
        <f t="shared" si="12"/>
        <v/>
      </c>
      <c r="D669" s="31"/>
      <c r="E669" s="416"/>
      <c r="F669" s="403"/>
      <c r="G669" s="603" t="s">
        <v>3080</v>
      </c>
      <c r="H669"/>
      <c r="J669" s="580"/>
    </row>
    <row r="670" spans="2:10" x14ac:dyDescent="0.35">
      <c r="B670" t="str">
        <f>IF(LEN('Ch6'!H353)=0,"",'Ch6'!H353)</f>
        <v/>
      </c>
      <c r="C670" t="str">
        <f t="shared" si="12"/>
        <v/>
      </c>
      <c r="D670" s="31"/>
      <c r="E670" s="402" t="s">
        <v>258</v>
      </c>
      <c r="F670" s="31"/>
      <c r="G670" s="814" t="s">
        <v>4179</v>
      </c>
      <c r="H670" s="400" t="str">
        <f>IF(LEN('Ch6'!W353)=0,"",'Ch6'!W353)</f>
        <v/>
      </c>
      <c r="I670" s="46">
        <f>'Ch6'!O353</f>
        <v>0</v>
      </c>
      <c r="J670" s="580"/>
    </row>
    <row r="671" spans="2:10" x14ac:dyDescent="0.35">
      <c r="B671" t="str">
        <f>IF(LEN('Ch6'!H354)=0,"",'Ch6'!H354)</f>
        <v/>
      </c>
      <c r="C671" t="str">
        <f t="shared" si="12"/>
        <v/>
      </c>
      <c r="D671" s="31"/>
      <c r="E671" s="31"/>
      <c r="F671" s="31"/>
      <c r="G671" s="814"/>
      <c r="H671" s="400" t="str">
        <f>IF(LEN('Ch6'!W354)=0,"",'Ch6'!W354)</f>
        <v/>
      </c>
      <c r="J671" s="580"/>
    </row>
    <row r="672" spans="2:10" ht="15" thickBot="1" x14ac:dyDescent="0.4">
      <c r="B672" t="str">
        <f>IF(LEN('Ch6'!H355)=0,"",'Ch6'!H355)</f>
        <v/>
      </c>
      <c r="C672" t="str">
        <f t="shared" si="12"/>
        <v/>
      </c>
      <c r="D672" s="31"/>
      <c r="E672" s="31"/>
      <c r="F672" s="31"/>
      <c r="G672" s="608" t="s">
        <v>3080</v>
      </c>
      <c r="H672"/>
      <c r="J672" s="580"/>
    </row>
    <row r="673" spans="1:10" ht="15" thickTop="1" x14ac:dyDescent="0.35">
      <c r="A673" s="366" t="str">
        <f ca="1">IF(I673&gt;0,"P","")</f>
        <v/>
      </c>
      <c r="B673" t="str">
        <f>IF(LEN('Ch6'!H356)=0,"",'Ch6'!H356)</f>
        <v/>
      </c>
      <c r="C673" t="str">
        <f t="shared" ca="1" si="12"/>
        <v/>
      </c>
      <c r="D673" s="60">
        <v>606.29999999999995</v>
      </c>
      <c r="E673" s="60"/>
      <c r="F673" s="60"/>
      <c r="G673" s="837" t="s">
        <v>687</v>
      </c>
      <c r="H673" s="400" t="str">
        <f>IF(LEN('Ch6'!W356)=0,"",'Ch6'!W356)</f>
        <v/>
      </c>
      <c r="I673" s="46">
        <f ca="1">'Ch6'!O356</f>
        <v>0</v>
      </c>
      <c r="J673" s="975" t="s">
        <v>4970</v>
      </c>
    </row>
    <row r="674" spans="1:10" x14ac:dyDescent="0.35">
      <c r="A674" s="366" t="str">
        <f ca="1">A673</f>
        <v/>
      </c>
      <c r="B674" t="str">
        <f>IF(LEN('Ch6'!H357)=0,"",'Ch6'!H357)</f>
        <v/>
      </c>
      <c r="C674" t="str">
        <f t="shared" ca="1" si="12"/>
        <v/>
      </c>
      <c r="D674" s="31"/>
      <c r="E674" s="31"/>
      <c r="F674" s="31"/>
      <c r="G674" s="838"/>
      <c r="H674"/>
      <c r="J674" s="976"/>
    </row>
    <row r="675" spans="1:10" x14ac:dyDescent="0.35">
      <c r="A675" s="366" t="str">
        <f ca="1">A674</f>
        <v/>
      </c>
      <c r="B675" t="str">
        <f>IF(LEN('Ch6'!H358)=0,"",'Ch6'!H358)</f>
        <v/>
      </c>
      <c r="C675" t="str">
        <f t="shared" ca="1" si="12"/>
        <v/>
      </c>
      <c r="D675" s="31"/>
      <c r="E675" s="31"/>
      <c r="F675" s="31"/>
      <c r="G675" s="838"/>
      <c r="H675"/>
      <c r="J675" s="580"/>
    </row>
    <row r="676" spans="1:10" x14ac:dyDescent="0.35">
      <c r="A676" s="366" t="str">
        <f ca="1">A675</f>
        <v/>
      </c>
      <c r="B676" t="str">
        <f>IF(LEN('Ch6'!H359)=0,"",'Ch6'!H359)</f>
        <v/>
      </c>
      <c r="C676" t="str">
        <f t="shared" ca="1" si="12"/>
        <v/>
      </c>
      <c r="D676" s="31"/>
      <c r="E676" s="31"/>
      <c r="F676" s="31"/>
      <c r="G676" s="838"/>
      <c r="H676"/>
      <c r="J676" s="580"/>
    </row>
    <row r="677" spans="1:10" x14ac:dyDescent="0.35">
      <c r="B677" t="str">
        <f>IF(LEN('Ch6'!H360)=0,"",'Ch6'!H360)</f>
        <v/>
      </c>
      <c r="C677" t="str">
        <f t="shared" si="12"/>
        <v/>
      </c>
      <c r="D677" s="31"/>
      <c r="E677" s="31"/>
      <c r="F677" s="31"/>
      <c r="G677" s="92" t="s">
        <v>688</v>
      </c>
      <c r="H677"/>
      <c r="J677" s="580"/>
    </row>
    <row r="678" spans="1:10" x14ac:dyDescent="0.35">
      <c r="B678" t="str">
        <f>IF(LEN('Ch6'!H361)=0,"",'Ch6'!H361)</f>
        <v/>
      </c>
      <c r="C678" t="str">
        <f t="shared" si="12"/>
        <v/>
      </c>
      <c r="D678" s="31"/>
      <c r="E678" s="31"/>
      <c r="F678" s="31"/>
      <c r="G678" s="604" t="s">
        <v>3084</v>
      </c>
      <c r="H678"/>
      <c r="J678" s="580"/>
    </row>
    <row r="679" spans="1:10" ht="18.5" x14ac:dyDescent="0.35">
      <c r="A679" s="366" t="s">
        <v>3973</v>
      </c>
      <c r="B679" t="str">
        <f>IF(LEN('Ch6'!H362)=0,"",'Ch6'!H362)</f>
        <v/>
      </c>
      <c r="C679" t="str">
        <f t="shared" si="12"/>
        <v>P</v>
      </c>
      <c r="D679" s="620" t="s">
        <v>689</v>
      </c>
      <c r="E679" s="620"/>
      <c r="F679" s="620"/>
      <c r="G679" s="537"/>
      <c r="H679"/>
      <c r="J679" s="580"/>
    </row>
    <row r="680" spans="1:10" x14ac:dyDescent="0.35">
      <c r="A680" s="366" t="str">
        <f>IF(I680&gt;0,"P","")</f>
        <v>P</v>
      </c>
      <c r="B680" t="str">
        <f>IF(LEN('Ch6'!H363)=0,"",'Ch6'!H363)</f>
        <v/>
      </c>
      <c r="C680" t="str">
        <f t="shared" si="12"/>
        <v>P</v>
      </c>
      <c r="D680" s="31">
        <v>607.1</v>
      </c>
      <c r="E680" s="31"/>
      <c r="F680" s="31"/>
      <c r="G680" s="838" t="s">
        <v>690</v>
      </c>
      <c r="H680"/>
      <c r="I680" s="433">
        <f>SUM(I682:I687)</f>
        <v>2</v>
      </c>
      <c r="J680" s="580" t="s">
        <v>3891</v>
      </c>
    </row>
    <row r="681" spans="1:10" x14ac:dyDescent="0.35">
      <c r="A681" s="366" t="str">
        <f>A680</f>
        <v>P</v>
      </c>
      <c r="B681" t="str">
        <f>IF(LEN('Ch6'!H364)=0,"",'Ch6'!H364)</f>
        <v/>
      </c>
      <c r="C681" t="str">
        <f t="shared" si="12"/>
        <v>P</v>
      </c>
      <c r="D681" s="31"/>
      <c r="E681" s="31"/>
      <c r="F681" s="31"/>
      <c r="G681" s="838"/>
      <c r="H681"/>
      <c r="J681" s="580"/>
    </row>
    <row r="682" spans="1:10" x14ac:dyDescent="0.35">
      <c r="B682" t="str">
        <f>IF(LEN('Ch6'!H365)=0,"",'Ch6'!H365)</f>
        <v/>
      </c>
      <c r="C682" t="str">
        <f t="shared" si="12"/>
        <v/>
      </c>
      <c r="D682" s="31"/>
      <c r="E682" s="402" t="s">
        <v>256</v>
      </c>
      <c r="F682" s="31"/>
      <c r="G682" s="814" t="s">
        <v>4181</v>
      </c>
      <c r="H682" s="400" t="b">
        <f>IF(LEN('Ch6'!W365)=0,"",'Ch6'!W365)</f>
        <v>1</v>
      </c>
      <c r="I682" s="46">
        <f>'Ch6'!O365</f>
        <v>2</v>
      </c>
      <c r="J682" s="580"/>
    </row>
    <row r="683" spans="1:10" x14ac:dyDescent="0.35">
      <c r="B683" t="str">
        <f>IF(LEN('Ch6'!H366)=0,"",'Ch6'!H366)</f>
        <v/>
      </c>
      <c r="C683" t="str">
        <f t="shared" si="12"/>
        <v/>
      </c>
      <c r="D683" s="31"/>
      <c r="E683" s="402"/>
      <c r="F683" s="31"/>
      <c r="G683" s="814"/>
      <c r="H683"/>
      <c r="J683" s="580"/>
    </row>
    <row r="684" spans="1:10" x14ac:dyDescent="0.35">
      <c r="B684" t="str">
        <f>IF(LEN('Ch6'!H367)=0,"",'Ch6'!H367)</f>
        <v/>
      </c>
      <c r="C684" t="str">
        <f t="shared" si="12"/>
        <v/>
      </c>
      <c r="D684" s="31"/>
      <c r="E684" s="402"/>
      <c r="F684" s="31"/>
      <c r="G684" s="814"/>
      <c r="H684"/>
      <c r="J684" s="580"/>
    </row>
    <row r="685" spans="1:10" x14ac:dyDescent="0.35">
      <c r="B685" t="str">
        <f>IF(LEN('Ch6'!H368)=0,"",'Ch6'!H368)</f>
        <v/>
      </c>
      <c r="C685" t="str">
        <f t="shared" si="12"/>
        <v/>
      </c>
      <c r="D685" s="31"/>
      <c r="E685" s="402"/>
      <c r="F685" s="31"/>
      <c r="G685" s="814"/>
      <c r="H685"/>
      <c r="J685" s="580"/>
    </row>
    <row r="686" spans="1:10" x14ac:dyDescent="0.35">
      <c r="B686" t="str">
        <f>IF(LEN('Ch6'!H369)=0,"",'Ch6'!H369)</f>
        <v/>
      </c>
      <c r="C686" t="str">
        <f t="shared" si="12"/>
        <v/>
      </c>
      <c r="D686" s="31"/>
      <c r="E686" s="416"/>
      <c r="F686" s="403"/>
      <c r="G686" s="815"/>
      <c r="H686"/>
      <c r="J686" s="580"/>
    </row>
    <row r="687" spans="1:10" x14ac:dyDescent="0.35">
      <c r="B687" t="str">
        <f>IF(LEN('Ch6'!H370)=0,"",'Ch6'!H370)</f>
        <v/>
      </c>
      <c r="C687" t="str">
        <f t="shared" si="12"/>
        <v/>
      </c>
      <c r="D687" s="31"/>
      <c r="E687" s="402" t="s">
        <v>258</v>
      </c>
      <c r="F687" s="31"/>
      <c r="G687" s="820" t="s">
        <v>4182</v>
      </c>
      <c r="H687" s="400" t="str">
        <f>IF(LEN('Ch6'!W370)=0,"",'Ch6'!W370)</f>
        <v/>
      </c>
      <c r="I687" s="46">
        <f>'Ch6'!O370</f>
        <v>0</v>
      </c>
      <c r="J687" s="580"/>
    </row>
    <row r="688" spans="1:10" x14ac:dyDescent="0.35">
      <c r="B688" t="str">
        <f>IF(LEN('Ch6'!H371)=0,"",'Ch6'!H371)</f>
        <v/>
      </c>
      <c r="C688" t="str">
        <f t="shared" si="12"/>
        <v/>
      </c>
      <c r="G688" s="848"/>
      <c r="H688"/>
      <c r="J688" s="580"/>
    </row>
    <row r="689" spans="1:10" x14ac:dyDescent="0.35">
      <c r="B689" t="str">
        <f>IF(LEN('Ch6'!H372)=0,"",'Ch6'!H372)</f>
        <v/>
      </c>
      <c r="C689" t="str">
        <f t="shared" si="12"/>
        <v/>
      </c>
      <c r="G689" s="848"/>
      <c r="H689"/>
      <c r="J689" s="580"/>
    </row>
    <row r="690" spans="1:10" x14ac:dyDescent="0.35">
      <c r="B690" t="str">
        <f>IF(LEN('Ch6'!H373)=0,"",'Ch6'!H373)</f>
        <v/>
      </c>
      <c r="C690" t="str">
        <f t="shared" si="12"/>
        <v/>
      </c>
      <c r="G690" s="848"/>
      <c r="H690"/>
      <c r="J690" s="580"/>
    </row>
    <row r="691" spans="1:10" x14ac:dyDescent="0.35">
      <c r="B691" t="str">
        <f>IF(LEN('Ch6'!H374)=0,"",'Ch6'!H374)</f>
        <v/>
      </c>
      <c r="C691" t="str">
        <f t="shared" si="12"/>
        <v/>
      </c>
      <c r="G691" s="848"/>
      <c r="H691"/>
      <c r="J691" s="580"/>
    </row>
    <row r="692" spans="1:10" ht="15" thickBot="1" x14ac:dyDescent="0.4">
      <c r="B692" t="str">
        <f>IF(LEN('Ch6'!H375)=0,"",'Ch6'!H375)</f>
        <v/>
      </c>
      <c r="C692" t="str">
        <f t="shared" si="12"/>
        <v/>
      </c>
      <c r="G692" s="888"/>
      <c r="H692"/>
      <c r="J692" s="580"/>
    </row>
    <row r="693" spans="1:10" ht="15" thickTop="1" x14ac:dyDescent="0.35">
      <c r="A693" s="366" t="str">
        <f>IF(I693&gt;0,"P","")</f>
        <v>P</v>
      </c>
      <c r="B693" t="str">
        <f>IF(LEN('Ch6'!H376)=0,"",'Ch6'!H376)</f>
        <v/>
      </c>
      <c r="C693" t="str">
        <f t="shared" si="12"/>
        <v>P</v>
      </c>
      <c r="D693" s="60">
        <v>607.20000000000005</v>
      </c>
      <c r="E693" s="60"/>
      <c r="F693" s="60"/>
      <c r="G693" s="837" t="s">
        <v>691</v>
      </c>
      <c r="H693" s="400" t="b">
        <f>IF(LEN('Ch6'!W376)=0,"",'Ch6'!W376)</f>
        <v>1</v>
      </c>
      <c r="I693" s="46">
        <f>'Ch6'!O376</f>
        <v>1</v>
      </c>
      <c r="J693" s="580" t="s">
        <v>3891</v>
      </c>
    </row>
    <row r="694" spans="1:10" x14ac:dyDescent="0.35">
      <c r="A694" s="366" t="str">
        <f>A693</f>
        <v>P</v>
      </c>
      <c r="B694" t="str">
        <f>IF(LEN('Ch6'!H377)=0,"",'Ch6'!H377)</f>
        <v/>
      </c>
      <c r="C694" t="str">
        <f t="shared" si="12"/>
        <v>P</v>
      </c>
      <c r="D694" s="31"/>
      <c r="E694" s="31"/>
      <c r="F694" s="31"/>
      <c r="G694" s="838"/>
      <c r="H694"/>
      <c r="J694" s="580"/>
    </row>
    <row r="695" spans="1:10" ht="18.5" x14ac:dyDescent="0.35">
      <c r="A695" s="366" t="s">
        <v>3973</v>
      </c>
      <c r="B695" t="str">
        <f>IF(LEN('Ch6'!H378)=0,"",'Ch6'!H378)</f>
        <v/>
      </c>
      <c r="C695" t="str">
        <f t="shared" si="12"/>
        <v>P</v>
      </c>
      <c r="D695" s="620" t="s">
        <v>692</v>
      </c>
      <c r="E695" s="620"/>
      <c r="F695" s="620"/>
      <c r="G695" s="537"/>
      <c r="H695"/>
      <c r="J695" s="580"/>
    </row>
    <row r="696" spans="1:10" x14ac:dyDescent="0.35">
      <c r="A696" s="366" t="str">
        <f ca="1">IF(I696&gt;0,"P","")</f>
        <v/>
      </c>
      <c r="B696" t="str">
        <f>IF(LEN('Ch6'!H379)=0,"",'Ch6'!H379)</f>
        <v/>
      </c>
      <c r="C696" t="str">
        <f t="shared" ca="1" si="12"/>
        <v/>
      </c>
      <c r="D696" s="31">
        <v>608.1</v>
      </c>
      <c r="E696" s="31"/>
      <c r="F696" s="31"/>
      <c r="G696" s="838" t="s">
        <v>693</v>
      </c>
      <c r="H696" s="400" t="str">
        <f>IF(LEN('Ch6'!W379)=0,"",'Ch6'!W379)</f>
        <v/>
      </c>
      <c r="I696" s="46">
        <f ca="1">'Ch6'!O379</f>
        <v>0</v>
      </c>
      <c r="J696" s="975" t="s">
        <v>3909</v>
      </c>
    </row>
    <row r="697" spans="1:10" x14ac:dyDescent="0.35">
      <c r="A697" s="366" t="str">
        <f ca="1">A696</f>
        <v/>
      </c>
      <c r="B697" t="str">
        <f>IF(LEN('Ch6'!H380)=0,"",'Ch6'!H380)</f>
        <v/>
      </c>
      <c r="C697" t="str">
        <f t="shared" ca="1" si="12"/>
        <v/>
      </c>
      <c r="D697" s="31"/>
      <c r="E697" s="31"/>
      <c r="F697" s="31"/>
      <c r="G697" s="838"/>
      <c r="H697"/>
      <c r="J697" s="976"/>
    </row>
    <row r="698" spans="1:10" x14ac:dyDescent="0.35">
      <c r="A698" s="366" t="str">
        <f ca="1">A697</f>
        <v/>
      </c>
      <c r="B698" t="str">
        <f>IF(LEN('Ch6'!H381)=0,"",'Ch6'!H381)</f>
        <v/>
      </c>
      <c r="C698" t="str">
        <f t="shared" ca="1" si="12"/>
        <v/>
      </c>
      <c r="D698" s="31"/>
      <c r="E698" s="31"/>
      <c r="F698" s="31"/>
      <c r="G698" s="838"/>
      <c r="H698"/>
      <c r="J698" s="580"/>
    </row>
    <row r="699" spans="1:10" x14ac:dyDescent="0.35">
      <c r="B699" t="str">
        <f>IF(LEN('Ch6'!H382)=0,"",'Ch6'!H382)</f>
        <v/>
      </c>
      <c r="C699" t="str">
        <f t="shared" si="12"/>
        <v/>
      </c>
      <c r="D699" s="31"/>
      <c r="E699" s="402" t="s">
        <v>256</v>
      </c>
      <c r="F699" s="31"/>
      <c r="G699" s="814" t="s">
        <v>694</v>
      </c>
      <c r="H699"/>
      <c r="J699" s="580"/>
    </row>
    <row r="700" spans="1:10" x14ac:dyDescent="0.35">
      <c r="B700" t="str">
        <f>IF(LEN('Ch6'!H383)=0,"",'Ch6'!H383)</f>
        <v/>
      </c>
      <c r="C700" t="str">
        <f t="shared" si="12"/>
        <v/>
      </c>
      <c r="D700" s="31"/>
      <c r="E700" s="402"/>
      <c r="F700" s="31"/>
      <c r="G700" s="814"/>
      <c r="H700"/>
      <c r="J700" s="580"/>
    </row>
    <row r="701" spans="1:10" x14ac:dyDescent="0.35">
      <c r="B701" t="str">
        <f>IF(LEN('Ch6'!H384)=0,"",'Ch6'!H384)</f>
        <v/>
      </c>
      <c r="C701" t="str">
        <f t="shared" si="12"/>
        <v/>
      </c>
      <c r="D701" s="31"/>
      <c r="E701" s="402" t="s">
        <v>258</v>
      </c>
      <c r="F701" s="31"/>
      <c r="G701" s="90" t="s">
        <v>695</v>
      </c>
      <c r="H701"/>
      <c r="J701" s="580"/>
    </row>
    <row r="702" spans="1:10" x14ac:dyDescent="0.35">
      <c r="B702" t="str">
        <f>IF(LEN('Ch6'!H385)=0,"",'Ch6'!H385)</f>
        <v/>
      </c>
      <c r="C702" t="str">
        <f t="shared" si="12"/>
        <v/>
      </c>
      <c r="D702" s="31"/>
      <c r="E702" s="402" t="s">
        <v>260</v>
      </c>
      <c r="F702" s="31"/>
      <c r="G702" s="90" t="s">
        <v>696</v>
      </c>
      <c r="H702"/>
      <c r="J702" s="580"/>
    </row>
    <row r="703" spans="1:10" ht="15" customHeight="1" x14ac:dyDescent="0.35">
      <c r="B703" t="str">
        <f>IF(LEN('Ch6'!H386)=0,"",'Ch6'!H386)</f>
        <v/>
      </c>
      <c r="C703" t="str">
        <f t="shared" si="12"/>
        <v/>
      </c>
      <c r="D703" s="31"/>
      <c r="E703" s="402"/>
      <c r="F703" s="31"/>
      <c r="G703" s="604" t="s">
        <v>3089</v>
      </c>
      <c r="H703"/>
      <c r="J703" s="580"/>
    </row>
    <row r="704" spans="1:10" ht="18.5" x14ac:dyDescent="0.35">
      <c r="A704" s="366" t="s">
        <v>3973</v>
      </c>
      <c r="B704" t="str">
        <f>IF(LEN('Ch6'!H387)=0,"",'Ch6'!H387)</f>
        <v/>
      </c>
      <c r="C704" t="str">
        <f t="shared" si="12"/>
        <v>P</v>
      </c>
      <c r="D704" s="620" t="s">
        <v>697</v>
      </c>
      <c r="E704" s="620"/>
      <c r="F704" s="620"/>
      <c r="G704" s="537"/>
      <c r="H704"/>
      <c r="J704" s="580"/>
    </row>
    <row r="705" spans="1:10" x14ac:dyDescent="0.35">
      <c r="A705" s="366" t="str">
        <f ca="1">IF(I705&gt;0,"P","")</f>
        <v/>
      </c>
      <c r="B705" t="str">
        <f>IF(LEN('Ch6'!H388)=0,"",'Ch6'!H388)</f>
        <v/>
      </c>
      <c r="C705" t="str">
        <f t="shared" ca="1" si="12"/>
        <v/>
      </c>
      <c r="D705" s="31">
        <v>609.1</v>
      </c>
      <c r="E705" s="31"/>
      <c r="F705" s="31"/>
      <c r="G705" s="838" t="s">
        <v>698</v>
      </c>
      <c r="H705"/>
      <c r="I705" s="46">
        <f ca="1">'Ch6'!O388</f>
        <v>0</v>
      </c>
      <c r="J705" s="975" t="s">
        <v>4971</v>
      </c>
    </row>
    <row r="706" spans="1:10" x14ac:dyDescent="0.35">
      <c r="A706" s="366" t="str">
        <f ca="1">A705</f>
        <v/>
      </c>
      <c r="B706" t="str">
        <f>IF(LEN('Ch6'!H389)=0,"",'Ch6'!H389)</f>
        <v/>
      </c>
      <c r="C706" t="str">
        <f t="shared" ca="1" si="12"/>
        <v/>
      </c>
      <c r="D706" s="31"/>
      <c r="E706" s="31"/>
      <c r="F706" s="31"/>
      <c r="G706" s="838"/>
      <c r="H706"/>
      <c r="J706" s="976"/>
    </row>
    <row r="707" spans="1:10" x14ac:dyDescent="0.35">
      <c r="B707" t="str">
        <f>IF(LEN('Ch6'!H390)=0,"",'Ch6'!H390)</f>
        <v/>
      </c>
      <c r="C707" t="str">
        <f t="shared" si="12"/>
        <v/>
      </c>
      <c r="D707" s="31"/>
      <c r="E707" s="402" t="s">
        <v>256</v>
      </c>
      <c r="F707" s="31"/>
      <c r="G707" s="146" t="s">
        <v>4876</v>
      </c>
      <c r="H707" s="400" t="str">
        <f>IF(LEN('Ch6'!W390)=0,"",'Ch6'!W390)</f>
        <v/>
      </c>
      <c r="J707" s="593"/>
    </row>
    <row r="708" spans="1:10" x14ac:dyDescent="0.35">
      <c r="B708" t="str">
        <f>IF(LEN('Ch6'!H391)=0,"",'Ch6'!H391)</f>
        <v/>
      </c>
      <c r="C708" t="str">
        <f t="shared" si="12"/>
        <v/>
      </c>
      <c r="D708" s="31"/>
      <c r="E708" s="402"/>
      <c r="F708" s="31"/>
      <c r="G708" s="146"/>
      <c r="H708"/>
      <c r="J708" s="593"/>
    </row>
    <row r="709" spans="1:10" x14ac:dyDescent="0.35">
      <c r="B709" t="str">
        <f>IF(LEN('Ch6'!H392)=0,"",'Ch6'!H392)</f>
        <v/>
      </c>
      <c r="C709" t="str">
        <f t="shared" si="12"/>
        <v/>
      </c>
      <c r="D709" s="31"/>
      <c r="E709" s="402" t="s">
        <v>258</v>
      </c>
      <c r="F709" s="31"/>
      <c r="G709" s="146" t="s">
        <v>4877</v>
      </c>
      <c r="H709" s="400" t="str">
        <f>IF(LEN('Ch6'!W392)=0,"",'Ch6'!W392)</f>
        <v/>
      </c>
      <c r="J709" s="593"/>
    </row>
    <row r="710" spans="1:10" x14ac:dyDescent="0.35">
      <c r="B710" t="str">
        <f>IF(LEN('Ch6'!H393)=0,"",'Ch6'!H393)</f>
        <v/>
      </c>
      <c r="C710" t="str">
        <f t="shared" si="12"/>
        <v/>
      </c>
      <c r="D710" s="31"/>
      <c r="E710" s="402"/>
      <c r="F710" s="31"/>
      <c r="G710" s="146"/>
      <c r="H710"/>
      <c r="J710" s="593"/>
    </row>
    <row r="711" spans="1:10" x14ac:dyDescent="0.35">
      <c r="B711" t="str">
        <f>IF(LEN('Ch6'!H394)=0,"",'Ch6'!H394)</f>
        <v/>
      </c>
      <c r="C711" t="str">
        <f t="shared" si="12"/>
        <v/>
      </c>
      <c r="D711" s="31"/>
      <c r="E711" s="31"/>
      <c r="F711" s="31"/>
      <c r="G711" s="895" t="s">
        <v>4875</v>
      </c>
      <c r="H711"/>
      <c r="J711" s="580"/>
    </row>
    <row r="712" spans="1:10" x14ac:dyDescent="0.35">
      <c r="B712" t="str">
        <f>IF(LEN('Ch6'!H395)=0,"",'Ch6'!H395)</f>
        <v/>
      </c>
      <c r="C712" t="str">
        <f t="shared" ref="C712:C775" si="13">IF(LEN(B712)=0,IF(A712="P","P",""),B712)</f>
        <v/>
      </c>
      <c r="D712" s="31"/>
      <c r="E712" s="31"/>
      <c r="F712" s="31"/>
      <c r="G712" s="895"/>
      <c r="H712"/>
      <c r="J712" s="580"/>
    </row>
    <row r="713" spans="1:10" x14ac:dyDescent="0.35">
      <c r="B713" t="str">
        <f>IF(LEN('Ch6'!H396)=0,"",'Ch6'!H396)</f>
        <v/>
      </c>
      <c r="C713" t="str">
        <f t="shared" si="13"/>
        <v/>
      </c>
      <c r="D713" s="31"/>
      <c r="E713" s="31"/>
      <c r="F713" s="31"/>
      <c r="G713" s="895"/>
      <c r="H713"/>
      <c r="J713" s="580"/>
    </row>
    <row r="714" spans="1:10" x14ac:dyDescent="0.35">
      <c r="B714" t="str">
        <f>IF(LEN('Ch6'!H397)=0,"",'Ch6'!H397)</f>
        <v/>
      </c>
      <c r="C714" t="str">
        <f t="shared" si="13"/>
        <v/>
      </c>
      <c r="D714" s="31"/>
      <c r="E714" s="31"/>
      <c r="F714" s="31"/>
      <c r="G714" s="985" t="s">
        <v>3103</v>
      </c>
      <c r="H714"/>
      <c r="J714" s="580"/>
    </row>
    <row r="715" spans="1:10" x14ac:dyDescent="0.35">
      <c r="B715" t="str">
        <f>IF(LEN('Ch6'!H398)=0,"",'Ch6'!H398)</f>
        <v/>
      </c>
      <c r="C715" t="str">
        <f t="shared" si="13"/>
        <v/>
      </c>
      <c r="D715" s="31"/>
      <c r="E715" s="31"/>
      <c r="F715" s="31"/>
      <c r="G715" s="989"/>
      <c r="H715"/>
      <c r="J715" s="580"/>
    </row>
    <row r="716" spans="1:10" ht="18.5" x14ac:dyDescent="0.35">
      <c r="A716" s="366" t="s">
        <v>3973</v>
      </c>
      <c r="B716" t="str">
        <f>IF(LEN('Ch6'!H399)=0,"",'Ch6'!H399)</f>
        <v/>
      </c>
      <c r="C716" t="str">
        <f t="shared" si="13"/>
        <v>P</v>
      </c>
      <c r="D716" s="620" t="s">
        <v>700</v>
      </c>
      <c r="E716" s="620"/>
      <c r="F716" s="620"/>
      <c r="G716" s="537"/>
      <c r="H716"/>
      <c r="J716" s="580"/>
    </row>
    <row r="717" spans="1:10" x14ac:dyDescent="0.35">
      <c r="A717" s="366" t="str">
        <f ca="1">IF(I717&gt;0,"P","")</f>
        <v/>
      </c>
      <c r="B717" t="str">
        <f>IF(LEN('Ch6'!H400)=0,"",'Ch6'!H400)</f>
        <v/>
      </c>
      <c r="C717" t="str">
        <f t="shared" ca="1" si="13"/>
        <v/>
      </c>
      <c r="D717" s="31">
        <v>610.1</v>
      </c>
      <c r="E717" s="31"/>
      <c r="F717" s="31"/>
      <c r="G717" s="838" t="s">
        <v>701</v>
      </c>
      <c r="H717"/>
      <c r="I717" s="433">
        <f ca="1">SUM(I724:I745)</f>
        <v>0</v>
      </c>
      <c r="J717" s="995" t="s">
        <v>4972</v>
      </c>
    </row>
    <row r="718" spans="1:10" x14ac:dyDescent="0.35">
      <c r="A718" s="366" t="str">
        <f ca="1">A717</f>
        <v/>
      </c>
      <c r="B718" t="str">
        <f>IF(LEN('Ch6'!H401)=0,"",'Ch6'!H401)</f>
        <v/>
      </c>
      <c r="C718" t="str">
        <f t="shared" ca="1" si="13"/>
        <v/>
      </c>
      <c r="D718" s="31"/>
      <c r="E718" s="31"/>
      <c r="F718" s="31"/>
      <c r="G718" s="838"/>
      <c r="H718"/>
      <c r="J718" s="995"/>
    </row>
    <row r="719" spans="1:10" x14ac:dyDescent="0.35">
      <c r="A719" s="366" t="str">
        <f ca="1">A718</f>
        <v/>
      </c>
      <c r="B719" t="str">
        <f>IF(LEN('Ch6'!H402)=0,"",'Ch6'!H402)</f>
        <v/>
      </c>
      <c r="C719" t="str">
        <f t="shared" ca="1" si="13"/>
        <v/>
      </c>
      <c r="D719" s="31"/>
      <c r="E719" s="31"/>
      <c r="F719" s="31"/>
      <c r="G719" s="838"/>
      <c r="H719"/>
      <c r="J719" s="580"/>
    </row>
    <row r="720" spans="1:10" x14ac:dyDescent="0.35">
      <c r="A720" s="366" t="str">
        <f ca="1">A719</f>
        <v/>
      </c>
      <c r="B720" t="str">
        <f>IF(LEN('Ch6'!H403)=0,"",'Ch6'!H403)</f>
        <v/>
      </c>
      <c r="C720" t="str">
        <f t="shared" ca="1" si="13"/>
        <v/>
      </c>
      <c r="D720" s="31"/>
      <c r="E720" s="31"/>
      <c r="F720" s="31"/>
      <c r="G720" s="838"/>
      <c r="H720"/>
      <c r="J720" s="580"/>
    </row>
    <row r="721" spans="1:10" x14ac:dyDescent="0.35">
      <c r="A721" s="366" t="str">
        <f ca="1">A720</f>
        <v/>
      </c>
      <c r="B721" t="str">
        <f>IF(LEN('Ch6'!H404)=0,"",'Ch6'!H404)</f>
        <v/>
      </c>
      <c r="C721" t="str">
        <f t="shared" ca="1" si="13"/>
        <v/>
      </c>
      <c r="D721" s="31"/>
      <c r="E721" s="31"/>
      <c r="F721" s="31"/>
      <c r="G721" s="838"/>
      <c r="H721"/>
      <c r="J721" s="580"/>
    </row>
    <row r="722" spans="1:10" x14ac:dyDescent="0.35">
      <c r="A722" s="366" t="str">
        <f ca="1">A721</f>
        <v/>
      </c>
      <c r="B722" t="str">
        <f>IF(LEN('Ch6'!H405)=0,"",'Ch6'!H405)</f>
        <v/>
      </c>
      <c r="C722" t="str">
        <f t="shared" ca="1" si="13"/>
        <v/>
      </c>
      <c r="D722" s="31"/>
      <c r="E722" s="31"/>
      <c r="F722" s="31"/>
      <c r="G722" s="838"/>
      <c r="H722"/>
      <c r="J722" s="580"/>
    </row>
    <row r="723" spans="1:10" ht="15" thickBot="1" x14ac:dyDescent="0.4">
      <c r="B723" t="str">
        <f>IF(LEN('Ch6'!H406)=0,"",'Ch6'!H406)</f>
        <v/>
      </c>
      <c r="C723" t="str">
        <f t="shared" si="13"/>
        <v/>
      </c>
      <c r="D723" s="31"/>
      <c r="E723" s="31"/>
      <c r="F723" s="31"/>
      <c r="G723" s="603" t="s">
        <v>4890</v>
      </c>
      <c r="H723"/>
      <c r="J723" s="580"/>
    </row>
    <row r="724" spans="1:10" ht="15" thickTop="1" x14ac:dyDescent="0.35">
      <c r="A724" s="366" t="str">
        <f>IF(I724&gt;0,"P","")</f>
        <v/>
      </c>
      <c r="B724" t="str">
        <f>IF(LEN('Ch6'!H407)=0,"",'Ch6'!H407)</f>
        <v/>
      </c>
      <c r="C724" t="str">
        <f t="shared" si="13"/>
        <v/>
      </c>
      <c r="D724" s="60" t="s">
        <v>702</v>
      </c>
      <c r="E724" s="60"/>
      <c r="F724" s="60"/>
      <c r="G724" s="837" t="s">
        <v>703</v>
      </c>
      <c r="H724"/>
      <c r="I724" s="433">
        <f>SUM(I726:I743)</f>
        <v>0</v>
      </c>
      <c r="J724" s="995" t="s">
        <v>4973</v>
      </c>
    </row>
    <row r="725" spans="1:10" x14ac:dyDescent="0.35">
      <c r="A725" s="366" t="str">
        <f>A724</f>
        <v/>
      </c>
      <c r="B725" t="str">
        <f>IF(LEN('Ch6'!H408)=0,"",'Ch6'!H408)</f>
        <v/>
      </c>
      <c r="C725" t="str">
        <f t="shared" si="13"/>
        <v/>
      </c>
      <c r="D725" s="31"/>
      <c r="E725" s="31"/>
      <c r="F725" s="31"/>
      <c r="G725" s="838"/>
      <c r="H725"/>
      <c r="J725" s="995"/>
    </row>
    <row r="726" spans="1:10" x14ac:dyDescent="0.35">
      <c r="B726" t="str">
        <f>IF(LEN('Ch6'!H409)=0,"",'Ch6'!H409)</f>
        <v/>
      </c>
      <c r="C726" t="str">
        <f t="shared" si="13"/>
        <v/>
      </c>
      <c r="D726" s="31"/>
      <c r="E726" s="402" t="s">
        <v>256</v>
      </c>
      <c r="F726" s="31"/>
      <c r="G726" s="814" t="s">
        <v>704</v>
      </c>
      <c r="H726" s="400" t="str">
        <f>IF(LEN('Ch6'!W409)=0,"",'Ch6'!W409)</f>
        <v/>
      </c>
      <c r="I726" s="46">
        <f>'Ch6'!O409</f>
        <v>0</v>
      </c>
      <c r="J726" s="580"/>
    </row>
    <row r="727" spans="1:10" x14ac:dyDescent="0.35">
      <c r="B727" t="str">
        <f>IF(LEN('Ch6'!H410)=0,"",'Ch6'!H410)</f>
        <v/>
      </c>
      <c r="C727" t="str">
        <f t="shared" si="13"/>
        <v/>
      </c>
      <c r="D727" s="31"/>
      <c r="E727" s="31"/>
      <c r="F727" s="31"/>
      <c r="G727" s="814"/>
      <c r="H727"/>
      <c r="J727" s="580"/>
    </row>
    <row r="728" spans="1:10" x14ac:dyDescent="0.35">
      <c r="B728" t="str">
        <f>IF(LEN('Ch6'!H411)=0,"",'Ch6'!H411)</f>
        <v/>
      </c>
      <c r="C728" t="str">
        <f t="shared" si="13"/>
        <v/>
      </c>
      <c r="D728" s="31"/>
      <c r="E728" s="31"/>
      <c r="F728" s="31"/>
      <c r="G728" s="814"/>
      <c r="H728"/>
      <c r="J728" s="580"/>
    </row>
    <row r="729" spans="1:10" x14ac:dyDescent="0.35">
      <c r="B729" t="str">
        <f>IF(LEN('Ch6'!H412)=0,"",'Ch6'!H412)</f>
        <v/>
      </c>
      <c r="C729" t="str">
        <f t="shared" si="13"/>
        <v/>
      </c>
      <c r="D729" s="31"/>
      <c r="E729" s="31"/>
      <c r="F729" s="402" t="s">
        <v>121</v>
      </c>
      <c r="G729" s="90" t="s">
        <v>705</v>
      </c>
      <c r="H729"/>
      <c r="J729" s="580"/>
    </row>
    <row r="730" spans="1:10" x14ac:dyDescent="0.35">
      <c r="B730" t="str">
        <f>IF(LEN('Ch6'!H413)=0,"",'Ch6'!H413)</f>
        <v/>
      </c>
      <c r="C730" t="str">
        <f t="shared" si="13"/>
        <v/>
      </c>
      <c r="D730" s="31"/>
      <c r="E730" s="31"/>
      <c r="F730" s="402" t="s">
        <v>122</v>
      </c>
      <c r="G730" s="90" t="s">
        <v>706</v>
      </c>
      <c r="H730"/>
      <c r="J730" s="580"/>
    </row>
    <row r="731" spans="1:10" x14ac:dyDescent="0.35">
      <c r="B731" t="str">
        <f>IF(LEN('Ch6'!H414)=0,"",'Ch6'!H414)</f>
        <v/>
      </c>
      <c r="C731" t="str">
        <f t="shared" si="13"/>
        <v/>
      </c>
      <c r="D731" s="31"/>
      <c r="E731" s="31"/>
      <c r="F731" s="402" t="s">
        <v>123</v>
      </c>
      <c r="G731" s="90" t="s">
        <v>707</v>
      </c>
      <c r="H731"/>
      <c r="J731" s="580"/>
    </row>
    <row r="732" spans="1:10" x14ac:dyDescent="0.35">
      <c r="B732" t="str">
        <f>IF(LEN('Ch6'!H415)=0,"",'Ch6'!H415)</f>
        <v/>
      </c>
      <c r="C732" t="str">
        <f t="shared" si="13"/>
        <v/>
      </c>
      <c r="D732" s="31"/>
      <c r="E732" s="31"/>
      <c r="F732" s="417" t="s">
        <v>401</v>
      </c>
      <c r="G732" s="90" t="s">
        <v>708</v>
      </c>
      <c r="H732"/>
      <c r="J732" s="580"/>
    </row>
    <row r="733" spans="1:10" x14ac:dyDescent="0.35">
      <c r="B733" t="str">
        <f>IF(LEN('Ch6'!H416)=0,"",'Ch6'!H416)</f>
        <v/>
      </c>
      <c r="C733" t="str">
        <f t="shared" si="13"/>
        <v/>
      </c>
      <c r="D733" s="31"/>
      <c r="E733" s="31"/>
      <c r="F733" s="31" t="s">
        <v>539</v>
      </c>
      <c r="G733" s="90" t="s">
        <v>709</v>
      </c>
      <c r="H733"/>
      <c r="J733" s="580"/>
    </row>
    <row r="734" spans="1:10" x14ac:dyDescent="0.35">
      <c r="B734" t="str">
        <f>IF(LEN('Ch6'!H417)=0,"",'Ch6'!H417)</f>
        <v/>
      </c>
      <c r="C734" t="str">
        <f t="shared" si="13"/>
        <v/>
      </c>
      <c r="D734" s="31"/>
      <c r="E734" s="403"/>
      <c r="F734" s="416" t="s">
        <v>604</v>
      </c>
      <c r="G734" s="228" t="s">
        <v>710</v>
      </c>
      <c r="H734"/>
      <c r="J734" s="580"/>
    </row>
    <row r="735" spans="1:10" x14ac:dyDescent="0.35">
      <c r="B735" t="str">
        <f>IF(LEN('Ch6'!H418)=0,"",'Ch6'!H418)</f>
        <v/>
      </c>
      <c r="C735" t="str">
        <f t="shared" si="13"/>
        <v/>
      </c>
      <c r="D735" s="31"/>
      <c r="E735" s="424" t="s">
        <v>258</v>
      </c>
      <c r="F735" s="405"/>
      <c r="G735" s="836" t="s">
        <v>711</v>
      </c>
      <c r="H735" s="400" t="str">
        <f>IF(LEN('Ch6'!W418)=0,"",'Ch6'!W418)</f>
        <v/>
      </c>
      <c r="I735" s="46">
        <f>'Ch6'!O418</f>
        <v>0</v>
      </c>
      <c r="J735" s="580"/>
    </row>
    <row r="736" spans="1:10" x14ac:dyDescent="0.35">
      <c r="B736" t="str">
        <f>IF(LEN('Ch6'!H419)=0,"",'Ch6'!H419)</f>
        <v/>
      </c>
      <c r="C736" t="str">
        <f t="shared" si="13"/>
        <v/>
      </c>
      <c r="D736" s="31"/>
      <c r="E736" s="31"/>
      <c r="F736" s="31"/>
      <c r="G736" s="814"/>
      <c r="H736"/>
      <c r="J736" s="580"/>
    </row>
    <row r="737" spans="1:10" x14ac:dyDescent="0.35">
      <c r="B737" t="str">
        <f>IF(LEN('Ch6'!H420)=0,"",'Ch6'!H420)</f>
        <v/>
      </c>
      <c r="C737" t="str">
        <f t="shared" si="13"/>
        <v/>
      </c>
      <c r="D737" s="31"/>
      <c r="E737" s="31"/>
      <c r="F737" s="31"/>
      <c r="G737" s="814"/>
      <c r="H737"/>
      <c r="J737" s="580"/>
    </row>
    <row r="738" spans="1:10" x14ac:dyDescent="0.35">
      <c r="B738" t="str">
        <f>IF(LEN('Ch6'!H421)=0,"",'Ch6'!H421)</f>
        <v/>
      </c>
      <c r="C738" t="str">
        <f t="shared" si="13"/>
        <v/>
      </c>
      <c r="D738" s="31"/>
      <c r="E738" s="31"/>
      <c r="F738" s="31"/>
      <c r="G738" s="814"/>
      <c r="H738"/>
      <c r="J738" s="580"/>
    </row>
    <row r="739" spans="1:10" x14ac:dyDescent="0.35">
      <c r="B739" t="str">
        <f>IF(LEN('Ch6'!H422)=0,"",'Ch6'!H422)</f>
        <v/>
      </c>
      <c r="C739" t="str">
        <f t="shared" si="13"/>
        <v/>
      </c>
      <c r="D739" s="31"/>
      <c r="E739" s="31"/>
      <c r="F739" s="31"/>
      <c r="G739" s="814"/>
      <c r="H739"/>
      <c r="J739" s="580"/>
    </row>
    <row r="740" spans="1:10" x14ac:dyDescent="0.35">
      <c r="B740" t="str">
        <f>IF(LEN('Ch6'!H423)=0,"",'Ch6'!H423)</f>
        <v/>
      </c>
      <c r="C740" t="str">
        <f t="shared" si="13"/>
        <v/>
      </c>
      <c r="D740" s="31"/>
      <c r="E740" s="31"/>
      <c r="F740" s="31"/>
      <c r="G740" s="814"/>
      <c r="H740"/>
      <c r="J740" s="580"/>
    </row>
    <row r="741" spans="1:10" x14ac:dyDescent="0.35">
      <c r="B741" t="str">
        <f>IF(LEN('Ch6'!H424)=0,"",'Ch6'!H424)</f>
        <v/>
      </c>
      <c r="C741" t="str">
        <f t="shared" si="13"/>
        <v/>
      </c>
      <c r="D741" s="31"/>
      <c r="E741" s="31"/>
      <c r="F741" s="31"/>
      <c r="G741" s="814"/>
      <c r="H741"/>
      <c r="J741" s="580"/>
    </row>
    <row r="742" spans="1:10" x14ac:dyDescent="0.35">
      <c r="B742" t="str">
        <f>IF(LEN('Ch6'!H425)=0,"",'Ch6'!H425)</f>
        <v/>
      </c>
      <c r="C742" t="str">
        <f t="shared" si="13"/>
        <v/>
      </c>
      <c r="D742" s="31"/>
      <c r="E742" s="403"/>
      <c r="F742" s="403"/>
      <c r="G742" s="815"/>
      <c r="H742"/>
      <c r="J742" s="580"/>
    </row>
    <row r="743" spans="1:10" x14ac:dyDescent="0.35">
      <c r="B743" t="str">
        <f>IF(LEN('Ch6'!H426)=0,"",'Ch6'!H426)</f>
        <v/>
      </c>
      <c r="C743" t="str">
        <f t="shared" si="13"/>
        <v/>
      </c>
      <c r="D743" s="31"/>
      <c r="E743" s="402" t="s">
        <v>260</v>
      </c>
      <c r="F743" s="31"/>
      <c r="G743" s="814" t="s">
        <v>712</v>
      </c>
      <c r="H743" s="400" t="str">
        <f>IF(LEN('Ch6'!W426)=0,"",'Ch6'!W426)</f>
        <v/>
      </c>
      <c r="I743" s="46">
        <f>'Ch6'!O426</f>
        <v>0</v>
      </c>
      <c r="J743" s="580"/>
    </row>
    <row r="744" spans="1:10" ht="15" thickBot="1" x14ac:dyDescent="0.4">
      <c r="B744" t="str">
        <f>IF(LEN('Ch6'!H427)=0,"",'Ch6'!H427)</f>
        <v/>
      </c>
      <c r="C744" t="str">
        <f t="shared" si="13"/>
        <v/>
      </c>
      <c r="D744" s="31"/>
      <c r="E744" s="31"/>
      <c r="F744" s="31"/>
      <c r="G744" s="814"/>
      <c r="H744"/>
      <c r="J744" s="580"/>
    </row>
    <row r="745" spans="1:10" ht="15" thickTop="1" x14ac:dyDescent="0.35">
      <c r="A745" s="366" t="str">
        <f ca="1">IF(I745&gt;0,"P","")</f>
        <v/>
      </c>
      <c r="B745" t="str">
        <f>IF(LEN('Ch6'!H428)=0,"",'Ch6'!H428)</f>
        <v/>
      </c>
      <c r="C745" t="str">
        <f t="shared" ca="1" si="13"/>
        <v/>
      </c>
      <c r="D745" s="60" t="s">
        <v>713</v>
      </c>
      <c r="E745" s="60"/>
      <c r="F745" s="60"/>
      <c r="G745" s="837" t="s">
        <v>714</v>
      </c>
      <c r="H745"/>
      <c r="I745" s="46">
        <f ca="1">'Ch6'!O428</f>
        <v>0</v>
      </c>
      <c r="J745" s="580"/>
    </row>
    <row r="746" spans="1:10" x14ac:dyDescent="0.35">
      <c r="A746" s="366" t="str">
        <f ca="1">A745</f>
        <v/>
      </c>
      <c r="B746" t="str">
        <f>IF(LEN('Ch6'!H429)=0,"",'Ch6'!H429)</f>
        <v/>
      </c>
      <c r="C746" t="str">
        <f t="shared" ca="1" si="13"/>
        <v/>
      </c>
      <c r="D746" s="31"/>
      <c r="E746" s="31"/>
      <c r="F746" s="31"/>
      <c r="G746" s="838"/>
      <c r="H746"/>
      <c r="J746" s="580"/>
    </row>
    <row r="747" spans="1:10" x14ac:dyDescent="0.35">
      <c r="A747" s="366" t="str">
        <f ca="1">A746</f>
        <v/>
      </c>
      <c r="B747" t="str">
        <f>IF(LEN('Ch6'!H430)=0,"",'Ch6'!H430)</f>
        <v/>
      </c>
      <c r="C747" t="str">
        <f t="shared" ca="1" si="13"/>
        <v/>
      </c>
      <c r="D747" s="31"/>
      <c r="E747" s="31"/>
      <c r="F747" s="31"/>
      <c r="G747" s="838"/>
      <c r="H747"/>
      <c r="J747" s="580"/>
    </row>
    <row r="748" spans="1:10" x14ac:dyDescent="0.35">
      <c r="A748" s="366" t="str">
        <f ca="1">A747</f>
        <v/>
      </c>
      <c r="B748" t="str">
        <f>IF(LEN('Ch6'!H431)=0,"",'Ch6'!H431)</f>
        <v/>
      </c>
      <c r="C748" t="str">
        <f t="shared" ca="1" si="13"/>
        <v/>
      </c>
      <c r="D748" s="403"/>
      <c r="E748" s="403"/>
      <c r="F748" s="403"/>
      <c r="G748" s="889"/>
      <c r="H748"/>
      <c r="J748" s="580"/>
    </row>
    <row r="749" spans="1:10" x14ac:dyDescent="0.35">
      <c r="A749" s="366" t="str">
        <f>IF(OR(LEN(H751)&gt;0,LEN(H758)&gt;0),"P","")</f>
        <v/>
      </c>
      <c r="B749" t="str">
        <f>IF(LEN('Ch6'!H432)=0,"",'Ch6'!H432)</f>
        <v/>
      </c>
      <c r="C749" t="str">
        <f t="shared" si="13"/>
        <v/>
      </c>
      <c r="D749" s="405" t="s">
        <v>716</v>
      </c>
      <c r="E749" s="405"/>
      <c r="F749" s="405"/>
      <c r="G749" s="905" t="s">
        <v>717</v>
      </c>
      <c r="H749" s="760"/>
      <c r="I749"/>
      <c r="J749" s="975" t="s">
        <v>4974</v>
      </c>
    </row>
    <row r="750" spans="1:10" x14ac:dyDescent="0.35">
      <c r="A750" s="366" t="str">
        <f>A749</f>
        <v/>
      </c>
      <c r="B750" t="str">
        <f>IF(LEN('Ch6'!H433)=0,"",'Ch6'!H433)</f>
        <v/>
      </c>
      <c r="C750" t="str">
        <f t="shared" si="13"/>
        <v/>
      </c>
      <c r="D750" s="31"/>
      <c r="E750" s="31"/>
      <c r="F750" s="31"/>
      <c r="G750" s="838"/>
      <c r="H750" s="760"/>
      <c r="J750" s="976"/>
    </row>
    <row r="751" spans="1:10" x14ac:dyDescent="0.35">
      <c r="A751" s="366" t="str">
        <f>A750</f>
        <v/>
      </c>
      <c r="B751" t="str">
        <f>IF(LEN('Ch6'!H434)=0,"",'Ch6'!H434)</f>
        <v/>
      </c>
      <c r="C751" t="str">
        <f t="shared" si="13"/>
        <v/>
      </c>
      <c r="D751" s="31"/>
      <c r="E751" s="31"/>
      <c r="F751" s="31"/>
      <c r="G751" s="838"/>
      <c r="H751" s="400" t="str">
        <f>IF(LEN('Ch6'!W434)=0,"",'Ch6'!W434)</f>
        <v/>
      </c>
      <c r="J751" s="580"/>
    </row>
    <row r="752" spans="1:10" x14ac:dyDescent="0.35">
      <c r="B752" t="str">
        <f>IF(LEN('Ch6'!H435)=0,"",'Ch6'!H435)</f>
        <v/>
      </c>
      <c r="C752" t="str">
        <f t="shared" si="13"/>
        <v/>
      </c>
      <c r="D752" s="31"/>
      <c r="E752" s="31"/>
      <c r="F752" s="402" t="s">
        <v>121</v>
      </c>
      <c r="G752" s="90" t="s">
        <v>705</v>
      </c>
      <c r="H752"/>
      <c r="J752" s="580"/>
    </row>
    <row r="753" spans="1:10" x14ac:dyDescent="0.35">
      <c r="B753" t="str">
        <f>IF(LEN('Ch6'!H436)=0,"",'Ch6'!H436)</f>
        <v/>
      </c>
      <c r="C753" t="str">
        <f t="shared" si="13"/>
        <v/>
      </c>
      <c r="D753" s="31"/>
      <c r="E753" s="31"/>
      <c r="F753" s="402" t="s">
        <v>122</v>
      </c>
      <c r="G753" s="90" t="s">
        <v>706</v>
      </c>
      <c r="H753"/>
      <c r="J753" s="580"/>
    </row>
    <row r="754" spans="1:10" x14ac:dyDescent="0.35">
      <c r="B754" t="str">
        <f>IF(LEN('Ch6'!H437)=0,"",'Ch6'!H437)</f>
        <v/>
      </c>
      <c r="C754" t="str">
        <f t="shared" si="13"/>
        <v/>
      </c>
      <c r="D754" s="31"/>
      <c r="E754" s="31"/>
      <c r="F754" s="402" t="s">
        <v>123</v>
      </c>
      <c r="G754" s="90" t="s">
        <v>707</v>
      </c>
      <c r="H754"/>
      <c r="J754" s="580"/>
    </row>
    <row r="755" spans="1:10" x14ac:dyDescent="0.35">
      <c r="B755" t="str">
        <f>IF(LEN('Ch6'!H438)=0,"",'Ch6'!H438)</f>
        <v/>
      </c>
      <c r="C755" t="str">
        <f t="shared" si="13"/>
        <v/>
      </c>
      <c r="D755" s="31"/>
      <c r="E755" s="31"/>
      <c r="F755" s="417" t="s">
        <v>401</v>
      </c>
      <c r="G755" s="90" t="s">
        <v>708</v>
      </c>
      <c r="H755"/>
      <c r="J755" s="580"/>
    </row>
    <row r="756" spans="1:10" x14ac:dyDescent="0.35">
      <c r="B756" t="str">
        <f>IF(LEN('Ch6'!H439)=0,"",'Ch6'!H439)</f>
        <v/>
      </c>
      <c r="C756" t="str">
        <f t="shared" si="13"/>
        <v/>
      </c>
      <c r="D756" s="31"/>
      <c r="E756" s="31"/>
      <c r="F756" s="31" t="s">
        <v>539</v>
      </c>
      <c r="G756" s="90" t="s">
        <v>709</v>
      </c>
      <c r="H756" s="760"/>
      <c r="J756" s="580"/>
    </row>
    <row r="757" spans="1:10" x14ac:dyDescent="0.35">
      <c r="B757" t="str">
        <f>IF(LEN('Ch6'!H440)=0,"",'Ch6'!H440)</f>
        <v/>
      </c>
      <c r="C757" t="str">
        <f t="shared" si="13"/>
        <v/>
      </c>
      <c r="D757" s="31"/>
      <c r="E757" s="31"/>
      <c r="F757" s="402" t="s">
        <v>604</v>
      </c>
      <c r="G757" s="90" t="s">
        <v>710</v>
      </c>
      <c r="H757" s="760"/>
      <c r="J757" s="580"/>
    </row>
    <row r="758" spans="1:10" x14ac:dyDescent="0.35">
      <c r="B758" t="str">
        <f>IF(LEN('Ch6'!H441)=0,"",'Ch6'!H441)</f>
        <v/>
      </c>
      <c r="C758" t="str">
        <f t="shared" si="13"/>
        <v/>
      </c>
      <c r="D758" s="31"/>
      <c r="E758" s="31"/>
      <c r="G758" s="895" t="s">
        <v>718</v>
      </c>
      <c r="H758" s="400" t="str">
        <f>IF(LEN('Ch6'!W441)=0,"",'Ch6'!W441)</f>
        <v/>
      </c>
      <c r="J758" s="580"/>
    </row>
    <row r="759" spans="1:10" x14ac:dyDescent="0.35">
      <c r="B759" t="str">
        <f>IF(LEN('Ch6'!H442)=0,"",'Ch6'!H442)</f>
        <v/>
      </c>
      <c r="C759" t="str">
        <f t="shared" si="13"/>
        <v/>
      </c>
      <c r="D759" s="31"/>
      <c r="E759" s="31"/>
      <c r="F759" s="487"/>
      <c r="G759" s="895"/>
      <c r="H759"/>
      <c r="J759" s="580"/>
    </row>
    <row r="760" spans="1:10" x14ac:dyDescent="0.35">
      <c r="B760" t="str">
        <f>IF(LEN('Ch6'!H443)=0,"",'Ch6'!H443)</f>
        <v/>
      </c>
      <c r="C760" t="str">
        <f t="shared" si="13"/>
        <v/>
      </c>
      <c r="D760" s="31"/>
      <c r="E760" s="31"/>
      <c r="F760" s="487"/>
      <c r="G760" s="895"/>
      <c r="H760"/>
      <c r="J760" s="580"/>
    </row>
    <row r="761" spans="1:10" x14ac:dyDescent="0.35">
      <c r="B761" t="str">
        <f>IF(LEN('Ch6'!H444)=0,"",'Ch6'!H444)</f>
        <v/>
      </c>
      <c r="C761" t="str">
        <f t="shared" si="13"/>
        <v/>
      </c>
      <c r="D761" s="31"/>
      <c r="E761" s="31"/>
      <c r="F761" s="487"/>
      <c r="G761" s="984" t="s">
        <v>3105</v>
      </c>
      <c r="H761"/>
      <c r="J761" s="580"/>
    </row>
    <row r="762" spans="1:10" x14ac:dyDescent="0.35">
      <c r="B762" t="str">
        <f>IF(LEN('Ch6'!H445)=0,"",'Ch6'!H445)</f>
        <v/>
      </c>
      <c r="C762" t="str">
        <f t="shared" si="13"/>
        <v/>
      </c>
      <c r="D762" s="403"/>
      <c r="E762" s="403"/>
      <c r="F762" s="614"/>
      <c r="G762" s="987"/>
      <c r="H762"/>
      <c r="J762" s="580"/>
    </row>
    <row r="763" spans="1:10" x14ac:dyDescent="0.35">
      <c r="A763" s="366" t="str">
        <f>IF(OR(LEN(H764)&gt;0,LEN(H770)&gt;0,LEN(H776)&gt;0,LEN(H782)&gt;0),"P","")</f>
        <v/>
      </c>
      <c r="B763" t="str">
        <f>IF(LEN('Ch6'!H446)=0,"",'Ch6'!H446)</f>
        <v/>
      </c>
      <c r="C763" t="str">
        <f t="shared" si="13"/>
        <v/>
      </c>
      <c r="D763" s="31" t="s">
        <v>719</v>
      </c>
      <c r="E763" s="31"/>
      <c r="F763" s="31"/>
      <c r="G763" s="838" t="s">
        <v>720</v>
      </c>
      <c r="H763"/>
      <c r="J763" s="975" t="s">
        <v>4975</v>
      </c>
    </row>
    <row r="764" spans="1:10" x14ac:dyDescent="0.35">
      <c r="A764" s="366" t="str">
        <f t="shared" ref="A764:A771" si="14">A763</f>
        <v/>
      </c>
      <c r="B764" t="str">
        <f>IF(LEN('Ch6'!H447)=0,"",'Ch6'!H447)</f>
        <v/>
      </c>
      <c r="C764" t="str">
        <f t="shared" si="13"/>
        <v/>
      </c>
      <c r="D764" s="31"/>
      <c r="E764" s="31"/>
      <c r="F764" s="31"/>
      <c r="G764" s="838"/>
      <c r="H764" s="400" t="str">
        <f>IF(LEN('Ch6'!W447)=0,"",'Ch6'!W447)</f>
        <v/>
      </c>
      <c r="J764" s="976"/>
    </row>
    <row r="765" spans="1:10" x14ac:dyDescent="0.35">
      <c r="A765" s="366" t="str">
        <f t="shared" si="14"/>
        <v/>
      </c>
      <c r="B765" t="str">
        <f>IF(LEN('Ch6'!H448)=0,"",'Ch6'!H448)</f>
        <v/>
      </c>
      <c r="C765" t="str">
        <f t="shared" si="13"/>
        <v/>
      </c>
      <c r="D765" s="31"/>
      <c r="E765" s="31"/>
      <c r="F765" s="31"/>
      <c r="G765" s="838"/>
      <c r="H765"/>
      <c r="J765" s="580"/>
    </row>
    <row r="766" spans="1:10" x14ac:dyDescent="0.35">
      <c r="A766" s="366" t="str">
        <f t="shared" si="14"/>
        <v/>
      </c>
      <c r="B766" t="str">
        <f>IF(LEN('Ch6'!H449)=0,"",'Ch6'!H449)</f>
        <v/>
      </c>
      <c r="C766" t="str">
        <f t="shared" si="13"/>
        <v/>
      </c>
      <c r="D766" s="31"/>
      <c r="E766" s="31"/>
      <c r="F766" s="31"/>
      <c r="G766" s="838"/>
      <c r="H766"/>
      <c r="J766" s="580"/>
    </row>
    <row r="767" spans="1:10" x14ac:dyDescent="0.35">
      <c r="A767" s="366" t="str">
        <f t="shared" si="14"/>
        <v/>
      </c>
      <c r="B767" t="str">
        <f>IF(LEN('Ch6'!H450)=0,"",'Ch6'!H450)</f>
        <v/>
      </c>
      <c r="C767" t="str">
        <f t="shared" si="13"/>
        <v/>
      </c>
      <c r="D767" s="31"/>
      <c r="E767" s="31"/>
      <c r="F767" s="31"/>
      <c r="G767" s="838"/>
      <c r="H767"/>
      <c r="J767" s="580"/>
    </row>
    <row r="768" spans="1:10" x14ac:dyDescent="0.35">
      <c r="A768" s="366" t="str">
        <f t="shared" si="14"/>
        <v/>
      </c>
      <c r="B768" t="str">
        <f>IF(LEN('Ch6'!H451)=0,"",'Ch6'!H451)</f>
        <v/>
      </c>
      <c r="C768" t="str">
        <f t="shared" si="13"/>
        <v/>
      </c>
      <c r="D768" s="31"/>
      <c r="E768" s="31"/>
      <c r="F768" s="31"/>
      <c r="G768" s="838"/>
      <c r="H768"/>
      <c r="J768" s="580"/>
    </row>
    <row r="769" spans="1:10" x14ac:dyDescent="0.35">
      <c r="A769" s="366" t="str">
        <f t="shared" si="14"/>
        <v/>
      </c>
      <c r="B769" t="str">
        <f>IF(LEN('Ch6'!H452)=0,"",'Ch6'!H452)</f>
        <v/>
      </c>
      <c r="C769" t="str">
        <f t="shared" si="13"/>
        <v/>
      </c>
      <c r="D769" s="31"/>
      <c r="E769" s="31"/>
      <c r="F769" s="31"/>
      <c r="G769" s="838"/>
      <c r="H769"/>
      <c r="J769" s="580"/>
    </row>
    <row r="770" spans="1:10" x14ac:dyDescent="0.35">
      <c r="A770" s="366" t="str">
        <f t="shared" si="14"/>
        <v/>
      </c>
      <c r="B770" t="str">
        <f>IF(LEN('Ch6'!H453)=0,"",'Ch6'!H453)</f>
        <v/>
      </c>
      <c r="C770" t="str">
        <f t="shared" si="13"/>
        <v/>
      </c>
      <c r="D770" s="31"/>
      <c r="E770" s="31"/>
      <c r="F770" s="31"/>
      <c r="G770" s="838"/>
      <c r="H770"/>
      <c r="J770" s="580"/>
    </row>
    <row r="771" spans="1:10" x14ac:dyDescent="0.35">
      <c r="A771" s="366" t="str">
        <f t="shared" si="14"/>
        <v/>
      </c>
      <c r="B771" t="str">
        <f>IF(LEN('Ch6'!H454)=0,"",'Ch6'!H454)</f>
        <v/>
      </c>
      <c r="C771" t="str">
        <f t="shared" si="13"/>
        <v/>
      </c>
      <c r="D771" s="31"/>
      <c r="E771" s="31"/>
      <c r="F771" s="31"/>
      <c r="G771" s="838"/>
      <c r="H771" s="400" t="str">
        <f>IF(LEN('Ch6'!W454)=0,"",'Ch6'!W454)</f>
        <v/>
      </c>
      <c r="J771" s="580"/>
    </row>
    <row r="772" spans="1:10" x14ac:dyDescent="0.35">
      <c r="B772" t="str">
        <f>IF(LEN('Ch6'!H455)=0,"",'Ch6'!H455)</f>
        <v/>
      </c>
      <c r="C772" t="str">
        <f t="shared" si="13"/>
        <v/>
      </c>
      <c r="D772" s="31"/>
      <c r="E772" s="31"/>
      <c r="F772" s="402" t="s">
        <v>121</v>
      </c>
      <c r="G772" s="90" t="s">
        <v>721</v>
      </c>
      <c r="H772"/>
      <c r="J772" s="580"/>
    </row>
    <row r="773" spans="1:10" x14ac:dyDescent="0.35">
      <c r="B773" t="str">
        <f>IF(LEN('Ch6'!H456)=0,"",'Ch6'!H456)</f>
        <v/>
      </c>
      <c r="C773" t="str">
        <f t="shared" si="13"/>
        <v/>
      </c>
      <c r="D773" s="31"/>
      <c r="E773" s="31"/>
      <c r="F773" s="402" t="s">
        <v>122</v>
      </c>
      <c r="G773" s="90" t="s">
        <v>722</v>
      </c>
      <c r="H773"/>
      <c r="J773" s="580"/>
    </row>
    <row r="774" spans="1:10" x14ac:dyDescent="0.35">
      <c r="B774" t="str">
        <f>IF(LEN('Ch6'!H457)=0,"",'Ch6'!H457)</f>
        <v/>
      </c>
      <c r="C774" t="str">
        <f t="shared" si="13"/>
        <v/>
      </c>
      <c r="D774" s="31"/>
      <c r="E774" s="31"/>
      <c r="F774" s="402" t="s">
        <v>123</v>
      </c>
      <c r="G774" s="90" t="s">
        <v>723</v>
      </c>
      <c r="H774"/>
      <c r="J774" s="580"/>
    </row>
    <row r="775" spans="1:10" x14ac:dyDescent="0.35">
      <c r="B775" t="str">
        <f>IF(LEN('Ch6'!H458)=0,"",'Ch6'!H458)</f>
        <v/>
      </c>
      <c r="C775" t="str">
        <f t="shared" si="13"/>
        <v/>
      </c>
      <c r="D775" s="31"/>
      <c r="E775" s="31"/>
      <c r="F775" s="417" t="s">
        <v>401</v>
      </c>
      <c r="G775" s="90" t="s">
        <v>724</v>
      </c>
      <c r="H775"/>
      <c r="J775" s="580"/>
    </row>
    <row r="776" spans="1:10" x14ac:dyDescent="0.35">
      <c r="B776" t="str">
        <f>IF(LEN('Ch6'!H459)=0,"",'Ch6'!H459)</f>
        <v/>
      </c>
      <c r="C776" t="str">
        <f t="shared" ref="C776:C839" si="15">IF(LEN(B776)=0,IF(A776="P","P",""),B776)</f>
        <v/>
      </c>
      <c r="D776" s="31"/>
      <c r="E776" s="31"/>
      <c r="F776" s="31"/>
      <c r="G776" s="848" t="s">
        <v>725</v>
      </c>
      <c r="H776"/>
      <c r="J776" s="580"/>
    </row>
    <row r="777" spans="1:10" x14ac:dyDescent="0.35">
      <c r="B777" t="str">
        <f>IF(LEN('Ch6'!H460)=0,"",'Ch6'!H460)</f>
        <v/>
      </c>
      <c r="C777" t="str">
        <f t="shared" si="15"/>
        <v/>
      </c>
      <c r="D777" s="31"/>
      <c r="E777" s="31"/>
      <c r="F777" s="31"/>
      <c r="G777" s="848"/>
      <c r="H777" s="400" t="str">
        <f>IF(LEN('Ch6'!W460)=0,"",'Ch6'!W460)</f>
        <v/>
      </c>
      <c r="J777" s="580"/>
    </row>
    <row r="778" spans="1:10" x14ac:dyDescent="0.35">
      <c r="B778" t="str">
        <f>IF(LEN('Ch6'!H461)=0,"",'Ch6'!H461)</f>
        <v/>
      </c>
      <c r="C778" t="str">
        <f t="shared" si="15"/>
        <v/>
      </c>
      <c r="D778" s="31"/>
      <c r="E778" s="31"/>
      <c r="F778" s="402" t="s">
        <v>121</v>
      </c>
      <c r="G778" s="90" t="s">
        <v>705</v>
      </c>
      <c r="H778"/>
      <c r="J778" s="580"/>
    </row>
    <row r="779" spans="1:10" x14ac:dyDescent="0.35">
      <c r="B779" t="str">
        <f>IF(LEN('Ch6'!H462)=0,"",'Ch6'!H462)</f>
        <v/>
      </c>
      <c r="C779" t="str">
        <f t="shared" si="15"/>
        <v/>
      </c>
      <c r="D779" s="31"/>
      <c r="E779" s="31"/>
      <c r="F779" s="402" t="s">
        <v>122</v>
      </c>
      <c r="G779" s="90" t="s">
        <v>706</v>
      </c>
      <c r="H779"/>
      <c r="J779" s="580"/>
    </row>
    <row r="780" spans="1:10" x14ac:dyDescent="0.35">
      <c r="B780" t="str">
        <f>IF(LEN('Ch6'!H463)=0,"",'Ch6'!H463)</f>
        <v/>
      </c>
      <c r="C780" t="str">
        <f t="shared" si="15"/>
        <v/>
      </c>
      <c r="D780" s="31"/>
      <c r="E780" s="31"/>
      <c r="F780" s="402" t="s">
        <v>123</v>
      </c>
      <c r="G780" s="90" t="s">
        <v>707</v>
      </c>
      <c r="H780"/>
      <c r="J780" s="580"/>
    </row>
    <row r="781" spans="1:10" x14ac:dyDescent="0.35">
      <c r="B781" t="str">
        <f>IF(LEN('Ch6'!H464)=0,"",'Ch6'!H464)</f>
        <v/>
      </c>
      <c r="C781" t="str">
        <f t="shared" si="15"/>
        <v/>
      </c>
      <c r="D781" s="31"/>
      <c r="E781" s="31"/>
      <c r="F781" s="417" t="s">
        <v>401</v>
      </c>
      <c r="G781" s="90" t="s">
        <v>708</v>
      </c>
      <c r="H781"/>
      <c r="J781" s="580"/>
    </row>
    <row r="782" spans="1:10" x14ac:dyDescent="0.35">
      <c r="B782" t="str">
        <f>IF(LEN('Ch6'!H465)=0,"",'Ch6'!H465)</f>
        <v/>
      </c>
      <c r="C782" t="str">
        <f t="shared" si="15"/>
        <v/>
      </c>
      <c r="D782" s="31"/>
      <c r="E782" s="31"/>
      <c r="F782" s="31" t="s">
        <v>539</v>
      </c>
      <c r="G782" s="90" t="s">
        <v>709</v>
      </c>
      <c r="H782"/>
      <c r="J782" s="580"/>
    </row>
    <row r="783" spans="1:10" x14ac:dyDescent="0.35">
      <c r="B783" t="str">
        <f>IF(LEN('Ch6'!H466)=0,"",'Ch6'!H466)</f>
        <v/>
      </c>
      <c r="C783" t="str">
        <f t="shared" si="15"/>
        <v/>
      </c>
      <c r="D783" s="31"/>
      <c r="E783" s="31"/>
      <c r="F783" s="402" t="s">
        <v>604</v>
      </c>
      <c r="G783" s="90" t="s">
        <v>710</v>
      </c>
      <c r="H783" s="400" t="str">
        <f>IF(LEN('Ch6'!W466)=0,"",'Ch6'!W466)</f>
        <v/>
      </c>
      <c r="J783" s="580"/>
    </row>
    <row r="784" spans="1:10" x14ac:dyDescent="0.35">
      <c r="B784" t="str">
        <f>IF(LEN('Ch6'!H467)=0,"",'Ch6'!H467)</f>
        <v/>
      </c>
      <c r="C784" t="str">
        <f t="shared" si="15"/>
        <v/>
      </c>
      <c r="D784" s="31"/>
      <c r="E784" s="31"/>
      <c r="F784" s="31"/>
      <c r="G784" s="895" t="s">
        <v>726</v>
      </c>
      <c r="H784"/>
      <c r="J784" s="580"/>
    </row>
    <row r="785" spans="1:10" x14ac:dyDescent="0.35">
      <c r="B785" t="str">
        <f>IF(LEN('Ch6'!H468)=0,"",'Ch6'!H468)</f>
        <v/>
      </c>
      <c r="C785" t="str">
        <f t="shared" si="15"/>
        <v/>
      </c>
      <c r="D785" s="31"/>
      <c r="E785" s="31"/>
      <c r="F785" s="31"/>
      <c r="G785" s="895"/>
      <c r="H785"/>
      <c r="J785" s="580"/>
    </row>
    <row r="786" spans="1:10" x14ac:dyDescent="0.35">
      <c r="B786" t="str">
        <f>IF(LEN('Ch6'!H469)=0,"",'Ch6'!H469)</f>
        <v/>
      </c>
      <c r="C786" t="str">
        <f t="shared" si="15"/>
        <v/>
      </c>
      <c r="D786" s="31"/>
      <c r="E786" s="31"/>
      <c r="F786" s="31"/>
      <c r="G786" s="985" t="s">
        <v>3113</v>
      </c>
      <c r="H786"/>
      <c r="J786" s="580"/>
    </row>
    <row r="787" spans="1:10" x14ac:dyDescent="0.35">
      <c r="B787" t="str">
        <f>IF(LEN('Ch6'!H470)=0,"",'Ch6'!H470)</f>
        <v/>
      </c>
      <c r="C787" t="str">
        <f t="shared" si="15"/>
        <v/>
      </c>
      <c r="D787" s="31"/>
      <c r="E787" s="31"/>
      <c r="F787" s="31"/>
      <c r="G787" s="986"/>
      <c r="H787"/>
      <c r="J787" s="580"/>
    </row>
    <row r="788" spans="1:10" ht="18.5" x14ac:dyDescent="0.35">
      <c r="A788" s="366" t="s">
        <v>3973</v>
      </c>
      <c r="B788" t="str">
        <f>IF(LEN('Ch6'!H471)=0,"",'Ch6'!H471)</f>
        <v/>
      </c>
      <c r="C788" t="str">
        <f t="shared" si="15"/>
        <v>P</v>
      </c>
      <c r="D788" s="624" t="s">
        <v>4867</v>
      </c>
      <c r="E788" s="624"/>
      <c r="F788" s="624"/>
      <c r="G788" s="537"/>
      <c r="H788"/>
      <c r="J788" s="580"/>
    </row>
    <row r="789" spans="1:10" x14ac:dyDescent="0.35">
      <c r="A789" s="366" t="str">
        <f>IF(I789&gt;0,"P","")</f>
        <v/>
      </c>
      <c r="B789" t="str">
        <f>IF(LEN('Ch6'!H472)=0,"",'Ch6'!H472)</f>
        <v/>
      </c>
      <c r="C789" t="str">
        <f t="shared" si="15"/>
        <v/>
      </c>
      <c r="D789" s="31">
        <v>611.1</v>
      </c>
      <c r="E789" s="31"/>
      <c r="F789" s="31"/>
      <c r="G789" s="838" t="s">
        <v>4187</v>
      </c>
      <c r="H789"/>
      <c r="I789" s="46">
        <f>'Ch6'!O472</f>
        <v>0</v>
      </c>
      <c r="J789" s="580"/>
    </row>
    <row r="790" spans="1:10" x14ac:dyDescent="0.35">
      <c r="A790" s="366" t="str">
        <f>A789</f>
        <v/>
      </c>
      <c r="B790" t="str">
        <f>IF(LEN('Ch6'!H473)=0,"",'Ch6'!H473)</f>
        <v/>
      </c>
      <c r="C790" t="str">
        <f t="shared" si="15"/>
        <v/>
      </c>
      <c r="D790" s="31"/>
      <c r="E790" s="31"/>
      <c r="F790" s="31"/>
      <c r="G790" s="838"/>
      <c r="H790"/>
      <c r="J790" s="580"/>
    </row>
    <row r="791" spans="1:10" x14ac:dyDescent="0.35">
      <c r="A791" s="366" t="str">
        <f>A790</f>
        <v/>
      </c>
      <c r="B791" t="str">
        <f>IF(LEN('Ch6'!H474)=0,"",'Ch6'!H474)</f>
        <v/>
      </c>
      <c r="C791" t="str">
        <f t="shared" si="15"/>
        <v/>
      </c>
      <c r="D791" s="31"/>
      <c r="E791" s="31"/>
      <c r="F791" s="31"/>
      <c r="G791" s="838"/>
      <c r="H791"/>
      <c r="J791" s="580"/>
    </row>
    <row r="792" spans="1:10" x14ac:dyDescent="0.35">
      <c r="A792" s="366" t="str">
        <f>A791</f>
        <v/>
      </c>
      <c r="B792" t="str">
        <f>IF(LEN('Ch6'!H475)=0,"",'Ch6'!H475)</f>
        <v/>
      </c>
      <c r="C792" t="str">
        <f t="shared" si="15"/>
        <v/>
      </c>
      <c r="D792" s="31"/>
      <c r="E792" s="31"/>
      <c r="F792" s="31"/>
      <c r="G792" s="838"/>
      <c r="H792"/>
      <c r="J792" s="580"/>
    </row>
    <row r="793" spans="1:10" x14ac:dyDescent="0.35">
      <c r="A793" s="366" t="str">
        <f>A792</f>
        <v/>
      </c>
      <c r="B793" t="str">
        <f>IF(LEN('Ch6'!H476)=0,"",'Ch6'!H476)</f>
        <v/>
      </c>
      <c r="C793" t="str">
        <f t="shared" si="15"/>
        <v/>
      </c>
      <c r="D793" s="403"/>
      <c r="E793" s="403"/>
      <c r="F793" s="403"/>
      <c r="G793" s="889"/>
      <c r="H793"/>
      <c r="J793" s="580"/>
    </row>
    <row r="794" spans="1:10" x14ac:dyDescent="0.35">
      <c r="A794" s="727" t="str">
        <f>IF(COUNTIF(A795,"P")&gt;0,"P","")</f>
        <v/>
      </c>
      <c r="B794" t="str">
        <f>IF(LEN('Ch6'!H477)=0,"",'Ch6'!H477)</f>
        <v/>
      </c>
      <c r="C794" t="str">
        <f t="shared" si="15"/>
        <v/>
      </c>
      <c r="D794" s="31" t="s">
        <v>4188</v>
      </c>
      <c r="E794" s="31"/>
      <c r="F794" s="31"/>
      <c r="G794" s="896" t="s">
        <v>4814</v>
      </c>
      <c r="H794"/>
      <c r="J794" s="580" t="s">
        <v>4976</v>
      </c>
    </row>
    <row r="795" spans="1:10" x14ac:dyDescent="0.35">
      <c r="A795" s="366" t="str">
        <f>IF(AND(LEN(H795)&gt;0,NOT(H795=FALSE)),"P","")</f>
        <v/>
      </c>
      <c r="B795" t="str">
        <f>IF(LEN('Ch6'!H478)=0,"",'Ch6'!H478)</f>
        <v/>
      </c>
      <c r="C795" t="str">
        <f t="shared" si="15"/>
        <v/>
      </c>
      <c r="D795" s="31"/>
      <c r="E795" s="31"/>
      <c r="F795" s="31"/>
      <c r="G795" s="896"/>
      <c r="H795" s="400" t="str">
        <f>IF(LEN('Ch6'!W478)=0,"",'Ch6'!W478)</f>
        <v/>
      </c>
      <c r="J795" s="580"/>
    </row>
    <row r="796" spans="1:10" x14ac:dyDescent="0.35">
      <c r="A796" s="366" t="str">
        <f t="shared" ref="A796:A803" si="16">A795</f>
        <v/>
      </c>
      <c r="B796" t="str">
        <f>IF(LEN('Ch6'!H479)=0,"",'Ch6'!H479)</f>
        <v/>
      </c>
      <c r="C796" t="str">
        <f t="shared" si="15"/>
        <v/>
      </c>
      <c r="D796" s="31"/>
      <c r="E796" s="31"/>
      <c r="F796" s="31"/>
      <c r="G796" s="896"/>
      <c r="H796"/>
      <c r="J796" s="580"/>
    </row>
    <row r="797" spans="1:10" x14ac:dyDescent="0.35">
      <c r="A797" s="366" t="str">
        <f t="shared" si="16"/>
        <v/>
      </c>
      <c r="B797" t="str">
        <f>IF(LEN('Ch6'!H480)=0,"",'Ch6'!H480)</f>
        <v/>
      </c>
      <c r="C797" t="str">
        <f t="shared" si="15"/>
        <v/>
      </c>
      <c r="D797" s="31"/>
      <c r="E797" s="31"/>
      <c r="F797" s="31"/>
      <c r="G797" s="896"/>
      <c r="H797"/>
      <c r="J797" s="580"/>
    </row>
    <row r="798" spans="1:10" x14ac:dyDescent="0.35">
      <c r="A798" s="366" t="str">
        <f t="shared" si="16"/>
        <v/>
      </c>
      <c r="B798" t="str">
        <f>IF(LEN('Ch6'!H481)=0,"",'Ch6'!H481)</f>
        <v/>
      </c>
      <c r="C798" t="str">
        <f t="shared" si="15"/>
        <v/>
      </c>
      <c r="D798" s="31"/>
      <c r="E798" s="31"/>
      <c r="F798" s="31"/>
      <c r="G798" s="896"/>
      <c r="H798"/>
      <c r="J798" s="580"/>
    </row>
    <row r="799" spans="1:10" x14ac:dyDescent="0.35">
      <c r="A799" s="366" t="str">
        <f t="shared" si="16"/>
        <v/>
      </c>
      <c r="B799" t="str">
        <f>IF(LEN('Ch6'!H482)=0,"",'Ch6'!H482)</f>
        <v/>
      </c>
      <c r="C799" t="str">
        <f t="shared" si="15"/>
        <v/>
      </c>
      <c r="D799" s="31"/>
      <c r="E799" s="31"/>
      <c r="F799" s="31"/>
      <c r="G799" s="896"/>
      <c r="H799"/>
      <c r="J799" s="580"/>
    </row>
    <row r="800" spans="1:10" x14ac:dyDescent="0.35">
      <c r="A800" s="366" t="str">
        <f t="shared" si="16"/>
        <v/>
      </c>
      <c r="B800" t="str">
        <f>IF(LEN('Ch6'!H483)=0,"",'Ch6'!H483)</f>
        <v/>
      </c>
      <c r="C800" t="str">
        <f t="shared" si="15"/>
        <v/>
      </c>
      <c r="D800" s="31"/>
      <c r="E800" s="31"/>
      <c r="F800" s="31"/>
      <c r="G800" s="896"/>
      <c r="H800"/>
      <c r="J800" s="580"/>
    </row>
    <row r="801" spans="1:10" x14ac:dyDescent="0.35">
      <c r="A801" s="366" t="str">
        <f t="shared" si="16"/>
        <v/>
      </c>
      <c r="B801" t="str">
        <f>IF(LEN('Ch6'!H484)=0,"",'Ch6'!H484)</f>
        <v/>
      </c>
      <c r="C801" t="str">
        <f t="shared" si="15"/>
        <v/>
      </c>
      <c r="D801" s="31"/>
      <c r="E801" s="31"/>
      <c r="F801" s="31"/>
      <c r="G801" s="896"/>
      <c r="H801"/>
      <c r="J801" s="580"/>
    </row>
    <row r="802" spans="1:10" x14ac:dyDescent="0.35">
      <c r="A802" s="366" t="str">
        <f t="shared" si="16"/>
        <v/>
      </c>
      <c r="B802" t="str">
        <f>IF(LEN('Ch6'!H485)=0,"",'Ch6'!H485)</f>
        <v/>
      </c>
      <c r="C802" t="str">
        <f t="shared" si="15"/>
        <v/>
      </c>
      <c r="D802" s="31"/>
      <c r="E802" s="31"/>
      <c r="F802" s="31"/>
      <c r="G802" s="896"/>
      <c r="H802"/>
      <c r="J802" s="580"/>
    </row>
    <row r="803" spans="1:10" x14ac:dyDescent="0.35">
      <c r="A803" s="366" t="str">
        <f t="shared" si="16"/>
        <v/>
      </c>
      <c r="B803" t="str">
        <f>IF(LEN('Ch6'!H486)=0,"",'Ch6'!H486)</f>
        <v/>
      </c>
      <c r="C803" t="str">
        <f t="shared" si="15"/>
        <v/>
      </c>
      <c r="D803" s="403"/>
      <c r="E803" s="403"/>
      <c r="F803" s="403"/>
      <c r="G803" s="603" t="s">
        <v>3137</v>
      </c>
      <c r="H803"/>
      <c r="J803" s="580"/>
    </row>
    <row r="804" spans="1:10" x14ac:dyDescent="0.35">
      <c r="A804" s="727" t="str">
        <f>IF(COUNTIF(A806,"P")&gt;0,"P","")</f>
        <v/>
      </c>
      <c r="B804" t="str">
        <f>IF(LEN('Ch6'!H487)=0,"",'Ch6'!H487)</f>
        <v/>
      </c>
      <c r="C804" t="str">
        <f t="shared" si="15"/>
        <v/>
      </c>
      <c r="D804" s="31" t="s">
        <v>4189</v>
      </c>
      <c r="E804" s="31"/>
      <c r="F804" s="31"/>
      <c r="G804" s="896" t="s">
        <v>4815</v>
      </c>
      <c r="H804" s="760"/>
      <c r="J804" s="580" t="s">
        <v>4977</v>
      </c>
    </row>
    <row r="805" spans="1:10" x14ac:dyDescent="0.35">
      <c r="A805" s="366" t="str">
        <f>A804</f>
        <v/>
      </c>
      <c r="B805" t="str">
        <f>IF(LEN('Ch6'!H488)=0,"",'Ch6'!H488)</f>
        <v/>
      </c>
      <c r="C805" t="str">
        <f t="shared" si="15"/>
        <v/>
      </c>
      <c r="D805" s="31"/>
      <c r="E805" s="31"/>
      <c r="F805" s="31"/>
      <c r="G805" s="896"/>
      <c r="H805" s="760"/>
      <c r="J805" s="580"/>
    </row>
    <row r="806" spans="1:10" x14ac:dyDescent="0.35">
      <c r="A806" s="366" t="str">
        <f>IF(AND(LEN(H806)&gt;0,NOT(H806=FALSE)),"P","")</f>
        <v/>
      </c>
      <c r="B806" t="str">
        <f>IF(LEN('Ch6'!H489)=0,"",'Ch6'!H489)</f>
        <v/>
      </c>
      <c r="C806" t="str">
        <f t="shared" si="15"/>
        <v/>
      </c>
      <c r="D806" s="31"/>
      <c r="E806" s="31"/>
      <c r="F806" s="31"/>
      <c r="G806" s="896"/>
      <c r="H806" s="400" t="str">
        <f>IF(LEN('Ch6'!W489)=0,"",'Ch6'!W489)</f>
        <v/>
      </c>
      <c r="J806" s="580"/>
    </row>
    <row r="807" spans="1:10" x14ac:dyDescent="0.35">
      <c r="A807" s="366" t="str">
        <f>A806</f>
        <v/>
      </c>
      <c r="B807" t="str">
        <f>IF(LEN('Ch6'!H490)=0,"",'Ch6'!H490)</f>
        <v/>
      </c>
      <c r="C807" t="str">
        <f t="shared" si="15"/>
        <v/>
      </c>
      <c r="D807" s="31"/>
      <c r="E807" s="31"/>
      <c r="F807" s="31"/>
      <c r="G807" s="896"/>
      <c r="H807"/>
      <c r="J807" s="580"/>
    </row>
    <row r="808" spans="1:10" x14ac:dyDescent="0.35">
      <c r="A808" s="366" t="str">
        <f>A807</f>
        <v/>
      </c>
      <c r="B808" t="str">
        <f>IF(LEN('Ch6'!H491)=0,"",'Ch6'!H491)</f>
        <v/>
      </c>
      <c r="C808" t="str">
        <f t="shared" si="15"/>
        <v/>
      </c>
      <c r="D808" s="31"/>
      <c r="E808" s="31"/>
      <c r="F808" s="31"/>
      <c r="G808" s="896"/>
      <c r="H808"/>
      <c r="J808" s="580"/>
    </row>
    <row r="809" spans="1:10" x14ac:dyDescent="0.35">
      <c r="A809" s="366" t="str">
        <f>A808</f>
        <v/>
      </c>
      <c r="B809" t="str">
        <f>IF(LEN('Ch6'!H492)=0,"",'Ch6'!H492)</f>
        <v/>
      </c>
      <c r="C809" t="str">
        <f t="shared" si="15"/>
        <v/>
      </c>
      <c r="D809" s="31"/>
      <c r="E809" s="31"/>
      <c r="F809" s="31"/>
      <c r="G809" s="896"/>
      <c r="H809"/>
      <c r="J809" s="580"/>
    </row>
    <row r="810" spans="1:10" ht="15" thickBot="1" x14ac:dyDescent="0.4">
      <c r="B810" t="str">
        <f>IF(LEN('Ch6'!H493)=0,"",'Ch6'!H493)</f>
        <v/>
      </c>
      <c r="C810" t="str">
        <f t="shared" si="15"/>
        <v/>
      </c>
      <c r="D810" s="618"/>
      <c r="E810" s="618"/>
      <c r="F810" s="618"/>
      <c r="G810" s="606" t="s">
        <v>3137</v>
      </c>
      <c r="H810"/>
      <c r="J810" s="580"/>
    </row>
    <row r="811" spans="1:10" ht="19" thickTop="1" x14ac:dyDescent="0.35">
      <c r="A811" s="366" t="s">
        <v>3973</v>
      </c>
      <c r="B811" t="str">
        <f>IF(LEN('Ch6'!H494)=0,"",'Ch6'!H494)</f>
        <v/>
      </c>
      <c r="C811" t="str">
        <f t="shared" si="15"/>
        <v>P</v>
      </c>
      <c r="D811" s="620" t="s">
        <v>4183</v>
      </c>
      <c r="E811" s="620"/>
      <c r="F811" s="620"/>
      <c r="G811" s="537"/>
      <c r="H811"/>
      <c r="J811" s="580"/>
    </row>
    <row r="812" spans="1:10" x14ac:dyDescent="0.35">
      <c r="A812" s="366" t="str">
        <f ca="1">IF(I812&gt;0,"P","")</f>
        <v/>
      </c>
      <c r="B812" t="str">
        <f>IF(LEN('Ch6'!H495)=0,"",'Ch6'!H495)</f>
        <v/>
      </c>
      <c r="C812" t="str">
        <f t="shared" ca="1" si="15"/>
        <v/>
      </c>
      <c r="D812" s="31">
        <v>612.1</v>
      </c>
      <c r="E812" s="31"/>
      <c r="F812" s="31"/>
      <c r="G812" s="838" t="s">
        <v>4184</v>
      </c>
      <c r="H812" s="400" t="str">
        <f>IF(LEN('Ch6'!W495)=0,"",'Ch6'!W495)</f>
        <v/>
      </c>
      <c r="I812" s="46">
        <f ca="1">'Ch6'!O495</f>
        <v>0</v>
      </c>
      <c r="J812" s="975" t="s">
        <v>3910</v>
      </c>
    </row>
    <row r="813" spans="1:10" x14ac:dyDescent="0.35">
      <c r="A813" s="366" t="str">
        <f ca="1">A812</f>
        <v/>
      </c>
      <c r="B813" t="str">
        <f>IF(LEN('Ch6'!H496)=0,"",'Ch6'!H496)</f>
        <v/>
      </c>
      <c r="C813" t="str">
        <f t="shared" ca="1" si="15"/>
        <v/>
      </c>
      <c r="D813" s="31"/>
      <c r="E813" s="31"/>
      <c r="F813" s="31"/>
      <c r="G813" s="838"/>
      <c r="H813"/>
      <c r="J813" s="979"/>
    </row>
    <row r="814" spans="1:10" x14ac:dyDescent="0.35">
      <c r="A814" s="366" t="str">
        <f ca="1">A813</f>
        <v/>
      </c>
      <c r="B814" t="str">
        <f>IF(LEN('Ch6'!H497)=0,"",'Ch6'!H497)</f>
        <v/>
      </c>
      <c r="C814" t="str">
        <f t="shared" ca="1" si="15"/>
        <v/>
      </c>
      <c r="D814" s="31"/>
      <c r="E814" s="31"/>
      <c r="F814" s="31"/>
      <c r="G814" s="838"/>
      <c r="H814"/>
      <c r="J814" s="976"/>
    </row>
    <row r="815" spans="1:10" x14ac:dyDescent="0.35">
      <c r="A815" s="366" t="str">
        <f ca="1">A814</f>
        <v/>
      </c>
      <c r="B815" t="str">
        <f>IF(LEN('Ch6'!H498)=0,"",'Ch6'!H498)</f>
        <v/>
      </c>
      <c r="C815" t="str">
        <f t="shared" ca="1" si="15"/>
        <v/>
      </c>
      <c r="D815" s="31"/>
      <c r="E815" s="31"/>
      <c r="F815" s="31"/>
      <c r="G815" s="838"/>
      <c r="H815"/>
      <c r="J815" s="580"/>
    </row>
    <row r="816" spans="1:10" x14ac:dyDescent="0.35">
      <c r="A816" s="366" t="str">
        <f ca="1">A815</f>
        <v/>
      </c>
      <c r="B816" t="str">
        <f>IF(LEN('Ch6'!H499)=0,"",'Ch6'!H499)</f>
        <v/>
      </c>
      <c r="C816" t="str">
        <f t="shared" ca="1" si="15"/>
        <v/>
      </c>
      <c r="D816" s="31"/>
      <c r="E816" s="31"/>
      <c r="F816" s="31"/>
      <c r="G816" s="838"/>
      <c r="H816"/>
      <c r="J816" s="580"/>
    </row>
    <row r="817" spans="1:10" x14ac:dyDescent="0.35">
      <c r="B817" t="str">
        <f>IF(LEN('Ch6'!H500)=0,"",'Ch6'!H500)</f>
        <v/>
      </c>
      <c r="C817" t="str">
        <f t="shared" si="15"/>
        <v/>
      </c>
      <c r="D817" s="31"/>
      <c r="E817" s="31"/>
      <c r="F817" s="31"/>
      <c r="G817" s="158" t="s">
        <v>727</v>
      </c>
      <c r="H817"/>
      <c r="J817" s="580"/>
    </row>
    <row r="818" spans="1:10" x14ac:dyDescent="0.35">
      <c r="B818" t="str">
        <f>IF(LEN('Ch6'!H501)=0,"",'Ch6'!H501)</f>
        <v/>
      </c>
      <c r="C818" t="str">
        <f t="shared" si="15"/>
        <v/>
      </c>
      <c r="D818" s="31"/>
      <c r="E818" s="31"/>
      <c r="F818" s="31"/>
      <c r="G818" s="984" t="s">
        <v>4855</v>
      </c>
      <c r="H818"/>
      <c r="J818" s="580"/>
    </row>
    <row r="819" spans="1:10" ht="15" thickBot="1" x14ac:dyDescent="0.4">
      <c r="B819" t="str">
        <f>IF(LEN('Ch6'!H502)=0,"",'Ch6'!H502)</f>
        <v/>
      </c>
      <c r="C819" t="str">
        <f t="shared" si="15"/>
        <v/>
      </c>
      <c r="D819" s="31"/>
      <c r="E819" s="31"/>
      <c r="F819" s="31"/>
      <c r="G819" s="985"/>
      <c r="H819"/>
      <c r="J819" s="580"/>
    </row>
    <row r="820" spans="1:10" ht="15" thickTop="1" x14ac:dyDescent="0.35">
      <c r="A820" s="366" t="str">
        <f>IF(I820&gt;0,"P","")</f>
        <v/>
      </c>
      <c r="B820" t="str">
        <f>IF(LEN('Ch6'!H503)=0,"",'Ch6'!H503)</f>
        <v/>
      </c>
      <c r="C820" t="str">
        <f t="shared" si="15"/>
        <v/>
      </c>
      <c r="D820" s="60">
        <v>612.20000000000005</v>
      </c>
      <c r="E820" s="60"/>
      <c r="F820" s="60"/>
      <c r="G820" s="837" t="s">
        <v>4193</v>
      </c>
      <c r="H820"/>
      <c r="I820" s="46">
        <f>'Ch6'!O503</f>
        <v>0</v>
      </c>
      <c r="J820" s="580" t="s">
        <v>3911</v>
      </c>
    </row>
    <row r="821" spans="1:10" x14ac:dyDescent="0.35">
      <c r="A821" s="366" t="str">
        <f>A820</f>
        <v/>
      </c>
      <c r="B821" t="str">
        <f>IF(LEN('Ch6'!H504)=0,"",'Ch6'!H504)</f>
        <v/>
      </c>
      <c r="C821" t="str">
        <f t="shared" si="15"/>
        <v/>
      </c>
      <c r="D821" s="31"/>
      <c r="E821" s="31"/>
      <c r="F821" s="31"/>
      <c r="G821" s="838"/>
      <c r="H821"/>
      <c r="J821" s="580"/>
    </row>
    <row r="822" spans="1:10" x14ac:dyDescent="0.35">
      <c r="A822" s="366" t="str">
        <f>A821</f>
        <v/>
      </c>
      <c r="B822" t="str">
        <f>IF(LEN('Ch6'!H505)=0,"",'Ch6'!H505)</f>
        <v/>
      </c>
      <c r="C822" t="str">
        <f t="shared" si="15"/>
        <v/>
      </c>
      <c r="D822" s="31"/>
      <c r="E822" s="31"/>
      <c r="F822" s="31"/>
      <c r="G822" s="838"/>
      <c r="H822"/>
      <c r="J822" s="580"/>
    </row>
    <row r="823" spans="1:10" x14ac:dyDescent="0.35">
      <c r="B823" t="str">
        <f>IF(LEN('Ch6'!H506)=0,"",'Ch6'!H506)</f>
        <v/>
      </c>
      <c r="C823" t="str">
        <f t="shared" si="15"/>
        <v/>
      </c>
      <c r="D823" s="31"/>
      <c r="E823" s="416" t="s">
        <v>256</v>
      </c>
      <c r="F823" s="403"/>
      <c r="G823" s="477" t="s">
        <v>4194</v>
      </c>
      <c r="H823" s="400" t="str">
        <f>IF(LEN('Ch6'!W506)=0,"",'Ch6'!W506)</f>
        <v/>
      </c>
      <c r="J823" s="580"/>
    </row>
    <row r="824" spans="1:10" x14ac:dyDescent="0.35">
      <c r="B824" t="str">
        <f>IF(LEN('Ch6'!H507)=0,"",'Ch6'!H507)</f>
        <v/>
      </c>
      <c r="C824" t="str">
        <f t="shared" si="15"/>
        <v/>
      </c>
      <c r="D824" s="31"/>
      <c r="E824" s="424" t="s">
        <v>258</v>
      </c>
      <c r="F824" s="405"/>
      <c r="G824" s="828" t="s">
        <v>4195</v>
      </c>
      <c r="H824" s="400" t="str">
        <f>IF(LEN('Ch6'!W507)=0,"",'Ch6'!W507)</f>
        <v/>
      </c>
      <c r="J824" s="580"/>
    </row>
    <row r="825" spans="1:10" x14ac:dyDescent="0.35">
      <c r="B825" t="str">
        <f>IF(LEN('Ch6'!H508)=0,"",'Ch6'!H508)</f>
        <v/>
      </c>
      <c r="C825" t="str">
        <f t="shared" si="15"/>
        <v/>
      </c>
      <c r="E825" s="619"/>
      <c r="F825" s="619"/>
      <c r="G825" s="842"/>
      <c r="H825"/>
      <c r="J825" s="580"/>
    </row>
    <row r="826" spans="1:10" x14ac:dyDescent="0.35">
      <c r="B826" t="str">
        <f>IF(LEN('Ch6'!H509)=0,"",'Ch6'!H509)</f>
        <v/>
      </c>
      <c r="C826" t="str">
        <f t="shared" si="15"/>
        <v/>
      </c>
      <c r="D826" s="31"/>
      <c r="E826" s="424" t="s">
        <v>260</v>
      </c>
      <c r="F826" s="405"/>
      <c r="G826" s="828" t="s">
        <v>4196</v>
      </c>
      <c r="H826" s="400" t="str">
        <f>IF(LEN('Ch6'!W509)=0,"",'Ch6'!W509)</f>
        <v/>
      </c>
      <c r="J826" s="580"/>
    </row>
    <row r="827" spans="1:10" x14ac:dyDescent="0.35">
      <c r="B827" t="str">
        <f>IF(LEN('Ch6'!H510)=0,"",'Ch6'!H510)</f>
        <v/>
      </c>
      <c r="C827" t="str">
        <f t="shared" si="15"/>
        <v/>
      </c>
      <c r="E827" s="619"/>
      <c r="F827" s="619"/>
      <c r="G827" s="842"/>
      <c r="H827"/>
      <c r="J827" s="580"/>
    </row>
    <row r="828" spans="1:10" x14ac:dyDescent="0.35">
      <c r="B828" t="str">
        <f>IF(LEN('Ch6'!H511)=0,"",'Ch6'!H511)</f>
        <v/>
      </c>
      <c r="C828" t="str">
        <f t="shared" si="15"/>
        <v/>
      </c>
      <c r="D828" s="31"/>
      <c r="E828" s="424" t="s">
        <v>269</v>
      </c>
      <c r="F828" s="405"/>
      <c r="G828" s="828" t="s">
        <v>4197</v>
      </c>
      <c r="H828" s="400" t="str">
        <f>IF(LEN('Ch6'!W511)=0,"",'Ch6'!W511)</f>
        <v/>
      </c>
      <c r="J828" s="580"/>
    </row>
    <row r="829" spans="1:10" x14ac:dyDescent="0.35">
      <c r="B829" t="str">
        <f>IF(LEN('Ch6'!H512)=0,"",'Ch6'!H512)</f>
        <v/>
      </c>
      <c r="C829" t="str">
        <f t="shared" si="15"/>
        <v/>
      </c>
      <c r="E829" s="619"/>
      <c r="F829" s="619"/>
      <c r="G829" s="842"/>
      <c r="H829"/>
      <c r="J829" s="580"/>
    </row>
    <row r="830" spans="1:10" x14ac:dyDescent="0.35">
      <c r="B830" t="str">
        <f>IF(LEN('Ch6'!H513)=0,"",'Ch6'!H513)</f>
        <v/>
      </c>
      <c r="C830" t="str">
        <f t="shared" si="15"/>
        <v/>
      </c>
      <c r="D830" s="31"/>
      <c r="E830" s="424" t="s">
        <v>275</v>
      </c>
      <c r="F830" s="405"/>
      <c r="G830" s="828" t="s">
        <v>4198</v>
      </c>
      <c r="H830" s="400" t="str">
        <f>IF(LEN('Ch6'!W513)=0,"",'Ch6'!W513)</f>
        <v/>
      </c>
      <c r="J830" s="580"/>
    </row>
    <row r="831" spans="1:10" x14ac:dyDescent="0.35">
      <c r="B831" t="str">
        <f>IF(LEN('Ch6'!H514)=0,"",'Ch6'!H514)</f>
        <v/>
      </c>
      <c r="C831" t="str">
        <f t="shared" si="15"/>
        <v/>
      </c>
      <c r="E831" s="619"/>
      <c r="F831" s="619"/>
      <c r="G831" s="842"/>
      <c r="H831"/>
      <c r="J831" s="580"/>
    </row>
    <row r="832" spans="1:10" x14ac:dyDescent="0.35">
      <c r="B832" t="str">
        <f>IF(LEN('Ch6'!H515)=0,"",'Ch6'!H515)</f>
        <v/>
      </c>
      <c r="C832" t="str">
        <f t="shared" si="15"/>
        <v/>
      </c>
      <c r="D832" s="31"/>
      <c r="E832" s="424" t="s">
        <v>277</v>
      </c>
      <c r="F832" s="405"/>
      <c r="G832" s="828" t="s">
        <v>4199</v>
      </c>
      <c r="H832" s="400" t="str">
        <f>IF(LEN('Ch6'!W515)=0,"",'Ch6'!W515)</f>
        <v/>
      </c>
      <c r="J832" s="580"/>
    </row>
    <row r="833" spans="1:10" x14ac:dyDescent="0.35">
      <c r="B833" t="str">
        <f>IF(LEN('Ch6'!H516)=0,"",'Ch6'!H516)</f>
        <v/>
      </c>
      <c r="C833" t="str">
        <f t="shared" si="15"/>
        <v/>
      </c>
      <c r="E833" s="619"/>
      <c r="F833" s="619"/>
      <c r="G833" s="842"/>
      <c r="H833"/>
      <c r="J833" s="580"/>
    </row>
    <row r="834" spans="1:10" x14ac:dyDescent="0.35">
      <c r="B834" t="str">
        <f>IF(LEN('Ch6'!H517)=0,"",'Ch6'!H517)</f>
        <v/>
      </c>
      <c r="C834" t="str">
        <f t="shared" si="15"/>
        <v/>
      </c>
      <c r="D834" s="31"/>
      <c r="E834" s="402" t="s">
        <v>383</v>
      </c>
      <c r="F834" s="31"/>
      <c r="G834" s="828" t="s">
        <v>4200</v>
      </c>
      <c r="H834" s="400" t="str">
        <f>IF(LEN('Ch6'!W517)=0,"",'Ch6'!W517)</f>
        <v/>
      </c>
      <c r="J834" s="580"/>
    </row>
    <row r="835" spans="1:10" ht="15" thickBot="1" x14ac:dyDescent="0.4">
      <c r="B835" t="str">
        <f>IF(LEN('Ch6'!H518)=0,"",'Ch6'!H518)</f>
        <v/>
      </c>
      <c r="C835" t="str">
        <f t="shared" si="15"/>
        <v/>
      </c>
      <c r="D835" s="31"/>
      <c r="E835" s="402"/>
      <c r="F835" s="31"/>
      <c r="G835" s="826"/>
      <c r="H835"/>
      <c r="J835" s="580"/>
    </row>
    <row r="836" spans="1:10" ht="15" thickTop="1" x14ac:dyDescent="0.35">
      <c r="A836" s="366" t="str">
        <f ca="1">IF(I836&gt;0,"P","")</f>
        <v>P</v>
      </c>
      <c r="B836" t="str">
        <f>IF(LEN('Ch6'!H519)=0,"",'Ch6'!H519)</f>
        <v/>
      </c>
      <c r="C836" t="str">
        <f t="shared" ca="1" si="15"/>
        <v>P</v>
      </c>
      <c r="D836" s="60">
        <v>612.29999999999995</v>
      </c>
      <c r="E836" s="414"/>
      <c r="F836" s="60"/>
      <c r="G836" s="837" t="s">
        <v>4190</v>
      </c>
      <c r="H836"/>
      <c r="I836" s="46">
        <f ca="1">'Ch6'!O519</f>
        <v>2</v>
      </c>
      <c r="J836" s="580" t="s">
        <v>3891</v>
      </c>
    </row>
    <row r="837" spans="1:10" x14ac:dyDescent="0.35">
      <c r="A837" s="366" t="str">
        <f ca="1">A836</f>
        <v>P</v>
      </c>
      <c r="B837" t="str">
        <f>IF(LEN('Ch6'!H520)=0,"",'Ch6'!H520)</f>
        <v/>
      </c>
      <c r="C837" t="str">
        <f t="shared" ca="1" si="15"/>
        <v>P</v>
      </c>
      <c r="D837" s="31"/>
      <c r="E837" s="31"/>
      <c r="F837" s="31"/>
      <c r="G837" s="838"/>
      <c r="H837"/>
      <c r="J837" s="580"/>
    </row>
    <row r="838" spans="1:10" x14ac:dyDescent="0.35">
      <c r="B838" t="str">
        <f>IF(LEN('Ch6'!H521)=0,"",'Ch6'!H521)</f>
        <v/>
      </c>
      <c r="C838" t="str">
        <f t="shared" si="15"/>
        <v/>
      </c>
      <c r="D838" s="31"/>
      <c r="E838" s="402" t="s">
        <v>256</v>
      </c>
      <c r="F838" s="31"/>
      <c r="G838" s="814" t="s">
        <v>728</v>
      </c>
      <c r="H838" s="400" t="str">
        <f>IF(LEN('Ch6'!W521)=0,"",'Ch6'!W521)</f>
        <v/>
      </c>
      <c r="J838" s="580"/>
    </row>
    <row r="839" spans="1:10" x14ac:dyDescent="0.35">
      <c r="B839" t="str">
        <f>IF(LEN('Ch6'!H522)=0,"",'Ch6'!H522)</f>
        <v/>
      </c>
      <c r="C839" t="str">
        <f t="shared" si="15"/>
        <v/>
      </c>
      <c r="D839" s="31"/>
      <c r="E839" s="31"/>
      <c r="F839" s="31"/>
      <c r="G839" s="814"/>
      <c r="H839"/>
      <c r="J839" s="580"/>
    </row>
    <row r="840" spans="1:10" x14ac:dyDescent="0.35">
      <c r="B840" t="str">
        <f>IF(LEN('Ch6'!H523)=0,"",'Ch6'!H523)</f>
        <v/>
      </c>
      <c r="C840" t="str">
        <f t="shared" ref="C840:C910" si="17">IF(LEN(B840)=0,IF(A840="P","P",""),B840)</f>
        <v/>
      </c>
      <c r="D840" s="31"/>
      <c r="E840" s="31"/>
      <c r="F840" s="31"/>
      <c r="G840" s="814"/>
      <c r="H840"/>
      <c r="J840" s="580"/>
    </row>
    <row r="841" spans="1:10" x14ac:dyDescent="0.35">
      <c r="B841" t="str">
        <f>IF(LEN('Ch6'!H524)=0,"",'Ch6'!H524)</f>
        <v/>
      </c>
      <c r="C841" t="str">
        <f t="shared" si="17"/>
        <v/>
      </c>
      <c r="D841" s="31"/>
      <c r="E841" s="31"/>
      <c r="F841" s="31"/>
      <c r="G841" s="814"/>
      <c r="H841"/>
      <c r="J841" s="580"/>
    </row>
    <row r="842" spans="1:10" x14ac:dyDescent="0.35">
      <c r="B842" t="str">
        <f>IF(LEN('Ch6'!H525)=0,"",'Ch6'!H525)</f>
        <v/>
      </c>
      <c r="C842" t="str">
        <f t="shared" si="17"/>
        <v/>
      </c>
      <c r="D842" s="31"/>
      <c r="E842" s="403"/>
      <c r="F842" s="403"/>
      <c r="G842" s="815"/>
      <c r="H842"/>
      <c r="J842" s="580"/>
    </row>
    <row r="843" spans="1:10" x14ac:dyDescent="0.35">
      <c r="B843" t="str">
        <f>IF(LEN('Ch6'!H526)=0,"",'Ch6'!H526)</f>
        <v/>
      </c>
      <c r="C843" t="str">
        <f t="shared" si="17"/>
        <v/>
      </c>
      <c r="D843" s="31"/>
      <c r="E843" s="424" t="s">
        <v>258</v>
      </c>
      <c r="F843" s="405"/>
      <c r="G843" s="836" t="s">
        <v>729</v>
      </c>
      <c r="H843" s="400" t="str">
        <f>IF(LEN('Ch6'!W526)=0,"",'Ch6'!W526)</f>
        <v/>
      </c>
      <c r="J843" s="580"/>
    </row>
    <row r="844" spans="1:10" x14ac:dyDescent="0.35">
      <c r="B844" t="str">
        <f>IF(LEN('Ch6'!H527)=0,"",'Ch6'!H527)</f>
        <v/>
      </c>
      <c r="C844" t="str">
        <f t="shared" si="17"/>
        <v/>
      </c>
      <c r="D844" s="31"/>
      <c r="E844" s="31"/>
      <c r="F844" s="31"/>
      <c r="G844" s="814"/>
      <c r="H844"/>
      <c r="J844" s="580"/>
    </row>
    <row r="845" spans="1:10" x14ac:dyDescent="0.35">
      <c r="B845" t="str">
        <f>IF(LEN('Ch6'!H528)=0,"",'Ch6'!H528)</f>
        <v/>
      </c>
      <c r="C845" t="str">
        <f t="shared" si="17"/>
        <v/>
      </c>
      <c r="D845" s="31"/>
      <c r="E845" s="31"/>
      <c r="F845" s="31"/>
      <c r="G845" s="814"/>
      <c r="H845"/>
      <c r="J845" s="580"/>
    </row>
    <row r="846" spans="1:10" x14ac:dyDescent="0.35">
      <c r="B846" t="str">
        <f>IF(LEN('Ch6'!H529)=0,"",'Ch6'!H529)</f>
        <v/>
      </c>
      <c r="C846" t="str">
        <f t="shared" si="17"/>
        <v/>
      </c>
      <c r="D846" s="31"/>
      <c r="E846" s="403"/>
      <c r="F846" s="403"/>
      <c r="G846" s="815"/>
      <c r="H846"/>
      <c r="J846" s="580"/>
    </row>
    <row r="847" spans="1:10" x14ac:dyDescent="0.35">
      <c r="B847" t="str">
        <f>IF(LEN('Ch6'!H530)=0,"",'Ch6'!H530)</f>
        <v/>
      </c>
      <c r="C847" t="str">
        <f t="shared" si="17"/>
        <v/>
      </c>
      <c r="D847" s="31"/>
      <c r="E847" s="424" t="s">
        <v>260</v>
      </c>
      <c r="F847" s="405"/>
      <c r="G847" s="836" t="s">
        <v>730</v>
      </c>
      <c r="H847" s="400" t="str">
        <f>IF(LEN('Ch6'!W530)=0,"",'Ch6'!W530)</f>
        <v/>
      </c>
      <c r="J847" s="580"/>
    </row>
    <row r="848" spans="1:10" x14ac:dyDescent="0.35">
      <c r="B848" t="str">
        <f>IF(LEN('Ch6'!H531)=0,"",'Ch6'!H531)</f>
        <v/>
      </c>
      <c r="C848" t="str">
        <f t="shared" si="17"/>
        <v/>
      </c>
      <c r="D848" s="31"/>
      <c r="E848" s="403"/>
      <c r="F848" s="403"/>
      <c r="G848" s="815"/>
      <c r="H848"/>
      <c r="J848" s="580"/>
    </row>
    <row r="849" spans="1:10" x14ac:dyDescent="0.35">
      <c r="B849" t="str">
        <f>IF(LEN('Ch6'!H532)=0,"",'Ch6'!H532)</f>
        <v/>
      </c>
      <c r="C849" t="str">
        <f t="shared" si="17"/>
        <v/>
      </c>
      <c r="D849" s="31"/>
      <c r="E849" s="424" t="s">
        <v>269</v>
      </c>
      <c r="F849" s="405"/>
      <c r="G849" s="836" t="s">
        <v>731</v>
      </c>
      <c r="H849" s="400" t="str">
        <f>IF(LEN('Ch6'!W532)=0,"",'Ch6'!W532)</f>
        <v/>
      </c>
      <c r="J849" s="580"/>
    </row>
    <row r="850" spans="1:10" x14ac:dyDescent="0.35">
      <c r="B850" t="str">
        <f>IF(LEN('Ch6'!H533)=0,"",'Ch6'!H533)</f>
        <v/>
      </c>
      <c r="C850" t="str">
        <f t="shared" si="17"/>
        <v/>
      </c>
      <c r="D850" s="31"/>
      <c r="E850" s="403"/>
      <c r="F850" s="403"/>
      <c r="G850" s="815"/>
      <c r="H850"/>
      <c r="J850" s="580"/>
    </row>
    <row r="851" spans="1:10" x14ac:dyDescent="0.35">
      <c r="B851" t="str">
        <f>IF(LEN('Ch6'!H534)=0,"",'Ch6'!H534)</f>
        <v/>
      </c>
      <c r="C851" t="str">
        <f t="shared" si="17"/>
        <v/>
      </c>
      <c r="D851" s="31"/>
      <c r="E851" s="422" t="s">
        <v>275</v>
      </c>
      <c r="F851" s="415"/>
      <c r="G851" s="178" t="s">
        <v>732</v>
      </c>
      <c r="H851" s="400" t="str">
        <f>IF(LEN('Ch6'!W534)=0,"",'Ch6'!W534)</f>
        <v/>
      </c>
      <c r="J851" s="580"/>
    </row>
    <row r="852" spans="1:10" x14ac:dyDescent="0.35">
      <c r="B852" t="str">
        <f>IF(LEN('Ch6'!H535)=0,"",'Ch6'!H535)</f>
        <v/>
      </c>
      <c r="C852" t="str">
        <f t="shared" si="17"/>
        <v/>
      </c>
      <c r="D852" s="31"/>
      <c r="E852" s="422" t="s">
        <v>277</v>
      </c>
      <c r="F852" s="415"/>
      <c r="G852" s="470" t="s">
        <v>4201</v>
      </c>
      <c r="H852" s="400" t="str">
        <f>IF(LEN('Ch6'!W535)=0,"",'Ch6'!W535)</f>
        <v/>
      </c>
      <c r="J852" s="580"/>
    </row>
    <row r="853" spans="1:10" x14ac:dyDescent="0.35">
      <c r="B853" t="str">
        <f>IF(LEN('Ch6'!H536)=0,"",'Ch6'!H536)</f>
        <v/>
      </c>
      <c r="C853" t="str">
        <f t="shared" si="17"/>
        <v/>
      </c>
      <c r="D853" s="31"/>
      <c r="E853" s="424" t="s">
        <v>383</v>
      </c>
      <c r="F853" s="405"/>
      <c r="G853" s="836" t="s">
        <v>733</v>
      </c>
      <c r="H853" s="400" t="str">
        <f>IF(LEN('Ch6'!W536)=0,"",'Ch6'!W536)</f>
        <v/>
      </c>
      <c r="J853" s="580"/>
    </row>
    <row r="854" spans="1:10" x14ac:dyDescent="0.35">
      <c r="B854" t="str">
        <f>IF(LEN('Ch6'!H537)=0,"",'Ch6'!H537)</f>
        <v/>
      </c>
      <c r="C854" t="str">
        <f t="shared" si="17"/>
        <v/>
      </c>
      <c r="D854" s="31"/>
      <c r="E854" s="31"/>
      <c r="F854" s="31"/>
      <c r="G854" s="814"/>
      <c r="H854"/>
      <c r="J854" s="580"/>
    </row>
    <row r="855" spans="1:10" x14ac:dyDescent="0.35">
      <c r="B855" t="str">
        <f>IF(LEN('Ch6'!H538)=0,"",'Ch6'!H538)</f>
        <v/>
      </c>
      <c r="C855" t="str">
        <f t="shared" si="17"/>
        <v/>
      </c>
      <c r="D855" s="31"/>
      <c r="E855" s="31"/>
      <c r="F855" s="31"/>
      <c r="G855" s="814"/>
      <c r="H855"/>
      <c r="J855" s="580"/>
    </row>
    <row r="856" spans="1:10" x14ac:dyDescent="0.35">
      <c r="B856" t="str">
        <f>IF(LEN('Ch6'!H539)=0,"",'Ch6'!H539)</f>
        <v/>
      </c>
      <c r="C856" t="str">
        <f t="shared" si="17"/>
        <v/>
      </c>
      <c r="D856" s="31"/>
      <c r="E856" s="403"/>
      <c r="F856" s="403"/>
      <c r="G856" s="815"/>
      <c r="H856"/>
      <c r="J856" s="580"/>
    </row>
    <row r="857" spans="1:10" x14ac:dyDescent="0.35">
      <c r="B857" t="str">
        <f>IF(LEN('Ch6'!H540)=0,"",'Ch6'!H540)</f>
        <v/>
      </c>
      <c r="C857" t="str">
        <f t="shared" si="17"/>
        <v/>
      </c>
      <c r="D857" s="31"/>
      <c r="E857" s="424" t="s">
        <v>428</v>
      </c>
      <c r="F857" s="405"/>
      <c r="G857" s="836" t="s">
        <v>734</v>
      </c>
      <c r="H857" s="400" t="b">
        <f>IF(LEN('Ch6'!W540)=0,"",'Ch6'!W540)</f>
        <v>1</v>
      </c>
      <c r="J857" s="580"/>
    </row>
    <row r="858" spans="1:10" x14ac:dyDescent="0.35">
      <c r="B858" t="str">
        <f>IF(LEN('Ch6'!H541)=0,"",'Ch6'!H541)</f>
        <v/>
      </c>
      <c r="C858" t="str">
        <f t="shared" si="17"/>
        <v/>
      </c>
      <c r="D858" s="31"/>
      <c r="E858" s="403"/>
      <c r="F858" s="403"/>
      <c r="G858" s="815"/>
      <c r="H858"/>
      <c r="J858" s="580"/>
    </row>
    <row r="859" spans="1:10" x14ac:dyDescent="0.35">
      <c r="B859" t="str">
        <f>IF(LEN('Ch6'!H542)=0,"",'Ch6'!H542)</f>
        <v/>
      </c>
      <c r="C859" t="str">
        <f t="shared" si="17"/>
        <v/>
      </c>
      <c r="D859" s="31"/>
      <c r="E859" s="402" t="s">
        <v>430</v>
      </c>
      <c r="F859" s="31"/>
      <c r="G859" s="814" t="s">
        <v>735</v>
      </c>
      <c r="H859" s="400" t="str">
        <f>IF(LEN('Ch6'!W542)=0,"",'Ch6'!W542)</f>
        <v>1 system</v>
      </c>
      <c r="J859" s="580"/>
    </row>
    <row r="860" spans="1:10" x14ac:dyDescent="0.35">
      <c r="B860" t="str">
        <f>IF(LEN('Ch6'!H543)=0,"",'Ch6'!H543)</f>
        <v/>
      </c>
      <c r="C860" t="str">
        <f t="shared" si="17"/>
        <v/>
      </c>
      <c r="D860" s="31"/>
      <c r="E860" s="402"/>
      <c r="F860" s="31"/>
      <c r="G860" s="814"/>
      <c r="H860"/>
      <c r="J860" s="580"/>
    </row>
    <row r="861" spans="1:10" x14ac:dyDescent="0.35">
      <c r="B861" t="str">
        <f>IF(LEN('Ch6'!H544)=0,"",'Ch6'!H544)</f>
        <v/>
      </c>
      <c r="C861" t="str">
        <f t="shared" si="17"/>
        <v/>
      </c>
      <c r="D861" s="31"/>
      <c r="E861" s="31"/>
      <c r="F861" s="31"/>
      <c r="G861" s="814"/>
      <c r="H861"/>
      <c r="J861" s="580"/>
    </row>
    <row r="862" spans="1:10" ht="18.5" x14ac:dyDescent="0.35">
      <c r="A862" s="366" t="s">
        <v>3973</v>
      </c>
      <c r="B862" t="str">
        <f>IF(LEN('Ch6'!H545)=0,"",'Ch6'!H545)</f>
        <v/>
      </c>
      <c r="C862" t="str">
        <f t="shared" si="17"/>
        <v>P</v>
      </c>
      <c r="D862" s="625" t="s">
        <v>4900</v>
      </c>
      <c r="E862" s="625"/>
      <c r="F862" s="625"/>
      <c r="G862" s="569"/>
      <c r="H862"/>
      <c r="J862" s="592"/>
    </row>
    <row r="863" spans="1:10" x14ac:dyDescent="0.35">
      <c r="A863" s="366" t="str">
        <f ca="1">IF(I863&gt;0,"P","")</f>
        <v/>
      </c>
      <c r="B863" t="str">
        <f>IF(LEN('Ch6'!H546)=0,"",'Ch6'!H546)</f>
        <v/>
      </c>
      <c r="C863" t="str">
        <f t="shared" ca="1" si="17"/>
        <v/>
      </c>
      <c r="D863" s="31">
        <v>613.1</v>
      </c>
      <c r="E863" s="31"/>
      <c r="F863" s="31"/>
      <c r="G863" s="838" t="s">
        <v>4213</v>
      </c>
      <c r="H863" s="400" t="str">
        <f>IF(LEN('Ch6'!W546)=0,"",'Ch6'!W546)</f>
        <v/>
      </c>
      <c r="I863" s="46">
        <f ca="1">'Ch6'!O546</f>
        <v>0</v>
      </c>
      <c r="J863" s="975" t="s">
        <v>4978</v>
      </c>
    </row>
    <row r="864" spans="1:10" x14ac:dyDescent="0.35">
      <c r="A864" s="366" t="str">
        <f ca="1">A863</f>
        <v/>
      </c>
      <c r="B864" t="str">
        <f>IF(LEN('Ch6'!H547)=0,"",'Ch6'!H547)</f>
        <v/>
      </c>
      <c r="C864" t="str">
        <f t="shared" ca="1" si="17"/>
        <v/>
      </c>
      <c r="D864" s="31"/>
      <c r="E864" s="31"/>
      <c r="F864" s="31"/>
      <c r="G864" s="838"/>
      <c r="H864"/>
      <c r="J864" s="979"/>
    </row>
    <row r="865" spans="1:10" x14ac:dyDescent="0.35">
      <c r="A865" s="366" t="str">
        <f ca="1">A864</f>
        <v/>
      </c>
      <c r="B865" t="str">
        <f>IF(LEN('Ch6'!H548)=0,"",'Ch6'!H548)</f>
        <v/>
      </c>
      <c r="C865" t="str">
        <f t="shared" ca="1" si="17"/>
        <v/>
      </c>
      <c r="D865" s="31"/>
      <c r="E865" s="31"/>
      <c r="F865" s="31"/>
      <c r="G865" s="838"/>
      <c r="H865"/>
      <c r="J865" s="979"/>
    </row>
    <row r="866" spans="1:10" x14ac:dyDescent="0.35">
      <c r="A866" s="366" t="str">
        <f ca="1">A865</f>
        <v/>
      </c>
      <c r="B866" t="str">
        <f>IF(LEN('Ch6'!H549)=0,"",'Ch6'!H549)</f>
        <v/>
      </c>
      <c r="C866" t="str">
        <f t="shared" ca="1" si="17"/>
        <v/>
      </c>
      <c r="D866" s="31"/>
      <c r="E866" s="31"/>
      <c r="F866" s="31"/>
      <c r="G866" s="838"/>
      <c r="H866"/>
      <c r="J866" s="979"/>
    </row>
    <row r="867" spans="1:10" x14ac:dyDescent="0.35">
      <c r="A867" s="366" t="str">
        <f ca="1">A866</f>
        <v/>
      </c>
      <c r="B867" t="str">
        <f>IF(LEN('Ch6'!H550)=0,"",'Ch6'!H550)</f>
        <v/>
      </c>
      <c r="C867" t="str">
        <f t="shared" ca="1" si="17"/>
        <v/>
      </c>
      <c r="D867" s="31"/>
      <c r="E867" s="31"/>
      <c r="F867" s="31"/>
      <c r="G867" s="838"/>
      <c r="H867"/>
      <c r="J867" s="976"/>
    </row>
    <row r="868" spans="1:10" x14ac:dyDescent="0.35">
      <c r="B868" t="str">
        <f>IF(LEN('Ch6'!H551)=0,"",'Ch6'!H551)</f>
        <v/>
      </c>
      <c r="C868" t="str">
        <f t="shared" si="17"/>
        <v/>
      </c>
      <c r="D868" s="402"/>
      <c r="E868" s="402"/>
      <c r="F868" s="402" t="s">
        <v>121</v>
      </c>
      <c r="G868" s="881" t="s">
        <v>4214</v>
      </c>
      <c r="H868"/>
      <c r="J868" s="580"/>
    </row>
    <row r="869" spans="1:10" x14ac:dyDescent="0.35">
      <c r="B869" t="str">
        <f>IF(LEN('Ch6'!H552)=0,"",'Ch6'!H552)</f>
        <v/>
      </c>
      <c r="C869" t="str">
        <f t="shared" si="17"/>
        <v/>
      </c>
      <c r="D869" s="402"/>
      <c r="E869" s="402"/>
      <c r="F869" s="619"/>
      <c r="G869" s="882"/>
      <c r="H869"/>
      <c r="J869" s="580"/>
    </row>
    <row r="870" spans="1:10" x14ac:dyDescent="0.35">
      <c r="B870" t="str">
        <f>IF(LEN('Ch6'!H553)=0,"",'Ch6'!H553)</f>
        <v/>
      </c>
      <c r="C870" t="str">
        <f t="shared" si="17"/>
        <v/>
      </c>
      <c r="D870" s="402"/>
      <c r="E870" s="402"/>
      <c r="F870" s="424" t="s">
        <v>122</v>
      </c>
      <c r="G870" s="883" t="s">
        <v>4208</v>
      </c>
      <c r="H870"/>
      <c r="J870" s="580"/>
    </row>
    <row r="871" spans="1:10" x14ac:dyDescent="0.35">
      <c r="B871" t="str">
        <f>IF(LEN('Ch6'!H554)=0,"",'Ch6'!H554)</f>
        <v/>
      </c>
      <c r="C871" t="str">
        <f t="shared" si="17"/>
        <v/>
      </c>
      <c r="D871" s="402"/>
      <c r="E871" s="402"/>
      <c r="G871" s="881"/>
      <c r="H871"/>
      <c r="J871" s="580"/>
    </row>
    <row r="872" spans="1:10" x14ac:dyDescent="0.35">
      <c r="B872" t="str">
        <f>IF(LEN('Ch6'!H555)=0,"",'Ch6'!H555)</f>
        <v/>
      </c>
      <c r="C872" t="str">
        <f t="shared" si="17"/>
        <v/>
      </c>
      <c r="D872" s="402"/>
      <c r="E872" s="402"/>
      <c r="G872" s="881"/>
      <c r="H872"/>
      <c r="J872" s="580"/>
    </row>
    <row r="873" spans="1:10" x14ac:dyDescent="0.35">
      <c r="B873" t="str">
        <f>IF(LEN('Ch6'!H556)=0,"",'Ch6'!H556)</f>
        <v/>
      </c>
      <c r="C873" t="str">
        <f t="shared" si="17"/>
        <v/>
      </c>
      <c r="D873" s="402"/>
      <c r="E873" s="402"/>
      <c r="F873" s="619"/>
      <c r="G873" s="882"/>
      <c r="H873"/>
      <c r="J873" s="580"/>
    </row>
    <row r="874" spans="1:10" x14ac:dyDescent="0.35">
      <c r="B874" t="str">
        <f>IF(LEN('Ch6'!H557)=0,"",'Ch6'!H557)</f>
        <v/>
      </c>
      <c r="C874" t="str">
        <f t="shared" si="17"/>
        <v/>
      </c>
      <c r="D874" s="402"/>
      <c r="E874" s="402"/>
      <c r="F874" s="422" t="s">
        <v>123</v>
      </c>
      <c r="G874" s="479" t="s">
        <v>4209</v>
      </c>
      <c r="H874"/>
      <c r="J874" s="580"/>
    </row>
    <row r="875" spans="1:10" x14ac:dyDescent="0.35">
      <c r="B875" t="str">
        <f>IF(LEN('Ch6'!H558)=0,"",'Ch6'!H558)</f>
        <v/>
      </c>
      <c r="C875" t="str">
        <f t="shared" si="17"/>
        <v/>
      </c>
      <c r="D875" s="402"/>
      <c r="E875" s="402"/>
      <c r="F875" s="425" t="s">
        <v>401</v>
      </c>
      <c r="G875" s="479" t="s">
        <v>4210</v>
      </c>
      <c r="H875"/>
      <c r="J875" s="580"/>
    </row>
    <row r="876" spans="1:10" x14ac:dyDescent="0.35">
      <c r="B876" t="str">
        <f>IF(LEN('Ch6'!H559)=0,"",'Ch6'!H559)</f>
        <v/>
      </c>
      <c r="C876" t="str">
        <f t="shared" si="17"/>
        <v/>
      </c>
      <c r="D876" s="402"/>
      <c r="E876" s="402"/>
      <c r="F876" s="415" t="s">
        <v>539</v>
      </c>
      <c r="G876" s="479" t="s">
        <v>4211</v>
      </c>
      <c r="H876"/>
      <c r="J876" s="580"/>
    </row>
    <row r="877" spans="1:10" x14ac:dyDescent="0.35">
      <c r="B877" t="str">
        <f>IF(LEN('Ch6'!H560)=0,"",'Ch6'!H560)</f>
        <v/>
      </c>
      <c r="C877" t="str">
        <f t="shared" si="17"/>
        <v/>
      </c>
      <c r="D877" s="402"/>
      <c r="E877" s="402"/>
      <c r="F877" s="402" t="s">
        <v>604</v>
      </c>
      <c r="G877" s="480" t="s">
        <v>4212</v>
      </c>
      <c r="H877"/>
      <c r="J877" s="580"/>
    </row>
    <row r="878" spans="1:10" ht="18.5" x14ac:dyDescent="0.45">
      <c r="A878" s="366" t="s">
        <v>3973</v>
      </c>
      <c r="B878" t="str">
        <f>IF(LEN('Ch7'!H9)=0,"",'Ch7'!H9)</f>
        <v/>
      </c>
      <c r="C878" t="str">
        <f t="shared" si="17"/>
        <v>P</v>
      </c>
      <c r="D878" s="617" t="s">
        <v>812</v>
      </c>
      <c r="E878" s="617"/>
      <c r="F878" s="617"/>
      <c r="G878" s="601"/>
      <c r="H878"/>
      <c r="J878" s="580"/>
    </row>
    <row r="879" spans="1:10" ht="15" customHeight="1" x14ac:dyDescent="0.35">
      <c r="B879" t="str">
        <f>IF(LEN('Ch7'!H10)=0,"",'Ch7'!H10)</f>
        <v/>
      </c>
      <c r="C879" t="str">
        <f t="shared" si="17"/>
        <v/>
      </c>
      <c r="D879" s="30">
        <v>701.1</v>
      </c>
      <c r="E879" s="152"/>
      <c r="F879" s="90"/>
      <c r="G879" s="838" t="s">
        <v>4851</v>
      </c>
      <c r="H879"/>
      <c r="J879" s="580"/>
    </row>
    <row r="880" spans="1:10" x14ac:dyDescent="0.35">
      <c r="B880" t="str">
        <f>IF(LEN('Ch7'!H11)=0,"",'Ch7'!H11)</f>
        <v/>
      </c>
      <c r="C880" t="str">
        <f t="shared" si="17"/>
        <v/>
      </c>
      <c r="D880" s="30"/>
      <c r="E880" s="152"/>
      <c r="F880" s="90"/>
      <c r="G880" s="838"/>
      <c r="H880"/>
      <c r="J880" s="580"/>
    </row>
    <row r="881" spans="1:10" x14ac:dyDescent="0.35">
      <c r="B881" t="str">
        <f>IF(LEN('Ch7'!H12)=0,"",'Ch7'!H12)</f>
        <v/>
      </c>
      <c r="C881" t="str">
        <f t="shared" si="17"/>
        <v/>
      </c>
      <c r="D881" s="30"/>
      <c r="E881" s="152"/>
      <c r="F881" s="90"/>
      <c r="G881" s="838"/>
      <c r="H881" s="400" t="str">
        <f>IF(LEN('Ch7'!W12)=0,"",'Ch7'!W12)</f>
        <v>Prescriptive Path</v>
      </c>
      <c r="J881" s="580"/>
    </row>
    <row r="882" spans="1:10" x14ac:dyDescent="0.35">
      <c r="B882" t="str">
        <f>IF(LEN('Ch7'!H13)=0,"",'Ch7'!H13)</f>
        <v/>
      </c>
      <c r="C882" t="str">
        <f t="shared" si="17"/>
        <v/>
      </c>
      <c r="D882" s="30"/>
      <c r="E882" s="152"/>
      <c r="F882" s="90"/>
      <c r="G882" s="838"/>
      <c r="H882" s="434">
        <f ca="1">'Ch7'!S13</f>
        <v>2</v>
      </c>
      <c r="J882" s="580"/>
    </row>
    <row r="883" spans="1:10" ht="15" customHeight="1" x14ac:dyDescent="0.35">
      <c r="B883" t="str">
        <f>IF(LEN('Ch7'!H14)=0,"",'Ch7'!H14)</f>
        <v/>
      </c>
      <c r="C883" t="str">
        <f t="shared" ref="C883:C885" si="18">IF(LEN(B883)=0,IF(A883="P","P",""),B883)</f>
        <v/>
      </c>
      <c r="D883" s="30"/>
      <c r="E883" s="152"/>
      <c r="F883" s="90"/>
      <c r="G883" s="855" t="s">
        <v>5624</v>
      </c>
      <c r="H883"/>
      <c r="J883" s="592"/>
    </row>
    <row r="884" spans="1:10" x14ac:dyDescent="0.35">
      <c r="D884" s="30"/>
      <c r="E884" s="152"/>
      <c r="F884" s="90"/>
      <c r="G884" s="855"/>
      <c r="H884"/>
      <c r="J884" s="592"/>
    </row>
    <row r="885" spans="1:10" x14ac:dyDescent="0.35">
      <c r="B885" t="str">
        <f>IF(LEN('Ch7'!H16)=0,"",'Ch7'!H16)</f>
        <v/>
      </c>
      <c r="C885" t="str">
        <f t="shared" si="18"/>
        <v/>
      </c>
      <c r="D885" s="30"/>
      <c r="E885" s="152"/>
      <c r="F885" s="90"/>
      <c r="G885" s="855"/>
      <c r="H885"/>
      <c r="J885" s="592"/>
    </row>
    <row r="886" spans="1:10" ht="22.5" customHeight="1" x14ac:dyDescent="0.35">
      <c r="A886" s="366" t="str">
        <f ca="1">IF(H882=1,"P","")</f>
        <v/>
      </c>
      <c r="B886" t="str">
        <f>IF(LEN('Ch7'!H17)=0,"",'Ch7'!H17)</f>
        <v/>
      </c>
      <c r="C886" t="str">
        <f t="shared" ca="1" si="17"/>
        <v/>
      </c>
      <c r="D886" s="405" t="s">
        <v>813</v>
      </c>
      <c r="E886" s="615"/>
      <c r="F886" s="615"/>
      <c r="G886" s="905" t="s">
        <v>5119</v>
      </c>
      <c r="H886"/>
      <c r="J886" s="975" t="s">
        <v>4979</v>
      </c>
    </row>
    <row r="887" spans="1:10" x14ac:dyDescent="0.35">
      <c r="A887" s="366" t="str">
        <f ca="1">A886</f>
        <v/>
      </c>
      <c r="B887" t="str">
        <f>IF(LEN('Ch7'!H18)=0,"",'Ch7'!H18)</f>
        <v/>
      </c>
      <c r="C887" t="str">
        <f t="shared" ca="1" si="17"/>
        <v/>
      </c>
      <c r="D887" s="31"/>
      <c r="E887" s="487"/>
      <c r="F887" s="487"/>
      <c r="G887" s="838"/>
      <c r="H887"/>
      <c r="J887" s="979"/>
    </row>
    <row r="888" spans="1:10" x14ac:dyDescent="0.35">
      <c r="A888" s="366" t="str">
        <f ca="1">A887</f>
        <v/>
      </c>
      <c r="B888" t="str">
        <f>IF(LEN('Ch7'!H19)=0,"",'Ch7'!H19)</f>
        <v/>
      </c>
      <c r="C888" t="str">
        <f t="shared" ca="1" si="17"/>
        <v/>
      </c>
      <c r="D888" s="403"/>
      <c r="E888" s="614"/>
      <c r="F888" s="614"/>
      <c r="G888" s="889"/>
      <c r="H888"/>
      <c r="J888" s="976"/>
    </row>
    <row r="889" spans="1:10" ht="15" customHeight="1" x14ac:dyDescent="0.35">
      <c r="A889" s="366" t="str">
        <f ca="1">IF(H882=2,"P","")</f>
        <v>P</v>
      </c>
      <c r="B889" t="str">
        <f>IF(LEN('Ch7'!H20)=0,"",'Ch7'!H20)</f>
        <v/>
      </c>
      <c r="C889" t="str">
        <f t="shared" ca="1" si="17"/>
        <v>P</v>
      </c>
      <c r="D889" s="405" t="s">
        <v>814</v>
      </c>
      <c r="E889" s="615"/>
      <c r="F889" s="615"/>
      <c r="G889" s="905" t="s">
        <v>5120</v>
      </c>
      <c r="H889"/>
      <c r="J889" s="580" t="s">
        <v>3891</v>
      </c>
    </row>
    <row r="890" spans="1:10" x14ac:dyDescent="0.35">
      <c r="A890" s="366" t="str">
        <f ca="1">A889</f>
        <v>P</v>
      </c>
      <c r="B890" t="str">
        <f>IF(LEN('Ch7'!H21)=0,"",'Ch7'!H21)</f>
        <v/>
      </c>
      <c r="C890" t="str">
        <f t="shared" ca="1" si="17"/>
        <v>P</v>
      </c>
      <c r="D890" s="31"/>
      <c r="E890" s="487"/>
      <c r="F890" s="487"/>
      <c r="G890" s="838"/>
      <c r="H890"/>
      <c r="J890" s="580"/>
    </row>
    <row r="891" spans="1:10" x14ac:dyDescent="0.35">
      <c r="A891" s="366" t="str">
        <f ca="1">A890</f>
        <v>P</v>
      </c>
      <c r="B891" t="str">
        <f>IF(LEN('Ch7'!H22)=0,"",'Ch7'!H22)</f>
        <v/>
      </c>
      <c r="C891" t="str">
        <f t="shared" ca="1" si="17"/>
        <v>P</v>
      </c>
      <c r="D891" s="31"/>
      <c r="E891" s="487"/>
      <c r="F891" s="487"/>
      <c r="G891" s="838"/>
      <c r="H891"/>
      <c r="J891" s="580"/>
    </row>
    <row r="892" spans="1:10" x14ac:dyDescent="0.35">
      <c r="A892" s="366" t="str">
        <f ca="1">A891</f>
        <v>P</v>
      </c>
      <c r="B892" t="str">
        <f>IF(LEN('Ch7'!H23)=0,"",'Ch7'!H23)</f>
        <v/>
      </c>
      <c r="C892" t="str">
        <f t="shared" ca="1" si="17"/>
        <v>P</v>
      </c>
      <c r="D892" s="403"/>
      <c r="E892" s="614"/>
      <c r="F892" s="614"/>
      <c r="G892" s="889"/>
      <c r="H892"/>
      <c r="J892" s="580"/>
    </row>
    <row r="893" spans="1:10" ht="15" customHeight="1" x14ac:dyDescent="0.35">
      <c r="A893" s="366" t="str">
        <f ca="1">IF(H882=3,"P","")</f>
        <v/>
      </c>
      <c r="B893" t="str">
        <f>IF(LEN('Ch7'!H24)=0,"",'Ch7'!H24)</f>
        <v/>
      </c>
      <c r="C893" t="str">
        <f t="shared" ca="1" si="17"/>
        <v/>
      </c>
      <c r="D893" s="31" t="s">
        <v>815</v>
      </c>
      <c r="E893" s="487"/>
      <c r="F893" s="487"/>
      <c r="G893" s="838" t="s">
        <v>5121</v>
      </c>
      <c r="H893"/>
      <c r="J893" s="580" t="s">
        <v>4980</v>
      </c>
    </row>
    <row r="894" spans="1:10" x14ac:dyDescent="0.35">
      <c r="A894" s="366" t="str">
        <f ca="1">A893</f>
        <v/>
      </c>
      <c r="B894" t="str">
        <f>IF(LEN('Ch7'!H25)=0,"",'Ch7'!H25)</f>
        <v/>
      </c>
      <c r="C894" t="str">
        <f t="shared" ca="1" si="17"/>
        <v/>
      </c>
      <c r="D894" s="31"/>
      <c r="E894" s="487"/>
      <c r="F894" s="487"/>
      <c r="G894" s="838"/>
      <c r="H894"/>
      <c r="J894" s="580"/>
    </row>
    <row r="895" spans="1:10" x14ac:dyDescent="0.35">
      <c r="A895" s="366" t="str">
        <f ca="1">A894</f>
        <v/>
      </c>
      <c r="B895" t="str">
        <f>IF(LEN('Ch7'!H26)=0,"",'Ch7'!H26)</f>
        <v/>
      </c>
      <c r="C895" t="str">
        <f t="shared" ca="1" si="17"/>
        <v/>
      </c>
      <c r="D895" s="403"/>
      <c r="E895" s="614"/>
      <c r="F895" s="614"/>
      <c r="G895" s="889"/>
      <c r="H895"/>
      <c r="J895" s="580"/>
    </row>
    <row r="896" spans="1:10" ht="15" customHeight="1" x14ac:dyDescent="0.35">
      <c r="A896" s="366" t="str">
        <f ca="1">IF(H882=4,"P","")</f>
        <v/>
      </c>
      <c r="B896" t="str">
        <f>IF(LEN('Ch7'!H27)=0,"",'Ch7'!H27)</f>
        <v/>
      </c>
      <c r="C896" t="str">
        <f t="shared" ca="1" si="17"/>
        <v/>
      </c>
      <c r="D896" s="31" t="s">
        <v>816</v>
      </c>
      <c r="E896" s="487"/>
      <c r="F896" s="487"/>
      <c r="G896" s="905" t="s">
        <v>4888</v>
      </c>
      <c r="H896"/>
      <c r="I896" s="46">
        <f ca="1">'Ch7'!O27</f>
        <v>0</v>
      </c>
      <c r="J896" s="975" t="s">
        <v>4981</v>
      </c>
    </row>
    <row r="897" spans="1:10" x14ac:dyDescent="0.35">
      <c r="A897" s="366" t="str">
        <f t="shared" ref="A897:A905" ca="1" si="19">A896</f>
        <v/>
      </c>
      <c r="B897" t="str">
        <f>IF(LEN('Ch7'!H28)=0,"",'Ch7'!H28)</f>
        <v/>
      </c>
      <c r="C897" t="str">
        <f t="shared" ca="1" si="17"/>
        <v/>
      </c>
      <c r="D897" s="31"/>
      <c r="E897" s="487"/>
      <c r="F897" s="487"/>
      <c r="G897" s="838"/>
      <c r="H897" s="400" t="str">
        <f>IF(LEN('Ch7'!W28)=0,"",'Ch7'!W28)</f>
        <v/>
      </c>
      <c r="J897" s="979"/>
    </row>
    <row r="898" spans="1:10" x14ac:dyDescent="0.35">
      <c r="A898" s="366" t="str">
        <f t="shared" ca="1" si="19"/>
        <v/>
      </c>
      <c r="B898" t="str">
        <f>IF(LEN('Ch7'!H29)=0,"",'Ch7'!H29)</f>
        <v/>
      </c>
      <c r="C898" t="str">
        <f t="shared" ca="1" si="17"/>
        <v/>
      </c>
      <c r="D898" s="31"/>
      <c r="E898" s="487"/>
      <c r="F898" s="487"/>
      <c r="G898" s="838"/>
      <c r="H898"/>
      <c r="J898" s="979"/>
    </row>
    <row r="899" spans="1:10" x14ac:dyDescent="0.35">
      <c r="A899" s="366" t="str">
        <f t="shared" ca="1" si="19"/>
        <v/>
      </c>
      <c r="B899" t="str">
        <f>IF(LEN('Ch7'!H30)=0,"",'Ch7'!H30)</f>
        <v/>
      </c>
      <c r="C899" t="str">
        <f t="shared" ca="1" si="17"/>
        <v/>
      </c>
      <c r="D899" s="31"/>
      <c r="E899" s="487"/>
      <c r="F899" s="487"/>
      <c r="G899" s="838"/>
      <c r="H899"/>
      <c r="J899" s="976"/>
    </row>
    <row r="900" spans="1:10" x14ac:dyDescent="0.35">
      <c r="A900" s="366" t="str">
        <f t="shared" ca="1" si="19"/>
        <v/>
      </c>
      <c r="B900" t="str">
        <f>IF(LEN('Ch7'!H31)=0,"",'Ch7'!H31)</f>
        <v/>
      </c>
      <c r="C900" t="str">
        <f t="shared" ca="1" si="17"/>
        <v/>
      </c>
      <c r="D900" s="31"/>
      <c r="E900" s="487"/>
      <c r="F900" s="487"/>
      <c r="G900" s="838"/>
      <c r="H900"/>
      <c r="J900" s="580"/>
    </row>
    <row r="901" spans="1:10" x14ac:dyDescent="0.35">
      <c r="A901" s="366" t="str">
        <f t="shared" ca="1" si="19"/>
        <v/>
      </c>
      <c r="B901" t="str">
        <f>IF(LEN('Ch7'!H32)=0,"",'Ch7'!H32)</f>
        <v/>
      </c>
      <c r="C901" t="str">
        <f t="shared" ca="1" si="17"/>
        <v/>
      </c>
      <c r="D901" s="31"/>
      <c r="E901" s="487"/>
      <c r="F901" s="487"/>
      <c r="G901" s="838"/>
      <c r="H901"/>
      <c r="J901" s="580"/>
    </row>
    <row r="902" spans="1:10" x14ac:dyDescent="0.35">
      <c r="A902" s="366" t="str">
        <f t="shared" ca="1" si="19"/>
        <v/>
      </c>
      <c r="B902" t="str">
        <f>IF(LEN('Ch7'!H33)=0,"",'Ch7'!H33)</f>
        <v/>
      </c>
      <c r="C902" t="str">
        <f t="shared" ca="1" si="17"/>
        <v/>
      </c>
      <c r="D902" s="31"/>
      <c r="E902" s="487"/>
      <c r="F902" s="487"/>
      <c r="G902" s="838"/>
      <c r="H902"/>
      <c r="J902" s="580"/>
    </row>
    <row r="903" spans="1:10" x14ac:dyDescent="0.35">
      <c r="A903" s="366" t="str">
        <f t="shared" ca="1" si="19"/>
        <v/>
      </c>
      <c r="B903" t="str">
        <f>IF(LEN('Ch7'!H34)=0,"",'Ch7'!H34)</f>
        <v/>
      </c>
      <c r="C903" t="str">
        <f t="shared" ca="1" si="17"/>
        <v/>
      </c>
      <c r="D903" s="31"/>
      <c r="E903" s="487"/>
      <c r="F903" s="487"/>
      <c r="G903" s="838"/>
      <c r="H903"/>
      <c r="J903" s="580"/>
    </row>
    <row r="904" spans="1:10" x14ac:dyDescent="0.35">
      <c r="A904" s="366" t="str">
        <f t="shared" ca="1" si="19"/>
        <v/>
      </c>
      <c r="B904" t="str">
        <f>IF(LEN('Ch7'!H35)=0,"",'Ch7'!H35)</f>
        <v/>
      </c>
      <c r="C904" t="str">
        <f t="shared" ca="1" si="17"/>
        <v/>
      </c>
      <c r="D904" s="31"/>
      <c r="E904" s="487"/>
      <c r="F904" s="487"/>
      <c r="G904" s="838"/>
      <c r="H904"/>
      <c r="J904" s="580"/>
    </row>
    <row r="905" spans="1:10" ht="15" thickBot="1" x14ac:dyDescent="0.4">
      <c r="A905" s="366" t="str">
        <f t="shared" ca="1" si="19"/>
        <v/>
      </c>
      <c r="B905" t="str">
        <f>IF(LEN('Ch7'!H36)=0,"",'Ch7'!H36)</f>
        <v/>
      </c>
      <c r="C905" t="str">
        <f t="shared" ref="C905" ca="1" si="20">IF(LEN(B905)=0,IF(A905="P","P",""),B905)</f>
        <v/>
      </c>
      <c r="D905" s="404"/>
      <c r="E905" s="575"/>
      <c r="F905" s="575"/>
      <c r="G905" s="663" t="s">
        <v>5673</v>
      </c>
      <c r="H905"/>
      <c r="J905" s="580"/>
    </row>
    <row r="906" spans="1:10" ht="15" thickTop="1" x14ac:dyDescent="0.35">
      <c r="B906" t="str">
        <f>IF(LEN('Ch7'!H37)=0,"",'Ch7'!H37)</f>
        <v/>
      </c>
      <c r="C906" t="str">
        <f t="shared" si="17"/>
        <v/>
      </c>
      <c r="D906" s="402" t="s">
        <v>4225</v>
      </c>
      <c r="E906" s="402"/>
      <c r="F906" s="402"/>
      <c r="G906" s="881" t="s">
        <v>4226</v>
      </c>
      <c r="H906"/>
      <c r="J906" s="580"/>
    </row>
    <row r="907" spans="1:10" x14ac:dyDescent="0.35">
      <c r="B907" t="str">
        <f>IF(LEN('Ch7'!H38)=0,"",'Ch7'!H38)</f>
        <v/>
      </c>
      <c r="C907" t="str">
        <f t="shared" si="17"/>
        <v/>
      </c>
      <c r="D907" s="402"/>
      <c r="E907" s="402"/>
      <c r="F907" s="402"/>
      <c r="G907" s="881"/>
      <c r="H907"/>
      <c r="J907" s="580"/>
    </row>
    <row r="908" spans="1:10" x14ac:dyDescent="0.35">
      <c r="B908" t="str">
        <f>IF(LEN('Ch7'!H39)=0,"",'Ch7'!H39)</f>
        <v/>
      </c>
      <c r="C908" t="str">
        <f t="shared" si="17"/>
        <v/>
      </c>
      <c r="D908" s="402"/>
      <c r="E908" s="402"/>
      <c r="F908" s="402"/>
      <c r="G908" s="881"/>
      <c r="H908"/>
      <c r="J908" s="580"/>
    </row>
    <row r="909" spans="1:10" x14ac:dyDescent="0.35">
      <c r="B909" t="str">
        <f>IF(LEN('Ch7'!H40)=0,"",'Ch7'!H40)</f>
        <v/>
      </c>
      <c r="C909" t="str">
        <f t="shared" ref="C909" si="21">IF(LEN(B909)=0,IF(A909="P","P",""),B909)</f>
        <v/>
      </c>
      <c r="D909" s="402"/>
      <c r="E909" s="402"/>
      <c r="F909" s="402"/>
      <c r="G909" s="664" t="s">
        <v>5673</v>
      </c>
      <c r="H909"/>
      <c r="J909" s="580"/>
    </row>
    <row r="910" spans="1:10" x14ac:dyDescent="0.35">
      <c r="B910" t="str">
        <f>IF(LEN('Ch7'!H41)=0,"",'Ch7'!H41)</f>
        <v/>
      </c>
      <c r="C910" t="str">
        <f t="shared" si="17"/>
        <v/>
      </c>
      <c r="D910" s="402"/>
      <c r="E910" s="416" t="s">
        <v>256</v>
      </c>
      <c r="F910" s="416"/>
      <c r="G910" s="477" t="s">
        <v>4227</v>
      </c>
      <c r="H910" s="400" t="str">
        <f>IF(LEN('Ch7'!W41)=0,"",'Ch7'!W41)</f>
        <v/>
      </c>
      <c r="J910" s="580"/>
    </row>
    <row r="911" spans="1:10" x14ac:dyDescent="0.35">
      <c r="B911" t="str">
        <f>IF(LEN('Ch7'!H42)=0,"",'Ch7'!H42)</f>
        <v/>
      </c>
      <c r="C911" t="str">
        <f t="shared" ref="C911:C974" si="22">IF(LEN(B911)=0,IF(A911="P","P",""),B911)</f>
        <v/>
      </c>
      <c r="D911" s="402"/>
      <c r="E911" s="424" t="s">
        <v>258</v>
      </c>
      <c r="F911" s="424"/>
      <c r="G911" s="828" t="s">
        <v>4228</v>
      </c>
      <c r="H911" s="400" t="str">
        <f>IF(LEN('Ch7'!W42)=0,"",'Ch7'!W42)</f>
        <v/>
      </c>
      <c r="J911" s="580"/>
    </row>
    <row r="912" spans="1:10" x14ac:dyDescent="0.35">
      <c r="B912" t="str">
        <f>IF(LEN('Ch7'!H43)=0,"",'Ch7'!H43)</f>
        <v/>
      </c>
      <c r="C912" t="str">
        <f t="shared" si="22"/>
        <v/>
      </c>
      <c r="D912" s="402"/>
      <c r="E912" s="416"/>
      <c r="F912" s="416"/>
      <c r="G912" s="842"/>
      <c r="H912"/>
      <c r="J912" s="580"/>
    </row>
    <row r="913" spans="2:10" x14ac:dyDescent="0.35">
      <c r="B913" t="str">
        <f>IF(LEN('Ch7'!H44)=0,"",'Ch7'!H44)</f>
        <v/>
      </c>
      <c r="C913" t="str">
        <f t="shared" si="22"/>
        <v/>
      </c>
      <c r="D913" s="402"/>
      <c r="E913" s="422" t="s">
        <v>260</v>
      </c>
      <c r="F913" s="422"/>
      <c r="G913" s="478" t="s">
        <v>4229</v>
      </c>
      <c r="H913" s="400" t="str">
        <f>IF(LEN('Ch7'!W44)=0,"",'Ch7'!W44)</f>
        <v/>
      </c>
      <c r="J913" s="580"/>
    </row>
    <row r="914" spans="2:10" x14ac:dyDescent="0.35">
      <c r="B914" t="str">
        <f>IF(LEN('Ch7'!H45)=0,"",'Ch7'!H45)</f>
        <v/>
      </c>
      <c r="C914" t="str">
        <f t="shared" si="22"/>
        <v/>
      </c>
      <c r="D914" s="402"/>
      <c r="E914" s="424" t="s">
        <v>269</v>
      </c>
      <c r="F914" s="424"/>
      <c r="G914" s="828" t="s">
        <v>4230</v>
      </c>
      <c r="H914" s="400" t="str">
        <f>IF(LEN('Ch7'!W45)=0,"",'Ch7'!W45)</f>
        <v/>
      </c>
      <c r="J914" s="580"/>
    </row>
    <row r="915" spans="2:10" x14ac:dyDescent="0.35">
      <c r="B915" t="str">
        <f>IF(LEN('Ch7'!H46)=0,"",'Ch7'!H46)</f>
        <v/>
      </c>
      <c r="C915" t="str">
        <f t="shared" si="22"/>
        <v/>
      </c>
      <c r="D915" s="402"/>
      <c r="E915" s="416"/>
      <c r="F915" s="416"/>
      <c r="G915" s="842"/>
      <c r="H915"/>
      <c r="J915" s="580"/>
    </row>
    <row r="916" spans="2:10" x14ac:dyDescent="0.35">
      <c r="B916" t="str">
        <f>IF(LEN('Ch7'!H47)=0,"",'Ch7'!H47)</f>
        <v/>
      </c>
      <c r="C916" t="str">
        <f t="shared" si="22"/>
        <v/>
      </c>
      <c r="D916" s="402"/>
      <c r="E916" s="424" t="s">
        <v>275</v>
      </c>
      <c r="F916" s="424"/>
      <c r="G916" s="828" t="s">
        <v>4231</v>
      </c>
      <c r="H916" s="400" t="str">
        <f>IF(LEN('Ch7'!W47)=0,"",'Ch7'!W47)</f>
        <v/>
      </c>
      <c r="J916" s="580"/>
    </row>
    <row r="917" spans="2:10" x14ac:dyDescent="0.35">
      <c r="B917" t="str">
        <f>IF(LEN('Ch7'!H48)=0,"",'Ch7'!H48)</f>
        <v/>
      </c>
      <c r="C917" t="str">
        <f t="shared" si="22"/>
        <v/>
      </c>
      <c r="D917" s="402"/>
      <c r="E917" s="416"/>
      <c r="F917" s="416"/>
      <c r="G917" s="842"/>
      <c r="H917"/>
      <c r="J917" s="580"/>
    </row>
    <row r="918" spans="2:10" x14ac:dyDescent="0.35">
      <c r="B918" t="str">
        <f>IF(LEN('Ch7'!H49)=0,"",'Ch7'!H49)</f>
        <v/>
      </c>
      <c r="C918" t="str">
        <f t="shared" si="22"/>
        <v/>
      </c>
      <c r="D918" s="402"/>
      <c r="E918" s="402" t="s">
        <v>277</v>
      </c>
      <c r="F918" s="402"/>
      <c r="G918" s="470" t="s">
        <v>4232</v>
      </c>
      <c r="H918"/>
      <c r="J918" s="580"/>
    </row>
    <row r="919" spans="2:10" x14ac:dyDescent="0.35">
      <c r="B919" t="str">
        <f>IF(LEN('Ch7'!H50)=0,"",'Ch7'!H50)</f>
        <v/>
      </c>
      <c r="C919" t="str">
        <f t="shared" si="22"/>
        <v/>
      </c>
      <c r="D919" s="402"/>
      <c r="E919" s="402"/>
      <c r="F919" s="416" t="s">
        <v>121</v>
      </c>
      <c r="G919" s="477" t="s">
        <v>4233</v>
      </c>
      <c r="H919" s="400" t="str">
        <f>IF(LEN('Ch7'!W50)=0,"",'Ch7'!W50)</f>
        <v/>
      </c>
      <c r="J919" s="580"/>
    </row>
    <row r="920" spans="2:10" x14ac:dyDescent="0.35">
      <c r="B920" t="str">
        <f>IF(LEN('Ch7'!H51)=0,"",'Ch7'!H51)</f>
        <v/>
      </c>
      <c r="C920" t="str">
        <f t="shared" si="22"/>
        <v/>
      </c>
      <c r="D920" s="402"/>
      <c r="E920" s="402"/>
      <c r="F920" s="422" t="s">
        <v>122</v>
      </c>
      <c r="G920" s="478" t="s">
        <v>4234</v>
      </c>
      <c r="H920" s="400" t="str">
        <f>IF(LEN('Ch7'!W51)=0,"",'Ch7'!W51)</f>
        <v/>
      </c>
      <c r="J920" s="580"/>
    </row>
    <row r="921" spans="2:10" x14ac:dyDescent="0.35">
      <c r="B921" t="str">
        <f>IF(LEN('Ch7'!H52)=0,"",'Ch7'!H52)</f>
        <v/>
      </c>
      <c r="C921" t="str">
        <f t="shared" si="22"/>
        <v/>
      </c>
      <c r="D921" s="402"/>
      <c r="E921" s="416"/>
      <c r="F921" s="416" t="s">
        <v>123</v>
      </c>
      <c r="G921" s="477" t="s">
        <v>4235</v>
      </c>
      <c r="H921" s="400" t="str">
        <f>IF(LEN('Ch7'!W52)=0,"",'Ch7'!W52)</f>
        <v/>
      </c>
      <c r="J921" s="580"/>
    </row>
    <row r="922" spans="2:10" x14ac:dyDescent="0.35">
      <c r="B922" t="str">
        <f>IF(LEN('Ch7'!H53)=0,"",'Ch7'!H53)</f>
        <v/>
      </c>
      <c r="C922" t="str">
        <f t="shared" si="22"/>
        <v/>
      </c>
      <c r="D922" s="402"/>
      <c r="E922" s="402" t="s">
        <v>383</v>
      </c>
      <c r="F922" s="402"/>
      <c r="G922" s="470" t="s">
        <v>4236</v>
      </c>
      <c r="H922"/>
      <c r="J922" s="580"/>
    </row>
    <row r="923" spans="2:10" x14ac:dyDescent="0.35">
      <c r="B923" t="str">
        <f>IF(LEN('Ch7'!H54)=0,"",'Ch7'!H54)</f>
        <v/>
      </c>
      <c r="C923" t="str">
        <f t="shared" si="22"/>
        <v/>
      </c>
      <c r="D923" s="402"/>
      <c r="E923" s="402"/>
      <c r="F923" s="416" t="s">
        <v>121</v>
      </c>
      <c r="G923" s="477" t="s">
        <v>4237</v>
      </c>
      <c r="H923" s="400" t="str">
        <f>IF(LEN('Ch7'!W54)=0,"",'Ch7'!W54)</f>
        <v/>
      </c>
      <c r="J923" s="580"/>
    </row>
    <row r="924" spans="2:10" x14ac:dyDescent="0.35">
      <c r="B924" t="str">
        <f>IF(LEN('Ch7'!H55)=0,"",'Ch7'!H55)</f>
        <v/>
      </c>
      <c r="C924" t="str">
        <f t="shared" si="22"/>
        <v/>
      </c>
      <c r="D924" s="402"/>
      <c r="E924" s="402"/>
      <c r="F924" s="422" t="s">
        <v>122</v>
      </c>
      <c r="G924" s="478" t="s">
        <v>4238</v>
      </c>
      <c r="H924" s="400" t="str">
        <f>IF(LEN('Ch7'!W55)=0,"",'Ch7'!W55)</f>
        <v/>
      </c>
      <c r="J924" s="580"/>
    </row>
    <row r="925" spans="2:10" x14ac:dyDescent="0.35">
      <c r="B925" t="str">
        <f>IF(LEN('Ch7'!H56)=0,"",'Ch7'!H56)</f>
        <v/>
      </c>
      <c r="C925" t="str">
        <f t="shared" si="22"/>
        <v/>
      </c>
      <c r="D925" s="402"/>
      <c r="E925" s="416"/>
      <c r="F925" s="416" t="s">
        <v>123</v>
      </c>
      <c r="G925" s="477" t="s">
        <v>4239</v>
      </c>
      <c r="H925" s="400" t="str">
        <f>IF(LEN('Ch7'!W56)=0,"",'Ch7'!W56)</f>
        <v/>
      </c>
      <c r="J925" s="580"/>
    </row>
    <row r="926" spans="2:10" x14ac:dyDescent="0.35">
      <c r="B926" t="str">
        <f>IF(LEN('Ch7'!H57)=0,"",'Ch7'!H57)</f>
        <v/>
      </c>
      <c r="C926" t="str">
        <f t="shared" si="22"/>
        <v/>
      </c>
      <c r="D926" s="402"/>
      <c r="E926" s="424" t="s">
        <v>428</v>
      </c>
      <c r="F926" s="424"/>
      <c r="G926" s="828" t="s">
        <v>4240</v>
      </c>
      <c r="H926" s="400" t="str">
        <f>IF(LEN('Ch7'!W57)=0,"",'Ch7'!W57)</f>
        <v/>
      </c>
      <c r="J926" s="580"/>
    </row>
    <row r="927" spans="2:10" x14ac:dyDescent="0.35">
      <c r="B927" t="str">
        <f>IF(LEN('Ch7'!H58)=0,"",'Ch7'!H58)</f>
        <v/>
      </c>
      <c r="C927" t="str">
        <f t="shared" si="22"/>
        <v/>
      </c>
      <c r="D927" s="402"/>
      <c r="E927" s="416"/>
      <c r="F927" s="416"/>
      <c r="G927" s="842"/>
      <c r="H927"/>
      <c r="J927" s="580"/>
    </row>
    <row r="928" spans="2:10" x14ac:dyDescent="0.35">
      <c r="B928" t="str">
        <f>IF(LEN('Ch7'!H59)=0,"",'Ch7'!H59)</f>
        <v/>
      </c>
      <c r="C928" t="str">
        <f t="shared" si="22"/>
        <v/>
      </c>
      <c r="D928" s="402"/>
      <c r="E928" s="402" t="s">
        <v>430</v>
      </c>
      <c r="F928" s="402"/>
      <c r="G928" s="825" t="s">
        <v>4241</v>
      </c>
      <c r="H928" s="400" t="str">
        <f>IF(LEN('Ch7'!W59)=0,"",'Ch7'!W59)</f>
        <v/>
      </c>
      <c r="J928" s="580"/>
    </row>
    <row r="929" spans="1:10" ht="15" thickBot="1" x14ac:dyDescent="0.4">
      <c r="B929" t="str">
        <f>IF(LEN('Ch7'!H60)=0,"",'Ch7'!H60)</f>
        <v/>
      </c>
      <c r="C929" t="str">
        <f t="shared" si="22"/>
        <v/>
      </c>
      <c r="D929" s="402"/>
      <c r="E929" s="402"/>
      <c r="F929" s="402"/>
      <c r="G929" s="826"/>
      <c r="H929"/>
      <c r="J929" s="580"/>
    </row>
    <row r="930" spans="1:10" ht="15" thickTop="1" x14ac:dyDescent="0.35">
      <c r="B930" t="str">
        <f>IF(LEN('Ch7'!H61)=0,"",'Ch7'!H61)</f>
        <v/>
      </c>
      <c r="C930" t="str">
        <f t="shared" si="22"/>
        <v/>
      </c>
      <c r="D930" s="60">
        <v>701.2</v>
      </c>
      <c r="E930" s="574"/>
      <c r="F930" s="574"/>
      <c r="G930" s="837" t="s">
        <v>4852</v>
      </c>
      <c r="H930"/>
      <c r="J930" s="580"/>
    </row>
    <row r="931" spans="1:10" ht="15" thickBot="1" x14ac:dyDescent="0.4">
      <c r="B931" t="str">
        <f>IF(LEN('Ch7'!H62)=0,"",'Ch7'!H62)</f>
        <v/>
      </c>
      <c r="C931" t="str">
        <f t="shared" si="22"/>
        <v/>
      </c>
      <c r="D931" s="404"/>
      <c r="E931" s="575"/>
      <c r="F931" s="575"/>
      <c r="G931" s="849"/>
      <c r="H931"/>
      <c r="J931" s="580"/>
    </row>
    <row r="932" spans="1:10" ht="63.75" customHeight="1" thickTop="1" x14ac:dyDescent="0.35">
      <c r="A932" s="366" t="s">
        <v>3973</v>
      </c>
      <c r="B932" t="str">
        <f>IF(LEN('Ch7'!H63)=0,"",'Ch7'!H63)</f>
        <v/>
      </c>
      <c r="C932" t="str">
        <f t="shared" si="22"/>
        <v>P</v>
      </c>
      <c r="D932" s="60">
        <v>701.3</v>
      </c>
      <c r="E932" s="574"/>
      <c r="F932" s="574"/>
      <c r="G932" s="837" t="s">
        <v>817</v>
      </c>
      <c r="H932" s="400" t="b">
        <f>IF(LEN('Ch7'!W63)=0,"",'Ch7'!W63)</f>
        <v>1</v>
      </c>
      <c r="J932" s="975" t="s">
        <v>4982</v>
      </c>
    </row>
    <row r="933" spans="1:10" x14ac:dyDescent="0.35">
      <c r="A933" s="366" t="s">
        <v>3973</v>
      </c>
      <c r="B933" t="str">
        <f>IF(LEN('Ch7'!H64)=0,"",'Ch7'!H64)</f>
        <v/>
      </c>
      <c r="C933" t="str">
        <f t="shared" si="22"/>
        <v>P</v>
      </c>
      <c r="D933" s="31"/>
      <c r="E933" s="487"/>
      <c r="F933" s="487"/>
      <c r="G933" s="838"/>
      <c r="H933"/>
      <c r="J933" s="979"/>
    </row>
    <row r="934" spans="1:10" ht="15" thickBot="1" x14ac:dyDescent="0.4">
      <c r="B934" t="str">
        <f>IF(LEN('Ch7'!H65)=0,"",'Ch7'!H65)</f>
        <v/>
      </c>
      <c r="C934" t="str">
        <f t="shared" si="22"/>
        <v/>
      </c>
      <c r="D934" s="404"/>
      <c r="E934" s="575"/>
      <c r="F934" s="575"/>
      <c r="G934" s="606" t="s">
        <v>3382</v>
      </c>
      <c r="H934"/>
      <c r="J934" s="580"/>
    </row>
    <row r="935" spans="1:10" ht="15" thickTop="1" x14ac:dyDescent="0.35">
      <c r="A935" s="366" t="str">
        <f ca="1">IF(H882&lt;4,"P","")</f>
        <v>P</v>
      </c>
      <c r="B935" t="str">
        <f>IF(LEN('Ch7'!H66)=0,"",'Ch7'!H66)</f>
        <v/>
      </c>
      <c r="C935" t="str">
        <f t="shared" ca="1" si="22"/>
        <v>P</v>
      </c>
      <c r="D935" s="60">
        <v>701.4</v>
      </c>
      <c r="E935" s="574"/>
      <c r="F935" s="574"/>
      <c r="G935" s="274" t="s">
        <v>818</v>
      </c>
      <c r="H935"/>
      <c r="J935" s="580"/>
    </row>
    <row r="936" spans="1:10" x14ac:dyDescent="0.35">
      <c r="A936" s="366" t="str">
        <f ca="1">A935</f>
        <v>P</v>
      </c>
      <c r="B936" t="str">
        <f>IF(LEN('Ch7'!H67)=0,"",'Ch7'!H67)</f>
        <v/>
      </c>
      <c r="C936" t="str">
        <f t="shared" ca="1" si="22"/>
        <v>P</v>
      </c>
      <c r="D936" s="403" t="s">
        <v>819</v>
      </c>
      <c r="E936" s="614"/>
      <c r="F936" s="614"/>
      <c r="G936" s="329" t="s">
        <v>820</v>
      </c>
      <c r="H936"/>
      <c r="J936" s="580"/>
    </row>
    <row r="937" spans="1:10" x14ac:dyDescent="0.35">
      <c r="A937" s="366" t="str">
        <f>IF(AND(LEN(H937)&gt;0,NOT(H937=FALSE)),"P","")</f>
        <v>P</v>
      </c>
      <c r="B937" t="str">
        <f>IF(LEN('Ch7'!H68)=0,"",'Ch7'!H68)</f>
        <v/>
      </c>
      <c r="C937" t="str">
        <f t="shared" si="22"/>
        <v>P</v>
      </c>
      <c r="D937" s="405" t="s">
        <v>821</v>
      </c>
      <c r="E937" s="615"/>
      <c r="F937" s="615"/>
      <c r="G937" s="905" t="s">
        <v>822</v>
      </c>
      <c r="H937" s="400" t="b">
        <f>IF(LEN('Ch7'!W68)=0,"",'Ch7'!W68)</f>
        <v>1</v>
      </c>
      <c r="J937" s="580" t="s">
        <v>4983</v>
      </c>
    </row>
    <row r="938" spans="1:10" x14ac:dyDescent="0.35">
      <c r="A938" s="366" t="str">
        <f>A937</f>
        <v>P</v>
      </c>
      <c r="B938" t="str">
        <f>IF(LEN('Ch7'!H69)=0,"",'Ch7'!H69)</f>
        <v/>
      </c>
      <c r="C938" t="str">
        <f t="shared" si="22"/>
        <v>P</v>
      </c>
      <c r="D938" s="31"/>
      <c r="E938" s="487"/>
      <c r="F938" s="487"/>
      <c r="G938" s="838"/>
      <c r="H938"/>
      <c r="J938" s="580"/>
    </row>
    <row r="939" spans="1:10" x14ac:dyDescent="0.35">
      <c r="A939" s="366" t="str">
        <f>A938</f>
        <v>P</v>
      </c>
      <c r="B939" t="str">
        <f>IF(LEN('Ch7'!H70)=0,"",'Ch7'!H70)</f>
        <v/>
      </c>
      <c r="C939" t="str">
        <f t="shared" si="22"/>
        <v>P</v>
      </c>
      <c r="D939" s="403"/>
      <c r="E939" s="614"/>
      <c r="F939" s="614"/>
      <c r="G939" s="889"/>
      <c r="H939"/>
      <c r="J939" s="580"/>
    </row>
    <row r="940" spans="1:10" x14ac:dyDescent="0.35">
      <c r="A940" s="366" t="str">
        <f>IF(AND(LEN(H940)&gt;0,NOT(H940=FALSE)),"P","")</f>
        <v>P</v>
      </c>
      <c r="B940" t="str">
        <f>IF(LEN('Ch7'!H71)=0,"",'Ch7'!H71)</f>
        <v/>
      </c>
      <c r="C940" t="str">
        <f t="shared" si="22"/>
        <v>P</v>
      </c>
      <c r="D940" s="405" t="s">
        <v>823</v>
      </c>
      <c r="E940" s="615"/>
      <c r="F940" s="615"/>
      <c r="G940" s="905" t="s">
        <v>824</v>
      </c>
      <c r="H940" s="400" t="str">
        <f>IF(LEN('Ch7'!W71)=0,"",'Ch7'!W71)</f>
        <v>No Radiant or Hydronic</v>
      </c>
      <c r="J940" s="580" t="s">
        <v>4984</v>
      </c>
    </row>
    <row r="941" spans="1:10" x14ac:dyDescent="0.35">
      <c r="A941" s="366" t="str">
        <f>A940</f>
        <v>P</v>
      </c>
      <c r="B941" t="str">
        <f>IF(LEN('Ch7'!H72)=0,"",'Ch7'!H72)</f>
        <v/>
      </c>
      <c r="C941" t="str">
        <f t="shared" si="22"/>
        <v>P</v>
      </c>
      <c r="D941" s="31"/>
      <c r="E941" s="487"/>
      <c r="F941" s="487"/>
      <c r="G941" s="838"/>
      <c r="H941"/>
      <c r="J941" s="580"/>
    </row>
    <row r="942" spans="1:10" x14ac:dyDescent="0.35">
      <c r="A942" s="366" t="str">
        <f>A941</f>
        <v>P</v>
      </c>
      <c r="B942" t="str">
        <f>IF(LEN('Ch7'!H73)=0,"",'Ch7'!H73)</f>
        <v/>
      </c>
      <c r="C942" t="str">
        <f t="shared" si="22"/>
        <v>P</v>
      </c>
      <c r="D942" s="31"/>
      <c r="E942" s="487"/>
      <c r="F942" s="487"/>
      <c r="G942" s="838"/>
      <c r="H942"/>
      <c r="J942" s="580"/>
    </row>
    <row r="943" spans="1:10" x14ac:dyDescent="0.35">
      <c r="A943" s="366" t="str">
        <f>A942</f>
        <v>P</v>
      </c>
      <c r="B943" t="str">
        <f>IF(LEN('Ch7'!H74)=0,"",'Ch7'!H74)</f>
        <v/>
      </c>
      <c r="C943" t="str">
        <f t="shared" si="22"/>
        <v>P</v>
      </c>
      <c r="D943" s="31"/>
      <c r="E943" s="487"/>
      <c r="F943" s="487"/>
      <c r="G943" s="838"/>
      <c r="H943"/>
      <c r="J943" s="580"/>
    </row>
    <row r="944" spans="1:10" x14ac:dyDescent="0.35">
      <c r="A944" s="366" t="str">
        <f>A943</f>
        <v>P</v>
      </c>
      <c r="B944" t="str">
        <f>IF(LEN('Ch7'!H75)=0,"",'Ch7'!H75)</f>
        <v/>
      </c>
      <c r="C944" t="str">
        <f t="shared" si="22"/>
        <v>P</v>
      </c>
      <c r="D944" s="403"/>
      <c r="E944" s="614"/>
      <c r="F944" s="614"/>
      <c r="G944" s="889"/>
      <c r="H944"/>
      <c r="J944" s="580"/>
    </row>
    <row r="945" spans="1:10" x14ac:dyDescent="0.35">
      <c r="A945" s="727" t="str">
        <f>IF(COUNTIF(A946:A950,"P")&gt;0,"P","")</f>
        <v>P</v>
      </c>
      <c r="B945" t="str">
        <f>IF(LEN('Ch7'!H76)=0,"",'Ch7'!H76)</f>
        <v/>
      </c>
      <c r="C945" t="str">
        <f t="shared" si="22"/>
        <v>P</v>
      </c>
      <c r="D945" s="405" t="s">
        <v>825</v>
      </c>
      <c r="E945" s="615"/>
      <c r="F945" s="615"/>
      <c r="G945" s="325" t="s">
        <v>826</v>
      </c>
      <c r="H945"/>
      <c r="J945" s="580"/>
    </row>
    <row r="946" spans="1:10" x14ac:dyDescent="0.35">
      <c r="A946" s="366" t="str">
        <f>IF(AND(LEN(H946)&gt;0,NOT(H946=FALSE)),"P","")</f>
        <v>P</v>
      </c>
      <c r="B946" t="str">
        <f>IF(LEN('Ch7'!H77)=0,"",'Ch7'!H77)</f>
        <v/>
      </c>
      <c r="C946" t="str">
        <f t="shared" si="22"/>
        <v>P</v>
      </c>
      <c r="D946" s="31" t="s">
        <v>3808</v>
      </c>
      <c r="E946" s="487"/>
      <c r="F946" s="487"/>
      <c r="G946" s="838" t="s">
        <v>827</v>
      </c>
      <c r="H946" s="400" t="b">
        <f>IF(LEN('Ch7'!W77)=0,"",'Ch7'!W77)</f>
        <v>1</v>
      </c>
      <c r="J946" s="975" t="s">
        <v>4985</v>
      </c>
    </row>
    <row r="947" spans="1:10" x14ac:dyDescent="0.35">
      <c r="A947" s="366" t="str">
        <f>A946</f>
        <v>P</v>
      </c>
      <c r="B947" t="str">
        <f>IF(LEN('Ch7'!H78)=0,"",'Ch7'!H78)</f>
        <v/>
      </c>
      <c r="C947" t="str">
        <f t="shared" si="22"/>
        <v>P</v>
      </c>
      <c r="D947" s="31"/>
      <c r="E947" s="487"/>
      <c r="F947" s="487"/>
      <c r="G947" s="838"/>
      <c r="H947"/>
      <c r="J947" s="979"/>
    </row>
    <row r="948" spans="1:10" x14ac:dyDescent="0.35">
      <c r="A948" s="366" t="str">
        <f>A947</f>
        <v>P</v>
      </c>
      <c r="B948" t="str">
        <f>IF(LEN('Ch7'!H79)=0,"",'Ch7'!H79)</f>
        <v/>
      </c>
      <c r="C948" t="str">
        <f t="shared" si="22"/>
        <v>P</v>
      </c>
      <c r="D948" s="403"/>
      <c r="E948" s="614"/>
      <c r="F948" s="614"/>
      <c r="G948" s="889"/>
      <c r="H948"/>
      <c r="J948" s="976"/>
    </row>
    <row r="949" spans="1:10" ht="15" customHeight="1" x14ac:dyDescent="0.35">
      <c r="A949" s="366" t="str">
        <f>IF(AND(LEN(H949)&gt;0,NOT(H949=FALSE)),"P","")</f>
        <v>P</v>
      </c>
      <c r="B949" t="str">
        <f>IF(LEN('Ch7'!H80)=0,"",'Ch7'!H80)</f>
        <v/>
      </c>
      <c r="C949" t="str">
        <f t="shared" si="22"/>
        <v>P</v>
      </c>
      <c r="D949" s="415" t="s">
        <v>828</v>
      </c>
      <c r="E949" s="626"/>
      <c r="F949" s="626"/>
      <c r="G949" s="333" t="s">
        <v>829</v>
      </c>
      <c r="H949" s="400" t="b">
        <f>IF(LEN('Ch7'!W80)=0,"",'Ch7'!W80)</f>
        <v>1</v>
      </c>
      <c r="J949" s="580" t="s">
        <v>3891</v>
      </c>
    </row>
    <row r="950" spans="1:10" x14ac:dyDescent="0.35">
      <c r="A950" s="366" t="str">
        <f>IF(AND(LEN(H950)&gt;0,NOT(H950=FALSE)),"P","")</f>
        <v>P</v>
      </c>
      <c r="B950" t="str">
        <f>IF(LEN('Ch7'!H81)=0,"",'Ch7'!H81)</f>
        <v/>
      </c>
      <c r="C950" t="str">
        <f t="shared" si="22"/>
        <v>P</v>
      </c>
      <c r="D950" s="405" t="s">
        <v>830</v>
      </c>
      <c r="E950" s="615"/>
      <c r="F950" s="615"/>
      <c r="G950" s="905" t="s">
        <v>831</v>
      </c>
      <c r="H950" s="400" t="b">
        <f>IF(LEN('Ch7'!W81)=0,"",'Ch7'!W81)</f>
        <v>1</v>
      </c>
      <c r="J950" s="580" t="s">
        <v>4986</v>
      </c>
    </row>
    <row r="951" spans="1:10" x14ac:dyDescent="0.35">
      <c r="A951" s="366" t="str">
        <f>A950</f>
        <v>P</v>
      </c>
      <c r="B951" t="str">
        <f>IF(LEN('Ch7'!H82)=0,"",'Ch7'!H82)</f>
        <v/>
      </c>
      <c r="C951" t="str">
        <f t="shared" si="22"/>
        <v>P</v>
      </c>
      <c r="D951" s="403"/>
      <c r="E951" s="614"/>
      <c r="F951" s="614"/>
      <c r="G951" s="889"/>
      <c r="H951"/>
      <c r="J951" s="580"/>
    </row>
    <row r="952" spans="1:10" x14ac:dyDescent="0.35">
      <c r="A952" s="366" t="s">
        <v>3973</v>
      </c>
      <c r="B952" t="str">
        <f>IF(LEN('Ch7'!H83)=0,"",'Ch7'!H83)</f>
        <v/>
      </c>
      <c r="C952" t="str">
        <f t="shared" si="22"/>
        <v>P</v>
      </c>
      <c r="D952" s="405" t="s">
        <v>832</v>
      </c>
      <c r="E952" s="615"/>
      <c r="F952" s="615"/>
      <c r="G952" s="325" t="s">
        <v>833</v>
      </c>
      <c r="H952"/>
      <c r="J952" s="580"/>
    </row>
    <row r="953" spans="1:10" x14ac:dyDescent="0.35">
      <c r="A953" s="727" t="str">
        <f>IF(COUNTIF(A954,"P")&gt;0,"P","")</f>
        <v/>
      </c>
      <c r="B953" t="str">
        <f>IF(LEN('Ch7'!H84)=0,"",'Ch7'!H84)</f>
        <v/>
      </c>
      <c r="C953" t="str">
        <f t="shared" si="22"/>
        <v/>
      </c>
      <c r="D953" s="31" t="s">
        <v>834</v>
      </c>
      <c r="E953" s="487"/>
      <c r="F953" s="487"/>
      <c r="G953" s="838" t="s">
        <v>835</v>
      </c>
      <c r="H953"/>
      <c r="J953" s="975" t="s">
        <v>3912</v>
      </c>
    </row>
    <row r="954" spans="1:10" x14ac:dyDescent="0.35">
      <c r="A954" s="366" t="str">
        <f>IF(AND(LEN(H954)&gt;0,NOT(H954=FALSE)),"P","")</f>
        <v/>
      </c>
      <c r="B954" t="str">
        <f>IF(LEN('Ch7'!H85)=0,"",'Ch7'!H85)</f>
        <v/>
      </c>
      <c r="C954" t="str">
        <f t="shared" si="22"/>
        <v/>
      </c>
      <c r="D954" s="31"/>
      <c r="E954" s="487"/>
      <c r="F954" s="487"/>
      <c r="G954" s="838"/>
      <c r="H954" s="400" t="str">
        <f>IF(LEN('Ch7'!W85)=0,"",'Ch7'!W85)</f>
        <v/>
      </c>
      <c r="J954" s="976"/>
    </row>
    <row r="955" spans="1:10" x14ac:dyDescent="0.35">
      <c r="A955" s="366" t="str">
        <f>A954</f>
        <v/>
      </c>
      <c r="B955" t="str">
        <f>IF(LEN('Ch7'!H86)=0,"",'Ch7'!H86)</f>
        <v/>
      </c>
      <c r="C955" t="str">
        <f t="shared" si="22"/>
        <v/>
      </c>
      <c r="D955" s="31"/>
      <c r="E955" s="487"/>
      <c r="F955" s="487"/>
      <c r="G955" s="838"/>
      <c r="H955"/>
      <c r="J955" s="580"/>
    </row>
    <row r="956" spans="1:10" x14ac:dyDescent="0.35">
      <c r="A956" s="366" t="str">
        <f>A955</f>
        <v/>
      </c>
      <c r="B956" t="str">
        <f>IF(LEN('Ch7'!H87)=0,"",'Ch7'!H87)</f>
        <v/>
      </c>
      <c r="C956" t="str">
        <f t="shared" si="22"/>
        <v/>
      </c>
      <c r="D956" s="31"/>
      <c r="E956" s="487"/>
      <c r="F956" s="487"/>
      <c r="G956" s="838"/>
      <c r="H956"/>
      <c r="J956" s="580"/>
    </row>
    <row r="957" spans="1:10" x14ac:dyDescent="0.35">
      <c r="B957" t="str">
        <f>IF(LEN('Ch7'!H88)=0,"",'Ch7'!H88)</f>
        <v/>
      </c>
      <c r="C957" t="str">
        <f t="shared" si="22"/>
        <v/>
      </c>
      <c r="D957" s="31"/>
      <c r="E957" s="487"/>
      <c r="F957" s="426" t="s">
        <v>121</v>
      </c>
      <c r="G957" s="90" t="s">
        <v>836</v>
      </c>
      <c r="H957" s="400" t="str">
        <f>IF(LEN('Ch7'!W88)=0,"",'Ch7'!W88)</f>
        <v>Met</v>
      </c>
      <c r="J957" s="580"/>
    </row>
    <row r="958" spans="1:10" x14ac:dyDescent="0.35">
      <c r="B958" t="str">
        <f>IF(LEN('Ch7'!H89)=0,"",'Ch7'!H89)</f>
        <v/>
      </c>
      <c r="C958" t="str">
        <f t="shared" si="22"/>
        <v/>
      </c>
      <c r="D958" s="31"/>
      <c r="E958" s="487"/>
      <c r="F958" s="426" t="s">
        <v>122</v>
      </c>
      <c r="G958" s="90" t="s">
        <v>837</v>
      </c>
      <c r="H958" s="400" t="str">
        <f>IF(LEN('Ch7'!W89)=0,"",'Ch7'!W89)</f>
        <v>Met</v>
      </c>
      <c r="J958" s="580"/>
    </row>
    <row r="959" spans="1:10" ht="15" customHeight="1" x14ac:dyDescent="0.35">
      <c r="B959" t="str">
        <f>IF(LEN('Ch7'!H90)=0,"",'Ch7'!H90)</f>
        <v/>
      </c>
      <c r="C959" t="str">
        <f t="shared" si="22"/>
        <v/>
      </c>
      <c r="D959" s="31"/>
      <c r="E959" s="487"/>
      <c r="F959" s="428" t="s">
        <v>123</v>
      </c>
      <c r="G959" s="90" t="s">
        <v>838</v>
      </c>
      <c r="H959" s="400" t="str">
        <f>IF(LEN('Ch7'!W90)=0,"",'Ch7'!W90)</f>
        <v>Met</v>
      </c>
      <c r="J959" s="580"/>
    </row>
    <row r="960" spans="1:10" x14ac:dyDescent="0.35">
      <c r="B960" t="str">
        <f>IF(LEN('Ch7'!H91)=0,"",'Ch7'!H91)</f>
        <v/>
      </c>
      <c r="C960" t="str">
        <f t="shared" si="22"/>
        <v/>
      </c>
      <c r="D960" s="31"/>
      <c r="E960" s="487"/>
      <c r="F960" s="487" t="s">
        <v>401</v>
      </c>
      <c r="G960" s="90" t="s">
        <v>839</v>
      </c>
      <c r="H960" s="400" t="str">
        <f>IF(LEN('Ch7'!W91)=0,"",'Ch7'!W91)</f>
        <v>Met</v>
      </c>
      <c r="J960" s="580"/>
    </row>
    <row r="961" spans="1:10" x14ac:dyDescent="0.35">
      <c r="B961" t="str">
        <f>IF(LEN('Ch7'!H92)=0,"",'Ch7'!H92)</f>
        <v/>
      </c>
      <c r="C961" t="str">
        <f t="shared" si="22"/>
        <v/>
      </c>
      <c r="D961" s="31"/>
      <c r="E961" s="487"/>
      <c r="F961" s="487" t="s">
        <v>539</v>
      </c>
      <c r="G961" s="90" t="s">
        <v>840</v>
      </c>
      <c r="H961" s="400" t="str">
        <f>IF(LEN('Ch7'!W92)=0,"",'Ch7'!W92)</f>
        <v>Met</v>
      </c>
      <c r="J961" s="580"/>
    </row>
    <row r="962" spans="1:10" x14ac:dyDescent="0.35">
      <c r="B962" t="str">
        <f>IF(LEN('Ch7'!H93)=0,"",'Ch7'!H93)</f>
        <v/>
      </c>
      <c r="C962" t="str">
        <f t="shared" si="22"/>
        <v/>
      </c>
      <c r="D962" s="31"/>
      <c r="E962" s="487"/>
      <c r="F962" s="428" t="s">
        <v>604</v>
      </c>
      <c r="G962" s="90" t="s">
        <v>841</v>
      </c>
      <c r="H962" s="400" t="str">
        <f>IF(LEN('Ch7'!W93)=0,"",'Ch7'!W93)</f>
        <v>Met</v>
      </c>
      <c r="J962" s="580"/>
    </row>
    <row r="963" spans="1:10" x14ac:dyDescent="0.35">
      <c r="B963" t="str">
        <f>IF(LEN('Ch7'!H94)=0,"",'Ch7'!H94)</f>
        <v/>
      </c>
      <c r="C963" t="str">
        <f t="shared" si="22"/>
        <v/>
      </c>
      <c r="D963" s="31"/>
      <c r="E963" s="487"/>
      <c r="F963" s="487" t="s">
        <v>606</v>
      </c>
      <c r="G963" s="470" t="s">
        <v>4244</v>
      </c>
      <c r="H963" s="400" t="str">
        <f>IF(LEN('Ch7'!W94)=0,"",'Ch7'!W94)</f>
        <v>Met</v>
      </c>
      <c r="J963" s="580"/>
    </row>
    <row r="964" spans="1:10" x14ac:dyDescent="0.35">
      <c r="B964" t="str">
        <f>IF(LEN('Ch7'!H95)=0,"",'Ch7'!H95)</f>
        <v/>
      </c>
      <c r="C964" t="str">
        <f t="shared" si="22"/>
        <v/>
      </c>
      <c r="D964" s="31"/>
      <c r="E964" s="487"/>
      <c r="F964" s="487" t="s">
        <v>608</v>
      </c>
      <c r="G964" s="90" t="s">
        <v>842</v>
      </c>
      <c r="H964" s="400" t="str">
        <f>IF(LEN('Ch7'!W95)=0,"",'Ch7'!W95)</f>
        <v>Met</v>
      </c>
      <c r="J964" s="580"/>
    </row>
    <row r="965" spans="1:10" x14ac:dyDescent="0.35">
      <c r="B965" t="str">
        <f>IF(LEN('Ch7'!H96)=0,"",'Ch7'!H96)</f>
        <v/>
      </c>
      <c r="C965" t="str">
        <f t="shared" si="22"/>
        <v/>
      </c>
      <c r="D965" s="31"/>
      <c r="E965" s="487"/>
      <c r="F965" s="487" t="s">
        <v>843</v>
      </c>
      <c r="G965" s="470" t="s">
        <v>4245</v>
      </c>
      <c r="H965" s="400" t="str">
        <f>IF(LEN('Ch7'!W96)=0,"",'Ch7'!W96)</f>
        <v>Met</v>
      </c>
      <c r="J965" s="580"/>
    </row>
    <row r="966" spans="1:10" x14ac:dyDescent="0.35">
      <c r="B966" t="str">
        <f>IF(LEN('Ch7'!H97)=0,"",'Ch7'!H97)</f>
        <v/>
      </c>
      <c r="C966" t="str">
        <f t="shared" si="22"/>
        <v/>
      </c>
      <c r="D966" s="31"/>
      <c r="E966" s="487"/>
      <c r="F966" s="487" t="s">
        <v>844</v>
      </c>
      <c r="G966" s="90" t="s">
        <v>845</v>
      </c>
      <c r="H966" s="400" t="str">
        <f>IF(LEN('Ch7'!W97)=0,"",'Ch7'!W97)</f>
        <v>Met</v>
      </c>
      <c r="J966" s="580"/>
    </row>
    <row r="967" spans="1:10" x14ac:dyDescent="0.35">
      <c r="B967" t="str">
        <f>IF(LEN('Ch7'!H98)=0,"",'Ch7'!H98)</f>
        <v/>
      </c>
      <c r="C967" t="str">
        <f t="shared" si="22"/>
        <v/>
      </c>
      <c r="D967" s="31"/>
      <c r="E967" s="487"/>
      <c r="F967" s="487" t="s">
        <v>846</v>
      </c>
      <c r="G967" s="470" t="s">
        <v>4246</v>
      </c>
      <c r="H967" s="400" t="str">
        <f>IF(LEN('Ch7'!W98)=0,"",'Ch7'!W98)</f>
        <v>Met</v>
      </c>
      <c r="J967" s="580"/>
    </row>
    <row r="968" spans="1:10" x14ac:dyDescent="0.35">
      <c r="B968" t="str">
        <f>IF(LEN('Ch7'!H99)=0,"",'Ch7'!H99)</f>
        <v/>
      </c>
      <c r="C968" t="str">
        <f t="shared" si="22"/>
        <v/>
      </c>
      <c r="F968" s="487" t="s">
        <v>847</v>
      </c>
      <c r="G968" s="470" t="s">
        <v>4247</v>
      </c>
      <c r="H968" s="400" t="str">
        <f>IF(LEN('Ch7'!W99)=0,"",'Ch7'!W99)</f>
        <v>Met</v>
      </c>
      <c r="J968" s="580"/>
    </row>
    <row r="969" spans="1:10" x14ac:dyDescent="0.35">
      <c r="B969" t="str">
        <f>IF(LEN('Ch7'!H100)=0,"",'Ch7'!H100)</f>
        <v/>
      </c>
      <c r="C969" t="str">
        <f t="shared" si="22"/>
        <v/>
      </c>
      <c r="D969" s="403"/>
      <c r="E969" s="614"/>
      <c r="F969" s="614" t="s">
        <v>3968</v>
      </c>
      <c r="G969" s="228" t="s">
        <v>848</v>
      </c>
      <c r="H969" s="400" t="str">
        <f>IF(LEN('Ch7'!W100)=0,"",'Ch7'!W100)</f>
        <v>Met</v>
      </c>
      <c r="J969" s="580"/>
    </row>
    <row r="970" spans="1:10" x14ac:dyDescent="0.35">
      <c r="A970" s="727" t="str">
        <f>IF(COUNTIF(A974:A993,"P")&gt;0,"P","")</f>
        <v>P</v>
      </c>
      <c r="B970" t="str">
        <f>IF(LEN('Ch7'!H101)=0,"",'Ch7'!H101)</f>
        <v/>
      </c>
      <c r="C970" t="str">
        <f t="shared" si="22"/>
        <v>P</v>
      </c>
      <c r="D970" s="31" t="s">
        <v>849</v>
      </c>
      <c r="E970" s="487"/>
      <c r="F970" s="487"/>
      <c r="G970" s="883" t="s">
        <v>4248</v>
      </c>
      <c r="H970"/>
      <c r="J970" s="580"/>
    </row>
    <row r="971" spans="1:10" x14ac:dyDescent="0.35">
      <c r="A971" s="366" t="str">
        <f>A970</f>
        <v>P</v>
      </c>
      <c r="B971" t="str">
        <f>IF(LEN('Ch7'!H102)=0,"",'Ch7'!H102)</f>
        <v/>
      </c>
      <c r="C971" t="str">
        <f t="shared" si="22"/>
        <v>P</v>
      </c>
      <c r="D971" s="31"/>
      <c r="E971" s="487"/>
      <c r="F971" s="487"/>
      <c r="G971" s="881"/>
      <c r="H971"/>
      <c r="J971" s="580"/>
    </row>
    <row r="972" spans="1:10" x14ac:dyDescent="0.35">
      <c r="A972" s="366" t="str">
        <f>A971</f>
        <v>P</v>
      </c>
      <c r="B972" t="str">
        <f>IF(LEN('Ch7'!H103)=0,"",'Ch7'!H103)</f>
        <v/>
      </c>
      <c r="C972" t="str">
        <f t="shared" si="22"/>
        <v>P</v>
      </c>
      <c r="D972" s="31"/>
      <c r="E972" s="487"/>
      <c r="F972" s="487"/>
      <c r="G972" s="881"/>
      <c r="H972"/>
      <c r="J972" s="580"/>
    </row>
    <row r="973" spans="1:10" x14ac:dyDescent="0.35">
      <c r="A973" s="366" t="str">
        <f>A972</f>
        <v>P</v>
      </c>
      <c r="B973" t="str">
        <f>IF(LEN('Ch7'!H104)=0,"",'Ch7'!H104)</f>
        <v/>
      </c>
      <c r="C973" t="str">
        <f t="shared" si="22"/>
        <v>P</v>
      </c>
      <c r="D973" s="31"/>
      <c r="E973" s="487"/>
      <c r="F973" s="487"/>
      <c r="G973" s="881"/>
      <c r="H973"/>
      <c r="J973" s="580"/>
    </row>
    <row r="974" spans="1:10" x14ac:dyDescent="0.35">
      <c r="A974" s="366" t="str">
        <f>IF(OR(LEN(H974)&gt;0,LEN(H977)&gt;0),"P","")</f>
        <v>P</v>
      </c>
      <c r="B974" t="str">
        <f>IF(LEN('Ch7'!H105)=0,"",'Ch7'!H105)</f>
        <v/>
      </c>
      <c r="C974" t="str">
        <f t="shared" si="22"/>
        <v>P</v>
      </c>
      <c r="D974" s="31"/>
      <c r="E974" s="426" t="s">
        <v>256</v>
      </c>
      <c r="F974" s="487"/>
      <c r="G974" s="838" t="s">
        <v>850</v>
      </c>
      <c r="H974" s="400">
        <f>IF(LEN('Ch7'!W105)=0,"",'Ch7'!W105)</f>
        <v>3</v>
      </c>
      <c r="J974" s="580" t="s">
        <v>4987</v>
      </c>
    </row>
    <row r="975" spans="1:10" x14ac:dyDescent="0.35">
      <c r="A975" s="366" t="str">
        <f>A974</f>
        <v>P</v>
      </c>
      <c r="B975" t="str">
        <f>IF(LEN('Ch7'!H106)=0,"",'Ch7'!H106)</f>
        <v/>
      </c>
      <c r="C975" t="str">
        <f t="shared" ref="C975:C1038" si="23">IF(LEN(B975)=0,IF(A975="P","P",""),B975)</f>
        <v>P</v>
      </c>
      <c r="D975" s="31"/>
      <c r="E975" s="487"/>
      <c r="F975" s="487"/>
      <c r="G975" s="838"/>
      <c r="H975"/>
      <c r="J975" s="580"/>
    </row>
    <row r="976" spans="1:10" x14ac:dyDescent="0.35">
      <c r="A976" s="366" t="str">
        <f>A975</f>
        <v>P</v>
      </c>
      <c r="B976" t="str">
        <f>IF(LEN('Ch7'!H107)=0,"",'Ch7'!H107)</f>
        <v/>
      </c>
      <c r="C976" t="str">
        <f t="shared" si="23"/>
        <v>P</v>
      </c>
      <c r="D976" s="31"/>
      <c r="E976" s="487"/>
      <c r="F976" s="487"/>
      <c r="G976" s="838"/>
      <c r="H976"/>
      <c r="J976" s="580"/>
    </row>
    <row r="977" spans="1:10" x14ac:dyDescent="0.35">
      <c r="A977" s="366" t="str">
        <f>A976</f>
        <v>P</v>
      </c>
      <c r="B977" t="str">
        <f>IF(LEN('Ch7'!H108)=0,"",'Ch7'!H108)</f>
        <v/>
      </c>
      <c r="C977" t="str">
        <f t="shared" si="23"/>
        <v>P</v>
      </c>
      <c r="D977" s="31"/>
      <c r="E977" s="487"/>
      <c r="F977" s="487"/>
      <c r="G977" s="838"/>
      <c r="H977" s="400" t="str">
        <f>IF(LEN('Ch7'!W108)=0,"",'Ch7'!W108)</f>
        <v/>
      </c>
      <c r="J977" s="580"/>
    </row>
    <row r="978" spans="1:10" x14ac:dyDescent="0.35">
      <c r="A978" s="366" t="str">
        <f>A977</f>
        <v>P</v>
      </c>
      <c r="B978" t="str">
        <f>IF(LEN('Ch7'!H109)=0,"",'Ch7'!H109)</f>
        <v/>
      </c>
      <c r="C978" t="str">
        <f t="shared" si="23"/>
        <v>P</v>
      </c>
      <c r="D978" s="31"/>
      <c r="E978" s="487"/>
      <c r="F978" s="487"/>
      <c r="G978" s="838"/>
      <c r="H978"/>
      <c r="J978" s="580"/>
    </row>
    <row r="979" spans="1:10" x14ac:dyDescent="0.35">
      <c r="B979" t="str">
        <f>IF(LEN('Ch7'!H110)=0,"",'Ch7'!H110)</f>
        <v/>
      </c>
      <c r="C979" t="str">
        <f t="shared" si="23"/>
        <v/>
      </c>
      <c r="D979" s="31"/>
      <c r="E979" s="487"/>
      <c r="F979" s="426" t="s">
        <v>121</v>
      </c>
      <c r="G979" s="90" t="s">
        <v>851</v>
      </c>
      <c r="H979"/>
      <c r="J979" s="580"/>
    </row>
    <row r="980" spans="1:10" x14ac:dyDescent="0.35">
      <c r="B980" t="str">
        <f>IF(LEN('Ch7'!H111)=0,"",'Ch7'!H111)</f>
        <v/>
      </c>
      <c r="C980" t="str">
        <f t="shared" si="23"/>
        <v/>
      </c>
      <c r="D980" s="31"/>
      <c r="E980" s="487"/>
      <c r="F980" s="426" t="s">
        <v>122</v>
      </c>
      <c r="G980" s="814" t="s">
        <v>852</v>
      </c>
      <c r="H980"/>
      <c r="J980" s="580"/>
    </row>
    <row r="981" spans="1:10" x14ac:dyDescent="0.35">
      <c r="B981" t="str">
        <f>IF(LEN('Ch7'!H112)=0,"",'Ch7'!H112)</f>
        <v/>
      </c>
      <c r="C981" t="str">
        <f t="shared" si="23"/>
        <v/>
      </c>
      <c r="D981" s="31"/>
      <c r="E981" s="487"/>
      <c r="F981" s="426"/>
      <c r="G981" s="814"/>
      <c r="H981"/>
      <c r="J981" s="580"/>
    </row>
    <row r="982" spans="1:10" x14ac:dyDescent="0.35">
      <c r="B982" t="str">
        <f>IF(LEN('Ch7'!H113)=0,"",'Ch7'!H113)</f>
        <v/>
      </c>
      <c r="C982" t="str">
        <f t="shared" si="23"/>
        <v/>
      </c>
      <c r="D982" s="31"/>
      <c r="E982" s="487"/>
      <c r="F982" s="428" t="s">
        <v>123</v>
      </c>
      <c r="G982" s="90" t="s">
        <v>853</v>
      </c>
      <c r="H982"/>
      <c r="J982" s="580"/>
    </row>
    <row r="983" spans="1:10" x14ac:dyDescent="0.35">
      <c r="B983" t="str">
        <f>IF(LEN('Ch7'!H114)=0,"",'Ch7'!H114)</f>
        <v/>
      </c>
      <c r="C983" t="str">
        <f t="shared" si="23"/>
        <v/>
      </c>
      <c r="D983" s="31"/>
      <c r="E983" s="487"/>
      <c r="F983" s="487" t="s">
        <v>401</v>
      </c>
      <c r="G983" s="814" t="s">
        <v>854</v>
      </c>
      <c r="H983"/>
      <c r="J983" s="580"/>
    </row>
    <row r="984" spans="1:10" x14ac:dyDescent="0.35">
      <c r="B984" t="str">
        <f>IF(LEN('Ch7'!H115)=0,"",'Ch7'!H115)</f>
        <v/>
      </c>
      <c r="C984" t="str">
        <f t="shared" si="23"/>
        <v/>
      </c>
      <c r="D984" s="31"/>
      <c r="E984" s="487"/>
      <c r="F984" s="487"/>
      <c r="G984" s="814"/>
      <c r="H984"/>
      <c r="J984" s="580"/>
    </row>
    <row r="985" spans="1:10" x14ac:dyDescent="0.35">
      <c r="B985" t="str">
        <f>IF(LEN('Ch7'!H116)=0,"",'Ch7'!H116)</f>
        <v/>
      </c>
      <c r="C985" t="str">
        <f t="shared" si="23"/>
        <v/>
      </c>
      <c r="D985" s="31"/>
      <c r="E985" s="487"/>
      <c r="F985" s="487" t="s">
        <v>539</v>
      </c>
      <c r="G985" s="90" t="s">
        <v>855</v>
      </c>
      <c r="H985"/>
      <c r="J985" s="580"/>
    </row>
    <row r="986" spans="1:10" x14ac:dyDescent="0.35">
      <c r="B986" t="str">
        <f>IF(LEN('Ch7'!H117)=0,"",'Ch7'!H117)</f>
        <v/>
      </c>
      <c r="C986" t="str">
        <f t="shared" si="23"/>
        <v/>
      </c>
      <c r="D986" s="31"/>
      <c r="E986" s="487"/>
      <c r="F986" s="428" t="s">
        <v>604</v>
      </c>
      <c r="G986" s="90" t="s">
        <v>856</v>
      </c>
      <c r="H986"/>
      <c r="J986" s="580"/>
    </row>
    <row r="987" spans="1:10" x14ac:dyDescent="0.35">
      <c r="B987" t="str">
        <f>IF(LEN('Ch7'!H118)=0,"",'Ch7'!H118)</f>
        <v/>
      </c>
      <c r="C987" t="str">
        <f t="shared" si="23"/>
        <v/>
      </c>
      <c r="D987" s="31"/>
      <c r="E987" s="487"/>
      <c r="F987" s="487" t="s">
        <v>606</v>
      </c>
      <c r="G987" s="90" t="s">
        <v>857</v>
      </c>
      <c r="H987"/>
      <c r="J987" s="580"/>
    </row>
    <row r="988" spans="1:10" x14ac:dyDescent="0.35">
      <c r="B988" t="str">
        <f>IF(LEN('Ch7'!H119)=0,"",'Ch7'!H119)</f>
        <v/>
      </c>
      <c r="C988" t="str">
        <f t="shared" si="23"/>
        <v/>
      </c>
      <c r="D988" s="31"/>
      <c r="E988" s="487"/>
      <c r="F988" s="627"/>
      <c r="G988" s="984" t="s">
        <v>4249</v>
      </c>
      <c r="H988"/>
      <c r="J988" s="580"/>
    </row>
    <row r="989" spans="1:10" x14ac:dyDescent="0.35">
      <c r="B989" t="str">
        <f>IF(LEN('Ch7'!H120)=0,"",'Ch7'!H120)</f>
        <v/>
      </c>
      <c r="C989" t="str">
        <f t="shared" si="23"/>
        <v/>
      </c>
      <c r="D989" s="31"/>
      <c r="E989" s="614"/>
      <c r="F989" s="628"/>
      <c r="G989" s="987"/>
      <c r="H989"/>
      <c r="J989" s="580"/>
    </row>
    <row r="990" spans="1:10" x14ac:dyDescent="0.35">
      <c r="A990" s="366" t="str">
        <f>IF(AND(LEN(H990)&gt;0,NOT(H990=FALSE)),"P","")</f>
        <v>P</v>
      </c>
      <c r="B990" t="str">
        <f>IF(LEN('Ch7'!H121)=0,"",'Ch7'!H121)</f>
        <v/>
      </c>
      <c r="C990" t="str">
        <f t="shared" si="23"/>
        <v>P</v>
      </c>
      <c r="D990" s="31"/>
      <c r="E990" s="426" t="s">
        <v>258</v>
      </c>
      <c r="F990" s="487"/>
      <c r="G990" s="838" t="s">
        <v>858</v>
      </c>
      <c r="H990" s="400" t="b">
        <f>IF(LEN('Ch7'!W121)=0,"",'Ch7'!W121)</f>
        <v>1</v>
      </c>
      <c r="J990" s="580" t="s">
        <v>3891</v>
      </c>
    </row>
    <row r="991" spans="1:10" x14ac:dyDescent="0.35">
      <c r="A991" s="366" t="str">
        <f>A990</f>
        <v>P</v>
      </c>
      <c r="B991" t="str">
        <f>IF(LEN('Ch7'!H122)=0,"",'Ch7'!H122)</f>
        <v/>
      </c>
      <c r="C991" t="str">
        <f t="shared" si="23"/>
        <v>P</v>
      </c>
      <c r="D991" s="31"/>
      <c r="E991" s="487"/>
      <c r="F991" s="487"/>
      <c r="G991" s="838"/>
      <c r="H991"/>
      <c r="J991" s="580"/>
    </row>
    <row r="992" spans="1:10" x14ac:dyDescent="0.35">
      <c r="B992" t="str">
        <f>IF(LEN('Ch7'!H123)=0,"",'Ch7'!H123)</f>
        <v/>
      </c>
      <c r="C992" t="str">
        <f t="shared" si="23"/>
        <v/>
      </c>
      <c r="D992" s="403"/>
      <c r="E992" s="614"/>
      <c r="F992" s="614"/>
      <c r="G992" s="323" t="s">
        <v>3414</v>
      </c>
      <c r="H992"/>
      <c r="J992" s="580"/>
    </row>
    <row r="993" spans="1:10" x14ac:dyDescent="0.35">
      <c r="A993" s="366" t="str">
        <f>IF(AND(LEN(H993)&gt;0,NOT(H993=FALSE)),"P","")</f>
        <v>P</v>
      </c>
      <c r="B993" t="str">
        <f>IF(LEN('Ch7'!H124)=0,"",'Ch7'!H124)</f>
        <v/>
      </c>
      <c r="C993" t="str">
        <f t="shared" si="23"/>
        <v>P</v>
      </c>
      <c r="D993" s="31" t="s">
        <v>859</v>
      </c>
      <c r="E993" s="487"/>
      <c r="F993" s="615"/>
      <c r="G993" s="883" t="s">
        <v>4250</v>
      </c>
      <c r="H993" s="400" t="b">
        <f>IF(LEN('Ch7'!W124)=0,"",'Ch7'!W124)</f>
        <v>1</v>
      </c>
      <c r="J993" s="580" t="s">
        <v>3891</v>
      </c>
    </row>
    <row r="994" spans="1:10" x14ac:dyDescent="0.35">
      <c r="A994" s="366" t="str">
        <f>A993</f>
        <v>P</v>
      </c>
      <c r="B994" t="str">
        <f>IF(LEN('Ch7'!H125)=0,"",'Ch7'!H125)</f>
        <v/>
      </c>
      <c r="C994" t="str">
        <f t="shared" si="23"/>
        <v>P</v>
      </c>
      <c r="D994" s="31"/>
      <c r="G994" s="881"/>
      <c r="H994"/>
      <c r="J994" s="580"/>
    </row>
    <row r="995" spans="1:10" x14ac:dyDescent="0.35">
      <c r="A995" s="366" t="str">
        <f>A994</f>
        <v>P</v>
      </c>
      <c r="B995" t="str">
        <f>IF(LEN('Ch7'!H126)=0,"",'Ch7'!H126)</f>
        <v/>
      </c>
      <c r="C995" t="str">
        <f t="shared" si="23"/>
        <v>P</v>
      </c>
      <c r="D995" s="31"/>
      <c r="G995" s="881"/>
      <c r="H995"/>
      <c r="J995" s="580"/>
    </row>
    <row r="996" spans="1:10" x14ac:dyDescent="0.35">
      <c r="A996" s="366" t="str">
        <f>A995</f>
        <v>P</v>
      </c>
      <c r="B996" t="str">
        <f>IF(LEN('Ch7'!H127)=0,"",'Ch7'!H127)</f>
        <v/>
      </c>
      <c r="C996" t="str">
        <f t="shared" si="23"/>
        <v>P</v>
      </c>
      <c r="D996" s="31"/>
      <c r="E996" s="619"/>
      <c r="F996" s="619"/>
      <c r="G996" s="882"/>
      <c r="H996"/>
      <c r="J996" s="580"/>
    </row>
    <row r="997" spans="1:10" x14ac:dyDescent="0.35">
      <c r="B997" t="str">
        <f>IF(LEN('Ch7'!H128)=0,"",'Ch7'!H128)</f>
        <v/>
      </c>
      <c r="C997" t="str">
        <f t="shared" si="23"/>
        <v/>
      </c>
      <c r="D997" s="31"/>
      <c r="E997" s="416" t="s">
        <v>256</v>
      </c>
      <c r="F997" s="614"/>
      <c r="G997" s="228" t="s">
        <v>860</v>
      </c>
      <c r="H997"/>
      <c r="J997" s="580"/>
    </row>
    <row r="998" spans="1:10" x14ac:dyDescent="0.35">
      <c r="B998" t="str">
        <f>IF(LEN('Ch7'!H129)=0,"",'Ch7'!H129)</f>
        <v/>
      </c>
      <c r="C998" t="str">
        <f t="shared" si="23"/>
        <v/>
      </c>
      <c r="D998" s="31"/>
      <c r="E998" s="402" t="s">
        <v>258</v>
      </c>
      <c r="F998" s="487"/>
      <c r="G998" s="814" t="s">
        <v>861</v>
      </c>
      <c r="H998"/>
      <c r="J998" s="580"/>
    </row>
    <row r="999" spans="1:10" x14ac:dyDescent="0.35">
      <c r="B999" t="str">
        <f>IF(LEN('Ch7'!H130)=0,"",'Ch7'!H130)</f>
        <v/>
      </c>
      <c r="C999" t="str">
        <f t="shared" si="23"/>
        <v/>
      </c>
      <c r="D999" s="31"/>
      <c r="E999" s="402"/>
      <c r="F999" s="487"/>
      <c r="G999" s="814"/>
      <c r="H999"/>
      <c r="J999" s="580"/>
    </row>
    <row r="1000" spans="1:10" x14ac:dyDescent="0.35">
      <c r="B1000" t="str">
        <f>IF(LEN('Ch7'!H131)=0,"",'Ch7'!H131)</f>
        <v/>
      </c>
      <c r="C1000" t="str">
        <f t="shared" si="23"/>
        <v/>
      </c>
      <c r="D1000" s="31"/>
      <c r="E1000" s="402"/>
      <c r="F1000" s="487"/>
      <c r="G1000" s="814"/>
      <c r="H1000"/>
      <c r="J1000" s="580"/>
    </row>
    <row r="1001" spans="1:10" x14ac:dyDescent="0.35">
      <c r="B1001" t="str">
        <f>IF(LEN('Ch7'!H132)=0,"",'Ch7'!H132)</f>
        <v/>
      </c>
      <c r="C1001" t="str">
        <f t="shared" si="23"/>
        <v/>
      </c>
      <c r="D1001" s="31"/>
      <c r="E1001" s="416"/>
      <c r="F1001" s="614"/>
      <c r="G1001" s="815"/>
      <c r="H1001"/>
      <c r="J1001" s="580"/>
    </row>
    <row r="1002" spans="1:10" x14ac:dyDescent="0.35">
      <c r="B1002" t="str">
        <f>IF(LEN('Ch7'!H133)=0,"",'Ch7'!H133)</f>
        <v/>
      </c>
      <c r="C1002" t="str">
        <f t="shared" si="23"/>
        <v/>
      </c>
      <c r="D1002" s="31"/>
      <c r="E1002" s="402" t="s">
        <v>260</v>
      </c>
      <c r="F1002" s="487"/>
      <c r="G1002" s="814" t="s">
        <v>862</v>
      </c>
      <c r="H1002"/>
      <c r="J1002" s="580"/>
    </row>
    <row r="1003" spans="1:10" x14ac:dyDescent="0.35">
      <c r="B1003" t="str">
        <f>IF(LEN('Ch7'!H134)=0,"",'Ch7'!H134)</f>
        <v/>
      </c>
      <c r="C1003" t="str">
        <f t="shared" si="23"/>
        <v/>
      </c>
      <c r="D1003" s="31"/>
      <c r="E1003" s="416"/>
      <c r="F1003" s="614"/>
      <c r="G1003" s="815"/>
      <c r="H1003"/>
      <c r="J1003" s="580"/>
    </row>
    <row r="1004" spans="1:10" x14ac:dyDescent="0.35">
      <c r="B1004" t="str">
        <f>IF(LEN('Ch7'!H135)=0,"",'Ch7'!H135)</f>
        <v/>
      </c>
      <c r="C1004" t="str">
        <f t="shared" si="23"/>
        <v/>
      </c>
      <c r="D1004" s="31"/>
      <c r="E1004" s="402" t="s">
        <v>269</v>
      </c>
      <c r="F1004" s="615"/>
      <c r="G1004" s="836" t="s">
        <v>863</v>
      </c>
      <c r="H1004"/>
      <c r="J1004" s="580"/>
    </row>
    <row r="1005" spans="1:10" x14ac:dyDescent="0.35">
      <c r="B1005" t="str">
        <f>IF(LEN('Ch7'!H136)=0,"",'Ch7'!H136)</f>
        <v/>
      </c>
      <c r="C1005" t="str">
        <f t="shared" si="23"/>
        <v/>
      </c>
      <c r="D1005" s="31"/>
      <c r="E1005" s="402"/>
      <c r="F1005" s="487"/>
      <c r="G1005" s="814"/>
      <c r="H1005"/>
      <c r="J1005" s="580"/>
    </row>
    <row r="1006" spans="1:10" x14ac:dyDescent="0.35">
      <c r="B1006" t="str">
        <f>IF(LEN('Ch7'!H137)=0,"",'Ch7'!H137)</f>
        <v/>
      </c>
      <c r="C1006" t="str">
        <f t="shared" si="23"/>
        <v/>
      </c>
      <c r="D1006" s="31"/>
      <c r="E1006" s="416"/>
      <c r="F1006" s="614"/>
      <c r="G1006" s="815"/>
      <c r="H1006"/>
      <c r="J1006" s="580"/>
    </row>
    <row r="1007" spans="1:10" x14ac:dyDescent="0.35">
      <c r="B1007" t="str">
        <f>IF(LEN('Ch7'!H138)=0,"",'Ch7'!H138)</f>
        <v/>
      </c>
      <c r="C1007" t="str">
        <f t="shared" si="23"/>
        <v/>
      </c>
      <c r="D1007" s="31"/>
      <c r="E1007" s="402" t="s">
        <v>275</v>
      </c>
      <c r="F1007" s="615"/>
      <c r="G1007" s="836" t="s">
        <v>864</v>
      </c>
      <c r="H1007"/>
      <c r="J1007" s="580"/>
    </row>
    <row r="1008" spans="1:10" x14ac:dyDescent="0.35">
      <c r="B1008" t="str">
        <f>IF(LEN('Ch7'!H139)=0,"",'Ch7'!H139)</f>
        <v/>
      </c>
      <c r="C1008" t="str">
        <f t="shared" si="23"/>
        <v/>
      </c>
      <c r="D1008" s="31"/>
      <c r="E1008" s="416"/>
      <c r="F1008" s="614"/>
      <c r="G1008" s="815"/>
      <c r="H1008"/>
      <c r="J1008" s="580"/>
    </row>
    <row r="1009" spans="1:10" ht="15" customHeight="1" x14ac:dyDescent="0.35">
      <c r="B1009" t="str">
        <f>IF(LEN('Ch7'!H140)=0,"",'Ch7'!H140)</f>
        <v/>
      </c>
      <c r="C1009" t="str">
        <f t="shared" si="23"/>
        <v/>
      </c>
      <c r="D1009" s="31"/>
      <c r="E1009" s="416" t="s">
        <v>277</v>
      </c>
      <c r="F1009" s="626"/>
      <c r="G1009" s="178" t="s">
        <v>865</v>
      </c>
      <c r="H1009"/>
      <c r="J1009" s="580"/>
    </row>
    <row r="1010" spans="1:10" x14ac:dyDescent="0.35">
      <c r="B1010" t="str">
        <f>IF(LEN('Ch7'!H141)=0,"",'Ch7'!H141)</f>
        <v/>
      </c>
      <c r="C1010" t="str">
        <f t="shared" si="23"/>
        <v/>
      </c>
      <c r="D1010" s="31"/>
      <c r="E1010" s="416" t="s">
        <v>383</v>
      </c>
      <c r="F1010" s="626"/>
      <c r="G1010" s="178" t="s">
        <v>866</v>
      </c>
      <c r="H1010"/>
      <c r="J1010" s="580"/>
    </row>
    <row r="1011" spans="1:10" x14ac:dyDescent="0.35">
      <c r="B1011" t="str">
        <f>IF(LEN('Ch7'!H142)=0,"",'Ch7'!H142)</f>
        <v/>
      </c>
      <c r="C1011" t="str">
        <f t="shared" si="23"/>
        <v/>
      </c>
      <c r="D1011" s="31"/>
      <c r="E1011" s="402" t="s">
        <v>428</v>
      </c>
      <c r="F1011" s="615"/>
      <c r="G1011" s="836" t="s">
        <v>867</v>
      </c>
      <c r="H1011"/>
      <c r="J1011" s="580"/>
    </row>
    <row r="1012" spans="1:10" x14ac:dyDescent="0.35">
      <c r="B1012" t="str">
        <f>IF(LEN('Ch7'!H143)=0,"",'Ch7'!H143)</f>
        <v/>
      </c>
      <c r="C1012" t="str">
        <f t="shared" si="23"/>
        <v/>
      </c>
      <c r="D1012" s="31"/>
      <c r="E1012" s="402"/>
      <c r="F1012" s="487"/>
      <c r="G1012" s="814"/>
      <c r="H1012"/>
      <c r="J1012" s="580"/>
    </row>
    <row r="1013" spans="1:10" x14ac:dyDescent="0.35">
      <c r="B1013" t="str">
        <f>IF(LEN('Ch7'!H144)=0,"",'Ch7'!H144)</f>
        <v/>
      </c>
      <c r="C1013" t="str">
        <f t="shared" si="23"/>
        <v/>
      </c>
      <c r="D1013" s="31"/>
      <c r="E1013" s="416"/>
      <c r="F1013" s="614"/>
      <c r="G1013" s="815"/>
      <c r="H1013"/>
      <c r="J1013" s="580"/>
    </row>
    <row r="1014" spans="1:10" x14ac:dyDescent="0.35">
      <c r="B1014" t="str">
        <f>IF(LEN('Ch7'!H145)=0,"",'Ch7'!H145)</f>
        <v/>
      </c>
      <c r="C1014" t="str">
        <f t="shared" si="23"/>
        <v/>
      </c>
      <c r="D1014" s="31"/>
      <c r="E1014" s="402" t="s">
        <v>430</v>
      </c>
      <c r="F1014" s="487"/>
      <c r="G1014" s="825" t="s">
        <v>4251</v>
      </c>
      <c r="H1014"/>
      <c r="J1014" s="580"/>
    </row>
    <row r="1015" spans="1:10" x14ac:dyDescent="0.35">
      <c r="B1015" t="str">
        <f>IF(LEN('Ch7'!H146)=0,"",'Ch7'!H146)</f>
        <v/>
      </c>
      <c r="C1015" t="str">
        <f t="shared" si="23"/>
        <v/>
      </c>
      <c r="D1015" s="403"/>
      <c r="E1015" s="426"/>
      <c r="F1015" s="487"/>
      <c r="G1015" s="825"/>
      <c r="H1015"/>
      <c r="J1015" s="580"/>
    </row>
    <row r="1016" spans="1:10" x14ac:dyDescent="0.35">
      <c r="A1016" s="366" t="s">
        <v>3973</v>
      </c>
      <c r="B1016" t="str">
        <f>IF(LEN('Ch7'!H147)=0,"",'Ch7'!H147)</f>
        <v/>
      </c>
      <c r="C1016" t="str">
        <f t="shared" si="23"/>
        <v>P</v>
      </c>
      <c r="D1016" s="405" t="s">
        <v>868</v>
      </c>
      <c r="E1016" s="615"/>
      <c r="F1016" s="615"/>
      <c r="G1016" s="905" t="s">
        <v>4371</v>
      </c>
      <c r="H1016"/>
      <c r="J1016" s="580" t="s">
        <v>4988</v>
      </c>
    </row>
    <row r="1017" spans="1:10" x14ac:dyDescent="0.35">
      <c r="A1017" s="366" t="s">
        <v>3973</v>
      </c>
      <c r="B1017" t="str">
        <f>IF(LEN('Ch7'!H148)=0,"",'Ch7'!H148)</f>
        <v/>
      </c>
      <c r="C1017" t="str">
        <f t="shared" si="23"/>
        <v>P</v>
      </c>
      <c r="D1017" s="31"/>
      <c r="E1017" s="487"/>
      <c r="F1017" s="487"/>
      <c r="G1017" s="838"/>
      <c r="H1017"/>
      <c r="J1017" s="580"/>
    </row>
    <row r="1018" spans="1:10" x14ac:dyDescent="0.35">
      <c r="A1018" s="366" t="s">
        <v>3973</v>
      </c>
      <c r="B1018" t="str">
        <f>IF(LEN('Ch7'!H149)=0,"",'Ch7'!H149)</f>
        <v/>
      </c>
      <c r="C1018" t="str">
        <f t="shared" si="23"/>
        <v>P</v>
      </c>
      <c r="D1018" s="403"/>
      <c r="E1018" s="614"/>
      <c r="F1018" s="614"/>
      <c r="G1018" s="889"/>
      <c r="H1018"/>
      <c r="J1018" s="580"/>
    </row>
    <row r="1019" spans="1:10" x14ac:dyDescent="0.35">
      <c r="A1019" s="366" t="str">
        <f>IF(AND(LEN(H1019)&gt;0,NOT(H1019=FALSE)),"P","")</f>
        <v>P</v>
      </c>
      <c r="B1019" t="str">
        <f>IF(LEN('Ch7'!H150)=0,"",'Ch7'!H150)</f>
        <v/>
      </c>
      <c r="C1019" t="str">
        <f t="shared" si="23"/>
        <v>P</v>
      </c>
      <c r="D1019" s="405" t="s">
        <v>869</v>
      </c>
      <c r="E1019" s="615"/>
      <c r="F1019" s="615"/>
      <c r="G1019" s="905" t="s">
        <v>4252</v>
      </c>
      <c r="H1019" s="400" t="b">
        <f>IF(LEN('Ch7'!W150)=0,"",'Ch7'!W150)</f>
        <v>1</v>
      </c>
      <c r="J1019" s="580" t="s">
        <v>3913</v>
      </c>
    </row>
    <row r="1020" spans="1:10" x14ac:dyDescent="0.35">
      <c r="A1020" s="366" t="str">
        <f t="shared" ref="A1020:A1025" si="24">A1019</f>
        <v>P</v>
      </c>
      <c r="B1020" t="str">
        <f>IF(LEN('Ch7'!H151)=0,"",'Ch7'!H151)</f>
        <v/>
      </c>
      <c r="C1020" t="str">
        <f t="shared" si="23"/>
        <v>P</v>
      </c>
      <c r="D1020" s="31"/>
      <c r="E1020" s="487"/>
      <c r="F1020" s="487"/>
      <c r="G1020" s="838"/>
      <c r="H1020"/>
      <c r="J1020" s="580"/>
    </row>
    <row r="1021" spans="1:10" x14ac:dyDescent="0.35">
      <c r="A1021" s="366" t="str">
        <f t="shared" si="24"/>
        <v>P</v>
      </c>
      <c r="B1021" t="str">
        <f>IF(LEN('Ch7'!H152)=0,"",'Ch7'!H152)</f>
        <v/>
      </c>
      <c r="C1021" t="str">
        <f t="shared" si="23"/>
        <v>P</v>
      </c>
      <c r="D1021" s="31"/>
      <c r="E1021" s="487"/>
      <c r="F1021" s="487"/>
      <c r="G1021" s="838"/>
      <c r="H1021"/>
      <c r="J1021" s="580"/>
    </row>
    <row r="1022" spans="1:10" x14ac:dyDescent="0.35">
      <c r="A1022" s="366" t="str">
        <f t="shared" si="24"/>
        <v>P</v>
      </c>
      <c r="B1022" t="str">
        <f>IF(LEN('Ch7'!H153)=0,"",'Ch7'!H153)</f>
        <v/>
      </c>
      <c r="C1022" t="str">
        <f t="shared" si="23"/>
        <v>P</v>
      </c>
      <c r="D1022" s="31"/>
      <c r="E1022" s="487"/>
      <c r="F1022" s="487"/>
      <c r="G1022" s="838"/>
      <c r="H1022"/>
      <c r="J1022" s="580"/>
    </row>
    <row r="1023" spans="1:10" x14ac:dyDescent="0.35">
      <c r="A1023" s="366" t="str">
        <f t="shared" si="24"/>
        <v>P</v>
      </c>
      <c r="B1023" t="str">
        <f>IF(LEN('Ch7'!H154)=0,"",'Ch7'!H154)</f>
        <v/>
      </c>
      <c r="C1023" t="str">
        <f t="shared" si="23"/>
        <v>P</v>
      </c>
      <c r="D1023" s="31"/>
      <c r="E1023" s="487"/>
      <c r="F1023" s="487"/>
      <c r="G1023" s="838"/>
      <c r="H1023"/>
      <c r="J1023" s="580"/>
    </row>
    <row r="1024" spans="1:10" x14ac:dyDescent="0.35">
      <c r="A1024" s="366" t="str">
        <f t="shared" si="24"/>
        <v>P</v>
      </c>
      <c r="B1024" t="str">
        <f>IF(LEN('Ch7'!H155)=0,"",'Ch7'!H155)</f>
        <v/>
      </c>
      <c r="C1024" t="str">
        <f t="shared" si="23"/>
        <v>P</v>
      </c>
      <c r="D1024" s="31"/>
      <c r="E1024" s="487"/>
      <c r="F1024" s="487"/>
      <c r="G1024" s="838"/>
      <c r="H1024"/>
      <c r="J1024" s="580"/>
    </row>
    <row r="1025" spans="1:10" x14ac:dyDescent="0.35">
      <c r="A1025" s="366" t="str">
        <f t="shared" si="24"/>
        <v>P</v>
      </c>
      <c r="B1025" t="str">
        <f>IF(LEN('Ch7'!H156)=0,"",'Ch7'!H156)</f>
        <v/>
      </c>
      <c r="C1025" t="str">
        <f t="shared" si="23"/>
        <v>P</v>
      </c>
      <c r="D1025" s="31"/>
      <c r="E1025" s="487"/>
      <c r="F1025" s="487"/>
      <c r="G1025" s="838"/>
      <c r="H1025"/>
      <c r="J1025" s="580"/>
    </row>
    <row r="1026" spans="1:10" x14ac:dyDescent="0.35">
      <c r="B1026" t="str">
        <f>IF(LEN('Ch7'!H157)=0,"",'Ch7'!H157)</f>
        <v/>
      </c>
      <c r="C1026" t="str">
        <f t="shared" si="23"/>
        <v/>
      </c>
      <c r="D1026" s="31"/>
      <c r="E1026" s="487"/>
      <c r="F1026" s="487"/>
      <c r="G1026" s="838" t="s">
        <v>4253</v>
      </c>
      <c r="H1026"/>
      <c r="J1026" s="580"/>
    </row>
    <row r="1027" spans="1:10" x14ac:dyDescent="0.35">
      <c r="B1027" t="str">
        <f>IF(LEN('Ch7'!H158)=0,"",'Ch7'!H158)</f>
        <v/>
      </c>
      <c r="C1027" t="str">
        <f t="shared" si="23"/>
        <v/>
      </c>
      <c r="D1027" s="31"/>
      <c r="E1027" s="487"/>
      <c r="F1027" s="487"/>
      <c r="G1027" s="838"/>
      <c r="H1027"/>
      <c r="J1027" s="580"/>
    </row>
    <row r="1028" spans="1:10" x14ac:dyDescent="0.35">
      <c r="B1028" t="str">
        <f>IF(LEN('Ch7'!H159)=0,"",'Ch7'!H159)</f>
        <v/>
      </c>
      <c r="C1028" t="str">
        <f t="shared" si="23"/>
        <v/>
      </c>
      <c r="D1028" s="403"/>
      <c r="E1028" s="614"/>
      <c r="F1028" s="614"/>
      <c r="G1028" s="889"/>
      <c r="H1028"/>
      <c r="J1028" s="580"/>
    </row>
    <row r="1029" spans="1:10" x14ac:dyDescent="0.35">
      <c r="A1029" s="366" t="str">
        <f>IF(AND(LEN(H1029)&gt;0,NOT(H1029=FALSE)),"P","")</f>
        <v>P</v>
      </c>
      <c r="B1029" t="str">
        <f>IF(LEN('Ch7'!H160)=0,"",'Ch7'!H160)</f>
        <v/>
      </c>
      <c r="C1029" t="str">
        <f t="shared" si="23"/>
        <v>P</v>
      </c>
      <c r="D1029" s="405" t="s">
        <v>870</v>
      </c>
      <c r="E1029" s="615"/>
      <c r="F1029" s="615"/>
      <c r="G1029" s="883" t="s">
        <v>4254</v>
      </c>
      <c r="H1029" s="400" t="str">
        <f>IF(LEN('Ch7'!W160)=0,"",'Ch7'!W160)</f>
        <v>Met</v>
      </c>
      <c r="J1029" s="580" t="s">
        <v>4989</v>
      </c>
    </row>
    <row r="1030" spans="1:10" x14ac:dyDescent="0.35">
      <c r="A1030" s="366" t="str">
        <f t="shared" ref="A1030:A1036" si="25">A1029</f>
        <v>P</v>
      </c>
      <c r="B1030" t="str">
        <f>IF(LEN('Ch7'!H161)=0,"",'Ch7'!H161)</f>
        <v/>
      </c>
      <c r="C1030" t="str">
        <f t="shared" si="23"/>
        <v>P</v>
      </c>
      <c r="D1030" s="31"/>
      <c r="E1030" s="487"/>
      <c r="F1030" s="487"/>
      <c r="G1030" s="881"/>
      <c r="H1030"/>
      <c r="J1030" s="580"/>
    </row>
    <row r="1031" spans="1:10" x14ac:dyDescent="0.35">
      <c r="A1031" s="366" t="str">
        <f t="shared" si="25"/>
        <v>P</v>
      </c>
      <c r="B1031" t="str">
        <f>IF(LEN('Ch7'!H162)=0,"",'Ch7'!H162)</f>
        <v/>
      </c>
      <c r="C1031" t="str">
        <f t="shared" si="23"/>
        <v>P</v>
      </c>
      <c r="D1031" s="31"/>
      <c r="E1031" s="487"/>
      <c r="F1031" s="487"/>
      <c r="G1031" s="881"/>
      <c r="H1031"/>
      <c r="J1031" s="580"/>
    </row>
    <row r="1032" spans="1:10" x14ac:dyDescent="0.35">
      <c r="A1032" s="366" t="str">
        <f t="shared" si="25"/>
        <v>P</v>
      </c>
      <c r="B1032" t="str">
        <f>IF(LEN('Ch7'!H163)=0,"",'Ch7'!H163)</f>
        <v/>
      </c>
      <c r="C1032" t="str">
        <f t="shared" si="23"/>
        <v>P</v>
      </c>
      <c r="D1032" s="31"/>
      <c r="E1032" s="487"/>
      <c r="F1032" s="487"/>
      <c r="G1032" s="881"/>
      <c r="H1032"/>
      <c r="J1032" s="580"/>
    </row>
    <row r="1033" spans="1:10" x14ac:dyDescent="0.35">
      <c r="A1033" s="366" t="str">
        <f t="shared" si="25"/>
        <v>P</v>
      </c>
      <c r="B1033" t="str">
        <f>IF(LEN('Ch7'!H164)=0,"",'Ch7'!H164)</f>
        <v/>
      </c>
      <c r="C1033" t="str">
        <f t="shared" si="23"/>
        <v>P</v>
      </c>
      <c r="D1033" s="31"/>
      <c r="E1033" s="487"/>
      <c r="F1033" s="487"/>
      <c r="G1033" s="881"/>
      <c r="H1033"/>
      <c r="J1033" s="580"/>
    </row>
    <row r="1034" spans="1:10" x14ac:dyDescent="0.35">
      <c r="A1034" s="366" t="str">
        <f t="shared" si="25"/>
        <v>P</v>
      </c>
      <c r="B1034" t="str">
        <f>IF(LEN('Ch7'!H165)=0,"",'Ch7'!H165)</f>
        <v/>
      </c>
      <c r="C1034" t="str">
        <f t="shared" si="23"/>
        <v>P</v>
      </c>
      <c r="D1034" s="31"/>
      <c r="E1034" s="487"/>
      <c r="F1034" s="487"/>
      <c r="G1034" s="881"/>
      <c r="H1034"/>
      <c r="J1034" s="580"/>
    </row>
    <row r="1035" spans="1:10" x14ac:dyDescent="0.35">
      <c r="A1035" s="366" t="str">
        <f t="shared" si="25"/>
        <v>P</v>
      </c>
      <c r="B1035" t="str">
        <f>IF(LEN('Ch7'!H166)=0,"",'Ch7'!H166)</f>
        <v/>
      </c>
      <c r="C1035" t="str">
        <f t="shared" si="23"/>
        <v>P</v>
      </c>
      <c r="D1035" s="31"/>
      <c r="E1035" s="487"/>
      <c r="F1035" s="487"/>
      <c r="G1035" s="881"/>
      <c r="H1035"/>
      <c r="J1035" s="580"/>
    </row>
    <row r="1036" spans="1:10" x14ac:dyDescent="0.35">
      <c r="A1036" s="366" t="str">
        <f t="shared" si="25"/>
        <v>P</v>
      </c>
      <c r="B1036" t="str">
        <f>IF(LEN('Ch7'!H167)=0,"",'Ch7'!H167)</f>
        <v/>
      </c>
      <c r="C1036" t="str">
        <f t="shared" si="23"/>
        <v>P</v>
      </c>
      <c r="D1036" s="403"/>
      <c r="E1036" s="614"/>
      <c r="F1036" s="614"/>
      <c r="G1036" s="882"/>
      <c r="H1036"/>
      <c r="J1036" s="580"/>
    </row>
    <row r="1037" spans="1:10" x14ac:dyDescent="0.35">
      <c r="A1037" s="366" t="str">
        <f>IF(OR(LEN(H1039)&gt;0,LEN(H1041)&gt;0),"P","")</f>
        <v>P</v>
      </c>
      <c r="B1037" t="str">
        <f>IF(LEN('Ch7'!H168)=0,"",'Ch7'!H168)</f>
        <v/>
      </c>
      <c r="C1037" t="str">
        <f t="shared" si="23"/>
        <v>P</v>
      </c>
      <c r="D1037" s="31" t="s">
        <v>871</v>
      </c>
      <c r="E1037" s="487"/>
      <c r="F1037" s="487"/>
      <c r="G1037" s="881" t="s">
        <v>4255</v>
      </c>
      <c r="H1037"/>
      <c r="J1037" s="580" t="s">
        <v>3891</v>
      </c>
    </row>
    <row r="1038" spans="1:10" x14ac:dyDescent="0.35">
      <c r="A1038" s="366" t="str">
        <f>A1037</f>
        <v>P</v>
      </c>
      <c r="B1038" t="str">
        <f>IF(LEN('Ch7'!H169)=0,"",'Ch7'!H169)</f>
        <v/>
      </c>
      <c r="C1038" t="str">
        <f t="shared" si="23"/>
        <v>P</v>
      </c>
      <c r="D1038" s="31"/>
      <c r="E1038" s="487"/>
      <c r="F1038" s="487"/>
      <c r="G1038" s="881"/>
      <c r="H1038"/>
      <c r="J1038" s="580"/>
    </row>
    <row r="1039" spans="1:10" x14ac:dyDescent="0.35">
      <c r="B1039" t="str">
        <f>IF(LEN('Ch7'!H170)=0,"",'Ch7'!H170)</f>
        <v/>
      </c>
      <c r="C1039" t="str">
        <f t="shared" ref="C1039:C1105" si="26">IF(LEN(B1039)=0,IF(A1039="P","P",""),B1039)</f>
        <v/>
      </c>
      <c r="D1039" s="31"/>
      <c r="E1039" s="426" t="s">
        <v>256</v>
      </c>
      <c r="F1039" s="487"/>
      <c r="G1039" s="814" t="s">
        <v>872</v>
      </c>
      <c r="H1039" s="400" t="b">
        <f>IF(LEN('Ch7'!W170)=0,"",'Ch7'!W170)</f>
        <v>1</v>
      </c>
      <c r="J1039" s="580"/>
    </row>
    <row r="1040" spans="1:10" x14ac:dyDescent="0.35">
      <c r="B1040" t="str">
        <f>IF(LEN('Ch7'!H171)=0,"",'Ch7'!H171)</f>
        <v/>
      </c>
      <c r="C1040" t="str">
        <f t="shared" si="26"/>
        <v/>
      </c>
      <c r="D1040" s="31"/>
      <c r="E1040" s="427"/>
      <c r="F1040" s="614"/>
      <c r="G1040" s="815"/>
      <c r="H1040"/>
      <c r="J1040" s="580"/>
    </row>
    <row r="1041" spans="1:10" x14ac:dyDescent="0.35">
      <c r="B1041" t="str">
        <f>IF(LEN('Ch7'!H172)=0,"",'Ch7'!H172)</f>
        <v/>
      </c>
      <c r="C1041" t="str">
        <f t="shared" si="26"/>
        <v/>
      </c>
      <c r="D1041" s="403"/>
      <c r="E1041" s="427" t="s">
        <v>258</v>
      </c>
      <c r="F1041" s="614"/>
      <c r="G1041" s="228" t="s">
        <v>873</v>
      </c>
      <c r="H1041" s="400" t="b">
        <f>IF(LEN('Ch7'!W172)=0,"",'Ch7'!W172)</f>
        <v>1</v>
      </c>
      <c r="J1041" s="580"/>
    </row>
    <row r="1042" spans="1:10" x14ac:dyDescent="0.35">
      <c r="A1042" s="366" t="str">
        <f>IF(AND(LEN(H1042)&gt;0,NOT(H1042=FALSE)),"P","")</f>
        <v/>
      </c>
      <c r="B1042" t="str">
        <f>IF(LEN('Ch7'!H173)=0,"",'Ch7'!H173)</f>
        <v/>
      </c>
      <c r="C1042" t="str">
        <f t="shared" si="26"/>
        <v/>
      </c>
      <c r="D1042" s="31" t="s">
        <v>874</v>
      </c>
      <c r="E1042" s="487"/>
      <c r="F1042" s="487"/>
      <c r="G1042" s="881" t="s">
        <v>4256</v>
      </c>
      <c r="H1042" s="400" t="str">
        <f>IF(LEN('Ch7'!W173)=0,"",'Ch7'!W173)</f>
        <v/>
      </c>
      <c r="J1042" s="580" t="s">
        <v>3891</v>
      </c>
    </row>
    <row r="1043" spans="1:10" x14ac:dyDescent="0.35">
      <c r="A1043" s="366" t="str">
        <f>A1042</f>
        <v/>
      </c>
      <c r="B1043" t="str">
        <f>IF(LEN('Ch7'!H174)=0,"",'Ch7'!H174)</f>
        <v/>
      </c>
      <c r="C1043" t="str">
        <f t="shared" si="26"/>
        <v/>
      </c>
      <c r="G1043" s="881"/>
      <c r="H1043"/>
      <c r="J1043" s="580"/>
    </row>
    <row r="1044" spans="1:10" ht="18.5" x14ac:dyDescent="0.35">
      <c r="A1044" s="366" t="s">
        <v>3973</v>
      </c>
      <c r="B1044" t="str">
        <f>IF(LEN('Ch7'!H175)=0,"",'Ch7'!H175)</f>
        <v/>
      </c>
      <c r="C1044" t="str">
        <f t="shared" si="26"/>
        <v>P</v>
      </c>
      <c r="D1044" s="620" t="s">
        <v>875</v>
      </c>
      <c r="E1044" s="629"/>
      <c r="F1044" s="629"/>
      <c r="G1044" s="602"/>
      <c r="H1044"/>
      <c r="J1044" s="580"/>
    </row>
    <row r="1045" spans="1:10" x14ac:dyDescent="0.35">
      <c r="B1045" t="str">
        <f>IF(LEN('Ch7'!H176)=0,"",'Ch7'!H176)</f>
        <v/>
      </c>
      <c r="C1045" t="str">
        <f t="shared" si="26"/>
        <v/>
      </c>
      <c r="D1045" s="31">
        <v>702.1</v>
      </c>
      <c r="E1045" s="487"/>
      <c r="F1045" s="487"/>
      <c r="G1045" s="838" t="s">
        <v>4853</v>
      </c>
      <c r="H1045"/>
      <c r="J1045" s="580"/>
    </row>
    <row r="1046" spans="1:10" ht="15" thickBot="1" x14ac:dyDescent="0.4">
      <c r="B1046" t="str">
        <f>IF(LEN('Ch7'!H177)=0,"",'Ch7'!H177)</f>
        <v/>
      </c>
      <c r="C1046" t="str">
        <f t="shared" si="26"/>
        <v/>
      </c>
      <c r="D1046" s="404"/>
      <c r="E1046" s="575"/>
      <c r="F1046" s="575"/>
      <c r="G1046" s="849"/>
      <c r="H1046"/>
      <c r="J1046" s="580"/>
    </row>
    <row r="1047" spans="1:10" ht="15" thickTop="1" x14ac:dyDescent="0.35">
      <c r="A1047" s="727" t="str">
        <f ca="1">IF(COUNTIF(A1048:A1061,"P")&gt;0,"P","")</f>
        <v/>
      </c>
      <c r="B1047" t="str">
        <f>IF(LEN('Ch7'!H178)=0,"",'Ch7'!H178)</f>
        <v/>
      </c>
      <c r="C1047" t="str">
        <f t="shared" ca="1" si="26"/>
        <v/>
      </c>
      <c r="D1047" s="60">
        <v>702.2</v>
      </c>
      <c r="E1047" s="574"/>
      <c r="F1047" s="574"/>
      <c r="G1047" s="274" t="s">
        <v>876</v>
      </c>
      <c r="H1047"/>
      <c r="J1047" s="580"/>
    </row>
    <row r="1048" spans="1:10" ht="20.25" customHeight="1" x14ac:dyDescent="0.35">
      <c r="A1048" s="366" t="str">
        <f>IF(AND(LEN(H1048)&gt;0,NOT(H1048=FALSE)),"P","")</f>
        <v/>
      </c>
      <c r="B1048" t="str">
        <f>IF(LEN('Ch7'!H179)=0,"",'Ch7'!H179)</f>
        <v/>
      </c>
      <c r="C1048" t="str">
        <f t="shared" si="26"/>
        <v/>
      </c>
      <c r="D1048" s="31" t="s">
        <v>877</v>
      </c>
      <c r="E1048" s="487"/>
      <c r="F1048" s="487"/>
      <c r="G1048" s="838" t="s">
        <v>878</v>
      </c>
      <c r="H1048" s="400" t="str">
        <f>IF(LEN('Ch7'!W179)=0,"",'Ch7'!W179)</f>
        <v/>
      </c>
      <c r="J1048" s="975" t="s">
        <v>4990</v>
      </c>
    </row>
    <row r="1049" spans="1:10" x14ac:dyDescent="0.35">
      <c r="A1049" s="366" t="str">
        <f>A1048</f>
        <v/>
      </c>
      <c r="B1049" t="str">
        <f>IF(LEN('Ch7'!H180)=0,"",'Ch7'!H180)</f>
        <v/>
      </c>
      <c r="C1049" t="str">
        <f t="shared" si="26"/>
        <v/>
      </c>
      <c r="D1049" s="31"/>
      <c r="E1049" s="487"/>
      <c r="F1049" s="487"/>
      <c r="G1049" s="838"/>
      <c r="H1049"/>
      <c r="J1049" s="979"/>
    </row>
    <row r="1050" spans="1:10" x14ac:dyDescent="0.35">
      <c r="A1050" s="366" t="str">
        <f>A1049</f>
        <v/>
      </c>
      <c r="B1050" t="str">
        <f>IF(LEN('Ch7'!H181)=0,"",'Ch7'!H181)</f>
        <v/>
      </c>
      <c r="C1050" t="str">
        <f t="shared" si="26"/>
        <v/>
      </c>
      <c r="D1050" s="31"/>
      <c r="E1050" s="487"/>
      <c r="F1050" s="487"/>
      <c r="G1050" s="838"/>
      <c r="H1050"/>
      <c r="J1050" s="979"/>
    </row>
    <row r="1051" spans="1:10" x14ac:dyDescent="0.35">
      <c r="A1051" s="366" t="str">
        <f>A1050</f>
        <v/>
      </c>
      <c r="B1051" t="str">
        <f>IF(LEN('Ch7'!H182)=0,"",'Ch7'!H182)</f>
        <v/>
      </c>
      <c r="C1051" t="str">
        <f t="shared" si="26"/>
        <v/>
      </c>
      <c r="D1051" s="403"/>
      <c r="E1051" s="614"/>
      <c r="F1051" s="614"/>
      <c r="G1051" s="889"/>
      <c r="H1051"/>
      <c r="J1051" s="976"/>
    </row>
    <row r="1052" spans="1:10" x14ac:dyDescent="0.35">
      <c r="A1052" s="366" t="str">
        <f ca="1">IF(I1052&gt;0,"P","")</f>
        <v/>
      </c>
      <c r="B1052" t="str">
        <f>IF(LEN('Ch7'!H183)=0,"",'Ch7'!H183)</f>
        <v/>
      </c>
      <c r="C1052" t="str">
        <f t="shared" ca="1" si="26"/>
        <v/>
      </c>
      <c r="D1052" s="31" t="s">
        <v>879</v>
      </c>
      <c r="E1052" s="487"/>
      <c r="F1052" s="487"/>
      <c r="G1052" s="838" t="s">
        <v>4257</v>
      </c>
      <c r="H1052" s="760"/>
      <c r="I1052" s="46">
        <f ca="1">'Ch7'!O183</f>
        <v>0</v>
      </c>
      <c r="J1052" s="975" t="s">
        <v>4991</v>
      </c>
    </row>
    <row r="1053" spans="1:10" x14ac:dyDescent="0.35">
      <c r="A1053" s="366" t="str">
        <f ca="1">A1052</f>
        <v/>
      </c>
      <c r="B1053" t="str">
        <f>IF(LEN('Ch7'!H184)=0,"",'Ch7'!H184)</f>
        <v/>
      </c>
      <c r="C1053" t="str">
        <f t="shared" ca="1" si="26"/>
        <v/>
      </c>
      <c r="D1053" s="31"/>
      <c r="E1053" s="487"/>
      <c r="F1053" s="487"/>
      <c r="G1053" s="838"/>
      <c r="H1053" s="760"/>
      <c r="J1053" s="979"/>
    </row>
    <row r="1054" spans="1:10" x14ac:dyDescent="0.35">
      <c r="A1054" s="366" t="str">
        <f ca="1">A1053</f>
        <v/>
      </c>
      <c r="B1054" t="str">
        <f>IF(LEN('Ch7'!H185)=0,"",'Ch7'!H185)</f>
        <v/>
      </c>
      <c r="C1054" t="str">
        <f t="shared" ca="1" si="26"/>
        <v/>
      </c>
      <c r="D1054" s="31"/>
      <c r="E1054" s="487"/>
      <c r="F1054" s="487"/>
      <c r="G1054" s="838"/>
      <c r="H1054" s="400" t="str">
        <f>IF(LEN('Ch7'!W185)=0,"",'Ch7'!W185)</f>
        <v/>
      </c>
      <c r="J1054" s="979"/>
    </row>
    <row r="1055" spans="1:10" x14ac:dyDescent="0.35">
      <c r="A1055" s="366" t="str">
        <f t="shared" ref="A1055:A1060" ca="1" si="27">A1054</f>
        <v/>
      </c>
      <c r="B1055" t="str">
        <f>IF(LEN('Ch7'!H186)=0,"",'Ch7'!H186)</f>
        <v/>
      </c>
      <c r="C1055" t="str">
        <f t="shared" ca="1" si="26"/>
        <v/>
      </c>
      <c r="D1055" s="31"/>
      <c r="E1055" s="487"/>
      <c r="F1055" s="487"/>
      <c r="G1055" s="838"/>
      <c r="H1055"/>
      <c r="J1055" s="979"/>
    </row>
    <row r="1056" spans="1:10" x14ac:dyDescent="0.35">
      <c r="A1056" s="366" t="str">
        <f t="shared" ca="1" si="27"/>
        <v/>
      </c>
      <c r="B1056" t="str">
        <f>IF(LEN('Ch7'!H187)=0,"",'Ch7'!H187)</f>
        <v/>
      </c>
      <c r="C1056" t="str">
        <f t="shared" ca="1" si="26"/>
        <v/>
      </c>
      <c r="D1056" s="31"/>
      <c r="E1056" s="487"/>
      <c r="F1056" s="487"/>
      <c r="G1056" s="838"/>
      <c r="H1056"/>
      <c r="J1056" s="979"/>
    </row>
    <row r="1057" spans="1:10" x14ac:dyDescent="0.35">
      <c r="A1057" s="366" t="str">
        <f t="shared" ca="1" si="27"/>
        <v/>
      </c>
      <c r="B1057" t="str">
        <f>IF(LEN('Ch7'!H188)=0,"",'Ch7'!H188)</f>
        <v/>
      </c>
      <c r="C1057" t="str">
        <f t="shared" ca="1" si="26"/>
        <v/>
      </c>
      <c r="D1057" s="31"/>
      <c r="E1057" s="487"/>
      <c r="F1057" s="487"/>
      <c r="G1057" s="95" t="s">
        <v>5116</v>
      </c>
      <c r="H1057"/>
      <c r="J1057" s="979"/>
    </row>
    <row r="1058" spans="1:10" x14ac:dyDescent="0.35">
      <c r="A1058" s="366" t="str">
        <f t="shared" ca="1" si="27"/>
        <v/>
      </c>
      <c r="B1058" t="str">
        <f>IF(LEN('Ch7'!H189)=0,"",'Ch7'!H189)</f>
        <v/>
      </c>
      <c r="C1058" t="str">
        <f t="shared" ca="1" si="26"/>
        <v/>
      </c>
      <c r="D1058" s="31"/>
      <c r="E1058" s="487"/>
      <c r="F1058" s="487"/>
      <c r="G1058" s="984" t="s">
        <v>2997</v>
      </c>
      <c r="H1058"/>
      <c r="J1058" s="979"/>
    </row>
    <row r="1059" spans="1:10" x14ac:dyDescent="0.35">
      <c r="A1059" s="366" t="str">
        <f t="shared" ca="1" si="27"/>
        <v/>
      </c>
      <c r="B1059" t="str">
        <f>IF(LEN('Ch7'!H190)=0,"",'Ch7'!H190)</f>
        <v/>
      </c>
      <c r="C1059" t="str">
        <f t="shared" ca="1" si="26"/>
        <v/>
      </c>
      <c r="D1059" s="31"/>
      <c r="E1059" s="487"/>
      <c r="F1059" s="487"/>
      <c r="G1059" s="984"/>
      <c r="H1059"/>
      <c r="J1059" s="979"/>
    </row>
    <row r="1060" spans="1:10" x14ac:dyDescent="0.35">
      <c r="A1060" s="366" t="str">
        <f t="shared" ca="1" si="27"/>
        <v/>
      </c>
      <c r="B1060" t="str">
        <f>IF(LEN('Ch7'!H191)=0,"",'Ch7'!H191)</f>
        <v/>
      </c>
      <c r="C1060" t="str">
        <f t="shared" ca="1" si="26"/>
        <v/>
      </c>
      <c r="D1060" s="403"/>
      <c r="E1060" s="614"/>
      <c r="F1060" s="614"/>
      <c r="G1060" s="987"/>
      <c r="H1060"/>
      <c r="J1060" s="976"/>
    </row>
    <row r="1061" spans="1:10" x14ac:dyDescent="0.35">
      <c r="A1061" s="727" t="str">
        <f ca="1">IF(COUNTIF(A1048:A1052,"P")&gt;0,"P","")</f>
        <v/>
      </c>
      <c r="B1061" t="str">
        <f>IF(LEN('Ch7'!H192)=0,"",'Ch7'!H192)</f>
        <v/>
      </c>
      <c r="C1061" t="str">
        <f t="shared" ca="1" si="26"/>
        <v/>
      </c>
      <c r="D1061" s="31" t="s">
        <v>880</v>
      </c>
      <c r="E1061" s="487"/>
      <c r="F1061" s="487"/>
      <c r="G1061" s="838" t="s">
        <v>881</v>
      </c>
      <c r="H1061"/>
      <c r="J1061" s="580" t="s">
        <v>4992</v>
      </c>
    </row>
    <row r="1062" spans="1:10" x14ac:dyDescent="0.35">
      <c r="A1062" s="366" t="str">
        <f ca="1">A1061</f>
        <v/>
      </c>
      <c r="B1062" t="str">
        <f>IF(LEN('Ch7'!H193)=0,"",'Ch7'!H193)</f>
        <v/>
      </c>
      <c r="C1062" t="str">
        <f t="shared" ca="1" si="26"/>
        <v/>
      </c>
      <c r="D1062" s="31"/>
      <c r="E1062" s="487"/>
      <c r="F1062" s="487"/>
      <c r="G1062" s="838"/>
      <c r="H1062"/>
      <c r="J1062" s="580"/>
    </row>
    <row r="1063" spans="1:10" ht="18.5" x14ac:dyDescent="0.35">
      <c r="A1063" s="366" t="s">
        <v>3973</v>
      </c>
      <c r="B1063" t="str">
        <f>IF(LEN('Ch7'!H194)=0,"",'Ch7'!H194)</f>
        <v/>
      </c>
      <c r="C1063" t="str">
        <f t="shared" si="26"/>
        <v>P</v>
      </c>
      <c r="D1063" s="620" t="s">
        <v>882</v>
      </c>
      <c r="E1063" s="629"/>
      <c r="F1063" s="629"/>
      <c r="G1063" s="602"/>
      <c r="H1063"/>
      <c r="J1063" s="580"/>
    </row>
    <row r="1064" spans="1:10" x14ac:dyDescent="0.35">
      <c r="A1064" s="366" t="str">
        <f ca="1">IF(I1064&gt;0,"P","")</f>
        <v>P</v>
      </c>
      <c r="B1064" t="str">
        <f>IF(LEN('Ch7'!H195)=0,"",'Ch7'!H195)</f>
        <v/>
      </c>
      <c r="C1064" t="str">
        <f t="shared" ca="1" si="26"/>
        <v>P</v>
      </c>
      <c r="D1064" s="31">
        <v>703.1</v>
      </c>
      <c r="E1064" s="487"/>
      <c r="F1064" s="487"/>
      <c r="G1064" s="95" t="s">
        <v>883</v>
      </c>
      <c r="H1064"/>
      <c r="I1064" s="46">
        <f ca="1">'Ch7'!O195</f>
        <v>30</v>
      </c>
      <c r="J1064" s="580"/>
    </row>
    <row r="1065" spans="1:10" ht="39" customHeight="1" x14ac:dyDescent="0.35">
      <c r="A1065" s="366" t="str">
        <f>IF(AND(LEN(H1065)&gt;0,NOT(H1065=FALSE)),"P","")</f>
        <v>P</v>
      </c>
      <c r="B1065" t="str">
        <f>IF(LEN('Ch7'!H196)=0,"",'Ch7'!H196)</f>
        <v/>
      </c>
      <c r="C1065" t="str">
        <f t="shared" si="26"/>
        <v>P</v>
      </c>
      <c r="D1065" s="31" t="s">
        <v>884</v>
      </c>
      <c r="E1065" s="487"/>
      <c r="F1065" s="487"/>
      <c r="G1065" s="881" t="s">
        <v>4258</v>
      </c>
      <c r="H1065" s="400" t="b">
        <f>IF(LEN('Ch7'!W196)=0,"",'Ch7'!W196)</f>
        <v>1</v>
      </c>
      <c r="J1065" s="975" t="s">
        <v>4993</v>
      </c>
    </row>
    <row r="1066" spans="1:10" x14ac:dyDescent="0.35">
      <c r="A1066" s="366" t="str">
        <f>A1065</f>
        <v>P</v>
      </c>
      <c r="B1066" t="str">
        <f>IF(LEN('Ch7'!H197)=0,"",'Ch7'!H197)</f>
        <v/>
      </c>
      <c r="C1066" t="str">
        <f t="shared" si="26"/>
        <v>P</v>
      </c>
      <c r="D1066" s="31"/>
      <c r="E1066" s="487"/>
      <c r="F1066" s="487"/>
      <c r="G1066" s="881"/>
      <c r="H1066"/>
      <c r="J1066" s="979"/>
    </row>
    <row r="1067" spans="1:10" x14ac:dyDescent="0.35">
      <c r="A1067" s="366" t="str">
        <f>A1066</f>
        <v>P</v>
      </c>
      <c r="B1067" t="str">
        <f>IF(LEN('Ch7'!H198)=0,"",'Ch7'!H198)</f>
        <v/>
      </c>
      <c r="C1067" t="str">
        <f t="shared" si="26"/>
        <v>P</v>
      </c>
      <c r="D1067" s="403"/>
      <c r="E1067" s="614"/>
      <c r="F1067" s="614"/>
      <c r="G1067" s="603" t="s">
        <v>2998</v>
      </c>
      <c r="H1067"/>
      <c r="J1067" s="976"/>
    </row>
    <row r="1068" spans="1:10" x14ac:dyDescent="0.35">
      <c r="A1068" s="727" t="str">
        <f ca="1">IF(COUNTIF(A1064:A1065,"P")&gt;0,"P","")</f>
        <v>P</v>
      </c>
      <c r="B1068" t="str">
        <f>IF(LEN('Ch7'!H199)=0,"",'Ch7'!H199)</f>
        <v/>
      </c>
      <c r="C1068" t="str">
        <f t="shared" ca="1" si="26"/>
        <v>P</v>
      </c>
      <c r="D1068" s="405" t="s">
        <v>885</v>
      </c>
      <c r="E1068" s="615"/>
      <c r="F1068" s="615"/>
      <c r="G1068" s="883" t="s">
        <v>4259</v>
      </c>
      <c r="H1068"/>
      <c r="J1068" s="580" t="s">
        <v>4994</v>
      </c>
    </row>
    <row r="1069" spans="1:10" x14ac:dyDescent="0.35">
      <c r="A1069" s="366" t="str">
        <f t="shared" ref="A1069:A1075" ca="1" si="28">A1068</f>
        <v>P</v>
      </c>
      <c r="B1069" t="str">
        <f>IF(LEN('Ch7'!H200)=0,"",'Ch7'!H200)</f>
        <v/>
      </c>
      <c r="C1069" t="str">
        <f t="shared" ca="1" si="26"/>
        <v>P</v>
      </c>
      <c r="D1069" s="31"/>
      <c r="E1069" s="487"/>
      <c r="F1069" s="487"/>
      <c r="G1069" s="881"/>
      <c r="H1069"/>
      <c r="J1069" s="580"/>
    </row>
    <row r="1070" spans="1:10" x14ac:dyDescent="0.35">
      <c r="A1070" s="366" t="str">
        <f t="shared" ca="1" si="28"/>
        <v>P</v>
      </c>
      <c r="B1070" t="str">
        <f>IF(LEN('Ch7'!H201)=0,"",'Ch7'!H201)</f>
        <v/>
      </c>
      <c r="C1070" t="str">
        <f t="shared" ca="1" si="26"/>
        <v>P</v>
      </c>
      <c r="D1070" s="31"/>
      <c r="E1070" s="487"/>
      <c r="F1070" s="487"/>
      <c r="G1070" s="881"/>
      <c r="H1070"/>
      <c r="J1070" s="580"/>
    </row>
    <row r="1071" spans="1:10" x14ac:dyDescent="0.35">
      <c r="A1071" s="366" t="str">
        <f t="shared" ca="1" si="28"/>
        <v>P</v>
      </c>
      <c r="B1071" t="str">
        <f>IF(LEN('Ch7'!H202)=0,"",'Ch7'!H202)</f>
        <v/>
      </c>
      <c r="C1071" t="str">
        <f t="shared" ca="1" si="26"/>
        <v>P</v>
      </c>
      <c r="D1071" s="31"/>
      <c r="E1071" s="487"/>
      <c r="F1071" s="487"/>
      <c r="G1071" s="881"/>
      <c r="H1071"/>
      <c r="J1071" s="580"/>
    </row>
    <row r="1072" spans="1:10" x14ac:dyDescent="0.35">
      <c r="A1072" s="366" t="str">
        <f t="shared" ca="1" si="28"/>
        <v>P</v>
      </c>
      <c r="B1072" t="str">
        <f>IF(LEN('Ch7'!H203)=0,"",'Ch7'!H203)</f>
        <v/>
      </c>
      <c r="C1072" t="str">
        <f t="shared" ca="1" si="26"/>
        <v>P</v>
      </c>
      <c r="D1072" s="31"/>
      <c r="E1072" s="487"/>
      <c r="F1072" s="487"/>
      <c r="G1072" s="881"/>
      <c r="H1072"/>
      <c r="J1072" s="580"/>
    </row>
    <row r="1073" spans="1:10" x14ac:dyDescent="0.35">
      <c r="A1073" s="366" t="str">
        <f t="shared" ca="1" si="28"/>
        <v>P</v>
      </c>
      <c r="B1073" t="str">
        <f>IF(LEN('Ch7'!H204)=0,"",'Ch7'!H204)</f>
        <v/>
      </c>
      <c r="C1073" t="str">
        <f t="shared" ca="1" si="26"/>
        <v>P</v>
      </c>
      <c r="D1073" s="31"/>
      <c r="E1073" s="487"/>
      <c r="F1073" s="487"/>
      <c r="G1073" s="881"/>
      <c r="H1073"/>
      <c r="J1073" s="580"/>
    </row>
    <row r="1074" spans="1:10" x14ac:dyDescent="0.35">
      <c r="A1074" s="366" t="str">
        <f t="shared" ca="1" si="28"/>
        <v>P</v>
      </c>
      <c r="B1074" t="str">
        <f>IF(LEN('Ch7'!H205)=0,"",'Ch7'!H205)</f>
        <v/>
      </c>
      <c r="C1074" t="str">
        <f t="shared" ca="1" si="26"/>
        <v>P</v>
      </c>
      <c r="D1074" s="31"/>
      <c r="E1074" s="487"/>
      <c r="F1074" s="487"/>
      <c r="G1074" s="881"/>
      <c r="H1074"/>
      <c r="J1074" s="580"/>
    </row>
    <row r="1075" spans="1:10" x14ac:dyDescent="0.35">
      <c r="A1075" s="366" t="str">
        <f t="shared" ca="1" si="28"/>
        <v>P</v>
      </c>
      <c r="B1075" t="str">
        <f>IF(LEN('Ch7'!H206)=0,"",'Ch7'!H206)</f>
        <v/>
      </c>
      <c r="C1075" t="str">
        <f t="shared" ca="1" si="26"/>
        <v>P</v>
      </c>
      <c r="D1075" s="403"/>
      <c r="E1075" s="614"/>
      <c r="F1075" s="614"/>
      <c r="G1075" s="882"/>
      <c r="H1075"/>
      <c r="J1075" s="580"/>
    </row>
    <row r="1076" spans="1:10" x14ac:dyDescent="0.35">
      <c r="A1076" s="727" t="str">
        <f ca="1">IF(COUNTIF(A1064:A1065,"P")&gt;0,"P","")</f>
        <v>P</v>
      </c>
      <c r="B1076" t="str">
        <f>IF(LEN('Ch7'!H207)=0,"",'Ch7'!H207)</f>
        <v/>
      </c>
      <c r="C1076" t="str">
        <f t="shared" ca="1" si="26"/>
        <v>P</v>
      </c>
      <c r="D1076" s="405" t="s">
        <v>886</v>
      </c>
      <c r="E1076" s="615"/>
      <c r="F1076" s="615"/>
      <c r="G1076" s="883" t="s">
        <v>4260</v>
      </c>
      <c r="H1076"/>
      <c r="J1076" s="580" t="s">
        <v>3891</v>
      </c>
    </row>
    <row r="1077" spans="1:10" x14ac:dyDescent="0.35">
      <c r="A1077" s="366" t="str">
        <f ca="1">A1076</f>
        <v>P</v>
      </c>
      <c r="B1077" t="str">
        <f>IF(LEN('Ch7'!H208)=0,"",'Ch7'!H208)</f>
        <v/>
      </c>
      <c r="C1077" t="str">
        <f t="shared" ca="1" si="26"/>
        <v>P</v>
      </c>
      <c r="D1077" s="31"/>
      <c r="E1077" s="487"/>
      <c r="F1077" s="487"/>
      <c r="G1077" s="881"/>
      <c r="H1077"/>
      <c r="J1077" s="580"/>
    </row>
    <row r="1078" spans="1:10" x14ac:dyDescent="0.35">
      <c r="A1078" s="366" t="str">
        <f ca="1">A1077</f>
        <v>P</v>
      </c>
      <c r="B1078" t="str">
        <f>IF(LEN('Ch7'!H209)=0,"",'Ch7'!H209)</f>
        <v/>
      </c>
      <c r="C1078" t="str">
        <f t="shared" ca="1" si="26"/>
        <v>P</v>
      </c>
      <c r="D1078" s="31"/>
      <c r="E1078" s="487"/>
      <c r="F1078" s="487"/>
      <c r="G1078" s="881"/>
      <c r="H1078"/>
      <c r="J1078" s="580"/>
    </row>
    <row r="1079" spans="1:10" x14ac:dyDescent="0.35">
      <c r="A1079" s="366" t="str">
        <f ca="1">A1078</f>
        <v>P</v>
      </c>
      <c r="B1079" t="str">
        <f>IF(LEN('Ch7'!H210)=0,"",'Ch7'!H210)</f>
        <v/>
      </c>
      <c r="C1079" t="str">
        <f t="shared" ca="1" si="26"/>
        <v>P</v>
      </c>
      <c r="D1079" s="403"/>
      <c r="E1079" s="614"/>
      <c r="F1079" s="614"/>
      <c r="G1079" s="882"/>
      <c r="H1079"/>
      <c r="J1079" s="580"/>
    </row>
    <row r="1080" spans="1:10" ht="37.5" customHeight="1" x14ac:dyDescent="0.35">
      <c r="A1080" s="366" t="str">
        <f>IF(AND(LEN(H1080)&gt;0,NOT(H1080=FALSE)),"P","")</f>
        <v>P</v>
      </c>
      <c r="B1080" t="str">
        <f>IF(LEN('Ch7'!H211)=0,"",'Ch7'!H211)</f>
        <v/>
      </c>
      <c r="C1080" t="str">
        <f t="shared" si="26"/>
        <v>P</v>
      </c>
      <c r="D1080" s="31" t="s">
        <v>887</v>
      </c>
      <c r="E1080" s="487"/>
      <c r="F1080" s="487"/>
      <c r="G1080" s="881" t="s">
        <v>4261</v>
      </c>
      <c r="H1080" s="400" t="b">
        <f>IF(LEN('Ch7'!W211)=0,"",'Ch7'!W211)</f>
        <v>1</v>
      </c>
      <c r="J1080" s="975" t="s">
        <v>4995</v>
      </c>
    </row>
    <row r="1081" spans="1:10" x14ac:dyDescent="0.35">
      <c r="A1081" s="366" t="str">
        <f>A1080</f>
        <v>P</v>
      </c>
      <c r="B1081" t="str">
        <f>IF(LEN('Ch7'!H212)=0,"",'Ch7'!H212)</f>
        <v/>
      </c>
      <c r="C1081" t="str">
        <f t="shared" si="26"/>
        <v>P</v>
      </c>
      <c r="D1081" s="31"/>
      <c r="E1081" s="487"/>
      <c r="F1081" s="487"/>
      <c r="G1081" s="881"/>
      <c r="H1081" s="991"/>
      <c r="J1081" s="979"/>
    </row>
    <row r="1082" spans="1:10" x14ac:dyDescent="0.35">
      <c r="B1082" t="str">
        <f>IF(LEN('Ch7'!H213)=0,"",'Ch7'!H213)</f>
        <v/>
      </c>
      <c r="C1082" t="str">
        <f t="shared" si="26"/>
        <v/>
      </c>
      <c r="D1082" s="403"/>
      <c r="E1082" s="614"/>
      <c r="F1082" s="614"/>
      <c r="G1082" s="603" t="s">
        <v>3530</v>
      </c>
      <c r="H1082" s="991"/>
      <c r="J1082" s="593"/>
    </row>
    <row r="1083" spans="1:10" ht="15" customHeight="1" x14ac:dyDescent="0.35">
      <c r="A1083" s="366" t="str">
        <f>IF(AND(LEN(H1083)&gt;0,NOT(H1083=FALSE)),"P","")</f>
        <v>P</v>
      </c>
      <c r="B1083" t="str">
        <f>IF(LEN('Ch7'!H214)=0,"",'Ch7'!H214)</f>
        <v/>
      </c>
      <c r="C1083" t="str">
        <f t="shared" si="26"/>
        <v>P</v>
      </c>
      <c r="D1083" s="31" t="s">
        <v>888</v>
      </c>
      <c r="E1083" s="487"/>
      <c r="F1083" s="487"/>
      <c r="G1083" s="838" t="s">
        <v>5117</v>
      </c>
      <c r="H1083" s="400" t="str">
        <f>IF(LEN('Ch7'!W214)=0,"",'Ch7'!W214)</f>
        <v>Met; Not Tested</v>
      </c>
      <c r="J1083" s="580" t="s">
        <v>3891</v>
      </c>
    </row>
    <row r="1084" spans="1:10" ht="15" customHeight="1" x14ac:dyDescent="0.35">
      <c r="A1084" s="366" t="str">
        <f t="shared" ref="A1084:A1087" si="29">A1083</f>
        <v>P</v>
      </c>
      <c r="B1084" t="str">
        <f>IF(LEN('Ch7'!H215)=0,"",'Ch7'!H215)</f>
        <v/>
      </c>
      <c r="C1084" t="str">
        <f t="shared" ref="C1084:C1087" si="30">IF(LEN(B1084)=0,IF(A1084="P","P",""),B1084)</f>
        <v>P</v>
      </c>
      <c r="D1084" s="31"/>
      <c r="E1084" s="487"/>
      <c r="F1084" s="487"/>
      <c r="G1084" s="838"/>
      <c r="H1084"/>
      <c r="J1084" s="580"/>
    </row>
    <row r="1085" spans="1:10" ht="15" customHeight="1" x14ac:dyDescent="0.35">
      <c r="A1085" s="366" t="str">
        <f t="shared" si="29"/>
        <v>P</v>
      </c>
      <c r="B1085" t="str">
        <f>IF(LEN('Ch7'!H216)=0,"",'Ch7'!H216)</f>
        <v/>
      </c>
      <c r="C1085" t="str">
        <f t="shared" si="30"/>
        <v>P</v>
      </c>
      <c r="D1085" s="31"/>
      <c r="E1085" s="487"/>
      <c r="F1085" s="487"/>
      <c r="G1085" s="838"/>
      <c r="H1085"/>
      <c r="J1085" s="580"/>
    </row>
    <row r="1086" spans="1:10" ht="15" customHeight="1" x14ac:dyDescent="0.35">
      <c r="A1086" s="366" t="str">
        <f t="shared" si="29"/>
        <v>P</v>
      </c>
      <c r="B1086" t="str">
        <f>IF(LEN('Ch7'!H217)=0,"",'Ch7'!H217)</f>
        <v/>
      </c>
      <c r="C1086" t="str">
        <f t="shared" si="30"/>
        <v>P</v>
      </c>
      <c r="D1086" s="31"/>
      <c r="E1086" s="487"/>
      <c r="F1086" s="487"/>
      <c r="G1086" s="838"/>
      <c r="H1086"/>
      <c r="J1086" s="580"/>
    </row>
    <row r="1087" spans="1:10" ht="15" thickBot="1" x14ac:dyDescent="0.4">
      <c r="A1087" s="366" t="str">
        <f t="shared" si="29"/>
        <v>P</v>
      </c>
      <c r="B1087" t="str">
        <f>IF(LEN('Ch7'!H218)=0,"",'Ch7'!H218)</f>
        <v/>
      </c>
      <c r="C1087" t="str">
        <f t="shared" si="30"/>
        <v>P</v>
      </c>
      <c r="D1087" s="404"/>
      <c r="E1087" s="575"/>
      <c r="F1087" s="575"/>
      <c r="G1087" s="849"/>
      <c r="H1087"/>
      <c r="J1087" s="580"/>
    </row>
    <row r="1088" spans="1:10" ht="15" thickTop="1" x14ac:dyDescent="0.35">
      <c r="A1088" s="727" t="str">
        <f ca="1">IF(COUNTIF(A1089:A1104,"P")&gt;0,"P","")</f>
        <v>P</v>
      </c>
      <c r="B1088" t="str">
        <f>IF(LEN('Ch7'!H219)=0,"",'Ch7'!H219)</f>
        <v/>
      </c>
      <c r="C1088" t="str">
        <f t="shared" ca="1" si="26"/>
        <v>P</v>
      </c>
      <c r="D1088" s="31">
        <v>703.2</v>
      </c>
      <c r="E1088" s="487"/>
      <c r="F1088" s="487"/>
      <c r="G1088" s="95" t="s">
        <v>889</v>
      </c>
      <c r="H1088"/>
      <c r="J1088" s="580"/>
    </row>
    <row r="1089" spans="1:10" x14ac:dyDescent="0.35">
      <c r="A1089" s="366" t="str">
        <f>IF(AND(LEN(H1089)&gt;0,NOT(H1089=FALSE)),"P","")</f>
        <v/>
      </c>
      <c r="B1089" t="str">
        <f>IF(LEN('Ch7'!H220)=0,"",'Ch7'!H220)</f>
        <v/>
      </c>
      <c r="C1089" t="str">
        <f t="shared" si="26"/>
        <v/>
      </c>
      <c r="D1089" s="31" t="s">
        <v>890</v>
      </c>
      <c r="E1089" s="487"/>
      <c r="F1089" s="487"/>
      <c r="G1089" s="881" t="s">
        <v>4262</v>
      </c>
      <c r="H1089" s="400" t="str">
        <f>IF(LEN('Ch7'!W220)=0,"",'Ch7'!W220)</f>
        <v/>
      </c>
      <c r="I1089" s="46">
        <f>'Ch7'!O220</f>
        <v>0</v>
      </c>
      <c r="J1089" s="975" t="s">
        <v>4996</v>
      </c>
    </row>
    <row r="1090" spans="1:10" x14ac:dyDescent="0.35">
      <c r="A1090" s="366" t="str">
        <f>A1089</f>
        <v/>
      </c>
      <c r="B1090" t="str">
        <f>IF(LEN('Ch7'!H221)=0,"",'Ch7'!H221)</f>
        <v/>
      </c>
      <c r="C1090" t="str">
        <f t="shared" si="26"/>
        <v/>
      </c>
      <c r="D1090" s="31"/>
      <c r="E1090" s="487"/>
      <c r="F1090" s="487"/>
      <c r="G1090" s="881"/>
      <c r="H1090"/>
      <c r="J1090" s="979"/>
    </row>
    <row r="1091" spans="1:10" x14ac:dyDescent="0.35">
      <c r="A1091" s="366" t="str">
        <f>A1090</f>
        <v/>
      </c>
      <c r="B1091" t="str">
        <f>IF(LEN('Ch7'!H222)=0,"",'Ch7'!H222)</f>
        <v/>
      </c>
      <c r="C1091" t="str">
        <f t="shared" si="26"/>
        <v/>
      </c>
      <c r="D1091" s="31"/>
      <c r="E1091" s="487"/>
      <c r="F1091" s="487"/>
      <c r="G1091" s="881"/>
      <c r="H1091" s="400" t="str">
        <f>IF(LEN('Ch7'!W222)=0,"",'Ch7'!W222)</f>
        <v/>
      </c>
      <c r="J1091" s="976"/>
    </row>
    <row r="1092" spans="1:10" x14ac:dyDescent="0.35">
      <c r="A1092" s="366" t="str">
        <f>A1091</f>
        <v/>
      </c>
      <c r="B1092" t="str">
        <f>IF(LEN('Ch7'!H223)=0,"",'Ch7'!H223)</f>
        <v/>
      </c>
      <c r="C1092" t="str">
        <f t="shared" si="26"/>
        <v/>
      </c>
      <c r="D1092" s="31"/>
      <c r="E1092" s="487"/>
      <c r="F1092" s="487"/>
      <c r="G1092" s="881"/>
      <c r="H1092"/>
      <c r="J1092" s="580"/>
    </row>
    <row r="1093" spans="1:10" x14ac:dyDescent="0.35">
      <c r="A1093" s="366" t="str">
        <f>A1092</f>
        <v/>
      </c>
      <c r="B1093" t="str">
        <f>IF(LEN('Ch7'!H224)=0,"",'Ch7'!H224)</f>
        <v/>
      </c>
      <c r="C1093" t="str">
        <f t="shared" si="26"/>
        <v/>
      </c>
      <c r="D1093" s="31"/>
      <c r="E1093" s="487"/>
      <c r="F1093" s="487"/>
      <c r="G1093" s="881"/>
      <c r="H1093"/>
      <c r="J1093" s="580"/>
    </row>
    <row r="1094" spans="1:10" x14ac:dyDescent="0.35">
      <c r="A1094" s="366" t="str">
        <f>A1093</f>
        <v/>
      </c>
      <c r="B1094" t="str">
        <f>IF(LEN('Ch7'!H225)=0,"",'Ch7'!H225)</f>
        <v/>
      </c>
      <c r="C1094" t="str">
        <f t="shared" si="26"/>
        <v/>
      </c>
      <c r="D1094" s="31"/>
      <c r="E1094" s="487"/>
      <c r="F1094" s="487"/>
      <c r="G1094" s="881"/>
      <c r="H1094"/>
      <c r="J1094" s="580"/>
    </row>
    <row r="1095" spans="1:10" x14ac:dyDescent="0.35">
      <c r="B1095" t="str">
        <f>IF(LEN('Ch7'!H226)=0,"",'Ch7'!H226)</f>
        <v/>
      </c>
      <c r="C1095" t="str">
        <f t="shared" si="26"/>
        <v/>
      </c>
      <c r="D1095" s="403"/>
      <c r="E1095" s="614"/>
      <c r="F1095" s="614"/>
      <c r="G1095" s="323" t="s">
        <v>3531</v>
      </c>
      <c r="H1095"/>
      <c r="J1095" s="580"/>
    </row>
    <row r="1096" spans="1:10" x14ac:dyDescent="0.35">
      <c r="A1096" s="366" t="str">
        <f>IF(I1096&gt;0,"P","")</f>
        <v/>
      </c>
      <c r="B1096" t="str">
        <f>IF(LEN('Ch7'!H227)=0,"",'Ch7'!H227)</f>
        <v/>
      </c>
      <c r="C1096" t="str">
        <f t="shared" si="26"/>
        <v/>
      </c>
      <c r="D1096" s="405" t="s">
        <v>892</v>
      </c>
      <c r="E1096" s="615"/>
      <c r="F1096" s="615"/>
      <c r="G1096" s="905" t="s">
        <v>893</v>
      </c>
      <c r="H1096"/>
      <c r="I1096" s="46">
        <f>'Ch7'!O227</f>
        <v>0</v>
      </c>
      <c r="J1096" s="580" t="s">
        <v>3891</v>
      </c>
    </row>
    <row r="1097" spans="1:10" x14ac:dyDescent="0.35">
      <c r="A1097" s="366" t="str">
        <f>IF(AND(LEN(H1097)&gt;0,NOT(H1097=FALSE)),"P","")</f>
        <v/>
      </c>
      <c r="B1097" t="str">
        <f>IF(LEN('Ch7'!H228)=0,"",'Ch7'!H228)</f>
        <v/>
      </c>
      <c r="C1097" t="str">
        <f t="shared" si="26"/>
        <v/>
      </c>
      <c r="D1097" s="403"/>
      <c r="E1097" s="614"/>
      <c r="F1097" s="614"/>
      <c r="G1097" s="889"/>
      <c r="H1097" s="400" t="str">
        <f>IF(LEN('Ch7'!W228)=0,"",'Ch7'!W228)</f>
        <v/>
      </c>
      <c r="J1097" s="580"/>
    </row>
    <row r="1098" spans="1:10" x14ac:dyDescent="0.35">
      <c r="A1098" s="366" t="str">
        <f ca="1">IF(I1098&gt;0,"P","")</f>
        <v/>
      </c>
      <c r="B1098" t="str">
        <f>IF(LEN('Ch7'!H229)=0,"",'Ch7'!H229)</f>
        <v/>
      </c>
      <c r="C1098" t="str">
        <f t="shared" ca="1" si="26"/>
        <v/>
      </c>
      <c r="D1098" s="405" t="s">
        <v>895</v>
      </c>
      <c r="E1098" s="615"/>
      <c r="F1098" s="615"/>
      <c r="G1098" s="905" t="s">
        <v>896</v>
      </c>
      <c r="H1098" s="400" t="str">
        <f>IF(LEN('Ch7'!W229)=0,"",'Ch7'!W229)</f>
        <v/>
      </c>
      <c r="I1098" s="46">
        <f ca="1">'Ch7'!O229</f>
        <v>0</v>
      </c>
      <c r="J1098" s="580" t="s">
        <v>4997</v>
      </c>
    </row>
    <row r="1099" spans="1:10" x14ac:dyDescent="0.35">
      <c r="A1099" s="366" t="str">
        <f ca="1">A1098</f>
        <v/>
      </c>
      <c r="B1099" t="str">
        <f>IF(LEN('Ch7'!H230)=0,"",'Ch7'!H230)</f>
        <v/>
      </c>
      <c r="C1099" t="str">
        <f t="shared" ca="1" si="26"/>
        <v/>
      </c>
      <c r="D1099" s="31"/>
      <c r="E1099" s="487"/>
      <c r="F1099" s="487"/>
      <c r="G1099" s="838"/>
      <c r="H1099"/>
      <c r="J1099" s="580"/>
    </row>
    <row r="1100" spans="1:10" x14ac:dyDescent="0.35">
      <c r="A1100" s="366" t="str">
        <f ca="1">A1099</f>
        <v/>
      </c>
      <c r="B1100" t="str">
        <f>IF(LEN('Ch7'!H231)=0,"",'Ch7'!H231)</f>
        <v/>
      </c>
      <c r="C1100" t="str">
        <f t="shared" ca="1" si="26"/>
        <v/>
      </c>
      <c r="D1100" s="403"/>
      <c r="E1100" s="614"/>
      <c r="F1100" s="614"/>
      <c r="G1100" s="889"/>
      <c r="H1100"/>
      <c r="J1100" s="580"/>
    </row>
    <row r="1101" spans="1:10" x14ac:dyDescent="0.35">
      <c r="A1101" s="366" t="str">
        <f ca="1">IF(I1101&gt;0,"P","")</f>
        <v/>
      </c>
      <c r="B1101" t="str">
        <f>IF(LEN('Ch7'!H232)=0,"",'Ch7'!H232)</f>
        <v/>
      </c>
      <c r="C1101" t="str">
        <f t="shared" ca="1" si="26"/>
        <v/>
      </c>
      <c r="D1101" s="405" t="s">
        <v>897</v>
      </c>
      <c r="E1101" s="615"/>
      <c r="F1101" s="615"/>
      <c r="G1101" s="905" t="s">
        <v>4270</v>
      </c>
      <c r="H1101" s="760"/>
      <c r="I1101" s="46">
        <f ca="1">'Ch7'!O232</f>
        <v>0</v>
      </c>
      <c r="J1101" s="580" t="s">
        <v>4998</v>
      </c>
    </row>
    <row r="1102" spans="1:10" x14ac:dyDescent="0.35">
      <c r="A1102" s="366" t="str">
        <f ca="1">A1101</f>
        <v/>
      </c>
      <c r="B1102" t="str">
        <f>IF(LEN('Ch7'!H233)=0,"",'Ch7'!H233)</f>
        <v/>
      </c>
      <c r="C1102" t="str">
        <f t="shared" ca="1" si="26"/>
        <v/>
      </c>
      <c r="D1102" s="31"/>
      <c r="E1102" s="487"/>
      <c r="F1102" s="487"/>
      <c r="G1102" s="838"/>
      <c r="H1102" s="760"/>
      <c r="J1102" s="580"/>
    </row>
    <row r="1103" spans="1:10" x14ac:dyDescent="0.35">
      <c r="A1103" s="366" t="str">
        <f ca="1">A1102</f>
        <v/>
      </c>
      <c r="B1103" t="str">
        <f>IF(LEN('Ch7'!H234)=0,"",'Ch7'!H234)</f>
        <v/>
      </c>
      <c r="C1103" t="str">
        <f t="shared" ca="1" si="26"/>
        <v/>
      </c>
      <c r="D1103" s="403"/>
      <c r="E1103" s="614"/>
      <c r="F1103" s="614"/>
      <c r="G1103" s="889"/>
      <c r="H1103" s="279"/>
      <c r="J1103" s="580"/>
    </row>
    <row r="1104" spans="1:10" x14ac:dyDescent="0.35">
      <c r="A1104" s="727" t="str">
        <f ca="1">IF(COUNTIF(A1105:A1129,"P")&gt;0,"P","")</f>
        <v>P</v>
      </c>
      <c r="B1104" t="str">
        <f>IF(LEN('Ch7'!H235)=0,"",'Ch7'!H235)</f>
        <v/>
      </c>
      <c r="C1104" t="str">
        <f t="shared" ca="1" si="26"/>
        <v>P</v>
      </c>
      <c r="D1104" s="31" t="s">
        <v>898</v>
      </c>
      <c r="E1104" s="487"/>
      <c r="F1104" s="487"/>
      <c r="G1104" s="95" t="s">
        <v>899</v>
      </c>
      <c r="H1104"/>
      <c r="J1104" s="580"/>
    </row>
    <row r="1105" spans="1:10" x14ac:dyDescent="0.35">
      <c r="A1105" s="366" t="str">
        <f>IF(AND(LEN(H1105)&gt;0,NOT(H1105=FALSE)),"P","")</f>
        <v>P</v>
      </c>
      <c r="B1105" t="str">
        <f>IF(LEN('Ch7'!H236)=0,"",'Ch7'!H236)</f>
        <v/>
      </c>
      <c r="C1105" t="str">
        <f t="shared" si="26"/>
        <v>P</v>
      </c>
      <c r="D1105" s="31" t="s">
        <v>900</v>
      </c>
      <c r="E1105" s="487"/>
      <c r="F1105" s="487"/>
      <c r="G1105" s="814" t="s">
        <v>901</v>
      </c>
      <c r="H1105" s="400" t="str">
        <f>IF(LEN('Ch7'!W236)=0,"",'Ch7'!W236)</f>
        <v>Met</v>
      </c>
      <c r="J1105" s="580" t="s">
        <v>3914</v>
      </c>
    </row>
    <row r="1106" spans="1:10" x14ac:dyDescent="0.35">
      <c r="A1106" s="366" t="str">
        <f t="shared" ref="A1106:A1111" si="31">A1105</f>
        <v>P</v>
      </c>
      <c r="B1106" t="str">
        <f>IF(LEN('Ch7'!H237)=0,"",'Ch7'!H237)</f>
        <v/>
      </c>
      <c r="C1106" t="str">
        <f t="shared" ref="C1106:C1169" si="32">IF(LEN(B1106)=0,IF(A1106="P","P",""),B1106)</f>
        <v>P</v>
      </c>
      <c r="D1106" s="31"/>
      <c r="E1106" s="487"/>
      <c r="F1106" s="487"/>
      <c r="G1106" s="814"/>
      <c r="H1106"/>
      <c r="J1106" s="580"/>
    </row>
    <row r="1107" spans="1:10" x14ac:dyDescent="0.35">
      <c r="A1107" s="366" t="str">
        <f t="shared" si="31"/>
        <v>P</v>
      </c>
      <c r="B1107" t="str">
        <f>IF(LEN('Ch7'!H238)=0,"",'Ch7'!H238)</f>
        <v/>
      </c>
      <c r="C1107" t="str">
        <f t="shared" si="32"/>
        <v>P</v>
      </c>
      <c r="D1107" s="31"/>
      <c r="E1107" s="487"/>
      <c r="F1107" s="487"/>
      <c r="G1107" s="814"/>
      <c r="H1107"/>
      <c r="J1107" s="580"/>
    </row>
    <row r="1108" spans="1:10" x14ac:dyDescent="0.35">
      <c r="A1108" s="366" t="str">
        <f t="shared" si="31"/>
        <v>P</v>
      </c>
      <c r="B1108" t="str">
        <f>IF(LEN('Ch7'!H239)=0,"",'Ch7'!H239)</f>
        <v/>
      </c>
      <c r="C1108" t="str">
        <f t="shared" si="32"/>
        <v>P</v>
      </c>
      <c r="D1108" s="31"/>
      <c r="E1108" s="487"/>
      <c r="F1108" s="487"/>
      <c r="G1108" s="814"/>
      <c r="H1108"/>
      <c r="J1108" s="580"/>
    </row>
    <row r="1109" spans="1:10" x14ac:dyDescent="0.35">
      <c r="A1109" s="366" t="str">
        <f t="shared" si="31"/>
        <v>P</v>
      </c>
      <c r="B1109" t="str">
        <f>IF(LEN('Ch7'!H240)=0,"",'Ch7'!H240)</f>
        <v/>
      </c>
      <c r="C1109" t="str">
        <f t="shared" si="32"/>
        <v>P</v>
      </c>
      <c r="D1109" s="31"/>
      <c r="E1109" s="487"/>
      <c r="F1109" s="487"/>
      <c r="G1109" s="814"/>
      <c r="H1109"/>
      <c r="J1109" s="580"/>
    </row>
    <row r="1110" spans="1:10" x14ac:dyDescent="0.35">
      <c r="A1110" s="366" t="str">
        <f t="shared" si="31"/>
        <v>P</v>
      </c>
      <c r="B1110" t="str">
        <f>IF(LEN('Ch7'!H241)=0,"",'Ch7'!H241)</f>
        <v/>
      </c>
      <c r="C1110" t="str">
        <f t="shared" si="32"/>
        <v>P</v>
      </c>
      <c r="D1110" s="31"/>
      <c r="E1110" s="487"/>
      <c r="F1110" s="487"/>
      <c r="G1110" s="814"/>
      <c r="H1110"/>
      <c r="J1110" s="580"/>
    </row>
    <row r="1111" spans="1:10" x14ac:dyDescent="0.35">
      <c r="A1111" s="366" t="str">
        <f t="shared" si="31"/>
        <v>P</v>
      </c>
      <c r="B1111" t="str">
        <f>IF(LEN('Ch7'!H242)=0,"",'Ch7'!H242)</f>
        <v/>
      </c>
      <c r="C1111" t="str">
        <f t="shared" si="32"/>
        <v>P</v>
      </c>
      <c r="D1111" s="31"/>
      <c r="E1111" s="487"/>
      <c r="F1111" s="487"/>
      <c r="G1111" s="814"/>
      <c r="H1111"/>
      <c r="J1111" s="580"/>
    </row>
    <row r="1112" spans="1:10" x14ac:dyDescent="0.35">
      <c r="B1112" t="str">
        <f>IF(LEN('Ch7'!H243)=0,"",'Ch7'!H243)</f>
        <v/>
      </c>
      <c r="C1112" t="str">
        <f t="shared" si="32"/>
        <v/>
      </c>
      <c r="D1112" s="403"/>
      <c r="E1112" s="614"/>
      <c r="F1112" s="614"/>
      <c r="G1112" s="323" t="s">
        <v>3778</v>
      </c>
      <c r="H1112"/>
      <c r="J1112" s="580"/>
    </row>
    <row r="1113" spans="1:10" x14ac:dyDescent="0.35">
      <c r="A1113" s="366" t="str">
        <f>IF(AND(LEN(H1113)&gt;0,NOT(H1113=FALSE)),"P","")</f>
        <v>P</v>
      </c>
      <c r="B1113" t="str">
        <f>IF(LEN('Ch7'!H244)=0,"",'Ch7'!H244)</f>
        <v/>
      </c>
      <c r="C1113" t="str">
        <f t="shared" si="32"/>
        <v>P</v>
      </c>
      <c r="D1113" s="405" t="s">
        <v>902</v>
      </c>
      <c r="E1113" s="615"/>
      <c r="F1113" s="615"/>
      <c r="G1113" s="905" t="s">
        <v>903</v>
      </c>
      <c r="H1113" s="400" t="str">
        <f>IF(LEN('Ch7'!W244)=0,"",'Ch7'!W244)</f>
        <v>N/A</v>
      </c>
      <c r="J1113" s="580" t="s">
        <v>3914</v>
      </c>
    </row>
    <row r="1114" spans="1:10" x14ac:dyDescent="0.35">
      <c r="A1114" s="366" t="str">
        <f t="shared" ref="A1114:A1120" si="33">A1113</f>
        <v>P</v>
      </c>
      <c r="B1114" t="str">
        <f>IF(LEN('Ch7'!H245)=0,"",'Ch7'!H245)</f>
        <v/>
      </c>
      <c r="C1114" t="str">
        <f t="shared" si="32"/>
        <v>P</v>
      </c>
      <c r="D1114" s="31"/>
      <c r="E1114" s="487"/>
      <c r="F1114" s="487"/>
      <c r="G1114" s="838"/>
      <c r="H1114"/>
      <c r="J1114" s="580"/>
    </row>
    <row r="1115" spans="1:10" x14ac:dyDescent="0.35">
      <c r="A1115" s="366" t="str">
        <f t="shared" si="33"/>
        <v>P</v>
      </c>
      <c r="B1115" t="str">
        <f>IF(LEN('Ch7'!H246)=0,"",'Ch7'!H246)</f>
        <v/>
      </c>
      <c r="C1115" t="str">
        <f t="shared" si="32"/>
        <v>P</v>
      </c>
      <c r="D1115" s="31"/>
      <c r="E1115" s="487"/>
      <c r="F1115" s="487"/>
      <c r="G1115" s="838"/>
      <c r="H1115"/>
      <c r="J1115" s="580"/>
    </row>
    <row r="1116" spans="1:10" x14ac:dyDescent="0.35">
      <c r="A1116" s="366" t="str">
        <f t="shared" si="33"/>
        <v>P</v>
      </c>
      <c r="B1116" t="str">
        <f>IF(LEN('Ch7'!H247)=0,"",'Ch7'!H247)</f>
        <v/>
      </c>
      <c r="C1116" t="str">
        <f t="shared" si="32"/>
        <v>P</v>
      </c>
      <c r="D1116" s="31"/>
      <c r="E1116" s="487"/>
      <c r="F1116" s="487"/>
      <c r="G1116" s="838"/>
      <c r="H1116"/>
      <c r="J1116" s="580"/>
    </row>
    <row r="1117" spans="1:10" x14ac:dyDescent="0.35">
      <c r="A1117" s="366" t="str">
        <f t="shared" si="33"/>
        <v>P</v>
      </c>
      <c r="B1117" t="str">
        <f>IF(LEN('Ch7'!H248)=0,"",'Ch7'!H248)</f>
        <v/>
      </c>
      <c r="C1117" t="str">
        <f t="shared" si="32"/>
        <v>P</v>
      </c>
      <c r="D1117" s="31"/>
      <c r="E1117" s="487"/>
      <c r="F1117" s="487"/>
      <c r="G1117" s="838"/>
      <c r="H1117"/>
      <c r="J1117" s="580"/>
    </row>
    <row r="1118" spans="1:10" x14ac:dyDescent="0.35">
      <c r="A1118" s="366" t="str">
        <f t="shared" si="33"/>
        <v>P</v>
      </c>
      <c r="B1118" t="str">
        <f>IF(LEN('Ch7'!H249)=0,"",'Ch7'!H249)</f>
        <v/>
      </c>
      <c r="C1118" t="str">
        <f t="shared" si="32"/>
        <v>P</v>
      </c>
      <c r="D1118" s="31"/>
      <c r="E1118" s="487"/>
      <c r="F1118" s="487"/>
      <c r="G1118" s="838"/>
      <c r="H1118"/>
      <c r="J1118" s="580"/>
    </row>
    <row r="1119" spans="1:10" x14ac:dyDescent="0.35">
      <c r="A1119" s="366" t="str">
        <f t="shared" si="33"/>
        <v>P</v>
      </c>
      <c r="B1119" t="str">
        <f>IF(LEN('Ch7'!H250)=0,"",'Ch7'!H250)</f>
        <v/>
      </c>
      <c r="C1119" t="str">
        <f t="shared" si="32"/>
        <v>P</v>
      </c>
      <c r="D1119" s="31"/>
      <c r="E1119" s="487"/>
      <c r="F1119" s="487"/>
      <c r="G1119" s="838"/>
      <c r="H1119"/>
      <c r="J1119" s="580"/>
    </row>
    <row r="1120" spans="1:10" x14ac:dyDescent="0.35">
      <c r="A1120" s="366" t="str">
        <f t="shared" si="33"/>
        <v>P</v>
      </c>
      <c r="B1120" t="str">
        <f>IF(LEN('Ch7'!H251)=0,"",'Ch7'!H251)</f>
        <v/>
      </c>
      <c r="C1120" t="str">
        <f t="shared" si="32"/>
        <v>P</v>
      </c>
      <c r="D1120" s="403"/>
      <c r="E1120" s="614"/>
      <c r="F1120" s="614"/>
      <c r="G1120" s="889"/>
      <c r="H1120"/>
      <c r="J1120" s="580"/>
    </row>
    <row r="1121" spans="1:10" x14ac:dyDescent="0.35">
      <c r="A1121" s="366" t="str">
        <f ca="1">IF(I1121&gt;0,"P","")</f>
        <v/>
      </c>
      <c r="B1121" t="str">
        <f>IF(LEN('Ch7'!H252)=0,"",'Ch7'!H252)</f>
        <v/>
      </c>
      <c r="C1121" t="str">
        <f t="shared" ca="1" si="32"/>
        <v/>
      </c>
      <c r="D1121" s="31" t="s">
        <v>904</v>
      </c>
      <c r="E1121" s="487"/>
      <c r="F1121" s="487"/>
      <c r="G1121" s="838" t="s">
        <v>905</v>
      </c>
      <c r="H1121" s="400" t="str">
        <f>IF(LEN('Ch7'!W252)=0,"",'Ch7'!W252)</f>
        <v/>
      </c>
      <c r="I1121" s="46">
        <f ca="1">'Ch7'!O252</f>
        <v>0</v>
      </c>
      <c r="J1121" s="580" t="s">
        <v>3914</v>
      </c>
    </row>
    <row r="1122" spans="1:10" x14ac:dyDescent="0.35">
      <c r="A1122" s="366" t="str">
        <f ca="1">A1121</f>
        <v/>
      </c>
      <c r="B1122" t="str">
        <f>IF(LEN('Ch7'!H253)=0,"",'Ch7'!H253)</f>
        <v/>
      </c>
      <c r="C1122" t="str">
        <f t="shared" ca="1" si="32"/>
        <v/>
      </c>
      <c r="D1122" s="31"/>
      <c r="E1122" s="487"/>
      <c r="F1122" s="487"/>
      <c r="G1122" s="838"/>
      <c r="H1122"/>
      <c r="J1122" s="580"/>
    </row>
    <row r="1123" spans="1:10" x14ac:dyDescent="0.35">
      <c r="A1123" s="366" t="str">
        <f ca="1">A1122</f>
        <v/>
      </c>
      <c r="B1123" t="str">
        <f>IF(LEN('Ch7'!H254)=0,"",'Ch7'!H254)</f>
        <v/>
      </c>
      <c r="C1123" t="str">
        <f t="shared" ca="1" si="32"/>
        <v/>
      </c>
      <c r="D1123" s="31"/>
      <c r="E1123" s="487"/>
      <c r="F1123" s="487"/>
      <c r="G1123" s="838"/>
      <c r="H1123"/>
      <c r="J1123" s="580"/>
    </row>
    <row r="1124" spans="1:10" x14ac:dyDescent="0.35">
      <c r="A1124" s="366" t="str">
        <f ca="1">A1123</f>
        <v/>
      </c>
      <c r="B1124" t="str">
        <f>IF(LEN('Ch7'!H255)=0,"",'Ch7'!H255)</f>
        <v/>
      </c>
      <c r="C1124" t="str">
        <f t="shared" ca="1" si="32"/>
        <v/>
      </c>
      <c r="D1124" s="31"/>
      <c r="E1124" s="487"/>
      <c r="F1124" s="487"/>
      <c r="G1124" s="838"/>
      <c r="H1124"/>
      <c r="J1124" s="580"/>
    </row>
    <row r="1125" spans="1:10" x14ac:dyDescent="0.35">
      <c r="A1125" s="366" t="str">
        <f ca="1">A1124</f>
        <v/>
      </c>
      <c r="B1125" t="str">
        <f>IF(LEN('Ch7'!H256)=0,"",'Ch7'!H256)</f>
        <v/>
      </c>
      <c r="C1125" t="str">
        <f t="shared" ca="1" si="32"/>
        <v/>
      </c>
      <c r="D1125" s="31"/>
      <c r="E1125" s="487"/>
      <c r="F1125" s="487"/>
      <c r="G1125" s="838"/>
      <c r="H1125"/>
      <c r="J1125" s="580"/>
    </row>
    <row r="1126" spans="1:10" x14ac:dyDescent="0.35">
      <c r="B1126" t="str">
        <f>IF(LEN('Ch7'!H257)=0,"",'Ch7'!H257)</f>
        <v/>
      </c>
      <c r="C1126" t="str">
        <f t="shared" si="32"/>
        <v/>
      </c>
      <c r="D1126" s="31"/>
      <c r="E1126" s="487"/>
      <c r="F1126" s="427" t="s">
        <v>121</v>
      </c>
      <c r="G1126" s="281" t="s">
        <v>3479</v>
      </c>
      <c r="H1126"/>
      <c r="J1126" s="580"/>
    </row>
    <row r="1127" spans="1:10" x14ac:dyDescent="0.35">
      <c r="B1127" t="str">
        <f>IF(LEN('Ch7'!H258)=0,"",'Ch7'!H258)</f>
        <v/>
      </c>
      <c r="C1127" t="str">
        <f t="shared" si="32"/>
        <v/>
      </c>
      <c r="D1127" s="31"/>
      <c r="E1127" s="487"/>
      <c r="F1127" s="427" t="s">
        <v>122</v>
      </c>
      <c r="G1127" s="281" t="s">
        <v>3478</v>
      </c>
      <c r="H1127"/>
      <c r="J1127" s="580"/>
    </row>
    <row r="1128" spans="1:10" x14ac:dyDescent="0.35">
      <c r="B1128" t="str">
        <f>IF(LEN('Ch7'!H259)=0,"",'Ch7'!H259)</f>
        <v/>
      </c>
      <c r="C1128" t="str">
        <f t="shared" si="32"/>
        <v/>
      </c>
      <c r="D1128" s="403"/>
      <c r="E1128" s="614"/>
      <c r="F1128" s="431" t="s">
        <v>123</v>
      </c>
      <c r="G1128" s="177" t="s">
        <v>3477</v>
      </c>
      <c r="H1128"/>
      <c r="J1128" s="580"/>
    </row>
    <row r="1129" spans="1:10" x14ac:dyDescent="0.35">
      <c r="A1129" s="366" t="str">
        <f>IF(AND(LEN(H1129)&gt;0,NOT(H1129=FALSE)),"P","")</f>
        <v/>
      </c>
      <c r="B1129" t="str">
        <f>IF(LEN('Ch7'!H260)=0,"",'Ch7'!H260)</f>
        <v/>
      </c>
      <c r="C1129" t="str">
        <f t="shared" si="32"/>
        <v/>
      </c>
      <c r="D1129" s="31" t="s">
        <v>906</v>
      </c>
      <c r="E1129" s="487"/>
      <c r="G1129" s="838" t="s">
        <v>907</v>
      </c>
      <c r="H1129" s="400" t="str">
        <f>IF(LEN('Ch7'!W260)=0,"",'Ch7'!W260)</f>
        <v/>
      </c>
      <c r="J1129" s="580" t="s">
        <v>3914</v>
      </c>
    </row>
    <row r="1130" spans="1:10" x14ac:dyDescent="0.35">
      <c r="A1130" s="366" t="str">
        <f t="shared" ref="A1130:A1137" si="34">A1129</f>
        <v/>
      </c>
      <c r="B1130" t="str">
        <f>IF(LEN('Ch7'!H261)=0,"",'Ch7'!H261)</f>
        <v/>
      </c>
      <c r="C1130" t="str">
        <f t="shared" si="32"/>
        <v/>
      </c>
      <c r="D1130" s="31"/>
      <c r="E1130" s="487"/>
      <c r="F1130" s="487"/>
      <c r="G1130" s="838"/>
      <c r="H1130"/>
      <c r="J1130" s="580"/>
    </row>
    <row r="1131" spans="1:10" x14ac:dyDescent="0.35">
      <c r="A1131" s="366" t="str">
        <f t="shared" si="34"/>
        <v/>
      </c>
      <c r="B1131" t="str">
        <f>IF(LEN('Ch7'!H262)=0,"",'Ch7'!H262)</f>
        <v/>
      </c>
      <c r="C1131" t="str">
        <f t="shared" si="32"/>
        <v/>
      </c>
      <c r="D1131" s="31"/>
      <c r="E1131" s="487"/>
      <c r="F1131" s="487"/>
      <c r="G1131" s="838"/>
      <c r="H1131"/>
      <c r="J1131" s="580"/>
    </row>
    <row r="1132" spans="1:10" x14ac:dyDescent="0.35">
      <c r="A1132" s="366" t="str">
        <f t="shared" si="34"/>
        <v/>
      </c>
      <c r="B1132" t="str">
        <f>IF(LEN('Ch7'!H263)=0,"",'Ch7'!H263)</f>
        <v/>
      </c>
      <c r="C1132" t="str">
        <f t="shared" si="32"/>
        <v/>
      </c>
      <c r="D1132" s="31"/>
      <c r="E1132" s="487"/>
      <c r="F1132" s="487"/>
      <c r="G1132" s="838"/>
      <c r="H1132"/>
      <c r="J1132" s="580"/>
    </row>
    <row r="1133" spans="1:10" x14ac:dyDescent="0.35">
      <c r="A1133" s="366" t="str">
        <f t="shared" si="34"/>
        <v/>
      </c>
      <c r="B1133" t="str">
        <f>IF(LEN('Ch7'!H264)=0,"",'Ch7'!H264)</f>
        <v/>
      </c>
      <c r="C1133" t="str">
        <f t="shared" si="32"/>
        <v/>
      </c>
      <c r="D1133" s="31"/>
      <c r="E1133" s="487"/>
      <c r="F1133" s="487"/>
      <c r="G1133" s="838"/>
      <c r="H1133"/>
      <c r="J1133" s="580"/>
    </row>
    <row r="1134" spans="1:10" x14ac:dyDescent="0.35">
      <c r="A1134" s="366" t="str">
        <f t="shared" si="34"/>
        <v/>
      </c>
      <c r="B1134" t="str">
        <f>IF(LEN('Ch7'!H265)=0,"",'Ch7'!H265)</f>
        <v/>
      </c>
      <c r="C1134" t="str">
        <f t="shared" si="32"/>
        <v/>
      </c>
      <c r="D1134" s="31"/>
      <c r="E1134" s="487"/>
      <c r="F1134" s="487"/>
      <c r="G1134" s="838"/>
      <c r="H1134"/>
      <c r="J1134" s="580"/>
    </row>
    <row r="1135" spans="1:10" x14ac:dyDescent="0.35">
      <c r="A1135" s="366" t="str">
        <f t="shared" si="34"/>
        <v/>
      </c>
      <c r="B1135" t="str">
        <f>IF(LEN('Ch7'!H266)=0,"",'Ch7'!H266)</f>
        <v/>
      </c>
      <c r="C1135" t="str">
        <f t="shared" si="32"/>
        <v/>
      </c>
      <c r="D1135" s="31"/>
      <c r="E1135" s="487"/>
      <c r="F1135" s="487"/>
      <c r="G1135" s="838"/>
      <c r="H1135"/>
      <c r="J1135" s="580"/>
    </row>
    <row r="1136" spans="1:10" x14ac:dyDescent="0.35">
      <c r="A1136" s="366" t="str">
        <f t="shared" si="34"/>
        <v/>
      </c>
      <c r="B1136" t="str">
        <f>IF(LEN('Ch7'!H267)=0,"",'Ch7'!H267)</f>
        <v/>
      </c>
      <c r="C1136" t="str">
        <f t="shared" si="32"/>
        <v/>
      </c>
      <c r="D1136" s="31"/>
      <c r="E1136" s="487"/>
      <c r="F1136" s="487"/>
      <c r="G1136" s="838"/>
      <c r="H1136"/>
      <c r="J1136" s="580"/>
    </row>
    <row r="1137" spans="1:10" ht="15" thickBot="1" x14ac:dyDescent="0.4">
      <c r="A1137" s="366" t="str">
        <f t="shared" si="34"/>
        <v/>
      </c>
      <c r="B1137" t="str">
        <f>IF(LEN('Ch7'!H268)=0,"",'Ch7'!H268)</f>
        <v/>
      </c>
      <c r="C1137" t="str">
        <f t="shared" si="32"/>
        <v/>
      </c>
      <c r="D1137" s="404"/>
      <c r="E1137" s="575"/>
      <c r="F1137" s="575"/>
      <c r="G1137" s="849"/>
      <c r="H1137"/>
      <c r="J1137" s="580"/>
    </row>
    <row r="1138" spans="1:10" ht="15" thickTop="1" x14ac:dyDescent="0.35">
      <c r="A1138" s="727" t="str">
        <f ca="1">IF(COUNTIF(A1153:A1217,"P")&gt;0,"P","")</f>
        <v>P</v>
      </c>
      <c r="B1138" t="str">
        <f>IF(LEN('Ch7'!H269)=0,"",'Ch7'!H269)</f>
        <v/>
      </c>
      <c r="C1138" t="str">
        <f t="shared" ca="1" si="32"/>
        <v>P</v>
      </c>
      <c r="D1138" s="402">
        <v>703.3</v>
      </c>
      <c r="E1138" s="487"/>
      <c r="F1138" s="487"/>
      <c r="G1138" s="95" t="s">
        <v>909</v>
      </c>
      <c r="H1138"/>
      <c r="J1138" s="580"/>
    </row>
    <row r="1139" spans="1:10" x14ac:dyDescent="0.35">
      <c r="B1139" t="str">
        <f>IF(LEN('Ch7'!H270)=0,"",'Ch7'!H270)</f>
        <v/>
      </c>
      <c r="C1139" t="str">
        <f t="shared" si="32"/>
        <v/>
      </c>
      <c r="D1139" s="31" t="s">
        <v>908</v>
      </c>
      <c r="E1139" s="487"/>
      <c r="F1139" s="487"/>
      <c r="G1139" s="838" t="s">
        <v>910</v>
      </c>
      <c r="H1139"/>
      <c r="J1139" s="580"/>
    </row>
    <row r="1140" spans="1:10" x14ac:dyDescent="0.35">
      <c r="B1140" t="str">
        <f>IF(LEN('Ch7'!H271)=0,"",'Ch7'!H271)</f>
        <v/>
      </c>
      <c r="C1140" t="str">
        <f t="shared" si="32"/>
        <v/>
      </c>
      <c r="D1140" s="31"/>
      <c r="E1140" s="487"/>
      <c r="F1140" s="487"/>
      <c r="G1140" s="838"/>
      <c r="H1140" s="400" t="str">
        <f>IF(LEN('Ch7'!W271)=0,"",'Ch7'!W271)</f>
        <v>No</v>
      </c>
      <c r="J1140" s="580"/>
    </row>
    <row r="1141" spans="1:10" x14ac:dyDescent="0.35">
      <c r="B1141" t="str">
        <f>IF(LEN('Ch7'!H272)=0,"",'Ch7'!H272)</f>
        <v/>
      </c>
      <c r="C1141" t="str">
        <f t="shared" si="32"/>
        <v/>
      </c>
      <c r="D1141" s="31"/>
      <c r="E1141" s="487"/>
      <c r="F1141" s="487"/>
      <c r="G1141" s="838"/>
      <c r="H1141"/>
      <c r="J1141" s="580"/>
    </row>
    <row r="1142" spans="1:10" x14ac:dyDescent="0.35">
      <c r="B1142" t="str">
        <f>IF(LEN('Ch7'!H273)=0,"",'Ch7'!H273)</f>
        <v/>
      </c>
      <c r="C1142" t="str">
        <f t="shared" si="32"/>
        <v/>
      </c>
      <c r="D1142" s="31"/>
      <c r="E1142" s="487"/>
      <c r="F1142" s="487"/>
      <c r="G1142" s="838"/>
      <c r="H1142"/>
      <c r="J1142" s="580"/>
    </row>
    <row r="1143" spans="1:10" x14ac:dyDescent="0.35">
      <c r="B1143" t="str">
        <f>IF(LEN('Ch7'!H274)=0,"",'Ch7'!H274)</f>
        <v/>
      </c>
      <c r="C1143" t="str">
        <f t="shared" si="32"/>
        <v/>
      </c>
      <c r="D1143" s="31"/>
      <c r="E1143" s="487"/>
      <c r="F1143" s="487"/>
      <c r="G1143" s="838"/>
      <c r="H1143"/>
      <c r="J1143" s="580"/>
    </row>
    <row r="1144" spans="1:10" x14ac:dyDescent="0.35">
      <c r="B1144" t="str">
        <f>IF(LEN('Ch7'!H275)=0,"",'Ch7'!H275)</f>
        <v/>
      </c>
      <c r="C1144" t="str">
        <f t="shared" si="32"/>
        <v/>
      </c>
      <c r="D1144" s="31"/>
      <c r="E1144" s="487"/>
      <c r="F1144" s="487"/>
      <c r="G1144" s="838"/>
      <c r="H1144"/>
      <c r="J1144" s="580"/>
    </row>
    <row r="1145" spans="1:10" x14ac:dyDescent="0.35">
      <c r="B1145" t="str">
        <f>IF(LEN('Ch7'!H276)=0,"",'Ch7'!H276)</f>
        <v/>
      </c>
      <c r="C1145" t="str">
        <f t="shared" si="32"/>
        <v/>
      </c>
      <c r="D1145" s="31"/>
      <c r="E1145" s="487"/>
      <c r="F1145" s="487"/>
      <c r="G1145" s="838"/>
      <c r="H1145"/>
      <c r="J1145" s="580"/>
    </row>
    <row r="1146" spans="1:10" x14ac:dyDescent="0.35">
      <c r="B1146" t="str">
        <f>IF(LEN('Ch7'!H277)=0,"",'Ch7'!H277)</f>
        <v/>
      </c>
      <c r="C1146" t="str">
        <f t="shared" si="32"/>
        <v/>
      </c>
      <c r="D1146" s="31"/>
      <c r="E1146" s="487"/>
      <c r="F1146" s="487"/>
      <c r="G1146" s="838"/>
      <c r="H1146"/>
      <c r="J1146" s="580"/>
    </row>
    <row r="1147" spans="1:10" x14ac:dyDescent="0.35">
      <c r="B1147" t="str">
        <f>IF(LEN('Ch7'!H278)=0,"",'Ch7'!H278)</f>
        <v/>
      </c>
      <c r="C1147" t="str">
        <f t="shared" si="32"/>
        <v/>
      </c>
      <c r="D1147" s="31"/>
      <c r="E1147" s="487"/>
      <c r="F1147" s="487"/>
      <c r="G1147" s="838"/>
      <c r="H1147" s="400" t="str">
        <f>IF(LEN('Ch7'!W278)=0,"",'Ch7'!W278)</f>
        <v>No</v>
      </c>
      <c r="J1147" s="580"/>
    </row>
    <row r="1148" spans="1:10" x14ac:dyDescent="0.35">
      <c r="B1148" t="str">
        <f>IF(LEN('Ch7'!H279)=0,"",'Ch7'!H279)</f>
        <v/>
      </c>
      <c r="C1148" t="str">
        <f t="shared" si="32"/>
        <v/>
      </c>
      <c r="D1148" s="31"/>
      <c r="E1148" s="487"/>
      <c r="F1148" s="487"/>
      <c r="G1148" s="929" t="s">
        <v>1100</v>
      </c>
      <c r="H1148"/>
      <c r="J1148" s="580"/>
    </row>
    <row r="1149" spans="1:10" x14ac:dyDescent="0.35">
      <c r="B1149" t="str">
        <f>IF(LEN('Ch7'!H280)=0,"",'Ch7'!H280)</f>
        <v/>
      </c>
      <c r="C1149" t="str">
        <f t="shared" si="32"/>
        <v/>
      </c>
      <c r="D1149" s="31"/>
      <c r="E1149" s="487"/>
      <c r="F1149" s="487"/>
      <c r="G1149" s="929"/>
      <c r="H1149"/>
      <c r="J1149" s="580"/>
    </row>
    <row r="1150" spans="1:10" x14ac:dyDescent="0.35">
      <c r="B1150" t="str">
        <f>IF(LEN('Ch7'!H281)=0,"",'Ch7'!H281)</f>
        <v/>
      </c>
      <c r="C1150" t="str">
        <f t="shared" si="32"/>
        <v/>
      </c>
      <c r="D1150" s="31"/>
      <c r="E1150" s="487"/>
      <c r="F1150" s="487"/>
      <c r="G1150" s="154" t="s">
        <v>911</v>
      </c>
      <c r="H1150"/>
      <c r="J1150" s="580"/>
    </row>
    <row r="1151" spans="1:10" x14ac:dyDescent="0.35">
      <c r="B1151" t="str">
        <f>IF(LEN('Ch7'!H282)=0,"",'Ch7'!H282)</f>
        <v/>
      </c>
      <c r="C1151" t="str">
        <f t="shared" si="32"/>
        <v/>
      </c>
      <c r="D1151" s="31"/>
      <c r="E1151" s="487"/>
      <c r="F1151" s="487"/>
      <c r="G1151" s="154" t="s">
        <v>912</v>
      </c>
      <c r="H1151"/>
      <c r="J1151" s="580"/>
    </row>
    <row r="1152" spans="1:10" x14ac:dyDescent="0.35">
      <c r="B1152" t="str">
        <f>IF(LEN('Ch7'!H283)=0,"",'Ch7'!H283)</f>
        <v/>
      </c>
      <c r="C1152" t="str">
        <f t="shared" si="32"/>
        <v/>
      </c>
      <c r="D1152" s="403"/>
      <c r="E1152" s="614"/>
      <c r="F1152" s="614"/>
      <c r="G1152" s="337" t="s">
        <v>913</v>
      </c>
      <c r="H1152"/>
      <c r="J1152" s="580"/>
    </row>
    <row r="1153" spans="1:10" x14ac:dyDescent="0.35">
      <c r="A1153" s="366" t="str">
        <f ca="1">IF(I1153&gt;0,"P","")</f>
        <v/>
      </c>
      <c r="B1153" t="str">
        <f>IF(LEN('Ch7'!H284)=0,"",'Ch7'!H284)</f>
        <v/>
      </c>
      <c r="C1153" t="str">
        <f t="shared" ca="1" si="32"/>
        <v/>
      </c>
      <c r="D1153" s="31" t="s">
        <v>914</v>
      </c>
      <c r="E1153" s="487"/>
      <c r="F1153" s="487"/>
      <c r="G1153" s="883" t="s">
        <v>4275</v>
      </c>
      <c r="H1153" s="400" t="str">
        <f>IF(LEN('Ch7'!W284)=0,"",'Ch7'!W284)</f>
        <v/>
      </c>
      <c r="I1153" s="46">
        <f ca="1">'Ch7'!O284</f>
        <v>0</v>
      </c>
      <c r="J1153" s="975" t="s">
        <v>3915</v>
      </c>
    </row>
    <row r="1154" spans="1:10" x14ac:dyDescent="0.35">
      <c r="A1154" s="366" t="str">
        <f ca="1">A1153</f>
        <v/>
      </c>
      <c r="B1154" t="str">
        <f>IF(LEN('Ch7'!H285)=0,"",'Ch7'!H285)</f>
        <v/>
      </c>
      <c r="C1154" t="str">
        <f t="shared" ca="1" si="32"/>
        <v/>
      </c>
      <c r="D1154" s="31"/>
      <c r="E1154" s="487"/>
      <c r="F1154" s="487"/>
      <c r="G1154" s="881"/>
      <c r="H1154"/>
      <c r="J1154" s="976"/>
    </row>
    <row r="1155" spans="1:10" x14ac:dyDescent="0.35">
      <c r="A1155" s="366" t="str">
        <f ca="1">A1154</f>
        <v/>
      </c>
      <c r="B1155" t="str">
        <f>IF(LEN('Ch7'!H286)=0,"",'Ch7'!H286)</f>
        <v/>
      </c>
      <c r="C1155" t="str">
        <f t="shared" ca="1" si="32"/>
        <v/>
      </c>
      <c r="D1155" s="31"/>
      <c r="E1155" s="487"/>
      <c r="F1155" s="487"/>
      <c r="G1155" s="881"/>
      <c r="H1155"/>
      <c r="J1155" s="580"/>
    </row>
    <row r="1156" spans="1:10" x14ac:dyDescent="0.35">
      <c r="A1156" s="366" t="str">
        <f ca="1">A1155</f>
        <v/>
      </c>
      <c r="B1156" t="str">
        <f>IF(LEN('Ch7'!H287)=0,"",'Ch7'!H287)</f>
        <v/>
      </c>
      <c r="C1156" t="str">
        <f t="shared" ca="1" si="32"/>
        <v/>
      </c>
      <c r="D1156" s="31"/>
      <c r="E1156" s="487"/>
      <c r="F1156" s="487"/>
      <c r="G1156" s="881"/>
      <c r="H1156"/>
      <c r="J1156" s="580"/>
    </row>
    <row r="1157" spans="1:10" x14ac:dyDescent="0.35">
      <c r="A1157" s="366" t="str">
        <f ca="1">A1156</f>
        <v/>
      </c>
      <c r="B1157" t="str">
        <f>IF(LEN('Ch7'!H288)=0,"",'Ch7'!H288)</f>
        <v/>
      </c>
      <c r="C1157" t="str">
        <f t="shared" ca="1" si="32"/>
        <v/>
      </c>
      <c r="D1157" s="403"/>
      <c r="E1157" s="614"/>
      <c r="F1157" s="614"/>
      <c r="G1157" s="882"/>
      <c r="H1157"/>
      <c r="J1157" s="580"/>
    </row>
    <row r="1158" spans="1:10" x14ac:dyDescent="0.35">
      <c r="A1158" s="366" t="str">
        <f ca="1">IF(I1158&gt;0,"P","")</f>
        <v>P</v>
      </c>
      <c r="B1158" t="str">
        <f>IF(LEN('Ch7'!H289)=0,"",'Ch7'!H289)</f>
        <v/>
      </c>
      <c r="C1158" t="str">
        <f t="shared" ca="1" si="32"/>
        <v>P</v>
      </c>
      <c r="D1158" s="31" t="s">
        <v>915</v>
      </c>
      <c r="E1158" s="487"/>
      <c r="F1158" s="487"/>
      <c r="G1158" s="95" t="s">
        <v>916</v>
      </c>
      <c r="H1158"/>
      <c r="I1158" s="433">
        <f ca="1">SUM(I1159:I1173)</f>
        <v>9</v>
      </c>
      <c r="J1158" s="580" t="s">
        <v>3916</v>
      </c>
    </row>
    <row r="1159" spans="1:10" x14ac:dyDescent="0.35">
      <c r="B1159" t="str">
        <f>IF(LEN('Ch7'!H290)=0,"",'Ch7'!H290)</f>
        <v/>
      </c>
      <c r="C1159" t="str">
        <f t="shared" si="32"/>
        <v/>
      </c>
      <c r="D1159" s="31"/>
      <c r="E1159" s="426" t="s">
        <v>256</v>
      </c>
      <c r="F1159" s="487"/>
      <c r="G1159" s="90" t="s">
        <v>917</v>
      </c>
      <c r="H1159"/>
      <c r="I1159" s="46">
        <f ca="1">'Ch7'!O290</f>
        <v>9</v>
      </c>
      <c r="J1159" s="580"/>
    </row>
    <row r="1160" spans="1:10" x14ac:dyDescent="0.35">
      <c r="B1160" t="str">
        <f>IF(LEN('Ch7'!H291)=0,"",'Ch7'!H291)</f>
        <v/>
      </c>
      <c r="C1160" t="str">
        <f t="shared" si="32"/>
        <v/>
      </c>
      <c r="D1160" s="31"/>
      <c r="E1160" s="426"/>
      <c r="F1160" s="487"/>
      <c r="G1160" s="90" t="s">
        <v>3769</v>
      </c>
      <c r="H1160" s="400">
        <f>IF(LEN('Ch7'!W291)=0,"",'Ch7'!W291)</f>
        <v>0.95</v>
      </c>
      <c r="J1160" s="580"/>
    </row>
    <row r="1161" spans="1:10" x14ac:dyDescent="0.35">
      <c r="B1161" t="str">
        <f>IF(LEN('Ch7'!H292)=0,"",'Ch7'!H292)</f>
        <v/>
      </c>
      <c r="C1161" t="str">
        <f t="shared" si="32"/>
        <v/>
      </c>
      <c r="D1161" s="31"/>
      <c r="E1161" s="426"/>
      <c r="F1161" s="487"/>
      <c r="G1161" s="90" t="s">
        <v>3770</v>
      </c>
      <c r="H1161"/>
      <c r="J1161" s="580"/>
    </row>
    <row r="1162" spans="1:10" x14ac:dyDescent="0.35">
      <c r="B1162" t="str">
        <f>IF(LEN('Ch7'!H293)=0,"",'Ch7'!H293)</f>
        <v/>
      </c>
      <c r="C1162" t="str">
        <f t="shared" si="32"/>
        <v/>
      </c>
      <c r="D1162" s="31"/>
      <c r="E1162" s="426"/>
      <c r="F1162" s="487"/>
      <c r="G1162" s="90" t="s">
        <v>3771</v>
      </c>
      <c r="H1162"/>
      <c r="J1162" s="580"/>
    </row>
    <row r="1163" spans="1:10" x14ac:dyDescent="0.35">
      <c r="B1163" t="str">
        <f>IF(LEN('Ch7'!H294)=0,"",'Ch7'!H294)</f>
        <v/>
      </c>
      <c r="C1163" t="str">
        <f t="shared" si="32"/>
        <v/>
      </c>
      <c r="D1163" s="31"/>
      <c r="E1163" s="426"/>
      <c r="F1163" s="487"/>
      <c r="G1163" s="90" t="s">
        <v>3772</v>
      </c>
      <c r="H1163"/>
      <c r="J1163" s="580"/>
    </row>
    <row r="1164" spans="1:10" x14ac:dyDescent="0.35">
      <c r="B1164" t="str">
        <f>IF(LEN('Ch7'!H295)=0,"",'Ch7'!H295)</f>
        <v/>
      </c>
      <c r="C1164" t="str">
        <f t="shared" si="32"/>
        <v/>
      </c>
      <c r="D1164" s="31"/>
      <c r="E1164" s="614"/>
      <c r="F1164" s="614"/>
      <c r="G1164" s="228" t="s">
        <v>3773</v>
      </c>
      <c r="H1164"/>
      <c r="J1164" s="580"/>
    </row>
    <row r="1165" spans="1:10" x14ac:dyDescent="0.35">
      <c r="B1165" t="str">
        <f>IF(LEN('Ch7'!H296)=0,"",'Ch7'!H296)</f>
        <v/>
      </c>
      <c r="C1165" t="str">
        <f t="shared" si="32"/>
        <v/>
      </c>
      <c r="D1165" s="31"/>
      <c r="E1165" s="426" t="s">
        <v>258</v>
      </c>
      <c r="F1165" s="487"/>
      <c r="G1165" s="90" t="s">
        <v>918</v>
      </c>
      <c r="H1165"/>
      <c r="I1165" s="46">
        <f ca="1">'Ch7'!O296</f>
        <v>0</v>
      </c>
      <c r="J1165" s="580"/>
    </row>
    <row r="1166" spans="1:10" x14ac:dyDescent="0.35">
      <c r="B1166" t="str">
        <f>IF(LEN('Ch7'!H297)=0,"",'Ch7'!H297)</f>
        <v/>
      </c>
      <c r="C1166" t="str">
        <f t="shared" si="32"/>
        <v/>
      </c>
      <c r="D1166" s="31"/>
      <c r="E1166" s="426"/>
      <c r="F1166" s="487"/>
      <c r="G1166" s="90" t="s">
        <v>3774</v>
      </c>
      <c r="H1166" s="400" t="str">
        <f>IF(LEN('Ch7'!W297)=0,"",'Ch7'!W297)</f>
        <v/>
      </c>
      <c r="J1166" s="580"/>
    </row>
    <row r="1167" spans="1:10" x14ac:dyDescent="0.35">
      <c r="B1167" t="str">
        <f>IF(LEN('Ch7'!H298)=0,"",'Ch7'!H298)</f>
        <v/>
      </c>
      <c r="C1167" t="str">
        <f t="shared" si="32"/>
        <v/>
      </c>
      <c r="D1167" s="31"/>
      <c r="E1167" s="614"/>
      <c r="F1167" s="614"/>
      <c r="G1167" s="228" t="s">
        <v>3769</v>
      </c>
      <c r="H1167"/>
      <c r="J1167" s="580"/>
    </row>
    <row r="1168" spans="1:10" x14ac:dyDescent="0.35">
      <c r="B1168" t="str">
        <f>IF(LEN('Ch7'!H299)=0,"",'Ch7'!H299)</f>
        <v/>
      </c>
      <c r="C1168" t="str">
        <f t="shared" si="32"/>
        <v/>
      </c>
      <c r="D1168" s="31"/>
      <c r="E1168" s="426" t="s">
        <v>260</v>
      </c>
      <c r="F1168" s="487"/>
      <c r="G1168" s="90" t="s">
        <v>919</v>
      </c>
      <c r="H1168"/>
      <c r="I1168" s="46">
        <f ca="1">'Ch7'!O299</f>
        <v>0</v>
      </c>
      <c r="J1168" s="580"/>
    </row>
    <row r="1169" spans="1:10" x14ac:dyDescent="0.35">
      <c r="B1169" t="str">
        <f>IF(LEN('Ch7'!H300)=0,"",'Ch7'!H300)</f>
        <v/>
      </c>
      <c r="C1169" t="str">
        <f t="shared" si="32"/>
        <v/>
      </c>
      <c r="D1169" s="31"/>
      <c r="E1169" s="426"/>
      <c r="F1169" s="487"/>
      <c r="G1169" s="90" t="s">
        <v>3774</v>
      </c>
      <c r="H1169" s="400" t="str">
        <f>IF(LEN('Ch7'!W300)=0,"",'Ch7'!W300)</f>
        <v/>
      </c>
      <c r="J1169" s="580"/>
    </row>
    <row r="1170" spans="1:10" x14ac:dyDescent="0.35">
      <c r="B1170" t="str">
        <f>IF(LEN('Ch7'!H301)=0,"",'Ch7'!H301)</f>
        <v/>
      </c>
      <c r="C1170" t="str">
        <f t="shared" ref="C1170:C1233" si="35">IF(LEN(B1170)=0,IF(A1170="P","P",""),B1170)</f>
        <v/>
      </c>
      <c r="D1170" s="31"/>
      <c r="E1170" s="426"/>
      <c r="F1170" s="487"/>
      <c r="G1170" s="90" t="s">
        <v>3769</v>
      </c>
      <c r="H1170"/>
      <c r="J1170" s="580"/>
    </row>
    <row r="1171" spans="1:10" x14ac:dyDescent="0.35">
      <c r="B1171" t="str">
        <f>IF(LEN('Ch7'!H302)=0,"",'Ch7'!H302)</f>
        <v/>
      </c>
      <c r="C1171" t="str">
        <f t="shared" si="35"/>
        <v/>
      </c>
      <c r="D1171" s="31"/>
      <c r="E1171" s="426"/>
      <c r="F1171" s="487"/>
      <c r="G1171" s="90" t="s">
        <v>3771</v>
      </c>
      <c r="H1171"/>
      <c r="J1171" s="580"/>
    </row>
    <row r="1172" spans="1:10" x14ac:dyDescent="0.35">
      <c r="B1172" t="str">
        <f>IF(LEN('Ch7'!H303)=0,"",'Ch7'!H303)</f>
        <v/>
      </c>
      <c r="C1172" t="str">
        <f t="shared" si="35"/>
        <v/>
      </c>
      <c r="D1172" s="31"/>
      <c r="E1172" s="614"/>
      <c r="F1172" s="614"/>
      <c r="G1172" s="228" t="s">
        <v>3772</v>
      </c>
      <c r="H1172"/>
      <c r="J1172" s="580"/>
    </row>
    <row r="1173" spans="1:10" x14ac:dyDescent="0.35">
      <c r="B1173" t="str">
        <f>IF(LEN('Ch7'!H304)=0,"",'Ch7'!H304)</f>
        <v/>
      </c>
      <c r="C1173" t="str">
        <f t="shared" si="35"/>
        <v/>
      </c>
      <c r="D1173" s="31"/>
      <c r="E1173" s="426" t="s">
        <v>269</v>
      </c>
      <c r="F1173" s="487"/>
      <c r="G1173" s="90" t="s">
        <v>920</v>
      </c>
      <c r="H1173"/>
      <c r="I1173" s="46">
        <f ca="1">'Ch7'!O304</f>
        <v>0</v>
      </c>
      <c r="J1173" s="580"/>
    </row>
    <row r="1174" spans="1:10" x14ac:dyDescent="0.35">
      <c r="B1174" t="str">
        <f>IF(LEN('Ch7'!H305)=0,"",'Ch7'!H305)</f>
        <v/>
      </c>
      <c r="C1174" t="str">
        <f t="shared" si="35"/>
        <v/>
      </c>
      <c r="D1174" s="31"/>
      <c r="E1174" s="426"/>
      <c r="F1174" s="487"/>
      <c r="G1174" s="90" t="s">
        <v>3774</v>
      </c>
      <c r="H1174" s="400" t="str">
        <f>IF(LEN('Ch7'!W305)=0,"",'Ch7'!W305)</f>
        <v/>
      </c>
      <c r="J1174" s="580"/>
    </row>
    <row r="1175" spans="1:10" x14ac:dyDescent="0.35">
      <c r="B1175" t="str">
        <f>IF(LEN('Ch7'!H306)=0,"",'Ch7'!H306)</f>
        <v/>
      </c>
      <c r="C1175" t="str">
        <f t="shared" si="35"/>
        <v/>
      </c>
      <c r="D1175" s="403"/>
      <c r="E1175" s="614"/>
      <c r="F1175" s="614"/>
      <c r="G1175" s="228" t="s">
        <v>3769</v>
      </c>
      <c r="H1175"/>
      <c r="J1175" s="580"/>
    </row>
    <row r="1176" spans="1:10" x14ac:dyDescent="0.35">
      <c r="A1176" s="366" t="str">
        <f ca="1">IF(I1176&gt;0,"P","")</f>
        <v/>
      </c>
      <c r="B1176" t="str">
        <f>IF(LEN('Ch7'!H307)=0,"",'Ch7'!H307)</f>
        <v/>
      </c>
      <c r="C1176" t="str">
        <f t="shared" ca="1" si="35"/>
        <v/>
      </c>
      <c r="D1176" s="31" t="s">
        <v>921</v>
      </c>
      <c r="E1176" s="487"/>
      <c r="F1176" s="487"/>
      <c r="G1176" s="838" t="s">
        <v>922</v>
      </c>
      <c r="H1176"/>
      <c r="I1176" s="433">
        <f ca="1">SUM(I1179:I1187)</f>
        <v>0</v>
      </c>
      <c r="J1176" s="580" t="s">
        <v>3916</v>
      </c>
    </row>
    <row r="1177" spans="1:10" x14ac:dyDescent="0.35">
      <c r="A1177" s="366" t="str">
        <f ca="1">A1176</f>
        <v/>
      </c>
      <c r="B1177" t="str">
        <f>IF(LEN('Ch7'!H308)=0,"",'Ch7'!H308)</f>
        <v/>
      </c>
      <c r="C1177" t="str">
        <f t="shared" ca="1" si="35"/>
        <v/>
      </c>
      <c r="D1177" s="31"/>
      <c r="E1177" s="487"/>
      <c r="F1177" s="487"/>
      <c r="G1177" s="838"/>
      <c r="H1177"/>
      <c r="J1177" s="580"/>
    </row>
    <row r="1178" spans="1:10" x14ac:dyDescent="0.35">
      <c r="A1178" s="366" t="str">
        <f ca="1">A1177</f>
        <v/>
      </c>
      <c r="B1178" t="str">
        <f>IF(LEN('Ch7'!H309)=0,"",'Ch7'!H309)</f>
        <v/>
      </c>
      <c r="C1178" t="str">
        <f t="shared" ca="1" si="35"/>
        <v/>
      </c>
      <c r="D1178" s="31"/>
      <c r="E1178" s="487"/>
      <c r="F1178" s="487"/>
      <c r="G1178" s="838"/>
      <c r="H1178"/>
      <c r="J1178" s="580"/>
    </row>
    <row r="1179" spans="1:10" x14ac:dyDescent="0.35">
      <c r="B1179" t="str">
        <f>IF(LEN('Ch7'!H310)=0,"",'Ch7'!H310)</f>
        <v/>
      </c>
      <c r="C1179" t="str">
        <f t="shared" si="35"/>
        <v/>
      </c>
      <c r="D1179" s="31"/>
      <c r="E1179" s="426" t="s">
        <v>256</v>
      </c>
      <c r="F1179" s="487"/>
      <c r="G1179" s="266" t="s">
        <v>3480</v>
      </c>
      <c r="H1179"/>
      <c r="I1179" s="46">
        <f ca="1">'Ch7'!O310</f>
        <v>0</v>
      </c>
      <c r="J1179" s="580"/>
    </row>
    <row r="1180" spans="1:10" x14ac:dyDescent="0.35">
      <c r="B1180" t="str">
        <f>IF(LEN('Ch7'!H311)=0,"",'Ch7'!H311)</f>
        <v/>
      </c>
      <c r="C1180" t="str">
        <f t="shared" si="35"/>
        <v/>
      </c>
      <c r="D1180" s="31"/>
      <c r="E1180" s="426"/>
      <c r="F1180" s="487"/>
      <c r="G1180" s="90" t="s">
        <v>3785</v>
      </c>
      <c r="H1180" s="400" t="str">
        <f>IF(LEN('Ch7'!W311)=0,"",'Ch7'!W311)</f>
        <v/>
      </c>
      <c r="J1180" s="580"/>
    </row>
    <row r="1181" spans="1:10" x14ac:dyDescent="0.35">
      <c r="B1181" t="str">
        <f>IF(LEN('Ch7'!H312)=0,"",'Ch7'!H312)</f>
        <v/>
      </c>
      <c r="C1181" t="str">
        <f t="shared" si="35"/>
        <v/>
      </c>
      <c r="D1181" s="31"/>
      <c r="E1181" s="426"/>
      <c r="F1181" s="487"/>
      <c r="G1181" s="90" t="s">
        <v>3786</v>
      </c>
      <c r="H1181"/>
      <c r="J1181" s="580"/>
    </row>
    <row r="1182" spans="1:10" x14ac:dyDescent="0.35">
      <c r="B1182" t="str">
        <f>IF(LEN('Ch7'!H313)=0,"",'Ch7'!H313)</f>
        <v/>
      </c>
      <c r="C1182" t="str">
        <f t="shared" si="35"/>
        <v/>
      </c>
      <c r="D1182" s="31"/>
      <c r="E1182" s="426"/>
      <c r="F1182" s="487"/>
      <c r="G1182" s="90" t="s">
        <v>3787</v>
      </c>
      <c r="H1182"/>
      <c r="J1182" s="580"/>
    </row>
    <row r="1183" spans="1:10" x14ac:dyDescent="0.35">
      <c r="B1183" t="str">
        <f>IF(LEN('Ch7'!H314)=0,"",'Ch7'!H314)</f>
        <v/>
      </c>
      <c r="C1183" t="str">
        <f t="shared" si="35"/>
        <v/>
      </c>
      <c r="D1183" s="31"/>
      <c r="E1183" s="426"/>
      <c r="F1183" s="487"/>
      <c r="G1183" s="90" t="s">
        <v>3788</v>
      </c>
      <c r="H1183"/>
      <c r="J1183" s="580"/>
    </row>
    <row r="1184" spans="1:10" x14ac:dyDescent="0.35">
      <c r="B1184" t="str">
        <f>IF(LEN('Ch7'!H315)=0,"",'Ch7'!H315)</f>
        <v/>
      </c>
      <c r="C1184" t="str">
        <f t="shared" si="35"/>
        <v/>
      </c>
      <c r="E1184" s="427"/>
      <c r="F1184" s="614"/>
      <c r="G1184" s="228" t="s">
        <v>4276</v>
      </c>
      <c r="H1184"/>
      <c r="J1184" s="580"/>
    </row>
    <row r="1185" spans="1:10" x14ac:dyDescent="0.35">
      <c r="B1185" t="str">
        <f>IF(LEN('Ch7'!H316)=0,"",'Ch7'!H316)</f>
        <v/>
      </c>
      <c r="C1185" t="str">
        <f t="shared" si="35"/>
        <v/>
      </c>
      <c r="E1185" s="402" t="s">
        <v>258</v>
      </c>
      <c r="F1185" s="402"/>
      <c r="G1185" s="470" t="s">
        <v>4864</v>
      </c>
      <c r="H1185" s="400" t="str">
        <f>IF(LEN('Ch7'!W316)=0,"",'Ch7'!W316)</f>
        <v/>
      </c>
      <c r="I1185" s="46">
        <f ca="1">'Ch7'!O316</f>
        <v>0</v>
      </c>
      <c r="J1185" s="580"/>
    </row>
    <row r="1186" spans="1:10" x14ac:dyDescent="0.35">
      <c r="B1186" t="str">
        <f>IF(LEN('Ch7'!H317)=0,"",'Ch7'!H317)</f>
        <v/>
      </c>
      <c r="C1186" t="str">
        <f t="shared" si="35"/>
        <v/>
      </c>
      <c r="E1186" s="416"/>
      <c r="F1186" s="416"/>
      <c r="G1186" s="477"/>
      <c r="H1186"/>
      <c r="J1186" s="580"/>
    </row>
    <row r="1187" spans="1:10" x14ac:dyDescent="0.35">
      <c r="B1187" t="str">
        <f>IF(LEN('Ch7'!H318)=0,"",'Ch7'!H318)</f>
        <v/>
      </c>
      <c r="C1187" t="str">
        <f t="shared" si="35"/>
        <v/>
      </c>
      <c r="D1187" s="403"/>
      <c r="E1187" s="427" t="s">
        <v>260</v>
      </c>
      <c r="F1187" s="614"/>
      <c r="G1187" s="281" t="s">
        <v>3789</v>
      </c>
      <c r="H1187" s="400" t="str">
        <f>IF(LEN('Ch7'!W318)=0,"",'Ch7'!W318)</f>
        <v/>
      </c>
      <c r="I1187" s="46">
        <f ca="1">'Ch7'!O318</f>
        <v>0</v>
      </c>
      <c r="J1187" s="580"/>
    </row>
    <row r="1188" spans="1:10" x14ac:dyDescent="0.35">
      <c r="A1188" s="366" t="str">
        <f ca="1">IF(I1188&gt;0,"P","")</f>
        <v>P</v>
      </c>
      <c r="B1188" t="str">
        <f>IF(LEN('Ch7'!H319)=0,"",'Ch7'!H319)</f>
        <v/>
      </c>
      <c r="C1188" t="str">
        <f t="shared" ca="1" si="35"/>
        <v>P</v>
      </c>
      <c r="D1188" s="31" t="s">
        <v>923</v>
      </c>
      <c r="E1188" s="487"/>
      <c r="F1188" s="487"/>
      <c r="G1188" s="919" t="s">
        <v>924</v>
      </c>
      <c r="H1188"/>
      <c r="I1188" s="433">
        <f ca="1">SUM(I1191:I1199)</f>
        <v>1</v>
      </c>
      <c r="J1188" s="580" t="s">
        <v>3916</v>
      </c>
    </row>
    <row r="1189" spans="1:10" x14ac:dyDescent="0.35">
      <c r="A1189" s="366" t="str">
        <f ca="1">A1188</f>
        <v>P</v>
      </c>
      <c r="B1189" t="str">
        <f>IF(LEN('Ch7'!H320)=0,"",'Ch7'!H320)</f>
        <v/>
      </c>
      <c r="C1189" t="str">
        <f t="shared" ca="1" si="35"/>
        <v>P</v>
      </c>
      <c r="D1189" s="31"/>
      <c r="E1189" s="487"/>
      <c r="F1189" s="487"/>
      <c r="G1189" s="919"/>
      <c r="H1189"/>
      <c r="J1189" s="580"/>
    </row>
    <row r="1190" spans="1:10" x14ac:dyDescent="0.35">
      <c r="A1190" s="366" t="str">
        <f ca="1">A1189</f>
        <v>P</v>
      </c>
      <c r="B1190" t="str">
        <f>IF(LEN('Ch7'!H321)=0,"",'Ch7'!H321)</f>
        <v/>
      </c>
      <c r="C1190" t="str">
        <f t="shared" ca="1" si="35"/>
        <v>P</v>
      </c>
      <c r="D1190" s="31"/>
      <c r="E1190" s="487"/>
      <c r="F1190" s="487"/>
      <c r="G1190" s="919"/>
      <c r="H1190"/>
      <c r="J1190" s="580"/>
    </row>
    <row r="1191" spans="1:10" x14ac:dyDescent="0.35">
      <c r="B1191" t="str">
        <f>IF(LEN('Ch7'!H322)=0,"",'Ch7'!H322)</f>
        <v/>
      </c>
      <c r="C1191" t="str">
        <f t="shared" si="35"/>
        <v/>
      </c>
      <c r="D1191" s="31"/>
      <c r="E1191" s="426" t="s">
        <v>256</v>
      </c>
      <c r="F1191" s="487"/>
      <c r="G1191" s="266" t="s">
        <v>3798</v>
      </c>
      <c r="H1191"/>
      <c r="I1191" s="46">
        <f ca="1">'Ch7'!O322</f>
        <v>1</v>
      </c>
      <c r="J1191" s="580"/>
    </row>
    <row r="1192" spans="1:10" x14ac:dyDescent="0.35">
      <c r="B1192" t="str">
        <f>IF(LEN('Ch7'!H323)=0,"",'Ch7'!H323)</f>
        <v/>
      </c>
      <c r="C1192" t="str">
        <f t="shared" si="35"/>
        <v/>
      </c>
      <c r="D1192" s="31"/>
      <c r="E1192" s="426"/>
      <c r="F1192" s="487"/>
      <c r="G1192" s="90" t="s">
        <v>3792</v>
      </c>
      <c r="H1192" s="400">
        <f>IF(LEN('Ch7'!W323)=0,"",'Ch7'!W323)</f>
        <v>15</v>
      </c>
      <c r="J1192" s="580"/>
    </row>
    <row r="1193" spans="1:10" x14ac:dyDescent="0.35">
      <c r="B1193" t="str">
        <f>IF(LEN('Ch7'!H324)=0,"",'Ch7'!H324)</f>
        <v/>
      </c>
      <c r="C1193" t="str">
        <f t="shared" si="35"/>
        <v/>
      </c>
      <c r="D1193" s="31"/>
      <c r="E1193" s="426"/>
      <c r="F1193" s="487"/>
      <c r="G1193" s="90" t="s">
        <v>3793</v>
      </c>
      <c r="H1193"/>
      <c r="J1193" s="580"/>
    </row>
    <row r="1194" spans="1:10" x14ac:dyDescent="0.35">
      <c r="B1194" t="str">
        <f>IF(LEN('Ch7'!H325)=0,"",'Ch7'!H325)</f>
        <v/>
      </c>
      <c r="C1194" t="str">
        <f t="shared" si="35"/>
        <v/>
      </c>
      <c r="D1194" s="31"/>
      <c r="E1194" s="426"/>
      <c r="F1194" s="487"/>
      <c r="G1194" s="90" t="s">
        <v>3794</v>
      </c>
      <c r="H1194"/>
      <c r="J1194" s="580"/>
    </row>
    <row r="1195" spans="1:10" x14ac:dyDescent="0.35">
      <c r="B1195" t="str">
        <f>IF(LEN('Ch7'!H326)=0,"",'Ch7'!H326)</f>
        <v/>
      </c>
      <c r="C1195" t="str">
        <f t="shared" si="35"/>
        <v/>
      </c>
      <c r="D1195" s="31"/>
      <c r="E1195" s="426"/>
      <c r="F1195" s="487"/>
      <c r="G1195" s="90" t="s">
        <v>3795</v>
      </c>
      <c r="H1195"/>
      <c r="J1195" s="580"/>
    </row>
    <row r="1196" spans="1:10" x14ac:dyDescent="0.35">
      <c r="B1196" t="str">
        <f>IF(LEN('Ch7'!H327)=0,"",'Ch7'!H327)</f>
        <v/>
      </c>
      <c r="C1196" t="str">
        <f t="shared" si="35"/>
        <v/>
      </c>
      <c r="G1196" s="90" t="s">
        <v>4277</v>
      </c>
      <c r="H1196"/>
      <c r="J1196" s="580"/>
    </row>
    <row r="1197" spans="1:10" x14ac:dyDescent="0.35">
      <c r="B1197" t="str">
        <f>IF(LEN('Ch7'!H328)=0,"",'Ch7'!H328)</f>
        <v/>
      </c>
      <c r="C1197" t="str">
        <f t="shared" si="35"/>
        <v/>
      </c>
      <c r="D1197" s="31"/>
      <c r="F1197" s="426" t="s">
        <v>3797</v>
      </c>
      <c r="G1197" s="848" t="s">
        <v>3796</v>
      </c>
      <c r="H1197" s="400" t="str">
        <f>IF(LEN('Ch7'!W328)=0,"",'Ch7'!W328)</f>
        <v/>
      </c>
      <c r="I1197" s="46">
        <f ca="1">'Ch7'!O328</f>
        <v>0</v>
      </c>
      <c r="J1197" s="580"/>
    </row>
    <row r="1198" spans="1:10" x14ac:dyDescent="0.35">
      <c r="B1198" t="str">
        <f>IF(LEN('Ch7'!H329)=0,"",'Ch7'!H329)</f>
        <v/>
      </c>
      <c r="C1198" t="str">
        <f t="shared" si="35"/>
        <v/>
      </c>
      <c r="D1198" s="31"/>
      <c r="E1198" s="427"/>
      <c r="F1198" s="614"/>
      <c r="G1198" s="821"/>
      <c r="H1198"/>
      <c r="J1198" s="580"/>
    </row>
    <row r="1199" spans="1:10" x14ac:dyDescent="0.35">
      <c r="B1199" t="str">
        <f>IF(LEN('Ch7'!H330)=0,"",'Ch7'!H330)</f>
        <v/>
      </c>
      <c r="C1199" t="str">
        <f t="shared" si="35"/>
        <v/>
      </c>
      <c r="D1199" s="403"/>
      <c r="E1199" s="427" t="s">
        <v>258</v>
      </c>
      <c r="F1199" s="614"/>
      <c r="G1199" s="281" t="s">
        <v>3799</v>
      </c>
      <c r="H1199" s="400" t="str">
        <f>IF(LEN('Ch7'!W330)=0,"",'Ch7'!W330)</f>
        <v/>
      </c>
      <c r="I1199" s="46">
        <f ca="1">'Ch7'!O330</f>
        <v>0</v>
      </c>
      <c r="J1199" s="580"/>
    </row>
    <row r="1200" spans="1:10" x14ac:dyDescent="0.35">
      <c r="A1200" s="366" t="str">
        <f ca="1">IF(I1200&gt;0,"P","")</f>
        <v/>
      </c>
      <c r="B1200" t="str">
        <f>IF(LEN('Ch7'!H331)=0,"",'Ch7'!H331)</f>
        <v/>
      </c>
      <c r="C1200" t="str">
        <f t="shared" ca="1" si="35"/>
        <v/>
      </c>
      <c r="D1200" s="405" t="s">
        <v>925</v>
      </c>
      <c r="E1200" s="615"/>
      <c r="F1200" s="615"/>
      <c r="G1200" s="905" t="s">
        <v>926</v>
      </c>
      <c r="H1200" s="400" t="str">
        <f>IF(LEN('Ch7'!W331)=0,"",'Ch7'!W331)</f>
        <v/>
      </c>
      <c r="I1200" s="46">
        <f ca="1">'Ch7'!O331</f>
        <v>0</v>
      </c>
      <c r="J1200" s="580" t="s">
        <v>3916</v>
      </c>
    </row>
    <row r="1201" spans="1:10" x14ac:dyDescent="0.35">
      <c r="A1201" s="366" t="str">
        <f ca="1">A1200</f>
        <v/>
      </c>
      <c r="B1201" t="str">
        <f>IF(LEN('Ch7'!H332)=0,"",'Ch7'!H332)</f>
        <v/>
      </c>
      <c r="C1201" t="str">
        <f t="shared" ca="1" si="35"/>
        <v/>
      </c>
      <c r="D1201" s="31"/>
      <c r="E1201" s="487"/>
      <c r="F1201" s="487"/>
      <c r="G1201" s="838"/>
      <c r="H1201"/>
      <c r="J1201" s="580"/>
    </row>
    <row r="1202" spans="1:10" x14ac:dyDescent="0.35">
      <c r="A1202" s="366" t="str">
        <f ca="1">A1201</f>
        <v/>
      </c>
      <c r="B1202" t="str">
        <f>IF(LEN('Ch7'!H333)=0,"",'Ch7'!H333)</f>
        <v/>
      </c>
      <c r="C1202" t="str">
        <f t="shared" ca="1" si="35"/>
        <v/>
      </c>
      <c r="D1202" s="31"/>
      <c r="E1202" s="487"/>
      <c r="F1202" s="487"/>
      <c r="G1202" s="838"/>
      <c r="H1202"/>
      <c r="J1202" s="580"/>
    </row>
    <row r="1203" spans="1:10" x14ac:dyDescent="0.35">
      <c r="B1203" t="str">
        <f>IF(LEN('Ch7'!H334)=0,"",'Ch7'!H334)</f>
        <v/>
      </c>
      <c r="C1203" t="str">
        <f t="shared" si="35"/>
        <v/>
      </c>
      <c r="D1203" s="403"/>
      <c r="E1203" s="614"/>
      <c r="F1203" s="614"/>
      <c r="G1203" s="228" t="s">
        <v>3801</v>
      </c>
      <c r="H1203"/>
      <c r="J1203" s="580"/>
    </row>
    <row r="1204" spans="1:10" x14ac:dyDescent="0.35">
      <c r="A1204" s="366" t="str">
        <f ca="1">IF(I1204&gt;0,"P","")</f>
        <v/>
      </c>
      <c r="B1204" t="str">
        <f>IF(LEN('Ch7'!H335)=0,"",'Ch7'!H335)</f>
        <v/>
      </c>
      <c r="C1204" t="str">
        <f t="shared" ca="1" si="35"/>
        <v/>
      </c>
      <c r="D1204" s="31" t="s">
        <v>927</v>
      </c>
      <c r="E1204" s="487"/>
      <c r="F1204" s="487"/>
      <c r="G1204" s="919" t="s">
        <v>3835</v>
      </c>
      <c r="H1204"/>
      <c r="I1204" s="46">
        <f ca="1">'Ch7'!O335</f>
        <v>0</v>
      </c>
      <c r="J1204" s="580" t="s">
        <v>3916</v>
      </c>
    </row>
    <row r="1205" spans="1:10" x14ac:dyDescent="0.35">
      <c r="A1205" s="366" t="str">
        <f ca="1">A1204</f>
        <v/>
      </c>
      <c r="B1205" t="str">
        <f>IF(LEN('Ch7'!H336)=0,"",'Ch7'!H336)</f>
        <v/>
      </c>
      <c r="C1205" t="str">
        <f t="shared" ca="1" si="35"/>
        <v/>
      </c>
      <c r="D1205" s="31"/>
      <c r="E1205" s="487"/>
      <c r="F1205" s="487"/>
      <c r="G1205" s="919"/>
      <c r="H1205" s="400" t="str">
        <f>IF(LEN('Ch7'!W336)=0,"",'Ch7'!W336)</f>
        <v/>
      </c>
      <c r="J1205" s="580"/>
    </row>
    <row r="1206" spans="1:10" x14ac:dyDescent="0.35">
      <c r="A1206" s="366" t="str">
        <f ca="1">A1205</f>
        <v/>
      </c>
      <c r="B1206" t="str">
        <f>IF(LEN('Ch7'!H337)=0,"",'Ch7'!H337)</f>
        <v/>
      </c>
      <c r="C1206" t="str">
        <f t="shared" ca="1" si="35"/>
        <v/>
      </c>
      <c r="D1206" s="31"/>
      <c r="E1206" s="487"/>
      <c r="F1206" s="487"/>
      <c r="G1206" s="919"/>
      <c r="H1206"/>
      <c r="J1206" s="580"/>
    </row>
    <row r="1207" spans="1:10" x14ac:dyDescent="0.35">
      <c r="B1207" t="str">
        <f>IF(LEN('Ch7'!H338)=0,"",'Ch7'!H338)</f>
        <v/>
      </c>
      <c r="C1207" t="str">
        <f t="shared" si="35"/>
        <v/>
      </c>
      <c r="D1207" s="31"/>
      <c r="E1207" s="487"/>
      <c r="F1207" s="487"/>
      <c r="G1207" s="90" t="s">
        <v>3802</v>
      </c>
      <c r="H1207"/>
      <c r="J1207" s="580"/>
    </row>
    <row r="1208" spans="1:10" x14ac:dyDescent="0.35">
      <c r="B1208" t="str">
        <f>IF(LEN('Ch7'!H339)=0,"",'Ch7'!H339)</f>
        <v/>
      </c>
      <c r="C1208" t="str">
        <f t="shared" si="35"/>
        <v/>
      </c>
      <c r="D1208" s="31"/>
      <c r="E1208" s="487"/>
      <c r="F1208" s="487"/>
      <c r="G1208" s="90" t="s">
        <v>3803</v>
      </c>
      <c r="H1208"/>
      <c r="J1208" s="580"/>
    </row>
    <row r="1209" spans="1:10" x14ac:dyDescent="0.35">
      <c r="B1209" t="str">
        <f>IF(LEN('Ch7'!H340)=0,"",'Ch7'!H340)</f>
        <v/>
      </c>
      <c r="C1209" t="str">
        <f t="shared" si="35"/>
        <v/>
      </c>
      <c r="D1209" s="403"/>
      <c r="E1209" s="614"/>
      <c r="F1209" s="614"/>
      <c r="G1209" s="228" t="s">
        <v>3804</v>
      </c>
      <c r="H1209"/>
      <c r="J1209" s="580"/>
    </row>
    <row r="1210" spans="1:10" x14ac:dyDescent="0.35">
      <c r="A1210" s="366" t="str">
        <f ca="1">IF(I1210&gt;0,"P","")</f>
        <v/>
      </c>
      <c r="B1210" t="str">
        <f>IF(LEN('Ch7'!H341)=0,"",'Ch7'!H341)</f>
        <v/>
      </c>
      <c r="C1210" t="str">
        <f t="shared" ca="1" si="35"/>
        <v/>
      </c>
      <c r="D1210" s="31" t="s">
        <v>928</v>
      </c>
      <c r="E1210" s="487"/>
      <c r="F1210" s="487"/>
      <c r="G1210" s="95" t="s">
        <v>929</v>
      </c>
      <c r="H1210" s="400" t="str">
        <f>IF(LEN('Ch7'!W341)=0,"",'Ch7'!W341)</f>
        <v/>
      </c>
      <c r="I1210" s="46">
        <f ca="1">'Ch7'!O341</f>
        <v>0</v>
      </c>
      <c r="J1210" s="975" t="s">
        <v>4999</v>
      </c>
    </row>
    <row r="1211" spans="1:10" x14ac:dyDescent="0.35">
      <c r="A1211" s="366" t="str">
        <f ca="1">A1210</f>
        <v/>
      </c>
      <c r="B1211" t="str">
        <f>IF(LEN('Ch7'!H342)=0,"",'Ch7'!H342)</f>
        <v/>
      </c>
      <c r="C1211" t="str">
        <f t="shared" ca="1" si="35"/>
        <v/>
      </c>
      <c r="D1211" s="31"/>
      <c r="E1211" s="487"/>
      <c r="F1211" s="487"/>
      <c r="G1211" s="91" t="s">
        <v>930</v>
      </c>
      <c r="H1211"/>
      <c r="J1211" s="979"/>
    </row>
    <row r="1212" spans="1:10" x14ac:dyDescent="0.35">
      <c r="A1212" s="366" t="str">
        <f ca="1">A1211</f>
        <v/>
      </c>
      <c r="B1212" t="str">
        <f>IF(LEN('Ch7'!H343)=0,"",'Ch7'!H343)</f>
        <v/>
      </c>
      <c r="C1212" t="str">
        <f t="shared" ca="1" si="35"/>
        <v/>
      </c>
      <c r="D1212" s="31"/>
      <c r="E1212" s="487"/>
      <c r="F1212" s="487"/>
      <c r="G1212" s="919" t="s">
        <v>4278</v>
      </c>
      <c r="H1212" s="400" t="str">
        <f>IF(LEN('Ch7'!W343)=0,"",'Ch7'!W343)</f>
        <v/>
      </c>
      <c r="J1212" s="979"/>
    </row>
    <row r="1213" spans="1:10" x14ac:dyDescent="0.35">
      <c r="A1213" s="366" t="str">
        <f ca="1">A1212</f>
        <v/>
      </c>
      <c r="B1213" t="str">
        <f>IF(LEN('Ch7'!H344)=0,"",'Ch7'!H344)</f>
        <v/>
      </c>
      <c r="C1213" t="str">
        <f t="shared" ca="1" si="35"/>
        <v/>
      </c>
      <c r="D1213" s="31"/>
      <c r="E1213" s="487"/>
      <c r="F1213" s="487"/>
      <c r="G1213" s="919"/>
      <c r="H1213"/>
      <c r="J1213" s="976"/>
    </row>
    <row r="1214" spans="1:10" x14ac:dyDescent="0.35">
      <c r="A1214" s="366" t="str">
        <f ca="1">A1213</f>
        <v/>
      </c>
      <c r="B1214" t="str">
        <f>IF(LEN('Ch7'!H345)=0,"",'Ch7'!H345)</f>
        <v/>
      </c>
      <c r="C1214" t="str">
        <f t="shared" ca="1" si="35"/>
        <v/>
      </c>
      <c r="D1214" s="31"/>
      <c r="E1214" s="487"/>
      <c r="F1214" s="487"/>
      <c r="G1214" s="919"/>
      <c r="H1214"/>
      <c r="J1214" s="580"/>
    </row>
    <row r="1215" spans="1:10" x14ac:dyDescent="0.35">
      <c r="A1215" s="366" t="str">
        <f ca="1">A1214</f>
        <v/>
      </c>
      <c r="B1215" t="str">
        <f>IF(LEN('Ch7'!H346)=0,"",'Ch7'!H346)</f>
        <v/>
      </c>
      <c r="C1215" t="str">
        <f t="shared" ca="1" si="35"/>
        <v/>
      </c>
      <c r="D1215" s="31"/>
      <c r="E1215" s="487"/>
      <c r="F1215" s="487"/>
      <c r="G1215" s="919"/>
      <c r="H1215"/>
      <c r="J1215" s="580"/>
    </row>
    <row r="1216" spans="1:10" x14ac:dyDescent="0.35">
      <c r="B1216" t="str">
        <f>IF(LEN('Ch7'!H347)=0,"",'Ch7'!H347)</f>
        <v/>
      </c>
      <c r="C1216" t="str">
        <f t="shared" si="35"/>
        <v/>
      </c>
      <c r="D1216" s="403"/>
      <c r="E1216" s="614"/>
      <c r="F1216" s="614"/>
      <c r="G1216" s="603" t="s">
        <v>3777</v>
      </c>
      <c r="H1216"/>
      <c r="J1216" s="580"/>
    </row>
    <row r="1217" spans="1:10" x14ac:dyDescent="0.35">
      <c r="A1217" s="366" t="str">
        <f ca="1">IF(I1217&gt;0,"P","")</f>
        <v/>
      </c>
      <c r="B1217" t="str">
        <f>IF(LEN('Ch7'!H348)=0,"",'Ch7'!H348)</f>
        <v/>
      </c>
      <c r="C1217" t="str">
        <f t="shared" ca="1" si="35"/>
        <v/>
      </c>
      <c r="D1217" s="405" t="s">
        <v>931</v>
      </c>
      <c r="E1217" s="615"/>
      <c r="F1217" s="615"/>
      <c r="G1217" s="921" t="s">
        <v>4279</v>
      </c>
      <c r="H1217" s="400" t="str">
        <f>IF(LEN('Ch7'!W348)=0,"",'Ch7'!W348)</f>
        <v/>
      </c>
      <c r="I1217" s="46">
        <f ca="1">'Ch7'!O348</f>
        <v>0</v>
      </c>
      <c r="J1217" s="580" t="s">
        <v>3891</v>
      </c>
    </row>
    <row r="1218" spans="1:10" x14ac:dyDescent="0.35">
      <c r="A1218" s="366" t="str">
        <f ca="1">A1217</f>
        <v/>
      </c>
      <c r="B1218" t="str">
        <f>IF(LEN('Ch7'!H349)=0,"",'Ch7'!H349)</f>
        <v/>
      </c>
      <c r="C1218" t="str">
        <f t="shared" ca="1" si="35"/>
        <v/>
      </c>
      <c r="D1218" s="31"/>
      <c r="E1218" s="487"/>
      <c r="F1218" s="487"/>
      <c r="G1218" s="919"/>
      <c r="H1218"/>
      <c r="J1218" s="580"/>
    </row>
    <row r="1219" spans="1:10" x14ac:dyDescent="0.35">
      <c r="B1219" t="str">
        <f>IF(LEN('Ch7'!H350)=0,"",'Ch7'!H350)</f>
        <v/>
      </c>
      <c r="C1219" t="str">
        <f t="shared" si="35"/>
        <v/>
      </c>
      <c r="D1219" s="31"/>
      <c r="E1219" s="487"/>
      <c r="F1219" s="487"/>
      <c r="G1219" s="92" t="s">
        <v>930</v>
      </c>
      <c r="H1219"/>
      <c r="J1219" s="580"/>
    </row>
    <row r="1220" spans="1:10" x14ac:dyDescent="0.35">
      <c r="B1220" t="str">
        <f>IF(LEN('Ch7'!H351)=0,"",'Ch7'!H351)</f>
        <v/>
      </c>
      <c r="C1220" t="str">
        <f t="shared" si="35"/>
        <v/>
      </c>
      <c r="D1220" s="31"/>
      <c r="E1220" s="487"/>
      <c r="F1220" s="487"/>
      <c r="G1220" s="984" t="s">
        <v>3776</v>
      </c>
      <c r="H1220"/>
      <c r="J1220" s="580"/>
    </row>
    <row r="1221" spans="1:10" ht="15" thickBot="1" x14ac:dyDescent="0.4">
      <c r="B1221" t="str">
        <f>IF(LEN('Ch7'!H352)=0,"",'Ch7'!H352)</f>
        <v/>
      </c>
      <c r="C1221" t="str">
        <f t="shared" si="35"/>
        <v/>
      </c>
      <c r="D1221" s="404"/>
      <c r="E1221" s="575"/>
      <c r="F1221" s="575"/>
      <c r="G1221" s="988"/>
      <c r="H1221"/>
      <c r="J1221" s="580"/>
    </row>
    <row r="1222" spans="1:10" ht="15" thickTop="1" x14ac:dyDescent="0.35">
      <c r="A1222" s="727" t="str">
        <f ca="1">IF(COUNTIF(A1223:A1233,"P")&gt;0,"P","")</f>
        <v>P</v>
      </c>
      <c r="B1222" t="str">
        <f>IF(LEN('Ch7'!H353)=0,"",'Ch7'!H353)</f>
        <v/>
      </c>
      <c r="C1222" t="str">
        <f t="shared" ca="1" si="35"/>
        <v>P</v>
      </c>
      <c r="D1222" s="31">
        <v>703.4</v>
      </c>
      <c r="E1222" s="487"/>
      <c r="F1222" s="487"/>
      <c r="G1222" s="95" t="s">
        <v>932</v>
      </c>
      <c r="H1222"/>
      <c r="J1222" s="580"/>
    </row>
    <row r="1223" spans="1:10" x14ac:dyDescent="0.35">
      <c r="A1223" s="366" t="str">
        <f ca="1">IF(I1223&gt;0,"P","")</f>
        <v/>
      </c>
      <c r="B1223" t="str">
        <f>IF(LEN('Ch7'!H354)=0,"",'Ch7'!H354)</f>
        <v/>
      </c>
      <c r="C1223" t="str">
        <f t="shared" ca="1" si="35"/>
        <v/>
      </c>
      <c r="D1223" s="31" t="s">
        <v>933</v>
      </c>
      <c r="E1223" s="487"/>
      <c r="F1223" s="487"/>
      <c r="G1223" s="95" t="s">
        <v>934</v>
      </c>
      <c r="H1223" s="400" t="str">
        <f>IF(LEN('Ch7'!W354)=0,"",'Ch7'!W354)</f>
        <v/>
      </c>
      <c r="I1223" s="46">
        <f ca="1">'Ch7'!O354</f>
        <v>0</v>
      </c>
      <c r="J1223" s="580" t="s">
        <v>3891</v>
      </c>
    </row>
    <row r="1224" spans="1:10" x14ac:dyDescent="0.35">
      <c r="B1224" t="str">
        <f>IF(LEN('Ch7'!H355)=0,"",'Ch7'!H355)</f>
        <v/>
      </c>
      <c r="C1224" t="str">
        <f t="shared" si="35"/>
        <v/>
      </c>
      <c r="D1224" s="403"/>
      <c r="E1224" s="614"/>
      <c r="F1224" s="614"/>
      <c r="G1224" s="603" t="s">
        <v>935</v>
      </c>
      <c r="H1224"/>
      <c r="J1224" s="580"/>
    </row>
    <row r="1225" spans="1:10" x14ac:dyDescent="0.35">
      <c r="A1225" s="366" t="str">
        <f ca="1">IF(I1225&gt;0,"P","")</f>
        <v/>
      </c>
      <c r="B1225" t="str">
        <f>IF(LEN('Ch7'!H356)=0,"",'Ch7'!H356)</f>
        <v/>
      </c>
      <c r="C1225" t="str">
        <f t="shared" ca="1" si="35"/>
        <v/>
      </c>
      <c r="D1225" s="405" t="s">
        <v>936</v>
      </c>
      <c r="E1225" s="615"/>
      <c r="F1225" s="615"/>
      <c r="G1225" s="325" t="s">
        <v>937</v>
      </c>
      <c r="H1225" s="400" t="str">
        <f>IF(LEN('Ch7'!W356)=0,"",'Ch7'!W356)</f>
        <v/>
      </c>
      <c r="I1225" s="46">
        <f ca="1">'Ch7'!O356</f>
        <v>0</v>
      </c>
      <c r="J1225" s="580" t="s">
        <v>3891</v>
      </c>
    </row>
    <row r="1226" spans="1:10" x14ac:dyDescent="0.35">
      <c r="B1226" t="str">
        <f>IF(LEN('Ch7'!H357)=0,"",'Ch7'!H357)</f>
        <v/>
      </c>
      <c r="C1226" t="str">
        <f t="shared" si="35"/>
        <v/>
      </c>
      <c r="D1226" s="403"/>
      <c r="E1226" s="614"/>
      <c r="F1226" s="614"/>
      <c r="G1226" s="603" t="s">
        <v>935</v>
      </c>
      <c r="H1226"/>
      <c r="J1226" s="580"/>
    </row>
    <row r="1227" spans="1:10" x14ac:dyDescent="0.35">
      <c r="A1227" s="366" t="str">
        <f ca="1">IF(I1227&gt;0,"P","")</f>
        <v>P</v>
      </c>
      <c r="B1227" t="str">
        <f>IF(LEN('Ch7'!H358)=0,"",'Ch7'!H358)</f>
        <v/>
      </c>
      <c r="C1227" t="str">
        <f t="shared" ca="1" si="35"/>
        <v>P</v>
      </c>
      <c r="D1227" s="31" t="s">
        <v>938</v>
      </c>
      <c r="E1227" s="487"/>
      <c r="F1227" s="487"/>
      <c r="G1227" s="95" t="s">
        <v>939</v>
      </c>
      <c r="H1227"/>
      <c r="I1227" s="46">
        <f ca="1">'Ch7'!O358</f>
        <v>8</v>
      </c>
      <c r="J1227" s="580" t="s">
        <v>3891</v>
      </c>
    </row>
    <row r="1228" spans="1:10" x14ac:dyDescent="0.35">
      <c r="B1228" t="str">
        <f>IF(LEN('Ch7'!H359)=0,"",'Ch7'!H359)</f>
        <v/>
      </c>
      <c r="C1228" t="str">
        <f t="shared" si="35"/>
        <v/>
      </c>
      <c r="D1228" s="31"/>
      <c r="E1228" s="427" t="s">
        <v>256</v>
      </c>
      <c r="F1228" s="614"/>
      <c r="G1228" s="228" t="s">
        <v>940</v>
      </c>
      <c r="H1228" s="400" t="b">
        <f>IF(LEN('Ch7'!W359)=0,"",'Ch7'!W359)</f>
        <v>1</v>
      </c>
      <c r="J1228" s="580"/>
    </row>
    <row r="1229" spans="1:10" x14ac:dyDescent="0.35">
      <c r="B1229" t="str">
        <f>IF(LEN('Ch7'!H360)=0,"",'Ch7'!H360)</f>
        <v/>
      </c>
      <c r="C1229" t="str">
        <f t="shared" si="35"/>
        <v/>
      </c>
      <c r="D1229" s="31"/>
      <c r="E1229" s="429" t="s">
        <v>258</v>
      </c>
      <c r="F1229" s="615"/>
      <c r="G1229" s="836" t="s">
        <v>941</v>
      </c>
      <c r="H1229" s="400" t="b">
        <f>IF(LEN('Ch7'!W360)=0,"",'Ch7'!W360)</f>
        <v>1</v>
      </c>
      <c r="J1229" s="580"/>
    </row>
    <row r="1230" spans="1:10" x14ac:dyDescent="0.35">
      <c r="B1230" t="str">
        <f>IF(LEN('Ch7'!H361)=0,"",'Ch7'!H361)</f>
        <v/>
      </c>
      <c r="C1230" t="str">
        <f t="shared" si="35"/>
        <v/>
      </c>
      <c r="D1230" s="31"/>
      <c r="E1230" s="614"/>
      <c r="F1230" s="614"/>
      <c r="G1230" s="815"/>
      <c r="H1230"/>
      <c r="J1230" s="580"/>
    </row>
    <row r="1231" spans="1:10" x14ac:dyDescent="0.35">
      <c r="B1231" t="str">
        <f>IF(LEN('Ch7'!H362)=0,"",'Ch7'!H362)</f>
        <v/>
      </c>
      <c r="C1231" t="str">
        <f t="shared" si="35"/>
        <v/>
      </c>
      <c r="D1231" s="31"/>
      <c r="E1231" s="426" t="s">
        <v>260</v>
      </c>
      <c r="F1231" s="487"/>
      <c r="G1231" s="90" t="s">
        <v>942</v>
      </c>
      <c r="H1231" s="400" t="b">
        <f>IF(LEN('Ch7'!W362)=0,"",'Ch7'!W362)</f>
        <v>1</v>
      </c>
      <c r="J1231" s="580"/>
    </row>
    <row r="1232" spans="1:10" x14ac:dyDescent="0.35">
      <c r="B1232" t="str">
        <f>IF(LEN('Ch7'!H363)=0,"",'Ch7'!H363)</f>
        <v/>
      </c>
      <c r="C1232" t="str">
        <f t="shared" si="35"/>
        <v/>
      </c>
      <c r="D1232" s="403"/>
      <c r="E1232" s="614"/>
      <c r="F1232" s="614"/>
      <c r="G1232" s="603" t="s">
        <v>935</v>
      </c>
      <c r="H1232"/>
      <c r="J1232" s="580"/>
    </row>
    <row r="1233" spans="1:10" x14ac:dyDescent="0.35">
      <c r="A1233" s="366" t="str">
        <f ca="1">IF(I1233&gt;0,"P","")</f>
        <v/>
      </c>
      <c r="B1233" t="str">
        <f>IF(LEN('Ch7'!H364)=0,"",'Ch7'!H364)</f>
        <v/>
      </c>
      <c r="C1233" t="str">
        <f t="shared" ca="1" si="35"/>
        <v/>
      </c>
      <c r="D1233" s="31" t="s">
        <v>943</v>
      </c>
      <c r="E1233" s="487"/>
      <c r="F1233" s="487"/>
      <c r="G1233" s="838" t="s">
        <v>944</v>
      </c>
      <c r="H1233" s="400" t="str">
        <f>IF(LEN('Ch7'!W364)=0,"",'Ch7'!W364)</f>
        <v/>
      </c>
      <c r="I1233" s="46">
        <f ca="1">'Ch7'!O364</f>
        <v>0</v>
      </c>
      <c r="J1233" s="580" t="s">
        <v>5000</v>
      </c>
    </row>
    <row r="1234" spans="1:10" x14ac:dyDescent="0.35">
      <c r="A1234" s="366" t="str">
        <f ca="1">A1233</f>
        <v/>
      </c>
      <c r="B1234" t="str">
        <f>IF(LEN('Ch7'!H365)=0,"",'Ch7'!H365)</f>
        <v/>
      </c>
      <c r="C1234" t="str">
        <f t="shared" ref="C1234:C1297" ca="1" si="36">IF(LEN(B1234)=0,IF(A1234="P","P",""),B1234)</f>
        <v/>
      </c>
      <c r="D1234" s="31"/>
      <c r="E1234" s="487"/>
      <c r="F1234" s="487"/>
      <c r="G1234" s="838"/>
      <c r="H1234"/>
      <c r="J1234" s="580"/>
    </row>
    <row r="1235" spans="1:10" x14ac:dyDescent="0.35">
      <c r="A1235" s="366" t="str">
        <f ca="1">A1234</f>
        <v/>
      </c>
      <c r="B1235" t="str">
        <f>IF(LEN('Ch7'!H366)=0,"",'Ch7'!H366)</f>
        <v/>
      </c>
      <c r="C1235" t="str">
        <f t="shared" ca="1" si="36"/>
        <v/>
      </c>
      <c r="D1235" s="31"/>
      <c r="E1235" s="487"/>
      <c r="F1235" s="487"/>
      <c r="G1235" s="838"/>
      <c r="H1235"/>
      <c r="J1235" s="580"/>
    </row>
    <row r="1236" spans="1:10" x14ac:dyDescent="0.35">
      <c r="A1236" s="366" t="str">
        <f ca="1">A1235</f>
        <v/>
      </c>
      <c r="B1236" t="str">
        <f>IF(LEN('Ch7'!H367)=0,"",'Ch7'!H367)</f>
        <v/>
      </c>
      <c r="C1236" t="str">
        <f t="shared" ca="1" si="36"/>
        <v/>
      </c>
      <c r="D1236" s="31"/>
      <c r="E1236" s="487"/>
      <c r="F1236" s="487"/>
      <c r="G1236" s="838"/>
      <c r="H1236"/>
      <c r="J1236" s="580"/>
    </row>
    <row r="1237" spans="1:10" x14ac:dyDescent="0.35">
      <c r="A1237" s="366" t="str">
        <f ca="1">A1236</f>
        <v/>
      </c>
      <c r="B1237" t="str">
        <f>IF(LEN('Ch7'!H368)=0,"",'Ch7'!H368)</f>
        <v/>
      </c>
      <c r="C1237" t="str">
        <f t="shared" ca="1" si="36"/>
        <v/>
      </c>
      <c r="D1237" s="31"/>
      <c r="E1237" s="487"/>
      <c r="F1237" s="487"/>
      <c r="G1237" s="838"/>
      <c r="H1237"/>
      <c r="J1237" s="580"/>
    </row>
    <row r="1238" spans="1:10" x14ac:dyDescent="0.35">
      <c r="B1238" t="str">
        <f>IF(LEN('Ch7'!H369)=0,"",'Ch7'!H369)</f>
        <v/>
      </c>
      <c r="C1238" t="str">
        <f t="shared" si="36"/>
        <v/>
      </c>
      <c r="D1238" s="31"/>
      <c r="E1238" s="487"/>
      <c r="F1238" s="487"/>
      <c r="G1238" s="92" t="s">
        <v>945</v>
      </c>
      <c r="H1238"/>
      <c r="J1238" s="580"/>
    </row>
    <row r="1239" spans="1:10" x14ac:dyDescent="0.35">
      <c r="B1239" t="str">
        <f>IF(LEN('Ch7'!H370)=0,"",'Ch7'!H370)</f>
        <v/>
      </c>
      <c r="C1239" t="str">
        <f t="shared" si="36"/>
        <v/>
      </c>
      <c r="D1239" s="31"/>
      <c r="E1239" s="427" t="s">
        <v>256</v>
      </c>
      <c r="F1239" s="614"/>
      <c r="G1239" s="228" t="s">
        <v>3641</v>
      </c>
      <c r="H1239"/>
      <c r="J1239" s="580"/>
    </row>
    <row r="1240" spans="1:10" x14ac:dyDescent="0.35">
      <c r="B1240" t="str">
        <f>IF(LEN('Ch7'!H371)=0,"",'Ch7'!H371)</f>
        <v/>
      </c>
      <c r="C1240" t="str">
        <f t="shared" si="36"/>
        <v/>
      </c>
      <c r="D1240" s="31"/>
      <c r="E1240" s="430" t="s">
        <v>258</v>
      </c>
      <c r="F1240" s="626"/>
      <c r="G1240" s="178" t="s">
        <v>4834</v>
      </c>
      <c r="H1240"/>
      <c r="J1240" s="580"/>
    </row>
    <row r="1241" spans="1:10" ht="15" thickBot="1" x14ac:dyDescent="0.4">
      <c r="B1241" t="str">
        <f>IF(LEN('Ch7'!H372)=0,"",'Ch7'!H372)</f>
        <v/>
      </c>
      <c r="C1241" t="str">
        <f t="shared" si="36"/>
        <v/>
      </c>
      <c r="D1241" s="404"/>
      <c r="E1241" s="432" t="s">
        <v>260</v>
      </c>
      <c r="F1241" s="575"/>
      <c r="G1241" s="229" t="s">
        <v>3642</v>
      </c>
      <c r="H1241"/>
      <c r="J1241" s="580"/>
    </row>
    <row r="1242" spans="1:10" ht="15" thickTop="1" x14ac:dyDescent="0.35">
      <c r="A1242" s="727" t="str">
        <f ca="1">IF(COUNTIF(A1243:A1297,"P")&gt;0,"P","")</f>
        <v>P</v>
      </c>
      <c r="B1242" t="str">
        <f>IF(LEN('Ch7'!H373)=0,"",'Ch7'!H373)</f>
        <v/>
      </c>
      <c r="C1242" t="str">
        <f t="shared" ca="1" si="36"/>
        <v>P</v>
      </c>
      <c r="D1242" s="31">
        <v>703.5</v>
      </c>
      <c r="E1242" s="487"/>
      <c r="F1242" s="487"/>
      <c r="G1242" s="95" t="s">
        <v>946</v>
      </c>
      <c r="H1242"/>
      <c r="J1242" s="580"/>
    </row>
    <row r="1243" spans="1:10" x14ac:dyDescent="0.35">
      <c r="A1243" s="366" t="str">
        <f ca="1">IF(I1243&gt;0,"P","")</f>
        <v>P</v>
      </c>
      <c r="B1243" t="str">
        <f>IF(LEN('Ch7'!H374)=0,"",'Ch7'!H374)</f>
        <v/>
      </c>
      <c r="C1243" t="str">
        <f t="shared" ca="1" si="36"/>
        <v>P</v>
      </c>
      <c r="D1243" s="31" t="s">
        <v>947</v>
      </c>
      <c r="E1243" s="487"/>
      <c r="F1243" s="487"/>
      <c r="G1243" s="95" t="s">
        <v>4280</v>
      </c>
      <c r="H1243"/>
      <c r="I1243" s="433">
        <f ca="1">SUM(I1251:I1291)</f>
        <v>1</v>
      </c>
      <c r="J1243" s="580" t="s">
        <v>3917</v>
      </c>
    </row>
    <row r="1244" spans="1:10" x14ac:dyDescent="0.35">
      <c r="B1244" t="str">
        <f>IF(LEN('Ch7'!H375)=0,"",'Ch7'!H375)</f>
        <v/>
      </c>
      <c r="C1244" t="str">
        <f t="shared" si="36"/>
        <v/>
      </c>
      <c r="D1244" s="31"/>
      <c r="E1244" s="487"/>
      <c r="F1244" s="487"/>
      <c r="G1244" s="985" t="s">
        <v>4281</v>
      </c>
      <c r="H1244" s="400" t="str">
        <f>IF(LEN('Ch7'!W375)=0,"",'Ch7'!W375)</f>
        <v>Electric</v>
      </c>
      <c r="J1244" s="580"/>
    </row>
    <row r="1245" spans="1:10" x14ac:dyDescent="0.35">
      <c r="B1245" t="str">
        <f>IF(LEN('Ch7'!H376)=0,"",'Ch7'!H376)</f>
        <v/>
      </c>
      <c r="C1245" t="str">
        <f t="shared" si="36"/>
        <v/>
      </c>
      <c r="D1245" s="31"/>
      <c r="E1245" s="487"/>
      <c r="F1245" s="487"/>
      <c r="G1245" s="989"/>
      <c r="H1245"/>
      <c r="J1245" s="580"/>
    </row>
    <row r="1246" spans="1:10" x14ac:dyDescent="0.35">
      <c r="B1246" t="str">
        <f>IF(LEN('Ch7'!H377)=0,"",'Ch7'!H377)</f>
        <v/>
      </c>
      <c r="C1246" t="str">
        <f t="shared" si="36"/>
        <v/>
      </c>
      <c r="D1246" s="31"/>
      <c r="E1246" s="487"/>
      <c r="F1246" s="487"/>
      <c r="G1246" s="985" t="s">
        <v>4282</v>
      </c>
      <c r="H1246"/>
      <c r="J1246" s="580"/>
    </row>
    <row r="1247" spans="1:10" x14ac:dyDescent="0.35">
      <c r="B1247" t="str">
        <f>IF(LEN('Ch7'!H378)=0,"",'Ch7'!H378)</f>
        <v/>
      </c>
      <c r="C1247" t="str">
        <f t="shared" si="36"/>
        <v/>
      </c>
      <c r="D1247" s="31"/>
      <c r="E1247" s="487"/>
      <c r="F1247" s="487"/>
      <c r="G1247" s="989"/>
      <c r="H1247"/>
      <c r="J1247" s="580"/>
    </row>
    <row r="1248" spans="1:10" x14ac:dyDescent="0.35">
      <c r="B1248" t="str">
        <f>IF(LEN('Ch7'!H379)=0,"",'Ch7'!H379)</f>
        <v/>
      </c>
      <c r="C1248" t="str">
        <f t="shared" si="36"/>
        <v/>
      </c>
      <c r="D1248" s="31"/>
      <c r="E1248" s="487"/>
      <c r="F1248" s="487"/>
      <c r="G1248" s="984" t="s">
        <v>4283</v>
      </c>
      <c r="H1248"/>
      <c r="J1248" s="580"/>
    </row>
    <row r="1249" spans="2:10" x14ac:dyDescent="0.35">
      <c r="B1249" t="str">
        <f>IF(LEN('Ch7'!H380)=0,"",'Ch7'!H380)</f>
        <v/>
      </c>
      <c r="C1249" t="str">
        <f t="shared" si="36"/>
        <v/>
      </c>
      <c r="D1249" s="31"/>
      <c r="E1249" s="487"/>
      <c r="F1249" s="487"/>
      <c r="G1249" s="984"/>
      <c r="H1249"/>
      <c r="J1249" s="580"/>
    </row>
    <row r="1250" spans="2:10" x14ac:dyDescent="0.35">
      <c r="B1250" t="str">
        <f>IF(LEN('Ch7'!H381)=0,"",'Ch7'!H381)</f>
        <v/>
      </c>
      <c r="C1250" t="str">
        <f t="shared" si="36"/>
        <v/>
      </c>
      <c r="D1250" s="31"/>
      <c r="E1250" s="426" t="s">
        <v>256</v>
      </c>
      <c r="F1250" s="487"/>
      <c r="G1250" s="90" t="s">
        <v>948</v>
      </c>
      <c r="H1250" s="400" t="str">
        <f>IF(LEN('Ch7'!W381)=0,"",'Ch7'!W381)</f>
        <v/>
      </c>
      <c r="J1250" s="580"/>
    </row>
    <row r="1251" spans="2:10" x14ac:dyDescent="0.35">
      <c r="B1251" t="str">
        <f>IF(LEN('Ch7'!H382)=0,"",'Ch7'!H382)</f>
        <v/>
      </c>
      <c r="C1251" t="str">
        <f t="shared" si="36"/>
        <v/>
      </c>
      <c r="D1251" s="31"/>
      <c r="E1251" s="426"/>
      <c r="F1251" s="402" t="s">
        <v>121</v>
      </c>
      <c r="G1251" s="825" t="s">
        <v>4284</v>
      </c>
      <c r="H1251"/>
      <c r="I1251" s="46">
        <f ca="1">'Ch7'!O382</f>
        <v>0</v>
      </c>
      <c r="J1251" s="580"/>
    </row>
    <row r="1252" spans="2:10" x14ac:dyDescent="0.35">
      <c r="B1252" t="str">
        <f>IF(LEN('Ch7'!H383)=0,"",'Ch7'!H383)</f>
        <v/>
      </c>
      <c r="C1252" t="str">
        <f t="shared" si="36"/>
        <v/>
      </c>
      <c r="D1252" s="31"/>
      <c r="E1252" s="426"/>
      <c r="F1252" s="402"/>
      <c r="G1252" s="825"/>
      <c r="H1252" s="400" t="str">
        <f>IF(LEN('Ch7'!W383)=0,"",'Ch7'!W383)</f>
        <v/>
      </c>
      <c r="J1252" s="580"/>
    </row>
    <row r="1253" spans="2:10" x14ac:dyDescent="0.35">
      <c r="B1253" t="str">
        <f>IF(LEN('Ch7'!H384)=0,"",'Ch7'!H384)</f>
        <v/>
      </c>
      <c r="C1253" t="str">
        <f t="shared" si="36"/>
        <v/>
      </c>
      <c r="D1253" s="31"/>
      <c r="E1253" s="426"/>
      <c r="F1253" s="31"/>
      <c r="G1253" s="470" t="s">
        <v>4285</v>
      </c>
      <c r="H1253"/>
      <c r="J1253" s="580"/>
    </row>
    <row r="1254" spans="2:10" x14ac:dyDescent="0.35">
      <c r="B1254" t="str">
        <f>IF(LEN('Ch7'!H385)=0,"",'Ch7'!H385)</f>
        <v/>
      </c>
      <c r="C1254" t="str">
        <f t="shared" si="36"/>
        <v/>
      </c>
      <c r="D1254" s="31"/>
      <c r="E1254" s="426"/>
      <c r="F1254" s="403"/>
      <c r="G1254" s="477" t="s">
        <v>4286</v>
      </c>
      <c r="H1254"/>
      <c r="J1254" s="580"/>
    </row>
    <row r="1255" spans="2:10" x14ac:dyDescent="0.35">
      <c r="B1255" t="str">
        <f>IF(LEN('Ch7'!H386)=0,"",'Ch7'!H386)</f>
        <v/>
      </c>
      <c r="C1255" t="str">
        <f t="shared" si="36"/>
        <v/>
      </c>
      <c r="D1255" s="31"/>
      <c r="E1255" s="426"/>
      <c r="F1255" s="402" t="s">
        <v>122</v>
      </c>
      <c r="G1255" s="825" t="s">
        <v>4287</v>
      </c>
      <c r="H1255"/>
      <c r="I1255" s="46">
        <f ca="1">'Ch7'!O386</f>
        <v>0</v>
      </c>
      <c r="J1255" s="580"/>
    </row>
    <row r="1256" spans="2:10" x14ac:dyDescent="0.35">
      <c r="B1256" t="str">
        <f>IF(LEN('Ch7'!H387)=0,"",'Ch7'!H387)</f>
        <v/>
      </c>
      <c r="C1256" t="str">
        <f t="shared" si="36"/>
        <v/>
      </c>
      <c r="D1256" s="31"/>
      <c r="E1256" s="426"/>
      <c r="F1256" s="416"/>
      <c r="G1256" s="842"/>
      <c r="H1256"/>
      <c r="J1256" s="580"/>
    </row>
    <row r="1257" spans="2:10" x14ac:dyDescent="0.35">
      <c r="B1257" t="str">
        <f>IF(LEN('Ch7'!H388)=0,"",'Ch7'!H388)</f>
        <v/>
      </c>
      <c r="C1257" t="str">
        <f t="shared" si="36"/>
        <v/>
      </c>
      <c r="D1257" s="31"/>
      <c r="E1257" s="426"/>
      <c r="F1257" s="402" t="s">
        <v>123</v>
      </c>
      <c r="G1257" s="470" t="s">
        <v>4288</v>
      </c>
      <c r="H1257"/>
      <c r="I1257" s="46">
        <f ca="1">'Ch7'!O388</f>
        <v>0</v>
      </c>
      <c r="J1257" s="580"/>
    </row>
    <row r="1258" spans="2:10" x14ac:dyDescent="0.35">
      <c r="B1258" t="str">
        <f>IF(LEN('Ch7'!H389)=0,"",'Ch7'!H389)</f>
        <v/>
      </c>
      <c r="C1258" t="str">
        <f t="shared" si="36"/>
        <v/>
      </c>
      <c r="D1258" s="31"/>
      <c r="E1258" s="426"/>
      <c r="F1258" s="402"/>
      <c r="G1258" s="470" t="s">
        <v>4289</v>
      </c>
      <c r="H1258"/>
      <c r="J1258" s="580"/>
    </row>
    <row r="1259" spans="2:10" x14ac:dyDescent="0.35">
      <c r="B1259" t="str">
        <f>IF(LEN('Ch7'!H390)=0,"",'Ch7'!H390)</f>
        <v/>
      </c>
      <c r="C1259" t="str">
        <f t="shared" si="36"/>
        <v/>
      </c>
      <c r="D1259" s="31"/>
      <c r="E1259" s="426"/>
      <c r="F1259" s="403"/>
      <c r="G1259" s="477" t="s">
        <v>4290</v>
      </c>
      <c r="H1259"/>
      <c r="J1259" s="580"/>
    </row>
    <row r="1260" spans="2:10" x14ac:dyDescent="0.35">
      <c r="B1260" t="str">
        <f>IF(LEN('Ch7'!H391)=0,"",'Ch7'!H391)</f>
        <v/>
      </c>
      <c r="C1260" t="str">
        <f t="shared" si="36"/>
        <v/>
      </c>
      <c r="D1260" s="31"/>
      <c r="E1260" s="426"/>
      <c r="F1260" s="402" t="s">
        <v>401</v>
      </c>
      <c r="G1260" s="825" t="s">
        <v>4291</v>
      </c>
      <c r="H1260"/>
      <c r="I1260" s="46">
        <f ca="1">'Ch7'!O391</f>
        <v>0</v>
      </c>
      <c r="J1260" s="580"/>
    </row>
    <row r="1261" spans="2:10" x14ac:dyDescent="0.35">
      <c r="B1261" t="str">
        <f>IF(LEN('Ch7'!H392)=0,"",'Ch7'!H392)</f>
        <v/>
      </c>
      <c r="C1261" t="str">
        <f t="shared" si="36"/>
        <v/>
      </c>
      <c r="D1261" s="31"/>
      <c r="E1261" s="426"/>
      <c r="F1261" s="402"/>
      <c r="G1261" s="825"/>
      <c r="H1261"/>
      <c r="J1261" s="580"/>
    </row>
    <row r="1262" spans="2:10" x14ac:dyDescent="0.35">
      <c r="B1262" t="str">
        <f>IF(LEN('Ch7'!H393)=0,"",'Ch7'!H393)</f>
        <v/>
      </c>
      <c r="C1262" t="str">
        <f t="shared" si="36"/>
        <v/>
      </c>
      <c r="D1262" s="31"/>
      <c r="E1262" s="426"/>
      <c r="F1262" s="402"/>
      <c r="G1262" s="825"/>
      <c r="H1262"/>
      <c r="J1262" s="580"/>
    </row>
    <row r="1263" spans="2:10" x14ac:dyDescent="0.35">
      <c r="B1263" t="str">
        <f>IF(LEN('Ch7'!H394)=0,"",'Ch7'!H394)</f>
        <v/>
      </c>
      <c r="C1263" t="str">
        <f t="shared" si="36"/>
        <v/>
      </c>
      <c r="D1263" s="31"/>
      <c r="E1263" s="426"/>
      <c r="F1263" s="31"/>
      <c r="G1263" s="470" t="s">
        <v>4292</v>
      </c>
      <c r="H1263"/>
      <c r="J1263" s="580"/>
    </row>
    <row r="1264" spans="2:10" x14ac:dyDescent="0.35">
      <c r="B1264" t="str">
        <f>IF(LEN('Ch7'!H395)=0,"",'Ch7'!H395)</f>
        <v/>
      </c>
      <c r="C1264" t="str">
        <f t="shared" si="36"/>
        <v/>
      </c>
      <c r="D1264" s="31"/>
      <c r="E1264" s="426"/>
      <c r="F1264" s="416"/>
      <c r="G1264" s="477" t="s">
        <v>4290</v>
      </c>
      <c r="H1264"/>
      <c r="J1264" s="580"/>
    </row>
    <row r="1265" spans="2:10" x14ac:dyDescent="0.35">
      <c r="B1265" t="str">
        <f>IF(LEN('Ch7'!H396)=0,"",'Ch7'!H396)</f>
        <v/>
      </c>
      <c r="C1265" t="str">
        <f t="shared" si="36"/>
        <v/>
      </c>
      <c r="D1265" s="31"/>
      <c r="E1265" s="487"/>
      <c r="F1265" s="402" t="s">
        <v>539</v>
      </c>
      <c r="G1265" s="825" t="s">
        <v>4293</v>
      </c>
      <c r="H1265"/>
      <c r="I1265" s="46">
        <f ca="1">'Ch7'!O396</f>
        <v>0</v>
      </c>
      <c r="J1265" s="580"/>
    </row>
    <row r="1266" spans="2:10" x14ac:dyDescent="0.35">
      <c r="B1266" t="str">
        <f>IF(LEN('Ch7'!H397)=0,"",'Ch7'!H397)</f>
        <v/>
      </c>
      <c r="C1266" t="str">
        <f t="shared" si="36"/>
        <v/>
      </c>
      <c r="D1266" s="31"/>
      <c r="E1266" s="487"/>
      <c r="F1266" s="402"/>
      <c r="G1266" s="825"/>
      <c r="H1266"/>
      <c r="J1266" s="580"/>
    </row>
    <row r="1267" spans="2:10" x14ac:dyDescent="0.35">
      <c r="B1267" t="str">
        <f>IF(LEN('Ch7'!H398)=0,"",'Ch7'!H398)</f>
        <v/>
      </c>
      <c r="C1267" t="str">
        <f t="shared" si="36"/>
        <v/>
      </c>
      <c r="D1267" s="31"/>
      <c r="E1267" s="487"/>
      <c r="F1267" s="402"/>
      <c r="G1267" s="470" t="s">
        <v>4294</v>
      </c>
      <c r="H1267"/>
      <c r="J1267" s="580"/>
    </row>
    <row r="1268" spans="2:10" x14ac:dyDescent="0.35">
      <c r="B1268" t="str">
        <f>IF(LEN('Ch7'!H399)=0,"",'Ch7'!H399)</f>
        <v/>
      </c>
      <c r="C1268" t="str">
        <f t="shared" si="36"/>
        <v/>
      </c>
      <c r="D1268" s="31"/>
      <c r="E1268" s="614"/>
      <c r="F1268" s="416"/>
      <c r="G1268" s="477" t="s">
        <v>4295</v>
      </c>
      <c r="H1268"/>
      <c r="J1268" s="580"/>
    </row>
    <row r="1269" spans="2:10" x14ac:dyDescent="0.35">
      <c r="B1269" t="str">
        <f>IF(LEN('Ch7'!H400)=0,"",'Ch7'!H400)</f>
        <v/>
      </c>
      <c r="C1269" t="str">
        <f t="shared" si="36"/>
        <v/>
      </c>
      <c r="D1269" s="31"/>
      <c r="E1269" s="426" t="s">
        <v>258</v>
      </c>
      <c r="F1269" s="487"/>
      <c r="G1269" s="90" t="s">
        <v>949</v>
      </c>
      <c r="H1269" s="400" t="str">
        <f>IF(LEN('Ch7'!W400)=0,"",'Ch7'!W400)</f>
        <v>(a)</v>
      </c>
      <c r="J1269" s="580"/>
    </row>
    <row r="1270" spans="2:10" x14ac:dyDescent="0.35">
      <c r="B1270" t="str">
        <f>IF(LEN('Ch7'!H401)=0,"",'Ch7'!H401)</f>
        <v/>
      </c>
      <c r="C1270" t="str">
        <f t="shared" si="36"/>
        <v/>
      </c>
      <c r="D1270" s="31"/>
      <c r="E1270" s="426"/>
      <c r="F1270" s="402" t="s">
        <v>121</v>
      </c>
      <c r="G1270" s="825" t="s">
        <v>4296</v>
      </c>
      <c r="H1270"/>
      <c r="I1270" s="46">
        <f ca="1">'Ch7'!O401</f>
        <v>1</v>
      </c>
      <c r="J1270" s="580"/>
    </row>
    <row r="1271" spans="2:10" x14ac:dyDescent="0.35">
      <c r="B1271" t="str">
        <f>IF(LEN('Ch7'!H402)=0,"",'Ch7'!H402)</f>
        <v/>
      </c>
      <c r="C1271" t="str">
        <f t="shared" si="36"/>
        <v/>
      </c>
      <c r="D1271" s="31"/>
      <c r="E1271" s="426"/>
      <c r="F1271" s="402"/>
      <c r="G1271" s="825"/>
      <c r="H1271" s="400">
        <f>IF(LEN('Ch7'!W402)=0,"",'Ch7'!W402)</f>
        <v>0.95</v>
      </c>
      <c r="J1271" s="580"/>
    </row>
    <row r="1272" spans="2:10" x14ac:dyDescent="0.35">
      <c r="B1272" t="str">
        <f>IF(LEN('Ch7'!H403)=0,"",'Ch7'!H403)</f>
        <v/>
      </c>
      <c r="C1272" t="str">
        <f t="shared" si="36"/>
        <v/>
      </c>
      <c r="D1272" s="31"/>
      <c r="E1272" s="426"/>
      <c r="F1272" s="31"/>
      <c r="G1272" s="477" t="s">
        <v>4297</v>
      </c>
      <c r="H1272"/>
      <c r="J1272" s="580"/>
    </row>
    <row r="1273" spans="2:10" x14ac:dyDescent="0.35">
      <c r="B1273" t="str">
        <f>IF(LEN('Ch7'!H404)=0,"",'Ch7'!H404)</f>
        <v/>
      </c>
      <c r="C1273" t="str">
        <f t="shared" si="36"/>
        <v/>
      </c>
      <c r="D1273" s="31"/>
      <c r="E1273" s="426"/>
      <c r="F1273" s="31"/>
      <c r="G1273" s="477" t="s">
        <v>4298</v>
      </c>
      <c r="H1273"/>
      <c r="J1273" s="580"/>
    </row>
    <row r="1274" spans="2:10" x14ac:dyDescent="0.35">
      <c r="B1274" t="str">
        <f>IF(LEN('Ch7'!H405)=0,"",'Ch7'!H405)</f>
        <v/>
      </c>
      <c r="C1274" t="str">
        <f t="shared" si="36"/>
        <v/>
      </c>
      <c r="D1274" s="31"/>
      <c r="E1274" s="426"/>
      <c r="F1274" s="31"/>
      <c r="G1274" s="477" t="s">
        <v>4299</v>
      </c>
      <c r="H1274"/>
      <c r="J1274" s="580"/>
    </row>
    <row r="1275" spans="2:10" x14ac:dyDescent="0.35">
      <c r="B1275" t="str">
        <f>IF(LEN('Ch7'!H406)=0,"",'Ch7'!H406)</f>
        <v/>
      </c>
      <c r="C1275" t="str">
        <f t="shared" si="36"/>
        <v/>
      </c>
      <c r="D1275" s="31"/>
      <c r="E1275" s="426"/>
      <c r="F1275" s="31"/>
      <c r="G1275" s="228" t="s">
        <v>4300</v>
      </c>
      <c r="H1275"/>
      <c r="J1275" s="580"/>
    </row>
    <row r="1276" spans="2:10" x14ac:dyDescent="0.35">
      <c r="B1276" t="str">
        <f>IF(LEN('Ch7'!H407)=0,"",'Ch7'!H407)</f>
        <v/>
      </c>
      <c r="C1276" t="str">
        <f t="shared" si="36"/>
        <v/>
      </c>
      <c r="D1276" s="31"/>
      <c r="E1276" s="426"/>
      <c r="F1276" s="31"/>
      <c r="G1276" s="228" t="s">
        <v>4301</v>
      </c>
      <c r="H1276"/>
      <c r="J1276" s="580"/>
    </row>
    <row r="1277" spans="2:10" x14ac:dyDescent="0.35">
      <c r="B1277" t="str">
        <f>IF(LEN('Ch7'!H408)=0,"",'Ch7'!H408)</f>
        <v/>
      </c>
      <c r="C1277" t="str">
        <f t="shared" si="36"/>
        <v/>
      </c>
      <c r="D1277" s="31"/>
      <c r="E1277" s="426"/>
      <c r="F1277" s="31"/>
      <c r="G1277" s="477" t="s">
        <v>4302</v>
      </c>
      <c r="H1277"/>
      <c r="J1277" s="580"/>
    </row>
    <row r="1278" spans="2:10" x14ac:dyDescent="0.35">
      <c r="B1278" t="str">
        <f>IF(LEN('Ch7'!H409)=0,"",'Ch7'!H409)</f>
        <v/>
      </c>
      <c r="C1278" t="str">
        <f t="shared" si="36"/>
        <v/>
      </c>
      <c r="D1278" s="31"/>
      <c r="E1278" s="426"/>
      <c r="F1278" s="403"/>
      <c r="G1278" s="228" t="s">
        <v>4303</v>
      </c>
      <c r="H1278"/>
      <c r="J1278" s="580"/>
    </row>
    <row r="1279" spans="2:10" x14ac:dyDescent="0.35">
      <c r="B1279" t="str">
        <f>IF(LEN('Ch7'!H410)=0,"",'Ch7'!H410)</f>
        <v/>
      </c>
      <c r="C1279" t="str">
        <f t="shared" si="36"/>
        <v/>
      </c>
      <c r="D1279" s="31"/>
      <c r="E1279" s="426"/>
      <c r="F1279" s="402" t="s">
        <v>122</v>
      </c>
      <c r="G1279" s="825" t="s">
        <v>4304</v>
      </c>
      <c r="H1279"/>
      <c r="I1279" s="46">
        <f ca="1">'Ch7'!O410</f>
        <v>0</v>
      </c>
      <c r="J1279" s="580"/>
    </row>
    <row r="1280" spans="2:10" x14ac:dyDescent="0.35">
      <c r="B1280" t="str">
        <f>IF(LEN('Ch7'!H411)=0,"",'Ch7'!H411)</f>
        <v/>
      </c>
      <c r="C1280" t="str">
        <f t="shared" si="36"/>
        <v/>
      </c>
      <c r="D1280" s="31"/>
      <c r="E1280" s="426"/>
      <c r="F1280" s="402"/>
      <c r="G1280" s="825"/>
      <c r="H1280"/>
      <c r="J1280" s="580"/>
    </row>
    <row r="1281" spans="1:10" x14ac:dyDescent="0.35">
      <c r="B1281" t="str">
        <f>IF(LEN('Ch7'!H412)=0,"",'Ch7'!H412)</f>
        <v/>
      </c>
      <c r="C1281" t="str">
        <f t="shared" si="36"/>
        <v/>
      </c>
      <c r="D1281" s="31"/>
      <c r="E1281" s="426"/>
      <c r="F1281" s="31"/>
      <c r="G1281" s="228" t="s">
        <v>4301</v>
      </c>
      <c r="H1281"/>
      <c r="J1281" s="580"/>
    </row>
    <row r="1282" spans="1:10" x14ac:dyDescent="0.35">
      <c r="B1282" t="str">
        <f>IF(LEN('Ch7'!H413)=0,"",'Ch7'!H413)</f>
        <v/>
      </c>
      <c r="C1282" t="str">
        <f t="shared" si="36"/>
        <v/>
      </c>
      <c r="D1282" s="31"/>
      <c r="E1282" s="426"/>
      <c r="F1282" s="402"/>
      <c r="G1282" s="228" t="s">
        <v>4302</v>
      </c>
      <c r="H1282"/>
      <c r="J1282" s="580"/>
    </row>
    <row r="1283" spans="1:10" x14ac:dyDescent="0.35">
      <c r="B1283" t="str">
        <f>IF(LEN('Ch7'!H414)=0,"",'Ch7'!H414)</f>
        <v/>
      </c>
      <c r="C1283" t="str">
        <f t="shared" si="36"/>
        <v/>
      </c>
      <c r="D1283" s="31"/>
      <c r="E1283" s="426"/>
      <c r="F1283" s="31"/>
      <c r="G1283" s="477" t="s">
        <v>4305</v>
      </c>
      <c r="H1283"/>
      <c r="J1283" s="580"/>
    </row>
    <row r="1284" spans="1:10" x14ac:dyDescent="0.35">
      <c r="B1284" t="str">
        <f>IF(LEN('Ch7'!H415)=0,"",'Ch7'!H415)</f>
        <v/>
      </c>
      <c r="C1284" t="str">
        <f t="shared" si="36"/>
        <v/>
      </c>
      <c r="D1284" s="31"/>
      <c r="E1284" s="426"/>
      <c r="F1284" s="403"/>
      <c r="G1284" s="228" t="s">
        <v>4306</v>
      </c>
      <c r="H1284"/>
      <c r="J1284" s="580"/>
    </row>
    <row r="1285" spans="1:10" x14ac:dyDescent="0.35">
      <c r="B1285" t="str">
        <f>IF(LEN('Ch7'!H416)=0,"",'Ch7'!H416)</f>
        <v/>
      </c>
      <c r="C1285" t="str">
        <f t="shared" si="36"/>
        <v/>
      </c>
      <c r="D1285" s="31"/>
      <c r="E1285" s="426"/>
      <c r="F1285" s="402" t="s">
        <v>123</v>
      </c>
      <c r="G1285" s="825" t="s">
        <v>4307</v>
      </c>
      <c r="H1285"/>
      <c r="I1285" s="46">
        <f ca="1">'Ch7'!O416</f>
        <v>0</v>
      </c>
      <c r="J1285" s="580"/>
    </row>
    <row r="1286" spans="1:10" x14ac:dyDescent="0.35">
      <c r="B1286" t="str">
        <f>IF(LEN('Ch7'!H417)=0,"",'Ch7'!H417)</f>
        <v/>
      </c>
      <c r="C1286" t="str">
        <f t="shared" si="36"/>
        <v/>
      </c>
      <c r="D1286" s="31"/>
      <c r="E1286" s="426"/>
      <c r="F1286" s="416"/>
      <c r="G1286" s="842"/>
      <c r="H1286"/>
      <c r="J1286" s="580"/>
    </row>
    <row r="1287" spans="1:10" x14ac:dyDescent="0.35">
      <c r="B1287" t="str">
        <f>IF(LEN('Ch7'!H418)=0,"",'Ch7'!H418)</f>
        <v/>
      </c>
      <c r="C1287" t="str">
        <f t="shared" si="36"/>
        <v/>
      </c>
      <c r="D1287" s="31"/>
      <c r="E1287" s="426"/>
      <c r="F1287" s="402" t="s">
        <v>401</v>
      </c>
      <c r="G1287" s="825" t="s">
        <v>4308</v>
      </c>
      <c r="H1287"/>
      <c r="I1287" s="46">
        <f ca="1">'Ch7'!O418</f>
        <v>0</v>
      </c>
      <c r="J1287" s="580"/>
    </row>
    <row r="1288" spans="1:10" x14ac:dyDescent="0.35">
      <c r="B1288" t="str">
        <f>IF(LEN('Ch7'!H419)=0,"",'Ch7'!H419)</f>
        <v/>
      </c>
      <c r="C1288" t="str">
        <f t="shared" si="36"/>
        <v/>
      </c>
      <c r="D1288" s="31"/>
      <c r="E1288" s="426"/>
      <c r="F1288" s="416"/>
      <c r="G1288" s="842"/>
      <c r="H1288"/>
      <c r="J1288" s="580"/>
    </row>
    <row r="1289" spans="1:10" x14ac:dyDescent="0.35">
      <c r="B1289" t="str">
        <f>IF(LEN('Ch7'!H420)=0,"",'Ch7'!H420)</f>
        <v/>
      </c>
      <c r="C1289" t="str">
        <f t="shared" si="36"/>
        <v/>
      </c>
      <c r="D1289" s="31"/>
      <c r="E1289" s="487"/>
      <c r="F1289" s="402" t="s">
        <v>539</v>
      </c>
      <c r="G1289" s="825" t="s">
        <v>4309</v>
      </c>
      <c r="H1289"/>
      <c r="I1289" s="46">
        <f ca="1">'Ch7'!O420</f>
        <v>0</v>
      </c>
      <c r="J1289" s="580"/>
    </row>
    <row r="1290" spans="1:10" x14ac:dyDescent="0.35">
      <c r="B1290" t="str">
        <f>IF(LEN('Ch7'!H421)=0,"",'Ch7'!H421)</f>
        <v/>
      </c>
      <c r="C1290" t="str">
        <f t="shared" si="36"/>
        <v/>
      </c>
      <c r="D1290" s="31"/>
      <c r="E1290" s="614"/>
      <c r="F1290" s="402"/>
      <c r="G1290" s="842"/>
      <c r="H1290"/>
      <c r="J1290" s="580"/>
    </row>
    <row r="1291" spans="1:10" x14ac:dyDescent="0.35">
      <c r="B1291" t="str">
        <f>IF(LEN('Ch7'!H422)=0,"",'Ch7'!H422)</f>
        <v/>
      </c>
      <c r="C1291" t="str">
        <f t="shared" si="36"/>
        <v/>
      </c>
      <c r="D1291" s="403"/>
      <c r="E1291" s="430" t="s">
        <v>260</v>
      </c>
      <c r="F1291" s="626"/>
      <c r="G1291" s="478" t="s">
        <v>4310</v>
      </c>
      <c r="H1291" s="400" t="str">
        <f>IF(LEN('Ch7'!W422)=0,"",'Ch7'!W422)</f>
        <v/>
      </c>
      <c r="I1291" s="46">
        <f ca="1">'Ch7'!O422</f>
        <v>0</v>
      </c>
      <c r="J1291" s="580"/>
    </row>
    <row r="1292" spans="1:10" x14ac:dyDescent="0.35">
      <c r="A1292" s="366" t="str">
        <f ca="1">IF(I1292&gt;0,"P","")</f>
        <v/>
      </c>
      <c r="B1292" t="str">
        <f>IF(LEN('Ch7'!H423)=0,"",'Ch7'!H423)</f>
        <v/>
      </c>
      <c r="C1292" t="str">
        <f t="shared" ca="1" si="36"/>
        <v/>
      </c>
      <c r="D1292" s="31" t="s">
        <v>950</v>
      </c>
      <c r="E1292" s="487"/>
      <c r="F1292" s="487"/>
      <c r="G1292" s="919" t="s">
        <v>951</v>
      </c>
      <c r="H1292" s="400" t="str">
        <f>IF(LEN('Ch7'!W423)=0,"",'Ch7'!W423)</f>
        <v/>
      </c>
      <c r="I1292" s="46">
        <f ca="1">'Ch7'!O423</f>
        <v>0</v>
      </c>
      <c r="J1292" s="975" t="s">
        <v>3918</v>
      </c>
    </row>
    <row r="1293" spans="1:10" x14ac:dyDescent="0.35">
      <c r="A1293" s="366" t="str">
        <f ca="1">A1292</f>
        <v/>
      </c>
      <c r="B1293" t="str">
        <f>IF(LEN('Ch7'!H424)=0,"",'Ch7'!H424)</f>
        <v/>
      </c>
      <c r="C1293" t="str">
        <f t="shared" ca="1" si="36"/>
        <v/>
      </c>
      <c r="D1293" s="403"/>
      <c r="E1293" s="614"/>
      <c r="F1293" s="614"/>
      <c r="G1293" s="920"/>
      <c r="H1293"/>
      <c r="J1293" s="976"/>
    </row>
    <row r="1294" spans="1:10" x14ac:dyDescent="0.35">
      <c r="A1294" s="366" t="str">
        <f ca="1">IF(I1294&gt;0,"P","")</f>
        <v/>
      </c>
      <c r="B1294" t="str">
        <f>IF(LEN('Ch7'!H425)=0,"",'Ch7'!H425)</f>
        <v/>
      </c>
      <c r="C1294" t="str">
        <f t="shared" ca="1" si="36"/>
        <v/>
      </c>
      <c r="D1294" s="31" t="s">
        <v>952</v>
      </c>
      <c r="E1294" s="487"/>
      <c r="F1294" s="487"/>
      <c r="G1294" s="95" t="s">
        <v>953</v>
      </c>
      <c r="H1294" s="400" t="str">
        <f>IF(LEN('Ch7'!W425)=0,"",'Ch7'!W425)</f>
        <v/>
      </c>
      <c r="I1294" s="46">
        <f ca="1">'Ch7'!O425</f>
        <v>0</v>
      </c>
      <c r="J1294" s="580" t="s">
        <v>3891</v>
      </c>
    </row>
    <row r="1295" spans="1:10" x14ac:dyDescent="0.35">
      <c r="B1295" t="str">
        <f>IF(LEN('Ch7'!H426)=0,"",'Ch7'!H426)</f>
        <v/>
      </c>
      <c r="C1295" t="str">
        <f t="shared" si="36"/>
        <v/>
      </c>
      <c r="D1295" s="619"/>
      <c r="E1295" s="614"/>
      <c r="F1295" s="614"/>
      <c r="G1295" s="142" t="s">
        <v>930</v>
      </c>
      <c r="H1295"/>
      <c r="J1295" s="580"/>
    </row>
    <row r="1296" spans="1:10" ht="15" customHeight="1" x14ac:dyDescent="0.35">
      <c r="A1296" s="366" t="str">
        <f ca="1">IF(I1296&gt;0,"P","")</f>
        <v/>
      </c>
      <c r="B1296" t="str">
        <f>IF(LEN('Ch7'!H427)=0,"",'Ch7'!H427)</f>
        <v/>
      </c>
      <c r="C1296" t="str">
        <f t="shared" ca="1" si="36"/>
        <v/>
      </c>
      <c r="D1296" s="403" t="s">
        <v>3633</v>
      </c>
      <c r="E1296" s="614"/>
      <c r="F1296" s="614"/>
      <c r="G1296" s="329" t="s">
        <v>954</v>
      </c>
      <c r="H1296" s="400" t="str">
        <f>IF(LEN('Ch7'!W427)=0,"",'Ch7'!W427)</f>
        <v/>
      </c>
      <c r="I1296" s="46">
        <f ca="1">'Ch7'!O427</f>
        <v>0</v>
      </c>
      <c r="J1296" s="580" t="s">
        <v>3891</v>
      </c>
    </row>
    <row r="1297" spans="1:10" x14ac:dyDescent="0.35">
      <c r="A1297" s="366" t="str">
        <f ca="1">IF(I1297&gt;0,"P","")</f>
        <v/>
      </c>
      <c r="B1297" t="str">
        <f>IF(LEN('Ch7'!H428)=0,"",'Ch7'!H428)</f>
        <v/>
      </c>
      <c r="C1297" t="str">
        <f t="shared" ca="1" si="36"/>
        <v/>
      </c>
      <c r="D1297" s="405" t="s">
        <v>955</v>
      </c>
      <c r="E1297" s="615"/>
      <c r="F1297" s="615"/>
      <c r="G1297" s="881" t="s">
        <v>4313</v>
      </c>
      <c r="H1297"/>
      <c r="I1297" s="433">
        <f ca="1">SUM(I1300:I1308)</f>
        <v>0</v>
      </c>
      <c r="J1297" s="580" t="s">
        <v>3919</v>
      </c>
    </row>
    <row r="1298" spans="1:10" x14ac:dyDescent="0.35">
      <c r="A1298" s="366" t="str">
        <f ca="1">A1297</f>
        <v/>
      </c>
      <c r="B1298" t="str">
        <f>IF(LEN('Ch7'!H429)=0,"",'Ch7'!H429)</f>
        <v/>
      </c>
      <c r="C1298" t="str">
        <f t="shared" ref="C1298:C1361" ca="1" si="37">IF(LEN(B1298)=0,IF(A1298="P","P",""),B1298)</f>
        <v/>
      </c>
      <c r="D1298" s="31"/>
      <c r="E1298" s="487"/>
      <c r="F1298" s="487"/>
      <c r="G1298" s="881"/>
      <c r="H1298" s="400" t="str">
        <f>IF(LEN('Ch7'!W429)=0,"",'Ch7'!W429)</f>
        <v/>
      </c>
      <c r="J1298" s="580"/>
    </row>
    <row r="1299" spans="1:10" x14ac:dyDescent="0.35">
      <c r="A1299" s="366" t="str">
        <f ca="1">A1298</f>
        <v/>
      </c>
      <c r="B1299" t="str">
        <f>IF(LEN('Ch7'!H430)=0,"",'Ch7'!H430)</f>
        <v/>
      </c>
      <c r="C1299" t="str">
        <f t="shared" ca="1" si="37"/>
        <v/>
      </c>
      <c r="D1299" s="31"/>
      <c r="E1299" s="487"/>
      <c r="F1299" s="487"/>
      <c r="G1299" s="881"/>
      <c r="H1299"/>
      <c r="J1299" s="580"/>
    </row>
    <row r="1300" spans="1:10" x14ac:dyDescent="0.35">
      <c r="B1300" t="str">
        <f>IF(LEN('Ch7'!H431)=0,"",'Ch7'!H431)</f>
        <v/>
      </c>
      <c r="C1300" t="str">
        <f t="shared" si="37"/>
        <v/>
      </c>
      <c r="D1300" s="31"/>
      <c r="E1300" s="487"/>
      <c r="F1300" s="402" t="s">
        <v>121</v>
      </c>
      <c r="G1300" s="825" t="s">
        <v>4311</v>
      </c>
      <c r="H1300" s="400" t="str">
        <f>IF(LEN('Ch7'!W431)=0,"",'Ch7'!W431)</f>
        <v/>
      </c>
      <c r="I1300" s="46">
        <f ca="1">'Ch7'!O431</f>
        <v>0</v>
      </c>
      <c r="J1300" s="580"/>
    </row>
    <row r="1301" spans="1:10" x14ac:dyDescent="0.35">
      <c r="B1301" t="str">
        <f>IF(LEN('Ch7'!H432)=0,"",'Ch7'!H432)</f>
        <v/>
      </c>
      <c r="C1301" t="str">
        <f t="shared" si="37"/>
        <v/>
      </c>
      <c r="D1301" s="31"/>
      <c r="E1301" s="487"/>
      <c r="F1301" s="402"/>
      <c r="G1301" s="825"/>
      <c r="H1301"/>
      <c r="J1301" s="580"/>
    </row>
    <row r="1302" spans="1:10" x14ac:dyDescent="0.35">
      <c r="B1302" t="str">
        <f>IF(LEN('Ch7'!H433)=0,"",'Ch7'!H433)</f>
        <v/>
      </c>
      <c r="C1302" t="str">
        <f t="shared" si="37"/>
        <v/>
      </c>
      <c r="D1302" s="31"/>
      <c r="F1302" s="31"/>
      <c r="G1302" s="477" t="s">
        <v>3636</v>
      </c>
      <c r="H1302"/>
      <c r="J1302" s="580"/>
    </row>
    <row r="1303" spans="1:10" x14ac:dyDescent="0.35">
      <c r="B1303" t="str">
        <f>IF(LEN('Ch7'!H434)=0,"",'Ch7'!H434)</f>
        <v/>
      </c>
      <c r="C1303" t="str">
        <f t="shared" si="37"/>
        <v/>
      </c>
      <c r="D1303" s="31"/>
      <c r="F1303" s="31"/>
      <c r="G1303" s="478" t="s">
        <v>3637</v>
      </c>
      <c r="H1303"/>
      <c r="J1303" s="580"/>
    </row>
    <row r="1304" spans="1:10" x14ac:dyDescent="0.35">
      <c r="B1304" t="str">
        <f>IF(LEN('Ch7'!H435)=0,"",'Ch7'!H435)</f>
        <v/>
      </c>
      <c r="C1304" t="str">
        <f t="shared" si="37"/>
        <v/>
      </c>
      <c r="D1304" s="31"/>
      <c r="F1304" s="31"/>
      <c r="G1304" s="478" t="s">
        <v>3638</v>
      </c>
      <c r="H1304"/>
      <c r="J1304" s="580"/>
    </row>
    <row r="1305" spans="1:10" x14ac:dyDescent="0.35">
      <c r="B1305" t="str">
        <f>IF(LEN('Ch7'!H436)=0,"",'Ch7'!H436)</f>
        <v/>
      </c>
      <c r="C1305" t="str">
        <f t="shared" si="37"/>
        <v/>
      </c>
      <c r="D1305" s="31"/>
      <c r="F1305" s="31"/>
      <c r="G1305" s="478" t="s">
        <v>3639</v>
      </c>
      <c r="H1305"/>
      <c r="J1305" s="580"/>
    </row>
    <row r="1306" spans="1:10" x14ac:dyDescent="0.35">
      <c r="B1306" t="str">
        <f>IF(LEN('Ch7'!H437)=0,"",'Ch7'!H437)</f>
        <v/>
      </c>
      <c r="C1306" t="str">
        <f t="shared" si="37"/>
        <v/>
      </c>
      <c r="D1306" s="31"/>
      <c r="F1306" s="403"/>
      <c r="G1306" s="477" t="s">
        <v>3640</v>
      </c>
      <c r="H1306"/>
      <c r="J1306" s="580"/>
    </row>
    <row r="1307" spans="1:10" x14ac:dyDescent="0.35">
      <c r="B1307" t="str">
        <f>IF(LEN('Ch7'!H438)=0,"",'Ch7'!H438)</f>
        <v/>
      </c>
      <c r="C1307" t="str">
        <f t="shared" si="37"/>
        <v/>
      </c>
      <c r="D1307" s="31"/>
      <c r="F1307" s="402" t="s">
        <v>122</v>
      </c>
      <c r="G1307" s="825" t="s">
        <v>4312</v>
      </c>
      <c r="H1307"/>
      <c r="I1307" s="46">
        <f ca="1">'Ch7'!O438</f>
        <v>0</v>
      </c>
      <c r="J1307" s="580"/>
    </row>
    <row r="1308" spans="1:10" x14ac:dyDescent="0.35">
      <c r="B1308" t="str">
        <f>IF(LEN('Ch7'!H439)=0,"",'Ch7'!H439)</f>
        <v/>
      </c>
      <c r="C1308" t="str">
        <f t="shared" si="37"/>
        <v/>
      </c>
      <c r="D1308" s="31"/>
      <c r="F1308" s="31"/>
      <c r="G1308" s="825"/>
      <c r="H1308"/>
      <c r="J1308" s="580"/>
    </row>
    <row r="1309" spans="1:10" x14ac:dyDescent="0.35">
      <c r="B1309" t="str">
        <f>IF(LEN('Ch7'!H440)=0,"",'Ch7'!H440)</f>
        <v/>
      </c>
      <c r="C1309" t="str">
        <f t="shared" si="37"/>
        <v/>
      </c>
      <c r="D1309" s="31"/>
      <c r="F1309" s="31"/>
      <c r="G1309" s="477" t="s">
        <v>3636</v>
      </c>
      <c r="H1309"/>
      <c r="J1309" s="580"/>
    </row>
    <row r="1310" spans="1:10" x14ac:dyDescent="0.35">
      <c r="B1310" t="str">
        <f>IF(LEN('Ch7'!H441)=0,"",'Ch7'!H441)</f>
        <v/>
      </c>
      <c r="C1310" t="str">
        <f t="shared" si="37"/>
        <v/>
      </c>
      <c r="D1310" s="31"/>
      <c r="F1310" s="402"/>
      <c r="G1310" s="478" t="s">
        <v>3637</v>
      </c>
      <c r="H1310"/>
      <c r="J1310" s="580"/>
    </row>
    <row r="1311" spans="1:10" x14ac:dyDescent="0.35">
      <c r="B1311" t="str">
        <f>IF(LEN('Ch7'!H442)=0,"",'Ch7'!H442)</f>
        <v/>
      </c>
      <c r="C1311" t="str">
        <f t="shared" si="37"/>
        <v/>
      </c>
      <c r="D1311" s="31"/>
      <c r="F1311" s="402"/>
      <c r="G1311" s="478" t="s">
        <v>3638</v>
      </c>
      <c r="H1311"/>
      <c r="J1311" s="580"/>
    </row>
    <row r="1312" spans="1:10" x14ac:dyDescent="0.35">
      <c r="B1312" t="str">
        <f>IF(LEN('Ch7'!H443)=0,"",'Ch7'!H443)</f>
        <v/>
      </c>
      <c r="C1312" t="str">
        <f t="shared" si="37"/>
        <v/>
      </c>
      <c r="D1312" s="31"/>
      <c r="F1312" s="402"/>
      <c r="G1312" s="478" t="s">
        <v>3639</v>
      </c>
      <c r="H1312"/>
      <c r="J1312" s="580"/>
    </row>
    <row r="1313" spans="1:10" ht="15" thickBot="1" x14ac:dyDescent="0.4">
      <c r="B1313" t="str">
        <f>IF(LEN('Ch7'!H444)=0,"",'Ch7'!H444)</f>
        <v/>
      </c>
      <c r="C1313" t="str">
        <f t="shared" si="37"/>
        <v/>
      </c>
      <c r="D1313" s="404"/>
      <c r="E1313" s="618"/>
      <c r="F1313" s="407"/>
      <c r="G1313" s="474" t="s">
        <v>3640</v>
      </c>
      <c r="H1313"/>
      <c r="J1313" s="580"/>
    </row>
    <row r="1314" spans="1:10" ht="15" thickTop="1" x14ac:dyDescent="0.35">
      <c r="A1314" s="727" t="str">
        <f ca="1">IF(COUNTIF(A1315:A1323,"P")&gt;0,"P","")</f>
        <v>P</v>
      </c>
      <c r="B1314" t="str">
        <f>IF(LEN('Ch7'!H445)=0,"",'Ch7'!H445)</f>
        <v/>
      </c>
      <c r="C1314" t="str">
        <f t="shared" ca="1" si="37"/>
        <v>P</v>
      </c>
      <c r="D1314" s="31">
        <v>703.6</v>
      </c>
      <c r="E1314" s="487"/>
      <c r="F1314" s="487"/>
      <c r="G1314" s="95" t="s">
        <v>956</v>
      </c>
      <c r="H1314"/>
      <c r="J1314" s="580"/>
    </row>
    <row r="1315" spans="1:10" ht="51.75" customHeight="1" x14ac:dyDescent="0.35">
      <c r="A1315" s="366" t="str">
        <f ca="1">IF(I1315&gt;0,"P","")</f>
        <v/>
      </c>
      <c r="B1315" t="str">
        <f>IF(LEN('Ch7'!H446)=0,"",'Ch7'!H446)</f>
        <v/>
      </c>
      <c r="C1315" t="str">
        <f t="shared" ca="1" si="37"/>
        <v/>
      </c>
      <c r="D1315" s="31" t="s">
        <v>957</v>
      </c>
      <c r="E1315" s="487"/>
      <c r="F1315" s="487"/>
      <c r="G1315" s="919" t="s">
        <v>958</v>
      </c>
      <c r="H1315"/>
      <c r="I1315" s="433">
        <f ca="1">SUM(I1317:I1321)</f>
        <v>0</v>
      </c>
      <c r="J1315" s="975" t="s">
        <v>5001</v>
      </c>
    </row>
    <row r="1316" spans="1:10" x14ac:dyDescent="0.35">
      <c r="A1316" s="366" t="str">
        <f ca="1">A1315</f>
        <v/>
      </c>
      <c r="B1316" t="str">
        <f>IF(LEN('Ch7'!H447)=0,"",'Ch7'!H447)</f>
        <v/>
      </c>
      <c r="C1316" t="str">
        <f t="shared" ca="1" si="37"/>
        <v/>
      </c>
      <c r="D1316" s="31"/>
      <c r="E1316" s="487"/>
      <c r="F1316" s="487"/>
      <c r="G1316" s="919"/>
      <c r="H1316"/>
      <c r="J1316" s="976"/>
    </row>
    <row r="1317" spans="1:10" ht="15" customHeight="1" x14ac:dyDescent="0.35">
      <c r="B1317" t="str">
        <f>IF(LEN('Ch7'!H448)=0,"",'Ch7'!H448)</f>
        <v/>
      </c>
      <c r="C1317" t="str">
        <f t="shared" si="37"/>
        <v/>
      </c>
      <c r="D1317" s="31"/>
      <c r="E1317" s="426" t="s">
        <v>256</v>
      </c>
      <c r="F1317" s="487"/>
      <c r="G1317" s="825" t="s">
        <v>5232</v>
      </c>
      <c r="H1317" s="400" t="str">
        <f>IF(LEN('Ch7'!W448)=0,"",'Ch7'!W448)</f>
        <v/>
      </c>
      <c r="I1317" s="46">
        <f ca="1">'Ch7'!O448</f>
        <v>0</v>
      </c>
      <c r="J1317" s="580"/>
    </row>
    <row r="1318" spans="1:10" x14ac:dyDescent="0.35">
      <c r="B1318" t="str">
        <f>IF(LEN('Ch7'!H449)=0,"",'Ch7'!H449)</f>
        <v/>
      </c>
      <c r="C1318" t="str">
        <f t="shared" si="37"/>
        <v/>
      </c>
      <c r="D1318" s="31"/>
      <c r="E1318" s="427"/>
      <c r="F1318" s="614"/>
      <c r="G1318" s="842"/>
      <c r="H1318"/>
      <c r="J1318" s="580"/>
    </row>
    <row r="1319" spans="1:10" x14ac:dyDescent="0.35">
      <c r="B1319" t="str">
        <f>IF(LEN('Ch7'!H450)=0,"",'Ch7'!H450)</f>
        <v/>
      </c>
      <c r="C1319" t="str">
        <f t="shared" si="37"/>
        <v/>
      </c>
      <c r="D1319" s="31"/>
      <c r="E1319" s="429" t="s">
        <v>258</v>
      </c>
      <c r="F1319" s="615"/>
      <c r="G1319" s="825" t="s">
        <v>4314</v>
      </c>
      <c r="H1319" s="400" t="str">
        <f>IF(LEN('Ch7'!W450)=0,"",'Ch7'!W450)</f>
        <v/>
      </c>
      <c r="I1319" s="46">
        <f ca="1">'Ch7'!O450</f>
        <v>0</v>
      </c>
      <c r="J1319" s="580"/>
    </row>
    <row r="1320" spans="1:10" x14ac:dyDescent="0.35">
      <c r="B1320" t="str">
        <f>IF(LEN('Ch7'!H451)=0,"",'Ch7'!H451)</f>
        <v/>
      </c>
      <c r="C1320" t="str">
        <f t="shared" si="37"/>
        <v/>
      </c>
      <c r="D1320" s="31"/>
      <c r="E1320" s="614"/>
      <c r="F1320" s="614"/>
      <c r="G1320" s="842"/>
      <c r="H1320"/>
      <c r="J1320" s="580"/>
    </row>
    <row r="1321" spans="1:10" x14ac:dyDescent="0.35">
      <c r="B1321" t="str">
        <f>IF(LEN('Ch7'!H452)=0,"",'Ch7'!H452)</f>
        <v/>
      </c>
      <c r="C1321" t="str">
        <f t="shared" si="37"/>
        <v/>
      </c>
      <c r="D1321" s="31"/>
      <c r="E1321" s="426" t="s">
        <v>260</v>
      </c>
      <c r="F1321" s="487"/>
      <c r="G1321" s="814" t="s">
        <v>959</v>
      </c>
      <c r="H1321" s="400" t="str">
        <f>IF(LEN('Ch7'!W452)=0,"",'Ch7'!W452)</f>
        <v/>
      </c>
      <c r="I1321" s="46">
        <f ca="1">'Ch7'!O452</f>
        <v>0</v>
      </c>
      <c r="J1321" s="580"/>
    </row>
    <row r="1322" spans="1:10" x14ac:dyDescent="0.35">
      <c r="B1322" t="str">
        <f>IF(LEN('Ch7'!H453)=0,"",'Ch7'!H453)</f>
        <v/>
      </c>
      <c r="C1322" t="str">
        <f t="shared" si="37"/>
        <v/>
      </c>
      <c r="D1322" s="403"/>
      <c r="E1322" s="614"/>
      <c r="F1322" s="614"/>
      <c r="G1322" s="815"/>
      <c r="H1322"/>
      <c r="J1322" s="580"/>
    </row>
    <row r="1323" spans="1:10" ht="52" x14ac:dyDescent="0.35">
      <c r="A1323" s="366" t="str">
        <f ca="1">IF(I1323&gt;0,"P","")</f>
        <v>P</v>
      </c>
      <c r="B1323" t="str">
        <f>IF(LEN('Ch7'!H454)=0,"",'Ch7'!H454)</f>
        <v/>
      </c>
      <c r="C1323" t="str">
        <f t="shared" ca="1" si="37"/>
        <v>P</v>
      </c>
      <c r="D1323" s="31" t="s">
        <v>960</v>
      </c>
      <c r="E1323" s="487"/>
      <c r="F1323" s="487"/>
      <c r="G1323" s="95" t="s">
        <v>961</v>
      </c>
      <c r="H1323"/>
      <c r="I1323" s="433">
        <f ca="1">SUM(I1324:I1326)</f>
        <v>6</v>
      </c>
      <c r="J1323" s="580" t="s">
        <v>5002</v>
      </c>
    </row>
    <row r="1324" spans="1:10" x14ac:dyDescent="0.35">
      <c r="B1324" t="str">
        <f>IF(LEN('Ch7'!H455)=0,"",'Ch7'!H455)</f>
        <v/>
      </c>
      <c r="C1324" t="str">
        <f t="shared" si="37"/>
        <v/>
      </c>
      <c r="D1324" s="31"/>
      <c r="E1324" s="427" t="s">
        <v>256</v>
      </c>
      <c r="F1324" s="614"/>
      <c r="G1324" s="346" t="s">
        <v>962</v>
      </c>
      <c r="H1324" s="400" t="b">
        <f>IF(LEN('Ch7'!W455)=0,"",'Ch7'!W455)</f>
        <v>1</v>
      </c>
      <c r="I1324" s="46">
        <f ca="1">'Ch7'!O455</f>
        <v>1</v>
      </c>
      <c r="J1324" s="580"/>
    </row>
    <row r="1325" spans="1:10" x14ac:dyDescent="0.35">
      <c r="B1325" t="str">
        <f>IF(LEN('Ch7'!H456)=0,"",'Ch7'!H456)</f>
        <v/>
      </c>
      <c r="C1325" t="str">
        <f t="shared" si="37"/>
        <v/>
      </c>
      <c r="D1325" s="31"/>
      <c r="E1325" s="430" t="s">
        <v>258</v>
      </c>
      <c r="F1325" s="626"/>
      <c r="G1325" s="178" t="s">
        <v>963</v>
      </c>
      <c r="H1325" s="400" t="b">
        <f>IF(LEN('Ch7'!W456)=0,"",'Ch7'!W456)</f>
        <v>1</v>
      </c>
      <c r="I1325" s="46">
        <f ca="1">'Ch7'!O456</f>
        <v>1</v>
      </c>
      <c r="J1325" s="580"/>
    </row>
    <row r="1326" spans="1:10" x14ac:dyDescent="0.35">
      <c r="B1326" t="str">
        <f>IF(LEN('Ch7'!H457)=0,"",'Ch7'!H457)</f>
        <v/>
      </c>
      <c r="C1326" t="str">
        <f t="shared" si="37"/>
        <v/>
      </c>
      <c r="D1326" s="31"/>
      <c r="E1326" s="426" t="s">
        <v>260</v>
      </c>
      <c r="F1326" s="487"/>
      <c r="G1326" s="90" t="s">
        <v>964</v>
      </c>
      <c r="H1326" s="400" t="b">
        <f>IF(LEN('Ch7'!W457)=0,"",'Ch7'!W457)</f>
        <v>1</v>
      </c>
      <c r="I1326" s="46">
        <f ca="1">'Ch7'!O457</f>
        <v>4</v>
      </c>
      <c r="J1326" s="580"/>
    </row>
    <row r="1327" spans="1:10" ht="15" thickBot="1" x14ac:dyDescent="0.4">
      <c r="B1327" t="str">
        <f>IF(LEN('Ch7'!H458)=0,"",'Ch7'!H458)</f>
        <v/>
      </c>
      <c r="C1327" t="str">
        <f t="shared" si="37"/>
        <v/>
      </c>
      <c r="D1327" s="404"/>
      <c r="E1327" s="432"/>
      <c r="F1327" s="575"/>
      <c r="G1327" s="606" t="s">
        <v>3626</v>
      </c>
      <c r="H1327"/>
      <c r="J1327" s="580"/>
    </row>
    <row r="1328" spans="1:10" ht="15" thickTop="1" x14ac:dyDescent="0.35">
      <c r="A1328" s="366" t="str">
        <f ca="1">IF(I1328&gt;0,"P","")</f>
        <v/>
      </c>
      <c r="B1328" t="str">
        <f>IF(LEN('Ch7'!H459)=0,"",'Ch7'!H459)</f>
        <v/>
      </c>
      <c r="C1328" t="str">
        <f t="shared" ca="1" si="37"/>
        <v/>
      </c>
      <c r="D1328" s="31">
        <v>703.7</v>
      </c>
      <c r="E1328" s="487"/>
      <c r="F1328" s="487"/>
      <c r="G1328" s="95" t="s">
        <v>965</v>
      </c>
      <c r="H1328"/>
      <c r="I1328" s="433">
        <f ca="1">SUM(I1329:I1386)</f>
        <v>0</v>
      </c>
      <c r="J1328" s="580"/>
    </row>
    <row r="1329" spans="1:10" x14ac:dyDescent="0.35">
      <c r="A1329" s="366" t="str">
        <f ca="1">IF(I1329&gt;0,"P","")</f>
        <v/>
      </c>
      <c r="B1329" t="str">
        <f>IF(LEN('Ch7'!H460)=0,"",'Ch7'!H460)</f>
        <v/>
      </c>
      <c r="C1329" t="str">
        <f t="shared" ca="1" si="37"/>
        <v/>
      </c>
      <c r="D1329" s="31" t="s">
        <v>966</v>
      </c>
      <c r="E1329" s="487"/>
      <c r="F1329" s="487"/>
      <c r="G1329" s="838" t="s">
        <v>967</v>
      </c>
      <c r="H1329" s="400" t="str">
        <f>IF(LEN('Ch7'!W460)=0,"",'Ch7'!W460)</f>
        <v/>
      </c>
      <c r="I1329" s="46">
        <f ca="1">'Ch7'!O460</f>
        <v>0</v>
      </c>
      <c r="J1329" s="580" t="s">
        <v>5003</v>
      </c>
    </row>
    <row r="1330" spans="1:10" x14ac:dyDescent="0.35">
      <c r="A1330" s="366" t="str">
        <f ca="1">A1329</f>
        <v/>
      </c>
      <c r="B1330" t="str">
        <f>IF(LEN('Ch7'!H461)=0,"",'Ch7'!H461)</f>
        <v/>
      </c>
      <c r="C1330" t="str">
        <f t="shared" ca="1" si="37"/>
        <v/>
      </c>
      <c r="D1330" s="31"/>
      <c r="E1330" s="487"/>
      <c r="F1330" s="487"/>
      <c r="G1330" s="838"/>
      <c r="H1330"/>
      <c r="J1330" s="580"/>
    </row>
    <row r="1331" spans="1:10" x14ac:dyDescent="0.35">
      <c r="B1331" t="str">
        <f>IF(LEN('Ch7'!H462)=0,"",'Ch7'!H462)</f>
        <v/>
      </c>
      <c r="C1331" t="str">
        <f t="shared" si="37"/>
        <v/>
      </c>
      <c r="D1331" s="31"/>
      <c r="E1331" s="426" t="s">
        <v>256</v>
      </c>
      <c r="F1331" s="487"/>
      <c r="G1331" s="814" t="s">
        <v>968</v>
      </c>
      <c r="H1331"/>
      <c r="J1331" s="580"/>
    </row>
    <row r="1332" spans="1:10" x14ac:dyDescent="0.35">
      <c r="B1332" t="str">
        <f>IF(LEN('Ch7'!H463)=0,"",'Ch7'!H463)</f>
        <v/>
      </c>
      <c r="C1332" t="str">
        <f t="shared" si="37"/>
        <v/>
      </c>
      <c r="D1332" s="31"/>
      <c r="E1332" s="427"/>
      <c r="F1332" s="614"/>
      <c r="G1332" s="815"/>
      <c r="H1332"/>
      <c r="J1332" s="580"/>
    </row>
    <row r="1333" spans="1:10" x14ac:dyDescent="0.35">
      <c r="B1333" t="str">
        <f>IF(LEN('Ch7'!H464)=0,"",'Ch7'!H464)</f>
        <v/>
      </c>
      <c r="C1333" t="str">
        <f t="shared" si="37"/>
        <v/>
      </c>
      <c r="D1333" s="31"/>
      <c r="E1333" s="429" t="s">
        <v>258</v>
      </c>
      <c r="F1333" s="615"/>
      <c r="G1333" s="828" t="s">
        <v>4315</v>
      </c>
      <c r="H1333"/>
      <c r="J1333" s="580"/>
    </row>
    <row r="1334" spans="1:10" x14ac:dyDescent="0.35">
      <c r="B1334" t="str">
        <f>IF(LEN('Ch7'!H465)=0,"",'Ch7'!H465)</f>
        <v/>
      </c>
      <c r="C1334" t="str">
        <f t="shared" si="37"/>
        <v/>
      </c>
      <c r="D1334" s="31"/>
      <c r="E1334" s="427"/>
      <c r="F1334" s="614"/>
      <c r="G1334" s="842"/>
      <c r="H1334"/>
      <c r="J1334" s="580"/>
    </row>
    <row r="1335" spans="1:10" x14ac:dyDescent="0.35">
      <c r="B1335" t="str">
        <f>IF(LEN('Ch7'!H466)=0,"",'Ch7'!H466)</f>
        <v/>
      </c>
      <c r="C1335" t="str">
        <f t="shared" si="37"/>
        <v/>
      </c>
      <c r="D1335" s="31"/>
      <c r="E1335" s="429" t="s">
        <v>260</v>
      </c>
      <c r="F1335" s="615"/>
      <c r="G1335" s="825" t="s">
        <v>4316</v>
      </c>
      <c r="H1335"/>
      <c r="J1335" s="580"/>
    </row>
    <row r="1336" spans="1:10" x14ac:dyDescent="0.35">
      <c r="B1336" t="str">
        <f>IF(LEN('Ch7'!H467)=0,"",'Ch7'!H467)</f>
        <v/>
      </c>
      <c r="C1336" t="str">
        <f t="shared" si="37"/>
        <v/>
      </c>
      <c r="D1336" s="31"/>
      <c r="E1336" s="614"/>
      <c r="F1336" s="614"/>
      <c r="G1336" s="842"/>
      <c r="H1336"/>
      <c r="J1336" s="580"/>
    </row>
    <row r="1337" spans="1:10" x14ac:dyDescent="0.35">
      <c r="B1337" t="str">
        <f>IF(LEN('Ch7'!H468)=0,"",'Ch7'!H468)</f>
        <v/>
      </c>
      <c r="C1337" t="str">
        <f t="shared" si="37"/>
        <v/>
      </c>
      <c r="D1337" s="31"/>
      <c r="E1337" s="429" t="s">
        <v>269</v>
      </c>
      <c r="F1337" s="615"/>
      <c r="G1337" s="825" t="s">
        <v>4317</v>
      </c>
      <c r="H1337"/>
      <c r="J1337" s="580"/>
    </row>
    <row r="1338" spans="1:10" x14ac:dyDescent="0.35">
      <c r="B1338" t="str">
        <f>IF(LEN('Ch7'!H469)=0,"",'Ch7'!H469)</f>
        <v/>
      </c>
      <c r="C1338" t="str">
        <f t="shared" si="37"/>
        <v/>
      </c>
      <c r="D1338" s="31"/>
      <c r="E1338" s="614"/>
      <c r="F1338" s="614"/>
      <c r="G1338" s="842"/>
      <c r="H1338"/>
      <c r="J1338" s="580"/>
    </row>
    <row r="1339" spans="1:10" x14ac:dyDescent="0.35">
      <c r="B1339" t="str">
        <f>IF(LEN('Ch7'!H470)=0,"",'Ch7'!H470)</f>
        <v/>
      </c>
      <c r="C1339" t="str">
        <f t="shared" si="37"/>
        <v/>
      </c>
      <c r="D1339" s="31"/>
      <c r="E1339" s="429" t="s">
        <v>275</v>
      </c>
      <c r="F1339" s="615"/>
      <c r="G1339" s="825" t="s">
        <v>4318</v>
      </c>
      <c r="H1339"/>
      <c r="J1339" s="580"/>
    </row>
    <row r="1340" spans="1:10" x14ac:dyDescent="0.35">
      <c r="B1340" t="str">
        <f>IF(LEN('Ch7'!H471)=0,"",'Ch7'!H471)</f>
        <v/>
      </c>
      <c r="C1340" t="str">
        <f t="shared" si="37"/>
        <v/>
      </c>
      <c r="D1340" s="31"/>
      <c r="E1340" s="614"/>
      <c r="F1340" s="614"/>
      <c r="G1340" s="842"/>
      <c r="H1340"/>
      <c r="J1340" s="580"/>
    </row>
    <row r="1341" spans="1:10" x14ac:dyDescent="0.35">
      <c r="B1341" t="str">
        <f>IF(LEN('Ch7'!H472)=0,"",'Ch7'!H472)</f>
        <v/>
      </c>
      <c r="C1341" t="str">
        <f t="shared" si="37"/>
        <v/>
      </c>
      <c r="D1341" s="31"/>
      <c r="E1341" s="426" t="s">
        <v>277</v>
      </c>
      <c r="F1341" s="487"/>
      <c r="G1341" s="90" t="s">
        <v>969</v>
      </c>
      <c r="H1341"/>
      <c r="J1341" s="580"/>
    </row>
    <row r="1342" spans="1:10" x14ac:dyDescent="0.35">
      <c r="B1342" t="str">
        <f>IF(LEN('Ch7'!H473)=0,"",'Ch7'!H473)</f>
        <v/>
      </c>
      <c r="C1342" t="str">
        <f t="shared" si="37"/>
        <v/>
      </c>
      <c r="D1342" s="31"/>
      <c r="E1342" s="487"/>
      <c r="F1342" s="426" t="s">
        <v>121</v>
      </c>
      <c r="G1342" s="90" t="s">
        <v>4319</v>
      </c>
      <c r="H1342"/>
      <c r="J1342" s="580"/>
    </row>
    <row r="1343" spans="1:10" x14ac:dyDescent="0.35">
      <c r="B1343" t="str">
        <f>IF(LEN('Ch7'!H474)=0,"",'Ch7'!H474)</f>
        <v/>
      </c>
      <c r="C1343" t="str">
        <f t="shared" si="37"/>
        <v/>
      </c>
      <c r="D1343" s="31"/>
      <c r="E1343" s="487"/>
      <c r="F1343" s="426" t="s">
        <v>122</v>
      </c>
      <c r="G1343" s="90" t="s">
        <v>970</v>
      </c>
      <c r="H1343"/>
      <c r="J1343" s="580"/>
    </row>
    <row r="1344" spans="1:10" x14ac:dyDescent="0.35">
      <c r="B1344" t="str">
        <f>IF(LEN('Ch7'!H475)=0,"",'Ch7'!H475)</f>
        <v/>
      </c>
      <c r="C1344" t="str">
        <f t="shared" si="37"/>
        <v/>
      </c>
      <c r="D1344" s="31"/>
      <c r="E1344" s="487"/>
      <c r="F1344" s="428" t="s">
        <v>123</v>
      </c>
      <c r="G1344" s="814" t="s">
        <v>971</v>
      </c>
      <c r="H1344"/>
      <c r="J1344" s="580"/>
    </row>
    <row r="1345" spans="1:10" x14ac:dyDescent="0.35">
      <c r="B1345" t="str">
        <f>IF(LEN('Ch7'!H476)=0,"",'Ch7'!H476)</f>
        <v/>
      </c>
      <c r="C1345" t="str">
        <f t="shared" si="37"/>
        <v/>
      </c>
      <c r="D1345" s="31"/>
      <c r="E1345" s="614"/>
      <c r="F1345" s="614"/>
      <c r="G1345" s="815"/>
      <c r="H1345"/>
      <c r="J1345" s="580"/>
    </row>
    <row r="1346" spans="1:10" x14ac:dyDescent="0.35">
      <c r="B1346" t="str">
        <f>IF(LEN('Ch7'!H477)=0,"",'Ch7'!H477)</f>
        <v/>
      </c>
      <c r="C1346" t="str">
        <f t="shared" si="37"/>
        <v/>
      </c>
      <c r="D1346" s="31"/>
      <c r="E1346" s="429" t="s">
        <v>383</v>
      </c>
      <c r="F1346" s="615"/>
      <c r="G1346" s="836" t="s">
        <v>3628</v>
      </c>
      <c r="H1346"/>
      <c r="J1346" s="580"/>
    </row>
    <row r="1347" spans="1:10" x14ac:dyDescent="0.35">
      <c r="B1347" t="str">
        <f>IF(LEN('Ch7'!H478)=0,"",'Ch7'!H478)</f>
        <v/>
      </c>
      <c r="C1347" t="str">
        <f t="shared" si="37"/>
        <v/>
      </c>
      <c r="D1347" s="31"/>
      <c r="E1347" s="487"/>
      <c r="F1347" s="487"/>
      <c r="G1347" s="814"/>
      <c r="H1347"/>
      <c r="J1347" s="580"/>
    </row>
    <row r="1348" spans="1:10" x14ac:dyDescent="0.35">
      <c r="B1348" t="str">
        <f>IF(LEN('Ch7'!H479)=0,"",'Ch7'!H479)</f>
        <v/>
      </c>
      <c r="C1348" t="str">
        <f t="shared" si="37"/>
        <v/>
      </c>
      <c r="D1348" s="31"/>
      <c r="E1348" s="614"/>
      <c r="F1348" s="614"/>
      <c r="G1348" s="323" t="s">
        <v>3629</v>
      </c>
      <c r="H1348"/>
      <c r="J1348" s="580"/>
    </row>
    <row r="1349" spans="1:10" x14ac:dyDescent="0.35">
      <c r="B1349" t="str">
        <f>IF(LEN('Ch7'!H480)=0,"",'Ch7'!H480)</f>
        <v/>
      </c>
      <c r="C1349" t="str">
        <f t="shared" si="37"/>
        <v/>
      </c>
      <c r="D1349" s="31"/>
      <c r="E1349" s="430" t="s">
        <v>428</v>
      </c>
      <c r="F1349" s="626"/>
      <c r="G1349" s="178" t="s">
        <v>972</v>
      </c>
      <c r="H1349"/>
      <c r="J1349" s="580"/>
    </row>
    <row r="1350" spans="1:10" x14ac:dyDescent="0.35">
      <c r="B1350" t="str">
        <f>IF(LEN('Ch7'!H481)=0,"",'Ch7'!H481)</f>
        <v/>
      </c>
      <c r="C1350" t="str">
        <f t="shared" si="37"/>
        <v/>
      </c>
      <c r="D1350" s="31"/>
      <c r="E1350" s="426" t="s">
        <v>430</v>
      </c>
      <c r="F1350" s="487"/>
      <c r="G1350" s="90" t="s">
        <v>973</v>
      </c>
      <c r="H1350"/>
      <c r="J1350" s="580"/>
    </row>
    <row r="1351" spans="1:10" x14ac:dyDescent="0.35">
      <c r="B1351" t="str">
        <f>IF(LEN('Ch7'!H482)=0,"",'Ch7'!H482)</f>
        <v/>
      </c>
      <c r="C1351" t="str">
        <f t="shared" si="37"/>
        <v/>
      </c>
      <c r="D1351" s="31"/>
      <c r="E1351" s="487"/>
      <c r="F1351" s="487"/>
      <c r="G1351" s="984" t="s">
        <v>4320</v>
      </c>
      <c r="H1351"/>
      <c r="J1351" s="580"/>
    </row>
    <row r="1352" spans="1:10" x14ac:dyDescent="0.35">
      <c r="B1352" t="str">
        <f>IF(LEN('Ch7'!H483)=0,"",'Ch7'!H483)</f>
        <v/>
      </c>
      <c r="C1352" t="str">
        <f t="shared" si="37"/>
        <v/>
      </c>
      <c r="D1352" s="31"/>
      <c r="E1352" s="487"/>
      <c r="F1352" s="487"/>
      <c r="G1352" s="984"/>
      <c r="H1352"/>
      <c r="J1352" s="580"/>
    </row>
    <row r="1353" spans="1:10" x14ac:dyDescent="0.35">
      <c r="B1353" t="str">
        <f>IF(LEN('Ch7'!H484)=0,"",'Ch7'!H484)</f>
        <v/>
      </c>
      <c r="C1353" t="str">
        <f t="shared" si="37"/>
        <v/>
      </c>
      <c r="D1353" s="31"/>
      <c r="E1353" s="487"/>
      <c r="F1353" s="487"/>
      <c r="G1353" s="984"/>
      <c r="H1353"/>
      <c r="J1353" s="580"/>
    </row>
    <row r="1354" spans="1:10" x14ac:dyDescent="0.35">
      <c r="B1354" t="str">
        <f>IF(LEN('Ch7'!H485)=0,"",'Ch7'!H485)</f>
        <v/>
      </c>
      <c r="C1354" t="str">
        <f t="shared" si="37"/>
        <v/>
      </c>
      <c r="D1354" s="31"/>
      <c r="E1354" s="487"/>
      <c r="F1354" s="487"/>
      <c r="G1354" s="984"/>
      <c r="H1354"/>
      <c r="J1354" s="580"/>
    </row>
    <row r="1355" spans="1:10" x14ac:dyDescent="0.35">
      <c r="B1355" t="str">
        <f>IF(LEN('Ch7'!H486)=0,"",'Ch7'!H486)</f>
        <v/>
      </c>
      <c r="C1355" t="str">
        <f t="shared" si="37"/>
        <v/>
      </c>
      <c r="D1355" s="403"/>
      <c r="E1355" s="614"/>
      <c r="F1355" s="614"/>
      <c r="G1355" s="987"/>
      <c r="H1355"/>
      <c r="J1355" s="580"/>
    </row>
    <row r="1356" spans="1:10" x14ac:dyDescent="0.35">
      <c r="A1356" s="366" t="str">
        <f ca="1">IF(I1356&gt;0,"P","")</f>
        <v/>
      </c>
      <c r="B1356" t="str">
        <f>IF(LEN('Ch7'!H487)=0,"",'Ch7'!H487)</f>
        <v/>
      </c>
      <c r="C1356" t="str">
        <f t="shared" ca="1" si="37"/>
        <v/>
      </c>
      <c r="D1356" s="405" t="s">
        <v>974</v>
      </c>
      <c r="E1356" s="615"/>
      <c r="F1356" s="615"/>
      <c r="G1356" s="905" t="s">
        <v>975</v>
      </c>
      <c r="H1356" s="400" t="str">
        <f>IF(LEN('Ch7'!W487)=0,"",'Ch7'!W487)</f>
        <v/>
      </c>
      <c r="I1356" s="46">
        <f ca="1">'Ch7'!O487</f>
        <v>0</v>
      </c>
      <c r="J1356" s="580" t="s">
        <v>3891</v>
      </c>
    </row>
    <row r="1357" spans="1:10" x14ac:dyDescent="0.35">
      <c r="A1357" s="366" t="str">
        <f ca="1">A1356</f>
        <v/>
      </c>
      <c r="B1357" t="str">
        <f>IF(LEN('Ch7'!H488)=0,"",'Ch7'!H488)</f>
        <v/>
      </c>
      <c r="C1357" t="str">
        <f t="shared" ca="1" si="37"/>
        <v/>
      </c>
      <c r="D1357" s="403"/>
      <c r="E1357" s="614"/>
      <c r="F1357" s="614"/>
      <c r="G1357" s="889"/>
      <c r="H1357"/>
      <c r="J1357" s="580"/>
    </row>
    <row r="1358" spans="1:10" x14ac:dyDescent="0.35">
      <c r="A1358" s="366" t="str">
        <f ca="1">IF(I1358&gt;0,"P","")</f>
        <v/>
      </c>
      <c r="B1358" t="str">
        <f>IF(LEN('Ch7'!H489)=0,"",'Ch7'!H489)</f>
        <v/>
      </c>
      <c r="C1358" t="str">
        <f t="shared" ca="1" si="37"/>
        <v/>
      </c>
      <c r="D1358" s="31" t="s">
        <v>976</v>
      </c>
      <c r="E1358" s="487"/>
      <c r="F1358" s="487"/>
      <c r="G1358" s="838" t="s">
        <v>977</v>
      </c>
      <c r="H1358"/>
      <c r="I1358" s="46">
        <f ca="1">'Ch7'!O489</f>
        <v>0</v>
      </c>
      <c r="J1358" s="975" t="s">
        <v>3920</v>
      </c>
    </row>
    <row r="1359" spans="1:10" x14ac:dyDescent="0.35">
      <c r="A1359" s="366" t="str">
        <f ca="1">A1358</f>
        <v/>
      </c>
      <c r="B1359" t="str">
        <f>IF(LEN('Ch7'!H490)=0,"",'Ch7'!H490)</f>
        <v/>
      </c>
      <c r="C1359" t="str">
        <f t="shared" ca="1" si="37"/>
        <v/>
      </c>
      <c r="D1359" s="31"/>
      <c r="E1359" s="487"/>
      <c r="F1359" s="487"/>
      <c r="G1359" s="838"/>
      <c r="H1359"/>
      <c r="J1359" s="976"/>
    </row>
    <row r="1360" spans="1:10" x14ac:dyDescent="0.35">
      <c r="B1360" t="str">
        <f>IF(LEN('Ch7'!H491)=0,"",'Ch7'!H491)</f>
        <v/>
      </c>
      <c r="C1360" t="str">
        <f t="shared" si="37"/>
        <v/>
      </c>
      <c r="D1360" s="31"/>
      <c r="E1360" s="487"/>
      <c r="F1360" s="487"/>
      <c r="G1360" s="92" t="s">
        <v>978</v>
      </c>
      <c r="H1360"/>
      <c r="J1360" s="580"/>
    </row>
    <row r="1361" spans="2:10" x14ac:dyDescent="0.35">
      <c r="B1361" t="str">
        <f>IF(LEN('Ch7'!H492)=0,"",'Ch7'!H492)</f>
        <v/>
      </c>
      <c r="C1361" t="str">
        <f t="shared" si="37"/>
        <v/>
      </c>
      <c r="D1361" s="31"/>
      <c r="E1361" s="487"/>
      <c r="F1361" s="487"/>
      <c r="G1361" s="92" t="s">
        <v>979</v>
      </c>
      <c r="H1361"/>
      <c r="J1361" s="580"/>
    </row>
    <row r="1362" spans="2:10" x14ac:dyDescent="0.35">
      <c r="B1362" t="str">
        <f>IF(LEN('Ch7'!H493)=0,"",'Ch7'!H493)</f>
        <v/>
      </c>
      <c r="C1362" t="str">
        <f t="shared" ref="C1362:C1425" si="38">IF(LEN(B1362)=0,IF(A1362="P","P",""),B1362)</f>
        <v/>
      </c>
      <c r="D1362" s="31"/>
      <c r="E1362" s="426" t="s">
        <v>256</v>
      </c>
      <c r="F1362" s="487"/>
      <c r="G1362" s="814" t="s">
        <v>980</v>
      </c>
      <c r="H1362"/>
      <c r="J1362" s="580"/>
    </row>
    <row r="1363" spans="2:10" x14ac:dyDescent="0.35">
      <c r="B1363" t="str">
        <f>IF(LEN('Ch7'!H494)=0,"",'Ch7'!H494)</f>
        <v/>
      </c>
      <c r="C1363" t="str">
        <f t="shared" si="38"/>
        <v/>
      </c>
      <c r="D1363" s="31"/>
      <c r="E1363" s="487"/>
      <c r="F1363" s="487"/>
      <c r="G1363" s="814"/>
      <c r="H1363"/>
      <c r="J1363" s="580"/>
    </row>
    <row r="1364" spans="2:10" x14ac:dyDescent="0.35">
      <c r="B1364" t="str">
        <f>IF(LEN('Ch7'!H495)=0,"",'Ch7'!H495)</f>
        <v/>
      </c>
      <c r="C1364" t="str">
        <f t="shared" si="38"/>
        <v/>
      </c>
      <c r="D1364" s="31"/>
      <c r="E1364" s="487"/>
      <c r="F1364" s="426" t="s">
        <v>121</v>
      </c>
      <c r="G1364" s="814" t="s">
        <v>981</v>
      </c>
      <c r="H1364" s="400" t="str">
        <f>IF(LEN('Ch7'!W495)=0,"",'Ch7'!W495)</f>
        <v/>
      </c>
      <c r="J1364" s="580"/>
    </row>
    <row r="1365" spans="2:10" x14ac:dyDescent="0.35">
      <c r="B1365" t="str">
        <f>IF(LEN('Ch7'!H496)=0,"",'Ch7'!H496)</f>
        <v/>
      </c>
      <c r="C1365" t="str">
        <f t="shared" si="38"/>
        <v/>
      </c>
      <c r="D1365" s="31"/>
      <c r="E1365" s="487"/>
      <c r="F1365" s="487"/>
      <c r="G1365" s="814"/>
      <c r="H1365"/>
      <c r="J1365" s="580"/>
    </row>
    <row r="1366" spans="2:10" x14ac:dyDescent="0.35">
      <c r="B1366" t="str">
        <f>IF(LEN('Ch7'!H497)=0,"",'Ch7'!H497)</f>
        <v/>
      </c>
      <c r="C1366" t="str">
        <f t="shared" si="38"/>
        <v/>
      </c>
      <c r="D1366" s="31"/>
      <c r="E1366" s="487"/>
      <c r="F1366" s="426" t="s">
        <v>122</v>
      </c>
      <c r="G1366" s="90" t="s">
        <v>982</v>
      </c>
      <c r="H1366" s="400" t="str">
        <f>IF(LEN('Ch7'!W497)=0,"",'Ch7'!W497)</f>
        <v/>
      </c>
      <c r="J1366" s="580"/>
    </row>
    <row r="1367" spans="2:10" x14ac:dyDescent="0.35">
      <c r="B1367" t="str">
        <f>IF(LEN('Ch7'!H498)=0,"",'Ch7'!H498)</f>
        <v/>
      </c>
      <c r="C1367" t="str">
        <f t="shared" si="38"/>
        <v/>
      </c>
      <c r="D1367" s="31"/>
      <c r="E1367" s="487"/>
      <c r="F1367" s="428" t="s">
        <v>123</v>
      </c>
      <c r="G1367" s="90" t="s">
        <v>983</v>
      </c>
      <c r="H1367" s="400" t="str">
        <f>IF(LEN('Ch7'!W498)=0,"",'Ch7'!W498)</f>
        <v/>
      </c>
      <c r="J1367" s="580"/>
    </row>
    <row r="1368" spans="2:10" x14ac:dyDescent="0.35">
      <c r="B1368" t="str">
        <f>IF(LEN('Ch7'!H499)=0,"",'Ch7'!H499)</f>
        <v/>
      </c>
      <c r="C1368" t="str">
        <f t="shared" si="38"/>
        <v/>
      </c>
      <c r="D1368" s="31"/>
      <c r="E1368" s="487"/>
      <c r="F1368" s="487" t="s">
        <v>401</v>
      </c>
      <c r="G1368" s="814" t="s">
        <v>984</v>
      </c>
      <c r="H1368" s="400" t="str">
        <f>IF(LEN('Ch7'!W499)=0,"",'Ch7'!W499)</f>
        <v/>
      </c>
      <c r="J1368" s="580"/>
    </row>
    <row r="1369" spans="2:10" x14ac:dyDescent="0.35">
      <c r="B1369" t="str">
        <f>IF(LEN('Ch7'!H500)=0,"",'Ch7'!H500)</f>
        <v/>
      </c>
      <c r="C1369" t="str">
        <f t="shared" si="38"/>
        <v/>
      </c>
      <c r="D1369" s="31"/>
      <c r="E1369" s="614"/>
      <c r="F1369" s="614"/>
      <c r="G1369" s="815"/>
      <c r="H1369"/>
      <c r="J1369" s="580"/>
    </row>
    <row r="1370" spans="2:10" x14ac:dyDescent="0.35">
      <c r="B1370" t="str">
        <f>IF(LEN('Ch7'!H501)=0,"",'Ch7'!H501)</f>
        <v/>
      </c>
      <c r="C1370" t="str">
        <f t="shared" si="38"/>
        <v/>
      </c>
      <c r="D1370" s="31"/>
      <c r="E1370" s="426" t="s">
        <v>258</v>
      </c>
      <c r="F1370" s="487"/>
      <c r="G1370" s="814" t="s">
        <v>985</v>
      </c>
      <c r="H1370" s="400" t="str">
        <f>IF(LEN('Ch7'!W501)=0,"",'Ch7'!W501)</f>
        <v/>
      </c>
      <c r="J1370" s="580"/>
    </row>
    <row r="1371" spans="2:10" x14ac:dyDescent="0.35">
      <c r="B1371" t="str">
        <f>IF(LEN('Ch7'!H502)=0,"",'Ch7'!H502)</f>
        <v/>
      </c>
      <c r="C1371" t="str">
        <f t="shared" si="38"/>
        <v/>
      </c>
      <c r="D1371" s="31"/>
      <c r="E1371" s="487"/>
      <c r="F1371" s="487"/>
      <c r="G1371" s="814"/>
      <c r="H1371"/>
      <c r="J1371" s="580"/>
    </row>
    <row r="1372" spans="2:10" x14ac:dyDescent="0.35">
      <c r="B1372" t="str">
        <f>IF(LEN('Ch7'!H503)=0,"",'Ch7'!H503)</f>
        <v/>
      </c>
      <c r="C1372" t="str">
        <f t="shared" si="38"/>
        <v/>
      </c>
      <c r="D1372" s="31"/>
      <c r="E1372" s="614"/>
      <c r="F1372" s="614"/>
      <c r="G1372" s="142" t="s">
        <v>986</v>
      </c>
      <c r="H1372"/>
      <c r="J1372" s="580"/>
    </row>
    <row r="1373" spans="2:10" x14ac:dyDescent="0.35">
      <c r="B1373" t="str">
        <f>IF(LEN('Ch7'!H504)=0,"",'Ch7'!H504)</f>
        <v/>
      </c>
      <c r="C1373" t="str">
        <f t="shared" si="38"/>
        <v/>
      </c>
      <c r="D1373" s="31"/>
      <c r="E1373" s="429" t="s">
        <v>260</v>
      </c>
      <c r="F1373" s="615"/>
      <c r="G1373" s="825" t="s">
        <v>4321</v>
      </c>
      <c r="H1373" s="400" t="str">
        <f>IF(LEN('Ch7'!W504)=0,"",'Ch7'!W504)</f>
        <v/>
      </c>
      <c r="J1373" s="580"/>
    </row>
    <row r="1374" spans="2:10" x14ac:dyDescent="0.35">
      <c r="B1374" t="str">
        <f>IF(LEN('Ch7'!H505)=0,"",'Ch7'!H505)</f>
        <v/>
      </c>
      <c r="C1374" t="str">
        <f t="shared" si="38"/>
        <v/>
      </c>
      <c r="G1374" s="825"/>
      <c r="H1374"/>
      <c r="J1374" s="580"/>
    </row>
    <row r="1375" spans="2:10" x14ac:dyDescent="0.35">
      <c r="B1375" t="str">
        <f>IF(LEN('Ch7'!H506)=0,"",'Ch7'!H506)</f>
        <v/>
      </c>
      <c r="C1375" t="str">
        <f t="shared" si="38"/>
        <v/>
      </c>
      <c r="D1375" s="31"/>
      <c r="E1375" s="429" t="s">
        <v>269</v>
      </c>
      <c r="F1375" s="615"/>
      <c r="G1375" s="836" t="s">
        <v>987</v>
      </c>
      <c r="H1375" s="400" t="str">
        <f>IF(LEN('Ch7'!W506)=0,"",'Ch7'!W506)</f>
        <v/>
      </c>
      <c r="J1375" s="580"/>
    </row>
    <row r="1376" spans="2:10" x14ac:dyDescent="0.35">
      <c r="B1376" t="str">
        <f>IF(LEN('Ch7'!H507)=0,"",'Ch7'!H507)</f>
        <v/>
      </c>
      <c r="C1376" t="str">
        <f t="shared" si="38"/>
        <v/>
      </c>
      <c r="D1376" s="31"/>
      <c r="E1376" s="614"/>
      <c r="F1376" s="614"/>
      <c r="G1376" s="815"/>
      <c r="H1376"/>
      <c r="J1376" s="580"/>
    </row>
    <row r="1377" spans="1:10" x14ac:dyDescent="0.35">
      <c r="B1377" t="str">
        <f>IF(LEN('Ch7'!H508)=0,"",'Ch7'!H508)</f>
        <v/>
      </c>
      <c r="C1377" t="str">
        <f t="shared" si="38"/>
        <v/>
      </c>
      <c r="D1377" s="31"/>
      <c r="E1377" s="426" t="s">
        <v>275</v>
      </c>
      <c r="F1377" s="487"/>
      <c r="G1377" s="814" t="s">
        <v>988</v>
      </c>
      <c r="H1377"/>
      <c r="J1377" s="580"/>
    </row>
    <row r="1378" spans="1:10" x14ac:dyDescent="0.35">
      <c r="B1378" t="str">
        <f>IF(LEN('Ch7'!H509)=0,"",'Ch7'!H509)</f>
        <v/>
      </c>
      <c r="C1378" t="str">
        <f t="shared" si="38"/>
        <v/>
      </c>
      <c r="D1378" s="31"/>
      <c r="E1378" s="487"/>
      <c r="F1378" s="487"/>
      <c r="G1378" s="814"/>
      <c r="H1378"/>
      <c r="J1378" s="580"/>
    </row>
    <row r="1379" spans="1:10" x14ac:dyDescent="0.35">
      <c r="B1379" t="str">
        <f>IF(LEN('Ch7'!H510)=0,"",'Ch7'!H510)</f>
        <v/>
      </c>
      <c r="C1379" t="str">
        <f t="shared" si="38"/>
        <v/>
      </c>
      <c r="D1379" s="31"/>
      <c r="E1379" s="487"/>
      <c r="F1379" s="487"/>
      <c r="G1379" s="814"/>
      <c r="H1379"/>
      <c r="J1379" s="580"/>
    </row>
    <row r="1380" spans="1:10" x14ac:dyDescent="0.35">
      <c r="B1380" t="str">
        <f>IF(LEN('Ch7'!H511)=0,"",'Ch7'!H511)</f>
        <v/>
      </c>
      <c r="C1380" t="str">
        <f t="shared" si="38"/>
        <v/>
      </c>
      <c r="D1380" s="31"/>
      <c r="E1380" s="487"/>
      <c r="F1380" s="426" t="s">
        <v>121</v>
      </c>
      <c r="G1380" s="814" t="s">
        <v>989</v>
      </c>
      <c r="H1380" s="400" t="str">
        <f>IF(LEN('Ch7'!W511)=0,"",'Ch7'!W511)</f>
        <v/>
      </c>
      <c r="J1380" s="580"/>
    </row>
    <row r="1381" spans="1:10" x14ac:dyDescent="0.35">
      <c r="B1381" t="str">
        <f>IF(LEN('Ch7'!H512)=0,"",'Ch7'!H512)</f>
        <v/>
      </c>
      <c r="C1381" t="str">
        <f t="shared" si="38"/>
        <v/>
      </c>
      <c r="D1381" s="31"/>
      <c r="E1381" s="487"/>
      <c r="F1381" s="487"/>
      <c r="G1381" s="814"/>
      <c r="H1381"/>
      <c r="J1381" s="580"/>
    </row>
    <row r="1382" spans="1:10" x14ac:dyDescent="0.35">
      <c r="B1382" t="str">
        <f>IF(LEN('Ch7'!H513)=0,"",'Ch7'!H513)</f>
        <v/>
      </c>
      <c r="C1382" t="str">
        <f t="shared" si="38"/>
        <v/>
      </c>
      <c r="D1382" s="31"/>
      <c r="E1382" s="487"/>
      <c r="F1382" s="426" t="s">
        <v>122</v>
      </c>
      <c r="G1382" s="814" t="s">
        <v>990</v>
      </c>
      <c r="H1382" s="400" t="str">
        <f>IF(LEN('Ch7'!W513)=0,"",'Ch7'!W513)</f>
        <v/>
      </c>
      <c r="J1382" s="580"/>
    </row>
    <row r="1383" spans="1:10" x14ac:dyDescent="0.35">
      <c r="B1383" t="str">
        <f>IF(LEN('Ch7'!H514)=0,"",'Ch7'!H514)</f>
        <v/>
      </c>
      <c r="C1383" t="str">
        <f t="shared" si="38"/>
        <v/>
      </c>
      <c r="D1383" s="31"/>
      <c r="E1383" s="614"/>
      <c r="F1383" s="614"/>
      <c r="G1383" s="815"/>
      <c r="H1383"/>
      <c r="J1383" s="580"/>
    </row>
    <row r="1384" spans="1:10" x14ac:dyDescent="0.35">
      <c r="B1384" t="str">
        <f>IF(LEN('Ch7'!H515)=0,"",'Ch7'!H515)</f>
        <v/>
      </c>
      <c r="C1384" t="str">
        <f t="shared" si="38"/>
        <v/>
      </c>
      <c r="D1384" s="31"/>
      <c r="E1384" s="426" t="s">
        <v>277</v>
      </c>
      <c r="F1384" s="487"/>
      <c r="G1384" s="814" t="s">
        <v>991</v>
      </c>
      <c r="H1384" s="400" t="str">
        <f>IF(LEN('Ch7'!W515)=0,"",'Ch7'!W515)</f>
        <v/>
      </c>
      <c r="J1384" s="580"/>
    </row>
    <row r="1385" spans="1:10" x14ac:dyDescent="0.35">
      <c r="B1385" t="str">
        <f>IF(LEN('Ch7'!H516)=0,"",'Ch7'!H516)</f>
        <v/>
      </c>
      <c r="C1385" t="str">
        <f t="shared" si="38"/>
        <v/>
      </c>
      <c r="D1385" s="403"/>
      <c r="E1385" s="614"/>
      <c r="F1385" s="614"/>
      <c r="G1385" s="815"/>
      <c r="H1385"/>
      <c r="J1385" s="580"/>
    </row>
    <row r="1386" spans="1:10" x14ac:dyDescent="0.35">
      <c r="A1386" s="366" t="str">
        <f ca="1">IF(I1386&gt;0,"P","")</f>
        <v/>
      </c>
      <c r="B1386" t="str">
        <f>IF(LEN('Ch7'!H517)=0,"",'Ch7'!H517)</f>
        <v/>
      </c>
      <c r="C1386" t="str">
        <f t="shared" ca="1" si="38"/>
        <v/>
      </c>
      <c r="D1386" s="31" t="s">
        <v>992</v>
      </c>
      <c r="E1386" s="487"/>
      <c r="F1386" s="487"/>
      <c r="G1386" s="896" t="s">
        <v>993</v>
      </c>
      <c r="H1386" s="400" t="str">
        <f>IF(LEN('Ch7'!W517)=0,"",'Ch7'!W517)</f>
        <v/>
      </c>
      <c r="I1386" s="46">
        <f ca="1">'Ch7'!O517</f>
        <v>0</v>
      </c>
      <c r="J1386" s="975" t="s">
        <v>3921</v>
      </c>
    </row>
    <row r="1387" spans="1:10" x14ac:dyDescent="0.35">
      <c r="A1387" s="366" t="str">
        <f ca="1">A1386</f>
        <v/>
      </c>
      <c r="B1387" t="str">
        <f>IF(LEN('Ch7'!H518)=0,"",'Ch7'!H518)</f>
        <v/>
      </c>
      <c r="C1387" t="str">
        <f t="shared" ca="1" si="38"/>
        <v/>
      </c>
      <c r="D1387" s="31"/>
      <c r="E1387" s="487"/>
      <c r="F1387" s="487"/>
      <c r="G1387" s="896"/>
      <c r="H1387"/>
      <c r="J1387" s="976"/>
    </row>
    <row r="1388" spans="1:10" x14ac:dyDescent="0.35">
      <c r="B1388" t="str">
        <f>IF(LEN('Ch7'!H519)=0,"",'Ch7'!H519)</f>
        <v/>
      </c>
      <c r="C1388" t="str">
        <f t="shared" si="38"/>
        <v/>
      </c>
      <c r="D1388" s="31"/>
      <c r="E1388" s="487"/>
      <c r="F1388" s="487"/>
      <c r="G1388" s="90" t="s">
        <v>994</v>
      </c>
      <c r="H1388"/>
      <c r="J1388" s="580"/>
    </row>
    <row r="1389" spans="1:10" x14ac:dyDescent="0.35">
      <c r="B1389" t="str">
        <f>IF(LEN('Ch7'!H520)=0,"",'Ch7'!H520)</f>
        <v/>
      </c>
      <c r="C1389" t="str">
        <f t="shared" si="38"/>
        <v/>
      </c>
      <c r="D1389" s="31"/>
      <c r="E1389" s="426" t="s">
        <v>256</v>
      </c>
      <c r="F1389" s="487"/>
      <c r="G1389" s="814" t="s">
        <v>995</v>
      </c>
      <c r="H1389"/>
      <c r="J1389" s="580"/>
    </row>
    <row r="1390" spans="1:10" x14ac:dyDescent="0.35">
      <c r="B1390" t="str">
        <f>IF(LEN('Ch7'!H521)=0,"",'Ch7'!H521)</f>
        <v/>
      </c>
      <c r="C1390" t="str">
        <f t="shared" si="38"/>
        <v/>
      </c>
      <c r="D1390" s="31"/>
      <c r="E1390" s="614"/>
      <c r="F1390" s="614"/>
      <c r="G1390" s="815"/>
      <c r="H1390"/>
      <c r="J1390" s="580"/>
    </row>
    <row r="1391" spans="1:10" x14ac:dyDescent="0.35">
      <c r="B1391" t="str">
        <f>IF(LEN('Ch7'!H522)=0,"",'Ch7'!H522)</f>
        <v/>
      </c>
      <c r="C1391" t="str">
        <f t="shared" si="38"/>
        <v/>
      </c>
      <c r="D1391" s="31"/>
      <c r="E1391" s="426" t="s">
        <v>258</v>
      </c>
      <c r="F1391" s="487"/>
      <c r="G1391" s="848" t="s">
        <v>996</v>
      </c>
      <c r="H1391"/>
      <c r="J1391" s="580"/>
    </row>
    <row r="1392" spans="1:10" x14ac:dyDescent="0.35">
      <c r="B1392" t="str">
        <f>IF(LEN('Ch7'!H523)=0,"",'Ch7'!H523)</f>
        <v/>
      </c>
      <c r="C1392" t="str">
        <f t="shared" si="38"/>
        <v/>
      </c>
      <c r="D1392" s="31"/>
      <c r="E1392" s="487"/>
      <c r="F1392" s="487"/>
      <c r="G1392" s="848"/>
      <c r="H1392"/>
      <c r="J1392" s="580"/>
    </row>
    <row r="1393" spans="2:10" x14ac:dyDescent="0.35">
      <c r="B1393" t="str">
        <f>IF(LEN('Ch7'!H524)=0,"",'Ch7'!H524)</f>
        <v/>
      </c>
      <c r="C1393" t="str">
        <f t="shared" si="38"/>
        <v/>
      </c>
      <c r="D1393" s="31"/>
      <c r="E1393" s="487"/>
      <c r="F1393" s="426" t="s">
        <v>121</v>
      </c>
      <c r="G1393" s="814" t="s">
        <v>997</v>
      </c>
      <c r="H1393"/>
      <c r="J1393" s="580"/>
    </row>
    <row r="1394" spans="2:10" x14ac:dyDescent="0.35">
      <c r="B1394" t="str">
        <f>IF(LEN('Ch7'!H525)=0,"",'Ch7'!H525)</f>
        <v/>
      </c>
      <c r="C1394" t="str">
        <f t="shared" si="38"/>
        <v/>
      </c>
      <c r="D1394" s="31"/>
      <c r="E1394" s="487"/>
      <c r="F1394" s="487"/>
      <c r="G1394" s="814"/>
      <c r="H1394"/>
      <c r="J1394" s="580"/>
    </row>
    <row r="1395" spans="2:10" x14ac:dyDescent="0.35">
      <c r="B1395" t="str">
        <f>IF(LEN('Ch7'!H526)=0,"",'Ch7'!H526)</f>
        <v/>
      </c>
      <c r="C1395" t="str">
        <f t="shared" si="38"/>
        <v/>
      </c>
      <c r="D1395" s="31"/>
      <c r="E1395" s="487"/>
      <c r="F1395" s="614"/>
      <c r="G1395" s="815"/>
      <c r="H1395"/>
      <c r="J1395" s="580"/>
    </row>
    <row r="1396" spans="2:10" x14ac:dyDescent="0.35">
      <c r="B1396" t="str">
        <f>IF(LEN('Ch7'!H527)=0,"",'Ch7'!H527)</f>
        <v/>
      </c>
      <c r="C1396" t="str">
        <f t="shared" si="38"/>
        <v/>
      </c>
      <c r="D1396" s="31"/>
      <c r="E1396" s="487"/>
      <c r="F1396" s="426" t="s">
        <v>122</v>
      </c>
      <c r="G1396" s="814" t="s">
        <v>998</v>
      </c>
      <c r="H1396"/>
      <c r="J1396" s="580"/>
    </row>
    <row r="1397" spans="2:10" x14ac:dyDescent="0.35">
      <c r="B1397" t="str">
        <f>IF(LEN('Ch7'!H528)=0,"",'Ch7'!H528)</f>
        <v/>
      </c>
      <c r="C1397" t="str">
        <f t="shared" si="38"/>
        <v/>
      </c>
      <c r="D1397" s="31"/>
      <c r="E1397" s="487"/>
      <c r="F1397" s="487"/>
      <c r="G1397" s="814"/>
      <c r="H1397"/>
      <c r="J1397" s="580"/>
    </row>
    <row r="1398" spans="2:10" x14ac:dyDescent="0.35">
      <c r="B1398" t="str">
        <f>IF(LEN('Ch7'!H529)=0,"",'Ch7'!H529)</f>
        <v/>
      </c>
      <c r="C1398" t="str">
        <f t="shared" si="38"/>
        <v/>
      </c>
      <c r="D1398" s="31"/>
      <c r="E1398" s="487"/>
      <c r="F1398" s="487" t="s">
        <v>843</v>
      </c>
      <c r="G1398" s="814" t="s">
        <v>999</v>
      </c>
      <c r="H1398"/>
      <c r="J1398" s="580"/>
    </row>
    <row r="1399" spans="2:10" x14ac:dyDescent="0.35">
      <c r="B1399" t="str">
        <f>IF(LEN('Ch7'!H530)=0,"",'Ch7'!H530)</f>
        <v/>
      </c>
      <c r="C1399" t="str">
        <f t="shared" si="38"/>
        <v/>
      </c>
      <c r="D1399" s="31"/>
      <c r="E1399" s="487"/>
      <c r="F1399" s="487"/>
      <c r="G1399" s="814"/>
      <c r="H1399"/>
      <c r="J1399" s="580"/>
    </row>
    <row r="1400" spans="2:10" x14ac:dyDescent="0.35">
      <c r="B1400" t="str">
        <f>IF(LEN('Ch7'!H531)=0,"",'Ch7'!H531)</f>
        <v/>
      </c>
      <c r="C1400" t="str">
        <f t="shared" si="38"/>
        <v/>
      </c>
      <c r="D1400" s="31"/>
      <c r="E1400" s="487"/>
      <c r="F1400" s="487" t="s">
        <v>1000</v>
      </c>
      <c r="G1400" s="814" t="s">
        <v>1001</v>
      </c>
      <c r="H1400"/>
      <c r="J1400" s="580"/>
    </row>
    <row r="1401" spans="2:10" x14ac:dyDescent="0.35">
      <c r="B1401" t="str">
        <f>IF(LEN('Ch7'!H532)=0,"",'Ch7'!H532)</f>
        <v/>
      </c>
      <c r="C1401" t="str">
        <f t="shared" si="38"/>
        <v/>
      </c>
      <c r="D1401" s="31"/>
      <c r="E1401" s="487"/>
      <c r="F1401" s="487"/>
      <c r="G1401" s="814"/>
      <c r="H1401"/>
      <c r="J1401" s="580"/>
    </row>
    <row r="1402" spans="2:10" x14ac:dyDescent="0.35">
      <c r="B1402" t="str">
        <f>IF(LEN('Ch7'!H533)=0,"",'Ch7'!H533)</f>
        <v/>
      </c>
      <c r="C1402" t="str">
        <f t="shared" si="38"/>
        <v/>
      </c>
      <c r="D1402" s="31"/>
      <c r="E1402" s="487"/>
      <c r="F1402" s="487" t="s">
        <v>1002</v>
      </c>
      <c r="G1402" s="814" t="s">
        <v>1003</v>
      </c>
      <c r="H1402"/>
      <c r="J1402" s="580"/>
    </row>
    <row r="1403" spans="2:10" x14ac:dyDescent="0.35">
      <c r="B1403" t="str">
        <f>IF(LEN('Ch7'!H534)=0,"",'Ch7'!H534)</f>
        <v/>
      </c>
      <c r="C1403" t="str">
        <f t="shared" si="38"/>
        <v/>
      </c>
      <c r="D1403" s="31"/>
      <c r="E1403" s="487"/>
      <c r="F1403" s="614"/>
      <c r="G1403" s="815"/>
      <c r="H1403"/>
      <c r="J1403" s="580"/>
    </row>
    <row r="1404" spans="2:10" x14ac:dyDescent="0.35">
      <c r="B1404" t="str">
        <f>IF(LEN('Ch7'!H535)=0,"",'Ch7'!H535)</f>
        <v/>
      </c>
      <c r="C1404" t="str">
        <f t="shared" si="38"/>
        <v/>
      </c>
      <c r="D1404" s="31"/>
      <c r="E1404" s="487"/>
      <c r="F1404" s="426" t="s">
        <v>123</v>
      </c>
      <c r="G1404" s="814" t="s">
        <v>1004</v>
      </c>
      <c r="H1404"/>
      <c r="J1404" s="580"/>
    </row>
    <row r="1405" spans="2:10" x14ac:dyDescent="0.35">
      <c r="B1405" t="str">
        <f>IF(LEN('Ch7'!H536)=0,"",'Ch7'!H536)</f>
        <v/>
      </c>
      <c r="C1405" t="str">
        <f t="shared" si="38"/>
        <v/>
      </c>
      <c r="D1405" s="31"/>
      <c r="E1405" s="487"/>
      <c r="F1405" s="487"/>
      <c r="G1405" s="814"/>
      <c r="H1405"/>
      <c r="J1405" s="580"/>
    </row>
    <row r="1406" spans="2:10" x14ac:dyDescent="0.35">
      <c r="B1406" t="str">
        <f>IF(LEN('Ch7'!H537)=0,"",'Ch7'!H537)</f>
        <v/>
      </c>
      <c r="C1406" t="str">
        <f t="shared" si="38"/>
        <v/>
      </c>
      <c r="D1406" s="31"/>
      <c r="E1406" s="614"/>
      <c r="F1406" s="614"/>
      <c r="G1406" s="815"/>
      <c r="H1406"/>
      <c r="J1406" s="580"/>
    </row>
    <row r="1407" spans="2:10" x14ac:dyDescent="0.35">
      <c r="B1407" t="str">
        <f>IF(LEN('Ch7'!H538)=0,"",'Ch7'!H538)</f>
        <v/>
      </c>
      <c r="C1407" t="str">
        <f t="shared" si="38"/>
        <v/>
      </c>
      <c r="D1407" s="31"/>
      <c r="E1407" s="426" t="s">
        <v>260</v>
      </c>
      <c r="F1407" s="487"/>
      <c r="G1407" s="814" t="s">
        <v>1005</v>
      </c>
      <c r="H1407"/>
      <c r="J1407" s="580"/>
    </row>
    <row r="1408" spans="2:10" x14ac:dyDescent="0.35">
      <c r="B1408" t="str">
        <f>IF(LEN('Ch7'!H539)=0,"",'Ch7'!H539)</f>
        <v/>
      </c>
      <c r="C1408" t="str">
        <f t="shared" si="38"/>
        <v/>
      </c>
      <c r="D1408" s="31"/>
      <c r="E1408" s="487"/>
      <c r="F1408" s="487"/>
      <c r="G1408" s="814"/>
      <c r="H1408"/>
      <c r="J1408" s="580"/>
    </row>
    <row r="1409" spans="1:10" ht="18.5" x14ac:dyDescent="0.35">
      <c r="A1409" s="366" t="s">
        <v>3973</v>
      </c>
      <c r="B1409" t="str">
        <f>IF(LEN('Ch7'!H540)=0,"",'Ch7'!H540)</f>
        <v/>
      </c>
      <c r="C1409" t="str">
        <f t="shared" si="38"/>
        <v>P</v>
      </c>
      <c r="D1409" s="620" t="s">
        <v>4854</v>
      </c>
      <c r="E1409" s="629"/>
      <c r="F1409" s="629"/>
      <c r="G1409" s="602"/>
      <c r="H1409"/>
      <c r="J1409" s="580"/>
    </row>
    <row r="1410" spans="1:10" x14ac:dyDescent="0.35">
      <c r="A1410" s="366" t="str">
        <f>IF(I1410&gt;0,"P","")</f>
        <v/>
      </c>
      <c r="B1410" t="str">
        <f>IF(LEN('Ch7'!H541)=0,"",'Ch7'!H541)</f>
        <v/>
      </c>
      <c r="C1410" t="str">
        <f t="shared" si="38"/>
        <v/>
      </c>
      <c r="D1410" s="31">
        <v>704.1</v>
      </c>
      <c r="E1410" s="487"/>
      <c r="F1410" s="487"/>
      <c r="G1410" s="881" t="s">
        <v>4322</v>
      </c>
      <c r="H1410"/>
      <c r="I1410" s="46">
        <f>'Ch7'!O541</f>
        <v>0</v>
      </c>
      <c r="J1410" s="595" t="s">
        <v>5004</v>
      </c>
    </row>
    <row r="1411" spans="1:10" x14ac:dyDescent="0.35">
      <c r="A1411" s="366" t="str">
        <f>A1410</f>
        <v/>
      </c>
      <c r="B1411" t="str">
        <f>IF(LEN('Ch7'!H542)=0,"",'Ch7'!H542)</f>
        <v/>
      </c>
      <c r="C1411" t="str">
        <f t="shared" si="38"/>
        <v/>
      </c>
      <c r="D1411" s="31"/>
      <c r="E1411" s="487"/>
      <c r="F1411" s="487"/>
      <c r="G1411" s="881"/>
      <c r="H1411"/>
      <c r="J1411" s="580"/>
    </row>
    <row r="1412" spans="1:10" x14ac:dyDescent="0.35">
      <c r="A1412" s="366" t="str">
        <f>A1411</f>
        <v/>
      </c>
      <c r="B1412" t="str">
        <f>IF(LEN('Ch7'!H543)=0,"",'Ch7'!H543)</f>
        <v/>
      </c>
      <c r="C1412" t="str">
        <f t="shared" si="38"/>
        <v/>
      </c>
      <c r="D1412" s="31"/>
      <c r="E1412" s="487"/>
      <c r="F1412" s="487"/>
      <c r="G1412" s="881"/>
      <c r="H1412"/>
      <c r="J1412" s="580"/>
    </row>
    <row r="1413" spans="1:10" x14ac:dyDescent="0.35">
      <c r="A1413" s="366" t="str">
        <f>A1412</f>
        <v/>
      </c>
      <c r="B1413" t="str">
        <f>IF(LEN('Ch7'!H544)=0,"",'Ch7'!H544)</f>
        <v/>
      </c>
      <c r="C1413" t="str">
        <f t="shared" si="38"/>
        <v/>
      </c>
      <c r="D1413" s="31"/>
      <c r="E1413" s="487"/>
      <c r="F1413" s="487"/>
      <c r="G1413" s="881"/>
      <c r="H1413"/>
      <c r="J1413" s="580"/>
    </row>
    <row r="1414" spans="1:10" x14ac:dyDescent="0.35">
      <c r="B1414" t="str">
        <f>IF(LEN('Ch7'!H545)=0,"",'Ch7'!H545)</f>
        <v/>
      </c>
      <c r="C1414" t="str">
        <f t="shared" si="38"/>
        <v/>
      </c>
      <c r="D1414" s="31"/>
      <c r="E1414" s="487"/>
      <c r="F1414" s="487"/>
      <c r="G1414" s="825" t="s">
        <v>4323</v>
      </c>
      <c r="H1414" s="760"/>
      <c r="J1414" s="580"/>
    </row>
    <row r="1415" spans="1:10" x14ac:dyDescent="0.35">
      <c r="B1415" t="str">
        <f>IF(LEN('Ch7'!H546)=0,"",'Ch7'!H546)</f>
        <v/>
      </c>
      <c r="C1415" t="str">
        <f t="shared" si="38"/>
        <v/>
      </c>
      <c r="D1415" s="403"/>
      <c r="E1415" s="614"/>
      <c r="F1415" s="614"/>
      <c r="G1415" s="842"/>
      <c r="H1415" s="760"/>
      <c r="J1415" s="580"/>
    </row>
    <row r="1416" spans="1:10" x14ac:dyDescent="0.35">
      <c r="A1416" s="366" t="str">
        <f>IF(AND(LEN(H1416)&gt;0,NOT(H1416=FALSE)),"P","")</f>
        <v/>
      </c>
      <c r="B1416" t="str">
        <f>IF(LEN('Ch7'!H547)=0,"",'Ch7'!H547)</f>
        <v/>
      </c>
      <c r="C1416" t="str">
        <f t="shared" si="38"/>
        <v/>
      </c>
      <c r="D1416" s="31">
        <v>704.2</v>
      </c>
      <c r="E1416" s="487"/>
      <c r="F1416" s="487"/>
      <c r="G1416" s="881" t="s">
        <v>4324</v>
      </c>
      <c r="H1416" s="400" t="str">
        <f>IF(LEN('Ch7'!W547)=0,"",'Ch7'!W547)</f>
        <v/>
      </c>
      <c r="J1416" s="580" t="s">
        <v>5005</v>
      </c>
    </row>
    <row r="1417" spans="1:10" x14ac:dyDescent="0.35">
      <c r="A1417" s="366" t="str">
        <f>A1416</f>
        <v/>
      </c>
      <c r="B1417" t="str">
        <f>IF(LEN('Ch7'!H548)=0,"",'Ch7'!H548)</f>
        <v/>
      </c>
      <c r="C1417" t="str">
        <f t="shared" si="38"/>
        <v/>
      </c>
      <c r="D1417" s="31"/>
      <c r="E1417" s="487"/>
      <c r="F1417" s="487"/>
      <c r="G1417" s="881"/>
      <c r="H1417"/>
      <c r="J1417" s="580"/>
    </row>
    <row r="1418" spans="1:10" x14ac:dyDescent="0.35">
      <c r="A1418" s="366" t="str">
        <f>A1417</f>
        <v/>
      </c>
      <c r="B1418" t="str">
        <f>IF(LEN('Ch7'!H549)=0,"",'Ch7'!H549)</f>
        <v/>
      </c>
      <c r="C1418" t="str">
        <f t="shared" si="38"/>
        <v/>
      </c>
      <c r="D1418" s="31"/>
      <c r="E1418" s="487"/>
      <c r="F1418" s="487"/>
      <c r="G1418" s="881"/>
      <c r="H1418" s="400" t="str">
        <f>IF(LEN('Ch7'!W549)=0,"",'Ch7'!W549)</f>
        <v/>
      </c>
      <c r="J1418" s="580"/>
    </row>
    <row r="1419" spans="1:10" x14ac:dyDescent="0.35">
      <c r="A1419" s="366" t="str">
        <f>A1418</f>
        <v/>
      </c>
      <c r="B1419" t="str">
        <f>IF(LEN('Ch7'!H550)=0,"",'Ch7'!H550)</f>
        <v/>
      </c>
      <c r="C1419" t="str">
        <f t="shared" si="38"/>
        <v/>
      </c>
      <c r="D1419" s="31"/>
      <c r="E1419" s="487"/>
      <c r="F1419" s="487"/>
      <c r="G1419" s="881" t="s">
        <v>4325</v>
      </c>
      <c r="H1419"/>
      <c r="J1419" s="580"/>
    </row>
    <row r="1420" spans="1:10" x14ac:dyDescent="0.35">
      <c r="A1420" s="366" t="str">
        <f>A1419</f>
        <v/>
      </c>
      <c r="B1420" t="str">
        <f>IF(LEN('Ch7'!H551)=0,"",'Ch7'!H551)</f>
        <v/>
      </c>
      <c r="C1420" t="str">
        <f t="shared" si="38"/>
        <v/>
      </c>
      <c r="D1420" s="31"/>
      <c r="E1420" s="487"/>
      <c r="F1420" s="487"/>
      <c r="G1420" s="881"/>
      <c r="H1420"/>
      <c r="J1420" s="580"/>
    </row>
    <row r="1421" spans="1:10" ht="18.5" x14ac:dyDescent="0.35">
      <c r="A1421" s="366" t="s">
        <v>3973</v>
      </c>
      <c r="B1421" t="str">
        <f>IF(LEN('Ch7'!H552)=0,"",'Ch7'!H552)</f>
        <v/>
      </c>
      <c r="C1421" t="str">
        <f t="shared" si="38"/>
        <v>P</v>
      </c>
      <c r="D1421" s="620" t="s">
        <v>1006</v>
      </c>
      <c r="E1421" s="629"/>
      <c r="F1421" s="629"/>
      <c r="G1421" s="602"/>
      <c r="H1421"/>
      <c r="J1421" s="580"/>
    </row>
    <row r="1422" spans="1:10" x14ac:dyDescent="0.35">
      <c r="A1422" s="727" t="str">
        <f ca="1">IF(COUNTIF(A1423:A1452,"P")&gt;0,"P","")</f>
        <v/>
      </c>
      <c r="B1422" t="str">
        <f>IF(LEN('Ch7'!H553)=0,"",'Ch7'!H553)</f>
        <v/>
      </c>
      <c r="C1422" t="str">
        <f t="shared" ca="1" si="38"/>
        <v/>
      </c>
      <c r="D1422" s="31">
        <v>705.2</v>
      </c>
      <c r="E1422" s="487"/>
      <c r="F1422" s="487"/>
      <c r="G1422" s="95" t="s">
        <v>1007</v>
      </c>
      <c r="H1422"/>
      <c r="J1422" s="580"/>
    </row>
    <row r="1423" spans="1:10" x14ac:dyDescent="0.35">
      <c r="A1423" s="727" t="str">
        <f ca="1">IF(COUNTIF(A1426:A1442,"P")&gt;0,"P","")</f>
        <v/>
      </c>
      <c r="B1423" t="str">
        <f>IF(LEN('Ch7'!H554)=0,"",'Ch7'!H554)</f>
        <v/>
      </c>
      <c r="C1423" t="str">
        <f t="shared" ca="1" si="38"/>
        <v/>
      </c>
      <c r="D1423" s="31" t="s">
        <v>1008</v>
      </c>
      <c r="E1423" s="487"/>
      <c r="F1423" s="487"/>
      <c r="G1423" s="95" t="s">
        <v>1009</v>
      </c>
      <c r="H1423"/>
      <c r="J1423" s="580"/>
    </row>
    <row r="1424" spans="1:10" x14ac:dyDescent="0.35">
      <c r="B1424" t="str">
        <f>IF(LEN('Ch7'!H555)=0,"",'Ch7'!H555)</f>
        <v/>
      </c>
      <c r="C1424" t="str">
        <f t="shared" si="38"/>
        <v/>
      </c>
      <c r="D1424" s="31"/>
      <c r="E1424" s="487"/>
      <c r="F1424" s="487"/>
      <c r="G1424" s="935" t="s">
        <v>1010</v>
      </c>
      <c r="H1424"/>
      <c r="J1424" s="580"/>
    </row>
    <row r="1425" spans="1:10" x14ac:dyDescent="0.35">
      <c r="B1425" t="str">
        <f>IF(LEN('Ch7'!H556)=0,"",'Ch7'!H556)</f>
        <v/>
      </c>
      <c r="C1425" t="str">
        <f t="shared" si="38"/>
        <v/>
      </c>
      <c r="D1425" s="31"/>
      <c r="E1425" s="487"/>
      <c r="F1425" s="487"/>
      <c r="G1425" s="935"/>
      <c r="H1425"/>
      <c r="J1425" s="580"/>
    </row>
    <row r="1426" spans="1:10" x14ac:dyDescent="0.35">
      <c r="A1426" s="366" t="str">
        <f ca="1">IF(I1426&gt;0,"P","")</f>
        <v/>
      </c>
      <c r="B1426" t="str">
        <f>IF(LEN('Ch7'!H557)=0,"",'Ch7'!H557)</f>
        <v/>
      </c>
      <c r="C1426" t="str">
        <f t="shared" ref="C1426:C1489" ca="1" si="39">IF(LEN(B1426)=0,IF(A1426="P","P",""),B1426)</f>
        <v/>
      </c>
      <c r="D1426" s="31" t="s">
        <v>1011</v>
      </c>
      <c r="E1426" s="487"/>
      <c r="F1426" s="487"/>
      <c r="G1426" s="881" t="s">
        <v>4326</v>
      </c>
      <c r="H1426" s="400" t="str">
        <f>IF(LEN('Ch7'!W557)=0,"",'Ch7'!W557)</f>
        <v/>
      </c>
      <c r="I1426" s="46">
        <f ca="1">'Ch7'!O557</f>
        <v>0</v>
      </c>
      <c r="J1426" s="580" t="s">
        <v>3891</v>
      </c>
    </row>
    <row r="1427" spans="1:10" x14ac:dyDescent="0.35">
      <c r="A1427" s="366" t="str">
        <f ca="1">A1426</f>
        <v/>
      </c>
      <c r="B1427" t="str">
        <f>IF(LEN('Ch7'!H558)=0,"",'Ch7'!H558)</f>
        <v/>
      </c>
      <c r="C1427" t="str">
        <f t="shared" ca="1" si="39"/>
        <v/>
      </c>
      <c r="D1427" s="31"/>
      <c r="E1427" s="487"/>
      <c r="F1427" s="487"/>
      <c r="G1427" s="881"/>
      <c r="H1427"/>
      <c r="J1427" s="580"/>
    </row>
    <row r="1428" spans="1:10" x14ac:dyDescent="0.35">
      <c r="B1428" t="str">
        <f>IF(LEN('Ch7'!H559)=0,"",'Ch7'!H559)</f>
        <v/>
      </c>
      <c r="C1428" t="str">
        <f t="shared" si="39"/>
        <v/>
      </c>
      <c r="D1428" s="31"/>
      <c r="E1428" s="427" t="s">
        <v>256</v>
      </c>
      <c r="F1428" s="614"/>
      <c r="G1428" s="228" t="s">
        <v>1012</v>
      </c>
      <c r="H1428"/>
      <c r="J1428" s="580"/>
    </row>
    <row r="1429" spans="1:10" x14ac:dyDescent="0.35">
      <c r="B1429" t="str">
        <f>IF(LEN('Ch7'!H560)=0,"",'Ch7'!H560)</f>
        <v/>
      </c>
      <c r="C1429" t="str">
        <f t="shared" si="39"/>
        <v/>
      </c>
      <c r="D1429" s="403"/>
      <c r="E1429" s="427" t="s">
        <v>258</v>
      </c>
      <c r="F1429" s="614"/>
      <c r="G1429" s="228" t="s">
        <v>1013</v>
      </c>
      <c r="H1429"/>
      <c r="J1429" s="580"/>
    </row>
    <row r="1430" spans="1:10" x14ac:dyDescent="0.35">
      <c r="A1430" s="366" t="str">
        <f>IF(I1430&gt;0,"P","")</f>
        <v/>
      </c>
      <c r="B1430" t="str">
        <f>IF(LEN('Ch7'!H561)=0,"",'Ch7'!H561)</f>
        <v/>
      </c>
      <c r="C1430" t="str">
        <f t="shared" si="39"/>
        <v/>
      </c>
      <c r="D1430" s="31" t="s">
        <v>1014</v>
      </c>
      <c r="E1430" s="426"/>
      <c r="F1430" s="487"/>
      <c r="G1430" s="838" t="s">
        <v>1015</v>
      </c>
      <c r="H1430" s="400" t="str">
        <f>IF(LEN('Ch7'!W561)=0,"",'Ch7'!W561)</f>
        <v/>
      </c>
      <c r="I1430" s="46">
        <f>'Ch7'!O561</f>
        <v>0</v>
      </c>
      <c r="J1430" s="580" t="s">
        <v>5006</v>
      </c>
    </row>
    <row r="1431" spans="1:10" x14ac:dyDescent="0.35">
      <c r="A1431" s="366" t="str">
        <f>A1430</f>
        <v/>
      </c>
      <c r="B1431" t="str">
        <f>IF(LEN('Ch7'!H562)=0,"",'Ch7'!H562)</f>
        <v/>
      </c>
      <c r="C1431" t="str">
        <f t="shared" si="39"/>
        <v/>
      </c>
      <c r="D1431" s="403"/>
      <c r="E1431" s="614"/>
      <c r="F1431" s="614"/>
      <c r="G1431" s="889"/>
      <c r="H1431"/>
      <c r="J1431" s="580"/>
    </row>
    <row r="1432" spans="1:10" x14ac:dyDescent="0.35">
      <c r="A1432" s="366" t="str">
        <f ca="1">IF(I1432&gt;0,"P","")</f>
        <v/>
      </c>
      <c r="B1432" t="str">
        <f>IF(LEN('Ch7'!H563)=0,"",'Ch7'!H563)</f>
        <v/>
      </c>
      <c r="C1432" t="str">
        <f t="shared" ca="1" si="39"/>
        <v/>
      </c>
      <c r="D1432" s="31" t="s">
        <v>1016</v>
      </c>
      <c r="E1432" s="487"/>
      <c r="F1432" s="487"/>
      <c r="G1432" s="95" t="s">
        <v>1017</v>
      </c>
      <c r="H1432"/>
      <c r="I1432" s="433">
        <f ca="1">SUM(I1433:I1437)</f>
        <v>0</v>
      </c>
      <c r="J1432" s="580" t="s">
        <v>3891</v>
      </c>
    </row>
    <row r="1433" spans="1:10" x14ac:dyDescent="0.35">
      <c r="B1433" t="str">
        <f>IF(LEN('Ch7'!H564)=0,"",'Ch7'!H564)</f>
        <v/>
      </c>
      <c r="C1433" t="str">
        <f t="shared" si="39"/>
        <v/>
      </c>
      <c r="D1433" s="31"/>
      <c r="E1433" s="426" t="s">
        <v>256</v>
      </c>
      <c r="F1433" s="487"/>
      <c r="G1433" s="814" t="s">
        <v>1018</v>
      </c>
      <c r="H1433" s="400" t="str">
        <f>IF(LEN('Ch7'!W564)=0,"",'Ch7'!W564)</f>
        <v/>
      </c>
      <c r="I1433" s="46">
        <f ca="1">'Ch7'!O564</f>
        <v>0</v>
      </c>
      <c r="J1433" s="580"/>
    </row>
    <row r="1434" spans="1:10" x14ac:dyDescent="0.35">
      <c r="B1434" t="str">
        <f>IF(LEN('Ch7'!H565)=0,"",'Ch7'!H565)</f>
        <v/>
      </c>
      <c r="C1434" t="str">
        <f t="shared" si="39"/>
        <v/>
      </c>
      <c r="D1434" s="31"/>
      <c r="E1434" s="487"/>
      <c r="F1434" s="487"/>
      <c r="G1434" s="814"/>
      <c r="H1434"/>
      <c r="J1434" s="580"/>
    </row>
    <row r="1435" spans="1:10" x14ac:dyDescent="0.35">
      <c r="B1435" t="str">
        <f>IF(LEN('Ch7'!H566)=0,"",'Ch7'!H566)</f>
        <v/>
      </c>
      <c r="C1435" t="str">
        <f t="shared" si="39"/>
        <v/>
      </c>
      <c r="D1435" s="31"/>
      <c r="E1435" s="487"/>
      <c r="F1435" s="426" t="s">
        <v>121</v>
      </c>
      <c r="G1435" s="90" t="s">
        <v>1012</v>
      </c>
      <c r="H1435"/>
      <c r="J1435" s="580"/>
    </row>
    <row r="1436" spans="1:10" x14ac:dyDescent="0.35">
      <c r="B1436" t="str">
        <f>IF(LEN('Ch7'!H567)=0,"",'Ch7'!H567)</f>
        <v/>
      </c>
      <c r="C1436" t="str">
        <f t="shared" si="39"/>
        <v/>
      </c>
      <c r="D1436" s="31"/>
      <c r="E1436" s="614"/>
      <c r="F1436" s="427" t="s">
        <v>122</v>
      </c>
      <c r="G1436" s="228" t="s">
        <v>1013</v>
      </c>
      <c r="H1436"/>
      <c r="J1436" s="580"/>
    </row>
    <row r="1437" spans="1:10" x14ac:dyDescent="0.35">
      <c r="B1437" t="str">
        <f>IF(LEN('Ch7'!H568)=0,"",'Ch7'!H568)</f>
        <v/>
      </c>
      <c r="C1437" t="str">
        <f t="shared" si="39"/>
        <v/>
      </c>
      <c r="D1437" s="31"/>
      <c r="E1437" s="426" t="s">
        <v>258</v>
      </c>
      <c r="F1437" s="487"/>
      <c r="G1437" s="814" t="s">
        <v>1019</v>
      </c>
      <c r="H1437" s="400" t="str">
        <f>IF(LEN('Ch7'!W568)=0,"",'Ch7'!W568)</f>
        <v/>
      </c>
      <c r="I1437" s="46">
        <f ca="1">'Ch7'!O568</f>
        <v>0</v>
      </c>
      <c r="J1437" s="580"/>
    </row>
    <row r="1438" spans="1:10" x14ac:dyDescent="0.35">
      <c r="B1438" t="str">
        <f>IF(LEN('Ch7'!H569)=0,"",'Ch7'!H569)</f>
        <v/>
      </c>
      <c r="C1438" t="str">
        <f t="shared" si="39"/>
        <v/>
      </c>
      <c r="D1438" s="31"/>
      <c r="E1438" s="487"/>
      <c r="F1438" s="487"/>
      <c r="G1438" s="814"/>
      <c r="H1438"/>
      <c r="J1438" s="580"/>
    </row>
    <row r="1439" spans="1:10" x14ac:dyDescent="0.35">
      <c r="B1439" t="str">
        <f>IF(LEN('Ch7'!H570)=0,"",'Ch7'!H570)</f>
        <v/>
      </c>
      <c r="C1439" t="str">
        <f t="shared" si="39"/>
        <v/>
      </c>
      <c r="D1439" s="31"/>
      <c r="E1439" s="487"/>
      <c r="F1439" s="487"/>
      <c r="G1439" s="814"/>
      <c r="H1439"/>
      <c r="J1439" s="580"/>
    </row>
    <row r="1440" spans="1:10" x14ac:dyDescent="0.35">
      <c r="B1440" t="str">
        <f>IF(LEN('Ch7'!H571)=0,"",'Ch7'!H571)</f>
        <v/>
      </c>
      <c r="C1440" t="str">
        <f t="shared" si="39"/>
        <v/>
      </c>
      <c r="D1440" s="31"/>
      <c r="E1440" s="487"/>
      <c r="F1440" s="426" t="s">
        <v>121</v>
      </c>
      <c r="G1440" s="90" t="s">
        <v>1020</v>
      </c>
      <c r="H1440"/>
      <c r="J1440" s="580"/>
    </row>
    <row r="1441" spans="1:10" x14ac:dyDescent="0.35">
      <c r="B1441" t="str">
        <f>IF(LEN('Ch7'!H572)=0,"",'Ch7'!H572)</f>
        <v/>
      </c>
      <c r="C1441" t="str">
        <f t="shared" si="39"/>
        <v/>
      </c>
      <c r="D1441" s="403"/>
      <c r="E1441" s="614"/>
      <c r="F1441" s="427" t="s">
        <v>122</v>
      </c>
      <c r="G1441" s="228" t="s">
        <v>1021</v>
      </c>
      <c r="H1441"/>
      <c r="J1441" s="580"/>
    </row>
    <row r="1442" spans="1:10" x14ac:dyDescent="0.35">
      <c r="A1442" s="366" t="str">
        <f ca="1">IF(I1442&gt;0,"P","")</f>
        <v/>
      </c>
      <c r="B1442" t="str">
        <f>IF(LEN('Ch7'!H573)=0,"",'Ch7'!H573)</f>
        <v/>
      </c>
      <c r="C1442" t="str">
        <f t="shared" ca="1" si="39"/>
        <v/>
      </c>
      <c r="D1442" s="31" t="s">
        <v>1022</v>
      </c>
      <c r="E1442" s="487"/>
      <c r="F1442" s="487"/>
      <c r="G1442" s="838" t="s">
        <v>1023</v>
      </c>
      <c r="H1442" s="400" t="str">
        <f>IF(LEN('Ch7'!W573)=0,"",'Ch7'!W573)</f>
        <v/>
      </c>
      <c r="I1442" s="46">
        <f ca="1">'Ch7'!O573</f>
        <v>0</v>
      </c>
      <c r="J1442" s="580" t="s">
        <v>3891</v>
      </c>
    </row>
    <row r="1443" spans="1:10" x14ac:dyDescent="0.35">
      <c r="A1443" s="366" t="str">
        <f ca="1">A1442</f>
        <v/>
      </c>
      <c r="B1443" t="str">
        <f>IF(LEN('Ch7'!H574)=0,"",'Ch7'!H574)</f>
        <v/>
      </c>
      <c r="C1443" t="str">
        <f t="shared" ca="1" si="39"/>
        <v/>
      </c>
      <c r="D1443" s="31"/>
      <c r="E1443" s="487"/>
      <c r="F1443" s="487"/>
      <c r="G1443" s="838"/>
      <c r="H1443"/>
      <c r="J1443" s="580"/>
    </row>
    <row r="1444" spans="1:10" x14ac:dyDescent="0.35">
      <c r="A1444" s="366" t="str">
        <f ca="1">A1443</f>
        <v/>
      </c>
      <c r="B1444" t="str">
        <f>IF(LEN('Ch7'!H575)=0,"",'Ch7'!H575)</f>
        <v/>
      </c>
      <c r="C1444" t="str">
        <f t="shared" ca="1" si="39"/>
        <v/>
      </c>
      <c r="D1444" s="31"/>
      <c r="E1444" s="487"/>
      <c r="F1444" s="487"/>
      <c r="G1444" s="838"/>
      <c r="H1444"/>
      <c r="J1444" s="580"/>
    </row>
    <row r="1445" spans="1:10" x14ac:dyDescent="0.35">
      <c r="B1445" t="str">
        <f>IF(LEN('Ch7'!H576)=0,"",'Ch7'!H576)</f>
        <v/>
      </c>
      <c r="C1445" t="str">
        <f t="shared" si="39"/>
        <v/>
      </c>
      <c r="D1445" s="31"/>
      <c r="E1445" s="427" t="s">
        <v>256</v>
      </c>
      <c r="F1445" s="614"/>
      <c r="G1445" s="228" t="s">
        <v>1020</v>
      </c>
      <c r="H1445"/>
      <c r="J1445" s="580"/>
    </row>
    <row r="1446" spans="1:10" x14ac:dyDescent="0.35">
      <c r="B1446" t="str">
        <f>IF(LEN('Ch7'!H577)=0,"",'Ch7'!H577)</f>
        <v/>
      </c>
      <c r="C1446" t="str">
        <f t="shared" si="39"/>
        <v/>
      </c>
      <c r="D1446" s="403"/>
      <c r="E1446" s="427" t="s">
        <v>258</v>
      </c>
      <c r="F1446" s="614"/>
      <c r="G1446" s="228" t="s">
        <v>1024</v>
      </c>
      <c r="H1446"/>
      <c r="J1446" s="580"/>
    </row>
    <row r="1447" spans="1:10" x14ac:dyDescent="0.35">
      <c r="A1447" s="366" t="str">
        <f>IF(I1447&gt;0,"P","")</f>
        <v/>
      </c>
      <c r="B1447" t="str">
        <f>IF(LEN('Ch7'!H578)=0,"",'Ch7'!H578)</f>
        <v/>
      </c>
      <c r="C1447" t="str">
        <f t="shared" si="39"/>
        <v/>
      </c>
      <c r="D1447" s="405" t="s">
        <v>1025</v>
      </c>
      <c r="E1447" s="615"/>
      <c r="F1447" s="615"/>
      <c r="G1447" s="905" t="s">
        <v>1026</v>
      </c>
      <c r="H1447" s="400" t="str">
        <f>IF(LEN('Ch7'!W578)=0,"",'Ch7'!W578)</f>
        <v/>
      </c>
      <c r="I1447" s="46">
        <f>'Ch7'!O578</f>
        <v>0</v>
      </c>
      <c r="J1447" s="580" t="s">
        <v>3891</v>
      </c>
    </row>
    <row r="1448" spans="1:10" x14ac:dyDescent="0.35">
      <c r="A1448" s="366" t="str">
        <f>A1447</f>
        <v/>
      </c>
      <c r="B1448" t="str">
        <f>IF(LEN('Ch7'!H579)=0,"",'Ch7'!H579)</f>
        <v/>
      </c>
      <c r="C1448" t="str">
        <f t="shared" si="39"/>
        <v/>
      </c>
      <c r="D1448" s="31"/>
      <c r="E1448" s="487"/>
      <c r="F1448" s="487"/>
      <c r="G1448" s="838"/>
      <c r="H1448"/>
      <c r="J1448" s="580"/>
    </row>
    <row r="1449" spans="1:10" x14ac:dyDescent="0.35">
      <c r="B1449" t="str">
        <f>IF(LEN('Ch7'!H580)=0,"",'Ch7'!H580)</f>
        <v/>
      </c>
      <c r="C1449" t="str">
        <f t="shared" si="39"/>
        <v/>
      </c>
      <c r="D1449" s="403"/>
      <c r="E1449" s="614"/>
      <c r="F1449" s="614"/>
      <c r="G1449" s="142" t="s">
        <v>930</v>
      </c>
      <c r="H1449"/>
      <c r="J1449" s="580"/>
    </row>
    <row r="1450" spans="1:10" x14ac:dyDescent="0.35">
      <c r="A1450" s="366" t="str">
        <f>IF(I1450&gt;0,"P","")</f>
        <v/>
      </c>
      <c r="B1450" t="str">
        <f>IF(LEN('Ch7'!H581)=0,"",'Ch7'!H581)</f>
        <v/>
      </c>
      <c r="C1450" t="str">
        <f t="shared" si="39"/>
        <v/>
      </c>
      <c r="D1450" s="405" t="s">
        <v>1027</v>
      </c>
      <c r="E1450" s="615"/>
      <c r="F1450" s="615"/>
      <c r="G1450" s="905" t="s">
        <v>1028</v>
      </c>
      <c r="H1450" s="400" t="str">
        <f>IF(LEN('Ch7'!W581)=0,"",'Ch7'!W581)</f>
        <v/>
      </c>
      <c r="I1450" s="46">
        <f>'Ch7'!O581</f>
        <v>0</v>
      </c>
      <c r="J1450" s="580" t="s">
        <v>3891</v>
      </c>
    </row>
    <row r="1451" spans="1:10" x14ac:dyDescent="0.35">
      <c r="A1451" s="366" t="str">
        <f>A1450</f>
        <v/>
      </c>
      <c r="B1451" t="str">
        <f>IF(LEN('Ch7'!H582)=0,"",'Ch7'!H582)</f>
        <v/>
      </c>
      <c r="C1451" t="str">
        <f t="shared" si="39"/>
        <v/>
      </c>
      <c r="D1451" s="403"/>
      <c r="E1451" s="614"/>
      <c r="F1451" s="614"/>
      <c r="G1451" s="889"/>
      <c r="H1451"/>
      <c r="J1451" s="580"/>
    </row>
    <row r="1452" spans="1:10" x14ac:dyDescent="0.35">
      <c r="A1452" s="366" t="str">
        <f>IF(I1452&gt;0,"P","")</f>
        <v/>
      </c>
      <c r="B1452" t="str">
        <f>IF(LEN('Ch7'!H583)=0,"",'Ch7'!H583)</f>
        <v/>
      </c>
      <c r="C1452" t="str">
        <f t="shared" si="39"/>
        <v/>
      </c>
      <c r="D1452" s="31" t="s">
        <v>1029</v>
      </c>
      <c r="E1452" s="487"/>
      <c r="F1452" s="487"/>
      <c r="G1452" s="838" t="s">
        <v>1030</v>
      </c>
      <c r="H1452"/>
      <c r="I1452" s="46">
        <f>'Ch7'!O583</f>
        <v>0</v>
      </c>
      <c r="J1452" s="580" t="s">
        <v>3891</v>
      </c>
    </row>
    <row r="1453" spans="1:10" x14ac:dyDescent="0.35">
      <c r="A1453" s="366" t="str">
        <f>A1452</f>
        <v/>
      </c>
      <c r="B1453" t="str">
        <f>IF(LEN('Ch7'!H584)=0,"",'Ch7'!H584)</f>
        <v/>
      </c>
      <c r="C1453" t="str">
        <f t="shared" si="39"/>
        <v/>
      </c>
      <c r="D1453" s="31"/>
      <c r="E1453" s="487"/>
      <c r="F1453" s="487"/>
      <c r="G1453" s="838"/>
      <c r="H1453" s="400" t="str">
        <f>IF(LEN('Ch7'!W584)=0,"",'Ch7'!W584)</f>
        <v/>
      </c>
      <c r="J1453" s="580"/>
    </row>
    <row r="1454" spans="1:10" ht="15" thickBot="1" x14ac:dyDescent="0.4">
      <c r="A1454" s="366" t="str">
        <f>A1453</f>
        <v/>
      </c>
      <c r="B1454" t="str">
        <f>IF(LEN('Ch7'!H585)=0,"",'Ch7'!H585)</f>
        <v/>
      </c>
      <c r="C1454" t="str">
        <f t="shared" si="39"/>
        <v/>
      </c>
      <c r="D1454" s="404"/>
      <c r="E1454" s="575"/>
      <c r="F1454" s="575"/>
      <c r="G1454" s="849"/>
      <c r="H1454" s="591"/>
      <c r="J1454" s="580"/>
    </row>
    <row r="1455" spans="1:10" ht="15.5" thickTop="1" thickBot="1" x14ac:dyDescent="0.4">
      <c r="A1455" s="366" t="str">
        <f>IF(I1455&gt;0,"P","")</f>
        <v/>
      </c>
      <c r="B1455" t="str">
        <f>IF(LEN('Ch7'!H586)=0,"",'Ch7'!H586)</f>
        <v/>
      </c>
      <c r="C1455" t="str">
        <f t="shared" si="39"/>
        <v/>
      </c>
      <c r="D1455" s="406">
        <v>705.3</v>
      </c>
      <c r="E1455" s="630"/>
      <c r="F1455" s="630"/>
      <c r="G1455" s="234" t="s">
        <v>1031</v>
      </c>
      <c r="H1455" s="400" t="str">
        <f>IF(LEN('Ch7'!W586)=0,"",'Ch7'!W586)</f>
        <v/>
      </c>
      <c r="I1455" s="46">
        <f>'Ch7'!O586</f>
        <v>0</v>
      </c>
      <c r="J1455" s="580" t="s">
        <v>3891</v>
      </c>
    </row>
    <row r="1456" spans="1:10" ht="15" thickTop="1" x14ac:dyDescent="0.35">
      <c r="A1456" s="366" t="str">
        <f>IF(I1456&gt;0,"P","")</f>
        <v>P</v>
      </c>
      <c r="B1456" t="str">
        <f>IF(LEN('Ch7'!H587)=0,"",'Ch7'!H587)</f>
        <v/>
      </c>
      <c r="C1456" t="str">
        <f t="shared" si="39"/>
        <v>P</v>
      </c>
      <c r="D1456" s="60">
        <v>705.4</v>
      </c>
      <c r="E1456" s="574"/>
      <c r="F1456" s="574"/>
      <c r="G1456" s="837" t="s">
        <v>1032</v>
      </c>
      <c r="H1456" s="400" t="b">
        <f>IF(LEN('Ch7'!W587)=0,"",'Ch7'!W587)</f>
        <v>1</v>
      </c>
      <c r="I1456" s="46">
        <f>'Ch7'!O587</f>
        <v>2</v>
      </c>
      <c r="J1456" s="580" t="s">
        <v>3891</v>
      </c>
    </row>
    <row r="1457" spans="1:10" x14ac:dyDescent="0.35">
      <c r="A1457" s="366" t="str">
        <f>A1456</f>
        <v>P</v>
      </c>
      <c r="B1457" t="str">
        <f>IF(LEN('Ch7'!H588)=0,"",'Ch7'!H588)</f>
        <v/>
      </c>
      <c r="C1457" t="str">
        <f t="shared" si="39"/>
        <v>P</v>
      </c>
      <c r="D1457" s="31"/>
      <c r="E1457" s="487"/>
      <c r="F1457" s="487"/>
      <c r="G1457" s="838"/>
      <c r="H1457"/>
      <c r="J1457" s="580"/>
    </row>
    <row r="1458" spans="1:10" ht="15" thickBot="1" x14ac:dyDescent="0.4">
      <c r="A1458" s="366" t="str">
        <f>A1457</f>
        <v>P</v>
      </c>
      <c r="B1458" t="str">
        <f>IF(LEN('Ch7'!H589)=0,"",'Ch7'!H589)</f>
        <v/>
      </c>
      <c r="C1458" t="str">
        <f t="shared" si="39"/>
        <v>P</v>
      </c>
      <c r="D1458" s="404"/>
      <c r="E1458" s="575"/>
      <c r="F1458" s="575"/>
      <c r="G1458" s="849"/>
      <c r="H1458"/>
      <c r="J1458" s="580"/>
    </row>
    <row r="1459" spans="1:10" ht="15" thickTop="1" x14ac:dyDescent="0.35">
      <c r="A1459" s="727" t="str">
        <f>IF(COUNTIF(A1460:A1477,"P")&gt;0,"P","")</f>
        <v/>
      </c>
      <c r="B1459" t="str">
        <f>IF(LEN('Ch7'!H590)=0,"",'Ch7'!H590)</f>
        <v/>
      </c>
      <c r="C1459" t="str">
        <f t="shared" si="39"/>
        <v/>
      </c>
      <c r="D1459" s="31">
        <v>705.5</v>
      </c>
      <c r="E1459" s="487"/>
      <c r="F1459" s="487"/>
      <c r="G1459" s="95" t="s">
        <v>1033</v>
      </c>
      <c r="H1459"/>
      <c r="J1459" s="580"/>
    </row>
    <row r="1460" spans="1:10" x14ac:dyDescent="0.35">
      <c r="A1460" s="366" t="str">
        <f>IF(I1460&gt;0,"P","")</f>
        <v/>
      </c>
      <c r="B1460" t="str">
        <f>IF(LEN('Ch7'!H591)=0,"",'Ch7'!H591)</f>
        <v/>
      </c>
      <c r="C1460" t="str">
        <f t="shared" si="39"/>
        <v/>
      </c>
      <c r="D1460" s="31" t="s">
        <v>1034</v>
      </c>
      <c r="E1460" s="487"/>
      <c r="F1460" s="487"/>
      <c r="G1460" s="480" t="s">
        <v>4327</v>
      </c>
      <c r="H1460"/>
      <c r="I1460" s="433">
        <f>SUM(I1461:I1464)</f>
        <v>0</v>
      </c>
      <c r="J1460" s="580" t="s">
        <v>3922</v>
      </c>
    </row>
    <row r="1461" spans="1:10" x14ac:dyDescent="0.35">
      <c r="B1461" t="str">
        <f>IF(LEN('Ch7'!H592)=0,"",'Ch7'!H592)</f>
        <v/>
      </c>
      <c r="C1461" t="str">
        <f t="shared" si="39"/>
        <v/>
      </c>
      <c r="D1461" s="31"/>
      <c r="E1461" s="402" t="s">
        <v>256</v>
      </c>
      <c r="F1461" s="487"/>
      <c r="G1461" s="825" t="s">
        <v>4328</v>
      </c>
      <c r="H1461" s="400" t="str">
        <f>IF(LEN('Ch7'!W592)=0,"",'Ch7'!W592)</f>
        <v/>
      </c>
      <c r="I1461" s="46">
        <f>'Ch7'!O592</f>
        <v>0</v>
      </c>
      <c r="J1461" s="580"/>
    </row>
    <row r="1462" spans="1:10" x14ac:dyDescent="0.35">
      <c r="B1462" t="str">
        <f>IF(LEN('Ch7'!H593)=0,"",'Ch7'!H593)</f>
        <v/>
      </c>
      <c r="C1462" t="str">
        <f t="shared" si="39"/>
        <v/>
      </c>
      <c r="D1462" s="31"/>
      <c r="E1462" s="402"/>
      <c r="F1462" s="487"/>
      <c r="G1462" s="825"/>
      <c r="H1462"/>
      <c r="J1462" s="580"/>
    </row>
    <row r="1463" spans="1:10" x14ac:dyDescent="0.35">
      <c r="B1463" t="str">
        <f>IF(LEN('Ch7'!H594)=0,"",'Ch7'!H594)</f>
        <v/>
      </c>
      <c r="C1463" t="str">
        <f t="shared" si="39"/>
        <v/>
      </c>
      <c r="D1463" s="31"/>
      <c r="E1463" s="416"/>
      <c r="F1463" s="614"/>
      <c r="G1463" s="842"/>
      <c r="H1463"/>
      <c r="J1463" s="580"/>
    </row>
    <row r="1464" spans="1:10" x14ac:dyDescent="0.35">
      <c r="B1464" t="str">
        <f>IF(LEN('Ch7'!H595)=0,"",'Ch7'!H595)</f>
        <v/>
      </c>
      <c r="C1464" t="str">
        <f t="shared" si="39"/>
        <v/>
      </c>
      <c r="D1464" s="31"/>
      <c r="E1464" s="402" t="s">
        <v>258</v>
      </c>
      <c r="F1464" s="487"/>
      <c r="G1464" s="825" t="s">
        <v>4329</v>
      </c>
      <c r="H1464" s="400" t="str">
        <f>IF(LEN('Ch7'!W595)=0,"",'Ch7'!W595)</f>
        <v/>
      </c>
      <c r="I1464" s="46">
        <f>'Ch7'!O595</f>
        <v>0</v>
      </c>
      <c r="J1464" s="580"/>
    </row>
    <row r="1465" spans="1:10" x14ac:dyDescent="0.35">
      <c r="B1465" t="str">
        <f>IF(LEN('Ch7'!H596)=0,"",'Ch7'!H596)</f>
        <v/>
      </c>
      <c r="C1465" t="str">
        <f t="shared" si="39"/>
        <v/>
      </c>
      <c r="D1465" s="403"/>
      <c r="E1465" s="614"/>
      <c r="F1465" s="614"/>
      <c r="G1465" s="842"/>
      <c r="H1465"/>
      <c r="J1465" s="580"/>
    </row>
    <row r="1466" spans="1:10" x14ac:dyDescent="0.35">
      <c r="A1466" s="366" t="str">
        <f>IF(I1466&gt;0,"P","")</f>
        <v/>
      </c>
      <c r="B1466" t="str">
        <f>IF(LEN('Ch7'!H597)=0,"",'Ch7'!H597)</f>
        <v/>
      </c>
      <c r="C1466" t="str">
        <f t="shared" si="39"/>
        <v/>
      </c>
      <c r="D1466" s="31" t="s">
        <v>1035</v>
      </c>
      <c r="E1466" s="487"/>
      <c r="F1466" s="487"/>
      <c r="G1466" s="838" t="s">
        <v>1036</v>
      </c>
      <c r="H1466" s="400" t="str">
        <f>IF(LEN('Ch7'!W597)=0,"",'Ch7'!W597)</f>
        <v/>
      </c>
      <c r="I1466" s="46">
        <f>'Ch7'!O597</f>
        <v>0</v>
      </c>
      <c r="J1466" s="580" t="s">
        <v>3923</v>
      </c>
    </row>
    <row r="1467" spans="1:10" x14ac:dyDescent="0.35">
      <c r="A1467" s="366" t="str">
        <f>A1466</f>
        <v/>
      </c>
      <c r="B1467" t="str">
        <f>IF(LEN('Ch7'!H598)=0,"",'Ch7'!H598)</f>
        <v/>
      </c>
      <c r="C1467" t="str">
        <f t="shared" si="39"/>
        <v/>
      </c>
      <c r="D1467" s="31"/>
      <c r="E1467" s="487"/>
      <c r="F1467" s="487"/>
      <c r="G1467" s="838"/>
      <c r="H1467"/>
      <c r="J1467" s="580"/>
    </row>
    <row r="1468" spans="1:10" x14ac:dyDescent="0.35">
      <c r="B1468" t="str">
        <f>IF(LEN('Ch7'!H599)=0,"",'Ch7'!H599)</f>
        <v/>
      </c>
      <c r="C1468" t="str">
        <f t="shared" si="39"/>
        <v/>
      </c>
      <c r="D1468" s="31"/>
      <c r="E1468" s="427" t="s">
        <v>256</v>
      </c>
      <c r="F1468" s="614"/>
      <c r="G1468" s="228" t="s">
        <v>1037</v>
      </c>
      <c r="H1468"/>
      <c r="J1468" s="580"/>
    </row>
    <row r="1469" spans="1:10" x14ac:dyDescent="0.35">
      <c r="B1469" t="str">
        <f>IF(LEN('Ch7'!H600)=0,"",'Ch7'!H600)</f>
        <v/>
      </c>
      <c r="C1469" t="str">
        <f t="shared" si="39"/>
        <v/>
      </c>
      <c r="D1469" s="31"/>
      <c r="E1469" s="427" t="s">
        <v>258</v>
      </c>
      <c r="F1469" s="614"/>
      <c r="G1469" s="228" t="s">
        <v>1038</v>
      </c>
      <c r="H1469"/>
      <c r="J1469" s="580"/>
    </row>
    <row r="1470" spans="1:10" x14ac:dyDescent="0.35">
      <c r="B1470" t="str">
        <f>IF(LEN('Ch7'!H601)=0,"",'Ch7'!H601)</f>
        <v/>
      </c>
      <c r="C1470" t="str">
        <f t="shared" si="39"/>
        <v/>
      </c>
      <c r="D1470" s="31"/>
      <c r="E1470" s="430" t="s">
        <v>260</v>
      </c>
      <c r="F1470" s="626"/>
      <c r="G1470" s="178" t="s">
        <v>1039</v>
      </c>
      <c r="H1470"/>
      <c r="J1470" s="580"/>
    </row>
    <row r="1471" spans="1:10" x14ac:dyDescent="0.35">
      <c r="B1471" t="str">
        <f>IF(LEN('Ch7'!H602)=0,"",'Ch7'!H602)</f>
        <v/>
      </c>
      <c r="C1471" t="str">
        <f t="shared" si="39"/>
        <v/>
      </c>
      <c r="D1471" s="31"/>
      <c r="E1471" s="430" t="s">
        <v>269</v>
      </c>
      <c r="F1471" s="626"/>
      <c r="G1471" s="178" t="s">
        <v>1040</v>
      </c>
      <c r="H1471"/>
      <c r="J1471" s="580"/>
    </row>
    <row r="1472" spans="1:10" x14ac:dyDescent="0.35">
      <c r="B1472" t="str">
        <f>IF(LEN('Ch7'!H603)=0,"",'Ch7'!H603)</f>
        <v/>
      </c>
      <c r="C1472" t="str">
        <f t="shared" si="39"/>
        <v/>
      </c>
      <c r="D1472" s="31"/>
      <c r="E1472" s="430" t="s">
        <v>275</v>
      </c>
      <c r="F1472" s="626"/>
      <c r="G1472" s="178" t="s">
        <v>1041</v>
      </c>
      <c r="H1472"/>
      <c r="J1472" s="580"/>
    </row>
    <row r="1473" spans="1:10" x14ac:dyDescent="0.35">
      <c r="B1473" t="str">
        <f>IF(LEN('Ch7'!H604)=0,"",'Ch7'!H604)</f>
        <v/>
      </c>
      <c r="C1473" t="str">
        <f t="shared" si="39"/>
        <v/>
      </c>
      <c r="D1473" s="403"/>
      <c r="E1473" s="427" t="s">
        <v>277</v>
      </c>
      <c r="F1473" s="614"/>
      <c r="G1473" s="228" t="s">
        <v>1042</v>
      </c>
      <c r="H1473"/>
      <c r="J1473" s="580"/>
    </row>
    <row r="1474" spans="1:10" x14ac:dyDescent="0.35">
      <c r="A1474" s="366" t="str">
        <f>IF(I1474&gt;0,"P","")</f>
        <v/>
      </c>
      <c r="B1474" t="str">
        <f>IF(LEN('Ch7'!H605)=0,"",'Ch7'!H605)</f>
        <v/>
      </c>
      <c r="C1474" t="str">
        <f t="shared" si="39"/>
        <v/>
      </c>
      <c r="D1474" s="402" t="s">
        <v>4330</v>
      </c>
      <c r="E1474" s="402"/>
      <c r="F1474" s="402"/>
      <c r="G1474" s="480" t="s">
        <v>4331</v>
      </c>
      <c r="H1474"/>
      <c r="I1474" s="433">
        <f>SUM(I1475:I1477)</f>
        <v>0</v>
      </c>
      <c r="J1474" s="580"/>
    </row>
    <row r="1475" spans="1:10" x14ac:dyDescent="0.35">
      <c r="A1475" s="366" t="str">
        <f>IF(I1475&gt;0,"P","")</f>
        <v/>
      </c>
      <c r="B1475" t="str">
        <f>IF(LEN('Ch7'!H606)=0,"",'Ch7'!H606)</f>
        <v/>
      </c>
      <c r="C1475" t="str">
        <f t="shared" si="39"/>
        <v/>
      </c>
      <c r="D1475" s="402"/>
      <c r="E1475" s="402" t="s">
        <v>256</v>
      </c>
      <c r="F1475" s="402"/>
      <c r="G1475" s="825" t="s">
        <v>4332</v>
      </c>
      <c r="H1475" s="400" t="str">
        <f>IF(LEN('Ch7'!W606)=0,"",'Ch7'!W606)</f>
        <v/>
      </c>
      <c r="I1475" s="46">
        <f>'Ch7'!O606</f>
        <v>0</v>
      </c>
      <c r="J1475" s="580" t="s">
        <v>5007</v>
      </c>
    </row>
    <row r="1476" spans="1:10" x14ac:dyDescent="0.35">
      <c r="A1476" s="366" t="str">
        <f>A1475</f>
        <v/>
      </c>
      <c r="B1476" t="str">
        <f>IF(LEN('Ch7'!H607)=0,"",'Ch7'!H607)</f>
        <v/>
      </c>
      <c r="C1476" t="str">
        <f t="shared" si="39"/>
        <v/>
      </c>
      <c r="D1476" s="402"/>
      <c r="E1476" s="416"/>
      <c r="F1476" s="416"/>
      <c r="G1476" s="842"/>
      <c r="H1476"/>
      <c r="J1476" s="580"/>
    </row>
    <row r="1477" spans="1:10" ht="15" thickBot="1" x14ac:dyDescent="0.4">
      <c r="A1477" s="366" t="str">
        <f>IF(I1477&gt;0,"P","")</f>
        <v/>
      </c>
      <c r="B1477" t="str">
        <f>IF(LEN('Ch7'!H608)=0,"",'Ch7'!H608)</f>
        <v/>
      </c>
      <c r="C1477" t="str">
        <f t="shared" si="39"/>
        <v/>
      </c>
      <c r="D1477" s="407"/>
      <c r="E1477" s="407" t="s">
        <v>258</v>
      </c>
      <c r="F1477" s="407"/>
      <c r="G1477" s="474" t="s">
        <v>4333</v>
      </c>
      <c r="H1477" s="400" t="str">
        <f>IF(LEN('Ch7'!W608)=0,"",'Ch7'!W608)</f>
        <v/>
      </c>
      <c r="I1477" s="46">
        <f>'Ch7'!O608</f>
        <v>0</v>
      </c>
      <c r="J1477" s="580" t="s">
        <v>5008</v>
      </c>
    </row>
    <row r="1478" spans="1:10" ht="15" thickTop="1" x14ac:dyDescent="0.35">
      <c r="A1478" s="366" t="str">
        <f ca="1">IF(I1478&gt;0,"P","")</f>
        <v>P</v>
      </c>
      <c r="B1478" t="str">
        <f>IF(LEN('Ch7'!H609)=0,"",'Ch7'!H609)</f>
        <v/>
      </c>
      <c r="C1478" t="str">
        <f t="shared" ca="1" si="39"/>
        <v>P</v>
      </c>
      <c r="D1478" s="31">
        <v>705.6</v>
      </c>
      <c r="E1478" s="487"/>
      <c r="F1478" s="487"/>
      <c r="G1478" s="95" t="s">
        <v>1043</v>
      </c>
      <c r="H1478"/>
      <c r="I1478" s="433">
        <f ca="1">SUM(I1479:I1526)</f>
        <v>3</v>
      </c>
      <c r="J1478" s="580"/>
    </row>
    <row r="1479" spans="1:10" x14ac:dyDescent="0.35">
      <c r="A1479" s="366" t="str">
        <f>IF(I1479&gt;0,"P","")</f>
        <v>P</v>
      </c>
      <c r="B1479" t="str">
        <f>IF(LEN('Ch7'!H610)=0,"",'Ch7'!H610)</f>
        <v/>
      </c>
      <c r="C1479" t="str">
        <f t="shared" si="39"/>
        <v>P</v>
      </c>
      <c r="D1479" s="31" t="s">
        <v>1044</v>
      </c>
      <c r="E1479" s="487"/>
      <c r="F1479" s="487"/>
      <c r="G1479" s="881" t="s">
        <v>4334</v>
      </c>
      <c r="H1479" s="913"/>
      <c r="I1479" s="46">
        <f>'Ch7'!O610</f>
        <v>3</v>
      </c>
      <c r="J1479" s="580" t="s">
        <v>3891</v>
      </c>
    </row>
    <row r="1480" spans="1:10" x14ac:dyDescent="0.35">
      <c r="A1480" s="366" t="str">
        <f>A1479</f>
        <v>P</v>
      </c>
      <c r="B1480" t="str">
        <f>IF(LEN('Ch7'!H611)=0,"",'Ch7'!H611)</f>
        <v/>
      </c>
      <c r="C1480" t="str">
        <f t="shared" si="39"/>
        <v>P</v>
      </c>
      <c r="D1480" s="31"/>
      <c r="E1480" s="487"/>
      <c r="F1480" s="487"/>
      <c r="G1480" s="881"/>
      <c r="H1480" s="913"/>
      <c r="J1480" s="580"/>
    </row>
    <row r="1481" spans="1:10" x14ac:dyDescent="0.35">
      <c r="A1481" s="366" t="str">
        <f>A1480</f>
        <v>P</v>
      </c>
      <c r="B1481" t="str">
        <f>IF(LEN('Ch7'!H612)=0,"",'Ch7'!H612)</f>
        <v/>
      </c>
      <c r="C1481" t="str">
        <f t="shared" si="39"/>
        <v>P</v>
      </c>
      <c r="D1481" s="31"/>
      <c r="E1481" s="487"/>
      <c r="F1481" s="487"/>
      <c r="G1481" s="881"/>
      <c r="H1481" s="913"/>
      <c r="J1481" s="580"/>
    </row>
    <row r="1482" spans="1:10" x14ac:dyDescent="0.35">
      <c r="A1482" s="366" t="str">
        <f>A1481</f>
        <v>P</v>
      </c>
      <c r="B1482" t="str">
        <f>IF(LEN('Ch7'!H613)=0,"",'Ch7'!H613)</f>
        <v/>
      </c>
      <c r="C1482" t="str">
        <f t="shared" si="39"/>
        <v>P</v>
      </c>
      <c r="D1482" s="31"/>
      <c r="E1482" s="487"/>
      <c r="F1482" s="487"/>
      <c r="G1482" s="881"/>
      <c r="H1482" s="913"/>
      <c r="J1482" s="580"/>
    </row>
    <row r="1483" spans="1:10" x14ac:dyDescent="0.35">
      <c r="A1483" s="366" t="str">
        <f>A1482</f>
        <v>P</v>
      </c>
      <c r="B1483" t="str">
        <f>IF(LEN('Ch7'!H614)=0,"",'Ch7'!H614)</f>
        <v/>
      </c>
      <c r="C1483" t="str">
        <f t="shared" si="39"/>
        <v>P</v>
      </c>
      <c r="D1483" s="31"/>
      <c r="E1483" s="487"/>
      <c r="F1483" s="487"/>
      <c r="G1483" s="881"/>
      <c r="H1483" s="913"/>
      <c r="J1483" s="580"/>
    </row>
    <row r="1484" spans="1:10" x14ac:dyDescent="0.35">
      <c r="A1484" s="366" t="str">
        <f>A1483</f>
        <v>P</v>
      </c>
      <c r="B1484" t="str">
        <f>IF(LEN('Ch7'!H615)=0,"",'Ch7'!H615)</f>
        <v/>
      </c>
      <c r="C1484" t="str">
        <f t="shared" si="39"/>
        <v>P</v>
      </c>
      <c r="D1484" s="403"/>
      <c r="E1484" s="614"/>
      <c r="F1484" s="614"/>
      <c r="G1484" s="882"/>
      <c r="H1484" s="913"/>
      <c r="J1484" s="580"/>
    </row>
    <row r="1485" spans="1:10" x14ac:dyDescent="0.35">
      <c r="A1485" s="366" t="str">
        <f>IF(I1485&gt;0,"P","")</f>
        <v/>
      </c>
      <c r="B1485" t="str">
        <f>IF(LEN('Ch7'!H616)=0,"",'Ch7'!H616)</f>
        <v/>
      </c>
      <c r="C1485" t="str">
        <f t="shared" si="39"/>
        <v/>
      </c>
      <c r="D1485" s="31" t="s">
        <v>3618</v>
      </c>
      <c r="E1485" s="487"/>
      <c r="F1485" s="487"/>
      <c r="G1485" s="95" t="s">
        <v>3619</v>
      </c>
      <c r="H1485"/>
      <c r="I1485" s="433">
        <f>SUM(I1486:I1487)</f>
        <v>0</v>
      </c>
      <c r="J1485" s="580"/>
    </row>
    <row r="1486" spans="1:10" x14ac:dyDescent="0.35">
      <c r="A1486" s="366" t="str">
        <f>IF(I1486&gt;0,"P","")</f>
        <v/>
      </c>
      <c r="B1486" t="str">
        <f>IF(LEN('Ch7'!H617)=0,"",'Ch7'!H617)</f>
        <v/>
      </c>
      <c r="C1486" t="str">
        <f t="shared" si="39"/>
        <v/>
      </c>
      <c r="D1486" s="31" t="s">
        <v>1046</v>
      </c>
      <c r="E1486" s="487"/>
      <c r="F1486" s="487"/>
      <c r="G1486" s="838" t="s">
        <v>4827</v>
      </c>
      <c r="H1486"/>
      <c r="I1486" s="433">
        <f>SUM(I1492:I1495)</f>
        <v>0</v>
      </c>
      <c r="J1486" s="580" t="s">
        <v>3924</v>
      </c>
    </row>
    <row r="1487" spans="1:10" x14ac:dyDescent="0.35">
      <c r="A1487" s="366" t="str">
        <f>A1486</f>
        <v/>
      </c>
      <c r="B1487" t="str">
        <f>IF(LEN('Ch7'!H618)=0,"",'Ch7'!H618)</f>
        <v/>
      </c>
      <c r="C1487" t="str">
        <f t="shared" si="39"/>
        <v/>
      </c>
      <c r="D1487" s="31"/>
      <c r="E1487" s="487"/>
      <c r="F1487" s="487"/>
      <c r="G1487" s="838"/>
      <c r="H1487"/>
      <c r="J1487" s="580"/>
    </row>
    <row r="1488" spans="1:10" x14ac:dyDescent="0.35">
      <c r="A1488" s="366" t="str">
        <f>A1487</f>
        <v/>
      </c>
      <c r="B1488" t="str">
        <f>IF(LEN('Ch7'!H619)=0,"",'Ch7'!H619)</f>
        <v/>
      </c>
      <c r="C1488" t="str">
        <f t="shared" si="39"/>
        <v/>
      </c>
      <c r="D1488" s="31"/>
      <c r="E1488" s="487"/>
      <c r="F1488" s="487"/>
      <c r="G1488" s="838"/>
      <c r="H1488"/>
      <c r="J1488" s="580"/>
    </row>
    <row r="1489" spans="1:10" x14ac:dyDescent="0.35">
      <c r="B1489" t="str">
        <f>IF(LEN('Ch7'!H620)=0,"",'Ch7'!H620)</f>
        <v/>
      </c>
      <c r="C1489" t="str">
        <f t="shared" si="39"/>
        <v/>
      </c>
      <c r="D1489" s="31"/>
      <c r="E1489" s="487"/>
      <c r="F1489" s="487"/>
      <c r="G1489" s="895" t="s">
        <v>1045</v>
      </c>
      <c r="H1489"/>
      <c r="J1489" s="580"/>
    </row>
    <row r="1490" spans="1:10" x14ac:dyDescent="0.35">
      <c r="B1490" t="str">
        <f>IF(LEN('Ch7'!H621)=0,"",'Ch7'!H621)</f>
        <v/>
      </c>
      <c r="C1490" t="str">
        <f t="shared" ref="C1490:C1553" si="40">IF(LEN(B1490)=0,IF(A1490="P","P",""),B1490)</f>
        <v/>
      </c>
      <c r="D1490" s="31"/>
      <c r="E1490" s="487"/>
      <c r="F1490" s="487"/>
      <c r="G1490" s="895"/>
      <c r="H1490"/>
      <c r="J1490" s="580"/>
    </row>
    <row r="1491" spans="1:10" x14ac:dyDescent="0.35">
      <c r="B1491" t="str">
        <f>IF(LEN('Ch7'!H622)=0,"",'Ch7'!H622)</f>
        <v/>
      </c>
      <c r="C1491" t="str">
        <f t="shared" si="40"/>
        <v/>
      </c>
      <c r="D1491" s="31"/>
      <c r="E1491" s="487"/>
      <c r="F1491" s="487"/>
      <c r="G1491" s="92" t="s">
        <v>3621</v>
      </c>
      <c r="H1491"/>
      <c r="J1491" s="580"/>
    </row>
    <row r="1492" spans="1:10" x14ac:dyDescent="0.35">
      <c r="B1492" t="str">
        <f>IF(LEN('Ch7'!H623)=0,"",'Ch7'!H623)</f>
        <v/>
      </c>
      <c r="C1492" t="str">
        <f t="shared" si="40"/>
        <v/>
      </c>
      <c r="D1492" s="31"/>
      <c r="E1492" s="426" t="s">
        <v>256</v>
      </c>
      <c r="F1492" s="487"/>
      <c r="G1492" s="90" t="s">
        <v>1047</v>
      </c>
      <c r="H1492" s="400" t="str">
        <f>IF(LEN('Ch7'!W623)=0,"",'Ch7'!W623)</f>
        <v/>
      </c>
      <c r="I1492" s="46">
        <f>'Ch7'!O623</f>
        <v>0</v>
      </c>
      <c r="J1492" s="580"/>
    </row>
    <row r="1493" spans="1:10" x14ac:dyDescent="0.35">
      <c r="B1493" t="str">
        <f>IF(LEN('Ch7'!H624)=0,"",'Ch7'!H624)</f>
        <v/>
      </c>
      <c r="C1493" t="str">
        <f t="shared" si="40"/>
        <v/>
      </c>
      <c r="D1493" s="31"/>
      <c r="G1493" s="565"/>
      <c r="H1493"/>
      <c r="J1493" s="580"/>
    </row>
    <row r="1494" spans="1:10" x14ac:dyDescent="0.35">
      <c r="B1494" t="str">
        <f>IF(LEN('Ch7'!H625)=0,"",'Ch7'!H625)</f>
        <v/>
      </c>
      <c r="C1494" t="str">
        <f t="shared" si="40"/>
        <v/>
      </c>
      <c r="D1494" s="31"/>
      <c r="E1494" s="619"/>
      <c r="F1494" s="619"/>
      <c r="G1494" s="586"/>
      <c r="H1494" s="400" t="str">
        <f>IF(LEN('Ch7'!W625)=0,"",'Ch7'!W625)</f>
        <v/>
      </c>
      <c r="J1494" s="580"/>
    </row>
    <row r="1495" spans="1:10" x14ac:dyDescent="0.35">
      <c r="B1495" t="str">
        <f>IF(LEN('Ch7'!H626)=0,"",'Ch7'!H626)</f>
        <v/>
      </c>
      <c r="C1495" t="str">
        <f t="shared" si="40"/>
        <v/>
      </c>
      <c r="D1495" s="31"/>
      <c r="E1495" s="426" t="s">
        <v>258</v>
      </c>
      <c r="F1495" s="487"/>
      <c r="G1495" s="90" t="s">
        <v>1048</v>
      </c>
      <c r="H1495" s="400" t="str">
        <f>IF(LEN('Ch7'!W626)=0,"",'Ch7'!W626)</f>
        <v/>
      </c>
      <c r="I1495" s="46">
        <f>'Ch7'!O626</f>
        <v>0</v>
      </c>
      <c r="J1495" s="580"/>
    </row>
    <row r="1496" spans="1:10" x14ac:dyDescent="0.35">
      <c r="B1496" t="str">
        <f>IF(LEN('Ch7'!H627)=0,"",'Ch7'!H627)</f>
        <v/>
      </c>
      <c r="C1496" t="str">
        <f t="shared" si="40"/>
        <v/>
      </c>
      <c r="D1496" s="31"/>
      <c r="E1496" s="426"/>
      <c r="F1496" s="487"/>
      <c r="G1496" s="984" t="s">
        <v>3622</v>
      </c>
      <c r="H1496"/>
      <c r="J1496" s="580"/>
    </row>
    <row r="1497" spans="1:10" x14ac:dyDescent="0.35">
      <c r="B1497" t="str">
        <f>IF(LEN('Ch7'!H628)=0,"",'Ch7'!H628)</f>
        <v/>
      </c>
      <c r="C1497" t="str">
        <f t="shared" si="40"/>
        <v/>
      </c>
      <c r="D1497" s="403"/>
      <c r="E1497" s="427"/>
      <c r="F1497" s="614"/>
      <c r="G1497" s="987"/>
      <c r="H1497"/>
      <c r="J1497" s="580"/>
    </row>
    <row r="1498" spans="1:10" x14ac:dyDescent="0.35">
      <c r="A1498" s="366" t="str">
        <f>IF(I1498&gt;0,"P","")</f>
        <v/>
      </c>
      <c r="B1498" t="str">
        <f>IF(LEN('Ch7'!H629)=0,"",'Ch7'!H629)</f>
        <v/>
      </c>
      <c r="C1498" t="str">
        <f t="shared" si="40"/>
        <v/>
      </c>
      <c r="D1498" s="31" t="s">
        <v>1049</v>
      </c>
      <c r="E1498" s="487"/>
      <c r="F1498" s="487"/>
      <c r="G1498" s="838" t="s">
        <v>4336</v>
      </c>
      <c r="H1498"/>
      <c r="I1498" s="433">
        <f>SUM(I1501:I1503)</f>
        <v>0</v>
      </c>
      <c r="J1498" s="975" t="s">
        <v>5009</v>
      </c>
    </row>
    <row r="1499" spans="1:10" x14ac:dyDescent="0.35">
      <c r="A1499" s="366" t="str">
        <f>A1498</f>
        <v/>
      </c>
      <c r="B1499" t="str">
        <f>IF(LEN('Ch7'!H630)=0,"",'Ch7'!H630)</f>
        <v/>
      </c>
      <c r="C1499" t="str">
        <f t="shared" si="40"/>
        <v/>
      </c>
      <c r="D1499" s="31"/>
      <c r="E1499" s="487"/>
      <c r="F1499" s="487"/>
      <c r="G1499" s="838"/>
      <c r="H1499"/>
      <c r="J1499" s="976"/>
    </row>
    <row r="1500" spans="1:10" x14ac:dyDescent="0.35">
      <c r="A1500" s="366" t="str">
        <f>A1499</f>
        <v/>
      </c>
      <c r="B1500" t="str">
        <f>IF(LEN('Ch7'!H631)=0,"",'Ch7'!H631)</f>
        <v/>
      </c>
      <c r="C1500" t="str">
        <f t="shared" si="40"/>
        <v/>
      </c>
      <c r="D1500" s="31"/>
      <c r="E1500" s="487"/>
      <c r="F1500" s="487"/>
      <c r="G1500" s="838"/>
      <c r="H1500"/>
      <c r="J1500" s="580"/>
    </row>
    <row r="1501" spans="1:10" x14ac:dyDescent="0.35">
      <c r="B1501" t="str">
        <f>IF(LEN('Ch7'!H632)=0,"",'Ch7'!H632)</f>
        <v/>
      </c>
      <c r="C1501" t="str">
        <f t="shared" si="40"/>
        <v/>
      </c>
      <c r="D1501" s="31"/>
      <c r="E1501" s="426" t="s">
        <v>256</v>
      </c>
      <c r="F1501" s="487"/>
      <c r="G1501" s="814" t="s">
        <v>1050</v>
      </c>
      <c r="H1501" s="400" t="str">
        <f>IF(LEN('Ch7'!W632)=0,"",'Ch7'!W632)</f>
        <v/>
      </c>
      <c r="I1501" s="46">
        <f>'Ch7'!O632</f>
        <v>0</v>
      </c>
      <c r="J1501" s="580"/>
    </row>
    <row r="1502" spans="1:10" x14ac:dyDescent="0.35">
      <c r="B1502" t="str">
        <f>IF(LEN('Ch7'!H633)=0,"",'Ch7'!H633)</f>
        <v/>
      </c>
      <c r="C1502" t="str">
        <f t="shared" si="40"/>
        <v/>
      </c>
      <c r="D1502" s="31"/>
      <c r="E1502" s="427"/>
      <c r="F1502" s="614"/>
      <c r="G1502" s="815"/>
      <c r="H1502"/>
      <c r="J1502" s="580"/>
    </row>
    <row r="1503" spans="1:10" x14ac:dyDescent="0.35">
      <c r="B1503" t="str">
        <f>IF(LEN('Ch7'!H634)=0,"",'Ch7'!H634)</f>
        <v/>
      </c>
      <c r="C1503" t="str">
        <f t="shared" si="40"/>
        <v/>
      </c>
      <c r="D1503" s="31"/>
      <c r="E1503" s="426" t="s">
        <v>258</v>
      </c>
      <c r="F1503" s="487"/>
      <c r="G1503" s="90" t="s">
        <v>1051</v>
      </c>
      <c r="H1503" s="400" t="str">
        <f>IF(LEN('Ch7'!W634)=0,"",'Ch7'!W634)</f>
        <v/>
      </c>
      <c r="I1503" s="46">
        <f>'Ch7'!O634</f>
        <v>0</v>
      </c>
      <c r="J1503" s="580"/>
    </row>
    <row r="1504" spans="1:10" x14ac:dyDescent="0.35">
      <c r="B1504" t="str">
        <f>IF(LEN('Ch7'!H635)=0,"",'Ch7'!H635)</f>
        <v/>
      </c>
      <c r="C1504" t="str">
        <f t="shared" si="40"/>
        <v/>
      </c>
      <c r="D1504" s="31"/>
      <c r="E1504" s="426"/>
      <c r="F1504" s="487"/>
      <c r="G1504" s="984" t="s">
        <v>3623</v>
      </c>
      <c r="H1504"/>
      <c r="J1504" s="580"/>
    </row>
    <row r="1505" spans="1:10" x14ac:dyDescent="0.35">
      <c r="B1505" t="str">
        <f>IF(LEN('Ch7'!H636)=0,"",'Ch7'!H636)</f>
        <v/>
      </c>
      <c r="C1505" t="str">
        <f t="shared" si="40"/>
        <v/>
      </c>
      <c r="D1505" s="403"/>
      <c r="E1505" s="427"/>
      <c r="F1505" s="614"/>
      <c r="G1505" s="987"/>
      <c r="H1505"/>
      <c r="J1505" s="580"/>
    </row>
    <row r="1506" spans="1:10" x14ac:dyDescent="0.35">
      <c r="A1506" s="366" t="str">
        <f ca="1">IF(I1506&gt;0,"P","")</f>
        <v/>
      </c>
      <c r="B1506" t="str">
        <f>IF(LEN('Ch7'!H637)=0,"",'Ch7'!H637)</f>
        <v/>
      </c>
      <c r="C1506" t="str">
        <f t="shared" ca="1" si="40"/>
        <v/>
      </c>
      <c r="D1506" s="31" t="s">
        <v>1052</v>
      </c>
      <c r="E1506" s="487"/>
      <c r="F1506" s="487"/>
      <c r="G1506" s="95" t="s">
        <v>1053</v>
      </c>
      <c r="H1506" s="400" t="str">
        <f>IF(LEN('Ch7'!W637)=0,"",'Ch7'!W637)</f>
        <v/>
      </c>
      <c r="I1506" s="46">
        <f ca="1">'Ch7'!O637</f>
        <v>0</v>
      </c>
      <c r="J1506" s="580" t="s">
        <v>3891</v>
      </c>
    </row>
    <row r="1507" spans="1:10" x14ac:dyDescent="0.35">
      <c r="B1507" t="str">
        <f>IF(LEN('Ch7'!H638)=0,"",'Ch7'!H638)</f>
        <v/>
      </c>
      <c r="C1507" t="str">
        <f t="shared" si="40"/>
        <v/>
      </c>
      <c r="D1507" s="31"/>
      <c r="E1507" s="487"/>
      <c r="F1507" s="487"/>
      <c r="G1507" s="92" t="s">
        <v>1054</v>
      </c>
      <c r="H1507"/>
      <c r="J1507" s="580"/>
    </row>
    <row r="1508" spans="1:10" x14ac:dyDescent="0.35">
      <c r="B1508" t="str">
        <f>IF(LEN('Ch7'!H639)=0,"",'Ch7'!H639)</f>
        <v/>
      </c>
      <c r="C1508" t="str">
        <f t="shared" si="40"/>
        <v/>
      </c>
      <c r="D1508" s="31"/>
      <c r="E1508" s="487"/>
      <c r="F1508" s="487"/>
      <c r="G1508" s="92" t="s">
        <v>3546</v>
      </c>
      <c r="H1508"/>
      <c r="J1508" s="580"/>
    </row>
    <row r="1509" spans="1:10" x14ac:dyDescent="0.35">
      <c r="B1509" t="str">
        <f>IF(LEN('Ch7'!H640)=0,"",'Ch7'!H640)</f>
        <v/>
      </c>
      <c r="C1509" t="str">
        <f t="shared" si="40"/>
        <v/>
      </c>
      <c r="D1509" s="31"/>
      <c r="E1509" s="427" t="s">
        <v>256</v>
      </c>
      <c r="F1509" s="614"/>
      <c r="G1509" s="228" t="s">
        <v>3547</v>
      </c>
      <c r="H1509"/>
      <c r="J1509" s="580"/>
    </row>
    <row r="1510" spans="1:10" x14ac:dyDescent="0.35">
      <c r="B1510" t="str">
        <f>IF(LEN('Ch7'!H641)=0,"",'Ch7'!H641)</f>
        <v/>
      </c>
      <c r="C1510" t="str">
        <f t="shared" si="40"/>
        <v/>
      </c>
      <c r="D1510" s="31"/>
      <c r="E1510" s="426" t="s">
        <v>258</v>
      </c>
      <c r="F1510" s="487"/>
      <c r="G1510" s="814" t="s">
        <v>3548</v>
      </c>
      <c r="H1510"/>
      <c r="J1510" s="580"/>
    </row>
    <row r="1511" spans="1:10" x14ac:dyDescent="0.35">
      <c r="B1511" t="str">
        <f>IF(LEN('Ch7'!H642)=0,"",'Ch7'!H642)</f>
        <v/>
      </c>
      <c r="C1511" t="str">
        <f t="shared" si="40"/>
        <v/>
      </c>
      <c r="D1511" s="403"/>
      <c r="E1511" s="619"/>
      <c r="F1511" s="614"/>
      <c r="G1511" s="815"/>
      <c r="H1511"/>
      <c r="J1511" s="580"/>
    </row>
    <row r="1512" spans="1:10" x14ac:dyDescent="0.35">
      <c r="A1512" s="366" t="str">
        <f>IF(I1512&gt;0,"P","")</f>
        <v/>
      </c>
      <c r="B1512" t="str">
        <f>IF(LEN('Ch7'!H643)=0,"",'Ch7'!H643)</f>
        <v/>
      </c>
      <c r="C1512" t="str">
        <f t="shared" si="40"/>
        <v/>
      </c>
      <c r="D1512" s="31" t="s">
        <v>3545</v>
      </c>
      <c r="E1512" s="487"/>
      <c r="F1512" s="487"/>
      <c r="G1512" s="919" t="s">
        <v>3549</v>
      </c>
      <c r="H1512" s="400" t="str">
        <f>IF(LEN('Ch7'!W643)=0,"",'Ch7'!W643)</f>
        <v/>
      </c>
      <c r="I1512" s="46">
        <f>'Ch7'!O643</f>
        <v>0</v>
      </c>
      <c r="J1512" s="580" t="s">
        <v>3891</v>
      </c>
    </row>
    <row r="1513" spans="1:10" x14ac:dyDescent="0.35">
      <c r="A1513" s="366" t="str">
        <f>A1512</f>
        <v/>
      </c>
      <c r="B1513" t="str">
        <f>IF(LEN('Ch7'!H644)=0,"",'Ch7'!H644)</f>
        <v/>
      </c>
      <c r="C1513" t="str">
        <f t="shared" si="40"/>
        <v/>
      </c>
      <c r="D1513" s="31"/>
      <c r="E1513" s="487"/>
      <c r="F1513" s="487"/>
      <c r="G1513" s="919"/>
      <c r="H1513"/>
      <c r="J1513" s="580"/>
    </row>
    <row r="1514" spans="1:10" x14ac:dyDescent="0.35">
      <c r="B1514" t="str">
        <f>IF(LEN('Ch7'!H645)=0,"",'Ch7'!H645)</f>
        <v/>
      </c>
      <c r="C1514" t="str">
        <f t="shared" si="40"/>
        <v/>
      </c>
      <c r="D1514" s="31"/>
      <c r="E1514" s="487"/>
      <c r="F1514" s="487"/>
      <c r="G1514" s="92" t="s">
        <v>1054</v>
      </c>
      <c r="H1514" s="400" t="str">
        <f>IF(LEN('Ch7'!W645)=0,"",'Ch7'!W645)</f>
        <v/>
      </c>
      <c r="J1514" s="580"/>
    </row>
    <row r="1515" spans="1:10" x14ac:dyDescent="0.35">
      <c r="B1515" t="str">
        <f>IF(LEN('Ch7'!H646)=0,"",'Ch7'!H646)</f>
        <v/>
      </c>
      <c r="C1515" t="str">
        <f t="shared" si="40"/>
        <v/>
      </c>
      <c r="D1515" s="31"/>
      <c r="E1515" s="487"/>
      <c r="F1515" s="426" t="s">
        <v>121</v>
      </c>
      <c r="G1515" s="90" t="s">
        <v>1055</v>
      </c>
      <c r="H1515"/>
      <c r="J1515" s="580"/>
    </row>
    <row r="1516" spans="1:10" x14ac:dyDescent="0.35">
      <c r="B1516" t="str">
        <f>IF(LEN('Ch7'!H647)=0,"",'Ch7'!H647)</f>
        <v/>
      </c>
      <c r="C1516" t="str">
        <f t="shared" si="40"/>
        <v/>
      </c>
      <c r="D1516" s="31"/>
      <c r="E1516" s="487"/>
      <c r="F1516" s="426" t="s">
        <v>122</v>
      </c>
      <c r="G1516" s="470" t="s">
        <v>4337</v>
      </c>
      <c r="H1516"/>
      <c r="J1516" s="580"/>
    </row>
    <row r="1517" spans="1:10" x14ac:dyDescent="0.35">
      <c r="B1517" t="str">
        <f>IF(LEN('Ch7'!H648)=0,"",'Ch7'!H648)</f>
        <v/>
      </c>
      <c r="C1517" t="str">
        <f t="shared" si="40"/>
        <v/>
      </c>
      <c r="D1517" s="31"/>
      <c r="E1517" s="487"/>
      <c r="F1517" s="428" t="s">
        <v>123</v>
      </c>
      <c r="G1517" s="90" t="s">
        <v>1056</v>
      </c>
      <c r="H1517"/>
      <c r="J1517" s="580"/>
    </row>
    <row r="1518" spans="1:10" x14ac:dyDescent="0.35">
      <c r="B1518" t="str">
        <f>IF(LEN('Ch7'!H649)=0,"",'Ch7'!H649)</f>
        <v/>
      </c>
      <c r="C1518" t="str">
        <f t="shared" si="40"/>
        <v/>
      </c>
      <c r="D1518" s="31"/>
      <c r="E1518" s="487"/>
      <c r="F1518" s="487" t="s">
        <v>401</v>
      </c>
      <c r="G1518" s="90" t="s">
        <v>1057</v>
      </c>
      <c r="H1518"/>
      <c r="J1518" s="580"/>
    </row>
    <row r="1519" spans="1:10" x14ac:dyDescent="0.35">
      <c r="B1519" t="str">
        <f>IF(LEN('Ch7'!H650)=0,"",'Ch7'!H650)</f>
        <v/>
      </c>
      <c r="C1519" t="str">
        <f t="shared" si="40"/>
        <v/>
      </c>
      <c r="D1519" s="31"/>
      <c r="E1519" s="487"/>
      <c r="F1519" s="487" t="s">
        <v>539</v>
      </c>
      <c r="G1519" s="90" t="s">
        <v>1058</v>
      </c>
      <c r="H1519"/>
      <c r="J1519" s="580"/>
    </row>
    <row r="1520" spans="1:10" x14ac:dyDescent="0.35">
      <c r="B1520" t="str">
        <f>IF(LEN('Ch7'!H651)=0,"",'Ch7'!H651)</f>
        <v/>
      </c>
      <c r="C1520" t="str">
        <f t="shared" si="40"/>
        <v/>
      </c>
      <c r="D1520" s="31"/>
      <c r="E1520" s="487"/>
      <c r="F1520" s="428" t="s">
        <v>604</v>
      </c>
      <c r="G1520" s="90" t="s">
        <v>1059</v>
      </c>
      <c r="H1520"/>
      <c r="J1520" s="580"/>
    </row>
    <row r="1521" spans="1:10" x14ac:dyDescent="0.35">
      <c r="B1521" t="str">
        <f>IF(LEN('Ch7'!H652)=0,"",'Ch7'!H652)</f>
        <v/>
      </c>
      <c r="C1521" t="str">
        <f t="shared" si="40"/>
        <v/>
      </c>
      <c r="D1521" s="31"/>
      <c r="E1521" s="487"/>
      <c r="F1521" s="487" t="s">
        <v>606</v>
      </c>
      <c r="G1521" s="848" t="s">
        <v>1060</v>
      </c>
      <c r="H1521"/>
      <c r="J1521" s="580"/>
    </row>
    <row r="1522" spans="1:10" x14ac:dyDescent="0.35">
      <c r="B1522" t="str">
        <f>IF(LEN('Ch7'!H653)=0,"",'Ch7'!H653)</f>
        <v/>
      </c>
      <c r="C1522" t="str">
        <f t="shared" si="40"/>
        <v/>
      </c>
      <c r="D1522" s="403"/>
      <c r="E1522" s="614"/>
      <c r="F1522" s="614"/>
      <c r="G1522" s="821"/>
      <c r="H1522"/>
      <c r="J1522" s="580"/>
    </row>
    <row r="1523" spans="1:10" x14ac:dyDescent="0.35">
      <c r="A1523" s="366" t="str">
        <f ca="1">IF(I1523&gt;0,"P","")</f>
        <v/>
      </c>
      <c r="B1523" t="str">
        <f>IF(LEN('Ch7'!H654)=0,"",'Ch7'!H654)</f>
        <v/>
      </c>
      <c r="C1523" t="str">
        <f t="shared" ca="1" si="40"/>
        <v/>
      </c>
      <c r="D1523" s="31" t="s">
        <v>1061</v>
      </c>
      <c r="E1523" s="487"/>
      <c r="F1523" s="487"/>
      <c r="G1523" s="157" t="s">
        <v>1062</v>
      </c>
      <c r="H1523"/>
      <c r="I1523" s="433">
        <f ca="1">SUM(I1524:I1526)</f>
        <v>0</v>
      </c>
      <c r="J1523" s="580" t="s">
        <v>3891</v>
      </c>
    </row>
    <row r="1524" spans="1:10" x14ac:dyDescent="0.35">
      <c r="A1524" s="366" t="str">
        <f ca="1">IF(I1524&gt;0,"P","")</f>
        <v/>
      </c>
      <c r="B1524" t="str">
        <f>IF(LEN('Ch7'!H655)=0,"",'Ch7'!H655)</f>
        <v/>
      </c>
      <c r="C1524" t="str">
        <f t="shared" ca="1" si="40"/>
        <v/>
      </c>
      <c r="D1524" s="31" t="s">
        <v>1063</v>
      </c>
      <c r="E1524" s="487"/>
      <c r="F1524" s="487"/>
      <c r="G1524" s="933" t="s">
        <v>1064</v>
      </c>
      <c r="H1524" s="400" t="str">
        <f>IF(LEN('Ch7'!W655)=0,"",'Ch7'!W655)</f>
        <v/>
      </c>
      <c r="I1524" s="46">
        <f ca="1">'Ch7'!O655</f>
        <v>0</v>
      </c>
      <c r="J1524" s="580"/>
    </row>
    <row r="1525" spans="1:10" x14ac:dyDescent="0.35">
      <c r="A1525" s="366" t="str">
        <f ca="1">A1524</f>
        <v/>
      </c>
      <c r="B1525" t="str">
        <f>IF(LEN('Ch7'!H656)=0,"",'Ch7'!H656)</f>
        <v/>
      </c>
      <c r="C1525" t="str">
        <f t="shared" ca="1" si="40"/>
        <v/>
      </c>
      <c r="D1525" s="403"/>
      <c r="E1525" s="614"/>
      <c r="F1525" s="614"/>
      <c r="G1525" s="934"/>
      <c r="H1525"/>
      <c r="J1525" s="580"/>
    </row>
    <row r="1526" spans="1:10" x14ac:dyDescent="0.35">
      <c r="A1526" s="366" t="str">
        <f ca="1">IF(I1526&gt;0,"P","")</f>
        <v/>
      </c>
      <c r="B1526" t="str">
        <f>IF(LEN('Ch7'!H657)=0,"",'Ch7'!H657)</f>
        <v/>
      </c>
      <c r="C1526" t="str">
        <f t="shared" ca="1" si="40"/>
        <v/>
      </c>
      <c r="D1526" s="31" t="s">
        <v>1065</v>
      </c>
      <c r="E1526" s="487"/>
      <c r="F1526" s="487"/>
      <c r="G1526" s="883" t="s">
        <v>4338</v>
      </c>
      <c r="H1526" s="400" t="str">
        <f>IF(LEN('Ch7'!W657)=0,"",'Ch7'!W657)</f>
        <v/>
      </c>
      <c r="I1526" s="46">
        <f ca="1">'Ch7'!O657</f>
        <v>0</v>
      </c>
      <c r="J1526" s="580" t="s">
        <v>3891</v>
      </c>
    </row>
    <row r="1527" spans="1:10" ht="15" thickBot="1" x14ac:dyDescent="0.4">
      <c r="A1527" s="366" t="str">
        <f ca="1">A1526</f>
        <v/>
      </c>
      <c r="B1527" t="str">
        <f>IF(LEN('Ch7'!H658)=0,"",'Ch7'!H658)</f>
        <v/>
      </c>
      <c r="C1527" t="str">
        <f t="shared" ca="1" si="40"/>
        <v/>
      </c>
      <c r="D1527" s="404"/>
      <c r="E1527" s="575"/>
      <c r="F1527" s="575"/>
      <c r="G1527" s="931"/>
      <c r="H1527"/>
      <c r="J1527" s="580"/>
    </row>
    <row r="1528" spans="1:10" ht="15" thickTop="1" x14ac:dyDescent="0.35">
      <c r="A1528" s="366" t="str">
        <f ca="1">IF(I1528&gt;0,"P","")</f>
        <v/>
      </c>
      <c r="B1528" t="str">
        <f>IF(LEN('Ch7'!H659)=0,"",'Ch7'!H659)</f>
        <v/>
      </c>
      <c r="C1528" t="str">
        <f t="shared" ca="1" si="40"/>
        <v/>
      </c>
      <c r="D1528" s="31">
        <v>705.7</v>
      </c>
      <c r="E1528" s="487"/>
      <c r="F1528" s="487"/>
      <c r="G1528" s="932" t="s">
        <v>1066</v>
      </c>
      <c r="H1528" s="400" t="str">
        <f>IF(LEN('Ch7'!W659)=0,"",'Ch7'!W659)</f>
        <v/>
      </c>
      <c r="I1528" s="46">
        <f ca="1">'Ch7'!O659</f>
        <v>0</v>
      </c>
      <c r="J1528" s="580" t="s">
        <v>3891</v>
      </c>
    </row>
    <row r="1529" spans="1:10" x14ac:dyDescent="0.35">
      <c r="A1529" s="366" t="str">
        <f ca="1">A1528</f>
        <v/>
      </c>
      <c r="B1529" t="str">
        <f>IF(LEN('Ch7'!H660)=0,"",'Ch7'!H660)</f>
        <v/>
      </c>
      <c r="C1529" t="str">
        <f t="shared" ca="1" si="40"/>
        <v/>
      </c>
      <c r="D1529" s="31"/>
      <c r="E1529" s="487"/>
      <c r="F1529" s="487"/>
      <c r="G1529" s="932"/>
      <c r="H1529"/>
      <c r="J1529" s="580"/>
    </row>
    <row r="1530" spans="1:10" x14ac:dyDescent="0.35">
      <c r="A1530" s="366" t="str">
        <f ca="1">A1529</f>
        <v/>
      </c>
      <c r="B1530" t="str">
        <f>IF(LEN('Ch7'!H661)=0,"",'Ch7'!H661)</f>
        <v/>
      </c>
      <c r="C1530" t="str">
        <f t="shared" ca="1" si="40"/>
        <v/>
      </c>
      <c r="D1530" s="31"/>
      <c r="E1530" s="487"/>
      <c r="F1530" s="487"/>
      <c r="G1530" s="932"/>
      <c r="H1530"/>
      <c r="J1530" s="580"/>
    </row>
    <row r="1531" spans="1:10" x14ac:dyDescent="0.35">
      <c r="A1531" s="366" t="str">
        <f ca="1">A1530</f>
        <v/>
      </c>
      <c r="B1531" t="str">
        <f>IF(LEN('Ch7'!H662)=0,"",'Ch7'!H662)</f>
        <v/>
      </c>
      <c r="C1531" t="str">
        <f t="shared" ca="1" si="40"/>
        <v/>
      </c>
      <c r="D1531" s="31"/>
      <c r="E1531" s="487"/>
      <c r="F1531" s="487"/>
      <c r="G1531" s="932"/>
      <c r="H1531"/>
      <c r="J1531" s="580"/>
    </row>
    <row r="1532" spans="1:10" ht="18.5" x14ac:dyDescent="0.35">
      <c r="A1532" s="366" t="s">
        <v>3973</v>
      </c>
      <c r="B1532" t="str">
        <f>IF(LEN('Ch7'!H663)=0,"",'Ch7'!H663)</f>
        <v/>
      </c>
      <c r="C1532" t="str">
        <f t="shared" si="40"/>
        <v>P</v>
      </c>
      <c r="D1532" s="620" t="s">
        <v>1067</v>
      </c>
      <c r="E1532" s="629"/>
      <c r="F1532" s="629"/>
      <c r="G1532" s="602"/>
      <c r="H1532"/>
      <c r="J1532" s="580"/>
    </row>
    <row r="1533" spans="1:10" x14ac:dyDescent="0.35">
      <c r="A1533" s="366" t="str">
        <f>IF(I1533&gt;0,"P","")</f>
        <v/>
      </c>
      <c r="B1533" t="str">
        <f>IF(LEN('Ch7'!H664)=0,"",'Ch7'!H664)</f>
        <v/>
      </c>
      <c r="C1533" t="str">
        <f t="shared" si="40"/>
        <v/>
      </c>
      <c r="D1533" s="31">
        <v>706.1</v>
      </c>
      <c r="E1533" s="487"/>
      <c r="F1533" s="487"/>
      <c r="G1533" s="881" t="s">
        <v>4339</v>
      </c>
      <c r="H1533"/>
      <c r="I1533" s="46">
        <f>'Ch7'!O664</f>
        <v>0</v>
      </c>
      <c r="J1533" s="580" t="s">
        <v>3925</v>
      </c>
    </row>
    <row r="1534" spans="1:10" x14ac:dyDescent="0.35">
      <c r="A1534" s="366" t="str">
        <f>A1533</f>
        <v/>
      </c>
      <c r="B1534" t="str">
        <f>IF(LEN('Ch7'!H665)=0,"",'Ch7'!H665)</f>
        <v/>
      </c>
      <c r="C1534" t="str">
        <f t="shared" si="40"/>
        <v/>
      </c>
      <c r="D1534" s="31"/>
      <c r="E1534" s="487"/>
      <c r="F1534" s="487"/>
      <c r="G1534" s="881"/>
      <c r="H1534"/>
      <c r="J1534" s="580"/>
    </row>
    <row r="1535" spans="1:10" x14ac:dyDescent="0.35">
      <c r="B1535" t="str">
        <f>IF(LEN('Ch7'!H666)=0,"",'Ch7'!H666)</f>
        <v/>
      </c>
      <c r="C1535" t="str">
        <f t="shared" si="40"/>
        <v/>
      </c>
      <c r="D1535" s="31"/>
      <c r="E1535" s="427" t="s">
        <v>256</v>
      </c>
      <c r="F1535" s="614"/>
      <c r="G1535" s="228" t="s">
        <v>1068</v>
      </c>
      <c r="H1535" s="400" t="str">
        <f>IF(LEN('Ch7'!W666)=0,"",'Ch7'!W666)</f>
        <v/>
      </c>
      <c r="J1535" s="580"/>
    </row>
    <row r="1536" spans="1:10" x14ac:dyDescent="0.35">
      <c r="B1536" t="str">
        <f>IF(LEN('Ch7'!H667)=0,"",'Ch7'!H667)</f>
        <v/>
      </c>
      <c r="C1536" t="str">
        <f t="shared" si="40"/>
        <v/>
      </c>
      <c r="D1536" s="31"/>
      <c r="E1536" s="430" t="s">
        <v>258</v>
      </c>
      <c r="F1536" s="626"/>
      <c r="G1536" s="178" t="s">
        <v>1069</v>
      </c>
      <c r="H1536" s="400" t="str">
        <f>IF(LEN('Ch7'!W667)=0,"",'Ch7'!W667)</f>
        <v/>
      </c>
      <c r="J1536" s="580"/>
    </row>
    <row r="1537" spans="1:10" x14ac:dyDescent="0.35">
      <c r="B1537" t="str">
        <f>IF(LEN('Ch7'!H668)=0,"",'Ch7'!H668)</f>
        <v/>
      </c>
      <c r="C1537" t="str">
        <f t="shared" si="40"/>
        <v/>
      </c>
      <c r="D1537" s="31"/>
      <c r="E1537" s="430" t="s">
        <v>260</v>
      </c>
      <c r="F1537" s="626"/>
      <c r="G1537" s="178" t="s">
        <v>1070</v>
      </c>
      <c r="H1537" s="400" t="str">
        <f>IF(LEN('Ch7'!W668)=0,"",'Ch7'!W668)</f>
        <v/>
      </c>
      <c r="J1537" s="580"/>
    </row>
    <row r="1538" spans="1:10" x14ac:dyDescent="0.35">
      <c r="B1538" t="str">
        <f>IF(LEN('Ch7'!H669)=0,"",'Ch7'!H669)</f>
        <v/>
      </c>
      <c r="C1538" t="str">
        <f t="shared" si="40"/>
        <v/>
      </c>
      <c r="D1538" s="31"/>
      <c r="E1538" s="429" t="s">
        <v>269</v>
      </c>
      <c r="F1538" s="615"/>
      <c r="G1538" s="820" t="s">
        <v>1071</v>
      </c>
      <c r="H1538" s="400" t="str">
        <f>IF(LEN('Ch7'!W669)=0,"",'Ch7'!W669)</f>
        <v/>
      </c>
      <c r="J1538" s="580"/>
    </row>
    <row r="1539" spans="1:10" x14ac:dyDescent="0.35">
      <c r="B1539" t="str">
        <f>IF(LEN('Ch7'!H670)=0,"",'Ch7'!H670)</f>
        <v/>
      </c>
      <c r="C1539" t="str">
        <f t="shared" si="40"/>
        <v/>
      </c>
      <c r="D1539" s="31"/>
      <c r="E1539" s="427"/>
      <c r="F1539" s="614"/>
      <c r="G1539" s="821"/>
      <c r="H1539"/>
      <c r="J1539" s="580"/>
    </row>
    <row r="1540" spans="1:10" ht="15" thickBot="1" x14ac:dyDescent="0.4">
      <c r="B1540" t="str">
        <f>IF(LEN('Ch7'!H671)=0,"",'Ch7'!H671)</f>
        <v/>
      </c>
      <c r="C1540" t="str">
        <f t="shared" si="40"/>
        <v/>
      </c>
      <c r="D1540" s="404"/>
      <c r="E1540" s="432" t="s">
        <v>275</v>
      </c>
      <c r="F1540" s="575"/>
      <c r="G1540" s="229" t="s">
        <v>1072</v>
      </c>
      <c r="H1540" s="400" t="str">
        <f>IF(LEN('Ch7'!W671)=0,"",'Ch7'!W671)</f>
        <v/>
      </c>
      <c r="J1540" s="580"/>
    </row>
    <row r="1541" spans="1:10" ht="15" thickTop="1" x14ac:dyDescent="0.35">
      <c r="A1541" s="366" t="str">
        <f ca="1">IF(I1541&gt;0,"P","")</f>
        <v/>
      </c>
      <c r="B1541" t="str">
        <f>IF(LEN('Ch7'!H672)=0,"",'Ch7'!H672)</f>
        <v/>
      </c>
      <c r="C1541" t="str">
        <f t="shared" ca="1" si="40"/>
        <v/>
      </c>
      <c r="D1541" s="31">
        <v>706.2</v>
      </c>
      <c r="E1541" s="487"/>
      <c r="F1541" s="487"/>
      <c r="G1541" s="919" t="s">
        <v>1073</v>
      </c>
      <c r="H1541"/>
      <c r="I1541" s="433">
        <f ca="1">SUM(I1543:I1548)</f>
        <v>0</v>
      </c>
      <c r="J1541" s="580"/>
    </row>
    <row r="1542" spans="1:10" x14ac:dyDescent="0.35">
      <c r="A1542" s="366" t="str">
        <f ca="1">A1541</f>
        <v/>
      </c>
      <c r="B1542" t="str">
        <f>IF(LEN('Ch7'!H673)=0,"",'Ch7'!H673)</f>
        <v/>
      </c>
      <c r="C1542" t="str">
        <f t="shared" ca="1" si="40"/>
        <v/>
      </c>
      <c r="D1542" s="31"/>
      <c r="E1542" s="487"/>
      <c r="F1542" s="487"/>
      <c r="G1542" s="919"/>
      <c r="H1542"/>
      <c r="J1542" s="580"/>
    </row>
    <row r="1543" spans="1:10" x14ac:dyDescent="0.35">
      <c r="A1543" s="366" t="str">
        <f>IF(I1543&gt;0,"P","")</f>
        <v/>
      </c>
      <c r="B1543" t="str">
        <f>IF(LEN('Ch7'!H674)=0,"",'Ch7'!H674)</f>
        <v/>
      </c>
      <c r="C1543" t="str">
        <f t="shared" si="40"/>
        <v/>
      </c>
      <c r="D1543" s="31"/>
      <c r="E1543" s="426" t="s">
        <v>256</v>
      </c>
      <c r="F1543" s="487"/>
      <c r="G1543" s="825" t="s">
        <v>4340</v>
      </c>
      <c r="H1543" s="400" t="str">
        <f>IF(LEN('Ch7'!W674)=0,"",'Ch7'!W674)</f>
        <v/>
      </c>
      <c r="I1543" s="46">
        <f>'Ch7'!O674</f>
        <v>0</v>
      </c>
      <c r="J1543" s="975" t="s">
        <v>3926</v>
      </c>
    </row>
    <row r="1544" spans="1:10" x14ac:dyDescent="0.35">
      <c r="A1544" s="366" t="str">
        <f>A1543</f>
        <v/>
      </c>
      <c r="B1544" t="str">
        <f>IF(LEN('Ch7'!H675)=0,"",'Ch7'!H675)</f>
        <v/>
      </c>
      <c r="C1544" t="str">
        <f t="shared" si="40"/>
        <v/>
      </c>
      <c r="D1544" s="31"/>
      <c r="E1544" s="487"/>
      <c r="F1544" s="487"/>
      <c r="G1544" s="825"/>
      <c r="H1544"/>
      <c r="J1544" s="976"/>
    </row>
    <row r="1545" spans="1:10" x14ac:dyDescent="0.35">
      <c r="A1545" s="366" t="str">
        <f>A1544</f>
        <v/>
      </c>
      <c r="B1545" t="str">
        <f>IF(LEN('Ch7'!H676)=0,"",'Ch7'!H676)</f>
        <v/>
      </c>
      <c r="C1545" t="str">
        <f t="shared" si="40"/>
        <v/>
      </c>
      <c r="D1545" s="31"/>
      <c r="E1545" s="487"/>
      <c r="F1545" s="487"/>
      <c r="G1545" s="825"/>
      <c r="H1545"/>
      <c r="J1545" s="580"/>
    </row>
    <row r="1546" spans="1:10" x14ac:dyDescent="0.35">
      <c r="A1546" s="366" t="str">
        <f>A1545</f>
        <v/>
      </c>
      <c r="B1546" t="str">
        <f>IF(LEN('Ch7'!H677)=0,"",'Ch7'!H677)</f>
        <v/>
      </c>
      <c r="C1546" t="str">
        <f t="shared" si="40"/>
        <v/>
      </c>
      <c r="D1546" s="31"/>
      <c r="E1546" s="487"/>
      <c r="F1546" s="487"/>
      <c r="G1546" s="825"/>
      <c r="H1546"/>
      <c r="J1546" s="580"/>
    </row>
    <row r="1547" spans="1:10" x14ac:dyDescent="0.35">
      <c r="A1547" s="366" t="str">
        <f>A1546</f>
        <v/>
      </c>
      <c r="B1547" t="str">
        <f>IF(LEN('Ch7'!H678)=0,"",'Ch7'!H678)</f>
        <v/>
      </c>
      <c r="C1547" t="str">
        <f t="shared" si="40"/>
        <v/>
      </c>
      <c r="D1547" s="31"/>
      <c r="E1547" s="614"/>
      <c r="F1547" s="614"/>
      <c r="G1547" s="842"/>
      <c r="H1547"/>
      <c r="J1547" s="580"/>
    </row>
    <row r="1548" spans="1:10" x14ac:dyDescent="0.35">
      <c r="A1548" s="366" t="str">
        <f ca="1">IF(I1548&gt;0,"P","")</f>
        <v/>
      </c>
      <c r="B1548" t="str">
        <f>IF(LEN('Ch7'!H679)=0,"",'Ch7'!H679)</f>
        <v/>
      </c>
      <c r="C1548" t="str">
        <f t="shared" ca="1" si="40"/>
        <v/>
      </c>
      <c r="D1548" s="31"/>
      <c r="E1548" s="426" t="s">
        <v>258</v>
      </c>
      <c r="F1548" s="487"/>
      <c r="G1548" s="814" t="s">
        <v>1074</v>
      </c>
      <c r="H1548" s="400" t="str">
        <f>IF(LEN('Ch7'!W679)=0,"",'Ch7'!W679)</f>
        <v/>
      </c>
      <c r="I1548" s="46">
        <f ca="1">'Ch7'!O679</f>
        <v>0</v>
      </c>
      <c r="J1548" s="975" t="s">
        <v>3927</v>
      </c>
    </row>
    <row r="1549" spans="1:10" x14ac:dyDescent="0.35">
      <c r="A1549" s="366" t="str">
        <f ca="1">A1548</f>
        <v/>
      </c>
      <c r="B1549" t="str">
        <f>IF(LEN('Ch7'!H680)=0,"",'Ch7'!H680)</f>
        <v/>
      </c>
      <c r="C1549" t="str">
        <f t="shared" ca="1" si="40"/>
        <v/>
      </c>
      <c r="D1549" s="31"/>
      <c r="E1549" s="487"/>
      <c r="F1549" s="487"/>
      <c r="G1549" s="814"/>
      <c r="H1549"/>
      <c r="J1549" s="976"/>
    </row>
    <row r="1550" spans="1:10" x14ac:dyDescent="0.35">
      <c r="A1550" s="366" t="str">
        <f ca="1">A1549</f>
        <v/>
      </c>
      <c r="B1550" t="str">
        <f>IF(LEN('Ch7'!H681)=0,"",'Ch7'!H681)</f>
        <v/>
      </c>
      <c r="C1550" t="str">
        <f t="shared" ca="1" si="40"/>
        <v/>
      </c>
      <c r="D1550" s="31"/>
      <c r="E1550" s="487"/>
      <c r="F1550" s="487"/>
      <c r="G1550" s="814"/>
      <c r="H1550"/>
      <c r="J1550" s="580"/>
    </row>
    <row r="1551" spans="1:10" x14ac:dyDescent="0.35">
      <c r="B1551" t="str">
        <f>IF(LEN('Ch7'!H682)=0,"",'Ch7'!H682)</f>
        <v/>
      </c>
      <c r="C1551" t="str">
        <f t="shared" si="40"/>
        <v/>
      </c>
      <c r="D1551" s="31"/>
      <c r="E1551" s="487"/>
      <c r="F1551" s="426" t="s">
        <v>121</v>
      </c>
      <c r="G1551" s="814" t="s">
        <v>1075</v>
      </c>
      <c r="H1551"/>
      <c r="J1551" s="580"/>
    </row>
    <row r="1552" spans="1:10" x14ac:dyDescent="0.35">
      <c r="B1552" t="str">
        <f>IF(LEN('Ch7'!H683)=0,"",'Ch7'!H683)</f>
        <v/>
      </c>
      <c r="C1552" t="str">
        <f t="shared" si="40"/>
        <v/>
      </c>
      <c r="D1552" s="31"/>
      <c r="E1552" s="487"/>
      <c r="F1552" s="427"/>
      <c r="G1552" s="815"/>
      <c r="H1552"/>
      <c r="J1552" s="580"/>
    </row>
    <row r="1553" spans="1:10" x14ac:dyDescent="0.35">
      <c r="B1553" t="str">
        <f>IF(LEN('Ch7'!H684)=0,"",'Ch7'!H684)</f>
        <v/>
      </c>
      <c r="C1553" t="str">
        <f t="shared" si="40"/>
        <v/>
      </c>
      <c r="D1553" s="31"/>
      <c r="E1553" s="487"/>
      <c r="F1553" s="426" t="s">
        <v>122</v>
      </c>
      <c r="G1553" s="814" t="s">
        <v>1076</v>
      </c>
      <c r="H1553"/>
      <c r="J1553" s="580"/>
    </row>
    <row r="1554" spans="1:10" ht="15" thickBot="1" x14ac:dyDescent="0.4">
      <c r="B1554" t="str">
        <f>IF(LEN('Ch7'!H685)=0,"",'Ch7'!H685)</f>
        <v/>
      </c>
      <c r="C1554" t="str">
        <f t="shared" ref="C1554:C1617" si="41">IF(LEN(B1554)=0,IF(A1554="P","P",""),B1554)</f>
        <v/>
      </c>
      <c r="D1554" s="404"/>
      <c r="E1554" s="575"/>
      <c r="F1554" s="575"/>
      <c r="G1554" s="839"/>
      <c r="H1554"/>
      <c r="J1554" s="580"/>
    </row>
    <row r="1555" spans="1:10" ht="15" thickTop="1" x14ac:dyDescent="0.35">
      <c r="A1555" s="366" t="str">
        <f>IF(I1555&gt;0,"P","")</f>
        <v/>
      </c>
      <c r="B1555" t="str">
        <f>IF(LEN('Ch7'!H686)=0,"",'Ch7'!H686)</f>
        <v/>
      </c>
      <c r="C1555" t="str">
        <f t="shared" si="41"/>
        <v/>
      </c>
      <c r="D1555" s="31">
        <v>706.3</v>
      </c>
      <c r="E1555" s="487"/>
      <c r="F1555" s="487"/>
      <c r="G1555" s="919" t="s">
        <v>1077</v>
      </c>
      <c r="H1555"/>
      <c r="I1555" s="46">
        <f>'Ch7'!O686</f>
        <v>0</v>
      </c>
      <c r="J1555" s="580" t="s">
        <v>3937</v>
      </c>
    </row>
    <row r="1556" spans="1:10" x14ac:dyDescent="0.35">
      <c r="A1556" s="366" t="str">
        <f>A1555</f>
        <v/>
      </c>
      <c r="B1556" t="str">
        <f>IF(LEN('Ch7'!H687)=0,"",'Ch7'!H687)</f>
        <v/>
      </c>
      <c r="C1556" t="str">
        <f t="shared" si="41"/>
        <v/>
      </c>
      <c r="D1556" s="31"/>
      <c r="E1556" s="487"/>
      <c r="F1556" s="487"/>
      <c r="G1556" s="919"/>
      <c r="H1556"/>
      <c r="J1556" s="580"/>
    </row>
    <row r="1557" spans="1:10" x14ac:dyDescent="0.35">
      <c r="B1557" t="str">
        <f>IF(LEN('Ch7'!H688)=0,"",'Ch7'!H688)</f>
        <v/>
      </c>
      <c r="C1557" t="str">
        <f t="shared" si="41"/>
        <v/>
      </c>
      <c r="D1557" s="31"/>
      <c r="E1557" s="487"/>
      <c r="F1557" s="487"/>
      <c r="G1557" s="158" t="s">
        <v>1078</v>
      </c>
      <c r="H1557"/>
      <c r="J1557" s="580"/>
    </row>
    <row r="1558" spans="1:10" x14ac:dyDescent="0.35">
      <c r="B1558" t="str">
        <f>IF(LEN('Ch7'!H689)=0,"",'Ch7'!H689)</f>
        <v/>
      </c>
      <c r="C1558" t="str">
        <f t="shared" si="41"/>
        <v/>
      </c>
      <c r="D1558" s="31"/>
      <c r="E1558" s="487"/>
      <c r="F1558" s="487"/>
      <c r="G1558" s="158" t="s">
        <v>1079</v>
      </c>
      <c r="H1558"/>
      <c r="J1558" s="580"/>
    </row>
    <row r="1559" spans="1:10" x14ac:dyDescent="0.35">
      <c r="B1559" t="str">
        <f>IF(LEN('Ch7'!H690)=0,"",'Ch7'!H690)</f>
        <v/>
      </c>
      <c r="C1559" t="str">
        <f t="shared" si="41"/>
        <v/>
      </c>
      <c r="D1559" s="31"/>
      <c r="F1559" s="487"/>
      <c r="G1559" s="895" t="s">
        <v>1080</v>
      </c>
      <c r="H1559"/>
      <c r="J1559" s="580"/>
    </row>
    <row r="1560" spans="1:10" x14ac:dyDescent="0.35">
      <c r="B1560" t="str">
        <f>IF(LEN('Ch7'!H691)=0,"",'Ch7'!H691)</f>
        <v/>
      </c>
      <c r="C1560" t="str">
        <f t="shared" si="41"/>
        <v/>
      </c>
      <c r="D1560" s="31"/>
      <c r="F1560" s="487"/>
      <c r="G1560" s="895"/>
      <c r="H1560"/>
      <c r="J1560" s="580"/>
    </row>
    <row r="1561" spans="1:10" x14ac:dyDescent="0.35">
      <c r="B1561" t="str">
        <f>IF(LEN('Ch7'!H692)=0,"",'Ch7'!H692)</f>
        <v/>
      </c>
      <c r="C1561" t="str">
        <f t="shared" si="41"/>
        <v/>
      </c>
      <c r="D1561" s="31"/>
      <c r="E1561" s="487"/>
      <c r="G1561" s="895" t="s">
        <v>1081</v>
      </c>
      <c r="H1561"/>
      <c r="J1561" s="580"/>
    </row>
    <row r="1562" spans="1:10" x14ac:dyDescent="0.35">
      <c r="B1562" t="str">
        <f>IF(LEN('Ch7'!H693)=0,"",'Ch7'!H693)</f>
        <v/>
      </c>
      <c r="C1562" t="str">
        <f t="shared" si="41"/>
        <v/>
      </c>
      <c r="D1562" s="31"/>
      <c r="E1562" s="487"/>
      <c r="G1562" s="895"/>
      <c r="H1562"/>
      <c r="J1562" s="580"/>
    </row>
    <row r="1563" spans="1:10" x14ac:dyDescent="0.35">
      <c r="B1563" t="str">
        <f>IF(LEN('Ch7'!H694)=0,"",'Ch7'!H694)</f>
        <v/>
      </c>
      <c r="C1563" t="str">
        <f t="shared" si="41"/>
        <v/>
      </c>
      <c r="D1563" s="31"/>
      <c r="E1563" s="427" t="s">
        <v>256</v>
      </c>
      <c r="F1563" s="614"/>
      <c r="G1563" s="228" t="s">
        <v>962</v>
      </c>
      <c r="H1563" s="400" t="str">
        <f>IF(LEN('Ch7'!W694)=0,"",'Ch7'!W694)</f>
        <v/>
      </c>
      <c r="J1563" s="580"/>
    </row>
    <row r="1564" spans="1:10" x14ac:dyDescent="0.35">
      <c r="B1564" t="str">
        <f>IF(LEN('Ch7'!H695)=0,"",'Ch7'!H695)</f>
        <v/>
      </c>
      <c r="C1564" t="str">
        <f t="shared" si="41"/>
        <v/>
      </c>
      <c r="D1564" s="31"/>
      <c r="E1564" s="430" t="s">
        <v>258</v>
      </c>
      <c r="F1564" s="626"/>
      <c r="G1564" s="178" t="s">
        <v>1082</v>
      </c>
      <c r="H1564" s="400" t="str">
        <f>IF(LEN('Ch7'!W695)=0,"",'Ch7'!W695)</f>
        <v/>
      </c>
      <c r="J1564" s="580"/>
    </row>
    <row r="1565" spans="1:10" x14ac:dyDescent="0.35">
      <c r="B1565" t="str">
        <f>IF(LEN('Ch7'!H696)=0,"",'Ch7'!H696)</f>
        <v/>
      </c>
      <c r="C1565" t="str">
        <f t="shared" si="41"/>
        <v/>
      </c>
      <c r="D1565" s="31"/>
      <c r="E1565" s="430" t="s">
        <v>260</v>
      </c>
      <c r="F1565" s="626"/>
      <c r="G1565" s="178" t="s">
        <v>963</v>
      </c>
      <c r="H1565" s="400" t="str">
        <f>IF(LEN('Ch7'!W696)=0,"",'Ch7'!W696)</f>
        <v/>
      </c>
      <c r="J1565" s="580"/>
    </row>
    <row r="1566" spans="1:10" x14ac:dyDescent="0.35">
      <c r="B1566" t="str">
        <f>IF(LEN('Ch7'!H697)=0,"",'Ch7'!H697)</f>
        <v/>
      </c>
      <c r="C1566" t="str">
        <f t="shared" si="41"/>
        <v/>
      </c>
      <c r="D1566" s="31"/>
      <c r="E1566" s="430" t="s">
        <v>269</v>
      </c>
      <c r="F1566" s="626"/>
      <c r="G1566" s="178" t="s">
        <v>1083</v>
      </c>
      <c r="H1566" s="400" t="str">
        <f>IF(LEN('Ch7'!W697)=0,"",'Ch7'!W697)</f>
        <v/>
      </c>
      <c r="J1566" s="580"/>
    </row>
    <row r="1567" spans="1:10" x14ac:dyDescent="0.35">
      <c r="B1567" t="str">
        <f>IF(LEN('Ch7'!H698)=0,"",'Ch7'!H698)</f>
        <v/>
      </c>
      <c r="C1567" t="str">
        <f t="shared" si="41"/>
        <v/>
      </c>
      <c r="D1567" s="31"/>
      <c r="E1567" s="430" t="s">
        <v>275</v>
      </c>
      <c r="F1567" s="626"/>
      <c r="G1567" s="178" t="s">
        <v>1084</v>
      </c>
      <c r="H1567" s="400" t="str">
        <f>IF(LEN('Ch7'!W698)=0,"",'Ch7'!W698)</f>
        <v/>
      </c>
      <c r="J1567" s="580"/>
    </row>
    <row r="1568" spans="1:10" x14ac:dyDescent="0.35">
      <c r="B1568" t="str">
        <f>IF(LEN('Ch7'!H699)=0,"",'Ch7'!H699)</f>
        <v/>
      </c>
      <c r="C1568" t="str">
        <f t="shared" si="41"/>
        <v/>
      </c>
      <c r="D1568" s="31"/>
      <c r="E1568" s="430" t="s">
        <v>277</v>
      </c>
      <c r="F1568" s="626"/>
      <c r="G1568" s="178" t="s">
        <v>1085</v>
      </c>
      <c r="H1568" s="400" t="str">
        <f>IF(LEN('Ch7'!W699)=0,"",'Ch7'!W699)</f>
        <v/>
      </c>
      <c r="J1568" s="580"/>
    </row>
    <row r="1569" spans="1:10" x14ac:dyDescent="0.35">
      <c r="B1569" t="str">
        <f>IF(LEN('Ch7'!H700)=0,"",'Ch7'!H700)</f>
        <v/>
      </c>
      <c r="C1569" t="str">
        <f t="shared" si="41"/>
        <v/>
      </c>
      <c r="D1569" s="31"/>
      <c r="E1569" s="430" t="s">
        <v>383</v>
      </c>
      <c r="F1569" s="626"/>
      <c r="G1569" s="178" t="s">
        <v>1086</v>
      </c>
      <c r="H1569" s="400" t="str">
        <f>IF(LEN('Ch7'!W700)=0,"",'Ch7'!W700)</f>
        <v/>
      </c>
      <c r="J1569" s="580"/>
    </row>
    <row r="1570" spans="1:10" ht="15" thickBot="1" x14ac:dyDescent="0.4">
      <c r="B1570" t="str">
        <f>IF(LEN('Ch7'!H701)=0,"",'Ch7'!H701)</f>
        <v/>
      </c>
      <c r="C1570" t="str">
        <f t="shared" si="41"/>
        <v/>
      </c>
      <c r="D1570" s="404"/>
      <c r="E1570" s="432" t="s">
        <v>428</v>
      </c>
      <c r="F1570" s="575"/>
      <c r="G1570" s="229" t="s">
        <v>1087</v>
      </c>
      <c r="H1570" s="400" t="str">
        <f>IF(LEN('Ch7'!W701)=0,"",'Ch7'!W701)</f>
        <v/>
      </c>
      <c r="J1570" s="580"/>
    </row>
    <row r="1571" spans="1:10" ht="15" thickTop="1" x14ac:dyDescent="0.35">
      <c r="A1571" s="366" t="str">
        <f>IF(I1571&gt;0,"P","")</f>
        <v/>
      </c>
      <c r="B1571" t="str">
        <f>IF(LEN('Ch7'!H702)=0,"",'Ch7'!H702)</f>
        <v/>
      </c>
      <c r="C1571" t="str">
        <f t="shared" si="41"/>
        <v/>
      </c>
      <c r="D1571" s="31">
        <v>706.4</v>
      </c>
      <c r="E1571" s="487"/>
      <c r="F1571" s="487"/>
      <c r="G1571" s="95" t="s">
        <v>1088</v>
      </c>
      <c r="H1571"/>
      <c r="I1571" s="433">
        <f>SUM(I1572)</f>
        <v>0</v>
      </c>
      <c r="J1571" s="580"/>
    </row>
    <row r="1572" spans="1:10" x14ac:dyDescent="0.35">
      <c r="A1572" s="366" t="str">
        <f>IF(I1572&gt;0,"P","")</f>
        <v/>
      </c>
      <c r="B1572" t="str">
        <f>IF(LEN('Ch7'!H703)=0,"",'Ch7'!H703)</f>
        <v/>
      </c>
      <c r="C1572" t="str">
        <f t="shared" si="41"/>
        <v/>
      </c>
      <c r="D1572" s="31" t="s">
        <v>1089</v>
      </c>
      <c r="E1572" s="487"/>
      <c r="F1572" s="487"/>
      <c r="G1572" s="95" t="s">
        <v>1090</v>
      </c>
      <c r="H1572"/>
      <c r="I1572" s="433">
        <f>SUM(I1573:I1575)</f>
        <v>0</v>
      </c>
      <c r="J1572" s="580" t="s">
        <v>3917</v>
      </c>
    </row>
    <row r="1573" spans="1:10" x14ac:dyDescent="0.35">
      <c r="B1573" t="str">
        <f>IF(LEN('Ch7'!H704)=0,"",'Ch7'!H704)</f>
        <v/>
      </c>
      <c r="C1573" t="str">
        <f t="shared" si="41"/>
        <v/>
      </c>
      <c r="D1573" s="31"/>
      <c r="E1573" s="426" t="s">
        <v>256</v>
      </c>
      <c r="F1573" s="487"/>
      <c r="G1573" s="814" t="s">
        <v>1091</v>
      </c>
      <c r="H1573" s="400" t="str">
        <f>IF(LEN('Ch7'!W704)=0,"",'Ch7'!W704)</f>
        <v/>
      </c>
      <c r="I1573" s="46">
        <f>'Ch7'!O704</f>
        <v>0</v>
      </c>
      <c r="J1573" s="580"/>
    </row>
    <row r="1574" spans="1:10" x14ac:dyDescent="0.35">
      <c r="B1574" t="str">
        <f>IF(LEN('Ch7'!H705)=0,"",'Ch7'!H705)</f>
        <v/>
      </c>
      <c r="C1574" t="str">
        <f t="shared" si="41"/>
        <v/>
      </c>
      <c r="D1574" s="31"/>
      <c r="E1574" s="427"/>
      <c r="F1574" s="614"/>
      <c r="G1574" s="815"/>
      <c r="H1574"/>
      <c r="J1574" s="580"/>
    </row>
    <row r="1575" spans="1:10" x14ac:dyDescent="0.35">
      <c r="B1575" t="str">
        <f>IF(LEN('Ch7'!H706)=0,"",'Ch7'!H706)</f>
        <v/>
      </c>
      <c r="C1575" t="str">
        <f t="shared" si="41"/>
        <v/>
      </c>
      <c r="D1575" s="31"/>
      <c r="E1575" s="426" t="s">
        <v>258</v>
      </c>
      <c r="F1575" s="487"/>
      <c r="G1575" s="814" t="s">
        <v>1092</v>
      </c>
      <c r="H1575" s="400" t="str">
        <f>IF(LEN('Ch7'!W706)=0,"",'Ch7'!W706)</f>
        <v/>
      </c>
      <c r="I1575" s="46">
        <f>'Ch7'!O706</f>
        <v>0</v>
      </c>
      <c r="J1575" s="580"/>
    </row>
    <row r="1576" spans="1:10" x14ac:dyDescent="0.35">
      <c r="B1576" t="str">
        <f>IF(LEN('Ch7'!H707)=0,"",'Ch7'!H707)</f>
        <v/>
      </c>
      <c r="C1576" t="str">
        <f t="shared" si="41"/>
        <v/>
      </c>
      <c r="D1576" s="403"/>
      <c r="E1576" s="614"/>
      <c r="F1576" s="614"/>
      <c r="G1576" s="815"/>
      <c r="H1576"/>
      <c r="J1576" s="580"/>
    </row>
    <row r="1577" spans="1:10" x14ac:dyDescent="0.35">
      <c r="A1577" s="366" t="str">
        <f>IF(I1577&gt;0,"P","")</f>
        <v/>
      </c>
      <c r="B1577" t="str">
        <f>IF(LEN('Ch7'!H708)=0,"",'Ch7'!H708)</f>
        <v/>
      </c>
      <c r="C1577" t="str">
        <f t="shared" si="41"/>
        <v/>
      </c>
      <c r="D1577" s="405" t="s">
        <v>1093</v>
      </c>
      <c r="E1577" s="615"/>
      <c r="F1577" s="615"/>
      <c r="G1577" s="905" t="s">
        <v>1094</v>
      </c>
      <c r="H1577" s="400" t="str">
        <f>IF(LEN('Ch7'!W708)=0,"",'Ch7'!W708)</f>
        <v/>
      </c>
      <c r="I1577" s="46">
        <f>'Ch7'!O708</f>
        <v>0</v>
      </c>
      <c r="J1577" s="580" t="s">
        <v>3917</v>
      </c>
    </row>
    <row r="1578" spans="1:10" ht="15" thickBot="1" x14ac:dyDescent="0.4">
      <c r="A1578" s="366" t="str">
        <f>A1577</f>
        <v/>
      </c>
      <c r="B1578" t="str">
        <f>IF(LEN('Ch7'!H709)=0,"",'Ch7'!H709)</f>
        <v/>
      </c>
      <c r="C1578" t="str">
        <f t="shared" si="41"/>
        <v/>
      </c>
      <c r="D1578" s="404"/>
      <c r="E1578" s="575"/>
      <c r="F1578" s="575"/>
      <c r="G1578" s="849"/>
      <c r="H1578"/>
      <c r="J1578" s="580"/>
    </row>
    <row r="1579" spans="1:10" ht="26.5" thickTop="1" x14ac:dyDescent="0.35">
      <c r="A1579" s="366" t="str">
        <f ca="1">IF(I1579&gt;0,"P","")</f>
        <v/>
      </c>
      <c r="B1579" t="str">
        <f>IF(LEN('Ch7'!H710)=0,"",'Ch7'!H710)</f>
        <v/>
      </c>
      <c r="C1579" t="str">
        <f t="shared" ca="1" si="41"/>
        <v/>
      </c>
      <c r="D1579" s="60">
        <v>706.5</v>
      </c>
      <c r="E1579" s="402"/>
      <c r="F1579" s="402"/>
      <c r="G1579" s="480" t="s">
        <v>4347</v>
      </c>
      <c r="H1579"/>
      <c r="I1579" s="433">
        <f ca="1">SUM(I1580:I1584)</f>
        <v>0</v>
      </c>
      <c r="J1579" s="580" t="s">
        <v>3928</v>
      </c>
    </row>
    <row r="1580" spans="1:10" x14ac:dyDescent="0.35">
      <c r="B1580" t="str">
        <f>IF(LEN('Ch7'!H711)=0,"",'Ch7'!H711)</f>
        <v/>
      </c>
      <c r="C1580" t="str">
        <f t="shared" si="41"/>
        <v/>
      </c>
      <c r="D1580" s="31"/>
      <c r="E1580" s="402" t="s">
        <v>256</v>
      </c>
      <c r="F1580" s="402"/>
      <c r="G1580" s="470" t="s">
        <v>4341</v>
      </c>
      <c r="H1580" s="400" t="str">
        <f>IF(LEN('Ch7'!W711)=0,"",'Ch7'!W711)</f>
        <v/>
      </c>
      <c r="I1580" s="46">
        <f>'Ch7'!O711</f>
        <v>0</v>
      </c>
      <c r="J1580" s="580"/>
    </row>
    <row r="1581" spans="1:10" x14ac:dyDescent="0.35">
      <c r="B1581" t="str">
        <f>IF(LEN('Ch7'!H712)=0,"",'Ch7'!H712)</f>
        <v/>
      </c>
      <c r="C1581" t="str">
        <f t="shared" si="41"/>
        <v/>
      </c>
      <c r="D1581" s="31"/>
      <c r="E1581" s="416"/>
      <c r="F1581" s="416"/>
      <c r="G1581" s="477"/>
      <c r="H1581"/>
      <c r="J1581" s="580"/>
    </row>
    <row r="1582" spans="1:10" x14ac:dyDescent="0.35">
      <c r="B1582" t="str">
        <f>IF(LEN('Ch7'!H713)=0,"",'Ch7'!H713)</f>
        <v/>
      </c>
      <c r="C1582" t="str">
        <f t="shared" si="41"/>
        <v/>
      </c>
      <c r="D1582" s="31"/>
      <c r="E1582" s="402" t="s">
        <v>258</v>
      </c>
      <c r="F1582" s="402"/>
      <c r="G1582" s="470" t="s">
        <v>4342</v>
      </c>
      <c r="H1582" s="400" t="str">
        <f>IF(LEN('Ch7'!W713)=0,"",'Ch7'!W713)</f>
        <v/>
      </c>
      <c r="I1582" s="46">
        <f ca="1">'Ch7'!O713</f>
        <v>0</v>
      </c>
      <c r="J1582" s="580"/>
    </row>
    <row r="1583" spans="1:10" x14ac:dyDescent="0.35">
      <c r="B1583" t="str">
        <f>IF(LEN('Ch7'!H714)=0,"",'Ch7'!H714)</f>
        <v/>
      </c>
      <c r="C1583" t="str">
        <f t="shared" si="41"/>
        <v/>
      </c>
      <c r="D1583" s="31"/>
      <c r="E1583" s="416"/>
      <c r="F1583" s="416"/>
      <c r="G1583" s="477"/>
      <c r="H1583"/>
      <c r="J1583" s="580"/>
    </row>
    <row r="1584" spans="1:10" x14ac:dyDescent="0.35">
      <c r="B1584" t="str">
        <f>IF(LEN('Ch7'!H715)=0,"",'Ch7'!H715)</f>
        <v/>
      </c>
      <c r="C1584" t="str">
        <f t="shared" si="41"/>
        <v/>
      </c>
      <c r="D1584" s="31"/>
      <c r="E1584" s="402" t="s">
        <v>260</v>
      </c>
      <c r="F1584" s="402"/>
      <c r="G1584" s="825" t="s">
        <v>4343</v>
      </c>
      <c r="H1584" s="400" t="str">
        <f>IF(LEN('Ch7'!W715)=0,"",'Ch7'!W715)</f>
        <v/>
      </c>
      <c r="I1584" s="46">
        <f ca="1">'Ch7'!O715</f>
        <v>0</v>
      </c>
      <c r="J1584" s="580"/>
    </row>
    <row r="1585" spans="1:10" x14ac:dyDescent="0.35">
      <c r="B1585" t="str">
        <f>IF(LEN('Ch7'!H716)=0,"",'Ch7'!H716)</f>
        <v/>
      </c>
      <c r="C1585" t="str">
        <f t="shared" si="41"/>
        <v/>
      </c>
      <c r="D1585" s="31"/>
      <c r="E1585" s="402"/>
      <c r="F1585" s="402"/>
      <c r="G1585" s="825"/>
      <c r="H1585"/>
      <c r="J1585" s="580"/>
    </row>
    <row r="1586" spans="1:10" x14ac:dyDescent="0.35">
      <c r="B1586" t="str">
        <f>IF(LEN('Ch7'!H717)=0,"",'Ch7'!H717)</f>
        <v/>
      </c>
      <c r="C1586" t="str">
        <f t="shared" si="41"/>
        <v/>
      </c>
      <c r="D1586" s="31"/>
      <c r="E1586" s="402"/>
      <c r="F1586" s="402"/>
      <c r="G1586" s="990" t="s">
        <v>4871</v>
      </c>
      <c r="H1586"/>
      <c r="J1586" s="580"/>
    </row>
    <row r="1587" spans="1:10" x14ac:dyDescent="0.35">
      <c r="B1587" t="str">
        <f>IF(LEN('Ch7'!H718)=0,"",'Ch7'!H718)</f>
        <v/>
      </c>
      <c r="C1587" t="str">
        <f t="shared" si="41"/>
        <v/>
      </c>
      <c r="D1587" s="31"/>
      <c r="E1587" s="402"/>
      <c r="F1587" s="402"/>
      <c r="G1587" s="990"/>
      <c r="H1587"/>
      <c r="J1587" s="580"/>
    </row>
    <row r="1588" spans="1:10" x14ac:dyDescent="0.35">
      <c r="B1588" t="str">
        <f>IF(LEN('Ch7'!H719)=0,"",'Ch7'!H719)</f>
        <v/>
      </c>
      <c r="C1588" t="str">
        <f t="shared" si="41"/>
        <v/>
      </c>
      <c r="D1588" s="31"/>
      <c r="E1588" s="402"/>
      <c r="F1588" s="402"/>
      <c r="G1588" s="990"/>
      <c r="H1588"/>
      <c r="J1588" s="580"/>
    </row>
    <row r="1589" spans="1:10" x14ac:dyDescent="0.35">
      <c r="B1589" t="str">
        <f>IF(LEN('Ch7'!H720)=0,"",'Ch7'!H720)</f>
        <v/>
      </c>
      <c r="C1589" t="str">
        <f t="shared" si="41"/>
        <v/>
      </c>
      <c r="D1589" s="31"/>
      <c r="E1589" s="402"/>
      <c r="F1589" s="402"/>
      <c r="G1589" s="990" t="s">
        <v>4872</v>
      </c>
      <c r="H1589"/>
      <c r="J1589" s="580"/>
    </row>
    <row r="1590" spans="1:10" x14ac:dyDescent="0.35">
      <c r="B1590" t="str">
        <f>IF(LEN('Ch7'!H721)=0,"",'Ch7'!H721)</f>
        <v/>
      </c>
      <c r="C1590" t="str">
        <f t="shared" si="41"/>
        <v/>
      </c>
      <c r="D1590" s="31"/>
      <c r="E1590" s="402"/>
      <c r="F1590" s="402"/>
      <c r="G1590" s="990"/>
      <c r="H1590"/>
      <c r="J1590" s="580"/>
    </row>
    <row r="1591" spans="1:10" x14ac:dyDescent="0.35">
      <c r="B1591" t="str">
        <f>IF(LEN('Ch7'!H722)=0,"",'Ch7'!H722)</f>
        <v/>
      </c>
      <c r="C1591" t="str">
        <f t="shared" si="41"/>
        <v/>
      </c>
      <c r="D1591" s="31"/>
      <c r="E1591" s="402"/>
      <c r="F1591" s="402"/>
      <c r="G1591" s="990" t="s">
        <v>4344</v>
      </c>
      <c r="H1591"/>
      <c r="J1591" s="580"/>
    </row>
    <row r="1592" spans="1:10" x14ac:dyDescent="0.35">
      <c r="B1592" t="str">
        <f>IF(LEN('Ch7'!H723)=0,"",'Ch7'!H723)</f>
        <v/>
      </c>
      <c r="C1592" t="str">
        <f t="shared" si="41"/>
        <v/>
      </c>
      <c r="D1592" s="31"/>
      <c r="E1592" s="402"/>
      <c r="F1592" s="402"/>
      <c r="G1592" s="990"/>
      <c r="H1592"/>
      <c r="J1592" s="580"/>
    </row>
    <row r="1593" spans="1:10" x14ac:dyDescent="0.35">
      <c r="B1593" t="str">
        <f>IF(LEN('Ch7'!H724)=0,"",'Ch7'!H724)</f>
        <v/>
      </c>
      <c r="C1593" t="str">
        <f t="shared" si="41"/>
        <v/>
      </c>
      <c r="D1593" s="31"/>
      <c r="E1593" s="402"/>
      <c r="F1593" s="402"/>
      <c r="G1593" s="990"/>
      <c r="H1593"/>
      <c r="J1593" s="580"/>
    </row>
    <row r="1594" spans="1:10" x14ac:dyDescent="0.35">
      <c r="B1594" t="str">
        <f>IF(LEN('Ch7'!H725)=0,"",'Ch7'!H725)</f>
        <v/>
      </c>
      <c r="C1594" t="str">
        <f t="shared" si="41"/>
        <v/>
      </c>
      <c r="D1594" s="31"/>
      <c r="E1594" s="402"/>
      <c r="F1594" s="402"/>
      <c r="G1594" s="936" t="s">
        <v>4345</v>
      </c>
      <c r="H1594"/>
      <c r="J1594" s="580"/>
    </row>
    <row r="1595" spans="1:10" ht="15" thickBot="1" x14ac:dyDescent="0.4">
      <c r="B1595" t="str">
        <f>IF(LEN('Ch7'!H726)=0,"",'Ch7'!H726)</f>
        <v/>
      </c>
      <c r="C1595" t="str">
        <f t="shared" si="41"/>
        <v/>
      </c>
      <c r="D1595" s="31"/>
      <c r="E1595" s="407"/>
      <c r="F1595" s="407"/>
      <c r="G1595" s="937"/>
      <c r="H1595"/>
      <c r="J1595" s="580"/>
    </row>
    <row r="1596" spans="1:10" ht="15" thickTop="1" x14ac:dyDescent="0.35">
      <c r="A1596" s="366" t="str">
        <f>IF(I1596&gt;0,"P","")</f>
        <v/>
      </c>
      <c r="B1596" t="str">
        <f>IF(LEN('Ch7'!H727)=0,"",'Ch7'!H727)</f>
        <v/>
      </c>
      <c r="C1596" t="str">
        <f t="shared" si="41"/>
        <v/>
      </c>
      <c r="D1596" s="60">
        <v>706.6</v>
      </c>
      <c r="E1596" s="574"/>
      <c r="F1596" s="574"/>
      <c r="G1596" s="837" t="s">
        <v>1095</v>
      </c>
      <c r="H1596" s="400" t="str">
        <f>IF(LEN('Ch7'!W727)=0,"",'Ch7'!W727)</f>
        <v/>
      </c>
      <c r="I1596" s="46">
        <f>'Ch7'!O727</f>
        <v>0</v>
      </c>
      <c r="J1596" s="580" t="s">
        <v>3891</v>
      </c>
    </row>
    <row r="1597" spans="1:10" ht="15" thickBot="1" x14ac:dyDescent="0.4">
      <c r="A1597" s="366" t="str">
        <f>A1596</f>
        <v/>
      </c>
      <c r="B1597" t="str">
        <f>IF(LEN('Ch7'!H728)=0,"",'Ch7'!H728)</f>
        <v/>
      </c>
      <c r="C1597" t="str">
        <f t="shared" si="41"/>
        <v/>
      </c>
      <c r="D1597" s="404"/>
      <c r="E1597" s="575"/>
      <c r="F1597" s="575"/>
      <c r="G1597" s="849"/>
      <c r="H1597"/>
      <c r="J1597" s="580"/>
    </row>
    <row r="1598" spans="1:10" ht="15" thickTop="1" x14ac:dyDescent="0.35">
      <c r="A1598" s="366" t="str">
        <f>IF(I1598&gt;0,"P","")</f>
        <v/>
      </c>
      <c r="B1598" t="str">
        <f>IF(LEN('Ch7'!H729)=0,"",'Ch7'!H729)</f>
        <v/>
      </c>
      <c r="C1598" t="str">
        <f t="shared" si="41"/>
        <v/>
      </c>
      <c r="D1598" s="31">
        <v>706.7</v>
      </c>
      <c r="E1598" s="487"/>
      <c r="F1598" s="487"/>
      <c r="G1598" s="838" t="s">
        <v>1096</v>
      </c>
      <c r="H1598"/>
      <c r="I1598" s="433">
        <f>SUM(I1600:I1601)</f>
        <v>0</v>
      </c>
      <c r="J1598" s="580" t="s">
        <v>3891</v>
      </c>
    </row>
    <row r="1599" spans="1:10" x14ac:dyDescent="0.35">
      <c r="A1599" s="366" t="str">
        <f>A1598</f>
        <v/>
      </c>
      <c r="B1599" t="str">
        <f>IF(LEN('Ch7'!H730)=0,"",'Ch7'!H730)</f>
        <v/>
      </c>
      <c r="C1599" t="str">
        <f t="shared" si="41"/>
        <v/>
      </c>
      <c r="D1599" s="31"/>
      <c r="E1599" s="487"/>
      <c r="F1599" s="487"/>
      <c r="G1599" s="838"/>
      <c r="H1599"/>
      <c r="J1599" s="580"/>
    </row>
    <row r="1600" spans="1:10" x14ac:dyDescent="0.35">
      <c r="B1600" t="str">
        <f>IF(LEN('Ch7'!H731)=0,"",'Ch7'!H731)</f>
        <v/>
      </c>
      <c r="C1600" t="str">
        <f t="shared" si="41"/>
        <v/>
      </c>
      <c r="D1600" s="31"/>
      <c r="E1600" s="427" t="s">
        <v>256</v>
      </c>
      <c r="F1600" s="614"/>
      <c r="G1600" s="228" t="s">
        <v>1097</v>
      </c>
      <c r="H1600" s="400" t="str">
        <f>IF(LEN('Ch7'!W731)=0,"",'Ch7'!W731)</f>
        <v/>
      </c>
      <c r="I1600" s="46">
        <f>'Ch7'!O731</f>
        <v>0</v>
      </c>
      <c r="J1600" s="580"/>
    </row>
    <row r="1601" spans="1:10" x14ac:dyDescent="0.35">
      <c r="B1601" t="str">
        <f>IF(LEN('Ch7'!H732)=0,"",'Ch7'!H732)</f>
        <v/>
      </c>
      <c r="C1601" t="str">
        <f t="shared" si="41"/>
        <v/>
      </c>
      <c r="D1601" s="31"/>
      <c r="E1601" s="426" t="s">
        <v>258</v>
      </c>
      <c r="F1601" s="487"/>
      <c r="G1601" s="90" t="s">
        <v>1098</v>
      </c>
      <c r="H1601" s="400" t="str">
        <f>IF(LEN('Ch7'!W732)=0,"",'Ch7'!W732)</f>
        <v/>
      </c>
      <c r="I1601" s="46">
        <f>'Ch7'!O732</f>
        <v>0</v>
      </c>
      <c r="J1601" s="580"/>
    </row>
    <row r="1602" spans="1:10" x14ac:dyDescent="0.35">
      <c r="B1602" t="str">
        <f>IF(LEN('Ch7'!H733)=0,"",'Ch7'!H733)</f>
        <v/>
      </c>
      <c r="C1602" t="str">
        <f t="shared" si="41"/>
        <v/>
      </c>
      <c r="D1602" s="31"/>
      <c r="E1602" s="487"/>
      <c r="F1602" s="487"/>
      <c r="G1602" s="838" t="s">
        <v>1099</v>
      </c>
      <c r="H1602"/>
      <c r="J1602" s="580"/>
    </row>
    <row r="1603" spans="1:10" ht="15" thickBot="1" x14ac:dyDescent="0.4">
      <c r="B1603" t="str">
        <f>IF(LEN('Ch7'!H734)=0,"",'Ch7'!H734)</f>
        <v/>
      </c>
      <c r="C1603" t="str">
        <f t="shared" si="41"/>
        <v/>
      </c>
      <c r="D1603" s="404"/>
      <c r="E1603" s="575"/>
      <c r="F1603" s="575"/>
      <c r="G1603" s="849"/>
      <c r="H1603"/>
      <c r="J1603" s="580"/>
    </row>
    <row r="1604" spans="1:10" ht="15" thickTop="1" x14ac:dyDescent="0.35">
      <c r="A1604" s="366" t="str">
        <f>IF(I1604&gt;0,"P","")</f>
        <v/>
      </c>
      <c r="B1604" t="str">
        <f>IF(LEN('Ch7'!H735)=0,"",'Ch7'!H735)</f>
        <v/>
      </c>
      <c r="C1604" t="str">
        <f t="shared" si="41"/>
        <v/>
      </c>
      <c r="D1604" s="60">
        <v>706.8</v>
      </c>
      <c r="E1604" s="574"/>
      <c r="F1604" s="574"/>
      <c r="G1604" s="930" t="s">
        <v>4350</v>
      </c>
      <c r="H1604" s="400" t="str">
        <f>IF(LEN('Ch7'!W735)=0,"",'Ch7'!W735)</f>
        <v/>
      </c>
      <c r="I1604" s="46">
        <f>'Ch7'!O735</f>
        <v>0</v>
      </c>
      <c r="J1604" s="580" t="s">
        <v>3891</v>
      </c>
    </row>
    <row r="1605" spans="1:10" x14ac:dyDescent="0.35">
      <c r="A1605" s="366" t="str">
        <f>A1604</f>
        <v/>
      </c>
      <c r="B1605" t="str">
        <f>IF(LEN('Ch7'!H736)=0,"",'Ch7'!H736)</f>
        <v/>
      </c>
      <c r="C1605" t="str">
        <f t="shared" si="41"/>
        <v/>
      </c>
      <c r="D1605" s="31"/>
      <c r="E1605" s="487"/>
      <c r="F1605" s="487"/>
      <c r="G1605" s="881"/>
      <c r="H1605"/>
      <c r="J1605" s="580"/>
    </row>
    <row r="1606" spans="1:10" ht="15" thickBot="1" x14ac:dyDescent="0.4">
      <c r="A1606" s="366" t="str">
        <f>A1605</f>
        <v/>
      </c>
      <c r="B1606" t="str">
        <f>IF(LEN('Ch7'!H737)=0,"",'Ch7'!H737)</f>
        <v/>
      </c>
      <c r="C1606" t="str">
        <f t="shared" si="41"/>
        <v/>
      </c>
      <c r="D1606" s="404"/>
      <c r="E1606" s="575"/>
      <c r="F1606" s="575"/>
      <c r="G1606" s="931"/>
      <c r="H1606"/>
      <c r="J1606" s="580"/>
    </row>
    <row r="1607" spans="1:10" ht="15" thickTop="1" x14ac:dyDescent="0.35">
      <c r="A1607" s="366" t="str">
        <f>IF(I1607&gt;0,"P","")</f>
        <v/>
      </c>
      <c r="B1607" t="str">
        <f>IF(LEN('Ch7'!H738)=0,"",'Ch7'!H738)</f>
        <v/>
      </c>
      <c r="C1607" t="str">
        <f t="shared" si="41"/>
        <v/>
      </c>
      <c r="D1607" s="402" t="s">
        <v>4351</v>
      </c>
      <c r="E1607" s="402"/>
      <c r="F1607" s="402"/>
      <c r="G1607" s="881" t="s">
        <v>4352</v>
      </c>
      <c r="H1607" s="400" t="str">
        <f>IF(LEN('Ch7'!W738)=0,"",'Ch7'!W738)</f>
        <v/>
      </c>
      <c r="I1607" s="46">
        <f>'Ch7'!O738</f>
        <v>0</v>
      </c>
      <c r="J1607" s="580" t="s">
        <v>3891</v>
      </c>
    </row>
    <row r="1608" spans="1:10" x14ac:dyDescent="0.35">
      <c r="A1608" s="366" t="str">
        <f>A1607</f>
        <v/>
      </c>
      <c r="B1608" t="str">
        <f>IF(LEN('Ch7'!H739)=0,"",'Ch7'!H739)</f>
        <v/>
      </c>
      <c r="C1608" t="str">
        <f t="shared" si="41"/>
        <v/>
      </c>
      <c r="D1608" s="402"/>
      <c r="E1608" s="402"/>
      <c r="F1608" s="402"/>
      <c r="G1608" s="881"/>
      <c r="H1608"/>
      <c r="J1608" s="580"/>
    </row>
    <row r="1609" spans="1:10" x14ac:dyDescent="0.35">
      <c r="A1609" s="366" t="str">
        <f>A1608</f>
        <v/>
      </c>
      <c r="B1609" t="str">
        <f>IF(LEN('Ch7'!H740)=0,"",'Ch7'!H740)</f>
        <v/>
      </c>
      <c r="C1609" t="str">
        <f t="shared" si="41"/>
        <v/>
      </c>
      <c r="D1609" s="402"/>
      <c r="E1609" s="402"/>
      <c r="F1609" s="402"/>
      <c r="G1609" s="881"/>
      <c r="H1609"/>
      <c r="J1609" s="580"/>
    </row>
    <row r="1610" spans="1:10" x14ac:dyDescent="0.35">
      <c r="A1610" s="366" t="str">
        <f>A1609</f>
        <v/>
      </c>
      <c r="B1610" t="str">
        <f>IF(LEN('Ch7'!H741)=0,"",'Ch7'!H741)</f>
        <v/>
      </c>
      <c r="C1610" t="str">
        <f t="shared" si="41"/>
        <v/>
      </c>
      <c r="D1610" s="402"/>
      <c r="E1610" s="402"/>
      <c r="F1610" s="402"/>
      <c r="G1610" s="881"/>
      <c r="H1610"/>
      <c r="J1610" s="580"/>
    </row>
    <row r="1611" spans="1:10" ht="15" thickBot="1" x14ac:dyDescent="0.4">
      <c r="A1611" s="366" t="str">
        <f>A1610</f>
        <v/>
      </c>
      <c r="B1611" t="str">
        <f>IF(LEN('Ch7'!H742)=0,"",'Ch7'!H742)</f>
        <v/>
      </c>
      <c r="C1611" t="str">
        <f t="shared" si="41"/>
        <v/>
      </c>
      <c r="D1611" s="407"/>
      <c r="E1611" s="407"/>
      <c r="F1611" s="407"/>
      <c r="G1611" s="931"/>
      <c r="H1611"/>
      <c r="J1611" s="580"/>
    </row>
    <row r="1612" spans="1:10" ht="15" thickTop="1" x14ac:dyDescent="0.35">
      <c r="A1612" s="366" t="str">
        <f>IF(I1612&gt;0,"P","")</f>
        <v/>
      </c>
      <c r="B1612" t="str">
        <f>IF(LEN('Ch7'!H743)=0,"",'Ch7'!H743)</f>
        <v/>
      </c>
      <c r="C1612" t="str">
        <f t="shared" si="41"/>
        <v/>
      </c>
      <c r="D1612" s="402" t="s">
        <v>4353</v>
      </c>
      <c r="E1612" s="487"/>
      <c r="F1612" s="487"/>
      <c r="G1612" s="838" t="s">
        <v>4354</v>
      </c>
      <c r="H1612" s="400" t="str">
        <f>IF(LEN('Ch7'!W743)=0,"",'Ch7'!W743)</f>
        <v/>
      </c>
      <c r="I1612" s="46">
        <f>'Ch7'!O743</f>
        <v>0</v>
      </c>
      <c r="J1612" s="580" t="s">
        <v>5010</v>
      </c>
    </row>
    <row r="1613" spans="1:10" x14ac:dyDescent="0.35">
      <c r="A1613" s="366" t="str">
        <f>A1612</f>
        <v/>
      </c>
      <c r="B1613" t="str">
        <f>IF(LEN('Ch7'!H744)=0,"",'Ch7'!H744)</f>
        <v/>
      </c>
      <c r="C1613" t="str">
        <f t="shared" si="41"/>
        <v/>
      </c>
      <c r="D1613" s="31"/>
      <c r="E1613" s="487"/>
      <c r="F1613" s="487"/>
      <c r="G1613" s="838"/>
      <c r="H1613"/>
      <c r="J1613" s="580"/>
    </row>
    <row r="1614" spans="1:10" x14ac:dyDescent="0.35">
      <c r="A1614" s="366" t="str">
        <f>A1613</f>
        <v/>
      </c>
      <c r="B1614" t="str">
        <f>IF(LEN('Ch7'!H745)=0,"",'Ch7'!H745)</f>
        <v/>
      </c>
      <c r="C1614" t="str">
        <f t="shared" si="41"/>
        <v/>
      </c>
      <c r="D1614" s="31"/>
      <c r="E1614" s="487"/>
      <c r="F1614" s="487"/>
      <c r="G1614" s="838"/>
      <c r="H1614"/>
      <c r="J1614" s="580"/>
    </row>
    <row r="1615" spans="1:10" x14ac:dyDescent="0.35">
      <c r="B1615" t="str">
        <f>IF(LEN('Ch7'!H746)=0,"",'Ch7'!H746)</f>
        <v/>
      </c>
      <c r="C1615" t="str">
        <f t="shared" si="41"/>
        <v/>
      </c>
      <c r="D1615" s="31"/>
      <c r="E1615" s="487"/>
      <c r="F1615" s="487"/>
      <c r="G1615" s="838" t="s">
        <v>4355</v>
      </c>
      <c r="H1615"/>
      <c r="J1615" s="580"/>
    </row>
    <row r="1616" spans="1:10" ht="15" thickBot="1" x14ac:dyDescent="0.4">
      <c r="B1616" t="str">
        <f>IF(LEN('Ch7'!H747)=0,"",'Ch7'!H747)</f>
        <v/>
      </c>
      <c r="C1616" t="str">
        <f t="shared" si="41"/>
        <v/>
      </c>
      <c r="D1616" s="31"/>
      <c r="E1616" s="487"/>
      <c r="F1616" s="487"/>
      <c r="G1616" s="838"/>
      <c r="H1616"/>
      <c r="J1616" s="580"/>
    </row>
    <row r="1617" spans="1:10" ht="15" thickTop="1" x14ac:dyDescent="0.35">
      <c r="A1617" s="366" t="str">
        <f>IF(I1617&gt;0,"P","")</f>
        <v/>
      </c>
      <c r="B1617" t="str">
        <f>IF(LEN('Ch7'!H748)=0,"",'Ch7'!H748)</f>
        <v/>
      </c>
      <c r="C1617" t="str">
        <f t="shared" si="41"/>
        <v/>
      </c>
      <c r="D1617" s="414" t="s">
        <v>4362</v>
      </c>
      <c r="E1617" s="414"/>
      <c r="F1617" s="414"/>
      <c r="G1617" s="930" t="s">
        <v>4370</v>
      </c>
      <c r="H1617" s="400" t="str">
        <f>IF(LEN('Ch7'!W748)=0,"",'Ch7'!W748)</f>
        <v/>
      </c>
      <c r="I1617" s="46">
        <f>'Ch7'!O748</f>
        <v>0</v>
      </c>
      <c r="J1617" s="580" t="s">
        <v>5010</v>
      </c>
    </row>
    <row r="1618" spans="1:10" ht="15" thickBot="1" x14ac:dyDescent="0.4">
      <c r="A1618" s="366" t="str">
        <f>A1617</f>
        <v/>
      </c>
      <c r="B1618" t="str">
        <f>IF(LEN('Ch7'!H749)=0,"",'Ch7'!H749)</f>
        <v/>
      </c>
      <c r="C1618" t="str">
        <f t="shared" ref="C1618:C1681" si="42">IF(LEN(B1618)=0,IF(A1618="P","P",""),B1618)</f>
        <v/>
      </c>
      <c r="D1618" s="407"/>
      <c r="E1618" s="407"/>
      <c r="F1618" s="407"/>
      <c r="G1618" s="931"/>
      <c r="H1618"/>
      <c r="J1618" s="580"/>
    </row>
    <row r="1619" spans="1:10" ht="15" thickTop="1" x14ac:dyDescent="0.35">
      <c r="A1619" s="366" t="str">
        <f>IF(I1619&gt;0,"P","")</f>
        <v/>
      </c>
      <c r="B1619" t="str">
        <f>IF(LEN('Ch7'!H750)=0,"",'Ch7'!H750)</f>
        <v/>
      </c>
      <c r="C1619" t="str">
        <f t="shared" si="42"/>
        <v/>
      </c>
      <c r="D1619" s="414" t="s">
        <v>4363</v>
      </c>
      <c r="E1619" s="414"/>
      <c r="F1619" s="414"/>
      <c r="G1619" s="930" t="s">
        <v>5585</v>
      </c>
      <c r="H1619" s="400" t="str">
        <f>IF(LEN('Ch7'!W750)=0,"",'Ch7'!W750)</f>
        <v/>
      </c>
      <c r="I1619" s="46">
        <f>'Ch7'!O750</f>
        <v>0</v>
      </c>
      <c r="J1619" s="580" t="s">
        <v>5010</v>
      </c>
    </row>
    <row r="1620" spans="1:10" x14ac:dyDescent="0.35">
      <c r="A1620" s="366" t="str">
        <f>A1619</f>
        <v/>
      </c>
      <c r="B1620" t="str">
        <f>IF(LEN('Ch7'!H751)=0,"",'Ch7'!H751)</f>
        <v/>
      </c>
      <c r="C1620" t="str">
        <f t="shared" si="42"/>
        <v/>
      </c>
      <c r="D1620" s="402"/>
      <c r="E1620" s="402"/>
      <c r="F1620" s="402"/>
      <c r="G1620" s="881"/>
      <c r="H1620"/>
      <c r="J1620" s="580"/>
    </row>
    <row r="1621" spans="1:10" x14ac:dyDescent="0.35">
      <c r="A1621" s="366" t="str">
        <f>A1620</f>
        <v/>
      </c>
      <c r="B1621" t="str">
        <f>IF(LEN('Ch7'!H752)=0,"",'Ch7'!H752)</f>
        <v/>
      </c>
      <c r="C1621" t="str">
        <f t="shared" si="42"/>
        <v/>
      </c>
      <c r="D1621" s="402"/>
      <c r="E1621" s="402"/>
      <c r="F1621" s="402"/>
      <c r="G1621" s="881"/>
      <c r="H1621"/>
      <c r="J1621" s="580"/>
    </row>
    <row r="1622" spans="1:10" ht="15" thickBot="1" x14ac:dyDescent="0.4">
      <c r="A1622" s="366" t="str">
        <f>A1621</f>
        <v/>
      </c>
      <c r="B1622" t="str">
        <f>IF(LEN('Ch7'!H753)=0,"",'Ch7'!H753)</f>
        <v/>
      </c>
      <c r="C1622" t="str">
        <f t="shared" si="42"/>
        <v/>
      </c>
      <c r="D1622" s="407"/>
      <c r="E1622" s="407"/>
      <c r="F1622" s="407"/>
      <c r="G1622" s="931"/>
      <c r="H1622"/>
      <c r="J1622" s="580"/>
    </row>
    <row r="1623" spans="1:10" ht="15" thickTop="1" x14ac:dyDescent="0.35">
      <c r="A1623" s="366" t="str">
        <f>IF(I1623&gt;0,"P","")</f>
        <v/>
      </c>
      <c r="B1623" t="str">
        <f>IF(LEN('Ch7'!H754)=0,"",'Ch7'!H754)</f>
        <v/>
      </c>
      <c r="C1623" t="str">
        <f t="shared" si="42"/>
        <v/>
      </c>
      <c r="D1623" s="414" t="s">
        <v>4364</v>
      </c>
      <c r="E1623" s="414"/>
      <c r="F1623" s="414"/>
      <c r="G1623" s="930" t="s">
        <v>4369</v>
      </c>
      <c r="H1623" s="400" t="str">
        <f>IF(LEN('Ch7'!W754)=0,"",'Ch7'!W754)</f>
        <v/>
      </c>
      <c r="I1623" s="46">
        <f>'Ch7'!O754</f>
        <v>0</v>
      </c>
      <c r="J1623" s="580" t="s">
        <v>3891</v>
      </c>
    </row>
    <row r="1624" spans="1:10" x14ac:dyDescent="0.35">
      <c r="A1624" s="366" t="str">
        <f>A1623</f>
        <v/>
      </c>
      <c r="B1624" t="str">
        <f>IF(LEN('Ch7'!H755)=0,"",'Ch7'!H755)</f>
        <v/>
      </c>
      <c r="C1624" t="str">
        <f t="shared" si="42"/>
        <v/>
      </c>
      <c r="D1624" s="402"/>
      <c r="E1624" s="402"/>
      <c r="F1624" s="402"/>
      <c r="G1624" s="881"/>
      <c r="H1624"/>
      <c r="J1624" s="580"/>
    </row>
    <row r="1625" spans="1:10" x14ac:dyDescent="0.35">
      <c r="B1625" t="str">
        <f>IF(LEN('Ch7'!H756)=0,"",'Ch7'!H756)</f>
        <v/>
      </c>
      <c r="C1625" t="str">
        <f t="shared" si="42"/>
        <v/>
      </c>
      <c r="D1625" s="402"/>
      <c r="E1625" s="416" t="s">
        <v>256</v>
      </c>
      <c r="F1625" s="416"/>
      <c r="G1625" s="477" t="s">
        <v>4356</v>
      </c>
      <c r="H1625"/>
      <c r="J1625" s="580"/>
    </row>
    <row r="1626" spans="1:10" ht="15" thickBot="1" x14ac:dyDescent="0.4">
      <c r="B1626" t="str">
        <f>IF(LEN('Ch7'!H757)=0,"",'Ch7'!H757)</f>
        <v/>
      </c>
      <c r="C1626" t="str">
        <f t="shared" si="42"/>
        <v/>
      </c>
      <c r="D1626" s="407"/>
      <c r="E1626" s="407" t="s">
        <v>258</v>
      </c>
      <c r="F1626" s="407"/>
      <c r="G1626" s="474" t="s">
        <v>4357</v>
      </c>
      <c r="H1626"/>
      <c r="J1626" s="580"/>
    </row>
    <row r="1627" spans="1:10" ht="15" thickTop="1" x14ac:dyDescent="0.35">
      <c r="A1627" s="366" t="str">
        <f>IF(I1627&gt;0,"P","")</f>
        <v/>
      </c>
      <c r="B1627" t="str">
        <f>IF(LEN('Ch7'!H758)=0,"",'Ch7'!H758)</f>
        <v/>
      </c>
      <c r="C1627" t="str">
        <f t="shared" si="42"/>
        <v/>
      </c>
      <c r="D1627" s="402" t="s">
        <v>4365</v>
      </c>
      <c r="E1627" s="402"/>
      <c r="F1627" s="402"/>
      <c r="G1627" s="480" t="s">
        <v>4368</v>
      </c>
      <c r="H1627"/>
      <c r="I1627" s="433">
        <f>SUM(I1628:I1632)</f>
        <v>0</v>
      </c>
      <c r="J1627" s="580"/>
    </row>
    <row r="1628" spans="1:10" x14ac:dyDescent="0.35">
      <c r="A1628" s="366" t="str">
        <f>IF(I1628&gt;0,"P","")</f>
        <v/>
      </c>
      <c r="B1628" t="str">
        <f>IF(LEN('Ch7'!H759)=0,"",'Ch7'!H759)</f>
        <v/>
      </c>
      <c r="C1628" t="str">
        <f t="shared" si="42"/>
        <v/>
      </c>
      <c r="D1628" s="402"/>
      <c r="E1628" s="402" t="s">
        <v>256</v>
      </c>
      <c r="F1628" s="402"/>
      <c r="G1628" s="825" t="s">
        <v>4358</v>
      </c>
      <c r="H1628" s="400" t="str">
        <f>IF(LEN('Ch7'!W759)=0,"",'Ch7'!W759)</f>
        <v/>
      </c>
      <c r="I1628" s="46">
        <f>'Ch7'!O759</f>
        <v>0</v>
      </c>
      <c r="J1628" s="580" t="s">
        <v>5011</v>
      </c>
    </row>
    <row r="1629" spans="1:10" x14ac:dyDescent="0.35">
      <c r="A1629" s="366" t="str">
        <f>A1628</f>
        <v/>
      </c>
      <c r="B1629" t="str">
        <f>IF(LEN('Ch7'!H760)=0,"",'Ch7'!H760)</f>
        <v/>
      </c>
      <c r="C1629" t="str">
        <f t="shared" si="42"/>
        <v/>
      </c>
      <c r="D1629" s="402"/>
      <c r="E1629" s="402"/>
      <c r="F1629" s="402"/>
      <c r="G1629" s="825"/>
      <c r="H1629"/>
      <c r="J1629" s="580"/>
    </row>
    <row r="1630" spans="1:10" x14ac:dyDescent="0.35">
      <c r="A1630" s="366" t="str">
        <f>A1629</f>
        <v/>
      </c>
      <c r="B1630" t="str">
        <f>IF(LEN('Ch7'!H761)=0,"",'Ch7'!H761)</f>
        <v/>
      </c>
      <c r="C1630" t="str">
        <f t="shared" si="42"/>
        <v/>
      </c>
      <c r="D1630" s="402"/>
      <c r="E1630" s="402"/>
      <c r="F1630" s="402"/>
      <c r="G1630" s="825"/>
      <c r="H1630"/>
      <c r="J1630" s="580"/>
    </row>
    <row r="1631" spans="1:10" x14ac:dyDescent="0.35">
      <c r="A1631" s="366" t="str">
        <f>A1630</f>
        <v/>
      </c>
      <c r="B1631" t="str">
        <f>IF(LEN('Ch7'!H762)=0,"",'Ch7'!H762)</f>
        <v/>
      </c>
      <c r="C1631" t="str">
        <f t="shared" si="42"/>
        <v/>
      </c>
      <c r="D1631" s="402"/>
      <c r="E1631" s="416"/>
      <c r="F1631" s="416"/>
      <c r="G1631" s="842"/>
      <c r="H1631"/>
      <c r="J1631" s="580"/>
    </row>
    <row r="1632" spans="1:10" x14ac:dyDescent="0.35">
      <c r="A1632" s="366" t="str">
        <f>IF(I1632&gt;0,"P","")</f>
        <v/>
      </c>
      <c r="B1632" t="str">
        <f>IF(LEN('Ch7'!H763)=0,"",'Ch7'!H763)</f>
        <v/>
      </c>
      <c r="C1632" t="str">
        <f t="shared" si="42"/>
        <v/>
      </c>
      <c r="D1632" s="402"/>
      <c r="E1632" s="402" t="s">
        <v>258</v>
      </c>
      <c r="F1632" s="402"/>
      <c r="G1632" s="825" t="s">
        <v>4359</v>
      </c>
      <c r="H1632" s="400" t="str">
        <f>IF(LEN('Ch7'!W763)=0,"",'Ch7'!W763)</f>
        <v/>
      </c>
      <c r="I1632" s="46">
        <f>'Ch7'!O763</f>
        <v>0</v>
      </c>
      <c r="J1632" s="580" t="s">
        <v>5012</v>
      </c>
    </row>
    <row r="1633" spans="1:10" ht="15" thickBot="1" x14ac:dyDescent="0.4">
      <c r="A1633" s="366" t="str">
        <f>A1632</f>
        <v/>
      </c>
      <c r="B1633" t="str">
        <f>IF(LEN('Ch7'!H764)=0,"",'Ch7'!H764)</f>
        <v/>
      </c>
      <c r="C1633" t="str">
        <f t="shared" si="42"/>
        <v/>
      </c>
      <c r="D1633" s="407"/>
      <c r="E1633" s="407"/>
      <c r="F1633" s="407"/>
      <c r="G1633" s="826"/>
      <c r="H1633"/>
      <c r="J1633" s="580"/>
    </row>
    <row r="1634" spans="1:10" ht="15" thickTop="1" x14ac:dyDescent="0.35">
      <c r="A1634" s="366" t="str">
        <f>IF(I1634&gt;0,"P","")</f>
        <v/>
      </c>
      <c r="B1634" t="str">
        <f>IF(LEN('Ch7'!H765)=0,"",'Ch7'!H765)</f>
        <v/>
      </c>
      <c r="C1634" t="str">
        <f t="shared" si="42"/>
        <v/>
      </c>
      <c r="D1634" s="402" t="s">
        <v>4366</v>
      </c>
      <c r="E1634" s="402"/>
      <c r="F1634" s="402"/>
      <c r="G1634" s="881" t="s">
        <v>4367</v>
      </c>
      <c r="H1634"/>
      <c r="I1634" s="433">
        <f>SUM(I1637:I1638)</f>
        <v>0</v>
      </c>
      <c r="J1634" s="580" t="s">
        <v>5010</v>
      </c>
    </row>
    <row r="1635" spans="1:10" x14ac:dyDescent="0.35">
      <c r="A1635" s="366" t="str">
        <f>A1634</f>
        <v/>
      </c>
      <c r="B1635" t="str">
        <f>IF(LEN('Ch7'!H766)=0,"",'Ch7'!H766)</f>
        <v/>
      </c>
      <c r="C1635" t="str">
        <f t="shared" si="42"/>
        <v/>
      </c>
      <c r="D1635" s="402"/>
      <c r="E1635" s="402"/>
      <c r="F1635" s="402"/>
      <c r="G1635" s="881"/>
      <c r="H1635"/>
      <c r="J1635" s="580"/>
    </row>
    <row r="1636" spans="1:10" x14ac:dyDescent="0.35">
      <c r="A1636" s="366" t="str">
        <f>A1635</f>
        <v/>
      </c>
      <c r="B1636" t="str">
        <f>IF(LEN('Ch7'!H767)=0,"",'Ch7'!H767)</f>
        <v/>
      </c>
      <c r="C1636" t="str">
        <f t="shared" si="42"/>
        <v/>
      </c>
      <c r="D1636" s="402"/>
      <c r="E1636" s="402"/>
      <c r="F1636" s="402"/>
      <c r="G1636" s="881"/>
      <c r="H1636"/>
      <c r="J1636" s="580"/>
    </row>
    <row r="1637" spans="1:10" x14ac:dyDescent="0.35">
      <c r="B1637" t="str">
        <f>IF(LEN('Ch7'!H768)=0,"",'Ch7'!H768)</f>
        <v/>
      </c>
      <c r="C1637" t="str">
        <f t="shared" si="42"/>
        <v/>
      </c>
      <c r="D1637" s="402"/>
      <c r="E1637" s="416" t="s">
        <v>256</v>
      </c>
      <c r="F1637" s="416"/>
      <c r="G1637" s="477" t="s">
        <v>4360</v>
      </c>
      <c r="H1637" s="400" t="str">
        <f>IF(LEN('Ch7'!W768)=0,"",'Ch7'!W768)</f>
        <v/>
      </c>
      <c r="I1637" s="46">
        <f>'Ch7'!O768</f>
        <v>0</v>
      </c>
      <c r="J1637" s="580"/>
    </row>
    <row r="1638" spans="1:10" x14ac:dyDescent="0.35">
      <c r="B1638" t="str">
        <f>IF(LEN('Ch7'!H769)=0,"",'Ch7'!H769)</f>
        <v/>
      </c>
      <c r="C1638" t="str">
        <f t="shared" si="42"/>
        <v/>
      </c>
      <c r="D1638" s="402"/>
      <c r="E1638" s="402" t="s">
        <v>258</v>
      </c>
      <c r="F1638" s="402"/>
      <c r="G1638" s="470" t="s">
        <v>4361</v>
      </c>
      <c r="H1638" s="400" t="str">
        <f>IF(LEN('Ch7'!W769)=0,"",'Ch7'!W769)</f>
        <v/>
      </c>
      <c r="I1638" s="46">
        <f>'Ch7'!O769</f>
        <v>0</v>
      </c>
      <c r="J1638" s="580"/>
    </row>
    <row r="1639" spans="1:10" ht="18.5" x14ac:dyDescent="0.45">
      <c r="A1639" s="366" t="s">
        <v>3973</v>
      </c>
      <c r="B1639" t="str">
        <f>IF(LEN('Ch8'!H9)=0,"",'Ch8'!H9)</f>
        <v/>
      </c>
      <c r="C1639" t="str">
        <f t="shared" si="42"/>
        <v>P</v>
      </c>
      <c r="D1639" s="617" t="s">
        <v>771</v>
      </c>
      <c r="E1639" s="617"/>
      <c r="F1639" s="617"/>
      <c r="G1639" s="601"/>
      <c r="H1639"/>
      <c r="J1639" s="580"/>
    </row>
    <row r="1640" spans="1:10" x14ac:dyDescent="0.35">
      <c r="B1640" t="str">
        <f>IF(LEN('Ch8'!H10)=0,"",'Ch8'!H10)</f>
        <v/>
      </c>
      <c r="C1640" t="str">
        <f t="shared" si="42"/>
        <v/>
      </c>
      <c r="D1640" s="402" t="s">
        <v>772</v>
      </c>
      <c r="E1640" s="31"/>
      <c r="F1640" s="31"/>
      <c r="G1640" s="838" t="s">
        <v>4372</v>
      </c>
      <c r="H1640"/>
      <c r="J1640" s="580"/>
    </row>
    <row r="1641" spans="1:10" x14ac:dyDescent="0.35">
      <c r="B1641" t="str">
        <f>IF(LEN('Ch8'!H11)=0,"",'Ch8'!H11)</f>
        <v/>
      </c>
      <c r="C1641" t="str">
        <f t="shared" si="42"/>
        <v/>
      </c>
      <c r="D1641" s="402"/>
      <c r="E1641" s="31"/>
      <c r="F1641" s="31"/>
      <c r="G1641" s="838"/>
      <c r="H1641"/>
      <c r="J1641" s="580"/>
    </row>
    <row r="1642" spans="1:10" x14ac:dyDescent="0.35">
      <c r="B1642" t="str">
        <f>IF(LEN('Ch8'!H12)=0,"",'Ch8'!H12)</f>
        <v/>
      </c>
      <c r="C1642" t="str">
        <f t="shared" si="42"/>
        <v/>
      </c>
      <c r="D1642" s="416"/>
      <c r="E1642" s="403"/>
      <c r="F1642" s="403"/>
      <c r="G1642" s="889"/>
      <c r="H1642"/>
      <c r="J1642" s="580"/>
    </row>
    <row r="1643" spans="1:10" x14ac:dyDescent="0.35">
      <c r="B1643" t="str">
        <f>IF(LEN('Ch8'!H13)=0,"",'Ch8'!H13)</f>
        <v/>
      </c>
      <c r="C1643" t="str">
        <f t="shared" si="42"/>
        <v/>
      </c>
      <c r="D1643" s="31">
        <v>801.1</v>
      </c>
      <c r="E1643" s="31"/>
      <c r="F1643" s="31"/>
      <c r="G1643" s="838" t="s">
        <v>4819</v>
      </c>
      <c r="H1643" s="400" t="str">
        <f>IF(LEN('Ch8'!W13)=0,"",'Ch8'!W13)</f>
        <v>Prescriptive Path</v>
      </c>
      <c r="J1643" s="580"/>
    </row>
    <row r="1644" spans="1:10" x14ac:dyDescent="0.35">
      <c r="B1644" t="str">
        <f>IF(LEN('Ch8'!H14)=0,"",'Ch8'!H14)</f>
        <v/>
      </c>
      <c r="C1644" t="str">
        <f t="shared" si="42"/>
        <v/>
      </c>
      <c r="D1644" s="402"/>
      <c r="E1644" s="31"/>
      <c r="F1644" s="31"/>
      <c r="G1644" s="838"/>
      <c r="H1644"/>
      <c r="J1644" s="580"/>
    </row>
    <row r="1645" spans="1:10" x14ac:dyDescent="0.35">
      <c r="B1645" t="str">
        <f>IF(LEN('Ch8'!H15)=0,"",'Ch8'!H15)</f>
        <v/>
      </c>
      <c r="C1645" t="str">
        <f t="shared" si="42"/>
        <v/>
      </c>
      <c r="D1645" s="402"/>
      <c r="E1645" s="31"/>
      <c r="F1645" s="31"/>
      <c r="G1645" s="838"/>
      <c r="H1645"/>
      <c r="J1645" s="580"/>
    </row>
    <row r="1646" spans="1:10" x14ac:dyDescent="0.35">
      <c r="B1646" t="str">
        <f>IF(LEN('Ch8'!H16)=0,"",'Ch8'!H16)</f>
        <v/>
      </c>
      <c r="C1646" t="str">
        <f t="shared" si="42"/>
        <v/>
      </c>
      <c r="D1646" s="402"/>
      <c r="E1646" s="31"/>
      <c r="F1646" s="31"/>
      <c r="G1646" s="838"/>
      <c r="H1646"/>
      <c r="J1646" s="580"/>
    </row>
    <row r="1647" spans="1:10" x14ac:dyDescent="0.35">
      <c r="B1647" t="str">
        <f>IF(LEN('Ch8'!H17)=0,"",'Ch8'!H17)</f>
        <v/>
      </c>
      <c r="C1647" t="str">
        <f t="shared" si="42"/>
        <v/>
      </c>
      <c r="D1647" s="402"/>
      <c r="E1647" s="31"/>
      <c r="F1647" s="31"/>
      <c r="G1647" s="838"/>
      <c r="H1647"/>
      <c r="J1647" s="580"/>
    </row>
    <row r="1648" spans="1:10" ht="15" thickBot="1" x14ac:dyDescent="0.4">
      <c r="B1648" t="str">
        <f>IF(LEN('Ch8'!H18)=0,"",'Ch8'!H18)</f>
        <v/>
      </c>
      <c r="C1648" t="str">
        <f t="shared" si="42"/>
        <v/>
      </c>
      <c r="D1648" s="407"/>
      <c r="E1648" s="404"/>
      <c r="F1648" s="404"/>
      <c r="G1648" s="849"/>
      <c r="H1648"/>
      <c r="J1648" s="580"/>
    </row>
    <row r="1649" spans="1:10" ht="19" thickTop="1" x14ac:dyDescent="0.35">
      <c r="A1649" s="366" t="s">
        <v>3973</v>
      </c>
      <c r="B1649" t="str">
        <f>IF(LEN('Ch8'!H19)=0,"",'Ch8'!H19)</f>
        <v/>
      </c>
      <c r="C1649" t="str">
        <f t="shared" si="42"/>
        <v>P</v>
      </c>
      <c r="D1649" s="620" t="s">
        <v>4396</v>
      </c>
      <c r="E1649" s="620"/>
      <c r="F1649" s="620"/>
      <c r="G1649" s="537"/>
      <c r="H1649"/>
      <c r="J1649" s="580"/>
    </row>
    <row r="1650" spans="1:10" x14ac:dyDescent="0.35">
      <c r="A1650" s="366" t="str">
        <f ca="1">IF(I1650&gt;0,"P","")</f>
        <v/>
      </c>
      <c r="B1650" t="str">
        <f>IF(LEN('Ch8'!H20)=0,"",'Ch8'!H20)</f>
        <v/>
      </c>
      <c r="C1650" t="str">
        <f t="shared" ca="1" si="42"/>
        <v/>
      </c>
      <c r="D1650" s="31">
        <v>802.1</v>
      </c>
      <c r="E1650" s="31"/>
      <c r="F1650" s="31"/>
      <c r="G1650" s="838" t="s">
        <v>4394</v>
      </c>
      <c r="H1650"/>
      <c r="I1650" s="46">
        <f ca="1">'Ch8'!O20</f>
        <v>0</v>
      </c>
      <c r="J1650" s="975" t="s">
        <v>3929</v>
      </c>
    </row>
    <row r="1651" spans="1:10" x14ac:dyDescent="0.35">
      <c r="A1651" s="366" t="str">
        <f ca="1">A1650</f>
        <v/>
      </c>
      <c r="B1651" t="str">
        <f>IF(LEN('Ch8'!H21)=0,"",'Ch8'!H21)</f>
        <v/>
      </c>
      <c r="C1651" t="str">
        <f t="shared" ca="1" si="42"/>
        <v/>
      </c>
      <c r="D1651" s="31"/>
      <c r="E1651" s="31"/>
      <c r="F1651" s="31"/>
      <c r="G1651" s="838"/>
      <c r="H1651" s="400" t="str">
        <f>IF(LEN('Ch8'!W21)=0,"",'Ch8'!W21)</f>
        <v/>
      </c>
      <c r="J1651" s="976"/>
    </row>
    <row r="1652" spans="1:10" x14ac:dyDescent="0.35">
      <c r="A1652" s="366" t="str">
        <f ca="1">A1651</f>
        <v/>
      </c>
      <c r="B1652" t="str">
        <f>IF(LEN('Ch8'!H22)=0,"",'Ch8'!H22)</f>
        <v/>
      </c>
      <c r="C1652" t="str">
        <f t="shared" ca="1" si="42"/>
        <v/>
      </c>
      <c r="D1652" s="31"/>
      <c r="E1652" s="31"/>
      <c r="F1652" s="31"/>
      <c r="G1652" s="838"/>
      <c r="H1652"/>
      <c r="J1652" s="580"/>
    </row>
    <row r="1653" spans="1:10" x14ac:dyDescent="0.35">
      <c r="A1653" s="366" t="str">
        <f ca="1">A1652</f>
        <v/>
      </c>
      <c r="B1653" t="str">
        <f>IF(LEN('Ch8'!H23)=0,"",'Ch8'!H23)</f>
        <v/>
      </c>
      <c r="C1653" t="str">
        <f t="shared" ca="1" si="42"/>
        <v/>
      </c>
      <c r="D1653" s="31"/>
      <c r="E1653" s="31"/>
      <c r="F1653" s="31"/>
      <c r="G1653" s="838"/>
      <c r="H1653"/>
      <c r="J1653" s="580"/>
    </row>
    <row r="1654" spans="1:10" x14ac:dyDescent="0.35">
      <c r="A1654" s="366" t="str">
        <f ca="1">A1653</f>
        <v/>
      </c>
      <c r="B1654" t="str">
        <f>IF(LEN('Ch8'!H24)=0,"",'Ch8'!H24)</f>
        <v/>
      </c>
      <c r="C1654" t="str">
        <f t="shared" ca="1" si="42"/>
        <v/>
      </c>
      <c r="D1654" s="31"/>
      <c r="E1654" s="31"/>
      <c r="F1654" s="31"/>
      <c r="G1654" s="838"/>
      <c r="H1654"/>
      <c r="J1654" s="580"/>
    </row>
    <row r="1655" spans="1:10" x14ac:dyDescent="0.35">
      <c r="B1655" t="str">
        <f>IF(LEN('Ch8'!H25)=0,"",'Ch8'!H25)</f>
        <v/>
      </c>
      <c r="C1655" t="str">
        <f t="shared" si="42"/>
        <v/>
      </c>
      <c r="D1655" s="31"/>
      <c r="E1655" s="31"/>
      <c r="F1655" s="31"/>
      <c r="G1655" s="955" t="s">
        <v>773</v>
      </c>
      <c r="H1655"/>
      <c r="J1655" s="580"/>
    </row>
    <row r="1656" spans="1:10" x14ac:dyDescent="0.35">
      <c r="B1656" t="str">
        <f>IF(LEN('Ch8'!H26)=0,"",'Ch8'!H26)</f>
        <v/>
      </c>
      <c r="C1656" t="str">
        <f t="shared" si="42"/>
        <v/>
      </c>
      <c r="D1656" s="31"/>
      <c r="E1656" s="31"/>
      <c r="F1656" s="31"/>
      <c r="G1656" s="955"/>
      <c r="H1656"/>
      <c r="J1656" s="580"/>
    </row>
    <row r="1657" spans="1:10" x14ac:dyDescent="0.35">
      <c r="B1657" t="str">
        <f>IF(LEN('Ch8'!H27)=0,"",'Ch8'!H27)</f>
        <v/>
      </c>
      <c r="C1657" t="str">
        <f t="shared" si="42"/>
        <v/>
      </c>
      <c r="D1657" s="31"/>
      <c r="E1657" s="31"/>
      <c r="F1657" s="31"/>
      <c r="G1657" s="955"/>
      <c r="H1657"/>
      <c r="J1657" s="580"/>
    </row>
    <row r="1658" spans="1:10" x14ac:dyDescent="0.35">
      <c r="B1658" t="str">
        <f>IF(LEN('Ch8'!H28)=0,"",'Ch8'!H28)</f>
        <v/>
      </c>
      <c r="C1658" t="str">
        <f t="shared" si="42"/>
        <v/>
      </c>
      <c r="D1658" s="31"/>
      <c r="E1658" s="31"/>
      <c r="F1658" s="31"/>
      <c r="G1658" s="955" t="s">
        <v>774</v>
      </c>
      <c r="H1658"/>
      <c r="J1658" s="580"/>
    </row>
    <row r="1659" spans="1:10" x14ac:dyDescent="0.35">
      <c r="B1659" t="str">
        <f>IF(LEN('Ch8'!H29)=0,"",'Ch8'!H29)</f>
        <v/>
      </c>
      <c r="C1659" t="str">
        <f t="shared" si="42"/>
        <v/>
      </c>
      <c r="D1659" s="31"/>
      <c r="E1659" s="31"/>
      <c r="F1659" s="31"/>
      <c r="G1659" s="955"/>
      <c r="H1659"/>
      <c r="J1659" s="580"/>
    </row>
    <row r="1660" spans="1:10" x14ac:dyDescent="0.35">
      <c r="B1660" t="str">
        <f>IF(LEN('Ch8'!H30)=0,"",'Ch8'!H30)</f>
        <v/>
      </c>
      <c r="C1660" t="str">
        <f t="shared" si="42"/>
        <v/>
      </c>
      <c r="D1660" s="31"/>
      <c r="E1660" s="31"/>
      <c r="F1660" s="31"/>
      <c r="G1660" s="955"/>
      <c r="H1660"/>
      <c r="J1660" s="580"/>
    </row>
    <row r="1661" spans="1:10" x14ac:dyDescent="0.35">
      <c r="B1661" t="str">
        <f>IF(LEN('Ch8'!H31)=0,"",'Ch8'!H31)</f>
        <v/>
      </c>
      <c r="C1661" t="str">
        <f t="shared" si="42"/>
        <v/>
      </c>
      <c r="D1661" s="31"/>
      <c r="E1661" s="31"/>
      <c r="F1661" s="31"/>
      <c r="G1661" s="604" t="s">
        <v>775</v>
      </c>
      <c r="H1661"/>
      <c r="J1661" s="580"/>
    </row>
    <row r="1662" spans="1:10" x14ac:dyDescent="0.35">
      <c r="B1662" t="str">
        <f>IF(LEN('Ch8'!H32)=0,"",'Ch8'!H32)</f>
        <v/>
      </c>
      <c r="C1662" t="str">
        <f t="shared" si="42"/>
        <v/>
      </c>
      <c r="D1662" s="31"/>
      <c r="E1662" s="31"/>
      <c r="F1662" s="31"/>
      <c r="G1662" s="607" t="s">
        <v>4582</v>
      </c>
      <c r="H1662"/>
      <c r="J1662" s="580"/>
    </row>
    <row r="1663" spans="1:10" x14ac:dyDescent="0.35">
      <c r="B1663" t="str">
        <f>IF(LEN('Ch8'!H33)=0,"",'Ch8'!H33)</f>
        <v/>
      </c>
      <c r="C1663" t="str">
        <f t="shared" si="42"/>
        <v/>
      </c>
      <c r="D1663" s="31"/>
      <c r="E1663" s="31"/>
      <c r="F1663" s="31"/>
      <c r="G1663" s="607" t="s">
        <v>4583</v>
      </c>
      <c r="H1663"/>
      <c r="J1663" s="580"/>
    </row>
    <row r="1664" spans="1:10" x14ac:dyDescent="0.35">
      <c r="B1664" t="str">
        <f>IF(LEN('Ch8'!H34)=0,"",'Ch8'!H34)</f>
        <v/>
      </c>
      <c r="C1664" t="str">
        <f t="shared" si="42"/>
        <v/>
      </c>
      <c r="D1664" s="31"/>
      <c r="E1664" s="402" t="s">
        <v>256</v>
      </c>
      <c r="F1664" s="31"/>
      <c r="G1664" s="814" t="s">
        <v>776</v>
      </c>
      <c r="H1664"/>
      <c r="J1664" s="580"/>
    </row>
    <row r="1665" spans="2:10" x14ac:dyDescent="0.35">
      <c r="B1665" t="str">
        <f>IF(LEN('Ch8'!H35)=0,"",'Ch8'!H35)</f>
        <v/>
      </c>
      <c r="C1665" t="str">
        <f t="shared" si="42"/>
        <v/>
      </c>
      <c r="D1665" s="31"/>
      <c r="E1665" s="416"/>
      <c r="F1665" s="403"/>
      <c r="G1665" s="815"/>
      <c r="H1665"/>
      <c r="J1665" s="580"/>
    </row>
    <row r="1666" spans="2:10" x14ac:dyDescent="0.35">
      <c r="B1666" t="str">
        <f>IF(LEN('Ch8'!H36)=0,"",'Ch8'!H36)</f>
        <v/>
      </c>
      <c r="C1666" t="str">
        <f t="shared" si="42"/>
        <v/>
      </c>
      <c r="D1666" s="31"/>
      <c r="E1666" s="402" t="s">
        <v>258</v>
      </c>
      <c r="F1666" s="31"/>
      <c r="G1666" s="814" t="s">
        <v>777</v>
      </c>
      <c r="H1666"/>
      <c r="J1666" s="580"/>
    </row>
    <row r="1667" spans="2:10" x14ac:dyDescent="0.35">
      <c r="B1667" t="str">
        <f>IF(LEN('Ch8'!H37)=0,"",'Ch8'!H37)</f>
        <v/>
      </c>
      <c r="C1667" t="str">
        <f t="shared" si="42"/>
        <v/>
      </c>
      <c r="D1667" s="31"/>
      <c r="E1667" s="416"/>
      <c r="F1667" s="403"/>
      <c r="G1667" s="815"/>
      <c r="H1667"/>
      <c r="J1667" s="580"/>
    </row>
    <row r="1668" spans="2:10" x14ac:dyDescent="0.35">
      <c r="B1668" t="str">
        <f>IF(LEN('Ch8'!H38)=0,"",'Ch8'!H38)</f>
        <v/>
      </c>
      <c r="C1668" t="str">
        <f t="shared" si="42"/>
        <v/>
      </c>
      <c r="D1668" s="31"/>
      <c r="E1668" s="402" t="s">
        <v>260</v>
      </c>
      <c r="F1668" s="31"/>
      <c r="G1668" s="814" t="s">
        <v>778</v>
      </c>
      <c r="H1668"/>
      <c r="J1668" s="580"/>
    </row>
    <row r="1669" spans="2:10" x14ac:dyDescent="0.35">
      <c r="B1669" t="str">
        <f>IF(LEN('Ch8'!H39)=0,"",'Ch8'!H39)</f>
        <v/>
      </c>
      <c r="C1669" t="str">
        <f t="shared" si="42"/>
        <v/>
      </c>
      <c r="D1669" s="31"/>
      <c r="E1669" s="416"/>
      <c r="F1669" s="403"/>
      <c r="G1669" s="815"/>
      <c r="H1669"/>
      <c r="J1669" s="580"/>
    </row>
    <row r="1670" spans="2:10" x14ac:dyDescent="0.35">
      <c r="B1670" t="str">
        <f>IF(LEN('Ch8'!H40)=0,"",'Ch8'!H40)</f>
        <v/>
      </c>
      <c r="C1670" t="str">
        <f t="shared" si="42"/>
        <v/>
      </c>
      <c r="D1670" s="31"/>
      <c r="E1670" s="402" t="s">
        <v>269</v>
      </c>
      <c r="F1670" s="31"/>
      <c r="G1670" s="814" t="s">
        <v>779</v>
      </c>
      <c r="H1670"/>
      <c r="J1670" s="580"/>
    </row>
    <row r="1671" spans="2:10" x14ac:dyDescent="0.35">
      <c r="B1671" t="str">
        <f>IF(LEN('Ch8'!H41)=0,"",'Ch8'!H41)</f>
        <v/>
      </c>
      <c r="C1671" t="str">
        <f t="shared" si="42"/>
        <v/>
      </c>
      <c r="D1671" s="31"/>
      <c r="E1671" s="31"/>
      <c r="F1671" s="31"/>
      <c r="G1671" s="814"/>
      <c r="H1671"/>
      <c r="J1671" s="580"/>
    </row>
    <row r="1672" spans="2:10" x14ac:dyDescent="0.35">
      <c r="B1672" t="str">
        <f>IF(LEN('Ch8'!H42)=0,"",'Ch8'!H42)</f>
        <v/>
      </c>
      <c r="C1672" t="str">
        <f t="shared" si="42"/>
        <v/>
      </c>
      <c r="D1672" s="31"/>
      <c r="E1672" s="31"/>
      <c r="F1672" s="31"/>
      <c r="G1672" s="814"/>
      <c r="H1672"/>
      <c r="J1672" s="580"/>
    </row>
    <row r="1673" spans="2:10" x14ac:dyDescent="0.35">
      <c r="B1673" t="str">
        <f>IF(LEN('Ch8'!H43)=0,"",'Ch8'!H43)</f>
        <v/>
      </c>
      <c r="C1673" t="str">
        <f t="shared" si="42"/>
        <v/>
      </c>
      <c r="D1673" s="31"/>
      <c r="E1673" s="31"/>
      <c r="F1673" s="402" t="s">
        <v>121</v>
      </c>
      <c r="G1673" s="814" t="s">
        <v>780</v>
      </c>
      <c r="H1673"/>
      <c r="J1673" s="580"/>
    </row>
    <row r="1674" spans="2:10" x14ac:dyDescent="0.35">
      <c r="B1674" t="str">
        <f>IF(LEN('Ch8'!H44)=0,"",'Ch8'!H44)</f>
        <v/>
      </c>
      <c r="C1674" t="str">
        <f t="shared" si="42"/>
        <v/>
      </c>
      <c r="D1674" s="31"/>
      <c r="E1674" s="403"/>
      <c r="F1674" s="403"/>
      <c r="G1674" s="815"/>
      <c r="H1674"/>
      <c r="J1674" s="580"/>
    </row>
    <row r="1675" spans="2:10" x14ac:dyDescent="0.35">
      <c r="B1675" t="str">
        <f>IF(LEN('Ch8'!H45)=0,"",'Ch8'!H45)</f>
        <v/>
      </c>
      <c r="C1675" t="str">
        <f t="shared" si="42"/>
        <v/>
      </c>
      <c r="D1675" s="31"/>
      <c r="E1675" s="402" t="s">
        <v>275</v>
      </c>
      <c r="F1675" s="31"/>
      <c r="G1675" s="814" t="s">
        <v>782</v>
      </c>
      <c r="H1675"/>
      <c r="J1675" s="580"/>
    </row>
    <row r="1676" spans="2:10" x14ac:dyDescent="0.35">
      <c r="B1676" t="str">
        <f>IF(LEN('Ch8'!H46)=0,"",'Ch8'!H46)</f>
        <v/>
      </c>
      <c r="C1676" t="str">
        <f t="shared" si="42"/>
        <v/>
      </c>
      <c r="D1676" s="31"/>
      <c r="E1676" s="31"/>
      <c r="F1676" s="31"/>
      <c r="G1676" s="814"/>
      <c r="H1676"/>
      <c r="J1676" s="580"/>
    </row>
    <row r="1677" spans="2:10" x14ac:dyDescent="0.35">
      <c r="B1677" t="str">
        <f>IF(LEN('Ch8'!H47)=0,"",'Ch8'!H47)</f>
        <v/>
      </c>
      <c r="C1677" t="str">
        <f t="shared" si="42"/>
        <v/>
      </c>
      <c r="D1677" s="31"/>
      <c r="E1677" s="31"/>
      <c r="F1677" s="31"/>
      <c r="G1677" s="814"/>
      <c r="H1677"/>
      <c r="J1677" s="580"/>
    </row>
    <row r="1678" spans="2:10" x14ac:dyDescent="0.35">
      <c r="B1678" t="str">
        <f>IF(LEN('Ch8'!H48)=0,"",'Ch8'!H48)</f>
        <v/>
      </c>
      <c r="C1678" t="str">
        <f t="shared" si="42"/>
        <v/>
      </c>
      <c r="D1678" s="31"/>
      <c r="E1678" s="31"/>
      <c r="F1678" s="31"/>
      <c r="G1678" s="814"/>
      <c r="H1678"/>
      <c r="J1678" s="580"/>
    </row>
    <row r="1679" spans="2:10" x14ac:dyDescent="0.35">
      <c r="B1679" t="str">
        <f>IF(LEN('Ch8'!H49)=0,"",'Ch8'!H49)</f>
        <v/>
      </c>
      <c r="C1679" t="str">
        <f t="shared" si="42"/>
        <v/>
      </c>
      <c r="D1679" s="31"/>
      <c r="E1679" s="403"/>
      <c r="F1679" s="403"/>
      <c r="G1679" s="815"/>
      <c r="H1679"/>
      <c r="J1679" s="580"/>
    </row>
    <row r="1680" spans="2:10" x14ac:dyDescent="0.35">
      <c r="B1680" t="str">
        <f>IF(LEN('Ch8'!H50)=0,"",'Ch8'!H50)</f>
        <v/>
      </c>
      <c r="C1680" t="str">
        <f t="shared" si="42"/>
        <v/>
      </c>
      <c r="D1680" s="31"/>
      <c r="E1680" s="402" t="s">
        <v>277</v>
      </c>
      <c r="F1680" s="31"/>
      <c r="G1680" s="814" t="s">
        <v>783</v>
      </c>
      <c r="H1680" s="400" t="str">
        <f>IF(LEN('Ch8'!W50)=0,"",'Ch8'!W50)</f>
        <v/>
      </c>
      <c r="I1680" s="46">
        <f ca="1">'Ch8'!O50</f>
        <v>0</v>
      </c>
      <c r="J1680" s="580"/>
    </row>
    <row r="1681" spans="1:10" x14ac:dyDescent="0.35">
      <c r="B1681" t="str">
        <f>IF(LEN('Ch8'!H51)=0,"",'Ch8'!H51)</f>
        <v/>
      </c>
      <c r="C1681" t="str">
        <f t="shared" si="42"/>
        <v/>
      </c>
      <c r="D1681" s="31"/>
      <c r="E1681" s="31"/>
      <c r="F1681" s="31"/>
      <c r="G1681" s="814"/>
      <c r="H1681"/>
      <c r="J1681" s="580"/>
    </row>
    <row r="1682" spans="1:10" ht="15" thickBot="1" x14ac:dyDescent="0.4">
      <c r="B1682" t="str">
        <f>IF(LEN('Ch8'!H52)=0,"",'Ch8'!H52)</f>
        <v/>
      </c>
      <c r="C1682" t="str">
        <f t="shared" ref="C1682:C1745" si="43">IF(LEN(B1682)=0,IF(A1682="P","P",""),B1682)</f>
        <v/>
      </c>
      <c r="D1682" s="404"/>
      <c r="E1682" s="404"/>
      <c r="F1682" s="404"/>
      <c r="G1682" s="839"/>
      <c r="H1682"/>
      <c r="J1682" s="580"/>
    </row>
    <row r="1683" spans="1:10" ht="39.75" customHeight="1" thickTop="1" x14ac:dyDescent="0.35">
      <c r="A1683" s="366" t="str">
        <f ca="1">IF(I1683&gt;0,"P","")</f>
        <v>P</v>
      </c>
      <c r="B1683" t="str">
        <f>IF(LEN('Ch8'!H53)=0,"",'Ch8'!H53)</f>
        <v/>
      </c>
      <c r="C1683" t="str">
        <f t="shared" ca="1" si="43"/>
        <v>P</v>
      </c>
      <c r="D1683" s="31">
        <v>802.2</v>
      </c>
      <c r="E1683" s="31"/>
      <c r="F1683" s="31"/>
      <c r="G1683" s="838" t="s">
        <v>4373</v>
      </c>
      <c r="H1683"/>
      <c r="I1683" s="433">
        <f ca="1">SUM(I1685:I1686)</f>
        <v>15</v>
      </c>
      <c r="J1683" s="975" t="s">
        <v>5013</v>
      </c>
    </row>
    <row r="1684" spans="1:10" x14ac:dyDescent="0.35">
      <c r="A1684" s="366" t="str">
        <f ca="1">A1683</f>
        <v>P</v>
      </c>
      <c r="B1684" t="str">
        <f>IF(LEN('Ch8'!H54)=0,"",'Ch8'!H54)</f>
        <v/>
      </c>
      <c r="C1684" t="str">
        <f t="shared" ca="1" si="43"/>
        <v>P</v>
      </c>
      <c r="D1684" s="31"/>
      <c r="E1684" s="31"/>
      <c r="F1684" s="31"/>
      <c r="G1684" s="838"/>
      <c r="H1684"/>
      <c r="J1684" s="976"/>
    </row>
    <row r="1685" spans="1:10" x14ac:dyDescent="0.35">
      <c r="B1685" t="str">
        <f>IF(LEN('Ch8'!H55)=0,"",'Ch8'!H55)</f>
        <v/>
      </c>
      <c r="C1685" t="str">
        <f t="shared" si="43"/>
        <v/>
      </c>
      <c r="D1685" s="31"/>
      <c r="E1685" s="416" t="s">
        <v>256</v>
      </c>
      <c r="F1685" s="403"/>
      <c r="G1685" s="228" t="s">
        <v>784</v>
      </c>
      <c r="H1685" s="400" t="b">
        <f>IF(LEN('Ch8'!W55)=0,"",'Ch8'!W55)</f>
        <v>1</v>
      </c>
      <c r="I1685" s="46">
        <f ca="1">'Ch8'!O55</f>
        <v>2</v>
      </c>
      <c r="J1685" s="580"/>
    </row>
    <row r="1686" spans="1:10" x14ac:dyDescent="0.35">
      <c r="B1686" t="str">
        <f>IF(LEN('Ch8'!H56)=0,"",'Ch8'!H56)</f>
        <v/>
      </c>
      <c r="C1686" t="str">
        <f t="shared" si="43"/>
        <v/>
      </c>
      <c r="D1686" s="31"/>
      <c r="E1686" s="416" t="s">
        <v>258</v>
      </c>
      <c r="F1686" s="403"/>
      <c r="G1686" s="228" t="s">
        <v>4397</v>
      </c>
      <c r="H1686" s="400" t="str">
        <f>IF(LEN('Ch8'!W56)=0,"",'Ch8'!W56)</f>
        <v>(2)</v>
      </c>
      <c r="I1686" s="46">
        <f ca="1">'Ch8'!O56</f>
        <v>13</v>
      </c>
      <c r="J1686" s="580"/>
    </row>
    <row r="1687" spans="1:10" x14ac:dyDescent="0.35">
      <c r="B1687" t="str">
        <f>IF(LEN('Ch8'!H57)=0,"",'Ch8'!H57)</f>
        <v/>
      </c>
      <c r="C1687" t="str">
        <f t="shared" si="43"/>
        <v/>
      </c>
      <c r="D1687" s="31"/>
      <c r="E1687" s="402" t="s">
        <v>260</v>
      </c>
      <c r="F1687" s="31"/>
      <c r="G1687" s="90" t="s">
        <v>4398</v>
      </c>
      <c r="H1687"/>
      <c r="J1687" s="580"/>
    </row>
    <row r="1688" spans="1:10" x14ac:dyDescent="0.35">
      <c r="B1688" t="str">
        <f>IF(LEN('Ch8'!H58)=0,"",'Ch8'!H58)</f>
        <v/>
      </c>
      <c r="C1688" t="str">
        <f t="shared" si="43"/>
        <v/>
      </c>
      <c r="D1688" s="31"/>
      <c r="E1688" s="402"/>
      <c r="F1688" s="31"/>
      <c r="G1688" s="985" t="s">
        <v>3585</v>
      </c>
      <c r="H1688"/>
      <c r="J1688" s="580"/>
    </row>
    <row r="1689" spans="1:10" x14ac:dyDescent="0.35">
      <c r="B1689" t="str">
        <f>IF(LEN('Ch8'!H59)=0,"",'Ch8'!H59)</f>
        <v/>
      </c>
      <c r="C1689" t="str">
        <f t="shared" si="43"/>
        <v/>
      </c>
      <c r="D1689" s="31"/>
      <c r="E1689" s="402"/>
      <c r="F1689" s="31"/>
      <c r="G1689" s="989"/>
      <c r="H1689"/>
      <c r="J1689" s="580"/>
    </row>
    <row r="1690" spans="1:10" x14ac:dyDescent="0.35">
      <c r="B1690" t="str">
        <f>IF(LEN('Ch8'!H60)=0,"",'Ch8'!H60)</f>
        <v/>
      </c>
      <c r="C1690" t="str">
        <f t="shared" si="43"/>
        <v/>
      </c>
      <c r="D1690" s="31"/>
      <c r="G1690" s="984" t="s">
        <v>3586</v>
      </c>
      <c r="H1690"/>
      <c r="J1690" s="580"/>
    </row>
    <row r="1691" spans="1:10" ht="15" thickBot="1" x14ac:dyDescent="0.4">
      <c r="B1691" t="str">
        <f>IF(LEN('Ch8'!H61)=0,"",'Ch8'!H61)</f>
        <v/>
      </c>
      <c r="C1691" t="str">
        <f t="shared" si="43"/>
        <v/>
      </c>
      <c r="D1691" s="404"/>
      <c r="E1691" s="618"/>
      <c r="F1691" s="618"/>
      <c r="G1691" s="988"/>
      <c r="H1691"/>
      <c r="J1691" s="580"/>
    </row>
    <row r="1692" spans="1:10" ht="15" thickTop="1" x14ac:dyDescent="0.35">
      <c r="A1692" s="366" t="str">
        <f ca="1">IF(I1692&gt;0,"P","")</f>
        <v/>
      </c>
      <c r="B1692" t="str">
        <f>IF(LEN('Ch8'!H62)=0,"",'Ch8'!H62)</f>
        <v/>
      </c>
      <c r="C1692" t="str">
        <f t="shared" ca="1" si="43"/>
        <v/>
      </c>
      <c r="D1692" s="31">
        <v>802.3</v>
      </c>
      <c r="E1692" s="402"/>
      <c r="F1692" s="402"/>
      <c r="G1692" s="487" t="s">
        <v>4399</v>
      </c>
      <c r="H1692"/>
      <c r="I1692" s="433">
        <f ca="1">SUM(I1694:I1705)</f>
        <v>0</v>
      </c>
      <c r="J1692" s="580" t="s">
        <v>5006</v>
      </c>
    </row>
    <row r="1693" spans="1:10" x14ac:dyDescent="0.35">
      <c r="B1693" t="str">
        <f>IF(LEN('Ch8'!H63)=0,"",'Ch8'!H63)</f>
        <v/>
      </c>
      <c r="C1693" t="str">
        <f t="shared" si="43"/>
        <v/>
      </c>
      <c r="D1693" s="31"/>
      <c r="E1693" s="402" t="s">
        <v>256</v>
      </c>
      <c r="F1693" s="402"/>
      <c r="G1693" s="266" t="s">
        <v>4400</v>
      </c>
      <c r="H1693"/>
      <c r="J1693" s="580"/>
    </row>
    <row r="1694" spans="1:10" x14ac:dyDescent="0.35">
      <c r="B1694" t="str">
        <f>IF(LEN('Ch8'!H64)=0,"",'Ch8'!H64)</f>
        <v/>
      </c>
      <c r="C1694" t="str">
        <f t="shared" si="43"/>
        <v/>
      </c>
      <c r="D1694" s="31"/>
      <c r="E1694" s="402"/>
      <c r="F1694" s="402" t="s">
        <v>121</v>
      </c>
      <c r="G1694" s="814" t="s">
        <v>4401</v>
      </c>
      <c r="H1694" s="400" t="str">
        <f>IF(LEN('Ch8'!W64)=0,"",'Ch8'!W64)</f>
        <v/>
      </c>
      <c r="I1694" s="46">
        <f ca="1">'Ch8'!O64</f>
        <v>0</v>
      </c>
      <c r="J1694" s="580"/>
    </row>
    <row r="1695" spans="1:10" x14ac:dyDescent="0.35">
      <c r="B1695" t="str">
        <f>IF(LEN('Ch8'!H65)=0,"",'Ch8'!H65)</f>
        <v/>
      </c>
      <c r="C1695" t="str">
        <f t="shared" si="43"/>
        <v/>
      </c>
      <c r="D1695" s="31"/>
      <c r="E1695" s="402"/>
      <c r="F1695" s="416"/>
      <c r="G1695" s="815"/>
      <c r="H1695"/>
      <c r="J1695" s="580"/>
    </row>
    <row r="1696" spans="1:10" x14ac:dyDescent="0.35">
      <c r="B1696" t="str">
        <f>IF(LEN('Ch8'!H66)=0,"",'Ch8'!H66)</f>
        <v/>
      </c>
      <c r="C1696" t="str">
        <f t="shared" si="43"/>
        <v/>
      </c>
      <c r="D1696" s="31"/>
      <c r="E1696" s="402"/>
      <c r="F1696" s="402" t="s">
        <v>122</v>
      </c>
      <c r="G1696" s="814" t="s">
        <v>4402</v>
      </c>
      <c r="H1696" s="400" t="str">
        <f>IF(LEN('Ch8'!W66)=0,"",'Ch8'!W66)</f>
        <v/>
      </c>
      <c r="I1696" s="46">
        <f ca="1">'Ch8'!O66</f>
        <v>0</v>
      </c>
      <c r="J1696" s="580"/>
    </row>
    <row r="1697" spans="1:10" x14ac:dyDescent="0.35">
      <c r="B1697" t="str">
        <f>IF(LEN('Ch8'!H67)=0,"",'Ch8'!H67)</f>
        <v/>
      </c>
      <c r="C1697" t="str">
        <f t="shared" si="43"/>
        <v/>
      </c>
      <c r="D1697" s="31"/>
      <c r="E1697" s="402"/>
      <c r="F1697" s="402"/>
      <c r="G1697" s="814"/>
      <c r="H1697"/>
      <c r="J1697" s="580"/>
    </row>
    <row r="1698" spans="1:10" x14ac:dyDescent="0.35">
      <c r="B1698" t="str">
        <f>IF(LEN('Ch8'!H68)=0,"",'Ch8'!H68)</f>
        <v/>
      </c>
      <c r="C1698" t="str">
        <f t="shared" si="43"/>
        <v/>
      </c>
      <c r="D1698" s="31"/>
      <c r="E1698" s="402"/>
      <c r="F1698" s="402"/>
      <c r="G1698" s="814"/>
      <c r="H1698"/>
      <c r="J1698" s="580"/>
    </row>
    <row r="1699" spans="1:10" x14ac:dyDescent="0.35">
      <c r="B1699" t="str">
        <f>IF(LEN('Ch8'!H69)=0,"",'Ch8'!H69)</f>
        <v/>
      </c>
      <c r="C1699" t="str">
        <f t="shared" si="43"/>
        <v/>
      </c>
      <c r="D1699" s="31"/>
      <c r="E1699" s="416"/>
      <c r="F1699" s="416"/>
      <c r="G1699" s="815"/>
      <c r="H1699"/>
      <c r="J1699" s="580"/>
    </row>
    <row r="1700" spans="1:10" x14ac:dyDescent="0.35">
      <c r="B1700" t="str">
        <f>IF(LEN('Ch8'!H70)=0,"",'Ch8'!H70)</f>
        <v/>
      </c>
      <c r="C1700" t="str">
        <f t="shared" si="43"/>
        <v/>
      </c>
      <c r="D1700" s="31"/>
      <c r="E1700" s="402" t="s">
        <v>258</v>
      </c>
      <c r="F1700" s="402"/>
      <c r="G1700" s="266" t="s">
        <v>4403</v>
      </c>
      <c r="H1700"/>
      <c r="J1700" s="580"/>
    </row>
    <row r="1701" spans="1:10" x14ac:dyDescent="0.35">
      <c r="B1701" t="str">
        <f>IF(LEN('Ch8'!H71)=0,"",'Ch8'!H71)</f>
        <v/>
      </c>
      <c r="C1701" t="str">
        <f t="shared" si="43"/>
        <v/>
      </c>
      <c r="D1701" s="31"/>
      <c r="E1701" s="402"/>
      <c r="G1701" s="838" t="s">
        <v>4407</v>
      </c>
      <c r="H1701"/>
      <c r="J1701" s="580"/>
    </row>
    <row r="1702" spans="1:10" x14ac:dyDescent="0.35">
      <c r="B1702" t="str">
        <f>IF(LEN('Ch8'!H72)=0,"",'Ch8'!H72)</f>
        <v/>
      </c>
      <c r="C1702" t="str">
        <f t="shared" si="43"/>
        <v/>
      </c>
      <c r="D1702" s="31"/>
      <c r="E1702" s="402"/>
      <c r="G1702" s="838"/>
      <c r="H1702"/>
      <c r="J1702" s="580"/>
    </row>
    <row r="1703" spans="1:10" x14ac:dyDescent="0.35">
      <c r="B1703" t="str">
        <f>IF(LEN('Ch8'!H73)=0,"",'Ch8'!H73)</f>
        <v/>
      </c>
      <c r="C1703" t="str">
        <f t="shared" si="43"/>
        <v/>
      </c>
      <c r="D1703" s="31"/>
      <c r="E1703" s="402"/>
      <c r="F1703" s="402" t="s">
        <v>121</v>
      </c>
      <c r="G1703" s="814" t="s">
        <v>4401</v>
      </c>
      <c r="H1703" s="400" t="str">
        <f>IF(LEN('Ch8'!W73)=0,"",'Ch8'!W73)</f>
        <v/>
      </c>
      <c r="I1703" s="46">
        <f ca="1">'Ch8'!O73</f>
        <v>0</v>
      </c>
      <c r="J1703" s="580"/>
    </row>
    <row r="1704" spans="1:10" x14ac:dyDescent="0.35">
      <c r="B1704" t="str">
        <f>IF(LEN('Ch8'!H74)=0,"",'Ch8'!H74)</f>
        <v/>
      </c>
      <c r="C1704" t="str">
        <f t="shared" si="43"/>
        <v/>
      </c>
      <c r="D1704" s="31"/>
      <c r="E1704" s="402"/>
      <c r="F1704" s="416"/>
      <c r="G1704" s="815"/>
      <c r="H1704"/>
      <c r="J1704" s="580"/>
    </row>
    <row r="1705" spans="1:10" x14ac:dyDescent="0.35">
      <c r="B1705" t="str">
        <f>IF(LEN('Ch8'!H75)=0,"",'Ch8'!H75)</f>
        <v/>
      </c>
      <c r="C1705" t="str">
        <f t="shared" si="43"/>
        <v/>
      </c>
      <c r="D1705" s="31"/>
      <c r="E1705" s="402"/>
      <c r="F1705" s="402" t="s">
        <v>122</v>
      </c>
      <c r="G1705" s="814" t="s">
        <v>4402</v>
      </c>
      <c r="H1705" s="400" t="str">
        <f>IF(LEN('Ch8'!W75)=0,"",'Ch8'!W75)</f>
        <v/>
      </c>
      <c r="I1705" s="46">
        <f ca="1">'Ch8'!O75</f>
        <v>0</v>
      </c>
      <c r="J1705" s="580"/>
    </row>
    <row r="1706" spans="1:10" x14ac:dyDescent="0.35">
      <c r="B1706" t="str">
        <f>IF(LEN('Ch8'!H76)=0,"",'Ch8'!H76)</f>
        <v/>
      </c>
      <c r="C1706" t="str">
        <f t="shared" si="43"/>
        <v/>
      </c>
      <c r="D1706" s="31"/>
      <c r="E1706" s="402"/>
      <c r="F1706" s="402"/>
      <c r="G1706" s="814"/>
      <c r="H1706"/>
      <c r="J1706" s="580"/>
    </row>
    <row r="1707" spans="1:10" x14ac:dyDescent="0.35">
      <c r="B1707" t="str">
        <f>IF(LEN('Ch8'!H77)=0,"",'Ch8'!H77)</f>
        <v/>
      </c>
      <c r="C1707" t="str">
        <f t="shared" si="43"/>
        <v/>
      </c>
      <c r="D1707" s="31"/>
      <c r="E1707" s="402"/>
      <c r="F1707" s="402"/>
      <c r="G1707" s="814"/>
      <c r="H1707"/>
      <c r="J1707" s="580"/>
    </row>
    <row r="1708" spans="1:10" ht="15" thickBot="1" x14ac:dyDescent="0.4">
      <c r="B1708" t="str">
        <f>IF(LEN('Ch8'!H78)=0,"",'Ch8'!H78)</f>
        <v/>
      </c>
      <c r="C1708" t="str">
        <f t="shared" si="43"/>
        <v/>
      </c>
      <c r="D1708" s="404"/>
      <c r="E1708" s="407"/>
      <c r="F1708" s="407"/>
      <c r="G1708" s="839"/>
      <c r="H1708"/>
      <c r="J1708" s="580"/>
    </row>
    <row r="1709" spans="1:10" ht="15" thickTop="1" x14ac:dyDescent="0.35">
      <c r="A1709" s="366" t="str">
        <f ca="1">IF(I1709&gt;0,"P","")</f>
        <v/>
      </c>
      <c r="B1709" t="str">
        <f>IF(LEN('Ch8'!H79)=0,"",'Ch8'!H79)</f>
        <v/>
      </c>
      <c r="C1709" t="str">
        <f t="shared" ca="1" si="43"/>
        <v/>
      </c>
      <c r="D1709" s="31">
        <v>802.4</v>
      </c>
      <c r="E1709" s="31"/>
      <c r="F1709" s="31"/>
      <c r="G1709" s="95" t="s">
        <v>4409</v>
      </c>
      <c r="H1709"/>
      <c r="I1709" s="433">
        <f ca="1">SUM(I1710:I1727)</f>
        <v>0</v>
      </c>
      <c r="J1709" s="580" t="s">
        <v>3930</v>
      </c>
    </row>
    <row r="1710" spans="1:10" x14ac:dyDescent="0.35">
      <c r="B1710" t="str">
        <f>IF(LEN('Ch8'!H80)=0,"",'Ch8'!H80)</f>
        <v/>
      </c>
      <c r="C1710" t="str">
        <f t="shared" si="43"/>
        <v/>
      </c>
      <c r="D1710" s="31"/>
      <c r="E1710" s="402" t="s">
        <v>256</v>
      </c>
      <c r="F1710" s="31"/>
      <c r="G1710" s="814" t="s">
        <v>4412</v>
      </c>
      <c r="H1710" s="400" t="str">
        <f>IF(LEN('Ch8'!W80)=0,"",'Ch8'!W80)</f>
        <v/>
      </c>
      <c r="I1710" s="46">
        <f ca="1">'Ch8'!O80</f>
        <v>0</v>
      </c>
      <c r="J1710" s="580"/>
    </row>
    <row r="1711" spans="1:10" x14ac:dyDescent="0.35">
      <c r="B1711" t="str">
        <f>IF(LEN('Ch8'!H81)=0,"",'Ch8'!H81)</f>
        <v/>
      </c>
      <c r="C1711" t="str">
        <f t="shared" si="43"/>
        <v/>
      </c>
      <c r="D1711" s="31"/>
      <c r="E1711" s="31"/>
      <c r="F1711" s="31"/>
      <c r="G1711" s="814"/>
      <c r="H1711"/>
      <c r="J1711" s="580"/>
    </row>
    <row r="1712" spans="1:10" x14ac:dyDescent="0.35">
      <c r="B1712" t="str">
        <f>IF(LEN('Ch8'!H82)=0,"",'Ch8'!H82)</f>
        <v/>
      </c>
      <c r="C1712" t="str">
        <f t="shared" si="43"/>
        <v/>
      </c>
      <c r="D1712" s="31"/>
      <c r="E1712" s="31"/>
      <c r="F1712" s="31"/>
      <c r="G1712" s="814"/>
      <c r="H1712"/>
      <c r="J1712" s="580"/>
    </row>
    <row r="1713" spans="2:10" x14ac:dyDescent="0.35">
      <c r="B1713" t="str">
        <f>IF(LEN('Ch8'!H83)=0,"",'Ch8'!H83)</f>
        <v/>
      </c>
      <c r="C1713" t="str">
        <f t="shared" si="43"/>
        <v/>
      </c>
      <c r="D1713" s="31"/>
      <c r="E1713" s="31"/>
      <c r="F1713" s="31"/>
      <c r="G1713" s="814"/>
      <c r="H1713"/>
      <c r="J1713" s="580"/>
    </row>
    <row r="1714" spans="2:10" x14ac:dyDescent="0.35">
      <c r="B1714" t="str">
        <f>IF(LEN('Ch8'!H84)=0,"",'Ch8'!H84)</f>
        <v/>
      </c>
      <c r="C1714" t="str">
        <f t="shared" si="43"/>
        <v/>
      </c>
      <c r="D1714" s="31"/>
      <c r="E1714" s="31"/>
      <c r="F1714" s="31"/>
      <c r="G1714" s="814"/>
      <c r="H1714"/>
      <c r="J1714" s="580"/>
    </row>
    <row r="1715" spans="2:10" x14ac:dyDescent="0.35">
      <c r="B1715" t="str">
        <f>IF(LEN('Ch8'!H85)=0,"",'Ch8'!H85)</f>
        <v/>
      </c>
      <c r="C1715" t="str">
        <f t="shared" si="43"/>
        <v/>
      </c>
      <c r="D1715" s="31"/>
      <c r="E1715" s="31"/>
      <c r="F1715" s="31"/>
      <c r="G1715" s="814"/>
      <c r="H1715"/>
      <c r="J1715" s="580"/>
    </row>
    <row r="1716" spans="2:10" x14ac:dyDescent="0.35">
      <c r="B1716" t="str">
        <f>IF(LEN('Ch8'!H86)=0,"",'Ch8'!H86)</f>
        <v/>
      </c>
      <c r="C1716" t="str">
        <f t="shared" si="43"/>
        <v/>
      </c>
      <c r="D1716" s="31"/>
      <c r="E1716" s="31"/>
      <c r="F1716" s="31"/>
      <c r="G1716" s="814"/>
      <c r="H1716"/>
      <c r="J1716" s="580"/>
    </row>
    <row r="1717" spans="2:10" x14ac:dyDescent="0.35">
      <c r="B1717" t="str">
        <f>IF(LEN('Ch8'!H87)=0,"",'Ch8'!H87)</f>
        <v/>
      </c>
      <c r="C1717" t="str">
        <f t="shared" si="43"/>
        <v/>
      </c>
      <c r="D1717" s="31"/>
      <c r="E1717" s="31"/>
      <c r="F1717" s="31"/>
      <c r="G1717" s="814"/>
      <c r="H1717"/>
      <c r="J1717" s="580"/>
    </row>
    <row r="1718" spans="2:10" x14ac:dyDescent="0.35">
      <c r="B1718" t="str">
        <f>IF(LEN('Ch8'!H88)=0,"",'Ch8'!H88)</f>
        <v/>
      </c>
      <c r="C1718" t="str">
        <f t="shared" si="43"/>
        <v/>
      </c>
      <c r="D1718" s="31"/>
      <c r="E1718" s="31"/>
      <c r="F1718" s="31"/>
      <c r="G1718" s="814"/>
      <c r="H1718"/>
      <c r="J1718" s="580"/>
    </row>
    <row r="1719" spans="2:10" x14ac:dyDescent="0.35">
      <c r="B1719" t="str">
        <f>IF(LEN('Ch8'!H89)=0,"",'Ch8'!H89)</f>
        <v/>
      </c>
      <c r="C1719" t="str">
        <f t="shared" si="43"/>
        <v/>
      </c>
      <c r="D1719" s="31"/>
      <c r="E1719" s="31"/>
      <c r="F1719" s="31"/>
      <c r="G1719" s="895" t="s">
        <v>4413</v>
      </c>
      <c r="H1719"/>
      <c r="J1719" s="580"/>
    </row>
    <row r="1720" spans="2:10" x14ac:dyDescent="0.35">
      <c r="B1720" t="str">
        <f>IF(LEN('Ch8'!H90)=0,"",'Ch8'!H90)</f>
        <v/>
      </c>
      <c r="C1720" t="str">
        <f t="shared" si="43"/>
        <v/>
      </c>
      <c r="D1720" s="31"/>
      <c r="E1720" s="31"/>
      <c r="F1720" s="31"/>
      <c r="G1720" s="895"/>
      <c r="H1720"/>
      <c r="J1720" s="580"/>
    </row>
    <row r="1721" spans="2:10" x14ac:dyDescent="0.35">
      <c r="B1721" t="str">
        <f>IF(LEN('Ch8'!H91)=0,"",'Ch8'!H91)</f>
        <v/>
      </c>
      <c r="C1721" t="str">
        <f t="shared" si="43"/>
        <v/>
      </c>
      <c r="D1721" s="31"/>
      <c r="E1721" s="403"/>
      <c r="F1721" s="403"/>
      <c r="G1721" s="948"/>
      <c r="H1721"/>
      <c r="J1721" s="580"/>
    </row>
    <row r="1722" spans="2:10" ht="15" customHeight="1" x14ac:dyDescent="0.35">
      <c r="B1722" t="str">
        <f>IF(LEN('Ch8'!H92)=0,"",'Ch8'!H92)</f>
        <v/>
      </c>
      <c r="C1722" t="str">
        <f t="shared" si="43"/>
        <v/>
      </c>
      <c r="D1722" s="31"/>
      <c r="E1722" s="402" t="s">
        <v>258</v>
      </c>
      <c r="F1722" s="31"/>
      <c r="G1722" s="814" t="s">
        <v>5850</v>
      </c>
      <c r="H1722" s="400" t="str">
        <f>IF(LEN('Ch8'!W92)=0,"",'Ch8'!W92)</f>
        <v/>
      </c>
      <c r="I1722" s="46">
        <f ca="1">'Ch8'!O92</f>
        <v>0</v>
      </c>
      <c r="J1722" s="580"/>
    </row>
    <row r="1723" spans="2:10" x14ac:dyDescent="0.35">
      <c r="B1723" t="str">
        <f>IF(LEN('Ch8'!H93)=0,"",'Ch8'!H93)</f>
        <v/>
      </c>
      <c r="C1723" t="str">
        <f t="shared" si="43"/>
        <v/>
      </c>
      <c r="D1723" s="31"/>
      <c r="E1723" s="402"/>
      <c r="F1723" s="31"/>
      <c r="G1723" s="814"/>
      <c r="H1723"/>
      <c r="J1723" s="580"/>
    </row>
    <row r="1724" spans="2:10" x14ac:dyDescent="0.35">
      <c r="B1724" t="str">
        <f>IF(LEN('Ch8'!H94)=0,"",'Ch8'!H94)</f>
        <v/>
      </c>
      <c r="C1724" t="str">
        <f t="shared" si="43"/>
        <v/>
      </c>
      <c r="D1724" s="31"/>
      <c r="E1724" s="31"/>
      <c r="F1724" s="31"/>
      <c r="G1724" s="814"/>
      <c r="H1724"/>
      <c r="J1724" s="580"/>
    </row>
    <row r="1725" spans="2:10" x14ac:dyDescent="0.35">
      <c r="B1725" t="str">
        <f>IF(LEN('Ch8'!H95)=0,"",'Ch8'!H95)</f>
        <v/>
      </c>
      <c r="C1725" t="str">
        <f t="shared" si="43"/>
        <v/>
      </c>
      <c r="D1725" s="31"/>
      <c r="E1725" s="31"/>
      <c r="F1725" s="402" t="s">
        <v>121</v>
      </c>
      <c r="G1725" s="266" t="s">
        <v>4414</v>
      </c>
      <c r="H1725"/>
      <c r="J1725" s="580"/>
    </row>
    <row r="1726" spans="2:10" x14ac:dyDescent="0.35">
      <c r="B1726" t="str">
        <f>IF(LEN('Ch8'!H96)=0,"",'Ch8'!H96)</f>
        <v/>
      </c>
      <c r="C1726" t="str">
        <f t="shared" si="43"/>
        <v/>
      </c>
      <c r="D1726" s="31"/>
      <c r="E1726" s="403"/>
      <c r="F1726" s="416" t="s">
        <v>122</v>
      </c>
      <c r="G1726" s="281" t="s">
        <v>4415</v>
      </c>
      <c r="H1726"/>
      <c r="J1726" s="580"/>
    </row>
    <row r="1727" spans="2:10" ht="15" customHeight="1" x14ac:dyDescent="0.35">
      <c r="B1727" t="str">
        <f>IF(LEN('Ch8'!H97)=0,"",'Ch8'!H97)</f>
        <v/>
      </c>
      <c r="C1727" t="str">
        <f t="shared" si="43"/>
        <v/>
      </c>
      <c r="D1727" s="31"/>
      <c r="E1727" s="402" t="s">
        <v>260</v>
      </c>
      <c r="F1727" s="31"/>
      <c r="G1727" s="90" t="s">
        <v>790</v>
      </c>
      <c r="H1727" s="400" t="str">
        <f>IF(LEN('Ch8'!W97)=0,"",'Ch8'!W97)</f>
        <v/>
      </c>
      <c r="I1727" s="46">
        <f ca="1">'Ch8'!O97</f>
        <v>0</v>
      </c>
      <c r="J1727" s="580"/>
    </row>
    <row r="1728" spans="2:10" ht="15" thickBot="1" x14ac:dyDescent="0.4">
      <c r="B1728" t="str">
        <f>IF(LEN('Ch8'!H98)=0,"",'Ch8'!H98)</f>
        <v/>
      </c>
      <c r="C1728" t="str">
        <f t="shared" si="43"/>
        <v/>
      </c>
      <c r="D1728" s="404"/>
      <c r="E1728" s="404"/>
      <c r="F1728" s="404"/>
      <c r="G1728" s="231" t="s">
        <v>791</v>
      </c>
      <c r="H1728"/>
      <c r="J1728" s="580"/>
    </row>
    <row r="1729" spans="1:10" ht="15" thickTop="1" x14ac:dyDescent="0.35">
      <c r="A1729" s="366" t="str">
        <f ca="1">IF(I1729&gt;0,"P","")</f>
        <v>P</v>
      </c>
      <c r="B1729" t="str">
        <f>IF(LEN('Ch8'!H99)=0,"",'Ch8'!H99)</f>
        <v/>
      </c>
      <c r="C1729" t="str">
        <f t="shared" ca="1" si="43"/>
        <v>P</v>
      </c>
      <c r="D1729" s="60">
        <v>802.5</v>
      </c>
      <c r="E1729" s="60"/>
      <c r="F1729" s="60"/>
      <c r="G1729" s="274" t="s">
        <v>4416</v>
      </c>
      <c r="H1729"/>
      <c r="I1729" s="433">
        <f ca="1">SUM(I1730:I1750)</f>
        <v>12</v>
      </c>
      <c r="J1729" s="580"/>
    </row>
    <row r="1730" spans="1:10" x14ac:dyDescent="0.35">
      <c r="A1730" s="366" t="str">
        <f ca="1">IF(I1730&gt;0,"P","")</f>
        <v/>
      </c>
      <c r="B1730" t="str">
        <f>IF(LEN('Ch8'!H100)=0,"",'Ch8'!H100)</f>
        <v/>
      </c>
      <c r="C1730" t="str">
        <f t="shared" ca="1" si="43"/>
        <v/>
      </c>
      <c r="D1730" s="31" t="s">
        <v>4410</v>
      </c>
      <c r="E1730" s="31"/>
      <c r="F1730" s="31"/>
      <c r="G1730" s="838" t="s">
        <v>4417</v>
      </c>
      <c r="H1730" s="400" t="str">
        <f>IF(LEN('Ch8'!W100)=0,"",'Ch8'!W100)</f>
        <v/>
      </c>
      <c r="I1730" s="46">
        <f ca="1">'Ch8'!O100</f>
        <v>0</v>
      </c>
      <c r="J1730" s="580" t="s">
        <v>3930</v>
      </c>
    </row>
    <row r="1731" spans="1:10" x14ac:dyDescent="0.35">
      <c r="A1731" s="366" t="str">
        <f ca="1">A1730</f>
        <v/>
      </c>
      <c r="B1731" t="str">
        <f>IF(LEN('Ch8'!H101)=0,"",'Ch8'!H101)</f>
        <v/>
      </c>
      <c r="C1731" t="str">
        <f t="shared" ca="1" si="43"/>
        <v/>
      </c>
      <c r="D1731" s="31"/>
      <c r="E1731" s="31"/>
      <c r="F1731" s="31"/>
      <c r="G1731" s="838"/>
      <c r="H1731"/>
      <c r="J1731" s="580"/>
    </row>
    <row r="1732" spans="1:10" x14ac:dyDescent="0.35">
      <c r="A1732" s="366" t="str">
        <f ca="1">A1731</f>
        <v/>
      </c>
      <c r="B1732" t="str">
        <f>IF(LEN('Ch8'!H102)=0,"",'Ch8'!H102)</f>
        <v/>
      </c>
      <c r="C1732" t="str">
        <f t="shared" ca="1" si="43"/>
        <v/>
      </c>
      <c r="D1732" s="31"/>
      <c r="E1732" s="31"/>
      <c r="F1732" s="31"/>
      <c r="G1732" s="838"/>
      <c r="H1732" s="400" t="str">
        <f>IF(LEN('Ch8'!W102)=0,"",'Ch8'!W102)</f>
        <v/>
      </c>
      <c r="J1732" s="580"/>
    </row>
    <row r="1733" spans="1:10" x14ac:dyDescent="0.35">
      <c r="B1733" t="str">
        <f>IF(LEN('Ch8'!H103)=0,"",'Ch8'!H103)</f>
        <v/>
      </c>
      <c r="C1733" t="str">
        <f t="shared" si="43"/>
        <v/>
      </c>
      <c r="D1733" s="31"/>
      <c r="E1733" s="402" t="s">
        <v>256</v>
      </c>
      <c r="F1733" s="31"/>
      <c r="G1733" s="90" t="s">
        <v>4428</v>
      </c>
      <c r="H1733"/>
      <c r="J1733" s="580"/>
    </row>
    <row r="1734" spans="1:10" x14ac:dyDescent="0.35">
      <c r="B1734" t="str">
        <f>IF(LEN('Ch8'!H104)=0,"",'Ch8'!H104)</f>
        <v/>
      </c>
      <c r="C1734" t="str">
        <f t="shared" si="43"/>
        <v/>
      </c>
      <c r="D1734" s="31"/>
      <c r="E1734" s="31"/>
      <c r="F1734" s="31"/>
      <c r="G1734" s="895" t="s">
        <v>4430</v>
      </c>
      <c r="H1734"/>
      <c r="J1734" s="580"/>
    </row>
    <row r="1735" spans="1:10" x14ac:dyDescent="0.35">
      <c r="B1735" t="str">
        <f>IF(LEN('Ch8'!H105)=0,"",'Ch8'!H105)</f>
        <v/>
      </c>
      <c r="C1735" t="str">
        <f t="shared" si="43"/>
        <v/>
      </c>
      <c r="D1735" s="31"/>
      <c r="E1735" s="31"/>
      <c r="F1735" s="31"/>
      <c r="G1735" s="895"/>
      <c r="H1735"/>
      <c r="J1735" s="580"/>
    </row>
    <row r="1736" spans="1:10" x14ac:dyDescent="0.35">
      <c r="B1736" t="str">
        <f>IF(LEN('Ch8'!H106)=0,"",'Ch8'!H106)</f>
        <v/>
      </c>
      <c r="C1736" t="str">
        <f t="shared" si="43"/>
        <v/>
      </c>
      <c r="D1736" s="31"/>
      <c r="E1736" s="403"/>
      <c r="F1736" s="403"/>
      <c r="G1736" s="948"/>
      <c r="H1736"/>
      <c r="J1736" s="580"/>
    </row>
    <row r="1737" spans="1:10" x14ac:dyDescent="0.35">
      <c r="B1737" t="str">
        <f>IF(LEN('Ch8'!H107)=0,"",'Ch8'!H107)</f>
        <v/>
      </c>
      <c r="C1737" t="str">
        <f t="shared" si="43"/>
        <v/>
      </c>
      <c r="D1737" s="31"/>
      <c r="E1737" s="422" t="s">
        <v>258</v>
      </c>
      <c r="F1737" s="422"/>
      <c r="G1737" s="178" t="s">
        <v>4429</v>
      </c>
      <c r="H1737"/>
      <c r="J1737" s="580"/>
    </row>
    <row r="1738" spans="1:10" x14ac:dyDescent="0.35">
      <c r="B1738" t="str">
        <f>IF(LEN('Ch8'!H108)=0,"",'Ch8'!H108)</f>
        <v/>
      </c>
      <c r="C1738" t="str">
        <f t="shared" si="43"/>
        <v/>
      </c>
      <c r="E1738" s="416" t="s">
        <v>260</v>
      </c>
      <c r="F1738" s="416"/>
      <c r="G1738" s="281" t="s">
        <v>4425</v>
      </c>
      <c r="H1738"/>
      <c r="J1738" s="580"/>
    </row>
    <row r="1739" spans="1:10" x14ac:dyDescent="0.35">
      <c r="B1739" t="str">
        <f>IF(LEN('Ch8'!H109)=0,"",'Ch8'!H109)</f>
        <v/>
      </c>
      <c r="C1739" t="str">
        <f t="shared" si="43"/>
        <v/>
      </c>
      <c r="E1739" s="402" t="s">
        <v>269</v>
      </c>
      <c r="F1739" s="402"/>
      <c r="G1739" s="814" t="s">
        <v>4426</v>
      </c>
      <c r="H1739"/>
      <c r="J1739" s="580"/>
    </row>
    <row r="1740" spans="1:10" x14ac:dyDescent="0.35">
      <c r="B1740" t="str">
        <f>IF(LEN('Ch8'!H110)=0,"",'Ch8'!H110)</f>
        <v/>
      </c>
      <c r="C1740" t="str">
        <f t="shared" si="43"/>
        <v/>
      </c>
      <c r="E1740" s="416"/>
      <c r="F1740" s="416"/>
      <c r="G1740" s="815"/>
      <c r="H1740"/>
      <c r="J1740" s="580"/>
    </row>
    <row r="1741" spans="1:10" x14ac:dyDescent="0.35">
      <c r="B1741" t="str">
        <f>IF(LEN('Ch8'!H111)=0,"",'Ch8'!H111)</f>
        <v/>
      </c>
      <c r="C1741" t="str">
        <f t="shared" si="43"/>
        <v/>
      </c>
      <c r="D1741" s="619"/>
      <c r="E1741" s="416" t="s">
        <v>275</v>
      </c>
      <c r="F1741" s="416"/>
      <c r="G1741" s="281" t="s">
        <v>4427</v>
      </c>
      <c r="H1741"/>
      <c r="J1741" s="580"/>
    </row>
    <row r="1742" spans="1:10" x14ac:dyDescent="0.35">
      <c r="A1742" s="366" t="str">
        <f>IF(AND(LEN(H1742)&gt;0,NOT(H1742=FALSE)),"P","")</f>
        <v>P</v>
      </c>
      <c r="B1742" t="str">
        <f>IF(LEN('Ch8'!H112)=0,"",'Ch8'!H112)</f>
        <v/>
      </c>
      <c r="C1742" t="str">
        <f t="shared" si="43"/>
        <v>P</v>
      </c>
      <c r="D1742" s="31" t="s">
        <v>4411</v>
      </c>
      <c r="E1742" s="402"/>
      <c r="F1742" s="402"/>
      <c r="G1742" s="838" t="s">
        <v>4419</v>
      </c>
      <c r="H1742" s="400" t="str">
        <f>IF(LEN('Ch8'!W112)=0,"",'Ch8'!W112)</f>
        <v>(2)</v>
      </c>
      <c r="I1742" s="46">
        <f ca="1">'Ch8'!O112</f>
        <v>4</v>
      </c>
      <c r="J1742" s="580" t="s">
        <v>3930</v>
      </c>
    </row>
    <row r="1743" spans="1:10" x14ac:dyDescent="0.35">
      <c r="A1743" s="366" t="str">
        <f>A1742</f>
        <v>P</v>
      </c>
      <c r="B1743" t="str">
        <f>IF(LEN('Ch8'!H113)=0,"",'Ch8'!H113)</f>
        <v/>
      </c>
      <c r="C1743" t="str">
        <f t="shared" si="43"/>
        <v>P</v>
      </c>
      <c r="D1743" s="31"/>
      <c r="E1743" s="402"/>
      <c r="F1743" s="402"/>
      <c r="G1743" s="838"/>
      <c r="H1743"/>
      <c r="J1743" s="580"/>
    </row>
    <row r="1744" spans="1:10" x14ac:dyDescent="0.35">
      <c r="A1744" s="366" t="str">
        <f>A1743</f>
        <v>P</v>
      </c>
      <c r="B1744" t="str">
        <f>IF(LEN('Ch8'!H114)=0,"",'Ch8'!H114)</f>
        <v/>
      </c>
      <c r="C1744" t="str">
        <f t="shared" si="43"/>
        <v>P</v>
      </c>
      <c r="D1744" s="31"/>
      <c r="E1744" s="402"/>
      <c r="F1744" s="402"/>
      <c r="G1744" s="838"/>
      <c r="H1744"/>
      <c r="J1744" s="580"/>
    </row>
    <row r="1745" spans="1:10" x14ac:dyDescent="0.35">
      <c r="B1745" t="str">
        <f>IF(LEN('Ch8'!H115)=0,"",'Ch8'!H115)</f>
        <v/>
      </c>
      <c r="C1745" t="str">
        <f t="shared" si="43"/>
        <v/>
      </c>
      <c r="D1745" s="31"/>
      <c r="E1745" s="402" t="s">
        <v>256</v>
      </c>
      <c r="F1745" s="402"/>
      <c r="G1745" s="266" t="s">
        <v>4420</v>
      </c>
      <c r="H1745"/>
      <c r="J1745" s="580"/>
    </row>
    <row r="1746" spans="1:10" x14ac:dyDescent="0.35">
      <c r="B1746" t="str">
        <f>IF(LEN('Ch8'!H116)=0,"",'Ch8'!H116)</f>
        <v/>
      </c>
      <c r="C1746" t="str">
        <f t="shared" ref="C1746:C1809" si="44">IF(LEN(B1746)=0,IF(A1746="P","P",""),B1746)</f>
        <v/>
      </c>
      <c r="D1746" s="403"/>
      <c r="E1746" s="416" t="s">
        <v>258</v>
      </c>
      <c r="F1746" s="416"/>
      <c r="G1746" s="281" t="s">
        <v>4421</v>
      </c>
      <c r="H1746"/>
      <c r="J1746" s="580"/>
    </row>
    <row r="1747" spans="1:10" x14ac:dyDescent="0.35">
      <c r="A1747" s="366" t="str">
        <f>IF(AND(LEN(H1747)&gt;0,NOT(H1747=FALSE)),"P","")</f>
        <v/>
      </c>
      <c r="B1747" t="str">
        <f>IF(LEN('Ch8'!H117)=0,"",'Ch8'!H117)</f>
        <v/>
      </c>
      <c r="C1747" t="str">
        <f t="shared" si="44"/>
        <v/>
      </c>
      <c r="D1747" s="31" t="s">
        <v>4422</v>
      </c>
      <c r="E1747" s="31"/>
      <c r="F1747" s="31"/>
      <c r="G1747" s="838" t="s">
        <v>4423</v>
      </c>
      <c r="H1747" s="400" t="str">
        <f>IF(LEN('Ch8'!W117)=0,"",'Ch8'!W117)</f>
        <v/>
      </c>
      <c r="I1747" s="46">
        <f ca="1">'Ch8'!O117</f>
        <v>0</v>
      </c>
      <c r="J1747" s="580" t="s">
        <v>3891</v>
      </c>
    </row>
    <row r="1748" spans="1:10" x14ac:dyDescent="0.35">
      <c r="A1748" s="366" t="str">
        <f>A1747</f>
        <v/>
      </c>
      <c r="B1748" t="str">
        <f>IF(LEN('Ch8'!H118)=0,"",'Ch8'!H118)</f>
        <v/>
      </c>
      <c r="C1748" t="str">
        <f t="shared" si="44"/>
        <v/>
      </c>
      <c r="D1748" s="31"/>
      <c r="E1748" s="31"/>
      <c r="F1748" s="31"/>
      <c r="G1748" s="838"/>
      <c r="H1748"/>
      <c r="J1748" s="580"/>
    </row>
    <row r="1749" spans="1:10" ht="15" thickBot="1" x14ac:dyDescent="0.4">
      <c r="B1749" t="str">
        <f>IF(LEN('Ch8'!H119)=0,"",'Ch8'!H119)</f>
        <v/>
      </c>
      <c r="C1749" t="str">
        <f t="shared" si="44"/>
        <v/>
      </c>
      <c r="D1749" s="404"/>
      <c r="E1749" s="404"/>
      <c r="F1749" s="404"/>
      <c r="G1749" s="231" t="s">
        <v>793</v>
      </c>
      <c r="H1749"/>
      <c r="J1749" s="580"/>
    </row>
    <row r="1750" spans="1:10" ht="15" thickTop="1" x14ac:dyDescent="0.35">
      <c r="A1750" s="366" t="str">
        <f ca="1">IF(I1750&gt;0,"P","")</f>
        <v>P</v>
      </c>
      <c r="B1750" t="str">
        <f>IF(LEN('Ch8'!H120)=0,"",'Ch8'!H120)</f>
        <v/>
      </c>
      <c r="C1750" t="str">
        <f t="shared" ca="1" si="44"/>
        <v>P</v>
      </c>
      <c r="D1750" s="31" t="s">
        <v>4434</v>
      </c>
      <c r="E1750" s="31"/>
      <c r="F1750" s="31"/>
      <c r="G1750" s="919" t="s">
        <v>4435</v>
      </c>
      <c r="H1750"/>
      <c r="I1750" s="433">
        <f ca="1">SUM(I1754:I1770)</f>
        <v>8</v>
      </c>
      <c r="J1750" s="580" t="s">
        <v>3931</v>
      </c>
    </row>
    <row r="1751" spans="1:10" x14ac:dyDescent="0.35">
      <c r="A1751" s="366" t="str">
        <f ca="1">A1750</f>
        <v>P</v>
      </c>
      <c r="B1751" t="str">
        <f>IF(LEN('Ch8'!H121)=0,"",'Ch8'!H121)</f>
        <v/>
      </c>
      <c r="C1751" t="str">
        <f t="shared" ca="1" si="44"/>
        <v>P</v>
      </c>
      <c r="D1751" s="31"/>
      <c r="E1751" s="31"/>
      <c r="F1751" s="31"/>
      <c r="G1751" s="919"/>
      <c r="H1751"/>
      <c r="J1751" s="580"/>
    </row>
    <row r="1752" spans="1:10" x14ac:dyDescent="0.35">
      <c r="B1752" t="str">
        <f>IF(LEN('Ch8'!H122)=0,"",'Ch8'!H122)</f>
        <v/>
      </c>
      <c r="C1752" t="str">
        <f t="shared" si="44"/>
        <v/>
      </c>
      <c r="D1752" s="31"/>
      <c r="E1752" s="402" t="s">
        <v>256</v>
      </c>
      <c r="F1752" s="31"/>
      <c r="G1752" s="848" t="s">
        <v>4438</v>
      </c>
      <c r="H1752"/>
      <c r="J1752" s="580"/>
    </row>
    <row r="1753" spans="1:10" x14ac:dyDescent="0.35">
      <c r="B1753" t="str">
        <f>IF(LEN('Ch8'!H123)=0,"",'Ch8'!H123)</f>
        <v/>
      </c>
      <c r="C1753" t="str">
        <f t="shared" si="44"/>
        <v/>
      </c>
      <c r="D1753" s="31"/>
      <c r="E1753" s="416"/>
      <c r="F1753" s="403"/>
      <c r="G1753" s="821"/>
      <c r="H1753"/>
      <c r="J1753" s="580"/>
    </row>
    <row r="1754" spans="1:10" x14ac:dyDescent="0.35">
      <c r="B1754" t="str">
        <f>IF(LEN('Ch8'!H124)=0,"",'Ch8'!H124)</f>
        <v/>
      </c>
      <c r="C1754" t="str">
        <f t="shared" si="44"/>
        <v/>
      </c>
      <c r="D1754" s="31"/>
      <c r="E1754" s="402" t="s">
        <v>258</v>
      </c>
      <c r="F1754" s="31"/>
      <c r="G1754" s="814" t="s">
        <v>4894</v>
      </c>
      <c r="H1754" s="400" t="str">
        <f>IF(LEN('Ch8'!W124)=0,"",'Ch8'!W124)</f>
        <v>2 fixtures</v>
      </c>
      <c r="I1754" s="46">
        <f ca="1">'Ch8'!O124</f>
        <v>8</v>
      </c>
      <c r="J1754" s="580"/>
    </row>
    <row r="1755" spans="1:10" x14ac:dyDescent="0.35">
      <c r="B1755" t="str">
        <f>IF(LEN('Ch8'!H125)=0,"",'Ch8'!H125)</f>
        <v/>
      </c>
      <c r="C1755" t="str">
        <f t="shared" si="44"/>
        <v/>
      </c>
      <c r="D1755" s="31"/>
      <c r="E1755" s="31"/>
      <c r="F1755" s="31"/>
      <c r="G1755" s="814"/>
      <c r="H1755"/>
      <c r="J1755" s="580"/>
    </row>
    <row r="1756" spans="1:10" x14ac:dyDescent="0.35">
      <c r="B1756" t="str">
        <f>IF(LEN('Ch8'!H126)=0,"",'Ch8'!H126)</f>
        <v/>
      </c>
      <c r="C1756" t="str">
        <f t="shared" si="44"/>
        <v/>
      </c>
      <c r="D1756" s="31"/>
      <c r="E1756" s="31"/>
      <c r="F1756" s="31"/>
      <c r="G1756" s="814"/>
      <c r="H1756"/>
      <c r="J1756" s="580"/>
    </row>
    <row r="1757" spans="1:10" x14ac:dyDescent="0.35">
      <c r="B1757" t="str">
        <f>IF(LEN('Ch8'!H127)=0,"",'Ch8'!H127)</f>
        <v/>
      </c>
      <c r="C1757" t="str">
        <f t="shared" si="44"/>
        <v/>
      </c>
      <c r="D1757" s="31"/>
      <c r="E1757" s="31"/>
      <c r="F1757" s="31"/>
      <c r="G1757" s="814"/>
      <c r="H1757"/>
      <c r="J1757" s="580"/>
    </row>
    <row r="1758" spans="1:10" x14ac:dyDescent="0.35">
      <c r="B1758" t="str">
        <f>IF(LEN('Ch8'!H128)=0,"",'Ch8'!H128)</f>
        <v/>
      </c>
      <c r="C1758" t="str">
        <f t="shared" si="44"/>
        <v/>
      </c>
      <c r="D1758" s="31"/>
      <c r="E1758" s="31"/>
      <c r="F1758" s="31"/>
      <c r="G1758" s="895" t="s">
        <v>4439</v>
      </c>
      <c r="H1758"/>
      <c r="J1758" s="580"/>
    </row>
    <row r="1759" spans="1:10" x14ac:dyDescent="0.35">
      <c r="B1759" t="str">
        <f>IF(LEN('Ch8'!H129)=0,"",'Ch8'!H129)</f>
        <v/>
      </c>
      <c r="C1759" t="str">
        <f t="shared" si="44"/>
        <v/>
      </c>
      <c r="D1759" s="31"/>
      <c r="E1759" s="31"/>
      <c r="F1759" s="31"/>
      <c r="G1759" s="895"/>
      <c r="H1759"/>
      <c r="J1759" s="580"/>
    </row>
    <row r="1760" spans="1:10" x14ac:dyDescent="0.35">
      <c r="B1760" t="str">
        <f>IF(LEN('Ch8'!H130)=0,"",'Ch8'!H130)</f>
        <v/>
      </c>
      <c r="C1760" t="str">
        <f t="shared" si="44"/>
        <v/>
      </c>
      <c r="D1760" s="31"/>
      <c r="E1760" s="403"/>
      <c r="F1760" s="403"/>
      <c r="G1760" s="948"/>
      <c r="H1760"/>
      <c r="J1760" s="580"/>
    </row>
    <row r="1761" spans="1:10" x14ac:dyDescent="0.35">
      <c r="B1761" t="str">
        <f>IF(LEN('Ch8'!H131)=0,"",'Ch8'!H131)</f>
        <v/>
      </c>
      <c r="C1761" t="str">
        <f t="shared" si="44"/>
        <v/>
      </c>
      <c r="D1761" s="31"/>
      <c r="E1761" s="416" t="s">
        <v>260</v>
      </c>
      <c r="F1761" s="403"/>
      <c r="G1761" s="228" t="s">
        <v>4436</v>
      </c>
      <c r="H1761" s="400" t="str">
        <f>IF(LEN('Ch8'!W131)=0,"",'Ch8'!W131)</f>
        <v/>
      </c>
      <c r="I1761" s="46">
        <f ca="1">'Ch8'!O131</f>
        <v>0</v>
      </c>
      <c r="J1761" s="580"/>
    </row>
    <row r="1762" spans="1:10" x14ac:dyDescent="0.35">
      <c r="B1762" t="str">
        <f>IF(LEN('Ch8'!H132)=0,"",'Ch8'!H132)</f>
        <v/>
      </c>
      <c r="C1762" t="str">
        <f t="shared" si="44"/>
        <v/>
      </c>
      <c r="D1762" s="31"/>
      <c r="E1762" s="402" t="s">
        <v>269</v>
      </c>
      <c r="F1762" s="31"/>
      <c r="G1762" s="814" t="s">
        <v>4437</v>
      </c>
      <c r="H1762"/>
      <c r="J1762" s="580"/>
    </row>
    <row r="1763" spans="1:10" x14ac:dyDescent="0.35">
      <c r="B1763" t="str">
        <f>IF(LEN('Ch8'!H133)=0,"",'Ch8'!H133)</f>
        <v/>
      </c>
      <c r="C1763" t="str">
        <f t="shared" si="44"/>
        <v/>
      </c>
      <c r="D1763" s="31"/>
      <c r="E1763" s="31"/>
      <c r="F1763" s="31"/>
      <c r="G1763" s="814"/>
      <c r="H1763"/>
      <c r="J1763" s="580"/>
    </row>
    <row r="1764" spans="1:10" x14ac:dyDescent="0.35">
      <c r="B1764" t="str">
        <f>IF(LEN('Ch8'!H134)=0,"",'Ch8'!H134)</f>
        <v/>
      </c>
      <c r="C1764" t="str">
        <f t="shared" si="44"/>
        <v/>
      </c>
      <c r="D1764" s="31"/>
      <c r="E1764" s="31"/>
      <c r="F1764" s="402" t="s">
        <v>121</v>
      </c>
      <c r="G1764" s="90" t="s">
        <v>4445</v>
      </c>
      <c r="H1764" s="400" t="str">
        <f>IF(LEN('Ch8'!W134)=0,"",'Ch8'!W134)</f>
        <v/>
      </c>
      <c r="I1764" s="46">
        <f ca="1">'Ch8'!O134</f>
        <v>0</v>
      </c>
      <c r="J1764" s="580"/>
    </row>
    <row r="1765" spans="1:10" x14ac:dyDescent="0.35">
      <c r="B1765" t="str">
        <f>IF(LEN('Ch8'!H135)=0,"",'Ch8'!H135)</f>
        <v/>
      </c>
      <c r="C1765" t="str">
        <f t="shared" si="44"/>
        <v/>
      </c>
      <c r="D1765" s="31"/>
      <c r="E1765" s="31"/>
      <c r="F1765" s="31"/>
      <c r="G1765" s="895" t="s">
        <v>4446</v>
      </c>
      <c r="H1765"/>
      <c r="J1765" s="580"/>
    </row>
    <row r="1766" spans="1:10" x14ac:dyDescent="0.35">
      <c r="B1766" t="str">
        <f>IF(LEN('Ch8'!H136)=0,"",'Ch8'!H136)</f>
        <v/>
      </c>
      <c r="C1766" t="str">
        <f t="shared" si="44"/>
        <v/>
      </c>
      <c r="D1766" s="31"/>
      <c r="E1766" s="31"/>
      <c r="F1766" s="31"/>
      <c r="G1766" s="895"/>
      <c r="H1766"/>
      <c r="J1766" s="580"/>
    </row>
    <row r="1767" spans="1:10" x14ac:dyDescent="0.35">
      <c r="B1767" t="str">
        <f>IF(LEN('Ch8'!H137)=0,"",'Ch8'!H137)</f>
        <v/>
      </c>
      <c r="C1767" t="str">
        <f t="shared" si="44"/>
        <v/>
      </c>
      <c r="D1767" s="31"/>
      <c r="E1767" s="31"/>
      <c r="F1767" s="403"/>
      <c r="G1767" s="948"/>
      <c r="H1767"/>
      <c r="J1767" s="580"/>
    </row>
    <row r="1768" spans="1:10" x14ac:dyDescent="0.35">
      <c r="B1768" t="str">
        <f>IF(LEN('Ch8'!H138)=0,"",'Ch8'!H138)</f>
        <v/>
      </c>
      <c r="C1768" t="str">
        <f t="shared" si="44"/>
        <v/>
      </c>
      <c r="D1768" s="31"/>
      <c r="E1768" s="31"/>
      <c r="F1768" s="402" t="s">
        <v>122</v>
      </c>
      <c r="G1768" s="814" t="s">
        <v>4444</v>
      </c>
      <c r="H1768" s="400" t="str">
        <f>IF(LEN('Ch8'!W138)=0,"",'Ch8'!W138)</f>
        <v/>
      </c>
      <c r="I1768" s="46">
        <f ca="1">'Ch8'!O138</f>
        <v>0</v>
      </c>
      <c r="J1768" s="580"/>
    </row>
    <row r="1769" spans="1:10" x14ac:dyDescent="0.35">
      <c r="B1769" t="str">
        <f>IF(LEN('Ch8'!H139)=0,"",'Ch8'!H139)</f>
        <v/>
      </c>
      <c r="C1769" t="str">
        <f t="shared" si="44"/>
        <v/>
      </c>
      <c r="D1769" s="31"/>
      <c r="E1769" s="31"/>
      <c r="F1769" s="416"/>
      <c r="G1769" s="815"/>
      <c r="H1769"/>
      <c r="J1769" s="580"/>
    </row>
    <row r="1770" spans="1:10" x14ac:dyDescent="0.35">
      <c r="B1770" t="str">
        <f>IF(LEN('Ch8'!H140)=0,"",'Ch8'!H140)</f>
        <v/>
      </c>
      <c r="C1770" t="str">
        <f t="shared" si="44"/>
        <v/>
      </c>
      <c r="D1770" s="31"/>
      <c r="E1770" s="31"/>
      <c r="F1770" s="402" t="s">
        <v>123</v>
      </c>
      <c r="G1770" s="814" t="s">
        <v>4447</v>
      </c>
      <c r="H1770" s="400" t="str">
        <f>IF(LEN('Ch8'!W140)=0,"",'Ch8'!W140)</f>
        <v/>
      </c>
      <c r="I1770" s="46">
        <f ca="1">'Ch8'!O140</f>
        <v>0</v>
      </c>
      <c r="J1770" s="580"/>
    </row>
    <row r="1771" spans="1:10" ht="15" thickBot="1" x14ac:dyDescent="0.4">
      <c r="B1771" t="str">
        <f>IF(LEN('Ch8'!H141)=0,"",'Ch8'!H141)</f>
        <v/>
      </c>
      <c r="C1771" t="str">
        <f t="shared" si="44"/>
        <v/>
      </c>
      <c r="D1771" s="618"/>
      <c r="E1771" s="618"/>
      <c r="F1771" s="618"/>
      <c r="G1771" s="839"/>
      <c r="H1771"/>
      <c r="J1771" s="580"/>
    </row>
    <row r="1772" spans="1:10" ht="15" thickTop="1" x14ac:dyDescent="0.35">
      <c r="A1772" s="727" t="str">
        <f ca="1">IF(COUNTIF(A1773:A1792,"P")&gt;0,"P","")</f>
        <v>P</v>
      </c>
      <c r="B1772" t="str">
        <f>IF(LEN('Ch8'!H142)=0,"",'Ch8'!H142)</f>
        <v/>
      </c>
      <c r="C1772" t="str">
        <f t="shared" ca="1" si="44"/>
        <v>P</v>
      </c>
      <c r="D1772" s="31">
        <v>802.6</v>
      </c>
      <c r="E1772" s="31"/>
      <c r="F1772" s="31"/>
      <c r="G1772" s="95" t="s">
        <v>4375</v>
      </c>
      <c r="H1772"/>
      <c r="I1772"/>
      <c r="J1772" s="975" t="s">
        <v>5014</v>
      </c>
    </row>
    <row r="1773" spans="1:10" x14ac:dyDescent="0.35">
      <c r="A1773" s="366" t="str">
        <f>IF(AND(LEN(H1773)&gt;0,NOT(H1773=FALSE)),"P","")</f>
        <v/>
      </c>
      <c r="B1773" t="str">
        <f>IF(LEN('Ch8'!H143)=0,"",'Ch8'!H143)</f>
        <v/>
      </c>
      <c r="C1773" t="str">
        <f t="shared" si="44"/>
        <v/>
      </c>
      <c r="D1773" s="31" t="s">
        <v>4374</v>
      </c>
      <c r="E1773" s="31"/>
      <c r="F1773" s="31"/>
      <c r="G1773" s="838" t="s">
        <v>4448</v>
      </c>
      <c r="H1773" s="400" t="str">
        <f>IF(LEN('Ch8'!W143)=0,"",'Ch8'!W143)</f>
        <v/>
      </c>
      <c r="J1773" s="977"/>
    </row>
    <row r="1774" spans="1:10" x14ac:dyDescent="0.35">
      <c r="A1774" s="366" t="str">
        <f>A1773</f>
        <v/>
      </c>
      <c r="B1774" t="str">
        <f>IF(LEN('Ch8'!H144)=0,"",'Ch8'!H144)</f>
        <v/>
      </c>
      <c r="C1774" t="str">
        <f t="shared" si="44"/>
        <v/>
      </c>
      <c r="D1774" s="403"/>
      <c r="E1774" s="403"/>
      <c r="F1774" s="403"/>
      <c r="G1774" s="889"/>
      <c r="H1774"/>
      <c r="J1774" s="978"/>
    </row>
    <row r="1775" spans="1:10" x14ac:dyDescent="0.35">
      <c r="A1775" s="366" t="str">
        <f ca="1">IF(I1775&gt;0,"P","")</f>
        <v/>
      </c>
      <c r="B1775" t="str">
        <f>IF(LEN('Ch8'!H145)=0,"",'Ch8'!H145)</f>
        <v/>
      </c>
      <c r="C1775" t="str">
        <f t="shared" ca="1" si="44"/>
        <v/>
      </c>
      <c r="D1775" s="31" t="s">
        <v>4376</v>
      </c>
      <c r="E1775" s="31"/>
      <c r="F1775" s="31"/>
      <c r="G1775" s="905" t="s">
        <v>4449</v>
      </c>
      <c r="H1775" s="400" t="str">
        <f>IF(LEN('Ch8'!W145)=0,"",'Ch8'!W145)</f>
        <v/>
      </c>
      <c r="I1775" s="46">
        <f ca="1">'Ch8'!O145</f>
        <v>0</v>
      </c>
      <c r="J1775" s="580" t="s">
        <v>3917</v>
      </c>
    </row>
    <row r="1776" spans="1:10" x14ac:dyDescent="0.35">
      <c r="A1776" s="366" t="str">
        <f ca="1">A1775</f>
        <v/>
      </c>
      <c r="B1776" t="str">
        <f>IF(LEN('Ch8'!H146)=0,"",'Ch8'!H146)</f>
        <v/>
      </c>
      <c r="C1776" t="str">
        <f t="shared" ca="1" si="44"/>
        <v/>
      </c>
      <c r="D1776" s="31"/>
      <c r="E1776" s="31"/>
      <c r="F1776" s="31"/>
      <c r="G1776" s="838"/>
      <c r="H1776"/>
      <c r="J1776" s="580"/>
    </row>
    <row r="1777" spans="1:10" x14ac:dyDescent="0.35">
      <c r="A1777" s="366" t="str">
        <f ca="1">A1776</f>
        <v/>
      </c>
      <c r="B1777" t="str">
        <f>IF(LEN('Ch8'!H147)=0,"",'Ch8'!H147)</f>
        <v/>
      </c>
      <c r="C1777" t="str">
        <f t="shared" ca="1" si="44"/>
        <v/>
      </c>
      <c r="D1777" s="403"/>
      <c r="E1777" s="403"/>
      <c r="F1777" s="403"/>
      <c r="G1777" s="889"/>
      <c r="H1777"/>
      <c r="J1777" s="580"/>
    </row>
    <row r="1778" spans="1:10" ht="39" x14ac:dyDescent="0.35">
      <c r="A1778" s="366" t="str">
        <f ca="1">IF(I1778&gt;0,"P","")</f>
        <v/>
      </c>
      <c r="B1778" t="str">
        <f>IF(LEN('Ch8'!H148)=0,"",'Ch8'!H148)</f>
        <v/>
      </c>
      <c r="C1778" t="str">
        <f t="shared" ca="1" si="44"/>
        <v/>
      </c>
      <c r="D1778" s="31" t="s">
        <v>4377</v>
      </c>
      <c r="E1778" s="31"/>
      <c r="F1778" s="31"/>
      <c r="G1778" s="95" t="s">
        <v>4450</v>
      </c>
      <c r="H1778"/>
      <c r="I1778" s="433">
        <f ca="1">SUM(I1779:I1781)</f>
        <v>0</v>
      </c>
      <c r="J1778" s="581" t="s">
        <v>5015</v>
      </c>
    </row>
    <row r="1779" spans="1:10" x14ac:dyDescent="0.35">
      <c r="B1779" t="str">
        <f>IF(LEN('Ch8'!H149)=0,"",'Ch8'!H149)</f>
        <v/>
      </c>
      <c r="C1779" t="str">
        <f t="shared" si="44"/>
        <v/>
      </c>
      <c r="D1779" s="31"/>
      <c r="E1779" s="416" t="s">
        <v>256</v>
      </c>
      <c r="F1779" s="403"/>
      <c r="G1779" s="228" t="s">
        <v>795</v>
      </c>
      <c r="H1779" s="400" t="str">
        <f>IF(LEN('Ch8'!W149)=0,"",'Ch8'!W149)</f>
        <v/>
      </c>
      <c r="I1779" s="46">
        <f ca="1">'Ch8'!O149</f>
        <v>0</v>
      </c>
      <c r="J1779" s="580"/>
    </row>
    <row r="1780" spans="1:10" x14ac:dyDescent="0.35">
      <c r="B1780" t="str">
        <f>IF(LEN('Ch8'!H150)=0,"",'Ch8'!H150)</f>
        <v/>
      </c>
      <c r="C1780" t="str">
        <f t="shared" si="44"/>
        <v/>
      </c>
      <c r="D1780" s="31"/>
      <c r="E1780" s="416" t="s">
        <v>258</v>
      </c>
      <c r="F1780" s="403"/>
      <c r="G1780" s="228" t="s">
        <v>796</v>
      </c>
      <c r="H1780" s="400" t="str">
        <f>IF(LEN('Ch8'!W150)=0,"",'Ch8'!W150)</f>
        <v/>
      </c>
      <c r="I1780" s="46">
        <f ca="1">'Ch8'!O150</f>
        <v>0</v>
      </c>
      <c r="J1780" s="580"/>
    </row>
    <row r="1781" spans="1:10" x14ac:dyDescent="0.35">
      <c r="B1781" t="str">
        <f>IF(LEN('Ch8'!H151)=0,"",'Ch8'!H151)</f>
        <v/>
      </c>
      <c r="C1781" t="str">
        <f t="shared" si="44"/>
        <v/>
      </c>
      <c r="D1781" s="31"/>
      <c r="E1781" s="402" t="s">
        <v>260</v>
      </c>
      <c r="F1781" s="31"/>
      <c r="G1781" s="814" t="s">
        <v>797</v>
      </c>
      <c r="H1781" s="400" t="str">
        <f>IF(LEN('Ch8'!W151)=0,"",'Ch8'!W151)</f>
        <v/>
      </c>
      <c r="I1781" s="46">
        <f ca="1">'Ch8'!O151</f>
        <v>0</v>
      </c>
      <c r="J1781" s="580"/>
    </row>
    <row r="1782" spans="1:10" x14ac:dyDescent="0.35">
      <c r="B1782" t="str">
        <f>IF(LEN('Ch8'!H152)=0,"",'Ch8'!H152)</f>
        <v/>
      </c>
      <c r="C1782" t="str">
        <f t="shared" si="44"/>
        <v/>
      </c>
      <c r="D1782" s="403"/>
      <c r="E1782" s="403"/>
      <c r="F1782" s="403"/>
      <c r="G1782" s="815"/>
      <c r="H1782"/>
      <c r="J1782" s="580"/>
    </row>
    <row r="1783" spans="1:10" x14ac:dyDescent="0.35">
      <c r="A1783" s="366" t="str">
        <f ca="1">IF(I1783&gt;0,"P","")</f>
        <v>P</v>
      </c>
      <c r="B1783" t="str">
        <f>IF(LEN('Ch8'!H153)=0,"",'Ch8'!H153)</f>
        <v/>
      </c>
      <c r="C1783" t="str">
        <f t="shared" ca="1" si="44"/>
        <v>P</v>
      </c>
      <c r="D1783" s="31" t="s">
        <v>4378</v>
      </c>
      <c r="E1783" s="31"/>
      <c r="F1783" s="31"/>
      <c r="G1783" s="919" t="s">
        <v>4379</v>
      </c>
      <c r="H1783"/>
      <c r="I1783" s="433">
        <f ca="1">SUM(I1786:I1788)</f>
        <v>15</v>
      </c>
      <c r="J1783" s="580" t="s">
        <v>5016</v>
      </c>
    </row>
    <row r="1784" spans="1:10" x14ac:dyDescent="0.35">
      <c r="A1784" s="366" t="str">
        <f ca="1">A1783</f>
        <v>P</v>
      </c>
      <c r="B1784" t="str">
        <f>IF(LEN('Ch8'!H154)=0,"",'Ch8'!H154)</f>
        <v/>
      </c>
      <c r="C1784" t="str">
        <f t="shared" ca="1" si="44"/>
        <v>P</v>
      </c>
      <c r="D1784" s="31"/>
      <c r="E1784" s="31"/>
      <c r="F1784" s="31"/>
      <c r="G1784" s="919"/>
      <c r="H1784"/>
      <c r="J1784" s="580"/>
    </row>
    <row r="1785" spans="1:10" x14ac:dyDescent="0.35">
      <c r="B1785" t="str">
        <f>IF(LEN('Ch8'!H155)=0,"",'Ch8'!H155)</f>
        <v/>
      </c>
      <c r="C1785" t="str">
        <f t="shared" si="44"/>
        <v/>
      </c>
      <c r="D1785" s="31"/>
      <c r="E1785" s="31"/>
      <c r="F1785" s="31"/>
      <c r="G1785" s="92" t="s">
        <v>798</v>
      </c>
      <c r="H1785"/>
      <c r="J1785" s="580"/>
    </row>
    <row r="1786" spans="1:10" x14ac:dyDescent="0.35">
      <c r="B1786" t="str">
        <f>IF(LEN('Ch8'!H156)=0,"",'Ch8'!H156)</f>
        <v/>
      </c>
      <c r="C1786" t="str">
        <f t="shared" si="44"/>
        <v/>
      </c>
      <c r="D1786" s="31"/>
      <c r="E1786" s="402" t="s">
        <v>256</v>
      </c>
      <c r="F1786" s="31"/>
      <c r="G1786" s="814" t="s">
        <v>4451</v>
      </c>
      <c r="H1786" s="400" t="str">
        <f>IF(LEN('Ch8'!W156)=0,"",'Ch8'!W156)</f>
        <v/>
      </c>
      <c r="I1786" s="46">
        <f ca="1">'Ch8'!O156</f>
        <v>0</v>
      </c>
      <c r="J1786" s="580"/>
    </row>
    <row r="1787" spans="1:10" x14ac:dyDescent="0.35">
      <c r="B1787" t="str">
        <f>IF(LEN('Ch8'!H157)=0,"",'Ch8'!H157)</f>
        <v/>
      </c>
      <c r="C1787" t="str">
        <f t="shared" si="44"/>
        <v/>
      </c>
      <c r="E1787" s="619"/>
      <c r="F1787" s="619"/>
      <c r="G1787" s="815"/>
      <c r="H1787"/>
      <c r="J1787" s="580"/>
    </row>
    <row r="1788" spans="1:10" x14ac:dyDescent="0.35">
      <c r="B1788" t="str">
        <f>IF(LEN('Ch8'!H158)=0,"",'Ch8'!H158)</f>
        <v/>
      </c>
      <c r="C1788" t="str">
        <f t="shared" si="44"/>
        <v/>
      </c>
      <c r="D1788" s="31"/>
      <c r="E1788" s="402" t="s">
        <v>258</v>
      </c>
      <c r="F1788" s="31"/>
      <c r="G1788" s="814" t="s">
        <v>4452</v>
      </c>
      <c r="H1788" s="400" t="b">
        <f>IF(LEN('Ch8'!W158)=0,"",'Ch8'!W158)</f>
        <v>1</v>
      </c>
      <c r="I1788" s="46">
        <f ca="1">'Ch8'!O158</f>
        <v>15</v>
      </c>
      <c r="J1788" s="580"/>
    </row>
    <row r="1789" spans="1:10" x14ac:dyDescent="0.35">
      <c r="B1789" t="str">
        <f>IF(LEN('Ch8'!H159)=0,"",'Ch8'!H159)</f>
        <v/>
      </c>
      <c r="C1789" t="str">
        <f t="shared" si="44"/>
        <v/>
      </c>
      <c r="D1789" s="31"/>
      <c r="E1789" s="31"/>
      <c r="F1789" s="31"/>
      <c r="G1789" s="814"/>
      <c r="H1789"/>
      <c r="J1789" s="580"/>
    </row>
    <row r="1790" spans="1:10" x14ac:dyDescent="0.35">
      <c r="B1790" t="str">
        <f>IF(LEN('Ch8'!H160)=0,"",'Ch8'!H160)</f>
        <v/>
      </c>
      <c r="C1790" t="str">
        <f t="shared" si="44"/>
        <v/>
      </c>
      <c r="D1790" s="31"/>
      <c r="E1790" s="31"/>
      <c r="F1790" s="31"/>
      <c r="G1790" s="984" t="s">
        <v>4581</v>
      </c>
      <c r="H1790"/>
      <c r="J1790" s="580"/>
    </row>
    <row r="1791" spans="1:10" x14ac:dyDescent="0.35">
      <c r="B1791" t="str">
        <f>IF(LEN('Ch8'!H161)=0,"",'Ch8'!H161)</f>
        <v/>
      </c>
      <c r="C1791" t="str">
        <f t="shared" si="44"/>
        <v/>
      </c>
      <c r="D1791" s="403"/>
      <c r="E1791" s="403"/>
      <c r="F1791" s="403"/>
      <c r="G1791" s="987"/>
      <c r="H1791"/>
      <c r="J1791" s="580"/>
    </row>
    <row r="1792" spans="1:10" x14ac:dyDescent="0.35">
      <c r="A1792" s="366" t="str">
        <f ca="1">IF(I1792&gt;0,"P","")</f>
        <v/>
      </c>
      <c r="B1792" t="str">
        <f>IF(LEN('Ch8'!H162)=0,"",'Ch8'!H162)</f>
        <v/>
      </c>
      <c r="C1792" t="str">
        <f t="shared" ca="1" si="44"/>
        <v/>
      </c>
      <c r="D1792" s="31" t="s">
        <v>4380</v>
      </c>
      <c r="G1792" s="838" t="s">
        <v>4453</v>
      </c>
      <c r="H1792"/>
      <c r="I1792" s="433">
        <f ca="1">SUM(I1794:I1801)</f>
        <v>0</v>
      </c>
      <c r="J1792" s="975" t="s">
        <v>5017</v>
      </c>
    </row>
    <row r="1793" spans="1:10" x14ac:dyDescent="0.35">
      <c r="A1793" s="366" t="str">
        <f ca="1">A1792</f>
        <v/>
      </c>
      <c r="B1793" t="str">
        <f>IF(LEN('Ch8'!H163)=0,"",'Ch8'!H163)</f>
        <v/>
      </c>
      <c r="C1793" t="str">
        <f t="shared" ca="1" si="44"/>
        <v/>
      </c>
      <c r="G1793" s="838"/>
      <c r="H1793"/>
      <c r="J1793" s="976"/>
    </row>
    <row r="1794" spans="1:10" x14ac:dyDescent="0.35">
      <c r="B1794" t="str">
        <f>IF(LEN('Ch8'!H164)=0,"",'Ch8'!H164)</f>
        <v/>
      </c>
      <c r="C1794" t="str">
        <f t="shared" si="44"/>
        <v/>
      </c>
      <c r="D1794" s="31"/>
      <c r="E1794" s="402" t="s">
        <v>256</v>
      </c>
      <c r="F1794" s="402"/>
      <c r="G1794" s="814" t="s">
        <v>4454</v>
      </c>
      <c r="H1794" s="400" t="str">
        <f>IF(LEN('Ch8'!W164)=0,"",'Ch8'!W164)</f>
        <v/>
      </c>
      <c r="I1794" s="46">
        <f ca="1">'Ch8'!O164</f>
        <v>0</v>
      </c>
      <c r="J1794" s="580"/>
    </row>
    <row r="1795" spans="1:10" x14ac:dyDescent="0.35">
      <c r="B1795" t="str">
        <f>IF(LEN('Ch8'!H165)=0,"",'Ch8'!H165)</f>
        <v/>
      </c>
      <c r="C1795" t="str">
        <f t="shared" si="44"/>
        <v/>
      </c>
      <c r="D1795" s="31"/>
      <c r="E1795" s="416"/>
      <c r="F1795" s="416"/>
      <c r="G1795" s="815"/>
      <c r="H1795"/>
      <c r="J1795" s="580"/>
    </row>
    <row r="1796" spans="1:10" x14ac:dyDescent="0.35">
      <c r="B1796" t="str">
        <f>IF(LEN('Ch8'!H166)=0,"",'Ch8'!H166)</f>
        <v/>
      </c>
      <c r="C1796" t="str">
        <f t="shared" si="44"/>
        <v/>
      </c>
      <c r="D1796" s="31"/>
      <c r="E1796" s="424" t="s">
        <v>258</v>
      </c>
      <c r="F1796" s="424"/>
      <c r="G1796" s="836" t="s">
        <v>4455</v>
      </c>
      <c r="H1796" s="400" t="str">
        <f>IF(LEN('Ch8'!W166)=0,"",'Ch8'!W166)</f>
        <v/>
      </c>
      <c r="I1796" s="46">
        <f ca="1">'Ch8'!O166</f>
        <v>0</v>
      </c>
      <c r="J1796" s="580"/>
    </row>
    <row r="1797" spans="1:10" x14ac:dyDescent="0.35">
      <c r="B1797" t="str">
        <f>IF(LEN('Ch8'!H167)=0,"",'Ch8'!H167)</f>
        <v/>
      </c>
      <c r="C1797" t="str">
        <f t="shared" si="44"/>
        <v/>
      </c>
      <c r="D1797" s="31"/>
      <c r="E1797" s="416"/>
      <c r="F1797" s="416"/>
      <c r="G1797" s="815"/>
      <c r="H1797"/>
      <c r="J1797" s="580"/>
    </row>
    <row r="1798" spans="1:10" x14ac:dyDescent="0.35">
      <c r="B1798" t="str">
        <f>IF(LEN('Ch8'!H168)=0,"",'Ch8'!H168)</f>
        <v/>
      </c>
      <c r="C1798" t="str">
        <f t="shared" si="44"/>
        <v/>
      </c>
      <c r="D1798" s="31"/>
      <c r="E1798" s="422" t="s">
        <v>260</v>
      </c>
      <c r="F1798" s="422"/>
      <c r="G1798" s="177" t="s">
        <v>4456</v>
      </c>
      <c r="H1798" s="400" t="str">
        <f>IF(LEN('Ch8'!W168)=0,"",'Ch8'!W168)</f>
        <v/>
      </c>
      <c r="I1798" s="46">
        <f ca="1">'Ch8'!O168</f>
        <v>0</v>
      </c>
      <c r="J1798" s="580"/>
    </row>
    <row r="1799" spans="1:10" x14ac:dyDescent="0.35">
      <c r="B1799" t="str">
        <f>IF(LEN('Ch8'!H169)=0,"",'Ch8'!H169)</f>
        <v/>
      </c>
      <c r="C1799" t="str">
        <f t="shared" si="44"/>
        <v/>
      </c>
      <c r="D1799" s="31"/>
      <c r="E1799" s="424" t="s">
        <v>269</v>
      </c>
      <c r="F1799" s="424"/>
      <c r="G1799" s="836" t="s">
        <v>4457</v>
      </c>
      <c r="H1799" s="400" t="str">
        <f>IF(LEN('Ch8'!W169)=0,"",'Ch8'!W169)</f>
        <v/>
      </c>
      <c r="I1799" s="46">
        <f ca="1">'Ch8'!O169</f>
        <v>0</v>
      </c>
      <c r="J1799" s="580"/>
    </row>
    <row r="1800" spans="1:10" x14ac:dyDescent="0.35">
      <c r="B1800" t="str">
        <f>IF(LEN('Ch8'!H170)=0,"",'Ch8'!H170)</f>
        <v/>
      </c>
      <c r="C1800" t="str">
        <f t="shared" si="44"/>
        <v/>
      </c>
      <c r="D1800" s="31"/>
      <c r="E1800" s="416"/>
      <c r="F1800" s="416"/>
      <c r="G1800" s="815"/>
      <c r="H1800"/>
      <c r="J1800" s="580"/>
    </row>
    <row r="1801" spans="1:10" x14ac:dyDescent="0.35">
      <c r="B1801" t="str">
        <f>IF(LEN('Ch8'!H171)=0,"",'Ch8'!H171)</f>
        <v/>
      </c>
      <c r="C1801" t="str">
        <f t="shared" si="44"/>
        <v/>
      </c>
      <c r="D1801" s="31"/>
      <c r="E1801" s="402" t="s">
        <v>275</v>
      </c>
      <c r="F1801" s="402"/>
      <c r="G1801" s="814" t="s">
        <v>4458</v>
      </c>
      <c r="H1801" s="400" t="str">
        <f>IF(LEN('Ch8'!W171)=0,"",'Ch8'!W171)</f>
        <v/>
      </c>
      <c r="I1801" s="46">
        <f ca="1">'Ch8'!O171</f>
        <v>0</v>
      </c>
      <c r="J1801" s="580"/>
    </row>
    <row r="1802" spans="1:10" ht="15" thickBot="1" x14ac:dyDescent="0.4">
      <c r="B1802" t="str">
        <f>IF(LEN('Ch8'!H172)=0,"",'Ch8'!H172)</f>
        <v/>
      </c>
      <c r="C1802" t="str">
        <f t="shared" si="44"/>
        <v/>
      </c>
      <c r="D1802" s="31"/>
      <c r="E1802" s="402"/>
      <c r="F1802" s="402"/>
      <c r="G1802" s="814"/>
      <c r="H1802"/>
      <c r="J1802" s="580"/>
    </row>
    <row r="1803" spans="1:10" ht="15" thickTop="1" x14ac:dyDescent="0.35">
      <c r="A1803" s="366" t="str">
        <f ca="1">IF(I1803&gt;0,"P","")</f>
        <v/>
      </c>
      <c r="B1803" t="str">
        <f>IF(LEN('Ch8'!H173)=0,"",'Ch8'!H173)</f>
        <v/>
      </c>
      <c r="C1803" t="str">
        <f t="shared" ca="1" si="44"/>
        <v/>
      </c>
      <c r="D1803" s="60">
        <v>802.7</v>
      </c>
      <c r="E1803" s="60"/>
      <c r="F1803" s="60"/>
      <c r="G1803" s="943" t="s">
        <v>4381</v>
      </c>
      <c r="H1803"/>
      <c r="I1803" s="433">
        <f ca="1">SUM(I1805:I1816)</f>
        <v>0</v>
      </c>
      <c r="J1803" s="580"/>
    </row>
    <row r="1804" spans="1:10" x14ac:dyDescent="0.35">
      <c r="A1804" s="366" t="str">
        <f ca="1">A1803</f>
        <v/>
      </c>
      <c r="B1804" t="str">
        <f>IF(LEN('Ch8'!H174)=0,"",'Ch8'!H174)</f>
        <v/>
      </c>
      <c r="C1804" t="str">
        <f t="shared" ca="1" si="44"/>
        <v/>
      </c>
      <c r="D1804" s="31"/>
      <c r="E1804" s="31"/>
      <c r="F1804" s="31"/>
      <c r="G1804" s="944"/>
      <c r="H1804"/>
      <c r="J1804" s="580"/>
    </row>
    <row r="1805" spans="1:10" x14ac:dyDescent="0.35">
      <c r="A1805" s="366" t="str">
        <f ca="1">IF(I1805&gt;0,"P","")</f>
        <v/>
      </c>
      <c r="B1805" t="str">
        <f>IF(LEN('Ch8'!H175)=0,"",'Ch8'!H175)</f>
        <v/>
      </c>
      <c r="C1805" t="str">
        <f t="shared" ca="1" si="44"/>
        <v/>
      </c>
      <c r="D1805" s="31" t="s">
        <v>4382</v>
      </c>
      <c r="E1805" s="31"/>
      <c r="F1805" s="31"/>
      <c r="G1805" s="319" t="s">
        <v>4383</v>
      </c>
      <c r="H1805" s="400" t="str">
        <f>IF(LEN('Ch8'!W175)=0,"",'Ch8'!W175)</f>
        <v/>
      </c>
      <c r="I1805" s="46">
        <f ca="1">'Ch8'!O175</f>
        <v>0</v>
      </c>
      <c r="J1805" s="580" t="s">
        <v>5018</v>
      </c>
    </row>
    <row r="1806" spans="1:10" x14ac:dyDescent="0.35">
      <c r="B1806" t="str">
        <f>IF(LEN('Ch8'!H176)=0,"",'Ch8'!H176)</f>
        <v/>
      </c>
      <c r="C1806" t="str">
        <f t="shared" si="44"/>
        <v/>
      </c>
      <c r="D1806" s="31"/>
      <c r="E1806" s="416" t="s">
        <v>256</v>
      </c>
      <c r="F1806" s="403"/>
      <c r="G1806" s="228" t="s">
        <v>799</v>
      </c>
      <c r="H1806"/>
      <c r="J1806" s="580"/>
    </row>
    <row r="1807" spans="1:10" x14ac:dyDescent="0.35">
      <c r="B1807" t="str">
        <f>IF(LEN('Ch8'!H177)=0,"",'Ch8'!H177)</f>
        <v/>
      </c>
      <c r="C1807" t="str">
        <f t="shared" si="44"/>
        <v/>
      </c>
      <c r="D1807" s="31"/>
      <c r="E1807" s="402" t="s">
        <v>258</v>
      </c>
      <c r="F1807" s="31"/>
      <c r="G1807" s="814" t="s">
        <v>800</v>
      </c>
      <c r="H1807"/>
      <c r="J1807" s="580"/>
    </row>
    <row r="1808" spans="1:10" x14ac:dyDescent="0.35">
      <c r="B1808" t="str">
        <f>IF(LEN('Ch8'!H178)=0,"",'Ch8'!H178)</f>
        <v/>
      </c>
      <c r="C1808" t="str">
        <f t="shared" si="44"/>
        <v/>
      </c>
      <c r="D1808" s="31"/>
      <c r="E1808" s="31"/>
      <c r="F1808" s="31"/>
      <c r="G1808" s="814"/>
      <c r="H1808"/>
      <c r="J1808" s="580"/>
    </row>
    <row r="1809" spans="1:10" x14ac:dyDescent="0.35">
      <c r="B1809" t="str">
        <f>IF(LEN('Ch8'!H179)=0,"",'Ch8'!H179)</f>
        <v/>
      </c>
      <c r="C1809" t="str">
        <f t="shared" si="44"/>
        <v/>
      </c>
      <c r="D1809" s="31"/>
      <c r="E1809" s="31"/>
      <c r="F1809" s="416" t="s">
        <v>121</v>
      </c>
      <c r="G1809" s="228" t="s">
        <v>801</v>
      </c>
      <c r="H1809"/>
      <c r="J1809" s="580"/>
    </row>
    <row r="1810" spans="1:10" x14ac:dyDescent="0.35">
      <c r="B1810" t="str">
        <f>IF(LEN('Ch8'!H180)=0,"",'Ch8'!H180)</f>
        <v/>
      </c>
      <c r="C1810" t="str">
        <f t="shared" ref="C1810:C1873" si="45">IF(LEN(B1810)=0,IF(A1810="P","P",""),B1810)</f>
        <v/>
      </c>
      <c r="D1810" s="31"/>
      <c r="E1810" s="31"/>
      <c r="F1810" s="416" t="s">
        <v>122</v>
      </c>
      <c r="G1810" s="228" t="s">
        <v>802</v>
      </c>
      <c r="H1810"/>
      <c r="J1810" s="580"/>
    </row>
    <row r="1811" spans="1:10" x14ac:dyDescent="0.35">
      <c r="B1811" t="str">
        <f>IF(LEN('Ch8'!H181)=0,"",'Ch8'!H181)</f>
        <v/>
      </c>
      <c r="C1811" t="str">
        <f t="shared" si="45"/>
        <v/>
      </c>
      <c r="D1811" s="31"/>
      <c r="E1811" s="31"/>
      <c r="F1811" s="402" t="s">
        <v>123</v>
      </c>
      <c r="G1811" s="814" t="s">
        <v>803</v>
      </c>
      <c r="H1811"/>
      <c r="J1811" s="580"/>
    </row>
    <row r="1812" spans="1:10" x14ac:dyDescent="0.35">
      <c r="B1812" t="str">
        <f>IF(LEN('Ch8'!H182)=0,"",'Ch8'!H182)</f>
        <v/>
      </c>
      <c r="C1812" t="str">
        <f t="shared" si="45"/>
        <v/>
      </c>
      <c r="D1812" s="31"/>
      <c r="E1812" s="31"/>
      <c r="F1812" s="403"/>
      <c r="G1812" s="815"/>
      <c r="H1812"/>
      <c r="J1812" s="580"/>
    </row>
    <row r="1813" spans="1:10" x14ac:dyDescent="0.35">
      <c r="B1813" t="str">
        <f>IF(LEN('Ch8'!H183)=0,"",'Ch8'!H183)</f>
        <v/>
      </c>
      <c r="C1813" t="str">
        <f t="shared" si="45"/>
        <v/>
      </c>
      <c r="D1813" s="31"/>
      <c r="E1813" s="31"/>
      <c r="F1813" s="402" t="s">
        <v>401</v>
      </c>
      <c r="G1813" s="814" t="s">
        <v>804</v>
      </c>
      <c r="H1813"/>
      <c r="J1813" s="580"/>
    </row>
    <row r="1814" spans="1:10" x14ac:dyDescent="0.35">
      <c r="B1814" t="str">
        <f>IF(LEN('Ch8'!H184)=0,"",'Ch8'!H184)</f>
        <v/>
      </c>
      <c r="C1814" t="str">
        <f t="shared" si="45"/>
        <v/>
      </c>
      <c r="D1814" s="31"/>
      <c r="E1814" s="31"/>
      <c r="F1814" s="31"/>
      <c r="G1814" s="814"/>
      <c r="H1814"/>
      <c r="J1814" s="580"/>
    </row>
    <row r="1815" spans="1:10" x14ac:dyDescent="0.35">
      <c r="B1815" t="str">
        <f>IF(LEN('Ch8'!H185)=0,"",'Ch8'!H185)</f>
        <v/>
      </c>
      <c r="C1815" t="str">
        <f t="shared" si="45"/>
        <v/>
      </c>
      <c r="D1815" s="403"/>
      <c r="E1815" s="403"/>
      <c r="F1815" s="403"/>
      <c r="G1815" s="815"/>
      <c r="H1815"/>
      <c r="J1815" s="580"/>
    </row>
    <row r="1816" spans="1:10" x14ac:dyDescent="0.35">
      <c r="A1816" s="366" t="str">
        <f ca="1">IF(I1816&gt;0,"P","")</f>
        <v/>
      </c>
      <c r="B1816" t="str">
        <f>IF(LEN('Ch8'!H186)=0,"",'Ch8'!H186)</f>
        <v/>
      </c>
      <c r="C1816" t="str">
        <f t="shared" ca="1" si="45"/>
        <v/>
      </c>
      <c r="D1816" s="31" t="s">
        <v>4384</v>
      </c>
      <c r="E1816" s="31"/>
      <c r="F1816" s="31"/>
      <c r="G1816" s="838" t="s">
        <v>4385</v>
      </c>
      <c r="H1816"/>
      <c r="I1816" s="46">
        <f ca="1">'Ch8'!O186</f>
        <v>0</v>
      </c>
      <c r="J1816" s="580" t="s">
        <v>3891</v>
      </c>
    </row>
    <row r="1817" spans="1:10" x14ac:dyDescent="0.35">
      <c r="A1817" s="366" t="str">
        <f ca="1">A1816</f>
        <v/>
      </c>
      <c r="B1817" t="str">
        <f>IF(LEN('Ch8'!H187)=0,"",'Ch8'!H187)</f>
        <v/>
      </c>
      <c r="C1817" t="str">
        <f t="shared" ca="1" si="45"/>
        <v/>
      </c>
      <c r="D1817" s="31"/>
      <c r="E1817" s="31"/>
      <c r="F1817" s="31"/>
      <c r="G1817" s="838"/>
      <c r="H1817"/>
      <c r="J1817" s="580"/>
    </row>
    <row r="1818" spans="1:10" x14ac:dyDescent="0.35">
      <c r="A1818" s="366" t="str">
        <f ca="1">A1817</f>
        <v/>
      </c>
      <c r="B1818" t="str">
        <f>IF(LEN('Ch8'!H188)=0,"",'Ch8'!H188)</f>
        <v/>
      </c>
      <c r="C1818" t="str">
        <f t="shared" ca="1" si="45"/>
        <v/>
      </c>
      <c r="D1818" s="31"/>
      <c r="E1818" s="31"/>
      <c r="F1818" s="31"/>
      <c r="G1818" s="838"/>
      <c r="H1818"/>
      <c r="J1818" s="580"/>
    </row>
    <row r="1819" spans="1:10" ht="15" customHeight="1" x14ac:dyDescent="0.35">
      <c r="B1819" t="str">
        <f>IF(LEN('Ch8'!H189)=0,"",'Ch8'!H189)</f>
        <v/>
      </c>
      <c r="C1819" t="str">
        <f t="shared" si="45"/>
        <v/>
      </c>
      <c r="D1819" s="31"/>
      <c r="E1819" s="402" t="s">
        <v>256</v>
      </c>
      <c r="F1819" s="31"/>
      <c r="G1819" s="90" t="s">
        <v>805</v>
      </c>
      <c r="H1819" s="400" t="str">
        <f>IF(LEN('Ch8'!W189)=0,"",'Ch8'!W189)</f>
        <v/>
      </c>
      <c r="J1819" s="580"/>
    </row>
    <row r="1820" spans="1:10" x14ac:dyDescent="0.35">
      <c r="B1820" t="str">
        <f>IF(LEN('Ch8'!H190)=0,"",'Ch8'!H190)</f>
        <v/>
      </c>
      <c r="C1820" t="str">
        <f t="shared" si="45"/>
        <v/>
      </c>
      <c r="D1820" s="31"/>
      <c r="E1820" s="403"/>
      <c r="F1820" s="403"/>
      <c r="G1820" s="142" t="s">
        <v>806</v>
      </c>
      <c r="H1820"/>
      <c r="J1820" s="580"/>
    </row>
    <row r="1821" spans="1:10" ht="15" thickBot="1" x14ac:dyDescent="0.4">
      <c r="B1821" t="str">
        <f>IF(LEN('Ch8'!H191)=0,"",'Ch8'!H191)</f>
        <v/>
      </c>
      <c r="C1821" t="str">
        <f t="shared" si="45"/>
        <v/>
      </c>
      <c r="D1821" s="404"/>
      <c r="E1821" s="407" t="s">
        <v>258</v>
      </c>
      <c r="F1821" s="404"/>
      <c r="G1821" s="229" t="s">
        <v>807</v>
      </c>
      <c r="H1821" s="400" t="str">
        <f>IF(LEN('Ch8'!W191)=0,"",'Ch8'!W191)</f>
        <v/>
      </c>
      <c r="J1821" s="580"/>
    </row>
    <row r="1822" spans="1:10" ht="15" thickTop="1" x14ac:dyDescent="0.35">
      <c r="A1822" s="366" t="str">
        <f ca="1">IF(I1822&gt;0,"P","")</f>
        <v/>
      </c>
      <c r="B1822" t="str">
        <f>IF(LEN('Ch8'!H192)=0,"",'Ch8'!H192)</f>
        <v/>
      </c>
      <c r="C1822" t="str">
        <f t="shared" ca="1" si="45"/>
        <v/>
      </c>
      <c r="D1822" s="402">
        <v>802.8</v>
      </c>
      <c r="E1822" s="402"/>
      <c r="F1822" s="31"/>
      <c r="G1822" s="838" t="s">
        <v>4459</v>
      </c>
      <c r="H1822" s="400" t="str">
        <f>IF(LEN('Ch8'!W192)=0,"",'Ch8'!W192)</f>
        <v/>
      </c>
      <c r="I1822" s="46">
        <f ca="1">'Ch8'!O192</f>
        <v>0</v>
      </c>
      <c r="J1822" s="580" t="s">
        <v>3891</v>
      </c>
    </row>
    <row r="1823" spans="1:10" ht="15" thickBot="1" x14ac:dyDescent="0.4">
      <c r="A1823" s="366" t="str">
        <f ca="1">A1822</f>
        <v/>
      </c>
      <c r="B1823" t="str">
        <f>IF(LEN('Ch8'!H193)=0,"",'Ch8'!H193)</f>
        <v/>
      </c>
      <c r="C1823" t="str">
        <f t="shared" ca="1" si="45"/>
        <v/>
      </c>
      <c r="D1823" s="407"/>
      <c r="E1823" s="407"/>
      <c r="F1823" s="404"/>
      <c r="G1823" s="849"/>
      <c r="H1823"/>
      <c r="J1823" s="580"/>
    </row>
    <row r="1824" spans="1:10" ht="15" thickTop="1" x14ac:dyDescent="0.35">
      <c r="A1824" s="366" t="str">
        <f ca="1">IF(I1824&gt;0,"P","")</f>
        <v/>
      </c>
      <c r="B1824" t="str">
        <f>IF(LEN('Ch8'!H194)=0,"",'Ch8'!H194)</f>
        <v/>
      </c>
      <c r="C1824" t="str">
        <f t="shared" ca="1" si="45"/>
        <v/>
      </c>
      <c r="D1824" s="402">
        <v>802.9</v>
      </c>
      <c r="E1824" s="402"/>
      <c r="F1824" s="402"/>
      <c r="G1824" s="487" t="s">
        <v>4460</v>
      </c>
      <c r="H1824"/>
      <c r="I1824" s="433">
        <f ca="1">SUM(I1825:I1833)</f>
        <v>0</v>
      </c>
      <c r="J1824" s="580"/>
    </row>
    <row r="1825" spans="1:10" x14ac:dyDescent="0.35">
      <c r="A1825" s="366" t="str">
        <f ca="1">IF(I1825&gt;0,"P","")</f>
        <v/>
      </c>
      <c r="B1825" t="str">
        <f>IF(LEN('Ch8'!H195)=0,"",'Ch8'!H195)</f>
        <v/>
      </c>
      <c r="C1825" t="str">
        <f t="shared" ca="1" si="45"/>
        <v/>
      </c>
      <c r="D1825" s="402" t="s">
        <v>4461</v>
      </c>
      <c r="E1825" s="402"/>
      <c r="F1825" s="402"/>
      <c r="G1825" s="838" t="s">
        <v>4462</v>
      </c>
      <c r="H1825" s="400" t="str">
        <f>IF(LEN('Ch8'!W195)=0,"",'Ch8'!W195)</f>
        <v/>
      </c>
      <c r="I1825" s="46">
        <f ca="1">'Ch8'!O195</f>
        <v>0</v>
      </c>
      <c r="J1825" s="580" t="s">
        <v>5006</v>
      </c>
    </row>
    <row r="1826" spans="1:10" x14ac:dyDescent="0.35">
      <c r="A1826" s="366" t="str">
        <f ca="1">A1825</f>
        <v/>
      </c>
      <c r="B1826" t="str">
        <f>IF(LEN('Ch8'!H196)=0,"",'Ch8'!H196)</f>
        <v/>
      </c>
      <c r="C1826" t="str">
        <f t="shared" ca="1" si="45"/>
        <v/>
      </c>
      <c r="D1826" s="402"/>
      <c r="E1826" s="402"/>
      <c r="F1826" s="402"/>
      <c r="G1826" s="838"/>
      <c r="H1826"/>
      <c r="J1826" s="580"/>
    </row>
    <row r="1827" spans="1:10" x14ac:dyDescent="0.35">
      <c r="A1827" s="366" t="str">
        <f ca="1">A1826</f>
        <v/>
      </c>
      <c r="B1827" t="str">
        <f>IF(LEN('Ch8'!H197)=0,"",'Ch8'!H197)</f>
        <v/>
      </c>
      <c r="C1827" t="str">
        <f t="shared" ca="1" si="45"/>
        <v/>
      </c>
      <c r="D1827" s="402"/>
      <c r="E1827" s="402"/>
      <c r="F1827" s="402"/>
      <c r="G1827" s="838"/>
      <c r="H1827"/>
      <c r="J1827" s="580"/>
    </row>
    <row r="1828" spans="1:10" x14ac:dyDescent="0.35">
      <c r="A1828" s="366" t="str">
        <f ca="1">A1827</f>
        <v/>
      </c>
      <c r="B1828" t="str">
        <f>IF(LEN('Ch8'!H198)=0,"",'Ch8'!H198)</f>
        <v/>
      </c>
      <c r="C1828" t="str">
        <f t="shared" ca="1" si="45"/>
        <v/>
      </c>
      <c r="D1828" s="402"/>
      <c r="E1828" s="402"/>
      <c r="F1828" s="402"/>
      <c r="G1828" s="838"/>
      <c r="H1828"/>
      <c r="J1828" s="580"/>
    </row>
    <row r="1829" spans="1:10" x14ac:dyDescent="0.35">
      <c r="A1829" s="366" t="str">
        <f ca="1">A1828</f>
        <v/>
      </c>
      <c r="B1829" t="str">
        <f>IF(LEN('Ch8'!H199)=0,"",'Ch8'!H199)</f>
        <v/>
      </c>
      <c r="C1829" t="str">
        <f t="shared" ca="1" si="45"/>
        <v/>
      </c>
      <c r="D1829" s="402"/>
      <c r="E1829" s="402"/>
      <c r="F1829" s="402"/>
      <c r="G1829" s="838"/>
      <c r="H1829"/>
      <c r="J1829" s="580"/>
    </row>
    <row r="1830" spans="1:10" x14ac:dyDescent="0.35">
      <c r="A1830" s="366" t="str">
        <f ca="1">A1829</f>
        <v/>
      </c>
      <c r="B1830" t="str">
        <f>IF(LEN('Ch8'!H200)=0,"",'Ch8'!H200)</f>
        <v/>
      </c>
      <c r="C1830" t="str">
        <f t="shared" ca="1" si="45"/>
        <v/>
      </c>
      <c r="D1830" s="402"/>
      <c r="E1830" s="402"/>
      <c r="F1830" s="402"/>
      <c r="G1830" s="838"/>
      <c r="H1830"/>
      <c r="J1830" s="580"/>
    </row>
    <row r="1831" spans="1:10" x14ac:dyDescent="0.35">
      <c r="B1831" t="str">
        <f>IF(LEN('Ch8'!H201)=0,"",'Ch8'!H201)</f>
        <v/>
      </c>
      <c r="C1831" t="str">
        <f t="shared" si="45"/>
        <v/>
      </c>
      <c r="D1831" s="402"/>
      <c r="E1831" s="416" t="s">
        <v>256</v>
      </c>
      <c r="F1831" s="416"/>
      <c r="G1831" s="281" t="s">
        <v>4463</v>
      </c>
      <c r="H1831"/>
      <c r="J1831" s="580"/>
    </row>
    <row r="1832" spans="1:10" x14ac:dyDescent="0.35">
      <c r="B1832" t="str">
        <f>IF(LEN('Ch8'!H202)=0,"",'Ch8'!H202)</f>
        <v/>
      </c>
      <c r="C1832" t="str">
        <f t="shared" si="45"/>
        <v/>
      </c>
      <c r="D1832" s="416"/>
      <c r="E1832" s="416" t="s">
        <v>258</v>
      </c>
      <c r="F1832" s="416"/>
      <c r="G1832" s="281" t="s">
        <v>4464</v>
      </c>
      <c r="H1832"/>
      <c r="J1832" s="580"/>
    </row>
    <row r="1833" spans="1:10" x14ac:dyDescent="0.35">
      <c r="A1833" s="366" t="str">
        <f ca="1">IF(I1833&gt;0,"P","")</f>
        <v/>
      </c>
      <c r="B1833" t="str">
        <f>IF(LEN('Ch8'!H203)=0,"",'Ch8'!H203)</f>
        <v/>
      </c>
      <c r="C1833" t="str">
        <f t="shared" ca="1" si="45"/>
        <v/>
      </c>
      <c r="D1833" s="402" t="s">
        <v>4465</v>
      </c>
      <c r="E1833" s="402"/>
      <c r="F1833" s="402"/>
      <c r="G1833" s="838" t="s">
        <v>4466</v>
      </c>
      <c r="H1833" s="400" t="str">
        <f>IF(LEN('Ch8'!W203)=0,"",'Ch8'!W203)</f>
        <v/>
      </c>
      <c r="I1833" s="46">
        <f ca="1">'Ch8'!O203</f>
        <v>0</v>
      </c>
      <c r="J1833" s="580" t="s">
        <v>5019</v>
      </c>
    </row>
    <row r="1834" spans="1:10" x14ac:dyDescent="0.35">
      <c r="A1834" s="366" t="str">
        <f ca="1">A1833</f>
        <v/>
      </c>
      <c r="B1834" t="str">
        <f>IF(LEN('Ch8'!H204)=0,"",'Ch8'!H204)</f>
        <v/>
      </c>
      <c r="C1834" t="str">
        <f t="shared" ca="1" si="45"/>
        <v/>
      </c>
      <c r="D1834" s="402"/>
      <c r="E1834" s="402"/>
      <c r="F1834" s="402"/>
      <c r="G1834" s="838"/>
      <c r="H1834"/>
      <c r="J1834" s="580"/>
    </row>
    <row r="1835" spans="1:10" x14ac:dyDescent="0.35">
      <c r="B1835" t="str">
        <f>IF(LEN('Ch8'!H205)=0,"",'Ch8'!H205)</f>
        <v/>
      </c>
      <c r="C1835" t="str">
        <f t="shared" si="45"/>
        <v/>
      </c>
      <c r="D1835" s="402"/>
      <c r="E1835" s="416" t="s">
        <v>256</v>
      </c>
      <c r="F1835" s="416"/>
      <c r="G1835" s="281" t="s">
        <v>4467</v>
      </c>
      <c r="H1835"/>
      <c r="J1835" s="580"/>
    </row>
    <row r="1836" spans="1:10" ht="15" thickBot="1" x14ac:dyDescent="0.4">
      <c r="B1836" t="str">
        <f>IF(LEN('Ch8'!H206)=0,"",'Ch8'!H206)</f>
        <v/>
      </c>
      <c r="C1836" t="str">
        <f t="shared" si="45"/>
        <v/>
      </c>
      <c r="D1836" s="407"/>
      <c r="E1836" s="407" t="s">
        <v>258</v>
      </c>
      <c r="F1836" s="407"/>
      <c r="G1836" s="486" t="s">
        <v>4468</v>
      </c>
      <c r="H1836"/>
      <c r="J1836" s="580"/>
    </row>
    <row r="1837" spans="1:10" ht="15" thickTop="1" x14ac:dyDescent="0.35">
      <c r="A1837" s="366" t="str">
        <f ca="1">IF(I1837&gt;0,"P","")</f>
        <v/>
      </c>
      <c r="B1837" t="str">
        <f>IF(LEN('Ch8'!H207)=0,"",'Ch8'!H207)</f>
        <v/>
      </c>
      <c r="C1837" t="str">
        <f t="shared" ca="1" si="45"/>
        <v/>
      </c>
      <c r="D1837" s="402" t="s">
        <v>4473</v>
      </c>
      <c r="E1837" s="402"/>
      <c r="F1837" s="402"/>
      <c r="G1837" s="487" t="s">
        <v>4469</v>
      </c>
      <c r="H1837"/>
      <c r="I1837" s="433">
        <f ca="1">SUM(I1841)</f>
        <v>0</v>
      </c>
      <c r="J1837" s="580"/>
    </row>
    <row r="1838" spans="1:10" x14ac:dyDescent="0.35">
      <c r="A1838" s="366" t="str">
        <f ca="1">A1837</f>
        <v/>
      </c>
      <c r="B1838" t="str">
        <f>IF(LEN('Ch8'!H208)=0,"",'Ch8'!H208)</f>
        <v/>
      </c>
      <c r="C1838" t="str">
        <f t="shared" ca="1" si="45"/>
        <v/>
      </c>
      <c r="D1838" s="402" t="s">
        <v>4470</v>
      </c>
      <c r="E1838" s="402"/>
      <c r="F1838" s="402"/>
      <c r="G1838" s="838" t="s">
        <v>4471</v>
      </c>
      <c r="H1838" s="400" t="str">
        <f>IF(LEN('Ch8'!W208)=0,"",'Ch8'!W208)</f>
        <v>N/A</v>
      </c>
      <c r="J1838" s="580" t="s">
        <v>3891</v>
      </c>
    </row>
    <row r="1839" spans="1:10" x14ac:dyDescent="0.35">
      <c r="A1839" s="366" t="str">
        <f ca="1">A1838</f>
        <v/>
      </c>
      <c r="B1839" t="str">
        <f>IF(LEN('Ch8'!H209)=0,"",'Ch8'!H209)</f>
        <v/>
      </c>
      <c r="C1839" t="str">
        <f t="shared" ca="1" si="45"/>
        <v/>
      </c>
      <c r="D1839" s="402"/>
      <c r="E1839" s="402"/>
      <c r="F1839" s="402"/>
      <c r="G1839" s="838"/>
      <c r="H1839"/>
      <c r="J1839" s="580"/>
    </row>
    <row r="1840" spans="1:10" x14ac:dyDescent="0.35">
      <c r="A1840" s="366" t="str">
        <f ca="1">A1839</f>
        <v/>
      </c>
      <c r="B1840" t="str">
        <f>IF(LEN('Ch8'!H210)=0,"",'Ch8'!H210)</f>
        <v/>
      </c>
      <c r="C1840" t="str">
        <f t="shared" ca="1" si="45"/>
        <v/>
      </c>
      <c r="D1840" s="402"/>
      <c r="E1840" s="402"/>
      <c r="F1840" s="402"/>
      <c r="G1840" s="838"/>
      <c r="H1840"/>
      <c r="J1840" s="580"/>
    </row>
    <row r="1841" spans="1:10" x14ac:dyDescent="0.35">
      <c r="B1841" t="str">
        <f>IF(LEN('Ch8'!H211)=0,"",'Ch8'!H211)</f>
        <v/>
      </c>
      <c r="C1841" t="str">
        <f t="shared" si="45"/>
        <v/>
      </c>
      <c r="D1841" s="402"/>
      <c r="E1841" s="402" t="s">
        <v>256</v>
      </c>
      <c r="F1841" s="402"/>
      <c r="G1841" s="266" t="s">
        <v>4472</v>
      </c>
      <c r="H1841" s="400" t="str">
        <f>IF(LEN('Ch8'!W211)=0,"",'Ch8'!W211)</f>
        <v/>
      </c>
      <c r="I1841" s="46">
        <f ca="1">'Ch8'!O211</f>
        <v>0</v>
      </c>
      <c r="J1841" s="580"/>
    </row>
    <row r="1842" spans="1:10" ht="18.5" x14ac:dyDescent="0.35">
      <c r="A1842" s="366" t="s">
        <v>3973</v>
      </c>
      <c r="B1842" t="str">
        <f>IF(LEN('Ch8'!H212)=0,"",'Ch8'!H212)</f>
        <v/>
      </c>
      <c r="C1842" t="str">
        <f t="shared" si="45"/>
        <v>P</v>
      </c>
      <c r="D1842" s="620" t="s">
        <v>4386</v>
      </c>
      <c r="E1842" s="620"/>
      <c r="F1842" s="620"/>
      <c r="G1842" s="537"/>
      <c r="H1842"/>
      <c r="J1842" s="580"/>
    </row>
    <row r="1843" spans="1:10" x14ac:dyDescent="0.35">
      <c r="A1843" s="366" t="str">
        <f ca="1">IF(I1843&gt;0,"P","")</f>
        <v/>
      </c>
      <c r="B1843" t="str">
        <f>IF(LEN('Ch8'!H213)=0,"",'Ch8'!H213)</f>
        <v/>
      </c>
      <c r="C1843" t="str">
        <f t="shared" ca="1" si="45"/>
        <v/>
      </c>
      <c r="D1843" s="31">
        <v>803.1</v>
      </c>
      <c r="E1843" s="31"/>
      <c r="F1843" s="31"/>
      <c r="G1843" s="838" t="s">
        <v>4387</v>
      </c>
      <c r="H1843"/>
      <c r="I1843" s="46">
        <f ca="1">'Ch8'!O213</f>
        <v>0</v>
      </c>
      <c r="J1843" s="580"/>
    </row>
    <row r="1844" spans="1:10" x14ac:dyDescent="0.35">
      <c r="A1844" s="366" t="str">
        <f ca="1">A1843</f>
        <v/>
      </c>
      <c r="B1844" t="str">
        <f>IF(LEN('Ch8'!H214)=0,"",'Ch8'!H214)</f>
        <v/>
      </c>
      <c r="C1844" t="str">
        <f t="shared" ca="1" si="45"/>
        <v/>
      </c>
      <c r="D1844" s="31"/>
      <c r="E1844" s="31"/>
      <c r="F1844" s="31"/>
      <c r="G1844" s="838"/>
      <c r="H1844"/>
      <c r="J1844" s="580"/>
    </row>
    <row r="1845" spans="1:10" x14ac:dyDescent="0.35">
      <c r="B1845" t="str">
        <f>IF(LEN('Ch8'!H215)=0,"",'Ch8'!H215)</f>
        <v/>
      </c>
      <c r="C1845" t="str">
        <f t="shared" si="45"/>
        <v/>
      </c>
      <c r="D1845" s="31"/>
      <c r="E1845" s="31"/>
      <c r="F1845" s="31"/>
      <c r="G1845" s="92" t="s">
        <v>4474</v>
      </c>
      <c r="H1845"/>
      <c r="J1845" s="580"/>
    </row>
    <row r="1846" spans="1:10" x14ac:dyDescent="0.35">
      <c r="B1846" t="str">
        <f>IF(LEN('Ch8'!H216)=0,"",'Ch8'!H216)</f>
        <v/>
      </c>
      <c r="C1846" t="str">
        <f t="shared" si="45"/>
        <v/>
      </c>
      <c r="D1846" s="31"/>
      <c r="E1846" s="31"/>
      <c r="F1846" s="31"/>
      <c r="G1846" s="92" t="s">
        <v>4475</v>
      </c>
      <c r="H1846"/>
      <c r="J1846" s="580"/>
    </row>
    <row r="1847" spans="1:10" x14ac:dyDescent="0.35">
      <c r="A1847" s="366" t="str">
        <f>IF(AND(LEN(H1847)&gt;0,NOT(H1847=FALSE)),"P","")</f>
        <v/>
      </c>
      <c r="B1847" t="str">
        <f>IF(LEN('Ch8'!H217)=0,"",'Ch8'!H217)</f>
        <v/>
      </c>
      <c r="C1847" t="str">
        <f t="shared" si="45"/>
        <v/>
      </c>
      <c r="D1847" s="31"/>
      <c r="E1847" s="402" t="s">
        <v>256</v>
      </c>
      <c r="F1847" s="31"/>
      <c r="G1847" s="90" t="s">
        <v>808</v>
      </c>
      <c r="H1847" s="400" t="str">
        <f>IF(LEN('Ch8'!W217)=0,"",'Ch8'!W217)</f>
        <v/>
      </c>
      <c r="J1847" s="975" t="s">
        <v>5020</v>
      </c>
    </row>
    <row r="1848" spans="1:10" x14ac:dyDescent="0.35">
      <c r="A1848" s="366" t="str">
        <f>A1847</f>
        <v/>
      </c>
      <c r="B1848" t="str">
        <f>IF(LEN('Ch8'!H218)=0,"",'Ch8'!H218)</f>
        <v/>
      </c>
      <c r="C1848" t="str">
        <f t="shared" si="45"/>
        <v/>
      </c>
      <c r="D1848" s="31"/>
      <c r="E1848" s="403"/>
      <c r="F1848" s="403"/>
      <c r="G1848" s="142" t="s">
        <v>809</v>
      </c>
      <c r="H1848"/>
      <c r="J1848" s="976"/>
    </row>
    <row r="1849" spans="1:10" ht="26.5" thickBot="1" x14ac:dyDescent="0.4">
      <c r="A1849" s="366" t="str">
        <f>IF(AND(LEN(H1849)&gt;0,NOT(H1849=FALSE)),"P","")</f>
        <v/>
      </c>
      <c r="B1849" t="str">
        <f>IF(LEN('Ch8'!H219)=0,"",'Ch8'!H219)</f>
        <v/>
      </c>
      <c r="C1849" t="str">
        <f t="shared" si="45"/>
        <v/>
      </c>
      <c r="D1849" s="404"/>
      <c r="E1849" s="407" t="s">
        <v>258</v>
      </c>
      <c r="F1849" s="404"/>
      <c r="G1849" s="229" t="s">
        <v>810</v>
      </c>
      <c r="H1849" s="400" t="str">
        <f>IF(LEN('Ch8'!W219)=0,"",'Ch8'!W219)</f>
        <v/>
      </c>
      <c r="J1849" s="580" t="s">
        <v>5020</v>
      </c>
    </row>
    <row r="1850" spans="1:10" ht="15" thickTop="1" x14ac:dyDescent="0.35">
      <c r="A1850" s="366" t="str">
        <f>IF(I1850&gt;0,"P","")</f>
        <v/>
      </c>
      <c r="B1850" t="str">
        <f>IF(LEN('Ch8'!H220)=0,"",'Ch8'!H220)</f>
        <v/>
      </c>
      <c r="C1850" t="str">
        <f t="shared" si="45"/>
        <v/>
      </c>
      <c r="D1850" s="60">
        <v>803.2</v>
      </c>
      <c r="E1850" s="60"/>
      <c r="F1850" s="60"/>
      <c r="G1850" s="837" t="s">
        <v>4388</v>
      </c>
      <c r="H1850"/>
      <c r="I1850" s="46">
        <f>'Ch8'!O220</f>
        <v>0</v>
      </c>
      <c r="J1850" s="580" t="s">
        <v>3932</v>
      </c>
    </row>
    <row r="1851" spans="1:10" x14ac:dyDescent="0.35">
      <c r="A1851" s="366" t="str">
        <f>A1850</f>
        <v/>
      </c>
      <c r="B1851" t="str">
        <f>IF(LEN('Ch8'!H221)=0,"",'Ch8'!H221)</f>
        <v/>
      </c>
      <c r="C1851" t="str">
        <f t="shared" si="45"/>
        <v/>
      </c>
      <c r="D1851" s="31"/>
      <c r="E1851" s="31"/>
      <c r="F1851" s="31"/>
      <c r="G1851" s="838"/>
      <c r="H1851" s="400" t="str">
        <f>IF(LEN('Ch8'!W221)=0,"",'Ch8'!W221)</f>
        <v/>
      </c>
      <c r="J1851" s="580"/>
    </row>
    <row r="1852" spans="1:10" ht="15" thickBot="1" x14ac:dyDescent="0.4">
      <c r="A1852" s="366" t="str">
        <f>A1851</f>
        <v/>
      </c>
      <c r="B1852" t="str">
        <f>IF(LEN('Ch8'!H222)=0,"",'Ch8'!H222)</f>
        <v/>
      </c>
      <c r="C1852" t="str">
        <f t="shared" si="45"/>
        <v/>
      </c>
      <c r="D1852" s="404"/>
      <c r="E1852" s="404"/>
      <c r="F1852" s="404"/>
      <c r="G1852" s="849"/>
      <c r="H1852"/>
      <c r="J1852" s="580"/>
    </row>
    <row r="1853" spans="1:10" ht="15" thickTop="1" x14ac:dyDescent="0.35">
      <c r="A1853" s="366" t="str">
        <f ca="1">IF(I1853&gt;0,"P","")</f>
        <v/>
      </c>
      <c r="B1853" t="str">
        <f>IF(LEN('Ch8'!H223)=0,"",'Ch8'!H223)</f>
        <v/>
      </c>
      <c r="C1853" t="str">
        <f t="shared" ca="1" si="45"/>
        <v/>
      </c>
      <c r="D1853" s="31">
        <v>803.3</v>
      </c>
      <c r="E1853" s="31"/>
      <c r="F1853" s="31"/>
      <c r="G1853" s="838" t="s">
        <v>4476</v>
      </c>
      <c r="H1853" s="400" t="str">
        <f>IF(LEN('Ch8'!W223)=0,"",'Ch8'!W223)</f>
        <v/>
      </c>
      <c r="I1853" s="46">
        <f ca="1">'Ch8'!O223</f>
        <v>0</v>
      </c>
      <c r="J1853" s="975" t="s">
        <v>3933</v>
      </c>
    </row>
    <row r="1854" spans="1:10" x14ac:dyDescent="0.35">
      <c r="A1854" s="366" t="str">
        <f ca="1">A1853</f>
        <v/>
      </c>
      <c r="B1854" t="str">
        <f>IF(LEN('Ch8'!H224)=0,"",'Ch8'!H224)</f>
        <v/>
      </c>
      <c r="C1854" t="str">
        <f t="shared" ca="1" si="45"/>
        <v/>
      </c>
      <c r="D1854" s="31"/>
      <c r="E1854" s="31"/>
      <c r="F1854" s="31"/>
      <c r="G1854" s="838"/>
      <c r="H1854"/>
      <c r="J1854" s="976"/>
    </row>
    <row r="1855" spans="1:10" x14ac:dyDescent="0.35">
      <c r="A1855" s="366" t="str">
        <f ca="1">A1854</f>
        <v/>
      </c>
      <c r="B1855" t="str">
        <f>IF(LEN('Ch8'!H225)=0,"",'Ch8'!H225)</f>
        <v/>
      </c>
      <c r="C1855" t="str">
        <f t="shared" ca="1" si="45"/>
        <v/>
      </c>
      <c r="D1855" s="31"/>
      <c r="E1855" s="31"/>
      <c r="F1855" s="31"/>
      <c r="G1855" s="838"/>
      <c r="H1855"/>
      <c r="J1855" s="580"/>
    </row>
    <row r="1856" spans="1:10" x14ac:dyDescent="0.35">
      <c r="B1856" t="str">
        <f>IF(LEN('Ch8'!H226)=0,"",'Ch8'!H226)</f>
        <v/>
      </c>
      <c r="C1856" t="str">
        <f t="shared" si="45"/>
        <v/>
      </c>
      <c r="D1856" s="31"/>
      <c r="E1856" s="416" t="s">
        <v>256</v>
      </c>
      <c r="F1856" s="403"/>
      <c r="G1856" s="281" t="s">
        <v>4477</v>
      </c>
      <c r="H1856"/>
      <c r="J1856" s="580"/>
    </row>
    <row r="1857" spans="1:10" ht="15" thickBot="1" x14ac:dyDescent="0.4">
      <c r="B1857" t="str">
        <f>IF(LEN('Ch8'!H227)=0,"",'Ch8'!H227)</f>
        <v/>
      </c>
      <c r="C1857" t="str">
        <f t="shared" si="45"/>
        <v/>
      </c>
      <c r="D1857" s="404"/>
      <c r="E1857" s="407" t="s">
        <v>258</v>
      </c>
      <c r="F1857" s="404"/>
      <c r="G1857" s="266" t="s">
        <v>4478</v>
      </c>
      <c r="H1857"/>
      <c r="J1857" s="580"/>
    </row>
    <row r="1858" spans="1:10" ht="15" thickTop="1" x14ac:dyDescent="0.35">
      <c r="A1858" s="366" t="str">
        <f ca="1">IF(I1858&gt;0,"P","")</f>
        <v/>
      </c>
      <c r="B1858" t="str">
        <f>IF(LEN('Ch8'!H228)=0,"",'Ch8'!H228)</f>
        <v/>
      </c>
      <c r="C1858" t="str">
        <f t="shared" ca="1" si="45"/>
        <v/>
      </c>
      <c r="D1858" s="60">
        <v>803.4</v>
      </c>
      <c r="E1858" s="60"/>
      <c r="F1858" s="60"/>
      <c r="G1858" s="837" t="s">
        <v>4389</v>
      </c>
      <c r="H1858" s="400" t="str">
        <f>IF(LEN('Ch8'!W228)=0,"",'Ch8'!W228)</f>
        <v/>
      </c>
      <c r="I1858" s="46">
        <f ca="1">'Ch8'!O228</f>
        <v>0</v>
      </c>
      <c r="J1858" s="580" t="s">
        <v>3934</v>
      </c>
    </row>
    <row r="1859" spans="1:10" x14ac:dyDescent="0.35">
      <c r="A1859" s="366" t="str">
        <f ca="1">A1858</f>
        <v/>
      </c>
      <c r="B1859" t="str">
        <f>IF(LEN('Ch8'!H229)=0,"",'Ch8'!H229)</f>
        <v/>
      </c>
      <c r="C1859" t="str">
        <f t="shared" ca="1" si="45"/>
        <v/>
      </c>
      <c r="D1859" s="31"/>
      <c r="E1859" s="31"/>
      <c r="F1859" s="31"/>
      <c r="G1859" s="838"/>
      <c r="H1859"/>
      <c r="J1859" s="580"/>
    </row>
    <row r="1860" spans="1:10" ht="15" thickBot="1" x14ac:dyDescent="0.4">
      <c r="A1860" s="366" t="str">
        <f ca="1">A1859</f>
        <v/>
      </c>
      <c r="B1860" t="str">
        <f>IF(LEN('Ch8'!H230)=0,"",'Ch8'!H230)</f>
        <v/>
      </c>
      <c r="C1860" t="str">
        <f t="shared" ca="1" si="45"/>
        <v/>
      </c>
      <c r="D1860" s="404"/>
      <c r="E1860" s="404"/>
      <c r="F1860" s="404"/>
      <c r="G1860" s="849"/>
      <c r="H1860"/>
      <c r="J1860" s="580"/>
    </row>
    <row r="1861" spans="1:10" ht="15" thickTop="1" x14ac:dyDescent="0.35">
      <c r="A1861" s="366" t="str">
        <f ca="1">IF(I1861&gt;0,"P","")</f>
        <v/>
      </c>
      <c r="B1861" t="str">
        <f>IF(LEN('Ch8'!H231)=0,"",'Ch8'!H231)</f>
        <v/>
      </c>
      <c r="C1861" t="str">
        <f t="shared" ca="1" si="45"/>
        <v/>
      </c>
      <c r="D1861" s="60">
        <v>803.5</v>
      </c>
      <c r="E1861" s="60"/>
      <c r="F1861" s="60"/>
      <c r="G1861" s="946" t="s">
        <v>4390</v>
      </c>
      <c r="H1861" s="400" t="str">
        <f>IF(LEN('Ch8'!W231)=0,"",'Ch8'!W231)</f>
        <v/>
      </c>
      <c r="I1861" s="46">
        <f ca="1">'Ch8'!O231</f>
        <v>0</v>
      </c>
      <c r="J1861" s="580" t="s">
        <v>3891</v>
      </c>
    </row>
    <row r="1862" spans="1:10" ht="15" thickBot="1" x14ac:dyDescent="0.4">
      <c r="A1862" s="366" t="str">
        <f ca="1">A1861</f>
        <v/>
      </c>
      <c r="B1862" t="str">
        <f>IF(LEN('Ch8'!H232)=0,"",'Ch8'!H232)</f>
        <v/>
      </c>
      <c r="C1862" t="str">
        <f t="shared" ca="1" si="45"/>
        <v/>
      </c>
      <c r="D1862" s="404"/>
      <c r="E1862" s="404"/>
      <c r="F1862" s="404"/>
      <c r="G1862" s="947"/>
      <c r="H1862"/>
      <c r="J1862" s="580"/>
    </row>
    <row r="1863" spans="1:10" ht="15" thickTop="1" x14ac:dyDescent="0.35">
      <c r="A1863" s="366" t="str">
        <f ca="1">IF(I1863&gt;0,"P","")</f>
        <v/>
      </c>
      <c r="B1863" t="str">
        <f>IF(LEN('Ch8'!H233)=0,"",'Ch8'!H233)</f>
        <v/>
      </c>
      <c r="C1863" t="str">
        <f t="shared" ca="1" si="45"/>
        <v/>
      </c>
      <c r="D1863" s="31">
        <v>803.6</v>
      </c>
      <c r="E1863" s="31"/>
      <c r="F1863" s="31"/>
      <c r="G1863" s="838" t="s">
        <v>4391</v>
      </c>
      <c r="H1863" s="400" t="str">
        <f>IF(LEN('Ch8'!W233)=0,"",'Ch8'!W233)</f>
        <v/>
      </c>
      <c r="I1863" s="46">
        <f ca="1">'Ch8'!O233</f>
        <v>0</v>
      </c>
      <c r="J1863" s="580" t="s">
        <v>3935</v>
      </c>
    </row>
    <row r="1864" spans="1:10" x14ac:dyDescent="0.35">
      <c r="A1864" s="366" t="str">
        <f ca="1">A1863</f>
        <v/>
      </c>
      <c r="B1864" t="str">
        <f>IF(LEN('Ch8'!H234)=0,"",'Ch8'!H234)</f>
        <v/>
      </c>
      <c r="C1864" t="str">
        <f t="shared" ca="1" si="45"/>
        <v/>
      </c>
      <c r="D1864" s="31"/>
      <c r="E1864" s="31"/>
      <c r="F1864" s="31"/>
      <c r="G1864" s="838"/>
      <c r="H1864"/>
      <c r="J1864" s="580"/>
    </row>
    <row r="1865" spans="1:10" x14ac:dyDescent="0.35">
      <c r="B1865" t="str">
        <f>IF(LEN('Ch8'!H235)=0,"",'Ch8'!H235)</f>
        <v/>
      </c>
      <c r="C1865" t="str">
        <f t="shared" si="45"/>
        <v/>
      </c>
      <c r="D1865" s="31"/>
      <c r="E1865" s="31"/>
      <c r="F1865" s="31"/>
      <c r="G1865" s="92" t="s">
        <v>4475</v>
      </c>
      <c r="H1865"/>
      <c r="J1865" s="580"/>
    </row>
    <row r="1866" spans="1:10" ht="18.5" x14ac:dyDescent="0.35">
      <c r="A1866" s="366" t="s">
        <v>3973</v>
      </c>
      <c r="B1866" t="str">
        <f>IF(LEN('Ch8'!H236)=0,"",'Ch8'!H236)</f>
        <v/>
      </c>
      <c r="C1866" t="str">
        <f t="shared" si="45"/>
        <v>P</v>
      </c>
      <c r="D1866" s="620" t="s">
        <v>4483</v>
      </c>
      <c r="E1866" s="617"/>
      <c r="F1866" s="617"/>
      <c r="G1866" s="605"/>
      <c r="H1866"/>
      <c r="J1866" s="580"/>
    </row>
    <row r="1867" spans="1:10" x14ac:dyDescent="0.35">
      <c r="B1867" t="str">
        <f>IF(LEN('Ch8'!H237)=0,"",'Ch8'!H237)</f>
        <v/>
      </c>
      <c r="C1867" t="str">
        <f t="shared" si="45"/>
        <v/>
      </c>
      <c r="D1867" s="31">
        <v>804.1</v>
      </c>
      <c r="E1867" s="402"/>
      <c r="F1867" s="402"/>
      <c r="G1867" s="838" t="s">
        <v>5586</v>
      </c>
      <c r="H1867"/>
      <c r="J1867" s="580"/>
    </row>
    <row r="1868" spans="1:10" x14ac:dyDescent="0.35">
      <c r="B1868" t="str">
        <f>IF(LEN('Ch8'!H238)=0,"",'Ch8'!H238)</f>
        <v/>
      </c>
      <c r="C1868" t="str">
        <f t="shared" si="45"/>
        <v/>
      </c>
      <c r="D1868" s="403"/>
      <c r="E1868" s="416"/>
      <c r="F1868" s="416"/>
      <c r="G1868" s="889"/>
      <c r="H1868"/>
      <c r="J1868" s="580"/>
    </row>
    <row r="1869" spans="1:10" x14ac:dyDescent="0.35">
      <c r="B1869" t="str">
        <f>IF(LEN('Ch8'!H239)=0,"",'Ch8'!H239)</f>
        <v/>
      </c>
      <c r="C1869" t="str">
        <f t="shared" si="45"/>
        <v/>
      </c>
      <c r="D1869" s="405">
        <v>804.2</v>
      </c>
      <c r="E1869" s="424"/>
      <c r="F1869" s="424"/>
      <c r="G1869" s="905" t="s">
        <v>4479</v>
      </c>
      <c r="H1869"/>
      <c r="J1869" s="580"/>
    </row>
    <row r="1870" spans="1:10" x14ac:dyDescent="0.35">
      <c r="B1870" t="str">
        <f>IF(LEN('Ch8'!H240)=0,"",'Ch8'!H240)</f>
        <v/>
      </c>
      <c r="C1870" t="str">
        <f t="shared" si="45"/>
        <v/>
      </c>
      <c r="D1870" s="403"/>
      <c r="E1870" s="416"/>
      <c r="F1870" s="416"/>
      <c r="G1870" s="889"/>
      <c r="H1870"/>
      <c r="J1870" s="580"/>
    </row>
    <row r="1871" spans="1:10" x14ac:dyDescent="0.35">
      <c r="A1871" s="366" t="str">
        <f>IF(I1871&gt;0,"P","")</f>
        <v/>
      </c>
      <c r="B1871" t="str">
        <f>IF(LEN('Ch8'!H241)=0,"",'Ch8'!H241)</f>
        <v/>
      </c>
      <c r="C1871" t="str">
        <f t="shared" si="45"/>
        <v/>
      </c>
      <c r="D1871" s="31">
        <v>804.3</v>
      </c>
      <c r="E1871" s="402"/>
      <c r="F1871" s="402"/>
      <c r="G1871" s="838" t="s">
        <v>4480</v>
      </c>
      <c r="H1871"/>
      <c r="I1871" s="46">
        <f>'Ch9'!O4</f>
        <v>0</v>
      </c>
      <c r="J1871" s="580" t="s">
        <v>5021</v>
      </c>
    </row>
    <row r="1872" spans="1:10" x14ac:dyDescent="0.35">
      <c r="A1872" s="366" t="str">
        <f>A1871</f>
        <v/>
      </c>
      <c r="B1872" t="str">
        <f>IF(LEN('Ch8'!H242)=0,"",'Ch8'!H242)</f>
        <v/>
      </c>
      <c r="C1872" t="str">
        <f t="shared" si="45"/>
        <v/>
      </c>
      <c r="D1872" s="31"/>
      <c r="E1872" s="402"/>
      <c r="F1872" s="402"/>
      <c r="G1872" s="838"/>
      <c r="H1872"/>
      <c r="J1872" s="580"/>
    </row>
    <row r="1873" spans="1:10" x14ac:dyDescent="0.35">
      <c r="A1873" s="366" t="str">
        <f>A1872</f>
        <v/>
      </c>
      <c r="B1873" t="str">
        <f>IF(LEN('Ch8'!H243)=0,"",'Ch8'!H243)</f>
        <v/>
      </c>
      <c r="C1873" t="str">
        <f t="shared" si="45"/>
        <v/>
      </c>
      <c r="D1873" s="31"/>
      <c r="E1873" s="402"/>
      <c r="F1873" s="402"/>
      <c r="G1873" s="838"/>
      <c r="H1873"/>
      <c r="J1873" s="580"/>
    </row>
    <row r="1874" spans="1:10" x14ac:dyDescent="0.35">
      <c r="B1874" t="str">
        <f>IF(LEN('Ch8'!H244)=0,"",'Ch8'!H244)</f>
        <v/>
      </c>
      <c r="C1874" t="str">
        <f t="shared" ref="C1874:C1937" si="46">IF(LEN(B1874)=0,IF(A1874="P","P",""),B1874)</f>
        <v/>
      </c>
      <c r="D1874" s="31"/>
      <c r="E1874" s="402"/>
      <c r="F1874" s="402"/>
      <c r="G1874" s="159" t="s">
        <v>4481</v>
      </c>
      <c r="H1874"/>
      <c r="J1874" s="580"/>
    </row>
    <row r="1875" spans="1:10" x14ac:dyDescent="0.35">
      <c r="B1875" t="str">
        <f>IF(LEN('Ch8'!H245)=0,"",'Ch8'!H245)</f>
        <v/>
      </c>
      <c r="C1875" t="str">
        <f t="shared" si="46"/>
        <v/>
      </c>
      <c r="D1875" s="31"/>
      <c r="E1875" s="402"/>
      <c r="F1875" s="402"/>
      <c r="G1875" s="159" t="s">
        <v>4482</v>
      </c>
      <c r="H1875"/>
      <c r="J1875" s="580"/>
    </row>
    <row r="1876" spans="1:10" ht="18.5" x14ac:dyDescent="0.45">
      <c r="A1876" s="366" t="s">
        <v>3973</v>
      </c>
      <c r="B1876" t="str">
        <f>IF(LEN('Ch9'!H9)=0,"",'Ch9'!H9)</f>
        <v/>
      </c>
      <c r="C1876" t="str">
        <f t="shared" si="46"/>
        <v>P</v>
      </c>
      <c r="D1876" s="617" t="s">
        <v>3142</v>
      </c>
      <c r="E1876" s="617"/>
      <c r="F1876" s="617"/>
      <c r="G1876" s="601"/>
      <c r="H1876"/>
      <c r="J1876" s="580"/>
    </row>
    <row r="1877" spans="1:10" x14ac:dyDescent="0.35">
      <c r="B1877" t="str">
        <f>IF(LEN('Ch9'!H10)=0,"",'Ch9'!H10)</f>
        <v/>
      </c>
      <c r="C1877" t="str">
        <f t="shared" si="46"/>
        <v/>
      </c>
      <c r="D1877" s="408">
        <v>901</v>
      </c>
      <c r="E1877" s="31"/>
      <c r="F1877" s="31"/>
      <c r="G1877" s="95" t="s">
        <v>3143</v>
      </c>
      <c r="H1877"/>
      <c r="J1877" s="580"/>
    </row>
    <row r="1878" spans="1:10" x14ac:dyDescent="0.35">
      <c r="A1878" s="366" t="str">
        <f ca="1">IF(I1878&gt;0,"P","")</f>
        <v>P</v>
      </c>
      <c r="B1878" t="str">
        <f>IF(LEN('Ch9'!H11)=0,"",'Ch9'!H11)</f>
        <v/>
      </c>
      <c r="C1878" t="str">
        <f t="shared" ca="1" si="46"/>
        <v>P</v>
      </c>
      <c r="D1878" s="408">
        <v>901.1</v>
      </c>
      <c r="E1878" s="31"/>
      <c r="F1878" s="31"/>
      <c r="G1878" s="95" t="s">
        <v>3144</v>
      </c>
      <c r="H1878"/>
      <c r="I1878" s="433">
        <f ca="1">SUM(I1879:I1904)</f>
        <v>15</v>
      </c>
      <c r="J1878" s="580"/>
    </row>
    <row r="1879" spans="1:10" x14ac:dyDescent="0.35">
      <c r="A1879" s="366" t="str">
        <f>IF(I1879&gt;0,"P","")</f>
        <v>P</v>
      </c>
      <c r="B1879" t="str">
        <f>IF(LEN('Ch9'!H12)=0,"",'Ch9'!H12)</f>
        <v/>
      </c>
      <c r="C1879" t="str">
        <f t="shared" si="46"/>
        <v>P</v>
      </c>
      <c r="D1879" s="408" t="s">
        <v>3145</v>
      </c>
      <c r="E1879" s="31"/>
      <c r="F1879" s="31"/>
      <c r="G1879" s="838" t="s">
        <v>3146</v>
      </c>
      <c r="H1879" s="400" t="b">
        <f>IF(LEN('Ch9'!W12)=0,"",'Ch9'!W12)</f>
        <v>1</v>
      </c>
      <c r="I1879" s="46">
        <f>'Ch9'!O12</f>
        <v>5</v>
      </c>
      <c r="J1879" s="580" t="s">
        <v>3891</v>
      </c>
    </row>
    <row r="1880" spans="1:10" x14ac:dyDescent="0.35">
      <c r="A1880" s="366" t="str">
        <f>A1879</f>
        <v>P</v>
      </c>
      <c r="B1880" t="str">
        <f>IF(LEN('Ch9'!H13)=0,"",'Ch9'!H13)</f>
        <v/>
      </c>
      <c r="C1880" t="str">
        <f t="shared" si="46"/>
        <v>P</v>
      </c>
      <c r="D1880" s="31"/>
      <c r="E1880" s="31"/>
      <c r="F1880" s="31"/>
      <c r="G1880" s="838"/>
      <c r="H1880"/>
      <c r="J1880" s="580"/>
    </row>
    <row r="1881" spans="1:10" x14ac:dyDescent="0.35">
      <c r="A1881" s="366" t="str">
        <f>A1880</f>
        <v>P</v>
      </c>
      <c r="B1881" t="str">
        <f>IF(LEN('Ch9'!H14)=0,"",'Ch9'!H14)</f>
        <v/>
      </c>
      <c r="C1881" t="str">
        <f t="shared" si="46"/>
        <v>P</v>
      </c>
      <c r="D1881" s="31"/>
      <c r="E1881" s="31"/>
      <c r="F1881" s="31"/>
      <c r="G1881" s="838"/>
      <c r="H1881"/>
      <c r="J1881" s="580"/>
    </row>
    <row r="1882" spans="1:10" x14ac:dyDescent="0.35">
      <c r="A1882" s="366" t="str">
        <f>A1881</f>
        <v>P</v>
      </c>
      <c r="B1882" t="str">
        <f>IF(LEN('Ch9'!H15)=0,"",'Ch9'!H15)</f>
        <v/>
      </c>
      <c r="C1882" t="str">
        <f t="shared" si="46"/>
        <v>P</v>
      </c>
      <c r="D1882" s="31"/>
      <c r="E1882" s="31"/>
      <c r="F1882" s="31"/>
      <c r="G1882" s="838"/>
      <c r="H1882"/>
      <c r="J1882" s="580"/>
    </row>
    <row r="1883" spans="1:10" x14ac:dyDescent="0.35">
      <c r="B1883" t="str">
        <f>IF(LEN('Ch9'!H16)=0,"",'Ch9'!H16)</f>
        <v/>
      </c>
      <c r="C1883" t="str">
        <f t="shared" si="46"/>
        <v/>
      </c>
      <c r="D1883" s="31"/>
      <c r="E1883" s="31"/>
      <c r="F1883" s="31"/>
      <c r="G1883" s="955" t="s">
        <v>3378</v>
      </c>
      <c r="H1883"/>
      <c r="J1883" s="580"/>
    </row>
    <row r="1884" spans="1:10" x14ac:dyDescent="0.35">
      <c r="B1884" t="str">
        <f>IF(LEN('Ch9'!H17)=0,"",'Ch9'!H17)</f>
        <v/>
      </c>
      <c r="C1884" t="str">
        <f t="shared" si="46"/>
        <v/>
      </c>
      <c r="D1884" s="403"/>
      <c r="E1884" s="403"/>
      <c r="F1884" s="403"/>
      <c r="G1884" s="969"/>
      <c r="H1884"/>
      <c r="J1884" s="580"/>
    </row>
    <row r="1885" spans="1:10" x14ac:dyDescent="0.35">
      <c r="A1885" s="366" t="str">
        <f>IF(I1885&gt;0,"P","")</f>
        <v/>
      </c>
      <c r="B1885" t="str">
        <f>IF(LEN('Ch9'!H18)=0,"",'Ch9'!H18)</f>
        <v/>
      </c>
      <c r="C1885" t="str">
        <f t="shared" si="46"/>
        <v/>
      </c>
      <c r="D1885" s="405" t="s">
        <v>3147</v>
      </c>
      <c r="E1885" s="405"/>
      <c r="F1885" s="405"/>
      <c r="G1885" s="905" t="s">
        <v>3148</v>
      </c>
      <c r="H1885" s="400" t="str">
        <f>IF(LEN('Ch9'!W18)=0,"",'Ch9'!W18)</f>
        <v/>
      </c>
      <c r="I1885" s="46">
        <f>'Ch9'!O18</f>
        <v>0</v>
      </c>
      <c r="J1885" s="580" t="s">
        <v>3891</v>
      </c>
    </row>
    <row r="1886" spans="1:10" x14ac:dyDescent="0.35">
      <c r="A1886" s="366" t="str">
        <f>A1885</f>
        <v/>
      </c>
      <c r="B1886" t="str">
        <f>IF(LEN('Ch9'!H19)=0,"",'Ch9'!H19)</f>
        <v/>
      </c>
      <c r="C1886" t="str">
        <f t="shared" si="46"/>
        <v/>
      </c>
      <c r="D1886" s="31"/>
      <c r="E1886" s="31"/>
      <c r="F1886" s="31"/>
      <c r="G1886" s="838"/>
      <c r="H1886"/>
      <c r="J1886" s="580"/>
    </row>
    <row r="1887" spans="1:10" x14ac:dyDescent="0.35">
      <c r="B1887" t="str">
        <f>IF(LEN('Ch9'!H20)=0,"",'Ch9'!H20)</f>
        <v/>
      </c>
      <c r="C1887" t="str">
        <f t="shared" si="46"/>
        <v/>
      </c>
      <c r="D1887" s="403"/>
      <c r="E1887" s="403"/>
      <c r="F1887" s="403"/>
      <c r="G1887" s="603" t="s">
        <v>3660</v>
      </c>
      <c r="H1887"/>
      <c r="J1887" s="580"/>
    </row>
    <row r="1888" spans="1:10" x14ac:dyDescent="0.35">
      <c r="A1888" s="366" t="str">
        <f ca="1">IF(I1888&gt;0,"P","")</f>
        <v>P</v>
      </c>
      <c r="B1888" t="str">
        <f>IF(LEN('Ch9'!H21)=0,"",'Ch9'!H21)</f>
        <v/>
      </c>
      <c r="C1888" t="str">
        <f t="shared" ca="1" si="46"/>
        <v>P</v>
      </c>
      <c r="D1888" s="31" t="s">
        <v>3149</v>
      </c>
      <c r="E1888" s="31"/>
      <c r="F1888" s="31"/>
      <c r="G1888" s="838" t="s">
        <v>3150</v>
      </c>
      <c r="H1888"/>
      <c r="I1888" s="433">
        <f ca="1">SUM(I1890:I1893)</f>
        <v>5</v>
      </c>
      <c r="J1888" s="580" t="s">
        <v>3891</v>
      </c>
    </row>
    <row r="1889" spans="1:10" x14ac:dyDescent="0.35">
      <c r="A1889" s="366" t="str">
        <f ca="1">A1888</f>
        <v>P</v>
      </c>
      <c r="B1889" t="str">
        <f>IF(LEN('Ch9'!H22)=0,"",'Ch9'!H22)</f>
        <v/>
      </c>
      <c r="C1889" t="str">
        <f t="shared" ca="1" si="46"/>
        <v>P</v>
      </c>
      <c r="D1889" s="31"/>
      <c r="E1889" s="31"/>
      <c r="F1889" s="31"/>
      <c r="G1889" s="838"/>
      <c r="H1889"/>
      <c r="J1889" s="580"/>
    </row>
    <row r="1890" spans="1:10" x14ac:dyDescent="0.35">
      <c r="B1890" t="str">
        <f>IF(LEN('Ch9'!H23)=0,"",'Ch9'!H23)</f>
        <v/>
      </c>
      <c r="C1890" t="str">
        <f t="shared" si="46"/>
        <v/>
      </c>
      <c r="D1890" s="31"/>
      <c r="E1890" s="402" t="s">
        <v>256</v>
      </c>
      <c r="F1890" s="31"/>
      <c r="G1890" s="90" t="s">
        <v>3151</v>
      </c>
      <c r="H1890" s="400" t="str">
        <f>IF(LEN('Ch9'!W23)=0,"",'Ch9'!W23)</f>
        <v>(b)</v>
      </c>
      <c r="I1890" s="46">
        <f ca="1">'Ch9'!O23</f>
        <v>5</v>
      </c>
      <c r="J1890" s="580"/>
    </row>
    <row r="1891" spans="1:10" x14ac:dyDescent="0.35">
      <c r="B1891" t="str">
        <f>IF(LEN('Ch9'!H24)=0,"",'Ch9'!H24)</f>
        <v/>
      </c>
      <c r="C1891" t="str">
        <f t="shared" si="46"/>
        <v/>
      </c>
      <c r="D1891" s="31"/>
      <c r="E1891" s="402"/>
      <c r="F1891" s="402" t="s">
        <v>121</v>
      </c>
      <c r="G1891" s="90" t="s">
        <v>3152</v>
      </c>
      <c r="H1891"/>
      <c r="J1891" s="580"/>
    </row>
    <row r="1892" spans="1:10" x14ac:dyDescent="0.35">
      <c r="B1892" t="str">
        <f>IF(LEN('Ch9'!H25)=0,"",'Ch9'!H25)</f>
        <v/>
      </c>
      <c r="C1892" t="str">
        <f t="shared" si="46"/>
        <v/>
      </c>
      <c r="D1892" s="31"/>
      <c r="E1892" s="416"/>
      <c r="F1892" s="416" t="s">
        <v>122</v>
      </c>
      <c r="G1892" s="228" t="s">
        <v>3153</v>
      </c>
      <c r="H1892"/>
      <c r="J1892" s="580"/>
    </row>
    <row r="1893" spans="1:10" x14ac:dyDescent="0.35">
      <c r="B1893" t="str">
        <f>IF(LEN('Ch9'!H26)=0,"",'Ch9'!H26)</f>
        <v/>
      </c>
      <c r="C1893" t="str">
        <f t="shared" si="46"/>
        <v/>
      </c>
      <c r="D1893" s="31"/>
      <c r="E1893" s="402" t="s">
        <v>258</v>
      </c>
      <c r="F1893" s="31"/>
      <c r="G1893" s="90" t="s">
        <v>3154</v>
      </c>
      <c r="H1893" s="400" t="str">
        <f>IF(LEN('Ch9'!W26)=0,"",'Ch9'!W26)</f>
        <v/>
      </c>
      <c r="I1893" s="46">
        <f ca="1">'Ch9'!O26</f>
        <v>0</v>
      </c>
      <c r="J1893" s="580"/>
    </row>
    <row r="1894" spans="1:10" x14ac:dyDescent="0.35">
      <c r="B1894" t="str">
        <f>IF(LEN('Ch9'!H27)=0,"",'Ch9'!H27)</f>
        <v/>
      </c>
      <c r="C1894" t="str">
        <f t="shared" si="46"/>
        <v/>
      </c>
      <c r="D1894" s="31"/>
      <c r="E1894" s="31"/>
      <c r="F1894" s="402" t="s">
        <v>121</v>
      </c>
      <c r="G1894" s="90" t="s">
        <v>3155</v>
      </c>
      <c r="H1894"/>
      <c r="J1894" s="580"/>
    </row>
    <row r="1895" spans="1:10" x14ac:dyDescent="0.35">
      <c r="B1895" t="str">
        <f>IF(LEN('Ch9'!H28)=0,"",'Ch9'!H28)</f>
        <v/>
      </c>
      <c r="C1895" t="str">
        <f t="shared" si="46"/>
        <v/>
      </c>
      <c r="D1895" s="403"/>
      <c r="E1895" s="403"/>
      <c r="F1895" s="416" t="s">
        <v>122</v>
      </c>
      <c r="G1895" s="228" t="s">
        <v>3156</v>
      </c>
      <c r="H1895"/>
      <c r="J1895" s="580"/>
    </row>
    <row r="1896" spans="1:10" x14ac:dyDescent="0.35">
      <c r="A1896" s="366" t="str">
        <f>IF(AND(LEN(H1896)&gt;0,NOT(H1896=FALSE)),"P","")</f>
        <v>P</v>
      </c>
      <c r="B1896" t="str">
        <f>IF(LEN('Ch9'!H29)=0,"",'Ch9'!H29)</f>
        <v/>
      </c>
      <c r="C1896" t="str">
        <f t="shared" si="46"/>
        <v>P</v>
      </c>
      <c r="D1896" s="31" t="s">
        <v>3157</v>
      </c>
      <c r="E1896" s="31"/>
      <c r="F1896" s="31"/>
      <c r="G1896" s="838" t="s">
        <v>4485</v>
      </c>
      <c r="H1896" s="400" t="str">
        <f>IF(LEN('Ch9'!W29)=0,"",'Ch9'!W29)</f>
        <v>Met</v>
      </c>
      <c r="J1896" s="580" t="s">
        <v>3891</v>
      </c>
    </row>
    <row r="1897" spans="1:10" x14ac:dyDescent="0.35">
      <c r="A1897" s="366" t="str">
        <f>A1896</f>
        <v>P</v>
      </c>
      <c r="B1897" t="str">
        <f>IF(LEN('Ch9'!H30)=0,"",'Ch9'!H30)</f>
        <v/>
      </c>
      <c r="C1897" t="str">
        <f t="shared" si="46"/>
        <v>P</v>
      </c>
      <c r="D1897" s="31"/>
      <c r="E1897" s="31"/>
      <c r="F1897" s="31"/>
      <c r="G1897" s="838"/>
      <c r="H1897"/>
      <c r="J1897" s="580"/>
    </row>
    <row r="1898" spans="1:10" x14ac:dyDescent="0.35">
      <c r="A1898" s="366" t="str">
        <f>A1897</f>
        <v>P</v>
      </c>
      <c r="B1898" t="str">
        <f>IF(LEN('Ch9'!H31)=0,"",'Ch9'!H31)</f>
        <v/>
      </c>
      <c r="C1898" t="str">
        <f t="shared" si="46"/>
        <v>P</v>
      </c>
      <c r="D1898" s="31"/>
      <c r="E1898" s="31"/>
      <c r="F1898" s="31"/>
      <c r="G1898" s="838"/>
      <c r="H1898"/>
      <c r="J1898" s="580"/>
    </row>
    <row r="1899" spans="1:10" x14ac:dyDescent="0.35">
      <c r="A1899" s="366" t="str">
        <f>A1898</f>
        <v>P</v>
      </c>
      <c r="B1899" t="str">
        <f>IF(LEN('Ch9'!H32)=0,"",'Ch9'!H32)</f>
        <v/>
      </c>
      <c r="C1899" t="str">
        <f t="shared" si="46"/>
        <v>P</v>
      </c>
      <c r="D1899" s="31"/>
      <c r="E1899" s="31"/>
      <c r="F1899" s="31"/>
      <c r="G1899" s="838"/>
      <c r="H1899"/>
      <c r="J1899" s="580"/>
    </row>
    <row r="1900" spans="1:10" x14ac:dyDescent="0.35">
      <c r="A1900" s="366" t="str">
        <f>A1899</f>
        <v>P</v>
      </c>
      <c r="B1900" t="str">
        <f>IF(LEN('Ch9'!H33)=0,"",'Ch9'!H33)</f>
        <v/>
      </c>
      <c r="C1900" t="str">
        <f t="shared" si="46"/>
        <v>P</v>
      </c>
      <c r="D1900" s="403"/>
      <c r="E1900" s="403"/>
      <c r="F1900" s="403"/>
      <c r="G1900" s="889"/>
      <c r="H1900"/>
      <c r="J1900" s="580"/>
    </row>
    <row r="1901" spans="1:10" x14ac:dyDescent="0.35">
      <c r="A1901" s="366" t="str">
        <f>IF(I1901&gt;0,"P","")</f>
        <v/>
      </c>
      <c r="B1901" t="str">
        <f>IF(LEN('Ch9'!H34)=0,"",'Ch9'!H34)</f>
        <v/>
      </c>
      <c r="C1901" t="str">
        <f t="shared" si="46"/>
        <v/>
      </c>
      <c r="D1901" s="31" t="s">
        <v>3158</v>
      </c>
      <c r="E1901" s="31"/>
      <c r="F1901" s="31"/>
      <c r="G1901" s="838" t="s">
        <v>3159</v>
      </c>
      <c r="H1901" s="400" t="str">
        <f>IF(LEN('Ch9'!W34)=0,"",'Ch9'!W34)</f>
        <v/>
      </c>
      <c r="I1901" s="46">
        <f>'Ch9'!O34</f>
        <v>0</v>
      </c>
      <c r="J1901" s="580" t="s">
        <v>3917</v>
      </c>
    </row>
    <row r="1902" spans="1:10" x14ac:dyDescent="0.35">
      <c r="A1902" s="366" t="str">
        <f>A1901</f>
        <v/>
      </c>
      <c r="B1902" t="str">
        <f>IF(LEN('Ch9'!H35)=0,"",'Ch9'!H35)</f>
        <v/>
      </c>
      <c r="C1902" t="str">
        <f t="shared" si="46"/>
        <v/>
      </c>
      <c r="D1902" s="31"/>
      <c r="E1902" s="31"/>
      <c r="F1902" s="31"/>
      <c r="G1902" s="838"/>
      <c r="H1902"/>
      <c r="J1902" s="580"/>
    </row>
    <row r="1903" spans="1:10" x14ac:dyDescent="0.35">
      <c r="A1903" s="366" t="str">
        <f>A1902</f>
        <v/>
      </c>
      <c r="B1903" t="str">
        <f>IF(LEN('Ch9'!H36)=0,"",'Ch9'!H36)</f>
        <v/>
      </c>
      <c r="C1903" t="str">
        <f t="shared" si="46"/>
        <v/>
      </c>
      <c r="D1903" s="403"/>
      <c r="E1903" s="403"/>
      <c r="F1903" s="403"/>
      <c r="G1903" s="889"/>
      <c r="H1903"/>
      <c r="J1903" s="580"/>
    </row>
    <row r="1904" spans="1:10" x14ac:dyDescent="0.35">
      <c r="A1904" s="366" t="str">
        <f ca="1">IF(I1904&gt;0,"P","")</f>
        <v/>
      </c>
      <c r="B1904" t="str">
        <f>IF(LEN('Ch9'!H37)=0,"",'Ch9'!H37)</f>
        <v/>
      </c>
      <c r="C1904" t="str">
        <f t="shared" ca="1" si="46"/>
        <v/>
      </c>
      <c r="D1904" s="31" t="s">
        <v>3160</v>
      </c>
      <c r="E1904" s="31"/>
      <c r="F1904" s="31"/>
      <c r="G1904" s="95" t="s">
        <v>3161</v>
      </c>
      <c r="H1904" s="400" t="str">
        <f>IF(LEN('Ch9'!W37)=0,"",'Ch9'!W37)</f>
        <v/>
      </c>
      <c r="I1904" s="46">
        <f ca="1">'Ch9'!O37</f>
        <v>0</v>
      </c>
      <c r="J1904" s="580" t="s">
        <v>3891</v>
      </c>
    </row>
    <row r="1905" spans="1:10" x14ac:dyDescent="0.35">
      <c r="B1905" t="str">
        <f>IF(LEN('Ch9'!H38)=0,"",'Ch9'!H38)</f>
        <v/>
      </c>
      <c r="C1905" t="str">
        <f t="shared" si="46"/>
        <v/>
      </c>
      <c r="D1905" s="31"/>
      <c r="E1905" s="416" t="s">
        <v>256</v>
      </c>
      <c r="F1905" s="403"/>
      <c r="G1905" s="228" t="s">
        <v>3162</v>
      </c>
      <c r="H1905"/>
      <c r="J1905" s="580"/>
    </row>
    <row r="1906" spans="1:10" ht="15" thickBot="1" x14ac:dyDescent="0.4">
      <c r="B1906" t="str">
        <f>IF(LEN('Ch9'!H39)=0,"",'Ch9'!H39)</f>
        <v/>
      </c>
      <c r="C1906" t="str">
        <f t="shared" si="46"/>
        <v/>
      </c>
      <c r="D1906" s="404"/>
      <c r="E1906" s="407" t="s">
        <v>258</v>
      </c>
      <c r="F1906" s="404"/>
      <c r="G1906" s="229" t="s">
        <v>3163</v>
      </c>
      <c r="H1906"/>
      <c r="J1906" s="580"/>
    </row>
    <row r="1907" spans="1:10" ht="15" thickTop="1" x14ac:dyDescent="0.35">
      <c r="A1907" s="366" t="str">
        <f>IF(I1907&gt;0,"P","")</f>
        <v/>
      </c>
      <c r="B1907" t="str">
        <f>IF(LEN('Ch9'!H40)=0,"",'Ch9'!H40)</f>
        <v/>
      </c>
      <c r="C1907" t="str">
        <f t="shared" si="46"/>
        <v/>
      </c>
      <c r="D1907" s="60">
        <v>901.2</v>
      </c>
      <c r="E1907" s="60"/>
      <c r="F1907" s="60"/>
      <c r="G1907" s="274" t="s">
        <v>3164</v>
      </c>
      <c r="H1907"/>
      <c r="I1907" s="433">
        <f>SUM(I1908:I1922)</f>
        <v>0</v>
      </c>
      <c r="J1907" s="580"/>
    </row>
    <row r="1908" spans="1:10" x14ac:dyDescent="0.35">
      <c r="A1908" s="366" t="str">
        <f>IF(I1908&gt;0,"P","")</f>
        <v/>
      </c>
      <c r="B1908" t="str">
        <f>IF(LEN('Ch9'!H41)=0,"",'Ch9'!H41)</f>
        <v/>
      </c>
      <c r="C1908" t="str">
        <f t="shared" si="46"/>
        <v/>
      </c>
      <c r="D1908" s="31" t="s">
        <v>3165</v>
      </c>
      <c r="E1908" s="31"/>
      <c r="F1908" s="31"/>
      <c r="G1908" s="838" t="s">
        <v>3166</v>
      </c>
      <c r="H1908"/>
      <c r="I1908" s="433">
        <f>SUM(I1910:I1920)</f>
        <v>0</v>
      </c>
      <c r="J1908" s="580"/>
    </row>
    <row r="1909" spans="1:10" x14ac:dyDescent="0.35">
      <c r="A1909" s="366" t="str">
        <f>A1908</f>
        <v/>
      </c>
      <c r="B1909" t="str">
        <f>IF(LEN('Ch9'!H42)=0,"",'Ch9'!H42)</f>
        <v/>
      </c>
      <c r="C1909" t="str">
        <f t="shared" si="46"/>
        <v/>
      </c>
      <c r="D1909" s="31"/>
      <c r="E1909" s="31"/>
      <c r="F1909" s="31"/>
      <c r="G1909" s="838"/>
      <c r="H1909"/>
      <c r="J1909" s="580"/>
    </row>
    <row r="1910" spans="1:10" x14ac:dyDescent="0.35">
      <c r="A1910" s="366" t="str">
        <f>IF(I1910&gt;0,"P","")</f>
        <v/>
      </c>
      <c r="B1910" t="str">
        <f>IF(LEN('Ch9'!H43)=0,"",'Ch9'!H43)</f>
        <v/>
      </c>
      <c r="C1910" t="str">
        <f t="shared" si="46"/>
        <v/>
      </c>
      <c r="D1910" s="31"/>
      <c r="E1910" s="402" t="s">
        <v>256</v>
      </c>
      <c r="F1910" s="31"/>
      <c r="G1910" s="814" t="s">
        <v>3167</v>
      </c>
      <c r="H1910" s="400" t="str">
        <f>IF(LEN('Ch9'!W43)=0,"",'Ch9'!W43)</f>
        <v>N/A</v>
      </c>
      <c r="I1910" s="46">
        <f>'Ch9'!O43</f>
        <v>0</v>
      </c>
      <c r="J1910" s="580" t="s">
        <v>3891</v>
      </c>
    </row>
    <row r="1911" spans="1:10" x14ac:dyDescent="0.35">
      <c r="A1911" s="366" t="str">
        <f>A1910</f>
        <v/>
      </c>
      <c r="B1911" t="str">
        <f>IF(LEN('Ch9'!H44)=0,"",'Ch9'!H44)</f>
        <v/>
      </c>
      <c r="C1911" t="str">
        <f t="shared" si="46"/>
        <v/>
      </c>
      <c r="D1911" s="31"/>
      <c r="E1911" s="31"/>
      <c r="F1911" s="31"/>
      <c r="G1911" s="814"/>
      <c r="H1911"/>
      <c r="J1911" s="580"/>
    </row>
    <row r="1912" spans="1:10" x14ac:dyDescent="0.35">
      <c r="A1912" s="366" t="str">
        <f>A1911</f>
        <v/>
      </c>
      <c r="B1912" t="str">
        <f>IF(LEN('Ch9'!H45)=0,"",'Ch9'!H45)</f>
        <v/>
      </c>
      <c r="C1912" t="str">
        <f t="shared" si="46"/>
        <v/>
      </c>
      <c r="D1912" s="31"/>
      <c r="E1912" s="403"/>
      <c r="F1912" s="403"/>
      <c r="G1912" s="815"/>
      <c r="H1912"/>
      <c r="J1912" s="580"/>
    </row>
    <row r="1913" spans="1:10" x14ac:dyDescent="0.35">
      <c r="A1913" s="366" t="str">
        <f>IF(I1913&gt;0,"P","")</f>
        <v/>
      </c>
      <c r="B1913" t="str">
        <f>IF(LEN('Ch9'!H46)=0,"",'Ch9'!H46)</f>
        <v/>
      </c>
      <c r="C1913" t="str">
        <f t="shared" si="46"/>
        <v/>
      </c>
      <c r="D1913" s="31"/>
      <c r="E1913" s="402" t="s">
        <v>258</v>
      </c>
      <c r="F1913" s="31"/>
      <c r="G1913" s="814" t="s">
        <v>4486</v>
      </c>
      <c r="H1913" s="400" t="str">
        <f>IF(LEN('Ch9'!W46)=0,"",'Ch9'!W46)</f>
        <v>N/A</v>
      </c>
      <c r="I1913" s="46">
        <f>'Ch9'!O46</f>
        <v>0</v>
      </c>
      <c r="J1913" s="975" t="s">
        <v>3936</v>
      </c>
    </row>
    <row r="1914" spans="1:10" x14ac:dyDescent="0.35">
      <c r="A1914" s="366" t="str">
        <f>A1913</f>
        <v/>
      </c>
      <c r="B1914" t="str">
        <f>IF(LEN('Ch9'!H47)=0,"",'Ch9'!H47)</f>
        <v/>
      </c>
      <c r="C1914" t="str">
        <f t="shared" si="46"/>
        <v/>
      </c>
      <c r="D1914" s="31"/>
      <c r="E1914" s="416"/>
      <c r="F1914" s="403"/>
      <c r="G1914" s="815"/>
      <c r="H1914"/>
      <c r="J1914" s="976"/>
    </row>
    <row r="1915" spans="1:10" x14ac:dyDescent="0.35">
      <c r="A1915" s="366" t="str">
        <f>IF(I1915&gt;0,"P","")</f>
        <v/>
      </c>
      <c r="B1915" t="str">
        <f>IF(LEN('Ch9'!H48)=0,"",'Ch9'!H48)</f>
        <v/>
      </c>
      <c r="C1915" t="str">
        <f t="shared" si="46"/>
        <v/>
      </c>
      <c r="D1915" s="31"/>
      <c r="E1915" s="402" t="s">
        <v>260</v>
      </c>
      <c r="F1915" s="31"/>
      <c r="G1915" s="814" t="s">
        <v>3168</v>
      </c>
      <c r="H1915" s="400" t="str">
        <f>IF(LEN('Ch9'!W48)=0,"",'Ch9'!W48)</f>
        <v>N/A</v>
      </c>
      <c r="I1915" s="46">
        <f>'Ch9'!O48</f>
        <v>0</v>
      </c>
      <c r="J1915" s="580" t="s">
        <v>3937</v>
      </c>
    </row>
    <row r="1916" spans="1:10" x14ac:dyDescent="0.35">
      <c r="A1916" s="366" t="str">
        <f>A1915</f>
        <v/>
      </c>
      <c r="B1916" t="str">
        <f>IF(LEN('Ch9'!H49)=0,"",'Ch9'!H49)</f>
        <v/>
      </c>
      <c r="C1916" t="str">
        <f t="shared" si="46"/>
        <v/>
      </c>
      <c r="D1916" s="31"/>
      <c r="E1916" s="402"/>
      <c r="F1916" s="31"/>
      <c r="G1916" s="814"/>
      <c r="H1916"/>
      <c r="J1916" s="580"/>
    </row>
    <row r="1917" spans="1:10" x14ac:dyDescent="0.35">
      <c r="A1917" s="366" t="str">
        <f>A1916</f>
        <v/>
      </c>
      <c r="B1917" t="str">
        <f>IF(LEN('Ch9'!H50)=0,"",'Ch9'!H50)</f>
        <v/>
      </c>
      <c r="C1917" t="str">
        <f t="shared" si="46"/>
        <v/>
      </c>
      <c r="D1917" s="31"/>
      <c r="E1917" s="416"/>
      <c r="F1917" s="403"/>
      <c r="G1917" s="815"/>
      <c r="H1917"/>
      <c r="J1917" s="580"/>
    </row>
    <row r="1918" spans="1:10" x14ac:dyDescent="0.35">
      <c r="A1918" s="366" t="str">
        <f>IF(I1918&gt;0,"P","")</f>
        <v/>
      </c>
      <c r="B1918" t="str">
        <f>IF(LEN('Ch9'!H51)=0,"",'Ch9'!H51)</f>
        <v/>
      </c>
      <c r="C1918" t="str">
        <f t="shared" si="46"/>
        <v/>
      </c>
      <c r="D1918" s="31"/>
      <c r="E1918" s="402" t="s">
        <v>269</v>
      </c>
      <c r="F1918" s="31"/>
      <c r="G1918" s="848" t="s">
        <v>3169</v>
      </c>
      <c r="H1918" s="400" t="str">
        <f>IF(LEN('Ch9'!W51)=0,"",'Ch9'!W51)</f>
        <v>N/A</v>
      </c>
      <c r="I1918" s="46">
        <f>'Ch9'!O51</f>
        <v>0</v>
      </c>
      <c r="J1918" s="580" t="s">
        <v>3937</v>
      </c>
    </row>
    <row r="1919" spans="1:10" x14ac:dyDescent="0.35">
      <c r="A1919" s="366" t="str">
        <f>A1918</f>
        <v/>
      </c>
      <c r="B1919" t="str">
        <f>IF(LEN('Ch9'!H52)=0,"",'Ch9'!H52)</f>
        <v/>
      </c>
      <c r="C1919" t="str">
        <f t="shared" si="46"/>
        <v/>
      </c>
      <c r="D1919" s="31"/>
      <c r="E1919" s="416"/>
      <c r="F1919" s="403"/>
      <c r="G1919" s="821"/>
      <c r="H1919"/>
      <c r="J1919" s="580"/>
    </row>
    <row r="1920" spans="1:10" x14ac:dyDescent="0.35">
      <c r="A1920" s="366" t="str">
        <f>IF(I1920&gt;0,"P","")</f>
        <v/>
      </c>
      <c r="B1920" t="str">
        <f>IF(LEN('Ch9'!H53)=0,"",'Ch9'!H53)</f>
        <v/>
      </c>
      <c r="C1920" t="str">
        <f t="shared" si="46"/>
        <v/>
      </c>
      <c r="D1920" s="31"/>
      <c r="E1920" s="402" t="s">
        <v>275</v>
      </c>
      <c r="F1920" s="31"/>
      <c r="G1920" s="814" t="s">
        <v>3170</v>
      </c>
      <c r="H1920" s="400" t="str">
        <f>IF(LEN('Ch9'!W53)=0,"",'Ch9'!W53)</f>
        <v>N/A</v>
      </c>
      <c r="I1920" s="46">
        <f>'Ch9'!O53</f>
        <v>0</v>
      </c>
      <c r="J1920" s="580" t="s">
        <v>3937</v>
      </c>
    </row>
    <row r="1921" spans="1:10" x14ac:dyDescent="0.35">
      <c r="A1921" s="366" t="str">
        <f>A1920</f>
        <v/>
      </c>
      <c r="B1921" t="str">
        <f>IF(LEN('Ch9'!H54)=0,"",'Ch9'!H54)</f>
        <v/>
      </c>
      <c r="C1921" t="str">
        <f t="shared" si="46"/>
        <v/>
      </c>
      <c r="D1921" s="403"/>
      <c r="E1921" s="416"/>
      <c r="F1921" s="403"/>
      <c r="G1921" s="815"/>
      <c r="H1921"/>
      <c r="J1921" s="580"/>
    </row>
    <row r="1922" spans="1:10" ht="15" thickBot="1" x14ac:dyDescent="0.4">
      <c r="A1922" s="366" t="str">
        <f>IF(I1922&gt;0,"P","")</f>
        <v/>
      </c>
      <c r="B1922" t="str">
        <f>IF(LEN('Ch9'!H55)=0,"",'Ch9'!H55)</f>
        <v/>
      </c>
      <c r="C1922" t="str">
        <f t="shared" si="46"/>
        <v/>
      </c>
      <c r="D1922" s="404" t="s">
        <v>3171</v>
      </c>
      <c r="E1922" s="404"/>
      <c r="F1922" s="404"/>
      <c r="G1922" s="321" t="s">
        <v>3172</v>
      </c>
      <c r="H1922" s="400" t="str">
        <f>IF(LEN('Ch9'!W55)=0,"",'Ch9'!W55)</f>
        <v/>
      </c>
      <c r="I1922" s="46">
        <f>'Ch9'!O55</f>
        <v>0</v>
      </c>
      <c r="J1922" s="580" t="s">
        <v>3891</v>
      </c>
    </row>
    <row r="1923" spans="1:10" ht="15" thickTop="1" x14ac:dyDescent="0.35">
      <c r="A1923" s="366" t="str">
        <f ca="1">IF(I1923&gt;0,"P","")</f>
        <v>P</v>
      </c>
      <c r="B1923" t="str">
        <f>IF(LEN('Ch9'!H56)=0,"",'Ch9'!H56)</f>
        <v/>
      </c>
      <c r="C1923" t="str">
        <f t="shared" ca="1" si="46"/>
        <v>P</v>
      </c>
      <c r="D1923" s="31">
        <v>901.3</v>
      </c>
      <c r="E1923" s="31"/>
      <c r="F1923" s="31"/>
      <c r="G1923" s="95" t="s">
        <v>3173</v>
      </c>
      <c r="H1923"/>
      <c r="I1923" s="433">
        <f ca="1">SUM(I1924:I1935)</f>
        <v>8</v>
      </c>
      <c r="J1923" s="580"/>
    </row>
    <row r="1924" spans="1:10" x14ac:dyDescent="0.35">
      <c r="A1924" s="366" t="str">
        <f ca="1">IF(I1924&gt;0,"P","")</f>
        <v>P</v>
      </c>
      <c r="B1924" t="str">
        <f>IF(LEN('Ch9'!H57)=0,"",'Ch9'!H57)</f>
        <v/>
      </c>
      <c r="C1924" t="str">
        <f t="shared" ca="1" si="46"/>
        <v>P</v>
      </c>
      <c r="D1924" s="31"/>
      <c r="E1924" s="402" t="s">
        <v>256</v>
      </c>
      <c r="F1924" s="31"/>
      <c r="G1924" s="90" t="s">
        <v>3174</v>
      </c>
      <c r="H1924"/>
      <c r="I1924" s="433">
        <f ca="1">SUM(I1925:I1929)</f>
        <v>4</v>
      </c>
      <c r="J1924" s="580"/>
    </row>
    <row r="1925" spans="1:10" x14ac:dyDescent="0.35">
      <c r="A1925" s="366" t="str">
        <f>IF(I1925&gt;0,"P","")</f>
        <v>P</v>
      </c>
      <c r="B1925" t="str">
        <f>IF(LEN('Ch9'!H58)=0,"",'Ch9'!H58)</f>
        <v/>
      </c>
      <c r="C1925" t="str">
        <f t="shared" si="46"/>
        <v>P</v>
      </c>
      <c r="D1925" s="31"/>
      <c r="E1925" s="31"/>
      <c r="F1925" s="402" t="s">
        <v>121</v>
      </c>
      <c r="G1925" s="814" t="s">
        <v>3175</v>
      </c>
      <c r="H1925" s="400" t="str">
        <f>IF(LEN('Ch9'!W58)=0,"",'Ch9'!W58)</f>
        <v>Met</v>
      </c>
      <c r="I1925" s="46">
        <f>'Ch9'!O58</f>
        <v>2</v>
      </c>
      <c r="J1925" s="580" t="s">
        <v>3891</v>
      </c>
    </row>
    <row r="1926" spans="1:10" x14ac:dyDescent="0.35">
      <c r="A1926" s="366" t="str">
        <f>A1925</f>
        <v>P</v>
      </c>
      <c r="B1926" t="str">
        <f>IF(LEN('Ch9'!H59)=0,"",'Ch9'!H59)</f>
        <v/>
      </c>
      <c r="C1926" t="str">
        <f t="shared" si="46"/>
        <v>P</v>
      </c>
      <c r="D1926" s="31"/>
      <c r="E1926" s="31"/>
      <c r="F1926" s="416"/>
      <c r="G1926" s="815"/>
      <c r="H1926"/>
      <c r="J1926" s="580"/>
    </row>
    <row r="1927" spans="1:10" x14ac:dyDescent="0.35">
      <c r="A1927" s="366" t="str">
        <f>IF(I1927&gt;0,"P","")</f>
        <v>P</v>
      </c>
      <c r="B1927" t="str">
        <f>IF(LEN('Ch9'!H60)=0,"",'Ch9'!H60)</f>
        <v/>
      </c>
      <c r="C1927" t="str">
        <f t="shared" si="46"/>
        <v>P</v>
      </c>
      <c r="D1927" s="31"/>
      <c r="E1927" s="31"/>
      <c r="F1927" s="402" t="s">
        <v>122</v>
      </c>
      <c r="G1927" s="814" t="s">
        <v>3176</v>
      </c>
      <c r="H1927" s="400" t="str">
        <f>IF(LEN('Ch9'!W60)=0,"",'Ch9'!W60)</f>
        <v>Met</v>
      </c>
      <c r="I1927" s="46">
        <f>'Ch9'!O60</f>
        <v>2</v>
      </c>
      <c r="J1927" s="580" t="s">
        <v>3891</v>
      </c>
    </row>
    <row r="1928" spans="1:10" x14ac:dyDescent="0.35">
      <c r="A1928" s="366" t="str">
        <f>A1927</f>
        <v>P</v>
      </c>
      <c r="B1928" t="str">
        <f>IF(LEN('Ch9'!H61)=0,"",'Ch9'!H61)</f>
        <v/>
      </c>
      <c r="C1928" t="str">
        <f t="shared" si="46"/>
        <v>P</v>
      </c>
      <c r="D1928" s="31"/>
      <c r="E1928" s="31"/>
      <c r="F1928" s="403"/>
      <c r="G1928" s="815"/>
      <c r="H1928"/>
      <c r="J1928" s="580"/>
    </row>
    <row r="1929" spans="1:10" x14ac:dyDescent="0.35">
      <c r="A1929" s="366" t="str">
        <f ca="1">IF(I1929&gt;0,"P","")</f>
        <v/>
      </c>
      <c r="B1929" t="str">
        <f>IF(LEN('Ch9'!H62)=0,"",'Ch9'!H62)</f>
        <v/>
      </c>
      <c r="C1929" t="str">
        <f t="shared" ca="1" si="46"/>
        <v/>
      </c>
      <c r="D1929" s="31"/>
      <c r="E1929" s="31"/>
      <c r="F1929" s="402" t="s">
        <v>123</v>
      </c>
      <c r="G1929" s="814" t="s">
        <v>5587</v>
      </c>
      <c r="H1929" s="400" t="str">
        <f>IF(LEN('Ch9'!W62)=0,"",'Ch9'!W62)</f>
        <v/>
      </c>
      <c r="I1929" s="46">
        <f ca="1">'Ch9'!O62</f>
        <v>0</v>
      </c>
      <c r="J1929" s="580" t="s">
        <v>3938</v>
      </c>
    </row>
    <row r="1930" spans="1:10" x14ac:dyDescent="0.35">
      <c r="A1930" s="366" t="str">
        <f ca="1">A1929</f>
        <v/>
      </c>
      <c r="B1930" t="str">
        <f>IF(LEN('Ch9'!H63)=0,"",'Ch9'!H63)</f>
        <v/>
      </c>
      <c r="C1930" t="str">
        <f t="shared" ca="1" si="46"/>
        <v/>
      </c>
      <c r="D1930" s="31"/>
      <c r="E1930" s="31"/>
      <c r="F1930" s="31"/>
      <c r="G1930" s="814"/>
      <c r="H1930"/>
      <c r="J1930" s="580"/>
    </row>
    <row r="1931" spans="1:10" x14ac:dyDescent="0.35">
      <c r="A1931" s="366" t="str">
        <f ca="1">A1930</f>
        <v/>
      </c>
      <c r="B1931" t="str">
        <f>IF(LEN('Ch9'!H64)=0,"",'Ch9'!H64)</f>
        <v/>
      </c>
      <c r="C1931" t="str">
        <f t="shared" ca="1" si="46"/>
        <v/>
      </c>
      <c r="D1931" s="31"/>
      <c r="E1931" s="31"/>
      <c r="F1931" s="31"/>
      <c r="G1931" s="814"/>
      <c r="H1931"/>
      <c r="J1931" s="580"/>
    </row>
    <row r="1932" spans="1:10" x14ac:dyDescent="0.35">
      <c r="A1932" s="366" t="str">
        <f ca="1">A1931</f>
        <v/>
      </c>
      <c r="B1932" t="str">
        <f>IF(LEN('Ch9'!H65)=0,"",'Ch9'!H65)</f>
        <v/>
      </c>
      <c r="C1932" t="str">
        <f t="shared" ca="1" si="46"/>
        <v/>
      </c>
      <c r="D1932" s="31"/>
      <c r="E1932" s="31"/>
      <c r="F1932" s="31"/>
      <c r="G1932" s="814"/>
      <c r="H1932"/>
      <c r="J1932" s="580"/>
    </row>
    <row r="1933" spans="1:10" x14ac:dyDescent="0.35">
      <c r="A1933" s="366" t="str">
        <f ca="1">A1932</f>
        <v/>
      </c>
      <c r="B1933" t="str">
        <f>IF(LEN('Ch9'!H66)=0,"",'Ch9'!H66)</f>
        <v/>
      </c>
      <c r="C1933" t="str">
        <f t="shared" ca="1" si="46"/>
        <v/>
      </c>
      <c r="D1933" s="31"/>
      <c r="E1933" s="31"/>
      <c r="F1933" s="31"/>
      <c r="G1933" s="814"/>
      <c r="H1933"/>
      <c r="J1933" s="580"/>
    </row>
    <row r="1934" spans="1:10" x14ac:dyDescent="0.35">
      <c r="A1934" s="366" t="str">
        <f ca="1">A1933</f>
        <v/>
      </c>
      <c r="B1934" t="str">
        <f>IF(LEN('Ch9'!H67)=0,"",'Ch9'!H67)</f>
        <v/>
      </c>
      <c r="C1934" t="str">
        <f t="shared" ca="1" si="46"/>
        <v/>
      </c>
      <c r="D1934" s="31"/>
      <c r="E1934" s="403"/>
      <c r="F1934" s="403"/>
      <c r="G1934" s="815"/>
      <c r="H1934"/>
      <c r="J1934" s="580"/>
    </row>
    <row r="1935" spans="1:10" ht="15" customHeight="1" thickBot="1" x14ac:dyDescent="0.4">
      <c r="A1935" s="366" t="str">
        <f>IF(I1935&gt;0,"P","")</f>
        <v/>
      </c>
      <c r="B1935" t="str">
        <f>IF(LEN('Ch9'!H68)=0,"",'Ch9'!H68)</f>
        <v/>
      </c>
      <c r="C1935" t="str">
        <f t="shared" si="46"/>
        <v/>
      </c>
      <c r="D1935" s="404"/>
      <c r="E1935" s="407" t="s">
        <v>258</v>
      </c>
      <c r="F1935" s="404"/>
      <c r="G1935" s="229" t="s">
        <v>3177</v>
      </c>
      <c r="H1935" s="400" t="str">
        <f>IF(LEN('Ch9'!W68)=0,"",'Ch9'!W68)</f>
        <v/>
      </c>
      <c r="I1935" s="46">
        <f>'Ch9'!O68</f>
        <v>0</v>
      </c>
      <c r="J1935" s="580" t="s">
        <v>3891</v>
      </c>
    </row>
    <row r="1936" spans="1:10" ht="15" thickTop="1" x14ac:dyDescent="0.35">
      <c r="A1936" s="366" t="str">
        <f ca="1">IF(I1936&gt;0,"P","")</f>
        <v/>
      </c>
      <c r="B1936" t="str">
        <f>IF(LEN('Ch9'!H69)=0,"",'Ch9'!H69)</f>
        <v/>
      </c>
      <c r="C1936" t="str">
        <f t="shared" ca="1" si="46"/>
        <v/>
      </c>
      <c r="D1936" s="31">
        <v>901.4</v>
      </c>
      <c r="E1936" s="31"/>
      <c r="F1936" s="31"/>
      <c r="G1936" s="814" t="s">
        <v>3178</v>
      </c>
      <c r="H1936"/>
      <c r="I1936" s="46">
        <f ca="1">'Ch9'!O69</f>
        <v>0</v>
      </c>
      <c r="J1936" s="580"/>
    </row>
    <row r="1937" spans="1:10" x14ac:dyDescent="0.35">
      <c r="A1937" s="366" t="str">
        <f ca="1">A1936</f>
        <v/>
      </c>
      <c r="B1937" t="str">
        <f>IF(LEN('Ch9'!H70)=0,"",'Ch9'!H70)</f>
        <v/>
      </c>
      <c r="C1937" t="str">
        <f t="shared" ca="1" si="46"/>
        <v/>
      </c>
      <c r="D1937" s="31"/>
      <c r="E1937" s="31"/>
      <c r="F1937" s="31"/>
      <c r="G1937" s="814"/>
      <c r="H1937"/>
      <c r="J1937" s="580"/>
    </row>
    <row r="1938" spans="1:10" x14ac:dyDescent="0.35">
      <c r="A1938" s="366" t="str">
        <f ca="1">A1937</f>
        <v/>
      </c>
      <c r="B1938" t="str">
        <f>IF(LEN('Ch9'!H71)=0,"",'Ch9'!H71)</f>
        <v/>
      </c>
      <c r="C1938" t="str">
        <f t="shared" ref="C1938:C2001" ca="1" si="47">IF(LEN(B1938)=0,IF(A1938="P","P",""),B1938)</f>
        <v/>
      </c>
      <c r="D1938" s="31"/>
      <c r="E1938" s="31"/>
      <c r="F1938" s="31"/>
      <c r="G1938" s="814"/>
      <c r="H1938"/>
      <c r="J1938" s="580"/>
    </row>
    <row r="1939" spans="1:10" x14ac:dyDescent="0.35">
      <c r="A1939" s="366" t="str">
        <f>IF(AND(LEN(H1939)&gt;0,NOT(H1939=FALSE)),"P","")</f>
        <v>P</v>
      </c>
      <c r="B1939" t="str">
        <f>IF(LEN('Ch9'!H72)=0,"",'Ch9'!H72)</f>
        <v/>
      </c>
      <c r="C1939" t="str">
        <f t="shared" si="47"/>
        <v>P</v>
      </c>
      <c r="D1939" s="31"/>
      <c r="E1939" s="402" t="s">
        <v>256</v>
      </c>
      <c r="F1939" s="31"/>
      <c r="G1939" s="814" t="s">
        <v>3179</v>
      </c>
      <c r="H1939" s="400" t="str">
        <f>IF(LEN('Ch9'!W72)=0,"",'Ch9'!W72)</f>
        <v>Met</v>
      </c>
      <c r="J1939" s="580" t="s">
        <v>3891</v>
      </c>
    </row>
    <row r="1940" spans="1:10" x14ac:dyDescent="0.35">
      <c r="A1940" s="366" t="str">
        <f>A1939</f>
        <v>P</v>
      </c>
      <c r="B1940" t="str">
        <f>IF(LEN('Ch9'!H73)=0,"",'Ch9'!H73)</f>
        <v/>
      </c>
      <c r="C1940" t="str">
        <f t="shared" si="47"/>
        <v>P</v>
      </c>
      <c r="D1940" s="31"/>
      <c r="E1940" s="31"/>
      <c r="F1940" s="31"/>
      <c r="G1940" s="814"/>
      <c r="H1940"/>
      <c r="J1940" s="580"/>
    </row>
    <row r="1941" spans="1:10" x14ac:dyDescent="0.35">
      <c r="A1941" s="366" t="str">
        <f>A1940</f>
        <v>P</v>
      </c>
      <c r="B1941" t="str">
        <f>IF(LEN('Ch9'!H74)=0,"",'Ch9'!H74)</f>
        <v/>
      </c>
      <c r="C1941" t="str">
        <f t="shared" si="47"/>
        <v>P</v>
      </c>
      <c r="D1941" s="31"/>
      <c r="E1941" s="31"/>
      <c r="F1941" s="31"/>
      <c r="G1941" s="814"/>
      <c r="H1941"/>
      <c r="J1941" s="580"/>
    </row>
    <row r="1942" spans="1:10" x14ac:dyDescent="0.35">
      <c r="A1942" s="366" t="str">
        <f>A1941</f>
        <v>P</v>
      </c>
      <c r="B1942" t="str">
        <f>IF(LEN('Ch9'!H75)=0,"",'Ch9'!H75)</f>
        <v/>
      </c>
      <c r="C1942" t="str">
        <f t="shared" si="47"/>
        <v>P</v>
      </c>
      <c r="D1942" s="31"/>
      <c r="E1942" s="31"/>
      <c r="F1942" s="31"/>
      <c r="G1942" s="814"/>
      <c r="H1942"/>
      <c r="J1942" s="580"/>
    </row>
    <row r="1943" spans="1:10" x14ac:dyDescent="0.35">
      <c r="B1943" t="str">
        <f>IF(LEN('Ch9'!H76)=0,"",'Ch9'!H76)</f>
        <v/>
      </c>
      <c r="C1943" t="str">
        <f t="shared" si="47"/>
        <v/>
      </c>
      <c r="D1943" s="31"/>
      <c r="E1943" s="403"/>
      <c r="F1943" s="403"/>
      <c r="G1943" s="603" t="s">
        <v>3966</v>
      </c>
      <c r="H1943"/>
      <c r="J1943" s="580"/>
    </row>
    <row r="1944" spans="1:10" x14ac:dyDescent="0.35">
      <c r="A1944" s="727" t="str">
        <f>IF(COUNTIF(A1942,"P")&gt;0,"P","")</f>
        <v>P</v>
      </c>
      <c r="B1944" t="str">
        <f>IF(LEN('Ch9'!H77)=0,"",'Ch9'!H77)</f>
        <v/>
      </c>
      <c r="C1944" t="str">
        <f t="shared" si="47"/>
        <v>P</v>
      </c>
      <c r="D1944" s="31"/>
      <c r="E1944" s="31"/>
      <c r="F1944" s="31"/>
      <c r="G1944" s="90" t="s">
        <v>3645</v>
      </c>
      <c r="H1944" s="400" t="str">
        <f>IF(LEN('Ch9'!W77)=0,"",'Ch9'!W77)</f>
        <v/>
      </c>
      <c r="J1944" s="580"/>
    </row>
    <row r="1945" spans="1:10" x14ac:dyDescent="0.35">
      <c r="A1945" s="366" t="str">
        <f>A1944</f>
        <v>P</v>
      </c>
      <c r="B1945" t="str">
        <f>IF(LEN('Ch9'!H78)=0,"",'Ch9'!H78)</f>
        <v/>
      </c>
      <c r="C1945" t="str">
        <f t="shared" si="47"/>
        <v>P</v>
      </c>
      <c r="D1945" s="31"/>
      <c r="E1945" s="31"/>
      <c r="F1945" s="31"/>
      <c r="G1945" s="90" t="s">
        <v>3646</v>
      </c>
      <c r="H1945" s="400" t="str">
        <f>IF(LEN('Ch9'!W78)=0,"",'Ch9'!W78)</f>
        <v/>
      </c>
      <c r="J1945" s="580"/>
    </row>
    <row r="1946" spans="1:10" x14ac:dyDescent="0.35">
      <c r="A1946" s="366" t="str">
        <f t="shared" ref="A1946:A1954" si="48">A1945</f>
        <v>P</v>
      </c>
      <c r="B1946" t="str">
        <f>IF(LEN('Ch9'!H79)=0,"",'Ch9'!H79)</f>
        <v/>
      </c>
      <c r="C1946" t="str">
        <f t="shared" si="47"/>
        <v>P</v>
      </c>
      <c r="D1946" s="31"/>
      <c r="E1946" s="31"/>
      <c r="F1946" s="31"/>
      <c r="G1946" s="90" t="s">
        <v>3647</v>
      </c>
      <c r="H1946" s="400" t="str">
        <f>IF(LEN('Ch9'!W79)=0,"",'Ch9'!W79)</f>
        <v/>
      </c>
      <c r="J1946" s="580"/>
    </row>
    <row r="1947" spans="1:10" x14ac:dyDescent="0.35">
      <c r="A1947" s="366" t="str">
        <f t="shared" si="48"/>
        <v>P</v>
      </c>
      <c r="B1947" t="str">
        <f>IF(LEN('Ch9'!H80)=0,"",'Ch9'!H80)</f>
        <v/>
      </c>
      <c r="C1947" t="str">
        <f t="shared" si="47"/>
        <v>P</v>
      </c>
      <c r="D1947" s="31"/>
      <c r="E1947" s="31"/>
      <c r="F1947" s="31"/>
      <c r="G1947" s="90" t="s">
        <v>3648</v>
      </c>
      <c r="H1947" s="400" t="str">
        <f>IF(LEN('Ch9'!W80)=0,"",'Ch9'!W80)</f>
        <v/>
      </c>
      <c r="J1947" s="580"/>
    </row>
    <row r="1948" spans="1:10" x14ac:dyDescent="0.35">
      <c r="A1948" s="366" t="str">
        <f t="shared" si="48"/>
        <v>P</v>
      </c>
      <c r="B1948" t="str">
        <f>IF(LEN('Ch9'!H81)=0,"",'Ch9'!H81)</f>
        <v/>
      </c>
      <c r="C1948" t="str">
        <f t="shared" si="47"/>
        <v>P</v>
      </c>
      <c r="D1948" s="31"/>
      <c r="E1948" s="402" t="s">
        <v>258</v>
      </c>
      <c r="F1948" s="31"/>
      <c r="G1948" s="814" t="s">
        <v>3180</v>
      </c>
      <c r="H1948"/>
      <c r="J1948" s="580" t="s">
        <v>5022</v>
      </c>
    </row>
    <row r="1949" spans="1:10" x14ac:dyDescent="0.35">
      <c r="A1949" s="366" t="str">
        <f t="shared" si="48"/>
        <v>P</v>
      </c>
      <c r="B1949" t="str">
        <f>IF(LEN('Ch9'!H82)=0,"",'Ch9'!H82)</f>
        <v/>
      </c>
      <c r="C1949" t="str">
        <f t="shared" si="47"/>
        <v>P</v>
      </c>
      <c r="D1949" s="31"/>
      <c r="E1949" s="403"/>
      <c r="F1949" s="403"/>
      <c r="G1949" s="815"/>
      <c r="H1949"/>
      <c r="J1949" s="580"/>
    </row>
    <row r="1950" spans="1:10" x14ac:dyDescent="0.35">
      <c r="A1950" s="366" t="str">
        <f t="shared" si="48"/>
        <v>P</v>
      </c>
      <c r="B1950" t="str">
        <f>IF(LEN('Ch9'!H83)=0,"",'Ch9'!H83)</f>
        <v/>
      </c>
      <c r="C1950" t="str">
        <f t="shared" si="47"/>
        <v>P</v>
      </c>
      <c r="D1950" s="31"/>
      <c r="E1950" s="416" t="s">
        <v>260</v>
      </c>
      <c r="F1950" s="403"/>
      <c r="G1950" s="228" t="s">
        <v>3181</v>
      </c>
      <c r="H1950"/>
      <c r="J1950" s="580" t="s">
        <v>5022</v>
      </c>
    </row>
    <row r="1951" spans="1:10" x14ac:dyDescent="0.35">
      <c r="A1951" s="366" t="str">
        <f t="shared" si="48"/>
        <v>P</v>
      </c>
      <c r="B1951" t="str">
        <f>IF(LEN('Ch9'!H84)=0,"",'Ch9'!H84)</f>
        <v/>
      </c>
      <c r="C1951" t="str">
        <f t="shared" si="47"/>
        <v>P</v>
      </c>
      <c r="D1951" s="31"/>
      <c r="E1951" s="416" t="s">
        <v>269</v>
      </c>
      <c r="F1951" s="403"/>
      <c r="G1951" s="228" t="s">
        <v>3182</v>
      </c>
      <c r="H1951"/>
      <c r="J1951" s="580" t="s">
        <v>5022</v>
      </c>
    </row>
    <row r="1952" spans="1:10" x14ac:dyDescent="0.35">
      <c r="A1952" s="366" t="str">
        <f t="shared" si="48"/>
        <v>P</v>
      </c>
      <c r="B1952" t="str">
        <f>IF(LEN('Ch9'!H85)=0,"",'Ch9'!H85)</f>
        <v/>
      </c>
      <c r="C1952" t="str">
        <f t="shared" si="47"/>
        <v>P</v>
      </c>
      <c r="D1952" s="31"/>
      <c r="E1952" s="402" t="s">
        <v>275</v>
      </c>
      <c r="F1952" s="31"/>
      <c r="G1952" s="814" t="s">
        <v>3183</v>
      </c>
      <c r="H1952"/>
      <c r="J1952" s="580" t="s">
        <v>5022</v>
      </c>
    </row>
    <row r="1953" spans="1:10" x14ac:dyDescent="0.35">
      <c r="A1953" s="366" t="str">
        <f t="shared" si="48"/>
        <v>P</v>
      </c>
      <c r="B1953" t="str">
        <f>IF(LEN('Ch9'!H86)=0,"",'Ch9'!H86)</f>
        <v/>
      </c>
      <c r="C1953" t="str">
        <f t="shared" si="47"/>
        <v>P</v>
      </c>
      <c r="D1953" s="31"/>
      <c r="E1953" s="416"/>
      <c r="F1953" s="403"/>
      <c r="G1953" s="815"/>
      <c r="H1953"/>
      <c r="J1953" s="580"/>
    </row>
    <row r="1954" spans="1:10" ht="15" thickBot="1" x14ac:dyDescent="0.4">
      <c r="A1954" s="366" t="str">
        <f t="shared" si="48"/>
        <v>P</v>
      </c>
      <c r="B1954" t="str">
        <f>IF(LEN('Ch9'!H87)=0,"",'Ch9'!H87)</f>
        <v/>
      </c>
      <c r="C1954" t="str">
        <f t="shared" si="47"/>
        <v>P</v>
      </c>
      <c r="D1954" s="404"/>
      <c r="E1954" s="407" t="s">
        <v>277</v>
      </c>
      <c r="F1954" s="404"/>
      <c r="G1954" s="229" t="s">
        <v>3184</v>
      </c>
      <c r="H1954"/>
      <c r="J1954" s="580" t="s">
        <v>5022</v>
      </c>
    </row>
    <row r="1955" spans="1:10" ht="15" thickTop="1" x14ac:dyDescent="0.35">
      <c r="A1955" s="366" t="str">
        <f>IF(I1955&gt;0,"P","")</f>
        <v>P</v>
      </c>
      <c r="B1955" t="str">
        <f>IF(LEN('Ch9'!H88)=0,"",'Ch9'!H88)</f>
        <v/>
      </c>
      <c r="C1955" t="str">
        <f t="shared" si="47"/>
        <v>P</v>
      </c>
      <c r="D1955" s="31">
        <v>901.5</v>
      </c>
      <c r="E1955" s="31"/>
      <c r="F1955" s="31"/>
      <c r="G1955" s="838" t="s">
        <v>3185</v>
      </c>
      <c r="H1955"/>
      <c r="I1955" s="433">
        <f>SUM(I1958:I1960)</f>
        <v>3</v>
      </c>
      <c r="J1955" s="580"/>
    </row>
    <row r="1956" spans="1:10" x14ac:dyDescent="0.35">
      <c r="A1956" s="366" t="str">
        <f>A1955</f>
        <v>P</v>
      </c>
      <c r="B1956" t="str">
        <f>IF(LEN('Ch9'!H89)=0,"",'Ch9'!H89)</f>
        <v/>
      </c>
      <c r="C1956" t="str">
        <f t="shared" si="47"/>
        <v>P</v>
      </c>
      <c r="D1956" s="31"/>
      <c r="E1956" s="31"/>
      <c r="F1956" s="31"/>
      <c r="G1956" s="838"/>
      <c r="H1956"/>
      <c r="J1956" s="580"/>
    </row>
    <row r="1957" spans="1:10" x14ac:dyDescent="0.35">
      <c r="B1957" t="str">
        <f>IF(LEN('Ch9'!H90)=0,"",'Ch9'!H90)</f>
        <v/>
      </c>
      <c r="C1957" t="str">
        <f t="shared" si="47"/>
        <v/>
      </c>
      <c r="D1957" s="31"/>
      <c r="E1957" s="31"/>
      <c r="F1957" s="31"/>
      <c r="G1957" s="92" t="s">
        <v>3186</v>
      </c>
      <c r="H1957"/>
      <c r="J1957" s="580"/>
    </row>
    <row r="1958" spans="1:10" x14ac:dyDescent="0.35">
      <c r="A1958" s="366" t="str">
        <f>IF(I1958&gt;0,"P","")</f>
        <v/>
      </c>
      <c r="B1958" t="str">
        <f>IF(LEN('Ch9'!H91)=0,"",'Ch9'!H91)</f>
        <v/>
      </c>
      <c r="C1958" t="str">
        <f t="shared" si="47"/>
        <v/>
      </c>
      <c r="D1958" s="31"/>
      <c r="E1958" s="402" t="s">
        <v>256</v>
      </c>
      <c r="F1958" s="31"/>
      <c r="G1958" s="814" t="s">
        <v>3187</v>
      </c>
      <c r="H1958" s="400" t="str">
        <f>IF(LEN('Ch9'!W91)=0,"",'Ch9'!W91)</f>
        <v/>
      </c>
      <c r="I1958" s="46">
        <f>'Ch9'!O91</f>
        <v>0</v>
      </c>
      <c r="J1958" s="580" t="s">
        <v>3891</v>
      </c>
    </row>
    <row r="1959" spans="1:10" x14ac:dyDescent="0.35">
      <c r="A1959" s="366" t="str">
        <f>A1958</f>
        <v/>
      </c>
      <c r="B1959" t="str">
        <f>IF(LEN('Ch9'!H92)=0,"",'Ch9'!H92)</f>
        <v/>
      </c>
      <c r="C1959" t="str">
        <f t="shared" si="47"/>
        <v/>
      </c>
      <c r="D1959" s="31"/>
      <c r="E1959" s="403"/>
      <c r="F1959" s="403"/>
      <c r="G1959" s="815"/>
      <c r="H1959"/>
      <c r="J1959" s="580"/>
    </row>
    <row r="1960" spans="1:10" x14ac:dyDescent="0.35">
      <c r="A1960" s="366" t="str">
        <f>IF(I1960&gt;0,"P","")</f>
        <v>P</v>
      </c>
      <c r="B1960" t="str">
        <f>IF(LEN('Ch9'!H93)=0,"",'Ch9'!H93)</f>
        <v/>
      </c>
      <c r="C1960" t="str">
        <f t="shared" si="47"/>
        <v>P</v>
      </c>
      <c r="D1960" s="31"/>
      <c r="E1960" s="402" t="s">
        <v>258</v>
      </c>
      <c r="F1960" s="31"/>
      <c r="G1960" s="814" t="s">
        <v>5588</v>
      </c>
      <c r="H1960" s="400" t="b">
        <f>IF(LEN('Ch9'!W93)=0,"",'Ch9'!W93)</f>
        <v>1</v>
      </c>
      <c r="I1960" s="46">
        <f>'Ch9'!O93</f>
        <v>3</v>
      </c>
      <c r="J1960" s="580" t="s">
        <v>5023</v>
      </c>
    </row>
    <row r="1961" spans="1:10" x14ac:dyDescent="0.35">
      <c r="A1961" s="366" t="str">
        <f>A1960</f>
        <v>P</v>
      </c>
      <c r="B1961" t="str">
        <f>IF(LEN('Ch9'!H94)=0,"",'Ch9'!H94)</f>
        <v/>
      </c>
      <c r="C1961" t="str">
        <f t="shared" si="47"/>
        <v>P</v>
      </c>
      <c r="D1961" s="31"/>
      <c r="E1961" s="31"/>
      <c r="F1961" s="31"/>
      <c r="G1961" s="814"/>
      <c r="H1961"/>
      <c r="J1961" s="580"/>
    </row>
    <row r="1962" spans="1:10" ht="15" thickBot="1" x14ac:dyDescent="0.4">
      <c r="A1962" s="366" t="str">
        <f>A1961</f>
        <v>P</v>
      </c>
      <c r="B1962" t="str">
        <f>IF(LEN('Ch9'!H95)=0,"",'Ch9'!H95)</f>
        <v/>
      </c>
      <c r="C1962" t="str">
        <f t="shared" si="47"/>
        <v>P</v>
      </c>
      <c r="D1962" s="404"/>
      <c r="E1962" s="404"/>
      <c r="F1962" s="404"/>
      <c r="G1962" s="839"/>
      <c r="H1962"/>
      <c r="J1962" s="580"/>
    </row>
    <row r="1963" spans="1:10" ht="15" thickTop="1" x14ac:dyDescent="0.35">
      <c r="A1963" s="366" t="str">
        <f>IF(AND(LEN(H1963)&gt;0,NOT(H1963=FALSE)),"P","")</f>
        <v>P</v>
      </c>
      <c r="B1963" t="str">
        <f>IF(LEN('Ch9'!H96)=0,"",'Ch9'!H96)</f>
        <v/>
      </c>
      <c r="C1963" t="str">
        <f t="shared" si="47"/>
        <v>P</v>
      </c>
      <c r="D1963" s="60">
        <v>901.6</v>
      </c>
      <c r="E1963" s="60"/>
      <c r="F1963" s="60"/>
      <c r="G1963" s="837" t="s">
        <v>3189</v>
      </c>
      <c r="H1963" s="400" t="b">
        <f>IF(LEN('Ch9'!W96)=0,"",'Ch9'!W96)</f>
        <v>1</v>
      </c>
      <c r="J1963" s="580" t="s">
        <v>3891</v>
      </c>
    </row>
    <row r="1964" spans="1:10" ht="15" thickBot="1" x14ac:dyDescent="0.4">
      <c r="A1964" s="366" t="str">
        <f>A1963</f>
        <v>P</v>
      </c>
      <c r="B1964" t="str">
        <f>IF(LEN('Ch9'!H97)=0,"",'Ch9'!H97)</f>
        <v/>
      </c>
      <c r="C1964" t="str">
        <f t="shared" si="47"/>
        <v>P</v>
      </c>
      <c r="D1964" s="404"/>
      <c r="E1964" s="404"/>
      <c r="F1964" s="404"/>
      <c r="G1964" s="849"/>
      <c r="H1964"/>
      <c r="J1964" s="580"/>
    </row>
    <row r="1965" spans="1:10" ht="15" thickTop="1" x14ac:dyDescent="0.35">
      <c r="A1965" s="366" t="str">
        <f>IF(I1965&gt;0,"P","")</f>
        <v/>
      </c>
      <c r="B1965" t="str">
        <f>IF(LEN('Ch9'!H98)=0,"",'Ch9'!H98)</f>
        <v/>
      </c>
      <c r="C1965" t="str">
        <f t="shared" si="47"/>
        <v/>
      </c>
      <c r="D1965" s="31">
        <v>901.7</v>
      </c>
      <c r="E1965" s="31"/>
      <c r="F1965" s="31"/>
      <c r="G1965" s="838" t="s">
        <v>5589</v>
      </c>
      <c r="H1965"/>
      <c r="I1965" s="46">
        <f>'Ch9'!O98</f>
        <v>0</v>
      </c>
      <c r="J1965" s="580"/>
    </row>
    <row r="1966" spans="1:10" x14ac:dyDescent="0.35">
      <c r="A1966" s="366" t="str">
        <f>A1965</f>
        <v/>
      </c>
      <c r="B1966" t="str">
        <f>IF(LEN('Ch9'!H99)=0,"",'Ch9'!H99)</f>
        <v/>
      </c>
      <c r="C1966" t="str">
        <f t="shared" si="47"/>
        <v/>
      </c>
      <c r="D1966" s="31"/>
      <c r="E1966" s="31"/>
      <c r="F1966" s="31"/>
      <c r="G1966" s="838"/>
      <c r="H1966"/>
      <c r="J1966" s="580"/>
    </row>
    <row r="1967" spans="1:10" x14ac:dyDescent="0.35">
      <c r="A1967" s="366" t="str">
        <f>A1966</f>
        <v/>
      </c>
      <c r="B1967" t="str">
        <f>IF(LEN('Ch9'!H100)=0,"",'Ch9'!H100)</f>
        <v/>
      </c>
      <c r="C1967" t="str">
        <f t="shared" si="47"/>
        <v/>
      </c>
      <c r="D1967" s="31"/>
      <c r="E1967" s="31"/>
      <c r="F1967" s="31"/>
      <c r="G1967" s="838"/>
      <c r="H1967"/>
      <c r="J1967" s="580"/>
    </row>
    <row r="1968" spans="1:10" x14ac:dyDescent="0.35">
      <c r="A1968" s="366" t="str">
        <f>A1967</f>
        <v/>
      </c>
      <c r="B1968" t="str">
        <f>IF(LEN('Ch9'!H101)=0,"",'Ch9'!H101)</f>
        <v/>
      </c>
      <c r="C1968" t="str">
        <f t="shared" si="47"/>
        <v/>
      </c>
      <c r="D1968" s="31"/>
      <c r="E1968" s="31"/>
      <c r="F1968" s="31"/>
      <c r="G1968" s="838"/>
      <c r="H1968"/>
      <c r="J1968" s="580"/>
    </row>
    <row r="1969" spans="1:10" x14ac:dyDescent="0.35">
      <c r="A1969" s="366" t="str">
        <f>A1968</f>
        <v/>
      </c>
      <c r="B1969" t="str">
        <f>IF(LEN('Ch9'!H102)=0,"",'Ch9'!H102)</f>
        <v/>
      </c>
      <c r="C1969" t="str">
        <f t="shared" si="47"/>
        <v/>
      </c>
      <c r="D1969" s="31"/>
      <c r="E1969" s="31"/>
      <c r="F1969" s="31"/>
      <c r="G1969" s="838"/>
      <c r="H1969"/>
      <c r="J1969" s="580"/>
    </row>
    <row r="1970" spans="1:10" x14ac:dyDescent="0.35">
      <c r="B1970" t="str">
        <f>IF(LEN('Ch9'!H103)=0,"",'Ch9'!H103)</f>
        <v/>
      </c>
      <c r="C1970" t="str">
        <f t="shared" si="47"/>
        <v/>
      </c>
      <c r="D1970" s="31"/>
      <c r="E1970" s="31"/>
      <c r="F1970" s="31"/>
      <c r="G1970" s="895" t="s">
        <v>3191</v>
      </c>
      <c r="H1970"/>
      <c r="J1970" s="580"/>
    </row>
    <row r="1971" spans="1:10" x14ac:dyDescent="0.35">
      <c r="B1971" t="str">
        <f>IF(LEN('Ch9'!H104)=0,"",'Ch9'!H104)</f>
        <v/>
      </c>
      <c r="C1971" t="str">
        <f t="shared" si="47"/>
        <v/>
      </c>
      <c r="D1971" s="31"/>
      <c r="E1971" s="31"/>
      <c r="F1971" s="31"/>
      <c r="G1971" s="895"/>
      <c r="H1971"/>
      <c r="J1971" s="580"/>
    </row>
    <row r="1972" spans="1:10" x14ac:dyDescent="0.35">
      <c r="A1972" s="366" t="str">
        <f>IF(AND(LEN(H1972)&gt;0,NOT(H1972=FALSE)),"P","")</f>
        <v/>
      </c>
      <c r="B1972" t="str">
        <f>IF(LEN('Ch9'!H105)=0,"",'Ch9'!H105)</f>
        <v/>
      </c>
      <c r="C1972" t="str">
        <f t="shared" si="47"/>
        <v/>
      </c>
      <c r="D1972" s="31"/>
      <c r="E1972" s="402" t="s">
        <v>256</v>
      </c>
      <c r="F1972" s="31"/>
      <c r="G1972" s="814" t="s">
        <v>3192</v>
      </c>
      <c r="H1972" s="400" t="str">
        <f>IF(LEN('Ch9'!W105)=0,"",'Ch9'!W105)</f>
        <v/>
      </c>
      <c r="J1972" s="580" t="s">
        <v>5024</v>
      </c>
    </row>
    <row r="1973" spans="1:10" x14ac:dyDescent="0.35">
      <c r="A1973" s="366" t="str">
        <f>A1972</f>
        <v/>
      </c>
      <c r="B1973" t="str">
        <f>IF(LEN('Ch9'!H106)=0,"",'Ch9'!H106)</f>
        <v/>
      </c>
      <c r="C1973" t="str">
        <f t="shared" si="47"/>
        <v/>
      </c>
      <c r="D1973" s="31"/>
      <c r="E1973" s="31"/>
      <c r="F1973" s="31"/>
      <c r="G1973" s="814"/>
      <c r="H1973"/>
      <c r="J1973" s="580"/>
    </row>
    <row r="1974" spans="1:10" x14ac:dyDescent="0.35">
      <c r="A1974" s="366" t="str">
        <f>A1973</f>
        <v/>
      </c>
      <c r="B1974" t="str">
        <f>IF(LEN('Ch9'!H107)=0,"",'Ch9'!H107)</f>
        <v/>
      </c>
      <c r="C1974" t="str">
        <f t="shared" si="47"/>
        <v/>
      </c>
      <c r="D1974" s="31"/>
      <c r="E1974" s="31"/>
      <c r="F1974" s="31"/>
      <c r="G1974" s="814"/>
      <c r="H1974"/>
      <c r="J1974" s="580"/>
    </row>
    <row r="1975" spans="1:10" x14ac:dyDescent="0.35">
      <c r="A1975" s="366" t="str">
        <f>A1974</f>
        <v/>
      </c>
      <c r="B1975" t="str">
        <f>IF(LEN('Ch9'!H108)=0,"",'Ch9'!H108)</f>
        <v/>
      </c>
      <c r="C1975" t="str">
        <f t="shared" si="47"/>
        <v/>
      </c>
      <c r="D1975" s="31"/>
      <c r="E1975" s="31"/>
      <c r="F1975" s="31"/>
      <c r="G1975" s="814"/>
      <c r="H1975"/>
      <c r="J1975" s="580"/>
    </row>
    <row r="1976" spans="1:10" x14ac:dyDescent="0.35">
      <c r="B1976" t="str">
        <f>IF(LEN('Ch9'!H109)=0,"",'Ch9'!H109)</f>
        <v/>
      </c>
      <c r="C1976" t="str">
        <f t="shared" si="47"/>
        <v/>
      </c>
      <c r="D1976" s="31"/>
      <c r="E1976" s="31"/>
      <c r="F1976" s="402" t="s">
        <v>121</v>
      </c>
      <c r="G1976" s="90" t="s">
        <v>3193</v>
      </c>
      <c r="H1976"/>
      <c r="J1976" s="580"/>
    </row>
    <row r="1977" spans="1:10" x14ac:dyDescent="0.35">
      <c r="B1977" t="str">
        <f>IF(LEN('Ch9'!H110)=0,"",'Ch9'!H110)</f>
        <v/>
      </c>
      <c r="C1977" t="str">
        <f t="shared" si="47"/>
        <v/>
      </c>
      <c r="D1977" s="31"/>
      <c r="E1977" s="31"/>
      <c r="F1977" s="402" t="s">
        <v>122</v>
      </c>
      <c r="G1977" s="90" t="s">
        <v>3194</v>
      </c>
      <c r="H1977"/>
      <c r="J1977" s="580"/>
    </row>
    <row r="1978" spans="1:10" x14ac:dyDescent="0.35">
      <c r="B1978" t="str">
        <f>IF(LEN('Ch9'!H111)=0,"",'Ch9'!H111)</f>
        <v/>
      </c>
      <c r="C1978" t="str">
        <f t="shared" si="47"/>
        <v/>
      </c>
      <c r="D1978" s="31"/>
      <c r="E1978" s="31"/>
      <c r="F1978" s="402" t="s">
        <v>123</v>
      </c>
      <c r="G1978" s="90" t="s">
        <v>3195</v>
      </c>
      <c r="H1978"/>
      <c r="J1978" s="580"/>
    </row>
    <row r="1979" spans="1:10" x14ac:dyDescent="0.35">
      <c r="B1979" t="str">
        <f>IF(LEN('Ch9'!H112)=0,"",'Ch9'!H112)</f>
        <v/>
      </c>
      <c r="C1979" t="str">
        <f t="shared" si="47"/>
        <v/>
      </c>
      <c r="D1979" s="31"/>
      <c r="E1979" s="31"/>
      <c r="F1979" s="402" t="s">
        <v>401</v>
      </c>
      <c r="G1979" s="90" t="s">
        <v>3196</v>
      </c>
      <c r="H1979"/>
      <c r="J1979" s="580"/>
    </row>
    <row r="1980" spans="1:10" x14ac:dyDescent="0.35">
      <c r="B1980" t="str">
        <f>IF(LEN('Ch9'!H113)=0,"",'Ch9'!H113)</f>
        <v/>
      </c>
      <c r="C1980" t="str">
        <f t="shared" si="47"/>
        <v/>
      </c>
      <c r="D1980" s="31"/>
      <c r="E1980" s="31"/>
      <c r="F1980" s="402" t="s">
        <v>539</v>
      </c>
      <c r="G1980" s="90" t="s">
        <v>3197</v>
      </c>
      <c r="H1980"/>
      <c r="J1980" s="580"/>
    </row>
    <row r="1981" spans="1:10" x14ac:dyDescent="0.35">
      <c r="B1981" t="str">
        <f>IF(LEN('Ch9'!H114)=0,"",'Ch9'!H114)</f>
        <v/>
      </c>
      <c r="C1981" t="str">
        <f t="shared" si="47"/>
        <v/>
      </c>
      <c r="D1981" s="31"/>
      <c r="E1981" s="403"/>
      <c r="F1981" s="416" t="s">
        <v>604</v>
      </c>
      <c r="G1981" s="228" t="s">
        <v>3198</v>
      </c>
      <c r="H1981"/>
      <c r="J1981" s="580"/>
    </row>
    <row r="1982" spans="1:10" ht="26" x14ac:dyDescent="0.35">
      <c r="A1982" s="366" t="str">
        <f>IF(AND(LEN(H1982)&gt;0,NOT(H1982=FALSE)),"P","")</f>
        <v/>
      </c>
      <c r="B1982" t="str">
        <f>IF(LEN('Ch9'!H115)=0,"",'Ch9'!H115)</f>
        <v/>
      </c>
      <c r="C1982" t="str">
        <f t="shared" si="47"/>
        <v/>
      </c>
      <c r="D1982" s="31"/>
      <c r="E1982" s="416" t="s">
        <v>258</v>
      </c>
      <c r="F1982" s="403"/>
      <c r="G1982" s="228" t="s">
        <v>3836</v>
      </c>
      <c r="H1982" s="400" t="str">
        <f>IF(LEN('Ch9'!W115)=0,"",'Ch9'!W115)</f>
        <v/>
      </c>
      <c r="J1982" s="580" t="s">
        <v>5025</v>
      </c>
    </row>
    <row r="1983" spans="1:10" ht="26" x14ac:dyDescent="0.35">
      <c r="A1983" s="366" t="str">
        <f>IF(AND(LEN(H1983)&gt;0,NOT(H1983=FALSE)),"P","")</f>
        <v/>
      </c>
      <c r="B1983" t="str">
        <f>IF(LEN('Ch9'!H116)=0,"",'Ch9'!H116)</f>
        <v/>
      </c>
      <c r="C1983" t="str">
        <f t="shared" si="47"/>
        <v/>
      </c>
      <c r="D1983" s="31"/>
      <c r="E1983" s="402" t="s">
        <v>260</v>
      </c>
      <c r="F1983" s="31"/>
      <c r="G1983" s="90" t="s">
        <v>3649</v>
      </c>
      <c r="H1983" s="400" t="str">
        <f>IF(LEN('Ch9'!W116)=0,"",'Ch9'!W116)</f>
        <v/>
      </c>
      <c r="J1983" s="580" t="s">
        <v>5025</v>
      </c>
    </row>
    <row r="1984" spans="1:10" x14ac:dyDescent="0.35">
      <c r="B1984" t="str">
        <f>IF(LEN('Ch9'!H117)=0,"",'Ch9'!H117)</f>
        <v/>
      </c>
      <c r="C1984" t="str">
        <f t="shared" si="47"/>
        <v/>
      </c>
      <c r="D1984" s="31"/>
      <c r="E1984" s="31"/>
      <c r="F1984" s="31"/>
      <c r="G1984" s="895" t="s">
        <v>3199</v>
      </c>
      <c r="H1984"/>
      <c r="J1984" s="580"/>
    </row>
    <row r="1985" spans="1:10" ht="15" thickBot="1" x14ac:dyDescent="0.4">
      <c r="B1985" t="str">
        <f>IF(LEN('Ch9'!H118)=0,"",'Ch9'!H118)</f>
        <v/>
      </c>
      <c r="C1985" t="str">
        <f t="shared" si="47"/>
        <v/>
      </c>
      <c r="D1985" s="404"/>
      <c r="E1985" s="404"/>
      <c r="F1985" s="404"/>
      <c r="G1985" s="968"/>
      <c r="H1985"/>
      <c r="J1985" s="580"/>
    </row>
    <row r="1986" spans="1:10" ht="15" thickTop="1" x14ac:dyDescent="0.35">
      <c r="A1986" s="366" t="str">
        <f>IF(AND(LEN(H1986)&gt;0,NOT(H1986=FALSE)),"P","")</f>
        <v/>
      </c>
      <c r="B1986" t="str">
        <f>IF(LEN('Ch9'!H119)=0,"",'Ch9'!H119)</f>
        <v/>
      </c>
      <c r="C1986" t="str">
        <f t="shared" si="47"/>
        <v/>
      </c>
      <c r="D1986" s="60">
        <v>901.8</v>
      </c>
      <c r="E1986" s="60"/>
      <c r="F1986" s="60"/>
      <c r="G1986" s="837" t="s">
        <v>5590</v>
      </c>
      <c r="H1986" s="400" t="str">
        <f>IF(LEN('Ch9'!W119)=0,"",'Ch9'!W119)</f>
        <v/>
      </c>
      <c r="I1986" s="46">
        <f>'Ch9'!O119</f>
        <v>0</v>
      </c>
      <c r="J1986" s="975" t="s">
        <v>5026</v>
      </c>
    </row>
    <row r="1987" spans="1:10" x14ac:dyDescent="0.35">
      <c r="A1987" s="366" t="str">
        <f>A1986</f>
        <v/>
      </c>
      <c r="B1987" t="str">
        <f>IF(LEN('Ch9'!H120)=0,"",'Ch9'!H120)</f>
        <v/>
      </c>
      <c r="C1987" t="str">
        <f t="shared" si="47"/>
        <v/>
      </c>
      <c r="D1987" s="31"/>
      <c r="E1987" s="31"/>
      <c r="F1987" s="31"/>
      <c r="G1987" s="838"/>
      <c r="H1987"/>
      <c r="J1987" s="976"/>
    </row>
    <row r="1988" spans="1:10" x14ac:dyDescent="0.35">
      <c r="A1988" s="366" t="str">
        <f>A1987</f>
        <v/>
      </c>
      <c r="B1988" t="str">
        <f>IF(LEN('Ch9'!H121)=0,"",'Ch9'!H121)</f>
        <v/>
      </c>
      <c r="C1988" t="str">
        <f t="shared" si="47"/>
        <v/>
      </c>
      <c r="D1988" s="31"/>
      <c r="E1988" s="31"/>
      <c r="F1988" s="31"/>
      <c r="G1988" s="838"/>
      <c r="H1988"/>
      <c r="J1988" s="580"/>
    </row>
    <row r="1989" spans="1:10" x14ac:dyDescent="0.35">
      <c r="A1989" s="366" t="str">
        <f>A1988</f>
        <v/>
      </c>
      <c r="B1989" t="str">
        <f>IF(LEN('Ch9'!H122)=0,"",'Ch9'!H122)</f>
        <v/>
      </c>
      <c r="C1989" t="str">
        <f t="shared" si="47"/>
        <v/>
      </c>
      <c r="D1989" s="31"/>
      <c r="E1989" s="31"/>
      <c r="F1989" s="31"/>
      <c r="G1989" s="838"/>
      <c r="H1989"/>
      <c r="J1989" s="580"/>
    </row>
    <row r="1990" spans="1:10" x14ac:dyDescent="0.35">
      <c r="A1990" s="366" t="str">
        <f>A1989</f>
        <v/>
      </c>
      <c r="B1990" t="str">
        <f>IF(LEN('Ch9'!H123)=0,"",'Ch9'!H123)</f>
        <v/>
      </c>
      <c r="C1990" t="str">
        <f t="shared" si="47"/>
        <v/>
      </c>
      <c r="D1990" s="31"/>
      <c r="E1990" s="31"/>
      <c r="F1990" s="31"/>
      <c r="G1990" s="838"/>
      <c r="H1990"/>
      <c r="J1990" s="580"/>
    </row>
    <row r="1991" spans="1:10" ht="15" thickBot="1" x14ac:dyDescent="0.4">
      <c r="A1991" s="366" t="str">
        <f>A1990</f>
        <v/>
      </c>
      <c r="B1991" t="str">
        <f>IF(LEN('Ch9'!H124)=0,"",'Ch9'!H124)</f>
        <v/>
      </c>
      <c r="C1991" t="str">
        <f t="shared" si="47"/>
        <v/>
      </c>
      <c r="D1991" s="404"/>
      <c r="E1991" s="404"/>
      <c r="F1991" s="404"/>
      <c r="G1991" s="849"/>
      <c r="H1991"/>
      <c r="J1991" s="580"/>
    </row>
    <row r="1992" spans="1:10" ht="15" thickTop="1" x14ac:dyDescent="0.35">
      <c r="A1992" s="366" t="str">
        <f>IF(I1992&gt;0,"P","")</f>
        <v/>
      </c>
      <c r="B1992" t="str">
        <f>IF(LEN('Ch9'!H125)=0,"",'Ch9'!H125)</f>
        <v/>
      </c>
      <c r="C1992" t="str">
        <f t="shared" si="47"/>
        <v/>
      </c>
      <c r="D1992" s="60">
        <v>901.9</v>
      </c>
      <c r="E1992" s="60"/>
      <c r="F1992" s="60"/>
      <c r="G1992" s="837" t="s">
        <v>3201</v>
      </c>
      <c r="H1992"/>
      <c r="I1992" s="433">
        <f>SUM(I1995:I2007)</f>
        <v>0</v>
      </c>
      <c r="J1992" s="580"/>
    </row>
    <row r="1993" spans="1:10" x14ac:dyDescent="0.35">
      <c r="A1993" s="366" t="str">
        <f>A1992</f>
        <v/>
      </c>
      <c r="B1993" t="str">
        <f>IF(LEN('Ch9'!H126)=0,"",'Ch9'!H126)</f>
        <v/>
      </c>
      <c r="C1993" t="str">
        <f t="shared" si="47"/>
        <v/>
      </c>
      <c r="D1993" s="31"/>
      <c r="E1993" s="31"/>
      <c r="F1993" s="31"/>
      <c r="G1993" s="838"/>
      <c r="H1993"/>
      <c r="J1993" s="580"/>
    </row>
    <row r="1994" spans="1:10" x14ac:dyDescent="0.35">
      <c r="A1994" s="366" t="str">
        <f>A1993</f>
        <v/>
      </c>
      <c r="B1994" t="str">
        <f>IF(LEN('Ch9'!H127)=0,"",'Ch9'!H127)</f>
        <v/>
      </c>
      <c r="C1994" t="str">
        <f t="shared" si="47"/>
        <v/>
      </c>
      <c r="D1994" s="31"/>
      <c r="E1994" s="31"/>
      <c r="F1994" s="31"/>
      <c r="G1994" s="838"/>
      <c r="H1994"/>
      <c r="J1994" s="580"/>
    </row>
    <row r="1995" spans="1:10" x14ac:dyDescent="0.35">
      <c r="A1995" s="366" t="str">
        <f>IF(I1995&gt;0,"P","")</f>
        <v/>
      </c>
      <c r="B1995" t="str">
        <f>IF(LEN('Ch9'!H128)=0,"",'Ch9'!H128)</f>
        <v/>
      </c>
      <c r="C1995" t="str">
        <f t="shared" si="47"/>
        <v/>
      </c>
      <c r="D1995" s="31" t="s">
        <v>3202</v>
      </c>
      <c r="E1995" s="31"/>
      <c r="F1995" s="31"/>
      <c r="G1995" s="838" t="s">
        <v>3203</v>
      </c>
      <c r="H1995"/>
      <c r="I1995" s="46">
        <f>'Ch9'!O128</f>
        <v>0</v>
      </c>
      <c r="J1995" s="975" t="s">
        <v>5027</v>
      </c>
    </row>
    <row r="1996" spans="1:10" x14ac:dyDescent="0.35">
      <c r="A1996" s="366" t="str">
        <f>A1995</f>
        <v/>
      </c>
      <c r="B1996" t="str">
        <f>IF(LEN('Ch9'!H129)=0,"",'Ch9'!H129)</f>
        <v/>
      </c>
      <c r="C1996" t="str">
        <f t="shared" si="47"/>
        <v/>
      </c>
      <c r="D1996" s="31"/>
      <c r="E1996" s="31"/>
      <c r="F1996" s="31"/>
      <c r="G1996" s="838"/>
      <c r="H1996"/>
      <c r="J1996" s="976"/>
    </row>
    <row r="1997" spans="1:10" x14ac:dyDescent="0.35">
      <c r="B1997" t="str">
        <f>IF(LEN('Ch9'!H130)=0,"",'Ch9'!H130)</f>
        <v/>
      </c>
      <c r="C1997" t="str">
        <f t="shared" si="47"/>
        <v/>
      </c>
      <c r="D1997" s="31"/>
      <c r="E1997" s="402" t="s">
        <v>256</v>
      </c>
      <c r="F1997" s="31"/>
      <c r="G1997" s="814" t="s">
        <v>3204</v>
      </c>
      <c r="H1997" s="400" t="str">
        <f>IF(LEN('Ch9'!W130)=0,"",'Ch9'!W130)</f>
        <v/>
      </c>
      <c r="J1997" s="580"/>
    </row>
    <row r="1998" spans="1:10" x14ac:dyDescent="0.35">
      <c r="B1998" t="str">
        <f>IF(LEN('Ch9'!H131)=0,"",'Ch9'!H131)</f>
        <v/>
      </c>
      <c r="C1998" t="str">
        <f t="shared" si="47"/>
        <v/>
      </c>
      <c r="D1998" s="31"/>
      <c r="E1998" s="403"/>
      <c r="F1998" s="403"/>
      <c r="G1998" s="815"/>
      <c r="H1998"/>
      <c r="J1998" s="580"/>
    </row>
    <row r="1999" spans="1:10" x14ac:dyDescent="0.35">
      <c r="B1999" t="str">
        <f>IF(LEN('Ch9'!H132)=0,"",'Ch9'!H132)</f>
        <v/>
      </c>
      <c r="C1999" t="str">
        <f t="shared" si="47"/>
        <v/>
      </c>
      <c r="D1999" s="31"/>
      <c r="E1999" s="416" t="s">
        <v>258</v>
      </c>
      <c r="F1999" s="403"/>
      <c r="G1999" s="228" t="s">
        <v>3205</v>
      </c>
      <c r="H1999" s="400" t="str">
        <f>IF(LEN('Ch9'!W132)=0,"",'Ch9'!W132)</f>
        <v/>
      </c>
      <c r="J1999" s="580"/>
    </row>
    <row r="2000" spans="1:10" x14ac:dyDescent="0.35">
      <c r="B2000" t="str">
        <f>IF(LEN('Ch9'!H133)=0,"",'Ch9'!H133)</f>
        <v/>
      </c>
      <c r="C2000" t="str">
        <f t="shared" si="47"/>
        <v/>
      </c>
      <c r="D2000" s="31"/>
      <c r="E2000" s="402" t="s">
        <v>260</v>
      </c>
      <c r="F2000" s="31"/>
      <c r="G2000" s="90" t="s">
        <v>3206</v>
      </c>
      <c r="H2000" s="400" t="str">
        <f>IF(LEN('Ch9'!W133)=0,"",'Ch9'!W133)</f>
        <v/>
      </c>
      <c r="J2000" s="580"/>
    </row>
    <row r="2001" spans="1:10" x14ac:dyDescent="0.35">
      <c r="B2001" t="str">
        <f>IF(LEN('Ch9'!H134)=0,"",'Ch9'!H134)</f>
        <v/>
      </c>
      <c r="C2001" t="str">
        <f t="shared" si="47"/>
        <v/>
      </c>
      <c r="D2001" s="619"/>
      <c r="E2001" s="619"/>
      <c r="F2001" s="619"/>
      <c r="G2001" s="323" t="s">
        <v>3663</v>
      </c>
      <c r="H2001"/>
      <c r="J2001" s="580"/>
    </row>
    <row r="2002" spans="1:10" ht="25.5" customHeight="1" x14ac:dyDescent="0.35">
      <c r="A2002" s="366" t="str">
        <f>IF(I2002&gt;0,"P","")</f>
        <v/>
      </c>
      <c r="B2002" t="str">
        <f>IF(LEN('Ch9'!H135)=0,"",'Ch9'!H135)</f>
        <v/>
      </c>
      <c r="C2002" t="str">
        <f t="shared" ref="C2002:C2065" si="49">IF(LEN(B2002)=0,IF(A2002="P","P",""),B2002)</f>
        <v/>
      </c>
      <c r="D2002" s="405" t="s">
        <v>3207</v>
      </c>
      <c r="E2002" s="405"/>
      <c r="F2002" s="405"/>
      <c r="G2002" s="905" t="s">
        <v>3208</v>
      </c>
      <c r="H2002" s="400" t="str">
        <f>IF(LEN('Ch9'!W135)=0,"",'Ch9'!W135)</f>
        <v/>
      </c>
      <c r="I2002" s="46">
        <f>'Ch9'!O135</f>
        <v>0</v>
      </c>
      <c r="J2002" s="975" t="s">
        <v>5028</v>
      </c>
    </row>
    <row r="2003" spans="1:10" x14ac:dyDescent="0.35">
      <c r="A2003" s="366" t="str">
        <f>A2002</f>
        <v/>
      </c>
      <c r="B2003" t="str">
        <f>IF(LEN('Ch9'!H136)=0,"",'Ch9'!H136)</f>
        <v/>
      </c>
      <c r="C2003" t="str">
        <f t="shared" si="49"/>
        <v/>
      </c>
      <c r="D2003" s="31"/>
      <c r="E2003" s="31"/>
      <c r="F2003" s="31"/>
      <c r="G2003" s="838"/>
      <c r="H2003"/>
      <c r="J2003" s="976"/>
    </row>
    <row r="2004" spans="1:10" x14ac:dyDescent="0.35">
      <c r="B2004" t="str">
        <f>IF(LEN('Ch9'!H137)=0,"",'Ch9'!H137)</f>
        <v/>
      </c>
      <c r="C2004" t="str">
        <f t="shared" si="49"/>
        <v/>
      </c>
      <c r="D2004" s="31"/>
      <c r="E2004" s="31"/>
      <c r="F2004" s="31"/>
      <c r="G2004" s="955" t="s">
        <v>3209</v>
      </c>
      <c r="H2004"/>
      <c r="J2004" s="580"/>
    </row>
    <row r="2005" spans="1:10" x14ac:dyDescent="0.35">
      <c r="B2005" t="str">
        <f>IF(LEN('Ch9'!H138)=0,"",'Ch9'!H138)</f>
        <v/>
      </c>
      <c r="C2005" t="str">
        <f t="shared" si="49"/>
        <v/>
      </c>
      <c r="D2005" s="31"/>
      <c r="E2005" s="31"/>
      <c r="F2005" s="31"/>
      <c r="G2005" s="955"/>
      <c r="H2005"/>
      <c r="J2005" s="580"/>
    </row>
    <row r="2006" spans="1:10" x14ac:dyDescent="0.35">
      <c r="B2006" t="str">
        <f>IF(LEN('Ch9'!H139)=0,"",'Ch9'!H139)</f>
        <v/>
      </c>
      <c r="C2006" t="str">
        <f t="shared" si="49"/>
        <v/>
      </c>
      <c r="D2006" s="403"/>
      <c r="E2006" s="403"/>
      <c r="F2006" s="403"/>
      <c r="G2006" s="323" t="s">
        <v>3758</v>
      </c>
      <c r="H2006"/>
      <c r="J2006" s="580"/>
    </row>
    <row r="2007" spans="1:10" x14ac:dyDescent="0.35">
      <c r="A2007" s="366" t="str">
        <f>IF(I2007&gt;0,"P","")</f>
        <v/>
      </c>
      <c r="B2007" t="str">
        <f>IF(LEN('Ch9'!H140)=0,"",'Ch9'!H140)</f>
        <v/>
      </c>
      <c r="C2007" t="str">
        <f t="shared" si="49"/>
        <v/>
      </c>
      <c r="D2007" s="31" t="s">
        <v>3210</v>
      </c>
      <c r="E2007" s="31"/>
      <c r="F2007" s="31"/>
      <c r="G2007" s="838" t="s">
        <v>5591</v>
      </c>
      <c r="H2007" s="400" t="str">
        <f>IF(LEN('Ch9'!W140)=0,"",'Ch9'!W140)</f>
        <v/>
      </c>
      <c r="I2007" s="46">
        <f>'Ch9'!O140</f>
        <v>0</v>
      </c>
      <c r="J2007" s="975" t="s">
        <v>5029</v>
      </c>
    </row>
    <row r="2008" spans="1:10" x14ac:dyDescent="0.35">
      <c r="A2008" s="366" t="str">
        <f>A2007</f>
        <v/>
      </c>
      <c r="B2008" t="str">
        <f>IF(LEN('Ch9'!H141)=0,"",'Ch9'!H141)</f>
        <v/>
      </c>
      <c r="C2008" t="str">
        <f t="shared" si="49"/>
        <v/>
      </c>
      <c r="D2008" s="31"/>
      <c r="E2008" s="31"/>
      <c r="F2008" s="31"/>
      <c r="G2008" s="838"/>
      <c r="H2008"/>
      <c r="J2008" s="979"/>
    </row>
    <row r="2009" spans="1:10" x14ac:dyDescent="0.35">
      <c r="A2009" s="366" t="str">
        <f>A2008</f>
        <v/>
      </c>
      <c r="B2009" t="str">
        <f>IF(LEN('Ch9'!H142)=0,"",'Ch9'!H142)</f>
        <v/>
      </c>
      <c r="C2009" t="str">
        <f t="shared" si="49"/>
        <v/>
      </c>
      <c r="D2009" s="31"/>
      <c r="E2009" s="31"/>
      <c r="F2009" s="31"/>
      <c r="G2009" s="838"/>
      <c r="H2009"/>
      <c r="J2009" s="976"/>
    </row>
    <row r="2010" spans="1:10" x14ac:dyDescent="0.35">
      <c r="A2010" s="366" t="str">
        <f>A2009</f>
        <v/>
      </c>
      <c r="B2010" t="str">
        <f>IF(LEN('Ch9'!H143)=0,"",'Ch9'!H143)</f>
        <v/>
      </c>
      <c r="C2010" t="str">
        <f t="shared" si="49"/>
        <v/>
      </c>
      <c r="D2010" s="31"/>
      <c r="E2010" s="31"/>
      <c r="F2010" s="31"/>
      <c r="G2010" s="838"/>
      <c r="H2010"/>
      <c r="J2010" s="580"/>
    </row>
    <row r="2011" spans="1:10" x14ac:dyDescent="0.35">
      <c r="A2011" s="366" t="str">
        <f>A2010</f>
        <v/>
      </c>
      <c r="B2011" t="str">
        <f>IF(LEN('Ch9'!H144)=0,"",'Ch9'!H144)</f>
        <v/>
      </c>
      <c r="C2011" t="str">
        <f t="shared" si="49"/>
        <v/>
      </c>
      <c r="D2011" s="31"/>
      <c r="E2011" s="31"/>
      <c r="F2011" s="31"/>
      <c r="G2011" s="838"/>
      <c r="H2011"/>
      <c r="J2011" s="580"/>
    </row>
    <row r="2012" spans="1:10" ht="15" thickBot="1" x14ac:dyDescent="0.4">
      <c r="A2012" s="366" t="str">
        <f>A2011</f>
        <v/>
      </c>
      <c r="B2012" t="str">
        <f>IF(LEN('Ch9'!H145)=0,"",'Ch9'!H145)</f>
        <v/>
      </c>
      <c r="C2012" t="str">
        <f t="shared" si="49"/>
        <v/>
      </c>
      <c r="D2012" s="404"/>
      <c r="E2012" s="404"/>
      <c r="F2012" s="404"/>
      <c r="G2012" s="849"/>
      <c r="H2012"/>
      <c r="J2012" s="580"/>
    </row>
    <row r="2013" spans="1:10" ht="15" thickTop="1" x14ac:dyDescent="0.35">
      <c r="A2013" s="366" t="str">
        <f>IF(I2013&gt;0,"P","")</f>
        <v/>
      </c>
      <c r="B2013" t="str">
        <f>IF(LEN('Ch9'!H146)=0,"",'Ch9'!H146)</f>
        <v/>
      </c>
      <c r="C2013" t="str">
        <f t="shared" si="49"/>
        <v/>
      </c>
      <c r="D2013" s="409">
        <v>901.1</v>
      </c>
      <c r="E2013" s="31"/>
      <c r="F2013" s="31"/>
      <c r="G2013" s="838" t="s">
        <v>3212</v>
      </c>
      <c r="H2013"/>
      <c r="I2013" s="46">
        <f>'Ch9'!O146</f>
        <v>0</v>
      </c>
      <c r="J2013" s="975" t="s">
        <v>5030</v>
      </c>
    </row>
    <row r="2014" spans="1:10" x14ac:dyDescent="0.35">
      <c r="A2014" s="366" t="str">
        <f>A2013</f>
        <v/>
      </c>
      <c r="B2014" t="str">
        <f>IF(LEN('Ch9'!H147)=0,"",'Ch9'!H147)</f>
        <v/>
      </c>
      <c r="C2014" t="str">
        <f t="shared" si="49"/>
        <v/>
      </c>
      <c r="D2014" s="31"/>
      <c r="E2014" s="31"/>
      <c r="F2014" s="31"/>
      <c r="G2014" s="838"/>
      <c r="H2014"/>
      <c r="J2014" s="976"/>
    </row>
    <row r="2015" spans="1:10" x14ac:dyDescent="0.35">
      <c r="A2015" s="366" t="str">
        <f>A2014</f>
        <v/>
      </c>
      <c r="B2015" t="str">
        <f>IF(LEN('Ch9'!H148)=0,"",'Ch9'!H148)</f>
        <v/>
      </c>
      <c r="C2015" t="str">
        <f t="shared" si="49"/>
        <v/>
      </c>
      <c r="D2015" s="31"/>
      <c r="E2015" s="31"/>
      <c r="F2015" s="31"/>
      <c r="G2015" s="838"/>
      <c r="H2015"/>
      <c r="J2015" s="580"/>
    </row>
    <row r="2016" spans="1:10" x14ac:dyDescent="0.35">
      <c r="B2016" t="str">
        <f>IF(LEN('Ch9'!H149)=0,"",'Ch9'!H149)</f>
        <v/>
      </c>
      <c r="C2016" t="str">
        <f t="shared" si="49"/>
        <v/>
      </c>
      <c r="D2016" s="31"/>
      <c r="E2016" s="402" t="s">
        <v>256</v>
      </c>
      <c r="F2016" s="31"/>
      <c r="G2016" s="814" t="s">
        <v>5592</v>
      </c>
      <c r="H2016" s="400" t="str">
        <f>IF(LEN('Ch9'!W149)=0,"",'Ch9'!W149)</f>
        <v/>
      </c>
      <c r="J2016" s="580"/>
    </row>
    <row r="2017" spans="1:10" x14ac:dyDescent="0.35">
      <c r="B2017" t="str">
        <f>IF(LEN('Ch9'!H150)=0,"",'Ch9'!H150)</f>
        <v/>
      </c>
      <c r="C2017" t="str">
        <f t="shared" si="49"/>
        <v/>
      </c>
      <c r="D2017" s="31"/>
      <c r="E2017" s="31"/>
      <c r="F2017" s="31"/>
      <c r="G2017" s="814"/>
      <c r="H2017"/>
      <c r="J2017" s="580"/>
    </row>
    <row r="2018" spans="1:10" x14ac:dyDescent="0.35">
      <c r="B2018" t="str">
        <f>IF(LEN('Ch9'!H151)=0,"",'Ch9'!H151)</f>
        <v/>
      </c>
      <c r="C2018" t="str">
        <f t="shared" si="49"/>
        <v/>
      </c>
      <c r="D2018" s="31"/>
      <c r="E2018" s="31"/>
      <c r="F2018" s="31"/>
      <c r="G2018" s="814"/>
      <c r="H2018"/>
      <c r="J2018" s="580"/>
    </row>
    <row r="2019" spans="1:10" x14ac:dyDescent="0.35">
      <c r="B2019" t="str">
        <f>IF(LEN('Ch9'!H152)=0,"",'Ch9'!H152)</f>
        <v/>
      </c>
      <c r="C2019" t="str">
        <f t="shared" si="49"/>
        <v/>
      </c>
      <c r="D2019" s="31"/>
      <c r="E2019" s="31"/>
      <c r="F2019" s="31"/>
      <c r="G2019" s="814"/>
      <c r="H2019"/>
      <c r="J2019" s="580"/>
    </row>
    <row r="2020" spans="1:10" x14ac:dyDescent="0.35">
      <c r="B2020" t="str">
        <f>IF(LEN('Ch9'!H153)=0,"",'Ch9'!H153)</f>
        <v/>
      </c>
      <c r="C2020" t="str">
        <f t="shared" si="49"/>
        <v/>
      </c>
      <c r="D2020" s="31"/>
      <c r="E2020" s="403"/>
      <c r="F2020" s="403"/>
      <c r="G2020" s="815"/>
      <c r="H2020"/>
      <c r="J2020" s="580"/>
    </row>
    <row r="2021" spans="1:10" x14ac:dyDescent="0.35">
      <c r="B2021" t="str">
        <f>IF(LEN('Ch9'!H154)=0,"",'Ch9'!H154)</f>
        <v/>
      </c>
      <c r="C2021" t="str">
        <f t="shared" si="49"/>
        <v/>
      </c>
      <c r="D2021" s="31"/>
      <c r="E2021" s="416" t="s">
        <v>258</v>
      </c>
      <c r="F2021" s="403"/>
      <c r="G2021" s="228" t="s">
        <v>3214</v>
      </c>
      <c r="H2021" s="400" t="str">
        <f>IF(LEN('Ch9'!W154)=0,"",'Ch9'!W154)</f>
        <v/>
      </c>
      <c r="J2021" s="580"/>
    </row>
    <row r="2022" spans="1:10" x14ac:dyDescent="0.35">
      <c r="B2022" t="str">
        <f>IF(LEN('Ch9'!H155)=0,"",'Ch9'!H155)</f>
        <v/>
      </c>
      <c r="C2022" t="str">
        <f t="shared" si="49"/>
        <v/>
      </c>
      <c r="D2022" s="31"/>
      <c r="E2022" s="402" t="s">
        <v>260</v>
      </c>
      <c r="F2022" s="31"/>
      <c r="G2022" s="814" t="s">
        <v>3215</v>
      </c>
      <c r="H2022" s="400" t="str">
        <f>IF(LEN('Ch9'!W155)=0,"",'Ch9'!W155)</f>
        <v/>
      </c>
      <c r="J2022" s="580"/>
    </row>
    <row r="2023" spans="1:10" x14ac:dyDescent="0.35">
      <c r="B2023" t="str">
        <f>IF(LEN('Ch9'!H156)=0,"",'Ch9'!H156)</f>
        <v/>
      </c>
      <c r="C2023" t="str">
        <f t="shared" si="49"/>
        <v/>
      </c>
      <c r="D2023" s="31"/>
      <c r="E2023" s="31"/>
      <c r="F2023" s="31"/>
      <c r="G2023" s="814"/>
      <c r="H2023"/>
      <c r="J2023" s="580"/>
    </row>
    <row r="2024" spans="1:10" x14ac:dyDescent="0.35">
      <c r="B2024" t="str">
        <f>IF(LEN('Ch9'!H157)=0,"",'Ch9'!H157)</f>
        <v/>
      </c>
      <c r="C2024" t="str">
        <f t="shared" si="49"/>
        <v/>
      </c>
      <c r="D2024" s="31"/>
      <c r="E2024" s="31"/>
      <c r="F2024" s="31"/>
      <c r="G2024" s="814"/>
      <c r="H2024"/>
      <c r="J2024" s="580"/>
    </row>
    <row r="2025" spans="1:10" ht="15" thickBot="1" x14ac:dyDescent="0.4">
      <c r="B2025" t="str">
        <f>IF(LEN('Ch9'!H158)=0,"",'Ch9'!H158)</f>
        <v/>
      </c>
      <c r="C2025" t="str">
        <f t="shared" si="49"/>
        <v/>
      </c>
      <c r="D2025" s="404"/>
      <c r="E2025" s="404"/>
      <c r="F2025" s="404"/>
      <c r="G2025" s="295" t="s">
        <v>3759</v>
      </c>
      <c r="H2025"/>
      <c r="J2025" s="580"/>
    </row>
    <row r="2026" spans="1:10" ht="15" thickTop="1" x14ac:dyDescent="0.35">
      <c r="A2026" s="366" t="str">
        <f>IF(I2026&gt;0,"P","")</f>
        <v/>
      </c>
      <c r="B2026" t="str">
        <f>IF(LEN('Ch9'!H159)=0,"",'Ch9'!H159)</f>
        <v/>
      </c>
      <c r="C2026" t="str">
        <f t="shared" si="49"/>
        <v/>
      </c>
      <c r="D2026" s="60">
        <v>901.11</v>
      </c>
      <c r="E2026" s="60"/>
      <c r="F2026" s="60"/>
      <c r="G2026" s="837" t="s">
        <v>5593</v>
      </c>
      <c r="H2026" s="400" t="str">
        <f>IF(LEN('Ch9'!W159)=0,"",'Ch9'!W159)</f>
        <v/>
      </c>
      <c r="I2026" s="46">
        <f>'Ch9'!O159</f>
        <v>0</v>
      </c>
      <c r="J2026" s="975" t="s">
        <v>3939</v>
      </c>
    </row>
    <row r="2027" spans="1:10" x14ac:dyDescent="0.35">
      <c r="A2027" s="366" t="str">
        <f>A2026</f>
        <v/>
      </c>
      <c r="B2027" t="str">
        <f>IF(LEN('Ch9'!H160)=0,"",'Ch9'!H160)</f>
        <v/>
      </c>
      <c r="C2027" t="str">
        <f t="shared" si="49"/>
        <v/>
      </c>
      <c r="D2027" s="31"/>
      <c r="E2027" s="31"/>
      <c r="F2027" s="31"/>
      <c r="G2027" s="838"/>
      <c r="H2027"/>
      <c r="J2027" s="976"/>
    </row>
    <row r="2028" spans="1:10" x14ac:dyDescent="0.35">
      <c r="A2028" s="366" t="str">
        <f>A2027</f>
        <v/>
      </c>
      <c r="B2028" t="str">
        <f>IF(LEN('Ch9'!H161)=0,"",'Ch9'!H161)</f>
        <v/>
      </c>
      <c r="C2028" t="str">
        <f t="shared" si="49"/>
        <v/>
      </c>
      <c r="D2028" s="31"/>
      <c r="E2028" s="31"/>
      <c r="F2028" s="31"/>
      <c r="G2028" s="838"/>
      <c r="H2028"/>
      <c r="J2028" s="580"/>
    </row>
    <row r="2029" spans="1:10" x14ac:dyDescent="0.35">
      <c r="A2029" s="366" t="str">
        <f>A2028</f>
        <v/>
      </c>
      <c r="B2029" t="str">
        <f>IF(LEN('Ch9'!H162)=0,"",'Ch9'!H162)</f>
        <v/>
      </c>
      <c r="C2029" t="str">
        <f t="shared" si="49"/>
        <v/>
      </c>
      <c r="D2029" s="31"/>
      <c r="E2029" s="31"/>
      <c r="F2029" s="31"/>
      <c r="G2029" s="838"/>
      <c r="H2029"/>
      <c r="J2029" s="580"/>
    </row>
    <row r="2030" spans="1:10" ht="15" thickBot="1" x14ac:dyDescent="0.4">
      <c r="A2030" s="366" t="str">
        <f>A2029</f>
        <v/>
      </c>
      <c r="B2030" t="str">
        <f>IF(LEN('Ch9'!H163)=0,"",'Ch9'!H163)</f>
        <v/>
      </c>
      <c r="C2030" t="str">
        <f t="shared" si="49"/>
        <v/>
      </c>
      <c r="D2030" s="404"/>
      <c r="E2030" s="404"/>
      <c r="F2030" s="404"/>
      <c r="G2030" s="849"/>
      <c r="H2030"/>
      <c r="J2030" s="580"/>
    </row>
    <row r="2031" spans="1:10" ht="15" thickTop="1" x14ac:dyDescent="0.35">
      <c r="A2031" s="366" t="str">
        <f ca="1">IF(I2031&gt;0,"P","")</f>
        <v/>
      </c>
      <c r="B2031" t="str">
        <f>IF(LEN('Ch9'!H164)=0,"",'Ch9'!H164)</f>
        <v/>
      </c>
      <c r="C2031" t="str">
        <f t="shared" ca="1" si="49"/>
        <v/>
      </c>
      <c r="D2031" s="60">
        <v>901.12</v>
      </c>
      <c r="E2031" s="31"/>
      <c r="F2031" s="31"/>
      <c r="G2031" s="841" t="s">
        <v>4487</v>
      </c>
      <c r="H2031" s="400" t="str">
        <f>IF(LEN('Ch9'!W164)=0,"",'Ch9'!W164)</f>
        <v/>
      </c>
      <c r="I2031" s="46">
        <f ca="1">'Ch9'!O164</f>
        <v>0</v>
      </c>
      <c r="J2031" s="580" t="s">
        <v>5031</v>
      </c>
    </row>
    <row r="2032" spans="1:10" x14ac:dyDescent="0.35">
      <c r="A2032" s="366" t="str">
        <f ca="1">A2031</f>
        <v/>
      </c>
      <c r="B2032" t="str">
        <f>IF(LEN('Ch9'!H165)=0,"",'Ch9'!H165)</f>
        <v/>
      </c>
      <c r="C2032" t="str">
        <f t="shared" ca="1" si="49"/>
        <v/>
      </c>
      <c r="D2032" s="31"/>
      <c r="E2032" s="31"/>
      <c r="F2032" s="31"/>
      <c r="G2032" s="841"/>
      <c r="H2032"/>
      <c r="J2032" s="580"/>
    </row>
    <row r="2033" spans="1:10" x14ac:dyDescent="0.35">
      <c r="A2033" s="366" t="str">
        <f ca="1">A2032</f>
        <v/>
      </c>
      <c r="B2033" t="str">
        <f>IF(LEN('Ch9'!H166)=0,"",'Ch9'!H166)</f>
        <v/>
      </c>
      <c r="C2033" t="str">
        <f t="shared" ca="1" si="49"/>
        <v/>
      </c>
      <c r="D2033" s="31"/>
      <c r="E2033" s="31"/>
      <c r="F2033" s="31"/>
      <c r="G2033" s="841"/>
      <c r="H2033"/>
      <c r="J2033" s="580"/>
    </row>
    <row r="2034" spans="1:10" ht="15" thickBot="1" x14ac:dyDescent="0.4">
      <c r="A2034" s="366" t="str">
        <f ca="1">A2033</f>
        <v/>
      </c>
      <c r="B2034" t="str">
        <f>IF(LEN('Ch9'!H167)=0,"",'Ch9'!H167)</f>
        <v/>
      </c>
      <c r="C2034" t="str">
        <f t="shared" ca="1" si="49"/>
        <v/>
      </c>
      <c r="D2034" s="31"/>
      <c r="E2034" s="31"/>
      <c r="F2034" s="31"/>
      <c r="G2034" s="841"/>
      <c r="H2034"/>
      <c r="J2034" s="580"/>
    </row>
    <row r="2035" spans="1:10" ht="15" thickTop="1" x14ac:dyDescent="0.35">
      <c r="A2035" s="366" t="str">
        <f>IF(AND(LEN(H2035)&gt;0,NOT(H2035=FALSE)),"P","")</f>
        <v>P</v>
      </c>
      <c r="B2035" t="str">
        <f>IF(LEN('Ch9'!H168)=0,"",'Ch9'!H168)</f>
        <v/>
      </c>
      <c r="C2035" t="str">
        <f t="shared" si="49"/>
        <v>P</v>
      </c>
      <c r="D2035" s="60">
        <v>901.13</v>
      </c>
      <c r="E2035" s="60"/>
      <c r="F2035" s="60"/>
      <c r="G2035" s="837" t="s">
        <v>4490</v>
      </c>
      <c r="H2035" s="400" t="str">
        <f>IF(LEN('Ch9'!W168)=0,"",'Ch9'!W168)</f>
        <v>Met</v>
      </c>
      <c r="J2035" s="994" t="s">
        <v>5032</v>
      </c>
    </row>
    <row r="2036" spans="1:10" ht="15" thickBot="1" x14ac:dyDescent="0.4">
      <c r="A2036" s="366" t="str">
        <f>A2035</f>
        <v>P</v>
      </c>
      <c r="B2036" t="str">
        <f>IF(LEN('Ch9'!H169)=0,"",'Ch9'!H169)</f>
        <v/>
      </c>
      <c r="C2036" t="str">
        <f t="shared" si="49"/>
        <v>P</v>
      </c>
      <c r="D2036" s="404"/>
      <c r="E2036" s="404"/>
      <c r="F2036" s="404"/>
      <c r="G2036" s="849"/>
      <c r="H2036"/>
      <c r="J2036" s="994"/>
    </row>
    <row r="2037" spans="1:10" ht="15" thickTop="1" x14ac:dyDescent="0.35">
      <c r="A2037" s="366" t="str">
        <f ca="1">IF(I2037&gt;0,"P","")</f>
        <v/>
      </c>
      <c r="B2037" t="str">
        <f>IF(LEN('Ch9'!H170)=0,"",'Ch9'!H170)</f>
        <v/>
      </c>
      <c r="C2037" t="str">
        <f t="shared" ca="1" si="49"/>
        <v/>
      </c>
      <c r="D2037" s="31">
        <v>901.14</v>
      </c>
      <c r="E2037" s="60"/>
      <c r="F2037" s="60"/>
      <c r="G2037" s="837" t="s">
        <v>4489</v>
      </c>
      <c r="H2037"/>
      <c r="I2037" s="46">
        <f ca="1">'Ch9'!O170</f>
        <v>0</v>
      </c>
      <c r="J2037" s="580" t="s">
        <v>3891</v>
      </c>
    </row>
    <row r="2038" spans="1:10" x14ac:dyDescent="0.35">
      <c r="A2038" s="366" t="str">
        <f ca="1">A2037</f>
        <v/>
      </c>
      <c r="B2038" t="str">
        <f>IF(LEN('Ch9'!H171)=0,"",'Ch9'!H171)</f>
        <v/>
      </c>
      <c r="C2038" t="str">
        <f t="shared" ca="1" si="49"/>
        <v/>
      </c>
      <c r="D2038" s="31"/>
      <c r="E2038" s="31"/>
      <c r="F2038" s="31"/>
      <c r="G2038" s="838"/>
      <c r="H2038"/>
      <c r="J2038" s="580"/>
    </row>
    <row r="2039" spans="1:10" ht="15" customHeight="1" x14ac:dyDescent="0.35">
      <c r="B2039" t="str">
        <f>IF(LEN('Ch9'!H172)=0,"",'Ch9'!H172)</f>
        <v/>
      </c>
      <c r="C2039" t="str">
        <f t="shared" si="49"/>
        <v/>
      </c>
      <c r="D2039" s="31"/>
      <c r="E2039" s="416" t="s">
        <v>256</v>
      </c>
      <c r="F2039" s="403"/>
      <c r="G2039" s="228" t="s">
        <v>3217</v>
      </c>
      <c r="H2039" s="400" t="str">
        <f>IF(LEN('Ch9'!W172)=0,"",'Ch9'!W172)</f>
        <v/>
      </c>
      <c r="J2039" s="580"/>
    </row>
    <row r="2040" spans="1:10" ht="15" customHeight="1" thickBot="1" x14ac:dyDescent="0.4">
      <c r="B2040" t="str">
        <f>IF(LEN('Ch9'!H173)=0,"",'Ch9'!H173)</f>
        <v/>
      </c>
      <c r="C2040" t="str">
        <f t="shared" si="49"/>
        <v/>
      </c>
      <c r="D2040" s="404"/>
      <c r="E2040" s="407" t="s">
        <v>258</v>
      </c>
      <c r="F2040" s="404"/>
      <c r="G2040" s="229" t="s">
        <v>3218</v>
      </c>
      <c r="H2040" s="400" t="str">
        <f>IF(LEN('Ch9'!W173)=0,"",'Ch9'!W173)</f>
        <v/>
      </c>
      <c r="J2040" s="580"/>
    </row>
    <row r="2041" spans="1:10" ht="15" thickTop="1" x14ac:dyDescent="0.35">
      <c r="A2041" s="366" t="str">
        <f ca="1">IF(I2041&gt;0,"P","")</f>
        <v/>
      </c>
      <c r="B2041" t="str">
        <f>IF(LEN('Ch9'!H174)=0,"",'Ch9'!H174)</f>
        <v/>
      </c>
      <c r="C2041" t="str">
        <f t="shared" ca="1" si="49"/>
        <v/>
      </c>
      <c r="D2041" s="31">
        <v>901.15</v>
      </c>
      <c r="E2041" s="31"/>
      <c r="F2041" s="31"/>
      <c r="G2041" s="838" t="s">
        <v>4488</v>
      </c>
      <c r="H2041"/>
      <c r="I2041" s="433">
        <f ca="1">SUM(I2043:I2045)</f>
        <v>0</v>
      </c>
      <c r="J2041" s="580" t="s">
        <v>3891</v>
      </c>
    </row>
    <row r="2042" spans="1:10" x14ac:dyDescent="0.35">
      <c r="A2042" s="366" t="str">
        <f ca="1">A2041</f>
        <v/>
      </c>
      <c r="B2042" t="str">
        <f>IF(LEN('Ch9'!H175)=0,"",'Ch9'!H175)</f>
        <v/>
      </c>
      <c r="C2042" t="str">
        <f t="shared" ca="1" si="49"/>
        <v/>
      </c>
      <c r="D2042" s="31"/>
      <c r="E2042" s="31"/>
      <c r="F2042" s="31"/>
      <c r="G2042" s="838"/>
      <c r="H2042"/>
      <c r="J2042" s="580"/>
    </row>
    <row r="2043" spans="1:10" x14ac:dyDescent="0.35">
      <c r="B2043" t="str">
        <f>IF(LEN('Ch9'!H176)=0,"",'Ch9'!H176)</f>
        <v/>
      </c>
      <c r="C2043" t="str">
        <f t="shared" si="49"/>
        <v/>
      </c>
      <c r="D2043" s="31"/>
      <c r="E2043" s="402" t="s">
        <v>256</v>
      </c>
      <c r="F2043" s="31"/>
      <c r="G2043" s="814" t="s">
        <v>3219</v>
      </c>
      <c r="H2043" s="400" t="str">
        <f>IF(LEN('Ch9'!W176)=0,"",'Ch9'!W176)</f>
        <v/>
      </c>
      <c r="I2043" s="46">
        <f ca="1">'Ch9'!O176</f>
        <v>0</v>
      </c>
      <c r="J2043" s="580"/>
    </row>
    <row r="2044" spans="1:10" x14ac:dyDescent="0.35">
      <c r="B2044" t="str">
        <f>IF(LEN('Ch9'!H177)=0,"",'Ch9'!H177)</f>
        <v/>
      </c>
      <c r="C2044" t="str">
        <f t="shared" si="49"/>
        <v/>
      </c>
      <c r="D2044" s="31"/>
      <c r="E2044" s="403"/>
      <c r="F2044" s="403"/>
      <c r="G2044" s="815"/>
      <c r="H2044"/>
      <c r="J2044" s="580"/>
    </row>
    <row r="2045" spans="1:10" x14ac:dyDescent="0.35">
      <c r="B2045" t="str">
        <f>IF(LEN('Ch9'!H178)=0,"",'Ch9'!H178)</f>
        <v/>
      </c>
      <c r="C2045" t="str">
        <f t="shared" si="49"/>
        <v/>
      </c>
      <c r="D2045" s="31"/>
      <c r="E2045" s="402" t="s">
        <v>258</v>
      </c>
      <c r="F2045" s="31"/>
      <c r="G2045" s="814" t="s">
        <v>3220</v>
      </c>
      <c r="H2045" s="400" t="str">
        <f>IF(LEN('Ch9'!W178)=0,"",'Ch9'!W178)</f>
        <v/>
      </c>
      <c r="I2045" s="46">
        <f ca="1">'Ch9'!O178</f>
        <v>0</v>
      </c>
      <c r="J2045" s="580"/>
    </row>
    <row r="2046" spans="1:10" x14ac:dyDescent="0.35">
      <c r="B2046" t="str">
        <f>IF(LEN('Ch9'!H179)=0,"",'Ch9'!H179)</f>
        <v/>
      </c>
      <c r="C2046" t="str">
        <f t="shared" si="49"/>
        <v/>
      </c>
      <c r="D2046" s="31"/>
      <c r="E2046" s="31"/>
      <c r="F2046" s="31"/>
      <c r="G2046" s="814"/>
      <c r="H2046"/>
      <c r="J2046" s="580"/>
    </row>
    <row r="2047" spans="1:10" ht="18.5" x14ac:dyDescent="0.35">
      <c r="A2047" s="366" t="s">
        <v>3973</v>
      </c>
      <c r="B2047" t="str">
        <f>IF(LEN('Ch9'!H180)=0,"",'Ch9'!H180)</f>
        <v/>
      </c>
      <c r="C2047" t="str">
        <f t="shared" si="49"/>
        <v>P</v>
      </c>
      <c r="D2047" s="620" t="s">
        <v>3221</v>
      </c>
      <c r="E2047" s="620"/>
      <c r="F2047" s="620"/>
      <c r="G2047" s="602"/>
      <c r="H2047"/>
      <c r="J2047" s="580"/>
    </row>
    <row r="2048" spans="1:10" ht="15" thickBot="1" x14ac:dyDescent="0.4">
      <c r="B2048" t="str">
        <f>IF(LEN('Ch9'!H181)=0,"",'Ch9'!H181)</f>
        <v/>
      </c>
      <c r="C2048" t="str">
        <f t="shared" si="49"/>
        <v/>
      </c>
      <c r="D2048" s="410">
        <v>902</v>
      </c>
      <c r="E2048" s="404"/>
      <c r="F2048" s="404"/>
      <c r="G2048" s="275" t="s">
        <v>3222</v>
      </c>
      <c r="H2048"/>
      <c r="J2048" s="580"/>
    </row>
    <row r="2049" spans="1:10" ht="15" thickTop="1" x14ac:dyDescent="0.35">
      <c r="A2049" s="727" t="str">
        <f ca="1">IF(COUNTIF(A2050:A2082,"P")&gt;0,"P","")</f>
        <v>P</v>
      </c>
      <c r="B2049" t="str">
        <f>IF(LEN('Ch9'!H182)=0,"",'Ch9'!H182)</f>
        <v/>
      </c>
      <c r="C2049" t="str">
        <f t="shared" ca="1" si="49"/>
        <v>P</v>
      </c>
      <c r="D2049" s="31">
        <v>902.1</v>
      </c>
      <c r="E2049" s="31"/>
      <c r="F2049" s="31"/>
      <c r="G2049" s="95" t="s">
        <v>3223</v>
      </c>
      <c r="H2049"/>
      <c r="I2049" s="433">
        <f ca="1">SUM(I2050:I2082)</f>
        <v>16</v>
      </c>
      <c r="J2049" s="580"/>
    </row>
    <row r="2050" spans="1:10" x14ac:dyDescent="0.35">
      <c r="A2050" s="366" t="str">
        <f>IF(I2050&gt;0,"P","")</f>
        <v>P</v>
      </c>
      <c r="B2050" t="str">
        <f>IF(LEN('Ch9'!H183)=0,"",'Ch9'!H183)</f>
        <v/>
      </c>
      <c r="C2050" t="str">
        <f t="shared" si="49"/>
        <v>P</v>
      </c>
      <c r="D2050" s="31" t="s">
        <v>3806</v>
      </c>
      <c r="E2050" s="31"/>
      <c r="F2050" s="31"/>
      <c r="G2050" s="95" t="s">
        <v>3807</v>
      </c>
      <c r="H2050"/>
      <c r="I2050" s="433">
        <f>SUM(I2053:I2057)</f>
        <v>8</v>
      </c>
      <c r="J2050" s="580"/>
    </row>
    <row r="2051" spans="1:10" x14ac:dyDescent="0.35">
      <c r="A2051" s="366" t="str">
        <f>IF(AND(LEN(H2051)&gt;0,NOT(H2051=FALSE)),"P","")</f>
        <v>P</v>
      </c>
      <c r="B2051" t="str">
        <f>IF(LEN('Ch9'!H184)=0,"",'Ch9'!H184)</f>
        <v/>
      </c>
      <c r="C2051" t="str">
        <f t="shared" si="49"/>
        <v>P</v>
      </c>
      <c r="D2051" s="31"/>
      <c r="E2051" s="402" t="s">
        <v>256</v>
      </c>
      <c r="F2051" s="31"/>
      <c r="G2051" s="814" t="s">
        <v>3224</v>
      </c>
      <c r="H2051" s="400" t="b">
        <f>IF(LEN('Ch9'!W184)=0,"",'Ch9'!W184)</f>
        <v>1</v>
      </c>
      <c r="J2051" s="580" t="s">
        <v>3940</v>
      </c>
    </row>
    <row r="2052" spans="1:10" x14ac:dyDescent="0.35">
      <c r="A2052" s="366" t="str">
        <f>A2051</f>
        <v>P</v>
      </c>
      <c r="B2052" t="str">
        <f>IF(LEN('Ch9'!H185)=0,"",'Ch9'!H185)</f>
        <v/>
      </c>
      <c r="C2052" t="str">
        <f t="shared" si="49"/>
        <v>P</v>
      </c>
      <c r="D2052" s="31"/>
      <c r="E2052" s="31"/>
      <c r="F2052" s="31"/>
      <c r="G2052" s="814"/>
      <c r="H2052"/>
      <c r="J2052" s="580"/>
    </row>
    <row r="2053" spans="1:10" x14ac:dyDescent="0.35">
      <c r="B2053" t="str">
        <f>IF(LEN('Ch9'!H186)=0,"",'Ch9'!H186)</f>
        <v/>
      </c>
      <c r="C2053" t="str">
        <f t="shared" si="49"/>
        <v/>
      </c>
      <c r="D2053" s="31"/>
      <c r="E2053" s="402"/>
      <c r="F2053" s="402" t="s">
        <v>121</v>
      </c>
      <c r="G2053" s="814" t="s">
        <v>3650</v>
      </c>
      <c r="H2053" s="400" t="str">
        <f>IF(LEN('Ch9'!W186)=0,"",'Ch9'!W186)</f>
        <v/>
      </c>
      <c r="I2053" s="46">
        <f>'Ch9'!O186</f>
        <v>0</v>
      </c>
      <c r="J2053" s="580"/>
    </row>
    <row r="2054" spans="1:10" x14ac:dyDescent="0.35">
      <c r="B2054" t="str">
        <f>IF(LEN('Ch9'!H187)=0,"",'Ch9'!H187)</f>
        <v/>
      </c>
      <c r="C2054" t="str">
        <f t="shared" si="49"/>
        <v/>
      </c>
      <c r="D2054" s="31"/>
      <c r="E2054" s="416"/>
      <c r="F2054" s="403"/>
      <c r="G2054" s="815"/>
      <c r="H2054"/>
      <c r="J2054" s="580"/>
    </row>
    <row r="2055" spans="1:10" x14ac:dyDescent="0.35">
      <c r="A2055" s="366" t="str">
        <f>IF(AND(LEN(H2055)&gt;0,NOT(H2055=FALSE)),"P","")</f>
        <v>P</v>
      </c>
      <c r="B2055" t="str">
        <f>IF(LEN('Ch9'!H188)=0,"",'Ch9'!H188)</f>
        <v/>
      </c>
      <c r="C2055" t="str">
        <f t="shared" si="49"/>
        <v>P</v>
      </c>
      <c r="D2055" s="31"/>
      <c r="E2055" s="402" t="s">
        <v>258</v>
      </c>
      <c r="F2055" s="31"/>
      <c r="G2055" s="814" t="s">
        <v>3225</v>
      </c>
      <c r="H2055" s="400" t="str">
        <f>IF(LEN('Ch9'!W188)=0,"",'Ch9'!W188)</f>
        <v>Met</v>
      </c>
      <c r="J2055" s="580" t="s">
        <v>3891</v>
      </c>
    </row>
    <row r="2056" spans="1:10" x14ac:dyDescent="0.35">
      <c r="A2056" s="366" t="str">
        <f>A2055</f>
        <v>P</v>
      </c>
      <c r="B2056" t="str">
        <f>IF(LEN('Ch9'!H189)=0,"",'Ch9'!H189)</f>
        <v/>
      </c>
      <c r="C2056" t="str">
        <f t="shared" si="49"/>
        <v>P</v>
      </c>
      <c r="D2056" s="31"/>
      <c r="E2056" s="416"/>
      <c r="F2056" s="403"/>
      <c r="G2056" s="815"/>
      <c r="H2056"/>
      <c r="J2056" s="580"/>
    </row>
    <row r="2057" spans="1:10" x14ac:dyDescent="0.35">
      <c r="A2057" s="366" t="str">
        <f>IF(I2057&gt;0,"P","")</f>
        <v>P</v>
      </c>
      <c r="B2057" t="str">
        <f>IF(LEN('Ch9'!H190)=0,"",'Ch9'!H190)</f>
        <v/>
      </c>
      <c r="C2057" t="str">
        <f t="shared" si="49"/>
        <v>P</v>
      </c>
      <c r="D2057" s="31"/>
      <c r="E2057" s="402" t="s">
        <v>260</v>
      </c>
      <c r="F2057" s="31"/>
      <c r="G2057" s="814" t="s">
        <v>3226</v>
      </c>
      <c r="H2057" s="400" t="b">
        <f>IF(LEN('Ch9'!W190)=0,"",'Ch9'!W190)</f>
        <v>1</v>
      </c>
      <c r="I2057" s="46">
        <f>'Ch9'!O190</f>
        <v>8</v>
      </c>
      <c r="J2057" s="580" t="s">
        <v>3941</v>
      </c>
    </row>
    <row r="2058" spans="1:10" x14ac:dyDescent="0.35">
      <c r="A2058" s="366" t="str">
        <f>A2057</f>
        <v>P</v>
      </c>
      <c r="B2058" t="str">
        <f>IF(LEN('Ch9'!H191)=0,"",'Ch9'!H191)</f>
        <v/>
      </c>
      <c r="C2058" t="str">
        <f t="shared" si="49"/>
        <v>P</v>
      </c>
      <c r="D2058" s="31"/>
      <c r="E2058" s="402"/>
      <c r="F2058" s="31"/>
      <c r="G2058" s="814"/>
      <c r="H2058"/>
      <c r="J2058" s="580"/>
    </row>
    <row r="2059" spans="1:10" x14ac:dyDescent="0.35">
      <c r="A2059" s="366" t="str">
        <f>A2058</f>
        <v>P</v>
      </c>
      <c r="B2059" t="str">
        <f>IF(LEN('Ch9'!H192)=0,"",'Ch9'!H192)</f>
        <v/>
      </c>
      <c r="C2059" t="str">
        <f t="shared" si="49"/>
        <v>P</v>
      </c>
      <c r="D2059" s="403"/>
      <c r="E2059" s="403"/>
      <c r="F2059" s="403"/>
      <c r="G2059" s="815"/>
      <c r="H2059"/>
      <c r="J2059" s="580"/>
    </row>
    <row r="2060" spans="1:10" x14ac:dyDescent="0.35">
      <c r="A2060" s="366" t="str">
        <f>IF(I2060&gt;0,"P","")</f>
        <v/>
      </c>
      <c r="B2060" t="str">
        <f>IF(LEN('Ch9'!H193)=0,"",'Ch9'!H193)</f>
        <v/>
      </c>
      <c r="C2060" t="str">
        <f t="shared" si="49"/>
        <v/>
      </c>
      <c r="D2060" s="405" t="s">
        <v>3227</v>
      </c>
      <c r="E2060" s="405"/>
      <c r="F2060" s="405"/>
      <c r="G2060" s="905" t="s">
        <v>3228</v>
      </c>
      <c r="H2060"/>
      <c r="I2060" s="46">
        <f>'Ch9'!O193</f>
        <v>0</v>
      </c>
      <c r="J2060" s="580" t="s">
        <v>3891</v>
      </c>
    </row>
    <row r="2061" spans="1:10" x14ac:dyDescent="0.35">
      <c r="A2061" s="366" t="str">
        <f>A2060</f>
        <v/>
      </c>
      <c r="B2061" t="str">
        <f>IF(LEN('Ch9'!H194)=0,"",'Ch9'!H194)</f>
        <v/>
      </c>
      <c r="C2061" t="str">
        <f t="shared" si="49"/>
        <v/>
      </c>
      <c r="D2061" s="31"/>
      <c r="E2061" s="31"/>
      <c r="F2061" s="31"/>
      <c r="G2061" s="838"/>
      <c r="H2061" s="400" t="str">
        <f>IF(LEN('Ch9'!W194)=0,"",'Ch9'!W194)</f>
        <v/>
      </c>
      <c r="J2061" s="580"/>
    </row>
    <row r="2062" spans="1:10" x14ac:dyDescent="0.35">
      <c r="B2062" t="str">
        <f>IF(LEN('Ch9'!H195)=0,"",'Ch9'!H195)</f>
        <v/>
      </c>
      <c r="C2062" t="str">
        <f t="shared" si="49"/>
        <v/>
      </c>
      <c r="D2062" s="31"/>
      <c r="E2062" s="416" t="s">
        <v>256</v>
      </c>
      <c r="F2062" s="403"/>
      <c r="G2062" s="228" t="s">
        <v>3230</v>
      </c>
      <c r="H2062"/>
      <c r="J2062" s="580"/>
    </row>
    <row r="2063" spans="1:10" x14ac:dyDescent="0.35">
      <c r="B2063" t="str">
        <f>IF(LEN('Ch9'!H196)=0,"",'Ch9'!H196)</f>
        <v/>
      </c>
      <c r="C2063" t="str">
        <f t="shared" si="49"/>
        <v/>
      </c>
      <c r="D2063" s="403"/>
      <c r="E2063" s="416" t="s">
        <v>258</v>
      </c>
      <c r="F2063" s="403"/>
      <c r="G2063" s="228" t="s">
        <v>3231</v>
      </c>
      <c r="H2063" s="400" t="str">
        <f>IF(LEN('Ch9'!W196)=0,"",'Ch9'!W196)</f>
        <v/>
      </c>
      <c r="J2063" s="580"/>
    </row>
    <row r="2064" spans="1:10" x14ac:dyDescent="0.35">
      <c r="A2064" s="366" t="str">
        <f>IF(I2064&gt;0,"P","")</f>
        <v/>
      </c>
      <c r="B2064" t="str">
        <f>IF(LEN('Ch9'!H197)=0,"",'Ch9'!H197)</f>
        <v/>
      </c>
      <c r="C2064" t="str">
        <f t="shared" si="49"/>
        <v/>
      </c>
      <c r="D2064" s="405" t="s">
        <v>3232</v>
      </c>
      <c r="E2064" s="405"/>
      <c r="F2064" s="405"/>
      <c r="G2064" s="905" t="s">
        <v>3233</v>
      </c>
      <c r="H2064" s="400" t="str">
        <f>IF(LEN('Ch9'!W197)=0,"",'Ch9'!W197)</f>
        <v/>
      </c>
      <c r="I2064" s="46">
        <f>'Ch9'!O197</f>
        <v>0</v>
      </c>
      <c r="J2064" s="580" t="s">
        <v>5033</v>
      </c>
    </row>
    <row r="2065" spans="1:10" x14ac:dyDescent="0.35">
      <c r="A2065" s="366" t="str">
        <f>A2064</f>
        <v/>
      </c>
      <c r="B2065" t="str">
        <f>IF(LEN('Ch9'!H198)=0,"",'Ch9'!H198)</f>
        <v/>
      </c>
      <c r="C2065" t="str">
        <f t="shared" si="49"/>
        <v/>
      </c>
      <c r="D2065" s="31"/>
      <c r="E2065" s="31"/>
      <c r="F2065" s="31"/>
      <c r="G2065" s="838"/>
      <c r="H2065"/>
      <c r="J2065" s="580"/>
    </row>
    <row r="2066" spans="1:10" x14ac:dyDescent="0.35">
      <c r="B2066" t="str">
        <f>IF(LEN('Ch9'!H199)=0,"",'Ch9'!H199)</f>
        <v/>
      </c>
      <c r="C2066" t="str">
        <f t="shared" ref="C2066:C2130" si="50">IF(LEN(B2066)=0,IF(A2066="P","P",""),B2066)</f>
        <v/>
      </c>
      <c r="D2066" s="31"/>
      <c r="E2066" s="31"/>
      <c r="F2066" s="402" t="s">
        <v>121</v>
      </c>
      <c r="G2066" s="90" t="s">
        <v>3234</v>
      </c>
      <c r="H2066"/>
      <c r="J2066" s="580"/>
    </row>
    <row r="2067" spans="1:10" ht="15" customHeight="1" x14ac:dyDescent="0.35">
      <c r="B2067" t="str">
        <f>IF(LEN('Ch9'!H200)=0,"",'Ch9'!H200)</f>
        <v/>
      </c>
      <c r="C2067" t="str">
        <f t="shared" si="50"/>
        <v/>
      </c>
      <c r="D2067" s="403"/>
      <c r="E2067" s="403"/>
      <c r="F2067" s="416" t="s">
        <v>122</v>
      </c>
      <c r="G2067" s="228" t="s">
        <v>3235</v>
      </c>
      <c r="H2067"/>
      <c r="J2067" s="580"/>
    </row>
    <row r="2068" spans="1:10" ht="52" x14ac:dyDescent="0.35">
      <c r="A2068" s="366" t="str">
        <f>IF(I2068&gt;0,"P","")</f>
        <v/>
      </c>
      <c r="B2068" t="str">
        <f>IF(LEN('Ch9'!H201)=0,"",'Ch9'!H201)</f>
        <v/>
      </c>
      <c r="C2068" t="str">
        <f t="shared" si="50"/>
        <v/>
      </c>
      <c r="D2068" s="405" t="s">
        <v>3236</v>
      </c>
      <c r="E2068" s="405"/>
      <c r="F2068" s="405"/>
      <c r="G2068" s="325" t="s">
        <v>3237</v>
      </c>
      <c r="H2068"/>
      <c r="I2068" s="46">
        <f>'Ch9'!O201</f>
        <v>0</v>
      </c>
      <c r="J2068" s="580" t="s">
        <v>5034</v>
      </c>
    </row>
    <row r="2069" spans="1:10" x14ac:dyDescent="0.35">
      <c r="B2069" t="str">
        <f>IF(LEN('Ch9'!H202)=0,"",'Ch9'!H202)</f>
        <v/>
      </c>
      <c r="C2069" t="str">
        <f t="shared" si="50"/>
        <v/>
      </c>
      <c r="D2069" s="31"/>
      <c r="E2069" s="402" t="s">
        <v>256</v>
      </c>
      <c r="F2069" s="31"/>
      <c r="G2069" s="90" t="s">
        <v>3653</v>
      </c>
      <c r="H2069"/>
      <c r="J2069" s="580"/>
    </row>
    <row r="2070" spans="1:10" x14ac:dyDescent="0.35">
      <c r="B2070" t="str">
        <f>IF(LEN('Ch9'!H203)=0,"",'Ch9'!H203)</f>
        <v/>
      </c>
      <c r="C2070" t="str">
        <f t="shared" si="50"/>
        <v/>
      </c>
      <c r="D2070" s="31"/>
      <c r="E2070" s="416"/>
      <c r="F2070" s="403"/>
      <c r="G2070" s="142" t="s">
        <v>3238</v>
      </c>
      <c r="H2070" s="400" t="str">
        <f>IF(LEN('Ch9'!W203)=0,"",'Ch9'!W203)</f>
        <v/>
      </c>
      <c r="J2070" s="580"/>
    </row>
    <row r="2071" spans="1:10" x14ac:dyDescent="0.35">
      <c r="B2071" t="str">
        <f>IF(LEN('Ch9'!H204)=0,"",'Ch9'!H204)</f>
        <v/>
      </c>
      <c r="C2071" t="str">
        <f t="shared" si="50"/>
        <v/>
      </c>
      <c r="D2071" s="31"/>
      <c r="E2071" s="402" t="s">
        <v>258</v>
      </c>
      <c r="F2071" s="31"/>
      <c r="G2071" s="90" t="s">
        <v>3239</v>
      </c>
      <c r="H2071"/>
      <c r="J2071" s="580"/>
    </row>
    <row r="2072" spans="1:10" x14ac:dyDescent="0.35">
      <c r="B2072" t="str">
        <f>IF(LEN('Ch9'!H205)=0,"",'Ch9'!H205)</f>
        <v/>
      </c>
      <c r="C2072" t="str">
        <f t="shared" si="50"/>
        <v/>
      </c>
      <c r="D2072" s="403"/>
      <c r="E2072" s="403"/>
      <c r="F2072" s="403"/>
      <c r="G2072" s="142" t="s">
        <v>3238</v>
      </c>
      <c r="H2072" s="400" t="str">
        <f>IF(LEN('Ch9'!W205)=0,"",'Ch9'!W205)</f>
        <v/>
      </c>
      <c r="J2072" s="580"/>
    </row>
    <row r="2073" spans="1:10" x14ac:dyDescent="0.35">
      <c r="A2073" s="366" t="str">
        <f>IF(I2073&gt;0,"P","")</f>
        <v/>
      </c>
      <c r="B2073" t="str">
        <f>IF(LEN('Ch9'!H206)=0,"",'Ch9'!H206)</f>
        <v/>
      </c>
      <c r="C2073" t="str">
        <f t="shared" si="50"/>
        <v/>
      </c>
      <c r="D2073" s="31" t="s">
        <v>3240</v>
      </c>
      <c r="E2073" s="31"/>
      <c r="F2073" s="31"/>
      <c r="G2073" s="838" t="s">
        <v>3241</v>
      </c>
      <c r="H2073"/>
      <c r="I2073" s="46">
        <f>'Ch9'!O206</f>
        <v>0</v>
      </c>
      <c r="J2073" s="580" t="s">
        <v>3891</v>
      </c>
    </row>
    <row r="2074" spans="1:10" x14ac:dyDescent="0.35">
      <c r="A2074" s="366" t="str">
        <f>A2073</f>
        <v/>
      </c>
      <c r="B2074" t="str">
        <f>IF(LEN('Ch9'!H207)=0,"",'Ch9'!H207)</f>
        <v/>
      </c>
      <c r="C2074" t="str">
        <f t="shared" si="50"/>
        <v/>
      </c>
      <c r="D2074" s="31"/>
      <c r="E2074" s="31"/>
      <c r="F2074" s="31"/>
      <c r="G2074" s="838"/>
      <c r="H2074"/>
      <c r="J2074" s="580"/>
    </row>
    <row r="2075" spans="1:10" x14ac:dyDescent="0.35">
      <c r="B2075" t="str">
        <f>IF(LEN('Ch9'!H208)=0,"",'Ch9'!H208)</f>
        <v/>
      </c>
      <c r="C2075" t="str">
        <f t="shared" si="50"/>
        <v/>
      </c>
      <c r="D2075" s="31"/>
      <c r="E2075" s="402" t="s">
        <v>256</v>
      </c>
      <c r="F2075" s="31"/>
      <c r="G2075" s="814" t="s">
        <v>4492</v>
      </c>
      <c r="H2075" s="400" t="str">
        <f>IF(LEN('Ch9'!W208)=0,"",'Ch9'!W208)</f>
        <v/>
      </c>
      <c r="J2075" s="580"/>
    </row>
    <row r="2076" spans="1:10" x14ac:dyDescent="0.35">
      <c r="B2076" t="str">
        <f>IF(LEN('Ch9'!H209)=0,"",'Ch9'!H209)</f>
        <v/>
      </c>
      <c r="C2076" t="str">
        <f t="shared" si="50"/>
        <v/>
      </c>
      <c r="D2076" s="31"/>
      <c r="E2076" s="416"/>
      <c r="F2076" s="403"/>
      <c r="G2076" s="815"/>
      <c r="H2076"/>
      <c r="J2076" s="580"/>
    </row>
    <row r="2077" spans="1:10" x14ac:dyDescent="0.35">
      <c r="B2077" t="str">
        <f>IF(LEN('Ch9'!H210)=0,"",'Ch9'!H210)</f>
        <v/>
      </c>
      <c r="C2077" t="str">
        <f t="shared" si="50"/>
        <v/>
      </c>
      <c r="D2077" s="31"/>
      <c r="E2077" s="402" t="s">
        <v>258</v>
      </c>
      <c r="F2077" s="31"/>
      <c r="G2077" s="814" t="s">
        <v>3242</v>
      </c>
      <c r="H2077" s="400" t="str">
        <f>IF(LEN('Ch9'!W210)=0,"",'Ch9'!W210)</f>
        <v/>
      </c>
      <c r="J2077" s="580"/>
    </row>
    <row r="2078" spans="1:10" x14ac:dyDescent="0.35">
      <c r="B2078" t="str">
        <f>IF(LEN('Ch9'!H211)=0,"",'Ch9'!H211)</f>
        <v/>
      </c>
      <c r="C2078" t="str">
        <f t="shared" si="50"/>
        <v/>
      </c>
      <c r="D2078" s="31"/>
      <c r="E2078" s="403"/>
      <c r="F2078" s="403"/>
      <c r="G2078" s="815"/>
      <c r="H2078"/>
      <c r="J2078" s="580"/>
    </row>
    <row r="2079" spans="1:10" x14ac:dyDescent="0.35">
      <c r="B2079" t="str">
        <f>IF(LEN('Ch9'!H212)=0,"",'Ch9'!H212)</f>
        <v/>
      </c>
      <c r="C2079" t="str">
        <f t="shared" si="50"/>
        <v/>
      </c>
      <c r="D2079" s="31"/>
      <c r="E2079" s="402" t="s">
        <v>260</v>
      </c>
      <c r="F2079" s="31"/>
      <c r="G2079" s="814" t="s">
        <v>3243</v>
      </c>
      <c r="H2079" s="400" t="str">
        <f>IF(LEN('Ch9'!W212)=0,"",'Ch9'!W212)</f>
        <v/>
      </c>
      <c r="J2079" s="580"/>
    </row>
    <row r="2080" spans="1:10" x14ac:dyDescent="0.35">
      <c r="B2080" t="str">
        <f>IF(LEN('Ch9'!H213)=0,"",'Ch9'!H213)</f>
        <v/>
      </c>
      <c r="C2080" t="str">
        <f t="shared" si="50"/>
        <v/>
      </c>
      <c r="D2080" s="31"/>
      <c r="E2080" s="31"/>
      <c r="F2080" s="31"/>
      <c r="G2080" s="814"/>
      <c r="H2080"/>
      <c r="J2080" s="580"/>
    </row>
    <row r="2081" spans="1:10" x14ac:dyDescent="0.35">
      <c r="B2081" t="str">
        <f>IF(LEN('Ch9'!H214)=0,"",'Ch9'!H214)</f>
        <v/>
      </c>
      <c r="C2081" t="str">
        <f t="shared" si="50"/>
        <v/>
      </c>
      <c r="D2081" s="403"/>
      <c r="E2081" s="403"/>
      <c r="F2081" s="403"/>
      <c r="G2081" s="815"/>
      <c r="H2081"/>
      <c r="J2081" s="580"/>
    </row>
    <row r="2082" spans="1:10" x14ac:dyDescent="0.35">
      <c r="A2082" s="366" t="str">
        <f ca="1">IF(I2082&gt;0,"P","")</f>
        <v/>
      </c>
      <c r="B2082" t="str">
        <f>IF(LEN('Ch9'!H215)=0,"",'Ch9'!H215)</f>
        <v/>
      </c>
      <c r="C2082" t="str">
        <f t="shared" ca="1" si="50"/>
        <v/>
      </c>
      <c r="D2082" s="402" t="s">
        <v>4493</v>
      </c>
      <c r="E2082" s="402"/>
      <c r="F2082" s="402"/>
      <c r="G2082" s="841" t="s">
        <v>4494</v>
      </c>
      <c r="H2082" s="400" t="str">
        <f>IF(LEN('Ch9'!W215)=0,"",'Ch9'!W215)</f>
        <v/>
      </c>
      <c r="I2082" s="46">
        <f ca="1">'Ch9'!O215</f>
        <v>0</v>
      </c>
      <c r="J2082" s="580" t="s">
        <v>5035</v>
      </c>
    </row>
    <row r="2083" spans="1:10" x14ac:dyDescent="0.35">
      <c r="A2083" s="366" t="str">
        <f ca="1">A2082</f>
        <v/>
      </c>
      <c r="B2083" t="str">
        <f>IF(LEN('Ch9'!H216)=0,"",'Ch9'!H216)</f>
        <v/>
      </c>
      <c r="C2083" t="str">
        <f t="shared" ca="1" si="50"/>
        <v/>
      </c>
      <c r="D2083" s="402"/>
      <c r="E2083" s="402"/>
      <c r="F2083" s="402"/>
      <c r="G2083" s="841"/>
      <c r="H2083"/>
      <c r="J2083" s="580"/>
    </row>
    <row r="2084" spans="1:10" ht="15" thickBot="1" x14ac:dyDescent="0.4">
      <c r="A2084" s="366" t="str">
        <f ca="1">A2083</f>
        <v/>
      </c>
      <c r="B2084" t="str">
        <f>IF(LEN('Ch9'!H217)=0,"",'Ch9'!H217)</f>
        <v/>
      </c>
      <c r="C2084" t="str">
        <f t="shared" ca="1" si="50"/>
        <v/>
      </c>
      <c r="D2084" s="402"/>
      <c r="E2084" s="402"/>
      <c r="F2084" s="402"/>
      <c r="G2084" s="854"/>
      <c r="H2084"/>
      <c r="J2084" s="580"/>
    </row>
    <row r="2085" spans="1:10" ht="15" thickTop="1" x14ac:dyDescent="0.35">
      <c r="A2085" s="366" t="str">
        <f ca="1">IF(I2085&gt;0,"P","")</f>
        <v>P</v>
      </c>
      <c r="B2085" t="str">
        <f>IF(LEN('Ch9'!H218)=0,"",'Ch9'!H218)</f>
        <v/>
      </c>
      <c r="C2085" t="str">
        <f t="shared" ca="1" si="50"/>
        <v>P</v>
      </c>
      <c r="D2085" s="60">
        <v>902.2</v>
      </c>
      <c r="E2085" s="60"/>
      <c r="F2085" s="60"/>
      <c r="G2085" s="274" t="s">
        <v>3244</v>
      </c>
      <c r="H2085"/>
      <c r="I2085" s="433">
        <f ca="1">SUM(I2086:I2102)</f>
        <v>3</v>
      </c>
      <c r="J2085" s="580"/>
    </row>
    <row r="2086" spans="1:10" x14ac:dyDescent="0.35">
      <c r="A2086" s="366" t="str">
        <f ca="1">IF(I2086&gt;0,"P","")</f>
        <v>P</v>
      </c>
      <c r="B2086" t="str">
        <f>IF(LEN('Ch9'!H219)=0,"",'Ch9'!H219)</f>
        <v/>
      </c>
      <c r="C2086" t="str">
        <f t="shared" ca="1" si="50"/>
        <v>P</v>
      </c>
      <c r="D2086" s="31" t="s">
        <v>3655</v>
      </c>
      <c r="E2086" s="31"/>
      <c r="F2086" s="31"/>
      <c r="G2086" s="838" t="s">
        <v>5594</v>
      </c>
      <c r="H2086" s="400" t="str">
        <f>IF(LEN('Ch9'!W219)=0,"",'Ch9'!W219)</f>
        <v>(1)</v>
      </c>
      <c r="I2086" s="46">
        <f ca="1">'Ch9'!O219</f>
        <v>3</v>
      </c>
      <c r="J2086" s="975" t="s">
        <v>5036</v>
      </c>
    </row>
    <row r="2087" spans="1:10" x14ac:dyDescent="0.35">
      <c r="A2087" s="366" t="str">
        <f ca="1">A2086</f>
        <v>P</v>
      </c>
      <c r="B2087" t="str">
        <f>IF(LEN('Ch9'!H220)=0,"",'Ch9'!H220)</f>
        <v/>
      </c>
      <c r="C2087" t="str">
        <f t="shared" ca="1" si="50"/>
        <v>P</v>
      </c>
      <c r="D2087" s="31"/>
      <c r="E2087" s="31"/>
      <c r="F2087" s="31"/>
      <c r="G2087" s="838"/>
      <c r="H2087"/>
      <c r="J2087" s="979"/>
    </row>
    <row r="2088" spans="1:10" x14ac:dyDescent="0.35">
      <c r="A2088" s="366" t="str">
        <f t="shared" ref="A2088:A2089" ca="1" si="51">A2087</f>
        <v>P</v>
      </c>
      <c r="B2088" t="str">
        <f>IF(LEN('Ch9'!H221)=0,"",'Ch9'!H221)</f>
        <v/>
      </c>
      <c r="C2088" t="str">
        <f t="shared" ca="1" si="50"/>
        <v>P</v>
      </c>
      <c r="D2088" s="31"/>
      <c r="E2088" s="31"/>
      <c r="F2088" s="31"/>
      <c r="G2088" s="838"/>
      <c r="H2088"/>
      <c r="J2088" s="979"/>
    </row>
    <row r="2089" spans="1:10" x14ac:dyDescent="0.35">
      <c r="A2089" s="366" t="str">
        <f t="shared" ca="1" si="51"/>
        <v>P</v>
      </c>
      <c r="B2089" t="str">
        <f>IF(LEN('Ch9'!H222)=0,"",'Ch9'!H222)</f>
        <v/>
      </c>
      <c r="C2089" t="str">
        <f t="shared" ca="1" si="50"/>
        <v>P</v>
      </c>
      <c r="D2089" s="31"/>
      <c r="E2089" s="31"/>
      <c r="F2089" s="31"/>
      <c r="G2089" s="838"/>
      <c r="H2089"/>
      <c r="J2089" s="976"/>
    </row>
    <row r="2090" spans="1:10" x14ac:dyDescent="0.35">
      <c r="B2090" t="str">
        <f>IF(LEN('Ch9'!H223)=0,"",'Ch9'!H223)</f>
        <v/>
      </c>
      <c r="C2090" t="str">
        <f t="shared" si="50"/>
        <v/>
      </c>
      <c r="D2090" s="31"/>
      <c r="E2090" s="402" t="s">
        <v>256</v>
      </c>
      <c r="F2090" s="31"/>
      <c r="G2090" s="848" t="s">
        <v>3245</v>
      </c>
      <c r="H2090"/>
      <c r="J2090" s="580"/>
    </row>
    <row r="2091" spans="1:10" x14ac:dyDescent="0.35">
      <c r="B2091" t="str">
        <f>IF(LEN('Ch9'!H224)=0,"",'Ch9'!H224)</f>
        <v/>
      </c>
      <c r="C2091" t="str">
        <f t="shared" si="50"/>
        <v/>
      </c>
      <c r="D2091" s="31"/>
      <c r="E2091" s="416"/>
      <c r="F2091" s="403"/>
      <c r="G2091" s="821"/>
      <c r="H2091"/>
      <c r="J2091" s="580"/>
    </row>
    <row r="2092" spans="1:10" x14ac:dyDescent="0.35">
      <c r="B2092" t="str">
        <f>IF(LEN('Ch9'!H225)=0,"",'Ch9'!H225)</f>
        <v/>
      </c>
      <c r="C2092" t="str">
        <f t="shared" si="50"/>
        <v/>
      </c>
      <c r="D2092" s="31"/>
      <c r="E2092" s="402" t="s">
        <v>258</v>
      </c>
      <c r="F2092" s="31"/>
      <c r="G2092" s="814" t="s">
        <v>3246</v>
      </c>
      <c r="H2092"/>
      <c r="J2092" s="580"/>
    </row>
    <row r="2093" spans="1:10" x14ac:dyDescent="0.35">
      <c r="B2093" t="str">
        <f>IF(LEN('Ch9'!H226)=0,"",'Ch9'!H226)</f>
        <v/>
      </c>
      <c r="C2093" t="str">
        <f t="shared" si="50"/>
        <v/>
      </c>
      <c r="D2093" s="31"/>
      <c r="E2093" s="403"/>
      <c r="F2093" s="403"/>
      <c r="G2093" s="815"/>
      <c r="H2093"/>
      <c r="J2093" s="580"/>
    </row>
    <row r="2094" spans="1:10" x14ac:dyDescent="0.35">
      <c r="B2094" t="str">
        <f>IF(LEN('Ch9'!H227)=0,"",'Ch9'!H227)</f>
        <v/>
      </c>
      <c r="C2094" t="str">
        <f t="shared" si="50"/>
        <v/>
      </c>
      <c r="D2094" s="31"/>
      <c r="E2094" s="416" t="s">
        <v>260</v>
      </c>
      <c r="F2094" s="403"/>
      <c r="G2094" s="228" t="s">
        <v>3247</v>
      </c>
      <c r="H2094"/>
      <c r="J2094" s="580"/>
    </row>
    <row r="2095" spans="1:10" x14ac:dyDescent="0.35">
      <c r="B2095" t="str">
        <f>IF(LEN('Ch9'!H228)=0,"",'Ch9'!H228)</f>
        <v/>
      </c>
      <c r="C2095" t="str">
        <f t="shared" si="50"/>
        <v/>
      </c>
      <c r="D2095" s="31"/>
      <c r="E2095" s="416" t="s">
        <v>269</v>
      </c>
      <c r="F2095" s="403"/>
      <c r="G2095" s="228" t="s">
        <v>3248</v>
      </c>
      <c r="H2095"/>
      <c r="J2095" s="580"/>
    </row>
    <row r="2096" spans="1:10" x14ac:dyDescent="0.35">
      <c r="B2096" t="str">
        <f>IF(LEN('Ch9'!H229)=0,"",'Ch9'!H229)</f>
        <v/>
      </c>
      <c r="C2096" t="str">
        <f t="shared" si="50"/>
        <v/>
      </c>
      <c r="D2096" s="31"/>
      <c r="E2096" s="416" t="s">
        <v>275</v>
      </c>
      <c r="F2096" s="403"/>
      <c r="G2096" s="228" t="s">
        <v>4495</v>
      </c>
      <c r="H2096"/>
      <c r="J2096" s="580"/>
    </row>
    <row r="2097" spans="1:10" x14ac:dyDescent="0.35">
      <c r="A2097" s="366" t="str">
        <f ca="1">IF(I2097&gt;0,"P","")</f>
        <v/>
      </c>
      <c r="B2097" t="str">
        <f>IF(LEN('Ch9'!H230)=0,"",'Ch9'!H230)</f>
        <v/>
      </c>
      <c r="C2097" t="str">
        <f t="shared" ca="1" si="50"/>
        <v/>
      </c>
      <c r="D2097" s="405" t="s">
        <v>3249</v>
      </c>
      <c r="E2097" s="405"/>
      <c r="F2097" s="405"/>
      <c r="G2097" s="905" t="s">
        <v>4496</v>
      </c>
      <c r="H2097" s="400" t="str">
        <f>IF(LEN('Ch9'!W230)=0,"",'Ch9'!W230)</f>
        <v/>
      </c>
      <c r="I2097" s="46">
        <f ca="1">'Ch9'!O230</f>
        <v>0</v>
      </c>
      <c r="J2097" s="580" t="s">
        <v>3942</v>
      </c>
    </row>
    <row r="2098" spans="1:10" x14ac:dyDescent="0.35">
      <c r="A2098" s="366" t="str">
        <f ca="1">A2097</f>
        <v/>
      </c>
      <c r="B2098" t="str">
        <f>IF(LEN('Ch9'!H231)=0,"",'Ch9'!H231)</f>
        <v/>
      </c>
      <c r="C2098" t="str">
        <f t="shared" ca="1" si="50"/>
        <v/>
      </c>
      <c r="D2098" s="403"/>
      <c r="E2098" s="403"/>
      <c r="F2098" s="403"/>
      <c r="G2098" s="889"/>
      <c r="H2098"/>
      <c r="J2098" s="580"/>
    </row>
    <row r="2099" spans="1:10" x14ac:dyDescent="0.35">
      <c r="A2099" s="366" t="str">
        <f>IF(I2099&gt;0,"P","")</f>
        <v/>
      </c>
      <c r="B2099" t="str">
        <f>IF(LEN('Ch9'!H232)=0,"",'Ch9'!H232)</f>
        <v/>
      </c>
      <c r="C2099" t="str">
        <f t="shared" si="50"/>
        <v/>
      </c>
      <c r="D2099" s="405" t="s">
        <v>3250</v>
      </c>
      <c r="E2099" s="405"/>
      <c r="F2099" s="405"/>
      <c r="G2099" s="905" t="s">
        <v>3251</v>
      </c>
      <c r="H2099" s="400" t="str">
        <f>IF(LEN('Ch9'!W232)=0,"",'Ch9'!W232)</f>
        <v/>
      </c>
      <c r="I2099" s="46">
        <f>'Ch9'!O232</f>
        <v>0</v>
      </c>
      <c r="J2099" s="580" t="s">
        <v>3943</v>
      </c>
    </row>
    <row r="2100" spans="1:10" x14ac:dyDescent="0.35">
      <c r="A2100" s="366" t="str">
        <f>A2099</f>
        <v/>
      </c>
      <c r="B2100" t="str">
        <f>IF(LEN('Ch9'!H233)=0,"",'Ch9'!H233)</f>
        <v/>
      </c>
      <c r="C2100" t="str">
        <f t="shared" si="50"/>
        <v/>
      </c>
      <c r="D2100" s="31"/>
      <c r="E2100" s="31"/>
      <c r="F2100" s="31"/>
      <c r="G2100" s="838"/>
      <c r="H2100"/>
      <c r="J2100" s="580"/>
    </row>
    <row r="2101" spans="1:10" x14ac:dyDescent="0.35">
      <c r="A2101" s="366" t="str">
        <f>A2100</f>
        <v/>
      </c>
      <c r="B2101" t="str">
        <f>IF(LEN('Ch9'!H234)=0,"",'Ch9'!H234)</f>
        <v/>
      </c>
      <c r="C2101" t="str">
        <f t="shared" si="50"/>
        <v/>
      </c>
      <c r="D2101" s="403"/>
      <c r="E2101" s="403"/>
      <c r="F2101" s="403"/>
      <c r="G2101" s="889"/>
      <c r="H2101"/>
      <c r="J2101" s="580"/>
    </row>
    <row r="2102" spans="1:10" x14ac:dyDescent="0.35">
      <c r="A2102" s="366" t="str">
        <f>IF(I2102&gt;0,"P","")</f>
        <v/>
      </c>
      <c r="B2102" t="str">
        <f>IF(LEN('Ch9'!H235)=0,"",'Ch9'!H235)</f>
        <v/>
      </c>
      <c r="C2102" t="str">
        <f t="shared" si="50"/>
        <v/>
      </c>
      <c r="D2102" s="31" t="s">
        <v>3252</v>
      </c>
      <c r="E2102" s="31"/>
      <c r="F2102" s="31"/>
      <c r="G2102" s="838" t="s">
        <v>3253</v>
      </c>
      <c r="H2102" s="400" t="str">
        <f>IF(LEN('Ch9'!W235)=0,"",'Ch9'!W235)</f>
        <v/>
      </c>
      <c r="I2102" s="46">
        <f>'Ch9'!O235</f>
        <v>0</v>
      </c>
      <c r="J2102" s="580" t="s">
        <v>3943</v>
      </c>
    </row>
    <row r="2103" spans="1:10" x14ac:dyDescent="0.35">
      <c r="A2103" s="366" t="str">
        <f>A2102</f>
        <v/>
      </c>
      <c r="B2103" t="str">
        <f>IF(LEN('Ch9'!H236)=0,"",'Ch9'!H236)</f>
        <v/>
      </c>
      <c r="C2103" t="str">
        <f t="shared" si="50"/>
        <v/>
      </c>
      <c r="D2103" s="31"/>
      <c r="E2103" s="31"/>
      <c r="F2103" s="31"/>
      <c r="G2103" s="838"/>
      <c r="H2103"/>
      <c r="J2103" s="580"/>
    </row>
    <row r="2104" spans="1:10" ht="15" thickBot="1" x14ac:dyDescent="0.4">
      <c r="A2104" s="366" t="str">
        <f>A2103</f>
        <v/>
      </c>
      <c r="B2104" t="str">
        <f>IF(LEN('Ch9'!H237)=0,"",'Ch9'!H237)</f>
        <v/>
      </c>
      <c r="C2104" t="str">
        <f t="shared" si="50"/>
        <v/>
      </c>
      <c r="D2104" s="404"/>
      <c r="E2104" s="404"/>
      <c r="F2104" s="404"/>
      <c r="G2104" s="849"/>
      <c r="H2104"/>
      <c r="J2104" s="580"/>
    </row>
    <row r="2105" spans="1:10" ht="15" thickTop="1" x14ac:dyDescent="0.35">
      <c r="A2105" s="366" t="str">
        <f ca="1">IF(I2105&gt;0,"P","")</f>
        <v/>
      </c>
      <c r="B2105" t="str">
        <f>IF(LEN('Ch9'!H238)=0,"",'Ch9'!H238)</f>
        <v/>
      </c>
      <c r="C2105" t="str">
        <f t="shared" ca="1" si="50"/>
        <v/>
      </c>
      <c r="D2105" s="402" t="s">
        <v>4497</v>
      </c>
      <c r="E2105" s="402"/>
      <c r="F2105" s="402"/>
      <c r="G2105" s="841" t="s">
        <v>4498</v>
      </c>
      <c r="H2105" s="400" t="str">
        <f>IF(LEN('Ch9'!W238)=0,"",'Ch9'!W238)</f>
        <v>N/A</v>
      </c>
      <c r="I2105" s="433">
        <f ca="1">SUM(I2108:I2178)</f>
        <v>0</v>
      </c>
      <c r="J2105" s="580" t="s">
        <v>5037</v>
      </c>
    </row>
    <row r="2106" spans="1:10" x14ac:dyDescent="0.35">
      <c r="A2106" s="366" t="str">
        <f ca="1">A2105</f>
        <v/>
      </c>
      <c r="B2106" t="str">
        <f>IF(LEN('Ch9'!H239)=0,"",'Ch9'!H239)</f>
        <v/>
      </c>
      <c r="C2106" t="str">
        <f t="shared" ca="1" si="50"/>
        <v/>
      </c>
      <c r="D2106" s="402"/>
      <c r="E2106" s="402"/>
      <c r="F2106" s="402"/>
      <c r="G2106" s="841"/>
      <c r="H2106"/>
      <c r="J2106" s="580"/>
    </row>
    <row r="2107" spans="1:10" x14ac:dyDescent="0.35">
      <c r="A2107" s="366" t="str">
        <f ca="1">A2106</f>
        <v/>
      </c>
      <c r="B2107" t="str">
        <f>IF(LEN('Ch9'!H240)=0,"",'Ch9'!H240)</f>
        <v/>
      </c>
      <c r="C2107" t="str">
        <f t="shared" ca="1" si="50"/>
        <v/>
      </c>
      <c r="D2107" s="402"/>
      <c r="E2107" s="402"/>
      <c r="F2107" s="402"/>
      <c r="G2107" s="841"/>
      <c r="H2107"/>
      <c r="J2107" s="580"/>
    </row>
    <row r="2108" spans="1:10" x14ac:dyDescent="0.35">
      <c r="B2108" t="str">
        <f>IF(LEN('Ch9'!H241)=0,"",'Ch9'!H241)</f>
        <v/>
      </c>
      <c r="C2108" t="str">
        <f t="shared" si="50"/>
        <v/>
      </c>
      <c r="D2108" s="402"/>
      <c r="E2108" s="402" t="s">
        <v>256</v>
      </c>
      <c r="F2108" s="402"/>
      <c r="G2108" s="517" t="s">
        <v>3254</v>
      </c>
      <c r="H2108"/>
      <c r="I2108" s="46">
        <f ca="1">'Ch9'!O241</f>
        <v>0</v>
      </c>
      <c r="J2108" s="580"/>
    </row>
    <row r="2109" spans="1:10" x14ac:dyDescent="0.35">
      <c r="B2109" t="str">
        <f>IF(LEN('Ch9'!H242)=0,"",'Ch9'!H242)</f>
        <v/>
      </c>
      <c r="C2109" t="str">
        <f t="shared" si="50"/>
        <v/>
      </c>
      <c r="D2109" s="402"/>
      <c r="E2109" s="402"/>
      <c r="F2109" s="402" t="s">
        <v>121</v>
      </c>
      <c r="G2109" s="517" t="s">
        <v>4499</v>
      </c>
      <c r="H2109"/>
      <c r="J2109" s="580"/>
    </row>
    <row r="2110" spans="1:10" x14ac:dyDescent="0.35">
      <c r="B2110" t="str">
        <f>IF(LEN('Ch9'!H243)=0,"",'Ch9'!H243)</f>
        <v/>
      </c>
      <c r="C2110" t="str">
        <f t="shared" si="50"/>
        <v/>
      </c>
      <c r="D2110" s="402"/>
      <c r="E2110" s="416"/>
      <c r="F2110" s="416" t="s">
        <v>122</v>
      </c>
      <c r="G2110" s="518" t="s">
        <v>4500</v>
      </c>
      <c r="H2110"/>
      <c r="J2110" s="580"/>
    </row>
    <row r="2111" spans="1:10" x14ac:dyDescent="0.35">
      <c r="B2111" t="str">
        <f>IF(LEN('Ch9'!H244)=0,"",'Ch9'!H244)</f>
        <v/>
      </c>
      <c r="C2111" t="str">
        <f t="shared" si="50"/>
        <v/>
      </c>
      <c r="D2111" s="402"/>
      <c r="E2111" s="402" t="s">
        <v>258</v>
      </c>
      <c r="F2111" s="402"/>
      <c r="G2111" s="517" t="s">
        <v>3255</v>
      </c>
      <c r="H2111"/>
      <c r="I2111" s="46">
        <f ca="1">'Ch9'!O244</f>
        <v>0</v>
      </c>
      <c r="J2111" s="580"/>
    </row>
    <row r="2112" spans="1:10" x14ac:dyDescent="0.35">
      <c r="B2112" t="str">
        <f>IF(LEN('Ch9'!H245)=0,"",'Ch9'!H245)</f>
        <v/>
      </c>
      <c r="C2112" t="str">
        <f t="shared" si="50"/>
        <v/>
      </c>
      <c r="D2112" s="402"/>
      <c r="E2112" s="402"/>
      <c r="F2112" s="402" t="s">
        <v>121</v>
      </c>
      <c r="G2112" s="517" t="s">
        <v>4499</v>
      </c>
      <c r="H2112"/>
      <c r="J2112" s="580"/>
    </row>
    <row r="2113" spans="2:10" x14ac:dyDescent="0.35">
      <c r="B2113" t="str">
        <f>IF(LEN('Ch9'!H246)=0,"",'Ch9'!H246)</f>
        <v/>
      </c>
      <c r="C2113" t="str">
        <f t="shared" si="50"/>
        <v/>
      </c>
      <c r="D2113" s="416"/>
      <c r="E2113" s="416"/>
      <c r="F2113" s="416" t="s">
        <v>122</v>
      </c>
      <c r="G2113" s="518" t="s">
        <v>4500</v>
      </c>
      <c r="H2113"/>
      <c r="J2113" s="580"/>
    </row>
    <row r="2114" spans="2:10" ht="15" customHeight="1" x14ac:dyDescent="0.35">
      <c r="B2114" t="str">
        <f>IF(LEN('Ch9'!H247)=0,"",'Ch9'!H247)</f>
        <v/>
      </c>
      <c r="C2114" t="str">
        <f t="shared" si="50"/>
        <v/>
      </c>
      <c r="D2114" s="402" t="s">
        <v>4501</v>
      </c>
      <c r="E2114" s="402"/>
      <c r="F2114" s="402"/>
      <c r="G2114" s="485" t="s">
        <v>4502</v>
      </c>
      <c r="H2114"/>
      <c r="J2114" s="580"/>
    </row>
    <row r="2115" spans="2:10" x14ac:dyDescent="0.35">
      <c r="B2115" t="str">
        <f>IF(LEN('Ch9'!H248)=0,"",'Ch9'!H248)</f>
        <v/>
      </c>
      <c r="C2115" t="str">
        <f t="shared" si="50"/>
        <v/>
      </c>
      <c r="D2115" s="402" t="s">
        <v>4503</v>
      </c>
      <c r="E2115" s="402"/>
      <c r="F2115" s="402"/>
      <c r="G2115" s="841" t="s">
        <v>4504</v>
      </c>
      <c r="H2115"/>
      <c r="J2115" s="580"/>
    </row>
    <row r="2116" spans="2:10" x14ac:dyDescent="0.35">
      <c r="B2116" t="str">
        <f>IF(LEN('Ch9'!H249)=0,"",'Ch9'!H249)</f>
        <v/>
      </c>
      <c r="C2116" t="str">
        <f t="shared" si="50"/>
        <v/>
      </c>
      <c r="D2116" s="402"/>
      <c r="E2116" s="402"/>
      <c r="F2116" s="402"/>
      <c r="G2116" s="841"/>
      <c r="H2116"/>
      <c r="J2116" s="580"/>
    </row>
    <row r="2117" spans="2:10" x14ac:dyDescent="0.35">
      <c r="B2117" t="str">
        <f>IF(LEN('Ch9'!H250)=0,"",'Ch9'!H250)</f>
        <v/>
      </c>
      <c r="C2117" t="str">
        <f t="shared" si="50"/>
        <v/>
      </c>
      <c r="D2117" s="402"/>
      <c r="E2117" s="402"/>
      <c r="F2117" s="402"/>
      <c r="G2117" s="841"/>
      <c r="H2117"/>
      <c r="J2117" s="580"/>
    </row>
    <row r="2118" spans="2:10" x14ac:dyDescent="0.35">
      <c r="B2118" t="str">
        <f>IF(LEN('Ch9'!H251)=0,"",'Ch9'!H251)</f>
        <v/>
      </c>
      <c r="C2118" t="str">
        <f t="shared" si="50"/>
        <v/>
      </c>
      <c r="D2118" s="402"/>
      <c r="E2118" s="402"/>
      <c r="F2118" s="402"/>
      <c r="G2118" s="841"/>
      <c r="H2118"/>
      <c r="J2118" s="580"/>
    </row>
    <row r="2119" spans="2:10" x14ac:dyDescent="0.35">
      <c r="B2119" t="str">
        <f>IF(LEN('Ch9'!H252)=0,"",'Ch9'!H252)</f>
        <v/>
      </c>
      <c r="C2119" t="str">
        <f t="shared" si="50"/>
        <v/>
      </c>
      <c r="D2119" s="402"/>
      <c r="E2119" s="402"/>
      <c r="F2119" s="402"/>
      <c r="G2119" s="841"/>
      <c r="H2119"/>
      <c r="J2119" s="580"/>
    </row>
    <row r="2120" spans="2:10" x14ac:dyDescent="0.35">
      <c r="B2120" t="str">
        <f>IF(LEN('Ch9'!H253)=0,"",'Ch9'!H253)</f>
        <v/>
      </c>
      <c r="C2120" t="str">
        <f t="shared" si="50"/>
        <v/>
      </c>
      <c r="D2120" s="402"/>
      <c r="E2120" s="402"/>
      <c r="F2120" s="402"/>
      <c r="G2120" s="841"/>
      <c r="H2120"/>
      <c r="J2120" s="580"/>
    </row>
    <row r="2121" spans="2:10" x14ac:dyDescent="0.35">
      <c r="B2121" t="str">
        <f>IF(LEN('Ch9'!H254)=0,"",'Ch9'!H254)</f>
        <v/>
      </c>
      <c r="C2121" t="str">
        <f t="shared" si="50"/>
        <v/>
      </c>
      <c r="D2121" s="402"/>
      <c r="E2121" s="402"/>
      <c r="F2121" s="402"/>
      <c r="G2121" s="841"/>
      <c r="H2121"/>
      <c r="J2121" s="580"/>
    </row>
    <row r="2122" spans="2:10" x14ac:dyDescent="0.35">
      <c r="B2122" t="str">
        <f>IF(LEN('Ch9'!H255)=0,"",'Ch9'!H255)</f>
        <v/>
      </c>
      <c r="C2122" t="str">
        <f t="shared" si="50"/>
        <v/>
      </c>
      <c r="D2122" s="416"/>
      <c r="E2122" s="416"/>
      <c r="F2122" s="416"/>
      <c r="G2122" s="962"/>
      <c r="H2122"/>
      <c r="J2122" s="580"/>
    </row>
    <row r="2123" spans="2:10" x14ac:dyDescent="0.35">
      <c r="B2123" t="str">
        <f>IF(LEN('Ch9'!H256)=0,"",'Ch9'!H256)</f>
        <v/>
      </c>
      <c r="C2123" t="str">
        <f t="shared" si="50"/>
        <v/>
      </c>
      <c r="D2123" s="424" t="s">
        <v>4505</v>
      </c>
      <c r="E2123" s="424"/>
      <c r="F2123" s="424"/>
      <c r="G2123" s="961" t="s">
        <v>4506</v>
      </c>
      <c r="H2123"/>
      <c r="J2123" s="580"/>
    </row>
    <row r="2124" spans="2:10" x14ac:dyDescent="0.35">
      <c r="B2124" t="str">
        <f>IF(LEN('Ch9'!H257)=0,"",'Ch9'!H257)</f>
        <v/>
      </c>
      <c r="C2124" t="str">
        <f t="shared" si="50"/>
        <v/>
      </c>
      <c r="D2124" s="402"/>
      <c r="E2124" s="402"/>
      <c r="F2124" s="402"/>
      <c r="G2124" s="841"/>
      <c r="H2124"/>
      <c r="J2124" s="580"/>
    </row>
    <row r="2125" spans="2:10" x14ac:dyDescent="0.35">
      <c r="B2125" t="str">
        <f>IF(LEN('Ch9'!H258)=0,"",'Ch9'!H258)</f>
        <v/>
      </c>
      <c r="C2125" t="str">
        <f t="shared" si="50"/>
        <v/>
      </c>
      <c r="D2125" s="402"/>
      <c r="E2125" s="402"/>
      <c r="F2125" s="402"/>
      <c r="G2125" s="841"/>
      <c r="H2125"/>
      <c r="J2125" s="580"/>
    </row>
    <row r="2126" spans="2:10" x14ac:dyDescent="0.35">
      <c r="B2126" t="str">
        <f>IF(LEN('Ch9'!H259)=0,"",'Ch9'!H259)</f>
        <v/>
      </c>
      <c r="C2126" t="str">
        <f t="shared" si="50"/>
        <v/>
      </c>
      <c r="D2126" s="402"/>
      <c r="E2126" s="402"/>
      <c r="F2126" s="402"/>
      <c r="G2126" s="841"/>
      <c r="H2126"/>
      <c r="J2126" s="580"/>
    </row>
    <row r="2127" spans="2:10" x14ac:dyDescent="0.35">
      <c r="B2127" t="str">
        <f>IF(LEN('Ch9'!H260)=0,"",'Ch9'!H260)</f>
        <v/>
      </c>
      <c r="C2127" t="str">
        <f t="shared" si="50"/>
        <v/>
      </c>
      <c r="D2127" s="402"/>
      <c r="E2127" s="402"/>
      <c r="F2127" s="402"/>
      <c r="G2127" s="841"/>
      <c r="H2127"/>
      <c r="J2127" s="580"/>
    </row>
    <row r="2128" spans="2:10" x14ac:dyDescent="0.35">
      <c r="B2128" t="str">
        <f>IF(LEN('Ch9'!H261)=0,"",'Ch9'!H261)</f>
        <v/>
      </c>
      <c r="C2128" t="str">
        <f t="shared" si="50"/>
        <v/>
      </c>
      <c r="D2128" s="402"/>
      <c r="E2128" s="402"/>
      <c r="F2128" s="402"/>
      <c r="G2128" s="841"/>
      <c r="H2128"/>
      <c r="J2128" s="580"/>
    </row>
    <row r="2129" spans="2:10" x14ac:dyDescent="0.35">
      <c r="B2129" t="str">
        <f>IF(LEN('Ch9'!H262)=0,"",'Ch9'!H262)</f>
        <v/>
      </c>
      <c r="C2129" t="str">
        <f t="shared" si="50"/>
        <v/>
      </c>
      <c r="D2129" s="416"/>
      <c r="E2129" s="416"/>
      <c r="F2129" s="416"/>
      <c r="G2129" s="962"/>
      <c r="H2129"/>
      <c r="J2129" s="580"/>
    </row>
    <row r="2130" spans="2:10" x14ac:dyDescent="0.35">
      <c r="B2130" t="str">
        <f>IF(LEN('Ch9'!H263)=0,"",'Ch9'!H263)</f>
        <v/>
      </c>
      <c r="C2130" t="str">
        <f t="shared" si="50"/>
        <v/>
      </c>
      <c r="D2130" s="424" t="s">
        <v>4507</v>
      </c>
      <c r="E2130" s="424"/>
      <c r="F2130" s="424"/>
      <c r="G2130" s="961" t="s">
        <v>4508</v>
      </c>
      <c r="H2130"/>
      <c r="J2130" s="580"/>
    </row>
    <row r="2131" spans="2:10" x14ac:dyDescent="0.35">
      <c r="B2131" t="str">
        <f>IF(LEN('Ch9'!H264)=0,"",'Ch9'!H264)</f>
        <v/>
      </c>
      <c r="C2131" t="str">
        <f t="shared" ref="C2131:C2194" si="52">IF(LEN(B2131)=0,IF(A2131="P","P",""),B2131)</f>
        <v/>
      </c>
      <c r="D2131" s="402"/>
      <c r="E2131" s="402"/>
      <c r="F2131" s="402"/>
      <c r="G2131" s="841"/>
      <c r="H2131"/>
      <c r="J2131" s="580"/>
    </row>
    <row r="2132" spans="2:10" x14ac:dyDescent="0.35">
      <c r="B2132" t="str">
        <f>IF(LEN('Ch9'!H265)=0,"",'Ch9'!H265)</f>
        <v/>
      </c>
      <c r="C2132" t="str">
        <f t="shared" si="52"/>
        <v/>
      </c>
      <c r="D2132" s="402"/>
      <c r="E2132" s="402"/>
      <c r="F2132" s="402"/>
      <c r="G2132" s="841"/>
      <c r="H2132"/>
      <c r="J2132" s="580"/>
    </row>
    <row r="2133" spans="2:10" x14ac:dyDescent="0.35">
      <c r="B2133" t="str">
        <f>IF(LEN('Ch9'!H266)=0,"",'Ch9'!H266)</f>
        <v/>
      </c>
      <c r="C2133" t="str">
        <f t="shared" si="52"/>
        <v/>
      </c>
      <c r="D2133" s="402"/>
      <c r="E2133" s="402"/>
      <c r="F2133" s="402"/>
      <c r="G2133" s="841"/>
      <c r="H2133"/>
      <c r="J2133" s="580"/>
    </row>
    <row r="2134" spans="2:10" x14ac:dyDescent="0.35">
      <c r="B2134" t="str">
        <f>IF(LEN('Ch9'!H267)=0,"",'Ch9'!H267)</f>
        <v/>
      </c>
      <c r="C2134" t="str">
        <f t="shared" si="52"/>
        <v/>
      </c>
      <c r="D2134" s="402"/>
      <c r="E2134" s="402"/>
      <c r="F2134" s="402"/>
      <c r="G2134" s="841"/>
      <c r="H2134"/>
      <c r="J2134" s="580"/>
    </row>
    <row r="2135" spans="2:10" x14ac:dyDescent="0.35">
      <c r="B2135" t="str">
        <f>IF(LEN('Ch9'!H268)=0,"",'Ch9'!H268)</f>
        <v/>
      </c>
      <c r="C2135" t="str">
        <f t="shared" si="52"/>
        <v/>
      </c>
      <c r="D2135" s="402"/>
      <c r="E2135" s="402"/>
      <c r="F2135" s="402"/>
      <c r="G2135" s="841"/>
      <c r="H2135"/>
      <c r="J2135" s="580"/>
    </row>
    <row r="2136" spans="2:10" x14ac:dyDescent="0.35">
      <c r="B2136" t="str">
        <f>IF(LEN('Ch9'!H269)=0,"",'Ch9'!H269)</f>
        <v/>
      </c>
      <c r="C2136" t="str">
        <f t="shared" si="52"/>
        <v/>
      </c>
      <c r="D2136" s="416"/>
      <c r="E2136" s="416"/>
      <c r="F2136" s="416"/>
      <c r="G2136" s="962"/>
      <c r="H2136"/>
      <c r="J2136" s="580"/>
    </row>
    <row r="2137" spans="2:10" x14ac:dyDescent="0.35">
      <c r="B2137" t="str">
        <f>IF(LEN('Ch9'!H270)=0,"",'Ch9'!H270)</f>
        <v/>
      </c>
      <c r="C2137" t="str">
        <f t="shared" si="52"/>
        <v/>
      </c>
      <c r="D2137" s="424" t="s">
        <v>4509</v>
      </c>
      <c r="E2137" s="424"/>
      <c r="F2137" s="424"/>
      <c r="G2137" s="961" t="s">
        <v>4510</v>
      </c>
      <c r="H2137"/>
      <c r="J2137" s="580"/>
    </row>
    <row r="2138" spans="2:10" x14ac:dyDescent="0.35">
      <c r="B2138" t="str">
        <f>IF(LEN('Ch9'!H271)=0,"",'Ch9'!H271)</f>
        <v/>
      </c>
      <c r="C2138" t="str">
        <f t="shared" si="52"/>
        <v/>
      </c>
      <c r="D2138" s="402"/>
      <c r="E2138" s="402"/>
      <c r="F2138" s="402"/>
      <c r="G2138" s="841"/>
      <c r="H2138"/>
      <c r="J2138" s="580"/>
    </row>
    <row r="2139" spans="2:10" x14ac:dyDescent="0.35">
      <c r="B2139" t="str">
        <f>IF(LEN('Ch9'!H272)=0,"",'Ch9'!H272)</f>
        <v/>
      </c>
      <c r="C2139" t="str">
        <f t="shared" si="52"/>
        <v/>
      </c>
      <c r="D2139" s="402"/>
      <c r="E2139" s="402"/>
      <c r="F2139" s="402"/>
      <c r="G2139" s="841"/>
      <c r="H2139"/>
      <c r="J2139" s="580"/>
    </row>
    <row r="2140" spans="2:10" x14ac:dyDescent="0.35">
      <c r="B2140" t="str">
        <f>IF(LEN('Ch9'!H273)=0,"",'Ch9'!H273)</f>
        <v/>
      </c>
      <c r="C2140" t="str">
        <f t="shared" si="52"/>
        <v/>
      </c>
      <c r="D2140" s="402"/>
      <c r="E2140" s="402"/>
      <c r="F2140" s="402"/>
      <c r="G2140" s="841"/>
      <c r="H2140"/>
      <c r="J2140" s="580"/>
    </row>
    <row r="2141" spans="2:10" x14ac:dyDescent="0.35">
      <c r="B2141" t="str">
        <f>IF(LEN('Ch9'!H274)=0,"",'Ch9'!H274)</f>
        <v/>
      </c>
      <c r="C2141" t="str">
        <f t="shared" si="52"/>
        <v/>
      </c>
      <c r="D2141" s="416"/>
      <c r="E2141" s="416"/>
      <c r="F2141" s="416"/>
      <c r="G2141" s="962"/>
      <c r="H2141"/>
      <c r="J2141" s="580"/>
    </row>
    <row r="2142" spans="2:10" x14ac:dyDescent="0.35">
      <c r="B2142" t="str">
        <f>IF(LEN('Ch9'!H275)=0,"",'Ch9'!H275)</f>
        <v/>
      </c>
      <c r="C2142" t="str">
        <f t="shared" si="52"/>
        <v/>
      </c>
      <c r="D2142" s="424" t="s">
        <v>4511</v>
      </c>
      <c r="E2142" s="424"/>
      <c r="F2142" s="424"/>
      <c r="G2142" s="961" t="s">
        <v>4512</v>
      </c>
      <c r="H2142"/>
      <c r="J2142" s="580"/>
    </row>
    <row r="2143" spans="2:10" x14ac:dyDescent="0.35">
      <c r="B2143" t="str">
        <f>IF(LEN('Ch9'!H276)=0,"",'Ch9'!H276)</f>
        <v/>
      </c>
      <c r="C2143" t="str">
        <f t="shared" si="52"/>
        <v/>
      </c>
      <c r="D2143" s="416"/>
      <c r="E2143" s="416"/>
      <c r="F2143" s="416"/>
      <c r="G2143" s="962"/>
      <c r="H2143"/>
      <c r="J2143" s="580"/>
    </row>
    <row r="2144" spans="2:10" x14ac:dyDescent="0.35">
      <c r="B2144" t="str">
        <f>IF(LEN('Ch9'!H277)=0,"",'Ch9'!H277)</f>
        <v/>
      </c>
      <c r="C2144" t="str">
        <f t="shared" si="52"/>
        <v/>
      </c>
      <c r="D2144" s="424" t="s">
        <v>4513</v>
      </c>
      <c r="E2144" s="424"/>
      <c r="F2144" s="424"/>
      <c r="G2144" s="961" t="s">
        <v>4514</v>
      </c>
      <c r="H2144"/>
      <c r="J2144" s="580"/>
    </row>
    <row r="2145" spans="1:10" x14ac:dyDescent="0.35">
      <c r="B2145" t="str">
        <f>IF(LEN('Ch9'!H278)=0,"",'Ch9'!H278)</f>
        <v/>
      </c>
      <c r="C2145" t="str">
        <f t="shared" si="52"/>
        <v/>
      </c>
      <c r="D2145" s="402"/>
      <c r="E2145" s="402"/>
      <c r="F2145" s="402"/>
      <c r="G2145" s="841"/>
      <c r="H2145"/>
      <c r="J2145" s="580"/>
    </row>
    <row r="2146" spans="1:10" x14ac:dyDescent="0.35">
      <c r="B2146" t="str">
        <f>IF(LEN('Ch9'!H279)=0,"",'Ch9'!H279)</f>
        <v/>
      </c>
      <c r="C2146" t="str">
        <f t="shared" si="52"/>
        <v/>
      </c>
      <c r="D2146" s="402"/>
      <c r="E2146" s="402"/>
      <c r="F2146" s="402"/>
      <c r="G2146" s="841"/>
      <c r="H2146"/>
      <c r="J2146" s="580"/>
    </row>
    <row r="2147" spans="1:10" x14ac:dyDescent="0.35">
      <c r="B2147" t="str">
        <f>IF(LEN('Ch9'!H280)=0,"",'Ch9'!H280)</f>
        <v/>
      </c>
      <c r="C2147" t="str">
        <f t="shared" si="52"/>
        <v/>
      </c>
      <c r="D2147" s="416"/>
      <c r="E2147" s="416"/>
      <c r="F2147" s="416"/>
      <c r="G2147" s="962"/>
      <c r="H2147"/>
      <c r="J2147" s="580"/>
    </row>
    <row r="2148" spans="1:10" x14ac:dyDescent="0.35">
      <c r="B2148" t="str">
        <f>IF(LEN('Ch9'!H281)=0,"",'Ch9'!H281)</f>
        <v/>
      </c>
      <c r="C2148" t="str">
        <f t="shared" si="52"/>
        <v/>
      </c>
      <c r="D2148" s="424" t="s">
        <v>4515</v>
      </c>
      <c r="E2148" s="424"/>
      <c r="F2148" s="424"/>
      <c r="G2148" s="961" t="s">
        <v>4516</v>
      </c>
      <c r="H2148"/>
      <c r="J2148" s="580"/>
    </row>
    <row r="2149" spans="1:10" x14ac:dyDescent="0.35">
      <c r="B2149" t="str">
        <f>IF(LEN('Ch9'!H282)=0,"",'Ch9'!H282)</f>
        <v/>
      </c>
      <c r="C2149" t="str">
        <f t="shared" si="52"/>
        <v/>
      </c>
      <c r="D2149" s="402"/>
      <c r="E2149" s="402"/>
      <c r="F2149" s="402"/>
      <c r="G2149" s="841"/>
      <c r="H2149"/>
      <c r="J2149" s="580"/>
    </row>
    <row r="2150" spans="1:10" x14ac:dyDescent="0.35">
      <c r="B2150" t="str">
        <f>IF(LEN('Ch9'!H283)=0,"",'Ch9'!H283)</f>
        <v/>
      </c>
      <c r="C2150" t="str">
        <f t="shared" si="52"/>
        <v/>
      </c>
      <c r="D2150" s="416"/>
      <c r="E2150" s="416"/>
      <c r="F2150" s="416"/>
      <c r="G2150" s="962"/>
      <c r="H2150"/>
      <c r="J2150" s="580"/>
    </row>
    <row r="2151" spans="1:10" x14ac:dyDescent="0.35">
      <c r="A2151" s="366" t="str">
        <f>IF(I2151&gt;0,"P","")</f>
        <v/>
      </c>
      <c r="B2151" t="str">
        <f>IF(LEN('Ch9'!H284)=0,"",'Ch9'!H284)</f>
        <v/>
      </c>
      <c r="C2151" t="str">
        <f t="shared" si="52"/>
        <v/>
      </c>
      <c r="D2151" s="402" t="s">
        <v>4517</v>
      </c>
      <c r="E2151" s="402"/>
      <c r="F2151" s="402"/>
      <c r="G2151" s="485" t="s">
        <v>4518</v>
      </c>
      <c r="H2151"/>
      <c r="I2151" s="433">
        <f>SUM(I2155:I2177)</f>
        <v>0</v>
      </c>
      <c r="J2151" s="975" t="s">
        <v>5038</v>
      </c>
    </row>
    <row r="2152" spans="1:10" x14ac:dyDescent="0.35">
      <c r="A2152" s="366" t="str">
        <f>A2151</f>
        <v/>
      </c>
      <c r="B2152" t="str">
        <f>IF(LEN('Ch9'!H285)=0,"",'Ch9'!H285)</f>
        <v/>
      </c>
      <c r="C2152" t="str">
        <f t="shared" si="52"/>
        <v/>
      </c>
      <c r="D2152" s="402"/>
      <c r="E2152" s="402"/>
      <c r="F2152" s="402"/>
      <c r="G2152" s="485" t="s">
        <v>4519</v>
      </c>
      <c r="H2152"/>
      <c r="J2152" s="977"/>
    </row>
    <row r="2153" spans="1:10" x14ac:dyDescent="0.35">
      <c r="A2153" s="366" t="str">
        <f>A2152</f>
        <v/>
      </c>
      <c r="B2153" t="str">
        <f>IF(LEN('Ch9'!H286)=0,"",'Ch9'!H286)</f>
        <v/>
      </c>
      <c r="C2153" t="str">
        <f t="shared" si="52"/>
        <v/>
      </c>
      <c r="D2153" s="402"/>
      <c r="E2153" s="402"/>
      <c r="F2153" s="402"/>
      <c r="G2153" s="957" t="s">
        <v>4520</v>
      </c>
      <c r="H2153" s="400" t="str">
        <f>IF(LEN('Ch9'!W286)=0,"",'Ch9'!W286)</f>
        <v/>
      </c>
      <c r="J2153" s="978"/>
    </row>
    <row r="2154" spans="1:10" x14ac:dyDescent="0.35">
      <c r="A2154" s="366" t="str">
        <f>A2153</f>
        <v/>
      </c>
      <c r="B2154" t="str">
        <f>IF(LEN('Ch9'!H287)=0,"",'Ch9'!H287)</f>
        <v/>
      </c>
      <c r="C2154" t="str">
        <f t="shared" si="52"/>
        <v/>
      </c>
      <c r="D2154" s="402"/>
      <c r="E2154" s="402"/>
      <c r="F2154" s="402"/>
      <c r="G2154" s="957"/>
      <c r="H2154"/>
      <c r="J2154" s="580"/>
    </row>
    <row r="2155" spans="1:10" x14ac:dyDescent="0.35">
      <c r="B2155" t="str">
        <f>IF(LEN('Ch9'!H288)=0,"",'Ch9'!H288)</f>
        <v/>
      </c>
      <c r="C2155" t="str">
        <f t="shared" si="52"/>
        <v/>
      </c>
      <c r="D2155" s="402"/>
      <c r="E2155" s="402" t="s">
        <v>256</v>
      </c>
      <c r="F2155" s="402"/>
      <c r="G2155" s="517" t="s">
        <v>4521</v>
      </c>
      <c r="H2155" s="400" t="str">
        <f>IF(LEN('Ch9'!W288)=0,"",'Ch9'!W288)</f>
        <v/>
      </c>
      <c r="I2155" s="46">
        <f>'Ch9'!O288</f>
        <v>0</v>
      </c>
      <c r="J2155" s="580"/>
    </row>
    <row r="2156" spans="1:10" x14ac:dyDescent="0.35">
      <c r="B2156" t="str">
        <f>IF(LEN('Ch9'!H289)=0,"",'Ch9'!H289)</f>
        <v/>
      </c>
      <c r="C2156" t="str">
        <f t="shared" si="52"/>
        <v/>
      </c>
      <c r="D2156" s="402"/>
      <c r="E2156" s="402"/>
      <c r="F2156" s="402" t="s">
        <v>121</v>
      </c>
      <c r="G2156" s="517" t="s">
        <v>4522</v>
      </c>
      <c r="H2156"/>
      <c r="J2156" s="580"/>
    </row>
    <row r="2157" spans="1:10" x14ac:dyDescent="0.35">
      <c r="B2157" t="str">
        <f>IF(LEN('Ch9'!H290)=0,"",'Ch9'!H290)</f>
        <v/>
      </c>
      <c r="C2157" t="str">
        <f t="shared" si="52"/>
        <v/>
      </c>
      <c r="D2157" s="402"/>
      <c r="E2157" s="402"/>
      <c r="F2157" s="402" t="s">
        <v>122</v>
      </c>
      <c r="G2157" s="957" t="s">
        <v>4523</v>
      </c>
      <c r="H2157"/>
      <c r="J2157" s="580"/>
    </row>
    <row r="2158" spans="1:10" x14ac:dyDescent="0.35">
      <c r="B2158" t="str">
        <f>IF(LEN('Ch9'!H291)=0,"",'Ch9'!H291)</f>
        <v/>
      </c>
      <c r="C2158" t="str">
        <f t="shared" si="52"/>
        <v/>
      </c>
      <c r="D2158" s="402"/>
      <c r="E2158" s="402"/>
      <c r="F2158" s="402"/>
      <c r="G2158" s="957"/>
      <c r="H2158"/>
      <c r="J2158" s="580"/>
    </row>
    <row r="2159" spans="1:10" x14ac:dyDescent="0.35">
      <c r="B2159" t="str">
        <f>IF(LEN('Ch9'!H292)=0,"",'Ch9'!H292)</f>
        <v/>
      </c>
      <c r="C2159" t="str">
        <f t="shared" si="52"/>
        <v/>
      </c>
      <c r="F2159" s="402" t="s">
        <v>123</v>
      </c>
      <c r="G2159" s="957" t="s">
        <v>4524</v>
      </c>
      <c r="H2159"/>
      <c r="J2159" s="580"/>
    </row>
    <row r="2160" spans="1:10" x14ac:dyDescent="0.35">
      <c r="B2160" t="str">
        <f>IF(LEN('Ch9'!H293)=0,"",'Ch9'!H293)</f>
        <v/>
      </c>
      <c r="C2160" t="str">
        <f t="shared" si="52"/>
        <v/>
      </c>
      <c r="F2160" s="402"/>
      <c r="G2160" s="957"/>
      <c r="H2160"/>
      <c r="J2160" s="580"/>
    </row>
    <row r="2161" spans="2:10" x14ac:dyDescent="0.35">
      <c r="B2161" t="str">
        <f>IF(LEN('Ch9'!H294)=0,"",'Ch9'!H294)</f>
        <v/>
      </c>
      <c r="C2161" t="str">
        <f t="shared" si="52"/>
        <v/>
      </c>
      <c r="F2161" s="31" t="s">
        <v>401</v>
      </c>
      <c r="G2161" s="957" t="s">
        <v>4525</v>
      </c>
      <c r="H2161"/>
      <c r="J2161" s="580"/>
    </row>
    <row r="2162" spans="2:10" x14ac:dyDescent="0.35">
      <c r="B2162" t="str">
        <f>IF(LEN('Ch9'!H295)=0,"",'Ch9'!H295)</f>
        <v/>
      </c>
      <c r="C2162" t="str">
        <f t="shared" si="52"/>
        <v/>
      </c>
      <c r="F2162" s="31"/>
      <c r="G2162" s="957"/>
      <c r="H2162"/>
      <c r="J2162" s="580"/>
    </row>
    <row r="2163" spans="2:10" x14ac:dyDescent="0.35">
      <c r="B2163" t="str">
        <f>IF(LEN('Ch9'!H296)=0,"",'Ch9'!H296)</f>
        <v/>
      </c>
      <c r="C2163" t="str">
        <f t="shared" si="52"/>
        <v/>
      </c>
      <c r="F2163" s="31" t="s">
        <v>539</v>
      </c>
      <c r="G2163" s="957" t="s">
        <v>4893</v>
      </c>
      <c r="H2163"/>
      <c r="J2163" s="580"/>
    </row>
    <row r="2164" spans="2:10" x14ac:dyDescent="0.35">
      <c r="B2164" t="str">
        <f>IF(LEN('Ch9'!H297)=0,"",'Ch9'!H297)</f>
        <v/>
      </c>
      <c r="C2164" t="str">
        <f t="shared" si="52"/>
        <v/>
      </c>
      <c r="F2164" s="31"/>
      <c r="G2164" s="957"/>
      <c r="H2164"/>
      <c r="J2164" s="580"/>
    </row>
    <row r="2165" spans="2:10" x14ac:dyDescent="0.35">
      <c r="B2165" t="str">
        <f>IF(LEN('Ch9'!H298)=0,"",'Ch9'!H298)</f>
        <v/>
      </c>
      <c r="C2165" t="str">
        <f t="shared" si="52"/>
        <v/>
      </c>
      <c r="F2165" s="31"/>
      <c r="G2165" s="957"/>
      <c r="H2165"/>
      <c r="J2165" s="580"/>
    </row>
    <row r="2166" spans="2:10" x14ac:dyDescent="0.35">
      <c r="B2166" t="str">
        <f>IF(LEN('Ch9'!H299)=0,"",'Ch9'!H299)</f>
        <v/>
      </c>
      <c r="C2166" t="str">
        <f t="shared" si="52"/>
        <v/>
      </c>
      <c r="F2166" s="31" t="s">
        <v>604</v>
      </c>
      <c r="G2166" s="957" t="s">
        <v>4526</v>
      </c>
      <c r="H2166"/>
      <c r="J2166" s="580"/>
    </row>
    <row r="2167" spans="2:10" x14ac:dyDescent="0.35">
      <c r="B2167" t="str">
        <f>IF(LEN('Ch9'!H300)=0,"",'Ch9'!H300)</f>
        <v/>
      </c>
      <c r="C2167" t="str">
        <f t="shared" si="52"/>
        <v/>
      </c>
      <c r="F2167" s="31"/>
      <c r="G2167" s="957"/>
      <c r="H2167"/>
      <c r="J2167" s="580"/>
    </row>
    <row r="2168" spans="2:10" x14ac:dyDescent="0.35">
      <c r="B2168" t="str">
        <f>IF(LEN('Ch9'!H301)=0,"",'Ch9'!H301)</f>
        <v/>
      </c>
      <c r="C2168" t="str">
        <f t="shared" si="52"/>
        <v/>
      </c>
      <c r="F2168" s="402" t="s">
        <v>606</v>
      </c>
      <c r="G2168" s="957" t="s">
        <v>4527</v>
      </c>
      <c r="H2168"/>
      <c r="J2168" s="580"/>
    </row>
    <row r="2169" spans="2:10" x14ac:dyDescent="0.35">
      <c r="B2169" t="str">
        <f>IF(LEN('Ch9'!H302)=0,"",'Ch9'!H302)</f>
        <v/>
      </c>
      <c r="C2169" t="str">
        <f t="shared" si="52"/>
        <v/>
      </c>
      <c r="F2169" s="402"/>
      <c r="G2169" s="957"/>
      <c r="H2169"/>
      <c r="J2169" s="580"/>
    </row>
    <row r="2170" spans="2:10" x14ac:dyDescent="0.35">
      <c r="B2170" t="str">
        <f>IF(LEN('Ch9'!H303)=0,"",'Ch9'!H303)</f>
        <v/>
      </c>
      <c r="C2170" t="str">
        <f t="shared" si="52"/>
        <v/>
      </c>
      <c r="F2170" s="402" t="s">
        <v>608</v>
      </c>
      <c r="G2170" s="957" t="s">
        <v>4528</v>
      </c>
      <c r="H2170"/>
      <c r="J2170" s="580"/>
    </row>
    <row r="2171" spans="2:10" x14ac:dyDescent="0.35">
      <c r="B2171" t="str">
        <f>IF(LEN('Ch9'!H304)=0,"",'Ch9'!H304)</f>
        <v/>
      </c>
      <c r="C2171" t="str">
        <f t="shared" si="52"/>
        <v/>
      </c>
      <c r="F2171" s="402"/>
      <c r="G2171" s="957"/>
      <c r="H2171"/>
      <c r="J2171" s="580"/>
    </row>
    <row r="2172" spans="2:10" x14ac:dyDescent="0.35">
      <c r="B2172" t="str">
        <f>IF(LEN('Ch9'!H305)=0,"",'Ch9'!H305)</f>
        <v/>
      </c>
      <c r="C2172" t="str">
        <f t="shared" si="52"/>
        <v/>
      </c>
      <c r="F2172" s="402" t="s">
        <v>843</v>
      </c>
      <c r="G2172" s="957" t="s">
        <v>4529</v>
      </c>
      <c r="H2172"/>
      <c r="J2172" s="580"/>
    </row>
    <row r="2173" spans="2:10" x14ac:dyDescent="0.35">
      <c r="B2173" t="str">
        <f>IF(LEN('Ch9'!H306)=0,"",'Ch9'!H306)</f>
        <v/>
      </c>
      <c r="C2173" t="str">
        <f t="shared" si="52"/>
        <v/>
      </c>
      <c r="F2173" s="402"/>
      <c r="G2173" s="957"/>
      <c r="H2173"/>
      <c r="J2173" s="580"/>
    </row>
    <row r="2174" spans="2:10" x14ac:dyDescent="0.35">
      <c r="B2174" t="str">
        <f>IF(LEN('Ch9'!H307)=0,"",'Ch9'!H307)</f>
        <v/>
      </c>
      <c r="C2174" t="str">
        <f t="shared" si="52"/>
        <v/>
      </c>
      <c r="F2174" s="402"/>
      <c r="G2174" s="957"/>
      <c r="H2174"/>
      <c r="J2174" s="580"/>
    </row>
    <row r="2175" spans="2:10" x14ac:dyDescent="0.35">
      <c r="B2175" t="str">
        <f>IF(LEN('Ch9'!H308)=0,"",'Ch9'!H308)</f>
        <v/>
      </c>
      <c r="C2175" t="str">
        <f t="shared" si="52"/>
        <v/>
      </c>
      <c r="F2175" s="402" t="s">
        <v>844</v>
      </c>
      <c r="G2175" s="957" t="s">
        <v>4530</v>
      </c>
      <c r="H2175"/>
      <c r="J2175" s="580"/>
    </row>
    <row r="2176" spans="2:10" x14ac:dyDescent="0.35">
      <c r="B2176" t="str">
        <f>IF(LEN('Ch9'!H309)=0,"",'Ch9'!H309)</f>
        <v/>
      </c>
      <c r="C2176" t="str">
        <f t="shared" si="52"/>
        <v/>
      </c>
      <c r="E2176" s="416"/>
      <c r="F2176" s="416"/>
      <c r="G2176" s="960"/>
      <c r="H2176"/>
      <c r="J2176" s="580"/>
    </row>
    <row r="2177" spans="1:10" x14ac:dyDescent="0.35">
      <c r="B2177" t="str">
        <f>IF(LEN('Ch9'!H310)=0,"",'Ch9'!H310)</f>
        <v/>
      </c>
      <c r="C2177" t="str">
        <f t="shared" si="52"/>
        <v/>
      </c>
      <c r="D2177" s="402"/>
      <c r="E2177" s="402" t="s">
        <v>258</v>
      </c>
      <c r="F2177" s="402"/>
      <c r="G2177" s="957" t="s">
        <v>4531</v>
      </c>
      <c r="H2177" s="400" t="str">
        <f>IF(LEN('Ch9'!W310)=0,"",'Ch9'!W310)</f>
        <v/>
      </c>
      <c r="I2177" s="46">
        <f>'Ch9'!O310</f>
        <v>0</v>
      </c>
      <c r="J2177" s="580"/>
    </row>
    <row r="2178" spans="1:10" ht="15" thickBot="1" x14ac:dyDescent="0.4">
      <c r="B2178" t="str">
        <f>IF(LEN('Ch9'!H311)=0,"",'Ch9'!H311)</f>
        <v/>
      </c>
      <c r="C2178" t="str">
        <f t="shared" si="52"/>
        <v/>
      </c>
      <c r="D2178" s="407"/>
      <c r="E2178" s="407"/>
      <c r="F2178" s="407"/>
      <c r="G2178" s="958"/>
      <c r="H2178"/>
      <c r="J2178" s="580"/>
    </row>
    <row r="2179" spans="1:10" ht="15" thickTop="1" x14ac:dyDescent="0.35">
      <c r="A2179" s="366" t="str">
        <f>IF(I2179&gt;0,"P","")</f>
        <v>P</v>
      </c>
      <c r="B2179" t="str">
        <f>IF(LEN('Ch9'!H312)=0,"",'Ch9'!H312)</f>
        <v/>
      </c>
      <c r="C2179" t="str">
        <f t="shared" si="52"/>
        <v>P</v>
      </c>
      <c r="D2179" s="31">
        <v>902.4</v>
      </c>
      <c r="E2179" s="31"/>
      <c r="F2179" s="31"/>
      <c r="G2179" s="838" t="s">
        <v>3256</v>
      </c>
      <c r="H2179"/>
      <c r="I2179" s="46">
        <f>'Ch9'!O312</f>
        <v>3</v>
      </c>
      <c r="J2179" s="580"/>
    </row>
    <row r="2180" spans="1:10" x14ac:dyDescent="0.35">
      <c r="A2180" s="366" t="str">
        <f>A2179</f>
        <v>P</v>
      </c>
      <c r="B2180" t="str">
        <f>IF(LEN('Ch9'!H313)=0,"",'Ch9'!H313)</f>
        <v/>
      </c>
      <c r="C2180" t="str">
        <f t="shared" si="52"/>
        <v>P</v>
      </c>
      <c r="D2180" s="31"/>
      <c r="E2180" s="31"/>
      <c r="F2180" s="31"/>
      <c r="G2180" s="838"/>
      <c r="H2180"/>
      <c r="J2180" s="580"/>
    </row>
    <row r="2181" spans="1:10" x14ac:dyDescent="0.35">
      <c r="A2181" s="366" t="str">
        <f>IF(AND(LEN(H2181)&gt;0,NOT(H2181=FALSE)),"P","")</f>
        <v>P</v>
      </c>
      <c r="B2181" t="str">
        <f>IF(LEN('Ch9'!H314)=0,"",'Ch9'!H314)</f>
        <v/>
      </c>
      <c r="C2181" t="str">
        <f t="shared" si="52"/>
        <v>P</v>
      </c>
      <c r="D2181" s="31"/>
      <c r="E2181" s="402" t="s">
        <v>256</v>
      </c>
      <c r="F2181" s="31"/>
      <c r="G2181" s="814" t="s">
        <v>3257</v>
      </c>
      <c r="H2181" s="400" t="b">
        <f>IF(LEN('Ch9'!W314)=0,"",'Ch9'!W314)</f>
        <v>1</v>
      </c>
      <c r="J2181" s="580" t="s">
        <v>3891</v>
      </c>
    </row>
    <row r="2182" spans="1:10" x14ac:dyDescent="0.35">
      <c r="A2182" s="366" t="str">
        <f>A2181</f>
        <v>P</v>
      </c>
      <c r="B2182" t="str">
        <f>IF(LEN('Ch9'!H315)=0,"",'Ch9'!H315)</f>
        <v/>
      </c>
      <c r="C2182" t="str">
        <f t="shared" si="52"/>
        <v>P</v>
      </c>
      <c r="D2182" s="31"/>
      <c r="E2182" s="416"/>
      <c r="F2182" s="403"/>
      <c r="G2182" s="815"/>
      <c r="H2182"/>
      <c r="J2182" s="580"/>
    </row>
    <row r="2183" spans="1:10" x14ac:dyDescent="0.35">
      <c r="A2183" s="366" t="str">
        <f>IF(AND(LEN(H2183)&gt;0,NOT(H2183=FALSE)),"P","")</f>
        <v/>
      </c>
      <c r="B2183" t="str">
        <f>IF(LEN('Ch9'!H316)=0,"",'Ch9'!H316)</f>
        <v/>
      </c>
      <c r="C2183" t="str">
        <f t="shared" si="52"/>
        <v/>
      </c>
      <c r="D2183" s="31"/>
      <c r="E2183" s="402" t="s">
        <v>258</v>
      </c>
      <c r="F2183" s="31"/>
      <c r="G2183" s="814" t="s">
        <v>3258</v>
      </c>
      <c r="H2183" s="400" t="str">
        <f>IF(LEN('Ch9'!W316)=0,"",'Ch9'!W316)</f>
        <v/>
      </c>
      <c r="J2183" s="580" t="s">
        <v>3944</v>
      </c>
    </row>
    <row r="2184" spans="1:10" x14ac:dyDescent="0.35">
      <c r="A2184" s="366" t="str">
        <f>A2183</f>
        <v/>
      </c>
      <c r="B2184" t="str">
        <f>IF(LEN('Ch9'!H317)=0,"",'Ch9'!H317)</f>
        <v/>
      </c>
      <c r="C2184" t="str">
        <f t="shared" si="52"/>
        <v/>
      </c>
      <c r="D2184" s="31"/>
      <c r="E2184" s="31"/>
      <c r="F2184" s="31"/>
      <c r="G2184" s="814"/>
      <c r="H2184"/>
      <c r="J2184" s="580"/>
    </row>
    <row r="2185" spans="1:10" x14ac:dyDescent="0.35">
      <c r="A2185" s="366" t="str">
        <f>A2184</f>
        <v/>
      </c>
      <c r="B2185" t="str">
        <f>IF(LEN('Ch9'!H318)=0,"",'Ch9'!H318)</f>
        <v/>
      </c>
      <c r="C2185" t="str">
        <f t="shared" si="52"/>
        <v/>
      </c>
      <c r="D2185" s="31"/>
      <c r="E2185" s="403"/>
      <c r="F2185" s="403"/>
      <c r="G2185" s="815"/>
      <c r="H2185"/>
      <c r="J2185" s="580"/>
    </row>
    <row r="2186" spans="1:10" x14ac:dyDescent="0.35">
      <c r="A2186" s="366" t="str">
        <f>IF(AND(LEN(H2186)&gt;0,NOT(H2186=FALSE)),"P","")</f>
        <v/>
      </c>
      <c r="B2186" t="str">
        <f>IF(LEN('Ch9'!H319)=0,"",'Ch9'!H319)</f>
        <v/>
      </c>
      <c r="C2186" t="str">
        <f t="shared" si="52"/>
        <v/>
      </c>
      <c r="D2186" s="31"/>
      <c r="E2186" s="402" t="s">
        <v>260</v>
      </c>
      <c r="F2186" s="402"/>
      <c r="G2186" s="957" t="s">
        <v>4536</v>
      </c>
      <c r="H2186" s="400" t="str">
        <f>IF(LEN('Ch9'!W319)=0,"",'Ch9'!W319)</f>
        <v/>
      </c>
      <c r="J2186" s="580" t="s">
        <v>3891</v>
      </c>
    </row>
    <row r="2187" spans="1:10" x14ac:dyDescent="0.35">
      <c r="A2187" s="366" t="str">
        <f>A2186</f>
        <v/>
      </c>
      <c r="B2187" t="str">
        <f>IF(LEN('Ch9'!H320)=0,"",'Ch9'!H320)</f>
        <v/>
      </c>
      <c r="C2187" t="str">
        <f t="shared" si="52"/>
        <v/>
      </c>
      <c r="D2187" s="31"/>
      <c r="E2187" s="402"/>
      <c r="F2187" s="402"/>
      <c r="G2187" s="957"/>
      <c r="H2187"/>
      <c r="J2187" s="580"/>
    </row>
    <row r="2188" spans="1:10" ht="15" thickBot="1" x14ac:dyDescent="0.4">
      <c r="A2188" s="366" t="str">
        <f>A2187</f>
        <v/>
      </c>
      <c r="B2188" t="str">
        <f>IF(LEN('Ch9'!H321)=0,"",'Ch9'!H321)</f>
        <v/>
      </c>
      <c r="C2188" t="str">
        <f t="shared" si="52"/>
        <v/>
      </c>
      <c r="D2188" s="31"/>
      <c r="E2188" s="402"/>
      <c r="F2188" s="402"/>
      <c r="G2188" s="957"/>
      <c r="H2188"/>
      <c r="J2188" s="580"/>
    </row>
    <row r="2189" spans="1:10" ht="15" thickTop="1" x14ac:dyDescent="0.35">
      <c r="A2189" s="366" t="str">
        <f>IF(I2189&gt;0,"P","")</f>
        <v/>
      </c>
      <c r="B2189" t="str">
        <f>IF(LEN('Ch9'!H322)=0,"",'Ch9'!H322)</f>
        <v/>
      </c>
      <c r="C2189" t="str">
        <f t="shared" si="52"/>
        <v/>
      </c>
      <c r="D2189" s="60">
        <v>902.5</v>
      </c>
      <c r="E2189" s="60"/>
      <c r="F2189" s="60"/>
      <c r="G2189" s="946" t="s">
        <v>3259</v>
      </c>
      <c r="H2189" s="400" t="str">
        <f>IF(LEN('Ch9'!W322)=0,"",'Ch9'!W322)</f>
        <v/>
      </c>
      <c r="I2189" s="46">
        <f>'Ch9'!O322</f>
        <v>0</v>
      </c>
      <c r="J2189" s="580" t="s">
        <v>3891</v>
      </c>
    </row>
    <row r="2190" spans="1:10" ht="15" thickBot="1" x14ac:dyDescent="0.4">
      <c r="A2190" s="366" t="str">
        <f>A2189</f>
        <v/>
      </c>
      <c r="B2190" t="str">
        <f>IF(LEN('Ch9'!H323)=0,"",'Ch9'!H323)</f>
        <v/>
      </c>
      <c r="C2190" t="str">
        <f t="shared" si="52"/>
        <v/>
      </c>
      <c r="D2190" s="404"/>
      <c r="E2190" s="404"/>
      <c r="F2190" s="404"/>
      <c r="G2190" s="947"/>
      <c r="H2190"/>
      <c r="J2190" s="580"/>
    </row>
    <row r="2191" spans="1:10" ht="15" thickTop="1" x14ac:dyDescent="0.35">
      <c r="A2191" s="366" t="str">
        <f>IF(AND(LEN(H2191)&gt;0,NOT(H2191=FALSE)),"P","")</f>
        <v>P</v>
      </c>
      <c r="B2191" t="str">
        <f>IF(LEN('Ch9'!H324)=0,"",'Ch9'!H324)</f>
        <v/>
      </c>
      <c r="C2191" t="str">
        <f t="shared" si="52"/>
        <v>P</v>
      </c>
      <c r="D2191" s="31">
        <v>902.6</v>
      </c>
      <c r="E2191" s="31"/>
      <c r="F2191" s="31"/>
      <c r="G2191" s="838" t="s">
        <v>3260</v>
      </c>
      <c r="H2191" s="400" t="b">
        <f>IF(LEN('Ch9'!W324)=0,"",'Ch9'!W324)</f>
        <v>1</v>
      </c>
      <c r="J2191" s="580" t="s">
        <v>3891</v>
      </c>
    </row>
    <row r="2192" spans="1:10" x14ac:dyDescent="0.35">
      <c r="A2192" s="366" t="str">
        <f>A2191</f>
        <v>P</v>
      </c>
      <c r="B2192" t="str">
        <f>IF(LEN('Ch9'!H325)=0,"",'Ch9'!H325)</f>
        <v/>
      </c>
      <c r="C2192" t="str">
        <f t="shared" si="52"/>
        <v>P</v>
      </c>
      <c r="D2192" s="31"/>
      <c r="E2192" s="31"/>
      <c r="F2192" s="31"/>
      <c r="G2192" s="838"/>
      <c r="H2192"/>
      <c r="J2192" s="580"/>
    </row>
    <row r="2193" spans="1:10" ht="18.5" x14ac:dyDescent="0.35">
      <c r="A2193" s="366" t="s">
        <v>3973</v>
      </c>
      <c r="B2193" t="str">
        <f>IF(LEN('Ch9'!H326)=0,"",'Ch9'!H326)</f>
        <v/>
      </c>
      <c r="C2193" t="str">
        <f t="shared" si="52"/>
        <v>P</v>
      </c>
      <c r="D2193" s="620" t="s">
        <v>3261</v>
      </c>
      <c r="E2193" s="620"/>
      <c r="F2193" s="620"/>
      <c r="G2193" s="602"/>
      <c r="H2193"/>
      <c r="J2193" s="580"/>
    </row>
    <row r="2194" spans="1:10" ht="15" thickBot="1" x14ac:dyDescent="0.4">
      <c r="B2194" t="str">
        <f>IF(LEN('Ch9'!H327)=0,"",'Ch9'!H327)</f>
        <v/>
      </c>
      <c r="C2194" t="str">
        <f t="shared" si="52"/>
        <v/>
      </c>
      <c r="D2194" s="410">
        <v>903</v>
      </c>
      <c r="E2194" s="404"/>
      <c r="F2194" s="404"/>
      <c r="G2194" s="275" t="s">
        <v>3262</v>
      </c>
      <c r="H2194"/>
      <c r="I2194"/>
      <c r="J2194" s="580"/>
    </row>
    <row r="2195" spans="1:10" ht="15" thickTop="1" x14ac:dyDescent="0.35">
      <c r="A2195" s="366" t="str">
        <f ca="1">IF(I2195&gt;0,"P","")</f>
        <v/>
      </c>
      <c r="B2195" t="str">
        <f>IF(LEN('Ch9'!H328)=0,"",'Ch9'!H328)</f>
        <v/>
      </c>
      <c r="C2195" t="str">
        <f t="shared" ref="C2195:C2258" ca="1" si="53">IF(LEN(B2195)=0,IF(A2195="P","P",""),B2195)</f>
        <v/>
      </c>
      <c r="D2195" s="411">
        <v>903.1</v>
      </c>
      <c r="E2195" s="60"/>
      <c r="F2195" s="60"/>
      <c r="G2195" s="274" t="s">
        <v>3658</v>
      </c>
      <c r="H2195" s="400" t="str">
        <f>IF(LEN('Ch9'!W328)=0,"",'Ch9'!W328)</f>
        <v/>
      </c>
      <c r="I2195" s="46">
        <f ca="1">'Ch9'!O328</f>
        <v>0</v>
      </c>
      <c r="J2195" s="580"/>
    </row>
    <row r="2196" spans="1:10" x14ac:dyDescent="0.35">
      <c r="A2196" s="366" t="str">
        <f ca="1">A2195</f>
        <v/>
      </c>
      <c r="B2196" t="str">
        <f>IF(LEN('Ch9'!H329)=0,"",'Ch9'!H329)</f>
        <v/>
      </c>
      <c r="C2196" t="str">
        <f t="shared" ca="1" si="53"/>
        <v/>
      </c>
      <c r="D2196" s="31"/>
      <c r="E2196" s="402" t="s">
        <v>256</v>
      </c>
      <c r="F2196" s="31"/>
      <c r="G2196" s="814" t="s">
        <v>3656</v>
      </c>
      <c r="H2196"/>
      <c r="J2196" s="580" t="s">
        <v>3891</v>
      </c>
    </row>
    <row r="2197" spans="1:10" x14ac:dyDescent="0.35">
      <c r="A2197" s="366" t="str">
        <f ca="1">A2196</f>
        <v/>
      </c>
      <c r="B2197" t="str">
        <f>IF(LEN('Ch9'!H330)=0,"",'Ch9'!H330)</f>
        <v/>
      </c>
      <c r="C2197" t="str">
        <f t="shared" ca="1" si="53"/>
        <v/>
      </c>
      <c r="D2197" s="31"/>
      <c r="E2197" s="416"/>
      <c r="F2197" s="403"/>
      <c r="G2197" s="889"/>
      <c r="H2197"/>
      <c r="J2197" s="580"/>
    </row>
    <row r="2198" spans="1:10" ht="15" thickBot="1" x14ac:dyDescent="0.4">
      <c r="A2198" s="366" t="str">
        <f ca="1">A2197</f>
        <v/>
      </c>
      <c r="B2198" t="str">
        <f>IF(LEN('Ch9'!H331)=0,"",'Ch9'!H331)</f>
        <v/>
      </c>
      <c r="C2198" t="str">
        <f t="shared" ca="1" si="53"/>
        <v/>
      </c>
      <c r="D2198" s="404"/>
      <c r="E2198" s="407" t="s">
        <v>258</v>
      </c>
      <c r="F2198" s="404"/>
      <c r="G2198" s="229" t="s">
        <v>3657</v>
      </c>
      <c r="H2198"/>
      <c r="J2198" s="580" t="s">
        <v>3891</v>
      </c>
    </row>
    <row r="2199" spans="1:10" ht="15" thickTop="1" x14ac:dyDescent="0.35">
      <c r="A2199" s="366" t="str">
        <f ca="1">IF(I2199&gt;0,"P","")</f>
        <v/>
      </c>
      <c r="B2199" t="str">
        <f>IF(LEN('Ch9'!H332)=0,"",'Ch9'!H332)</f>
        <v/>
      </c>
      <c r="C2199" t="str">
        <f t="shared" ca="1" si="53"/>
        <v/>
      </c>
      <c r="D2199" s="60">
        <v>903.2</v>
      </c>
      <c r="E2199" s="60"/>
      <c r="F2199" s="60"/>
      <c r="G2199" s="274" t="s">
        <v>3265</v>
      </c>
      <c r="H2199" s="400" t="str">
        <f>IF(LEN('Ch9'!W332)=0,"",'Ch9'!W332)</f>
        <v/>
      </c>
      <c r="I2199" s="46">
        <f ca="1">'Ch9'!O332</f>
        <v>0</v>
      </c>
      <c r="J2199" s="580" t="s">
        <v>3891</v>
      </c>
    </row>
    <row r="2200" spans="1:10" x14ac:dyDescent="0.35">
      <c r="B2200" t="str">
        <f>IF(LEN('Ch9'!H333)=0,"",'Ch9'!H333)</f>
        <v/>
      </c>
      <c r="C2200" t="str">
        <f t="shared" si="53"/>
        <v/>
      </c>
      <c r="D2200" s="31"/>
      <c r="E2200" s="416" t="s">
        <v>256</v>
      </c>
      <c r="F2200" s="403"/>
      <c r="G2200" s="228" t="s">
        <v>3266</v>
      </c>
      <c r="H2200"/>
      <c r="J2200" s="580"/>
    </row>
    <row r="2201" spans="1:10" x14ac:dyDescent="0.35">
      <c r="B2201" t="str">
        <f>IF(LEN('Ch9'!H334)=0,"",'Ch9'!H334)</f>
        <v/>
      </c>
      <c r="C2201" t="str">
        <f t="shared" si="53"/>
        <v/>
      </c>
      <c r="D2201" s="31"/>
      <c r="E2201" s="402" t="s">
        <v>258</v>
      </c>
      <c r="F2201" s="31"/>
      <c r="G2201" s="814" t="s">
        <v>3267</v>
      </c>
      <c r="H2201"/>
      <c r="J2201" s="580"/>
    </row>
    <row r="2202" spans="1:10" ht="15" thickBot="1" x14ac:dyDescent="0.4">
      <c r="B2202" t="str">
        <f>IF(LEN('Ch9'!H335)=0,"",'Ch9'!H335)</f>
        <v/>
      </c>
      <c r="C2202" t="str">
        <f t="shared" si="53"/>
        <v/>
      </c>
      <c r="D2202" s="404"/>
      <c r="E2202" s="404"/>
      <c r="F2202" s="404"/>
      <c r="G2202" s="839"/>
      <c r="H2202"/>
      <c r="J2202" s="580"/>
    </row>
    <row r="2203" spans="1:10" ht="15" thickTop="1" x14ac:dyDescent="0.35">
      <c r="A2203" s="366" t="str">
        <f>IF(I2203&gt;0,"P","")</f>
        <v/>
      </c>
      <c r="B2203" t="str">
        <f>IF(LEN('Ch9'!H336)=0,"",'Ch9'!H336)</f>
        <v/>
      </c>
      <c r="C2203" t="str">
        <f t="shared" si="53"/>
        <v/>
      </c>
      <c r="D2203" s="31">
        <v>903.3</v>
      </c>
      <c r="E2203" s="31"/>
      <c r="F2203" s="31"/>
      <c r="G2203" s="838" t="s">
        <v>3659</v>
      </c>
      <c r="H2203"/>
      <c r="I2203" s="46">
        <f>'Ch9'!O336</f>
        <v>0</v>
      </c>
      <c r="J2203" s="975" t="s">
        <v>3945</v>
      </c>
    </row>
    <row r="2204" spans="1:10" x14ac:dyDescent="0.35">
      <c r="A2204" s="366" t="str">
        <f>A2203</f>
        <v/>
      </c>
      <c r="B2204" t="str">
        <f>IF(LEN('Ch9'!H337)=0,"",'Ch9'!H337)</f>
        <v/>
      </c>
      <c r="C2204" t="str">
        <f t="shared" si="53"/>
        <v/>
      </c>
      <c r="D2204" s="31"/>
      <c r="E2204" s="31"/>
      <c r="F2204" s="31"/>
      <c r="G2204" s="838"/>
      <c r="H2204"/>
      <c r="J2204" s="976"/>
    </row>
    <row r="2205" spans="1:10" x14ac:dyDescent="0.35">
      <c r="B2205" t="str">
        <f>IF(LEN('Ch9'!H338)=0,"",'Ch9'!H338)</f>
        <v/>
      </c>
      <c r="C2205" t="str">
        <f t="shared" si="53"/>
        <v/>
      </c>
      <c r="D2205" s="31"/>
      <c r="E2205" s="416" t="s">
        <v>256</v>
      </c>
      <c r="F2205" s="619"/>
      <c r="G2205" s="228" t="s">
        <v>3268</v>
      </c>
      <c r="H2205" s="400" t="str">
        <f>IF(LEN('Ch9'!W338)=0,"",'Ch9'!W338)</f>
        <v/>
      </c>
      <c r="J2205" s="580"/>
    </row>
    <row r="2206" spans="1:10" x14ac:dyDescent="0.35">
      <c r="B2206" t="str">
        <f>IF(LEN('Ch9'!H339)=0,"",'Ch9'!H339)</f>
        <v/>
      </c>
      <c r="C2206" t="str">
        <f t="shared" si="53"/>
        <v/>
      </c>
      <c r="D2206" s="31"/>
      <c r="E2206" s="402" t="s">
        <v>258</v>
      </c>
      <c r="G2206" s="848" t="s">
        <v>3269</v>
      </c>
      <c r="H2206" s="400" t="str">
        <f>IF(LEN('Ch9'!W339)=0,"",'Ch9'!W339)</f>
        <v/>
      </c>
      <c r="J2206" s="580"/>
    </row>
    <row r="2207" spans="1:10" x14ac:dyDescent="0.35">
      <c r="B2207" t="str">
        <f>IF(LEN('Ch9'!H340)=0,"",'Ch9'!H340)</f>
        <v/>
      </c>
      <c r="C2207" t="str">
        <f t="shared" si="53"/>
        <v/>
      </c>
      <c r="D2207" s="31"/>
      <c r="E2207" s="31"/>
      <c r="F2207" s="402"/>
      <c r="G2207" s="848"/>
      <c r="H2207"/>
      <c r="J2207" s="580"/>
    </row>
    <row r="2208" spans="1:10" ht="18.5" x14ac:dyDescent="0.35">
      <c r="A2208" s="366" t="s">
        <v>3973</v>
      </c>
      <c r="B2208" t="str">
        <f>IF(LEN('Ch9'!H341)=0,"",'Ch9'!H341)</f>
        <v/>
      </c>
      <c r="C2208" t="str">
        <f t="shared" si="53"/>
        <v>P</v>
      </c>
      <c r="D2208" s="620" t="s">
        <v>3270</v>
      </c>
      <c r="E2208" s="620"/>
      <c r="F2208" s="620"/>
      <c r="G2208" s="602"/>
      <c r="H2208"/>
      <c r="J2208" s="580"/>
    </row>
    <row r="2209" spans="1:10" x14ac:dyDescent="0.35">
      <c r="B2209" t="str">
        <f>IF(LEN('Ch9'!H342)=0,"",'Ch9'!H342)</f>
        <v/>
      </c>
      <c r="C2209" t="str">
        <f t="shared" si="53"/>
        <v/>
      </c>
      <c r="D2209" s="408">
        <v>904</v>
      </c>
      <c r="E2209" s="31"/>
      <c r="F2209" s="31"/>
      <c r="G2209" s="838" t="s">
        <v>3271</v>
      </c>
      <c r="H2209"/>
      <c r="J2209" s="580"/>
    </row>
    <row r="2210" spans="1:10" ht="15" thickBot="1" x14ac:dyDescent="0.4">
      <c r="B2210" t="str">
        <f>IF(LEN('Ch9'!H343)=0,"",'Ch9'!H343)</f>
        <v/>
      </c>
      <c r="C2210" t="str">
        <f t="shared" si="53"/>
        <v/>
      </c>
      <c r="D2210" s="404"/>
      <c r="E2210" s="404"/>
      <c r="F2210" s="404"/>
      <c r="G2210" s="849"/>
      <c r="H2210"/>
      <c r="J2210" s="580"/>
    </row>
    <row r="2211" spans="1:10" ht="15" thickTop="1" x14ac:dyDescent="0.35">
      <c r="B2211" t="str">
        <f>IF(LEN('Ch9'!H344)=0,"",'Ch9'!H344)</f>
        <v/>
      </c>
      <c r="C2211" t="str">
        <f t="shared" si="53"/>
        <v/>
      </c>
      <c r="D2211" s="411">
        <v>904.1</v>
      </c>
      <c r="E2211" s="60"/>
      <c r="F2211" s="60"/>
      <c r="G2211" s="837" t="s">
        <v>3272</v>
      </c>
      <c r="H2211" s="400" t="str">
        <f>IF(LEN('Ch9'!W344)=0,"",'Ch9'!W344)</f>
        <v/>
      </c>
      <c r="I2211" s="46">
        <f>'Ch9'!O344</f>
        <v>0</v>
      </c>
      <c r="J2211" s="580"/>
    </row>
    <row r="2212" spans="1:10" x14ac:dyDescent="0.35">
      <c r="B2212" t="str">
        <f>IF(LEN('Ch9'!H345)=0,"",'Ch9'!H345)</f>
        <v/>
      </c>
      <c r="C2212" t="str">
        <f t="shared" si="53"/>
        <v/>
      </c>
      <c r="D2212" s="31"/>
      <c r="E2212" s="31"/>
      <c r="F2212" s="31"/>
      <c r="G2212" s="838"/>
      <c r="H2212"/>
      <c r="J2212" s="580"/>
    </row>
    <row r="2213" spans="1:10" x14ac:dyDescent="0.35">
      <c r="B2213" t="str">
        <f>IF(LEN('Ch9'!H346)=0,"",'Ch9'!H346)</f>
        <v/>
      </c>
      <c r="C2213" t="str">
        <f t="shared" si="53"/>
        <v/>
      </c>
      <c r="D2213" s="31"/>
      <c r="E2213" s="31"/>
      <c r="F2213" s="31"/>
      <c r="G2213" s="838"/>
      <c r="H2213"/>
      <c r="J2213" s="580"/>
    </row>
    <row r="2214" spans="1:10" x14ac:dyDescent="0.35">
      <c r="B2214" t="str">
        <f>IF(LEN('Ch9'!H347)=0,"",'Ch9'!H347)</f>
        <v/>
      </c>
      <c r="C2214" t="str">
        <f t="shared" si="53"/>
        <v/>
      </c>
      <c r="D2214" s="31"/>
      <c r="E2214" s="31"/>
      <c r="F2214" s="31"/>
      <c r="G2214" s="838"/>
      <c r="H2214"/>
      <c r="J2214" s="580"/>
    </row>
    <row r="2215" spans="1:10" ht="15" thickBot="1" x14ac:dyDescent="0.4">
      <c r="B2215" t="str">
        <f>IF(LEN('Ch9'!H348)=0,"",'Ch9'!H348)</f>
        <v/>
      </c>
      <c r="C2215" t="str">
        <f t="shared" si="53"/>
        <v/>
      </c>
      <c r="D2215" s="404"/>
      <c r="E2215" s="404"/>
      <c r="F2215" s="404"/>
      <c r="G2215" s="849"/>
      <c r="H2215"/>
      <c r="J2215" s="580"/>
    </row>
    <row r="2216" spans="1:10" ht="15" thickTop="1" x14ac:dyDescent="0.35">
      <c r="A2216" s="366" t="str">
        <f>IF(I2216&gt;0,"P","")</f>
        <v/>
      </c>
      <c r="B2216" t="str">
        <f>IF(LEN('Ch9'!H349)=0,"",'Ch9'!H349)</f>
        <v/>
      </c>
      <c r="C2216" t="str">
        <f t="shared" si="53"/>
        <v/>
      </c>
      <c r="D2216" s="60">
        <v>904.2</v>
      </c>
      <c r="E2216" s="60"/>
      <c r="F2216" s="60"/>
      <c r="G2216" s="837" t="s">
        <v>3273</v>
      </c>
      <c r="H2216" s="400" t="str">
        <f>IF(LEN('Ch9'!W349)=0,"",'Ch9'!W349)</f>
        <v/>
      </c>
      <c r="I2216" s="46">
        <f>'Ch9'!O349</f>
        <v>0</v>
      </c>
      <c r="J2216" s="580" t="s">
        <v>3891</v>
      </c>
    </row>
    <row r="2217" spans="1:10" x14ac:dyDescent="0.35">
      <c r="A2217" s="366" t="str">
        <f>A2216</f>
        <v/>
      </c>
      <c r="B2217" t="str">
        <f>IF(LEN('Ch9'!H350)=0,"",'Ch9'!H350)</f>
        <v/>
      </c>
      <c r="C2217" t="str">
        <f t="shared" si="53"/>
        <v/>
      </c>
      <c r="D2217" s="31"/>
      <c r="E2217" s="31"/>
      <c r="F2217" s="31"/>
      <c r="G2217" s="838"/>
      <c r="H2217"/>
      <c r="J2217" s="580"/>
    </row>
    <row r="2218" spans="1:10" ht="15" thickBot="1" x14ac:dyDescent="0.4">
      <c r="A2218" s="366" t="str">
        <f>A2217</f>
        <v/>
      </c>
      <c r="B2218" t="str">
        <f>IF(LEN('Ch9'!H351)=0,"",'Ch9'!H351)</f>
        <v/>
      </c>
      <c r="C2218" t="str">
        <f t="shared" si="53"/>
        <v/>
      </c>
      <c r="D2218" s="404"/>
      <c r="E2218" s="404"/>
      <c r="F2218" s="404"/>
      <c r="G2218" s="849"/>
      <c r="H2218"/>
      <c r="J2218" s="580"/>
    </row>
    <row r="2219" spans="1:10" ht="15" thickTop="1" x14ac:dyDescent="0.35">
      <c r="A2219" s="366" t="s">
        <v>3973</v>
      </c>
      <c r="B2219" t="str">
        <f>IF(LEN('Ch9'!H352)=0,"",'Ch9'!H352)</f>
        <v/>
      </c>
      <c r="C2219" t="str">
        <f t="shared" si="53"/>
        <v>P</v>
      </c>
      <c r="D2219" s="402" t="s">
        <v>4539</v>
      </c>
      <c r="E2219" s="402"/>
      <c r="F2219" s="402"/>
      <c r="G2219" s="841" t="s">
        <v>4540</v>
      </c>
      <c r="H2219"/>
      <c r="J2219" s="580" t="s">
        <v>3891</v>
      </c>
    </row>
    <row r="2220" spans="1:10" x14ac:dyDescent="0.35">
      <c r="A2220" s="366" t="s">
        <v>3973</v>
      </c>
      <c r="B2220" t="str">
        <f>IF(LEN('Ch9'!H353)=0,"",'Ch9'!H353)</f>
        <v/>
      </c>
      <c r="C2220" t="str">
        <f t="shared" si="53"/>
        <v>P</v>
      </c>
      <c r="D2220" s="402"/>
      <c r="E2220" s="402"/>
      <c r="F2220" s="402"/>
      <c r="G2220" s="841"/>
      <c r="H2220"/>
      <c r="J2220" s="580"/>
    </row>
    <row r="2221" spans="1:10" x14ac:dyDescent="0.35">
      <c r="B2221" t="str">
        <f>IF(LEN('Ch9'!H354)=0,"",'Ch9'!H354)</f>
        <v/>
      </c>
      <c r="C2221" t="str">
        <f t="shared" si="53"/>
        <v/>
      </c>
      <c r="D2221" s="402"/>
      <c r="E2221" s="402" t="s">
        <v>256</v>
      </c>
      <c r="F2221" s="402"/>
      <c r="G2221" s="957" t="s">
        <v>4537</v>
      </c>
      <c r="H2221" s="400" t="b">
        <f>IF(LEN('Ch9'!W354)=0,"",'Ch9'!W354)</f>
        <v>1</v>
      </c>
      <c r="J2221" s="580"/>
    </row>
    <row r="2222" spans="1:10" x14ac:dyDescent="0.35">
      <c r="B2222" t="str">
        <f>IF(LEN('Ch9'!H355)=0,"",'Ch9'!H355)</f>
        <v/>
      </c>
      <c r="C2222" t="str">
        <f t="shared" si="53"/>
        <v/>
      </c>
      <c r="D2222" s="402"/>
      <c r="E2222" s="402"/>
      <c r="F2222" s="402"/>
      <c r="G2222" s="957"/>
      <c r="H2222"/>
      <c r="J2222" s="580"/>
    </row>
    <row r="2223" spans="1:10" x14ac:dyDescent="0.35">
      <c r="B2223" t="str">
        <f>IF(LEN('Ch9'!H356)=0,"",'Ch9'!H356)</f>
        <v/>
      </c>
      <c r="C2223" t="str">
        <f t="shared" si="53"/>
        <v/>
      </c>
      <c r="D2223" s="402"/>
      <c r="E2223" s="402"/>
      <c r="F2223" s="402"/>
      <c r="G2223" s="957"/>
      <c r="H2223"/>
      <c r="J2223" s="580"/>
    </row>
    <row r="2224" spans="1:10" x14ac:dyDescent="0.35">
      <c r="B2224" t="str">
        <f>IF(LEN('Ch9'!H357)=0,"",'Ch9'!H357)</f>
        <v/>
      </c>
      <c r="C2224" t="str">
        <f t="shared" si="53"/>
        <v/>
      </c>
      <c r="D2224" s="402"/>
      <c r="E2224" s="402"/>
      <c r="F2224" s="402"/>
      <c r="G2224" s="957"/>
      <c r="H2224"/>
      <c r="J2224" s="580"/>
    </row>
    <row r="2225" spans="1:10" x14ac:dyDescent="0.35">
      <c r="B2225" t="str">
        <f>IF(LEN('Ch9'!H358)=0,"",'Ch9'!H358)</f>
        <v/>
      </c>
      <c r="C2225" t="str">
        <f t="shared" si="53"/>
        <v/>
      </c>
      <c r="D2225" s="402"/>
      <c r="E2225" s="402"/>
      <c r="F2225" s="402"/>
      <c r="G2225" s="957"/>
      <c r="H2225"/>
      <c r="J2225" s="580"/>
    </row>
    <row r="2226" spans="1:10" x14ac:dyDescent="0.35">
      <c r="B2226" t="str">
        <f>IF(LEN('Ch9'!H359)=0,"",'Ch9'!H359)</f>
        <v/>
      </c>
      <c r="C2226" t="str">
        <f t="shared" si="53"/>
        <v/>
      </c>
      <c r="D2226" s="402"/>
      <c r="E2226" s="402"/>
      <c r="F2226" s="402"/>
      <c r="G2226" s="957"/>
      <c r="H2226"/>
      <c r="J2226" s="580"/>
    </row>
    <row r="2227" spans="1:10" x14ac:dyDescent="0.35">
      <c r="B2227" t="str">
        <f>IF(LEN('Ch9'!H360)=0,"",'Ch9'!H360)</f>
        <v/>
      </c>
      <c r="C2227" t="str">
        <f t="shared" si="53"/>
        <v/>
      </c>
      <c r="D2227" s="402"/>
      <c r="E2227" s="402"/>
      <c r="F2227" s="402"/>
      <c r="G2227" s="957"/>
      <c r="H2227"/>
      <c r="J2227" s="580"/>
    </row>
    <row r="2228" spans="1:10" x14ac:dyDescent="0.35">
      <c r="B2228" t="str">
        <f>IF(LEN('Ch9'!H361)=0,"",'Ch9'!H361)</f>
        <v/>
      </c>
      <c r="C2228" t="str">
        <f t="shared" si="53"/>
        <v/>
      </c>
      <c r="D2228" s="402"/>
      <c r="E2228" s="416"/>
      <c r="F2228" s="416"/>
      <c r="G2228" s="960"/>
      <c r="H2228"/>
      <c r="J2228" s="580"/>
    </row>
    <row r="2229" spans="1:10" x14ac:dyDescent="0.35">
      <c r="B2229" t="str">
        <f>IF(LEN('Ch9'!H362)=0,"",'Ch9'!H362)</f>
        <v/>
      </c>
      <c r="C2229" t="str">
        <f t="shared" si="53"/>
        <v/>
      </c>
      <c r="D2229" s="402"/>
      <c r="E2229" s="402" t="s">
        <v>258</v>
      </c>
      <c r="F2229" s="402"/>
      <c r="G2229" s="957" t="s">
        <v>4538</v>
      </c>
      <c r="H2229" s="400" t="b">
        <f>IF(LEN('Ch9'!W362)=0,"",'Ch9'!W362)</f>
        <v>1</v>
      </c>
      <c r="J2229" s="580"/>
    </row>
    <row r="2230" spans="1:10" x14ac:dyDescent="0.35">
      <c r="B2230" t="str">
        <f>IF(LEN('Ch9'!H363)=0,"",'Ch9'!H363)</f>
        <v/>
      </c>
      <c r="C2230" t="str">
        <f t="shared" si="53"/>
        <v/>
      </c>
      <c r="D2230" s="402"/>
      <c r="E2230" s="402"/>
      <c r="F2230" s="402"/>
      <c r="G2230" s="957"/>
      <c r="H2230"/>
      <c r="J2230" s="580"/>
    </row>
    <row r="2231" spans="1:10" x14ac:dyDescent="0.35">
      <c r="B2231" t="str">
        <f>IF(LEN('Ch9'!H364)=0,"",'Ch9'!H364)</f>
        <v/>
      </c>
      <c r="C2231" t="str">
        <f t="shared" si="53"/>
        <v/>
      </c>
      <c r="D2231" s="402"/>
      <c r="E2231" s="402"/>
      <c r="F2231" s="402"/>
      <c r="G2231" s="957"/>
      <c r="H2231"/>
      <c r="J2231" s="580"/>
    </row>
    <row r="2232" spans="1:10" ht="18.5" x14ac:dyDescent="0.35">
      <c r="A2232" s="366" t="s">
        <v>3973</v>
      </c>
      <c r="B2232" t="str">
        <f>IF(LEN('Ch9'!H365)=0,"",'Ch9'!H365)</f>
        <v/>
      </c>
      <c r="C2232" t="str">
        <f t="shared" si="53"/>
        <v>P</v>
      </c>
      <c r="D2232" s="620" t="s">
        <v>3274</v>
      </c>
      <c r="E2232" s="620"/>
      <c r="F2232" s="620"/>
      <c r="G2232" s="602"/>
      <c r="H2232"/>
      <c r="J2232" s="580"/>
    </row>
    <row r="2233" spans="1:10" x14ac:dyDescent="0.35">
      <c r="A2233" s="366" t="str">
        <f>IF(I2233&gt;0,"P","")</f>
        <v/>
      </c>
      <c r="B2233" t="str">
        <f>IF(LEN('Ch9'!H366)=0,"",'Ch9'!H366)</f>
        <v/>
      </c>
      <c r="C2233" t="str">
        <f t="shared" si="53"/>
        <v/>
      </c>
      <c r="D2233" s="31">
        <v>905.1</v>
      </c>
      <c r="E2233" s="31"/>
      <c r="F2233" s="31"/>
      <c r="G2233" s="838" t="s">
        <v>3275</v>
      </c>
      <c r="H2233" s="400" t="str">
        <f>IF(LEN('Ch9'!W366)=0,"",'Ch9'!W366)</f>
        <v/>
      </c>
      <c r="I2233" s="46">
        <f>'Ch9'!O366</f>
        <v>0</v>
      </c>
      <c r="J2233" s="580" t="s">
        <v>3891</v>
      </c>
    </row>
    <row r="2234" spans="1:10" x14ac:dyDescent="0.35">
      <c r="A2234" s="366" t="str">
        <f>A2233</f>
        <v/>
      </c>
      <c r="B2234" t="str">
        <f>IF(LEN('Ch9'!H367)=0,"",'Ch9'!H367)</f>
        <v/>
      </c>
      <c r="C2234" t="str">
        <f t="shared" si="53"/>
        <v/>
      </c>
      <c r="D2234" s="31"/>
      <c r="E2234" s="31"/>
      <c r="F2234" s="31"/>
      <c r="G2234" s="838"/>
      <c r="H2234"/>
      <c r="J2234" s="580"/>
    </row>
    <row r="2235" spans="1:10" x14ac:dyDescent="0.35">
      <c r="A2235" s="366" t="str">
        <f>A2234</f>
        <v/>
      </c>
      <c r="B2235" t="str">
        <f>IF(LEN('Ch9'!H368)=0,"",'Ch9'!H368)</f>
        <v/>
      </c>
      <c r="C2235" t="str">
        <f t="shared" si="53"/>
        <v/>
      </c>
      <c r="D2235" s="31"/>
      <c r="E2235" s="31"/>
      <c r="F2235" s="31"/>
      <c r="G2235" s="838"/>
      <c r="H2235"/>
      <c r="J2235" s="580"/>
    </row>
    <row r="2236" spans="1:10" x14ac:dyDescent="0.35">
      <c r="A2236" s="366" t="str">
        <f>A2235</f>
        <v/>
      </c>
      <c r="B2236" t="str">
        <f>IF(LEN('Ch9'!H369)=0,"",'Ch9'!H369)</f>
        <v/>
      </c>
      <c r="C2236" t="str">
        <f t="shared" si="53"/>
        <v/>
      </c>
      <c r="D2236" s="31"/>
      <c r="E2236" s="31"/>
      <c r="F2236" s="31"/>
      <c r="G2236" s="838"/>
      <c r="H2236"/>
      <c r="J2236" s="580"/>
    </row>
    <row r="2237" spans="1:10" ht="15" thickBot="1" x14ac:dyDescent="0.4">
      <c r="A2237" s="366" t="str">
        <f>A2236</f>
        <v/>
      </c>
      <c r="B2237" t="str">
        <f>IF(LEN('Ch9'!H370)=0,"",'Ch9'!H370)</f>
        <v/>
      </c>
      <c r="C2237" t="str">
        <f t="shared" si="53"/>
        <v/>
      </c>
      <c r="D2237" s="404"/>
      <c r="E2237" s="404"/>
      <c r="F2237" s="404"/>
      <c r="G2237" s="849"/>
      <c r="H2237"/>
      <c r="J2237" s="580"/>
    </row>
    <row r="2238" spans="1:10" ht="15" thickTop="1" x14ac:dyDescent="0.35">
      <c r="A2238" s="366" t="str">
        <f>IF(I2238&gt;0,"P","")</f>
        <v/>
      </c>
      <c r="B2238" t="str">
        <f>IF(LEN('Ch9'!H371)=0,"",'Ch9'!H371)</f>
        <v/>
      </c>
      <c r="C2238" t="str">
        <f t="shared" si="53"/>
        <v/>
      </c>
      <c r="D2238" s="60">
        <v>905.2</v>
      </c>
      <c r="E2238" s="60"/>
      <c r="F2238" s="60"/>
      <c r="G2238" s="837" t="s">
        <v>3276</v>
      </c>
      <c r="H2238" s="400" t="str">
        <f>IF(LEN('Ch9'!W371)=0,"",'Ch9'!W371)</f>
        <v/>
      </c>
      <c r="I2238" s="46">
        <f>'Ch9'!O371</f>
        <v>0</v>
      </c>
      <c r="J2238" s="580" t="s">
        <v>3946</v>
      </c>
    </row>
    <row r="2239" spans="1:10" ht="15" thickBot="1" x14ac:dyDescent="0.4">
      <c r="A2239" s="366" t="str">
        <f>A2238</f>
        <v/>
      </c>
      <c r="B2239" t="str">
        <f>IF(LEN('Ch9'!H372)=0,"",'Ch9'!H372)</f>
        <v/>
      </c>
      <c r="C2239" t="str">
        <f t="shared" si="53"/>
        <v/>
      </c>
      <c r="D2239" s="404"/>
      <c r="E2239" s="404"/>
      <c r="F2239" s="404"/>
      <c r="G2239" s="849"/>
      <c r="H2239"/>
      <c r="J2239" s="580"/>
    </row>
    <row r="2240" spans="1:10" ht="15" thickTop="1" x14ac:dyDescent="0.35">
      <c r="A2240" s="366" t="str">
        <f>IF(I2240&gt;0,"P","")</f>
        <v/>
      </c>
      <c r="B2240" t="str">
        <f>IF(LEN('Ch9'!H373)=0,"",'Ch9'!H373)</f>
        <v/>
      </c>
      <c r="C2240" t="str">
        <f t="shared" si="53"/>
        <v/>
      </c>
      <c r="D2240" s="402" t="s">
        <v>4541</v>
      </c>
      <c r="E2240" s="402"/>
      <c r="F2240" s="402"/>
      <c r="G2240" s="485" t="s">
        <v>4542</v>
      </c>
      <c r="H2240"/>
      <c r="I2240" s="46">
        <f>'Ch9'!O373</f>
        <v>0</v>
      </c>
      <c r="J2240" s="580" t="s">
        <v>5039</v>
      </c>
    </row>
    <row r="2241" spans="1:10" x14ac:dyDescent="0.35">
      <c r="B2241" t="str">
        <f>IF(LEN('Ch9'!H374)=0,"",'Ch9'!H374)</f>
        <v/>
      </c>
      <c r="C2241" t="str">
        <f t="shared" si="53"/>
        <v/>
      </c>
      <c r="D2241" s="402"/>
      <c r="E2241" s="402" t="s">
        <v>256</v>
      </c>
      <c r="F2241" s="402"/>
      <c r="G2241" s="517" t="s">
        <v>4543</v>
      </c>
      <c r="H2241" s="400" t="str">
        <f>IF(LEN('Ch9'!W374)=0,"",'Ch9'!W374)</f>
        <v/>
      </c>
      <c r="J2241" s="580"/>
    </row>
    <row r="2242" spans="1:10" x14ac:dyDescent="0.35">
      <c r="B2242" t="str">
        <f>IF(LEN('Ch9'!H375)=0,"",'Ch9'!H375)</f>
        <v/>
      </c>
      <c r="C2242" t="str">
        <f t="shared" si="53"/>
        <v/>
      </c>
      <c r="D2242" s="402"/>
      <c r="E2242" s="402" t="s">
        <v>258</v>
      </c>
      <c r="F2242" s="402"/>
      <c r="G2242" s="957" t="s">
        <v>4544</v>
      </c>
      <c r="H2242" s="400" t="str">
        <f>IF(LEN('Ch9'!W375)=0,"",'Ch9'!W375)</f>
        <v/>
      </c>
      <c r="J2242" s="580"/>
    </row>
    <row r="2243" spans="1:10" ht="15" thickBot="1" x14ac:dyDescent="0.4">
      <c r="B2243" t="str">
        <f>IF(LEN('Ch9'!H376)=0,"",'Ch9'!H376)</f>
        <v/>
      </c>
      <c r="C2243" t="str">
        <f t="shared" si="53"/>
        <v/>
      </c>
      <c r="D2243" s="407"/>
      <c r="E2243" s="407"/>
      <c r="F2243" s="407"/>
      <c r="G2243" s="958"/>
      <c r="H2243"/>
      <c r="J2243" s="580"/>
    </row>
    <row r="2244" spans="1:10" ht="15" thickTop="1" x14ac:dyDescent="0.35">
      <c r="A2244" s="366" t="str">
        <f ca="1">IF(I2244&gt;0,"P","")</f>
        <v/>
      </c>
      <c r="B2244" t="str">
        <f>IF(LEN('Ch9'!H377)=0,"",'Ch9'!H377)</f>
        <v/>
      </c>
      <c r="C2244" t="str">
        <f t="shared" ca="1" si="53"/>
        <v/>
      </c>
      <c r="D2244" s="414" t="s">
        <v>4545</v>
      </c>
      <c r="E2244" s="414"/>
      <c r="F2244" s="414"/>
      <c r="G2244" s="853" t="s">
        <v>4887</v>
      </c>
      <c r="H2244" s="400" t="str">
        <f>IF(LEN('Ch9'!W377)=0,"",'Ch9'!W377)</f>
        <v/>
      </c>
      <c r="I2244" s="46">
        <f ca="1">'Ch9'!O377</f>
        <v>0</v>
      </c>
      <c r="J2244" s="994" t="s">
        <v>5040</v>
      </c>
    </row>
    <row r="2245" spans="1:10" x14ac:dyDescent="0.35">
      <c r="A2245" s="366" t="str">
        <f ca="1">A2244</f>
        <v/>
      </c>
      <c r="B2245" t="str">
        <f>IF(LEN('Ch9'!H378)=0,"",'Ch9'!H378)</f>
        <v/>
      </c>
      <c r="C2245" t="str">
        <f t="shared" ca="1" si="53"/>
        <v/>
      </c>
      <c r="D2245" s="402"/>
      <c r="E2245" s="402"/>
      <c r="F2245" s="402"/>
      <c r="G2245" s="841"/>
      <c r="H2245"/>
      <c r="J2245" s="996"/>
    </row>
    <row r="2246" spans="1:10" x14ac:dyDescent="0.35">
      <c r="A2246" s="366" t="str">
        <f ca="1">A2245</f>
        <v/>
      </c>
      <c r="B2246" t="str">
        <f>IF(LEN('Ch9'!H379)=0,"",'Ch9'!H379)</f>
        <v/>
      </c>
      <c r="C2246" t="str">
        <f t="shared" ca="1" si="53"/>
        <v/>
      </c>
      <c r="D2246" s="402"/>
      <c r="E2246" s="402"/>
      <c r="F2246" s="402"/>
      <c r="G2246" s="841"/>
      <c r="H2246"/>
      <c r="J2246" s="580"/>
    </row>
    <row r="2247" spans="1:10" x14ac:dyDescent="0.35">
      <c r="A2247" s="366" t="str">
        <f ca="1">A2246</f>
        <v/>
      </c>
      <c r="B2247" t="str">
        <f>IF(LEN('Ch9'!H380)=0,"",'Ch9'!H380)</f>
        <v/>
      </c>
      <c r="C2247" t="str">
        <f t="shared" ca="1" si="53"/>
        <v/>
      </c>
      <c r="D2247" s="402"/>
      <c r="E2247" s="402"/>
      <c r="F2247" s="402"/>
      <c r="G2247" s="841"/>
      <c r="H2247"/>
      <c r="J2247" s="580"/>
    </row>
    <row r="2248" spans="1:10" ht="15" thickBot="1" x14ac:dyDescent="0.4">
      <c r="A2248" s="366" t="str">
        <f ca="1">A2247</f>
        <v/>
      </c>
      <c r="B2248" t="str">
        <f>IF(LEN('Ch9'!H381)=0,"",'Ch9'!H381)</f>
        <v/>
      </c>
      <c r="C2248" t="str">
        <f t="shared" ca="1" si="53"/>
        <v/>
      </c>
      <c r="D2248" s="407"/>
      <c r="E2248" s="407"/>
      <c r="F2248" s="407"/>
      <c r="G2248" s="854"/>
      <c r="H2248"/>
      <c r="J2248" s="580"/>
    </row>
    <row r="2249" spans="1:10" ht="15" thickTop="1" x14ac:dyDescent="0.35">
      <c r="A2249" s="366" t="str">
        <f>IF(I2249&gt;0,"P","")</f>
        <v/>
      </c>
      <c r="B2249" t="str">
        <f>IF(LEN('Ch9'!H382)=0,"",'Ch9'!H382)</f>
        <v/>
      </c>
      <c r="C2249" t="str">
        <f t="shared" si="53"/>
        <v/>
      </c>
      <c r="D2249" s="402" t="s">
        <v>6064</v>
      </c>
      <c r="E2249" s="402"/>
      <c r="F2249" s="402"/>
      <c r="G2249" s="841" t="s">
        <v>6065</v>
      </c>
      <c r="H2249" s="400" t="str">
        <f>IF(LEN('Ch9'!W382)=0,"",'Ch9'!W382)</f>
        <v/>
      </c>
      <c r="I2249" s="46">
        <f>'Ch9'!O382</f>
        <v>0</v>
      </c>
      <c r="J2249" s="975" t="s">
        <v>5041</v>
      </c>
    </row>
    <row r="2250" spans="1:10" x14ac:dyDescent="0.35">
      <c r="A2250" s="366" t="str">
        <f>A2249</f>
        <v/>
      </c>
      <c r="B2250" t="str">
        <f>IF(LEN('Ch9'!H383)=0,"",'Ch9'!H383)</f>
        <v/>
      </c>
      <c r="C2250" t="str">
        <f t="shared" si="53"/>
        <v/>
      </c>
      <c r="D2250" s="402"/>
      <c r="E2250" s="402"/>
      <c r="F2250" s="402"/>
      <c r="G2250" s="841"/>
      <c r="H2250"/>
      <c r="J2250" s="978"/>
    </row>
    <row r="2251" spans="1:10" x14ac:dyDescent="0.35">
      <c r="A2251" s="366" t="str">
        <f>A2250</f>
        <v/>
      </c>
      <c r="B2251" t="str">
        <f>IF(LEN('Ch9'!H384)=0,"",'Ch9'!H384)</f>
        <v/>
      </c>
      <c r="C2251" t="str">
        <f t="shared" si="53"/>
        <v/>
      </c>
      <c r="D2251" s="402"/>
      <c r="E2251" s="402"/>
      <c r="F2251" s="402"/>
      <c r="G2251" s="841"/>
      <c r="H2251"/>
      <c r="J2251" s="580"/>
    </row>
    <row r="2252" spans="1:10" x14ac:dyDescent="0.35">
      <c r="A2252" s="366" t="str">
        <f>A2251</f>
        <v/>
      </c>
      <c r="B2252" t="str">
        <f>IF(LEN('Ch9'!H385)=0,"",'Ch9'!H385)</f>
        <v/>
      </c>
      <c r="C2252" t="str">
        <f t="shared" si="53"/>
        <v/>
      </c>
      <c r="D2252" s="402"/>
      <c r="E2252" s="402"/>
      <c r="F2252" s="402"/>
      <c r="G2252" s="841"/>
      <c r="H2252"/>
      <c r="J2252" s="580"/>
    </row>
    <row r="2253" spans="1:10" ht="18.5" x14ac:dyDescent="0.45">
      <c r="A2253" s="366" t="s">
        <v>3973</v>
      </c>
      <c r="B2253" t="str">
        <f>IF(LEN('Ch10'!H9)=0,"",'Ch10'!H9)</f>
        <v/>
      </c>
      <c r="C2253" t="str">
        <f t="shared" si="53"/>
        <v>P</v>
      </c>
      <c r="D2253" s="617" t="s">
        <v>3371</v>
      </c>
      <c r="E2253" s="617"/>
      <c r="F2253" s="617"/>
      <c r="G2253" s="601"/>
      <c r="H2253"/>
      <c r="J2253" s="580"/>
    </row>
    <row r="2254" spans="1:10" x14ac:dyDescent="0.35">
      <c r="B2254" t="str">
        <f>IF(LEN('Ch10'!H10)=0,"",'Ch10'!H10)</f>
        <v/>
      </c>
      <c r="C2254" t="str">
        <f t="shared" si="53"/>
        <v/>
      </c>
      <c r="D2254" s="408">
        <v>1001</v>
      </c>
      <c r="E2254" s="31"/>
      <c r="F2254" s="31"/>
      <c r="G2254" s="838" t="s">
        <v>3277</v>
      </c>
      <c r="H2254"/>
      <c r="J2254" s="580"/>
    </row>
    <row r="2255" spans="1:10" ht="15" thickBot="1" x14ac:dyDescent="0.4">
      <c r="B2255" t="str">
        <f>IF(LEN('Ch10'!H11)=0,"",'Ch10'!H11)</f>
        <v/>
      </c>
      <c r="C2255" t="str">
        <f t="shared" si="53"/>
        <v/>
      </c>
      <c r="D2255" s="404"/>
      <c r="E2255" s="404"/>
      <c r="F2255" s="404"/>
      <c r="G2255" s="849"/>
      <c r="H2255"/>
      <c r="J2255" s="580"/>
    </row>
    <row r="2256" spans="1:10" ht="15" thickTop="1" x14ac:dyDescent="0.35">
      <c r="A2256" s="366" t="str">
        <f>IF(I2256&gt;0,"P","")</f>
        <v>P</v>
      </c>
      <c r="B2256" t="str">
        <f>IF(LEN('Ch10'!H12)=0,"",'Ch10'!H12)</f>
        <v/>
      </c>
      <c r="C2256" t="str">
        <f t="shared" si="53"/>
        <v>P</v>
      </c>
      <c r="D2256" s="31">
        <v>1001.1</v>
      </c>
      <c r="E2256" s="31"/>
      <c r="F2256" s="31"/>
      <c r="G2256" s="838" t="s">
        <v>3278</v>
      </c>
      <c r="H2256"/>
      <c r="I2256" s="46">
        <f>'Ch10'!O12</f>
        <v>4</v>
      </c>
      <c r="J2256" s="994" t="s">
        <v>5042</v>
      </c>
    </row>
    <row r="2257" spans="1:10" x14ac:dyDescent="0.35">
      <c r="A2257" s="366" t="str">
        <f>A2256</f>
        <v>P</v>
      </c>
      <c r="B2257" t="str">
        <f>IF(LEN('Ch10'!H13)=0,"",'Ch10'!H13)</f>
        <v/>
      </c>
      <c r="C2257" t="str">
        <f t="shared" si="53"/>
        <v>P</v>
      </c>
      <c r="D2257" s="31"/>
      <c r="E2257" s="31"/>
      <c r="F2257" s="31"/>
      <c r="G2257" s="838"/>
      <c r="H2257"/>
      <c r="J2257" s="996"/>
    </row>
    <row r="2258" spans="1:10" x14ac:dyDescent="0.35">
      <c r="B2258" t="str">
        <f>IF(LEN('Ch10'!H14)=0,"",'Ch10'!H14)</f>
        <v/>
      </c>
      <c r="C2258" t="str">
        <f t="shared" si="53"/>
        <v/>
      </c>
      <c r="D2258" s="31"/>
      <c r="E2258" s="31"/>
      <c r="F2258" s="31"/>
      <c r="G2258" s="145" t="s">
        <v>3370</v>
      </c>
      <c r="H2258"/>
      <c r="J2258" s="580"/>
    </row>
    <row r="2259" spans="1:10" x14ac:dyDescent="0.35">
      <c r="B2259" t="str">
        <f>IF(LEN('Ch10'!H15)=0,"",'Ch10'!H15)</f>
        <v/>
      </c>
      <c r="C2259" t="str">
        <f t="shared" ref="C2259:C2322" si="54">IF(LEN(B2259)=0,IF(A2259="P","P",""),B2259)</f>
        <v/>
      </c>
      <c r="D2259" s="31"/>
      <c r="E2259" s="416" t="s">
        <v>256</v>
      </c>
      <c r="F2259" s="403"/>
      <c r="G2259" s="228" t="s">
        <v>3279</v>
      </c>
      <c r="H2259" s="400" t="b">
        <f>IF(LEN('Ch10'!W15)=0,"",'Ch10'!W15)</f>
        <v>1</v>
      </c>
      <c r="J2259" s="580"/>
    </row>
    <row r="2260" spans="1:10" x14ac:dyDescent="0.35">
      <c r="B2260" t="str">
        <f>IF(LEN('Ch10'!H16)=0,"",'Ch10'!H16)</f>
        <v/>
      </c>
      <c r="C2260" t="str">
        <f t="shared" si="54"/>
        <v/>
      </c>
      <c r="D2260" s="31"/>
      <c r="E2260" s="422" t="s">
        <v>258</v>
      </c>
      <c r="F2260" s="415"/>
      <c r="G2260" s="178" t="s">
        <v>3280</v>
      </c>
      <c r="H2260" s="400" t="b">
        <f>IF(LEN('Ch10'!W16)=0,"",'Ch10'!W16)</f>
        <v>1</v>
      </c>
      <c r="J2260" s="580"/>
    </row>
    <row r="2261" spans="1:10" x14ac:dyDescent="0.35">
      <c r="B2261" t="str">
        <f>IF(LEN('Ch10'!H17)=0,"",'Ch10'!H17)</f>
        <v/>
      </c>
      <c r="C2261" t="str">
        <f t="shared" si="54"/>
        <v/>
      </c>
      <c r="D2261" s="31"/>
      <c r="E2261" s="424" t="s">
        <v>260</v>
      </c>
      <c r="F2261" s="405"/>
      <c r="G2261" s="836" t="s">
        <v>3281</v>
      </c>
      <c r="H2261" s="400" t="b">
        <f>IF(LEN('Ch10'!W17)=0,"",'Ch10'!W17)</f>
        <v>1</v>
      </c>
      <c r="J2261" s="580"/>
    </row>
    <row r="2262" spans="1:10" x14ac:dyDescent="0.35">
      <c r="B2262" t="str">
        <f>IF(LEN('Ch10'!H18)=0,"",'Ch10'!H18)</f>
        <v/>
      </c>
      <c r="C2262" t="str">
        <f t="shared" si="54"/>
        <v/>
      </c>
      <c r="D2262" s="31"/>
      <c r="E2262" s="402"/>
      <c r="F2262" s="31"/>
      <c r="G2262" s="814"/>
      <c r="H2262"/>
      <c r="J2262" s="580"/>
    </row>
    <row r="2263" spans="1:10" x14ac:dyDescent="0.35">
      <c r="B2263" t="str">
        <f>IF(LEN('Ch10'!H19)=0,"",'Ch10'!H19)</f>
        <v/>
      </c>
      <c r="C2263" t="str">
        <f t="shared" si="54"/>
        <v/>
      </c>
      <c r="D2263" s="31"/>
      <c r="E2263" s="402"/>
      <c r="F2263" s="31"/>
      <c r="G2263" s="814"/>
      <c r="H2263"/>
      <c r="J2263" s="580"/>
    </row>
    <row r="2264" spans="1:10" x14ac:dyDescent="0.35">
      <c r="B2264" t="str">
        <f>IF(LEN('Ch10'!H20)=0,"",'Ch10'!H20)</f>
        <v/>
      </c>
      <c r="C2264" t="str">
        <f t="shared" si="54"/>
        <v/>
      </c>
      <c r="D2264" s="31"/>
      <c r="E2264" s="416"/>
      <c r="F2264" s="403"/>
      <c r="G2264" s="815"/>
      <c r="H2264"/>
      <c r="J2264" s="580"/>
    </row>
    <row r="2265" spans="1:10" x14ac:dyDescent="0.35">
      <c r="B2265" t="str">
        <f>IF(LEN('Ch10'!H21)=0,"",'Ch10'!H21)</f>
        <v/>
      </c>
      <c r="C2265" t="str">
        <f t="shared" si="54"/>
        <v/>
      </c>
      <c r="D2265" s="31"/>
      <c r="E2265" s="422" t="s">
        <v>269</v>
      </c>
      <c r="F2265" s="415"/>
      <c r="G2265" s="178" t="s">
        <v>3282</v>
      </c>
      <c r="H2265" s="400" t="b">
        <f>IF(LEN('Ch10'!W21)=0,"",'Ch10'!W21)</f>
        <v>1</v>
      </c>
      <c r="J2265" s="580"/>
    </row>
    <row r="2266" spans="1:10" x14ac:dyDescent="0.35">
      <c r="B2266" t="str">
        <f>IF(LEN('Ch10'!H22)=0,"",'Ch10'!H22)</f>
        <v/>
      </c>
      <c r="C2266" t="str">
        <f t="shared" si="54"/>
        <v/>
      </c>
      <c r="D2266" s="31"/>
      <c r="E2266" s="422" t="s">
        <v>275</v>
      </c>
      <c r="F2266" s="415"/>
      <c r="G2266" s="178" t="s">
        <v>3283</v>
      </c>
      <c r="H2266" s="400" t="b">
        <f>IF(LEN('Ch10'!W22)=0,"",'Ch10'!W22)</f>
        <v>1</v>
      </c>
      <c r="J2266" s="580"/>
    </row>
    <row r="2267" spans="1:10" x14ac:dyDescent="0.35">
      <c r="B2267" t="str">
        <f>IF(LEN('Ch10'!H23)=0,"",'Ch10'!H23)</f>
        <v/>
      </c>
      <c r="C2267" t="str">
        <f t="shared" si="54"/>
        <v/>
      </c>
      <c r="D2267" s="31"/>
      <c r="E2267" s="424" t="s">
        <v>277</v>
      </c>
      <c r="F2267" s="405"/>
      <c r="G2267" s="836" t="s">
        <v>3284</v>
      </c>
      <c r="H2267" s="400" t="b">
        <f>IF(LEN('Ch10'!W23)=0,"",'Ch10'!W23)</f>
        <v>1</v>
      </c>
      <c r="J2267" s="580"/>
    </row>
    <row r="2268" spans="1:10" x14ac:dyDescent="0.35">
      <c r="B2268" t="str">
        <f>IF(LEN('Ch10'!H24)=0,"",'Ch10'!H24)</f>
        <v/>
      </c>
      <c r="C2268" t="str">
        <f t="shared" si="54"/>
        <v/>
      </c>
      <c r="D2268" s="31"/>
      <c r="E2268" s="416"/>
      <c r="F2268" s="403"/>
      <c r="G2268" s="815"/>
      <c r="H2268"/>
      <c r="J2268" s="580"/>
    </row>
    <row r="2269" spans="1:10" x14ac:dyDescent="0.35">
      <c r="B2269" t="str">
        <f>IF(LEN('Ch10'!H25)=0,"",'Ch10'!H25)</f>
        <v/>
      </c>
      <c r="C2269" t="str">
        <f t="shared" si="54"/>
        <v/>
      </c>
      <c r="D2269" s="31"/>
      <c r="E2269" s="424" t="s">
        <v>383</v>
      </c>
      <c r="F2269" s="405"/>
      <c r="G2269" s="836" t="s">
        <v>3285</v>
      </c>
      <c r="H2269" s="400" t="b">
        <f>IF(LEN('Ch10'!W25)=0,"",'Ch10'!W25)</f>
        <v>1</v>
      </c>
      <c r="J2269" s="580"/>
    </row>
    <row r="2270" spans="1:10" x14ac:dyDescent="0.35">
      <c r="B2270" t="str">
        <f>IF(LEN('Ch10'!H26)=0,"",'Ch10'!H26)</f>
        <v/>
      </c>
      <c r="C2270" t="str">
        <f t="shared" si="54"/>
        <v/>
      </c>
      <c r="D2270" s="31"/>
      <c r="E2270" s="416"/>
      <c r="F2270" s="403"/>
      <c r="G2270" s="815"/>
      <c r="H2270"/>
      <c r="J2270" s="580"/>
    </row>
    <row r="2271" spans="1:10" x14ac:dyDescent="0.35">
      <c r="B2271" t="str">
        <f>IF(LEN('Ch10'!H27)=0,"",'Ch10'!H27)</f>
        <v/>
      </c>
      <c r="C2271" t="str">
        <f t="shared" si="54"/>
        <v/>
      </c>
      <c r="D2271" s="31"/>
      <c r="E2271" s="422" t="s">
        <v>428</v>
      </c>
      <c r="F2271" s="415"/>
      <c r="G2271" s="178" t="s">
        <v>3286</v>
      </c>
      <c r="H2271" s="400" t="b">
        <f>IF(LEN('Ch10'!W27)=0,"",'Ch10'!W27)</f>
        <v>1</v>
      </c>
      <c r="J2271" s="580"/>
    </row>
    <row r="2272" spans="1:10" x14ac:dyDescent="0.35">
      <c r="B2272" t="str">
        <f>IF(LEN('Ch10'!H28)=0,"",'Ch10'!H28)</f>
        <v/>
      </c>
      <c r="C2272" t="str">
        <f t="shared" si="54"/>
        <v/>
      </c>
      <c r="D2272" s="31"/>
      <c r="E2272" s="402" t="s">
        <v>430</v>
      </c>
      <c r="F2272" s="31"/>
      <c r="G2272" s="820" t="s">
        <v>3287</v>
      </c>
      <c r="H2272" s="400" t="b">
        <f>IF(LEN('Ch10'!W28)=0,"",'Ch10'!W28)</f>
        <v>1</v>
      </c>
      <c r="J2272" s="580"/>
    </row>
    <row r="2273" spans="2:10" x14ac:dyDescent="0.35">
      <c r="B2273" t="str">
        <f>IF(LEN('Ch10'!H29)=0,"",'Ch10'!H29)</f>
        <v/>
      </c>
      <c r="C2273" t="str">
        <f t="shared" si="54"/>
        <v/>
      </c>
      <c r="D2273" s="31"/>
      <c r="E2273" s="402"/>
      <c r="F2273" s="31"/>
      <c r="G2273" s="821"/>
      <c r="H2273"/>
      <c r="J2273" s="580"/>
    </row>
    <row r="2274" spans="2:10" x14ac:dyDescent="0.35">
      <c r="B2274" t="str">
        <f>IF(LEN('Ch10'!H30)=0,"",'Ch10'!H30)</f>
        <v/>
      </c>
      <c r="C2274" t="str">
        <f t="shared" si="54"/>
        <v/>
      </c>
      <c r="D2274" s="31"/>
      <c r="E2274" s="422" t="s">
        <v>432</v>
      </c>
      <c r="F2274" s="415"/>
      <c r="G2274" s="178" t="s">
        <v>3288</v>
      </c>
      <c r="H2274" s="400" t="b">
        <f>IF(LEN('Ch10'!W30)=0,"",'Ch10'!W30)</f>
        <v>1</v>
      </c>
      <c r="J2274" s="580"/>
    </row>
    <row r="2275" spans="2:10" ht="15" customHeight="1" x14ac:dyDescent="0.35">
      <c r="B2275" t="str">
        <f>IF(LEN('Ch10'!H31)=0,"",'Ch10'!H31)</f>
        <v/>
      </c>
      <c r="C2275" t="str">
        <f t="shared" si="54"/>
        <v/>
      </c>
      <c r="D2275" s="31"/>
      <c r="E2275" s="402" t="s">
        <v>434</v>
      </c>
      <c r="F2275" s="31"/>
      <c r="G2275" s="90" t="s">
        <v>3289</v>
      </c>
      <c r="H2275" s="400" t="b">
        <f>IF(LEN('Ch10'!W31)=0,"",'Ch10'!W31)</f>
        <v>1</v>
      </c>
      <c r="J2275" s="580"/>
    </row>
    <row r="2276" spans="2:10" x14ac:dyDescent="0.35">
      <c r="B2276" t="str">
        <f>IF(LEN('Ch10'!H32)=0,"",'Ch10'!H32)</f>
        <v/>
      </c>
      <c r="C2276" t="str">
        <f t="shared" si="54"/>
        <v/>
      </c>
      <c r="D2276" s="31"/>
      <c r="E2276" s="424" t="s">
        <v>436</v>
      </c>
      <c r="F2276" s="405"/>
      <c r="G2276" s="836" t="s">
        <v>3290</v>
      </c>
      <c r="H2276" s="400" t="str">
        <f>IF(LEN('Ch10'!W32)=0,"",'Ch10'!W32)</f>
        <v/>
      </c>
      <c r="J2276" s="580"/>
    </row>
    <row r="2277" spans="2:10" x14ac:dyDescent="0.35">
      <c r="B2277" t="str">
        <f>IF(LEN('Ch10'!H33)=0,"",'Ch10'!H33)</f>
        <v/>
      </c>
      <c r="C2277" t="str">
        <f t="shared" si="54"/>
        <v/>
      </c>
      <c r="D2277" s="31"/>
      <c r="E2277" s="31"/>
      <c r="F2277" s="31"/>
      <c r="G2277" s="814"/>
      <c r="H2277"/>
      <c r="J2277" s="580"/>
    </row>
    <row r="2278" spans="2:10" x14ac:dyDescent="0.35">
      <c r="B2278" t="str">
        <f>IF(LEN('Ch10'!H34)=0,"",'Ch10'!H34)</f>
        <v/>
      </c>
      <c r="C2278" t="str">
        <f t="shared" si="54"/>
        <v/>
      </c>
      <c r="D2278" s="31"/>
      <c r="E2278" s="31"/>
      <c r="F2278" s="402" t="s">
        <v>121</v>
      </c>
      <c r="G2278" s="90" t="s">
        <v>3291</v>
      </c>
      <c r="H2278"/>
      <c r="J2278" s="580"/>
    </row>
    <row r="2279" spans="2:10" x14ac:dyDescent="0.35">
      <c r="B2279" t="str">
        <f>IF(LEN('Ch10'!H35)=0,"",'Ch10'!H35)</f>
        <v/>
      </c>
      <c r="C2279" t="str">
        <f t="shared" si="54"/>
        <v/>
      </c>
      <c r="D2279" s="31"/>
      <c r="E2279" s="31"/>
      <c r="F2279" s="402" t="s">
        <v>122</v>
      </c>
      <c r="G2279" s="90" t="s">
        <v>3292</v>
      </c>
      <c r="H2279"/>
      <c r="J2279" s="580"/>
    </row>
    <row r="2280" spans="2:10" x14ac:dyDescent="0.35">
      <c r="B2280" t="str">
        <f>IF(LEN('Ch10'!H36)=0,"",'Ch10'!H36)</f>
        <v/>
      </c>
      <c r="C2280" t="str">
        <f t="shared" si="54"/>
        <v/>
      </c>
      <c r="D2280" s="31"/>
      <c r="E2280" s="31"/>
      <c r="F2280" s="402" t="s">
        <v>123</v>
      </c>
      <c r="G2280" s="814" t="s">
        <v>3293</v>
      </c>
      <c r="H2280"/>
      <c r="J2280" s="580"/>
    </row>
    <row r="2281" spans="2:10" x14ac:dyDescent="0.35">
      <c r="B2281" t="str">
        <f>IF(LEN('Ch10'!H37)=0,"",'Ch10'!H37)</f>
        <v/>
      </c>
      <c r="C2281" t="str">
        <f t="shared" si="54"/>
        <v/>
      </c>
      <c r="D2281" s="31"/>
      <c r="E2281" s="403"/>
      <c r="F2281" s="403"/>
      <c r="G2281" s="815"/>
      <c r="H2281"/>
      <c r="J2281" s="580"/>
    </row>
    <row r="2282" spans="2:10" x14ac:dyDescent="0.35">
      <c r="B2282" t="str">
        <f>IF(LEN('Ch10'!H38)=0,"",'Ch10'!H38)</f>
        <v/>
      </c>
      <c r="C2282" t="str">
        <f t="shared" si="54"/>
        <v/>
      </c>
      <c r="D2282" s="31"/>
      <c r="E2282" s="424" t="s">
        <v>3294</v>
      </c>
      <c r="F2282" s="405"/>
      <c r="G2282" s="836" t="s">
        <v>3295</v>
      </c>
      <c r="H2282" s="400" t="b">
        <f>IF(LEN('Ch10'!W38)=0,"",'Ch10'!W38)</f>
        <v>1</v>
      </c>
      <c r="J2282" s="580"/>
    </row>
    <row r="2283" spans="2:10" x14ac:dyDescent="0.35">
      <c r="B2283" t="str">
        <f>IF(LEN('Ch10'!H39)=0,"",'Ch10'!H39)</f>
        <v/>
      </c>
      <c r="C2283" t="str">
        <f t="shared" si="54"/>
        <v/>
      </c>
      <c r="D2283" s="31"/>
      <c r="E2283" s="31"/>
      <c r="F2283" s="31"/>
      <c r="G2283" s="814"/>
      <c r="H2283"/>
      <c r="J2283" s="580"/>
    </row>
    <row r="2284" spans="2:10" x14ac:dyDescent="0.35">
      <c r="B2284" t="str">
        <f>IF(LEN('Ch10'!H40)=0,"",'Ch10'!H40)</f>
        <v/>
      </c>
      <c r="C2284" t="str">
        <f t="shared" si="54"/>
        <v/>
      </c>
      <c r="D2284" s="31"/>
      <c r="E2284" s="31"/>
      <c r="F2284" s="31"/>
      <c r="G2284" s="814"/>
      <c r="H2284"/>
      <c r="J2284" s="580"/>
    </row>
    <row r="2285" spans="2:10" x14ac:dyDescent="0.35">
      <c r="B2285" t="str">
        <f>IF(LEN('Ch10'!H41)=0,"",'Ch10'!H41)</f>
        <v/>
      </c>
      <c r="C2285" t="str">
        <f t="shared" si="54"/>
        <v/>
      </c>
      <c r="D2285" s="31"/>
      <c r="E2285" s="403"/>
      <c r="F2285" s="403"/>
      <c r="G2285" s="815"/>
      <c r="H2285"/>
      <c r="J2285" s="580"/>
    </row>
    <row r="2286" spans="2:10" x14ac:dyDescent="0.35">
      <c r="B2286" t="str">
        <f>IF(LEN('Ch10'!H42)=0,"",'Ch10'!H42)</f>
        <v/>
      </c>
      <c r="C2286" t="str">
        <f t="shared" si="54"/>
        <v/>
      </c>
      <c r="D2286" s="31"/>
      <c r="E2286" s="424" t="s">
        <v>3296</v>
      </c>
      <c r="F2286" s="405"/>
      <c r="G2286" s="836" t="s">
        <v>3297</v>
      </c>
      <c r="H2286" s="400" t="str">
        <f>IF(LEN('Ch10'!W42)=0,"",'Ch10'!W42)</f>
        <v/>
      </c>
      <c r="J2286" s="580"/>
    </row>
    <row r="2287" spans="2:10" x14ac:dyDescent="0.35">
      <c r="B2287" t="str">
        <f>IF(LEN('Ch10'!H43)=0,"",'Ch10'!H43)</f>
        <v/>
      </c>
      <c r="C2287" t="str">
        <f t="shared" si="54"/>
        <v/>
      </c>
      <c r="D2287" s="31"/>
      <c r="E2287" s="403"/>
      <c r="F2287" s="403"/>
      <c r="G2287" s="815"/>
      <c r="H2287"/>
      <c r="J2287" s="580"/>
    </row>
    <row r="2288" spans="2:10" x14ac:dyDescent="0.35">
      <c r="B2288" t="str">
        <f>IF(LEN('Ch10'!H44)=0,"",'Ch10'!H44)</f>
        <v/>
      </c>
      <c r="C2288" t="str">
        <f t="shared" si="54"/>
        <v/>
      </c>
      <c r="D2288" s="31"/>
      <c r="E2288" s="424" t="s">
        <v>3298</v>
      </c>
      <c r="F2288" s="405"/>
      <c r="G2288" s="836" t="s">
        <v>3299</v>
      </c>
      <c r="H2288" s="400" t="str">
        <f>IF(LEN('Ch10'!W44)=0,"",'Ch10'!W44)</f>
        <v/>
      </c>
      <c r="J2288" s="580"/>
    </row>
    <row r="2289" spans="1:10" x14ac:dyDescent="0.35">
      <c r="B2289" t="str">
        <f>IF(LEN('Ch10'!H45)=0,"",'Ch10'!H45)</f>
        <v/>
      </c>
      <c r="C2289" t="str">
        <f t="shared" si="54"/>
        <v/>
      </c>
      <c r="D2289" s="31"/>
      <c r="E2289" s="403"/>
      <c r="F2289" s="403"/>
      <c r="G2289" s="815"/>
      <c r="H2289"/>
      <c r="J2289" s="580"/>
    </row>
    <row r="2290" spans="1:10" x14ac:dyDescent="0.35">
      <c r="B2290" t="str">
        <f>IF(LEN('Ch10'!H46)=0,"",'Ch10'!H46)</f>
        <v/>
      </c>
      <c r="C2290" t="str">
        <f t="shared" si="54"/>
        <v/>
      </c>
      <c r="D2290" s="31"/>
      <c r="E2290" s="422" t="s">
        <v>3300</v>
      </c>
      <c r="F2290" s="415"/>
      <c r="G2290" s="178" t="s">
        <v>3301</v>
      </c>
      <c r="H2290" s="400" t="str">
        <f>IF(LEN('Ch10'!W46)=0,"",'Ch10'!W46)</f>
        <v/>
      </c>
      <c r="J2290" s="580"/>
    </row>
    <row r="2291" spans="1:10" x14ac:dyDescent="0.35">
      <c r="B2291" t="str">
        <f>IF(LEN('Ch10'!H47)=0,"",'Ch10'!H47)</f>
        <v/>
      </c>
      <c r="C2291" t="str">
        <f t="shared" si="54"/>
        <v/>
      </c>
      <c r="D2291" s="31"/>
      <c r="E2291" s="424" t="s">
        <v>3302</v>
      </c>
      <c r="F2291" s="405"/>
      <c r="G2291" s="820" t="s">
        <v>3303</v>
      </c>
      <c r="H2291" s="400" t="str">
        <f>IF(LEN('Ch10'!W47)=0,"",'Ch10'!W47)</f>
        <v/>
      </c>
      <c r="J2291" s="580"/>
    </row>
    <row r="2292" spans="1:10" x14ac:dyDescent="0.35">
      <c r="B2292" t="str">
        <f>IF(LEN('Ch10'!H48)=0,"",'Ch10'!H48)</f>
        <v/>
      </c>
      <c r="C2292" t="str">
        <f t="shared" si="54"/>
        <v/>
      </c>
      <c r="D2292" s="31"/>
      <c r="E2292" s="416"/>
      <c r="F2292" s="403"/>
      <c r="G2292" s="821"/>
      <c r="H2292"/>
      <c r="J2292" s="580"/>
    </row>
    <row r="2293" spans="1:10" x14ac:dyDescent="0.35">
      <c r="B2293" t="str">
        <f>IF(LEN('Ch10'!H49)=0,"",'Ch10'!H49)</f>
        <v/>
      </c>
      <c r="C2293" t="str">
        <f t="shared" si="54"/>
        <v/>
      </c>
      <c r="D2293" s="31"/>
      <c r="E2293" s="424" t="s">
        <v>3304</v>
      </c>
      <c r="F2293" s="405"/>
      <c r="G2293" s="836" t="s">
        <v>3305</v>
      </c>
      <c r="H2293" s="400" t="str">
        <f>IF(LEN('Ch10'!W49)=0,"",'Ch10'!W49)</f>
        <v/>
      </c>
      <c r="J2293" s="580"/>
    </row>
    <row r="2294" spans="1:10" x14ac:dyDescent="0.35">
      <c r="B2294" t="str">
        <f>IF(LEN('Ch10'!H50)=0,"",'Ch10'!H50)</f>
        <v/>
      </c>
      <c r="C2294" t="str">
        <f t="shared" si="54"/>
        <v/>
      </c>
      <c r="D2294" s="31"/>
      <c r="E2294" s="403"/>
      <c r="F2294" s="403"/>
      <c r="G2294" s="815"/>
      <c r="H2294"/>
      <c r="J2294" s="580"/>
    </row>
    <row r="2295" spans="1:10" x14ac:dyDescent="0.35">
      <c r="B2295" t="str">
        <f>IF(LEN('Ch10'!H51)=0,"",'Ch10'!H51)</f>
        <v/>
      </c>
      <c r="C2295" t="str">
        <f t="shared" si="54"/>
        <v/>
      </c>
      <c r="D2295" s="31"/>
      <c r="E2295" s="422" t="s">
        <v>3306</v>
      </c>
      <c r="F2295" s="415"/>
      <c r="G2295" s="178" t="s">
        <v>3307</v>
      </c>
      <c r="H2295" s="400" t="str">
        <f>IF(LEN('Ch10'!W51)=0,"",'Ch10'!W51)</f>
        <v/>
      </c>
      <c r="J2295" s="580"/>
    </row>
    <row r="2296" spans="1:10" x14ac:dyDescent="0.35">
      <c r="B2296" t="str">
        <f>IF(LEN('Ch10'!H52)=0,"",'Ch10'!H52)</f>
        <v/>
      </c>
      <c r="C2296" t="str">
        <f t="shared" si="54"/>
        <v/>
      </c>
      <c r="D2296" s="31"/>
      <c r="E2296" s="424" t="s">
        <v>3308</v>
      </c>
      <c r="F2296" s="405"/>
      <c r="G2296" s="836" t="s">
        <v>3309</v>
      </c>
      <c r="H2296" s="400" t="str">
        <f>IF(LEN('Ch10'!W52)=0,"",'Ch10'!W52)</f>
        <v/>
      </c>
      <c r="J2296" s="580"/>
    </row>
    <row r="2297" spans="1:10" x14ac:dyDescent="0.35">
      <c r="B2297" t="str">
        <f>IF(LEN('Ch10'!H53)=0,"",'Ch10'!H53)</f>
        <v/>
      </c>
      <c r="C2297" t="str">
        <f t="shared" si="54"/>
        <v/>
      </c>
      <c r="D2297" s="31"/>
      <c r="E2297" s="403"/>
      <c r="F2297" s="403"/>
      <c r="G2297" s="815"/>
      <c r="H2297"/>
      <c r="J2297" s="580"/>
    </row>
    <row r="2298" spans="1:10" x14ac:dyDescent="0.35">
      <c r="B2298" t="str">
        <f>IF(LEN('Ch10'!H54)=0,"",'Ch10'!H54)</f>
        <v/>
      </c>
      <c r="C2298" t="str">
        <f t="shared" si="54"/>
        <v/>
      </c>
      <c r="D2298" s="31"/>
      <c r="E2298" s="424" t="s">
        <v>3310</v>
      </c>
      <c r="F2298" s="405"/>
      <c r="G2298" s="836" t="s">
        <v>3311</v>
      </c>
      <c r="H2298" s="400" t="str">
        <f>IF(LEN('Ch10'!W54)=0,"",'Ch10'!W54)</f>
        <v/>
      </c>
      <c r="J2298" s="580"/>
    </row>
    <row r="2299" spans="1:10" x14ac:dyDescent="0.35">
      <c r="B2299" t="str">
        <f>IF(LEN('Ch10'!H55)=0,"",'Ch10'!H55)</f>
        <v/>
      </c>
      <c r="C2299" t="str">
        <f t="shared" si="54"/>
        <v/>
      </c>
      <c r="D2299" s="31"/>
      <c r="E2299" s="403"/>
      <c r="F2299" s="403"/>
      <c r="G2299" s="815"/>
      <c r="H2299"/>
      <c r="J2299" s="580"/>
    </row>
    <row r="2300" spans="1:10" x14ac:dyDescent="0.35">
      <c r="B2300" t="str">
        <f>IF(LEN('Ch10'!H56)=0,"",'Ch10'!H56)</f>
        <v/>
      </c>
      <c r="C2300" t="str">
        <f t="shared" si="54"/>
        <v/>
      </c>
      <c r="D2300" s="31"/>
      <c r="E2300" s="424" t="s">
        <v>3312</v>
      </c>
      <c r="F2300" s="405"/>
      <c r="G2300" s="836" t="s">
        <v>3313</v>
      </c>
      <c r="H2300" s="400" t="str">
        <f>IF(LEN('Ch10'!W56)=0,"",'Ch10'!W56)</f>
        <v/>
      </c>
      <c r="J2300" s="580"/>
    </row>
    <row r="2301" spans="1:10" x14ac:dyDescent="0.35">
      <c r="B2301" t="str">
        <f>IF(LEN('Ch10'!H57)=0,"",'Ch10'!H57)</f>
        <v/>
      </c>
      <c r="C2301" t="str">
        <f t="shared" si="54"/>
        <v/>
      </c>
      <c r="D2301" s="31"/>
      <c r="E2301" s="403"/>
      <c r="F2301" s="403"/>
      <c r="G2301" s="815"/>
      <c r="H2301"/>
      <c r="J2301" s="580"/>
    </row>
    <row r="2302" spans="1:10" x14ac:dyDescent="0.35">
      <c r="B2302" t="str">
        <f>IF(LEN('Ch10'!H58)=0,"",'Ch10'!H58)</f>
        <v/>
      </c>
      <c r="C2302" t="str">
        <f t="shared" si="54"/>
        <v/>
      </c>
      <c r="D2302" s="31"/>
      <c r="E2302" s="422" t="s">
        <v>3314</v>
      </c>
      <c r="F2302" s="415"/>
      <c r="G2302" s="178" t="s">
        <v>3315</v>
      </c>
      <c r="H2302" s="400" t="str">
        <f>IF(LEN('Ch10'!W58)=0,"",'Ch10'!W58)</f>
        <v/>
      </c>
      <c r="J2302" s="580"/>
    </row>
    <row r="2303" spans="1:10" ht="15" thickBot="1" x14ac:dyDescent="0.4">
      <c r="B2303" t="str">
        <f>IF(LEN('Ch10'!H59)=0,"",'Ch10'!H59)</f>
        <v/>
      </c>
      <c r="C2303" t="str">
        <f t="shared" si="54"/>
        <v/>
      </c>
      <c r="D2303" s="404"/>
      <c r="E2303" s="407" t="s">
        <v>3316</v>
      </c>
      <c r="F2303" s="404"/>
      <c r="G2303" s="229" t="s">
        <v>3317</v>
      </c>
      <c r="H2303" s="400" t="str">
        <f>IF(LEN('Ch10'!W59)=0,"",'Ch10'!W59)</f>
        <v/>
      </c>
      <c r="J2303" s="580"/>
    </row>
    <row r="2304" spans="1:10" ht="15" thickTop="1" x14ac:dyDescent="0.35">
      <c r="A2304" s="366" t="str">
        <f>IF(I2304&gt;0,"P","")</f>
        <v>P</v>
      </c>
      <c r="B2304" t="str">
        <f>IF(LEN('Ch10'!H60)=0,"",'Ch10'!H60)</f>
        <v/>
      </c>
      <c r="C2304" t="str">
        <f t="shared" si="54"/>
        <v>P</v>
      </c>
      <c r="D2304" s="31">
        <v>1001.2</v>
      </c>
      <c r="E2304" s="31"/>
      <c r="F2304" s="31"/>
      <c r="G2304" s="838" t="s">
        <v>3318</v>
      </c>
      <c r="H2304" s="400" t="b">
        <f>IF(LEN('Ch10'!W60)=0,"",'Ch10'!W60)</f>
        <v>1</v>
      </c>
      <c r="I2304" s="46">
        <f>'Ch10'!O60</f>
        <v>8</v>
      </c>
      <c r="J2304" s="975" t="s">
        <v>3947</v>
      </c>
    </row>
    <row r="2305" spans="1:10" x14ac:dyDescent="0.35">
      <c r="A2305" s="366" t="str">
        <f>A2304</f>
        <v>P</v>
      </c>
      <c r="B2305" t="str">
        <f>IF(LEN('Ch10'!H61)=0,"",'Ch10'!H61)</f>
        <v/>
      </c>
      <c r="C2305" t="str">
        <f t="shared" si="54"/>
        <v>P</v>
      </c>
      <c r="D2305" s="31"/>
      <c r="E2305" s="31"/>
      <c r="F2305" s="31"/>
      <c r="G2305" s="838"/>
      <c r="H2305"/>
      <c r="J2305" s="977"/>
    </row>
    <row r="2306" spans="1:10" x14ac:dyDescent="0.35">
      <c r="A2306" s="366" t="str">
        <f>A2305</f>
        <v>P</v>
      </c>
      <c r="B2306" t="str">
        <f>IF(LEN('Ch10'!H62)=0,"",'Ch10'!H62)</f>
        <v/>
      </c>
      <c r="C2306" t="str">
        <f t="shared" si="54"/>
        <v>P</v>
      </c>
      <c r="D2306" s="31"/>
      <c r="E2306" s="31"/>
      <c r="F2306" s="31"/>
      <c r="G2306" s="838"/>
      <c r="H2306"/>
      <c r="J2306" s="978"/>
    </row>
    <row r="2307" spans="1:10" x14ac:dyDescent="0.35">
      <c r="A2307" s="366" t="str">
        <f>A2306</f>
        <v>P</v>
      </c>
      <c r="B2307" t="str">
        <f>IF(LEN('Ch10'!H63)=0,"",'Ch10'!H63)</f>
        <v/>
      </c>
      <c r="C2307" t="str">
        <f t="shared" si="54"/>
        <v>P</v>
      </c>
      <c r="D2307" s="31"/>
      <c r="E2307" s="31"/>
      <c r="F2307" s="31"/>
      <c r="G2307" s="838"/>
      <c r="H2307"/>
      <c r="J2307" s="580"/>
    </row>
    <row r="2308" spans="1:10" x14ac:dyDescent="0.35">
      <c r="B2308" t="str">
        <f>IF(LEN('Ch10'!H64)=0,"",'Ch10'!H64)</f>
        <v/>
      </c>
      <c r="C2308" t="str">
        <f t="shared" si="54"/>
        <v/>
      </c>
      <c r="D2308" s="31"/>
      <c r="E2308" s="402" t="s">
        <v>256</v>
      </c>
      <c r="F2308" s="31"/>
      <c r="G2308" s="146" t="s">
        <v>3319</v>
      </c>
      <c r="H2308"/>
      <c r="J2308" s="580"/>
    </row>
    <row r="2309" spans="1:10" x14ac:dyDescent="0.35">
      <c r="B2309" t="str">
        <f>IF(LEN('Ch10'!H65)=0,"",'Ch10'!H65)</f>
        <v/>
      </c>
      <c r="C2309" t="str">
        <f t="shared" si="54"/>
        <v/>
      </c>
      <c r="D2309" s="31"/>
      <c r="E2309" s="402" t="s">
        <v>258</v>
      </c>
      <c r="F2309" s="31"/>
      <c r="G2309" s="146" t="s">
        <v>3320</v>
      </c>
      <c r="H2309"/>
      <c r="J2309" s="580"/>
    </row>
    <row r="2310" spans="1:10" x14ac:dyDescent="0.35">
      <c r="B2310" t="str">
        <f>IF(LEN('Ch10'!H66)=0,"",'Ch10'!H66)</f>
        <v/>
      </c>
      <c r="C2310" t="str">
        <f t="shared" si="54"/>
        <v/>
      </c>
      <c r="D2310" s="31"/>
      <c r="E2310" s="402" t="s">
        <v>260</v>
      </c>
      <c r="F2310" s="31"/>
      <c r="G2310" s="146" t="s">
        <v>3321</v>
      </c>
      <c r="H2310"/>
      <c r="J2310" s="580"/>
    </row>
    <row r="2311" spans="1:10" x14ac:dyDescent="0.35">
      <c r="B2311" t="str">
        <f>IF(LEN('Ch10'!H67)=0,"",'Ch10'!H67)</f>
        <v/>
      </c>
      <c r="C2311" t="str">
        <f t="shared" si="54"/>
        <v/>
      </c>
      <c r="D2311" s="31"/>
      <c r="E2311" s="402" t="s">
        <v>269</v>
      </c>
      <c r="F2311" s="31"/>
      <c r="G2311" s="146" t="s">
        <v>3322</v>
      </c>
      <c r="H2311"/>
      <c r="J2311" s="580"/>
    </row>
    <row r="2312" spans="1:10" x14ac:dyDescent="0.35">
      <c r="B2312" t="str">
        <f>IF(LEN('Ch10'!H68)=0,"",'Ch10'!H68)</f>
        <v/>
      </c>
      <c r="C2312" t="str">
        <f t="shared" si="54"/>
        <v/>
      </c>
      <c r="D2312" s="31"/>
      <c r="E2312" s="402" t="s">
        <v>275</v>
      </c>
      <c r="F2312" s="31"/>
      <c r="G2312" s="146" t="s">
        <v>3323</v>
      </c>
      <c r="H2312"/>
      <c r="J2312" s="580"/>
    </row>
    <row r="2313" spans="1:10" x14ac:dyDescent="0.35">
      <c r="B2313" t="str">
        <f>IF(LEN('Ch10'!H69)=0,"",'Ch10'!H69)</f>
        <v/>
      </c>
      <c r="C2313" t="str">
        <f t="shared" si="54"/>
        <v/>
      </c>
      <c r="D2313" s="31"/>
      <c r="E2313" s="402" t="s">
        <v>277</v>
      </c>
      <c r="F2313" s="31"/>
      <c r="G2313" s="146" t="s">
        <v>3324</v>
      </c>
      <c r="H2313"/>
      <c r="J2313" s="580"/>
    </row>
    <row r="2314" spans="1:10" x14ac:dyDescent="0.35">
      <c r="B2314" t="str">
        <f>IF(LEN('Ch10'!H70)=0,"",'Ch10'!H70)</f>
        <v/>
      </c>
      <c r="C2314" t="str">
        <f t="shared" si="54"/>
        <v/>
      </c>
      <c r="D2314" s="31"/>
      <c r="E2314" s="402" t="s">
        <v>383</v>
      </c>
      <c r="F2314" s="31"/>
      <c r="G2314" s="146" t="s">
        <v>3325</v>
      </c>
      <c r="H2314"/>
      <c r="J2314" s="580"/>
    </row>
    <row r="2315" spans="1:10" x14ac:dyDescent="0.35">
      <c r="B2315" t="str">
        <f>IF(LEN('Ch10'!H71)=0,"",'Ch10'!H71)</f>
        <v/>
      </c>
      <c r="C2315" t="str">
        <f t="shared" si="54"/>
        <v/>
      </c>
      <c r="E2315" s="402" t="s">
        <v>428</v>
      </c>
      <c r="F2315" s="402"/>
      <c r="G2315" s="90" t="s">
        <v>4546</v>
      </c>
      <c r="H2315"/>
      <c r="J2315" s="580"/>
    </row>
    <row r="2316" spans="1:10" ht="18.5" x14ac:dyDescent="0.35">
      <c r="A2316" s="366" t="s">
        <v>3973</v>
      </c>
      <c r="B2316" t="str">
        <f>IF(LEN('Ch10'!H72)=0,"",'Ch10'!H72)</f>
        <v/>
      </c>
      <c r="C2316" t="str">
        <f t="shared" si="54"/>
        <v>P</v>
      </c>
      <c r="D2316" s="620" t="s">
        <v>3326</v>
      </c>
      <c r="E2316" s="620"/>
      <c r="F2316" s="620"/>
      <c r="G2316" s="605"/>
      <c r="H2316"/>
      <c r="J2316" s="594"/>
    </row>
    <row r="2317" spans="1:10" x14ac:dyDescent="0.35">
      <c r="B2317" t="str">
        <f>IF(LEN('Ch10'!H73)=0,"",'Ch10'!H73)</f>
        <v/>
      </c>
      <c r="C2317" t="str">
        <f t="shared" si="54"/>
        <v/>
      </c>
      <c r="D2317" s="408">
        <v>1002</v>
      </c>
      <c r="E2317" s="31"/>
      <c r="F2317" s="31"/>
      <c r="G2317" s="838" t="s">
        <v>3327</v>
      </c>
      <c r="H2317"/>
      <c r="J2317" s="580"/>
    </row>
    <row r="2318" spans="1:10" x14ac:dyDescent="0.35">
      <c r="B2318" t="str">
        <f>IF(LEN('Ch10'!H74)=0,"",'Ch10'!H74)</f>
        <v/>
      </c>
      <c r="C2318" t="str">
        <f t="shared" si="54"/>
        <v/>
      </c>
      <c r="D2318" s="31"/>
      <c r="E2318" s="31"/>
      <c r="F2318" s="31"/>
      <c r="G2318" s="838"/>
      <c r="H2318"/>
      <c r="J2318" s="580"/>
    </row>
    <row r="2319" spans="1:10" x14ac:dyDescent="0.35">
      <c r="B2319" t="str">
        <f>IF(LEN('Ch10'!H75)=0,"",'Ch10'!H75)</f>
        <v/>
      </c>
      <c r="C2319" t="str">
        <f t="shared" si="54"/>
        <v/>
      </c>
      <c r="D2319" s="31"/>
      <c r="E2319" s="31"/>
      <c r="F2319" s="31"/>
      <c r="G2319" s="838"/>
      <c r="H2319"/>
      <c r="J2319" s="580"/>
    </row>
    <row r="2320" spans="1:10" x14ac:dyDescent="0.35">
      <c r="B2320" t="str">
        <f>IF(LEN('Ch10'!H76)=0,"",'Ch10'!H76)</f>
        <v/>
      </c>
      <c r="C2320" t="str">
        <f t="shared" si="54"/>
        <v/>
      </c>
      <c r="D2320" s="31"/>
      <c r="E2320" s="31"/>
      <c r="F2320" s="31"/>
      <c r="G2320" s="838"/>
      <c r="H2320"/>
      <c r="J2320" s="580"/>
    </row>
    <row r="2321" spans="1:10" x14ac:dyDescent="0.35">
      <c r="B2321" t="str">
        <f>IF(LEN('Ch10'!H77)=0,"",'Ch10'!H77)</f>
        <v/>
      </c>
      <c r="C2321" t="str">
        <f t="shared" si="54"/>
        <v/>
      </c>
      <c r="D2321" s="31"/>
      <c r="E2321" s="31"/>
      <c r="F2321" s="31"/>
      <c r="G2321" s="838"/>
      <c r="H2321"/>
      <c r="J2321" s="580"/>
    </row>
    <row r="2322" spans="1:10" ht="15" thickBot="1" x14ac:dyDescent="0.4">
      <c r="B2322" t="str">
        <f>IF(LEN('Ch10'!H78)=0,"",'Ch10'!H78)</f>
        <v/>
      </c>
      <c r="C2322" t="str">
        <f t="shared" si="54"/>
        <v/>
      </c>
      <c r="D2322" s="404"/>
      <c r="E2322" s="404"/>
      <c r="F2322" s="404"/>
      <c r="G2322" s="849"/>
      <c r="H2322"/>
      <c r="J2322" s="580"/>
    </row>
    <row r="2323" spans="1:10" ht="15" thickTop="1" x14ac:dyDescent="0.35">
      <c r="A2323" s="366" t="str">
        <f>IF(I2323&gt;0,"P","")</f>
        <v/>
      </c>
      <c r="B2323" t="str">
        <f>IF(LEN('Ch10'!H79)=0,"",'Ch10'!H79)</f>
        <v/>
      </c>
      <c r="C2323" t="str">
        <f t="shared" ref="C2323:C2386" si="55">IF(LEN(B2323)=0,IF(A2323="P","P",""),B2323)</f>
        <v/>
      </c>
      <c r="D2323" s="31">
        <v>1002.1</v>
      </c>
      <c r="E2323" s="31"/>
      <c r="F2323" s="31"/>
      <c r="G2323" s="838" t="s">
        <v>3374</v>
      </c>
      <c r="H2323"/>
      <c r="I2323" s="46">
        <f>'Ch10'!O79</f>
        <v>0</v>
      </c>
      <c r="J2323" s="975" t="s">
        <v>5043</v>
      </c>
    </row>
    <row r="2324" spans="1:10" x14ac:dyDescent="0.35">
      <c r="A2324" s="366" t="str">
        <f>A2323</f>
        <v/>
      </c>
      <c r="B2324" t="str">
        <f>IF(LEN('Ch10'!H80)=0,"",'Ch10'!H80)</f>
        <v/>
      </c>
      <c r="C2324" t="str">
        <f t="shared" si="55"/>
        <v/>
      </c>
      <c r="D2324" s="31"/>
      <c r="E2324" s="31"/>
      <c r="F2324" s="31"/>
      <c r="G2324" s="838"/>
      <c r="H2324"/>
      <c r="J2324" s="977"/>
    </row>
    <row r="2325" spans="1:10" x14ac:dyDescent="0.35">
      <c r="A2325" s="366" t="str">
        <f>A2324</f>
        <v/>
      </c>
      <c r="B2325" t="str">
        <f>IF(LEN('Ch10'!H81)=0,"",'Ch10'!H81)</f>
        <v/>
      </c>
      <c r="C2325" t="str">
        <f t="shared" si="55"/>
        <v/>
      </c>
      <c r="D2325" s="31"/>
      <c r="E2325" s="31"/>
      <c r="F2325" s="31"/>
      <c r="G2325" s="147" t="s">
        <v>3372</v>
      </c>
      <c r="H2325"/>
      <c r="J2325" s="978"/>
    </row>
    <row r="2326" spans="1:10" x14ac:dyDescent="0.35">
      <c r="B2326" t="str">
        <f>IF(LEN('Ch10'!H82)=0,"",'Ch10'!H82)</f>
        <v/>
      </c>
      <c r="C2326" t="str">
        <f t="shared" si="55"/>
        <v/>
      </c>
      <c r="D2326" s="31"/>
      <c r="E2326" s="402" t="s">
        <v>256</v>
      </c>
      <c r="F2326" s="31"/>
      <c r="G2326" s="814" t="s">
        <v>3328</v>
      </c>
      <c r="H2326" s="400" t="str">
        <f>IF(LEN('Ch10'!W82)=0,"",'Ch10'!W82)</f>
        <v/>
      </c>
      <c r="J2326" s="580"/>
    </row>
    <row r="2327" spans="1:10" x14ac:dyDescent="0.35">
      <c r="B2327" t="str">
        <f>IF(LEN('Ch10'!H83)=0,"",'Ch10'!H83)</f>
        <v/>
      </c>
      <c r="C2327" t="str">
        <f t="shared" si="55"/>
        <v/>
      </c>
      <c r="D2327" s="31"/>
      <c r="E2327" s="402"/>
      <c r="F2327" s="31"/>
      <c r="G2327" s="814"/>
      <c r="H2327"/>
      <c r="J2327" s="580"/>
    </row>
    <row r="2328" spans="1:10" x14ac:dyDescent="0.35">
      <c r="B2328" t="str">
        <f>IF(LEN('Ch10'!H84)=0,"",'Ch10'!H84)</f>
        <v/>
      </c>
      <c r="C2328" t="str">
        <f t="shared" si="55"/>
        <v/>
      </c>
      <c r="D2328" s="31"/>
      <c r="E2328" s="402"/>
      <c r="F2328" s="31"/>
      <c r="G2328" s="814"/>
      <c r="H2328"/>
      <c r="J2328" s="580"/>
    </row>
    <row r="2329" spans="1:10" x14ac:dyDescent="0.35">
      <c r="B2329" t="str">
        <f>IF(LEN('Ch10'!H85)=0,"",'Ch10'!H85)</f>
        <v/>
      </c>
      <c r="C2329" t="str">
        <f t="shared" si="55"/>
        <v/>
      </c>
      <c r="D2329" s="31"/>
      <c r="E2329" s="424" t="s">
        <v>258</v>
      </c>
      <c r="F2329" s="405"/>
      <c r="G2329" s="836" t="s">
        <v>3329</v>
      </c>
      <c r="H2329" s="400" t="str">
        <f>IF(LEN('Ch10'!W85)=0,"",'Ch10'!W85)</f>
        <v/>
      </c>
      <c r="J2329" s="580"/>
    </row>
    <row r="2330" spans="1:10" x14ac:dyDescent="0.35">
      <c r="B2330" t="str">
        <f>IF(LEN('Ch10'!H86)=0,"",'Ch10'!H86)</f>
        <v/>
      </c>
      <c r="C2330" t="str">
        <f t="shared" si="55"/>
        <v/>
      </c>
      <c r="D2330" s="31"/>
      <c r="E2330" s="402"/>
      <c r="F2330" s="31"/>
      <c r="G2330" s="814"/>
      <c r="H2330"/>
      <c r="J2330" s="580"/>
    </row>
    <row r="2331" spans="1:10" x14ac:dyDescent="0.35">
      <c r="B2331" t="str">
        <f>IF(LEN('Ch10'!H87)=0,"",'Ch10'!H87)</f>
        <v/>
      </c>
      <c r="C2331" t="str">
        <f t="shared" si="55"/>
        <v/>
      </c>
      <c r="D2331" s="31"/>
      <c r="E2331" s="416"/>
      <c r="F2331" s="403"/>
      <c r="G2331" s="815"/>
      <c r="H2331"/>
      <c r="J2331" s="580"/>
    </row>
    <row r="2332" spans="1:10" x14ac:dyDescent="0.35">
      <c r="B2332" t="str">
        <f>IF(LEN('Ch10'!H88)=0,"",'Ch10'!H88)</f>
        <v/>
      </c>
      <c r="C2332" t="str">
        <f t="shared" si="55"/>
        <v/>
      </c>
      <c r="D2332" s="31"/>
      <c r="E2332" s="402" t="s">
        <v>260</v>
      </c>
      <c r="F2332" s="31"/>
      <c r="G2332" s="814" t="s">
        <v>3330</v>
      </c>
      <c r="H2332" s="400" t="str">
        <f>IF(LEN('Ch10'!W88)=0,"",'Ch10'!W88)</f>
        <v/>
      </c>
      <c r="J2332" s="580"/>
    </row>
    <row r="2333" spans="1:10" x14ac:dyDescent="0.35">
      <c r="B2333" t="str">
        <f>IF(LEN('Ch10'!H89)=0,"",'Ch10'!H89)</f>
        <v/>
      </c>
      <c r="C2333" t="str">
        <f t="shared" si="55"/>
        <v/>
      </c>
      <c r="D2333" s="31"/>
      <c r="E2333" s="402"/>
      <c r="F2333" s="31"/>
      <c r="G2333" s="814"/>
      <c r="H2333"/>
      <c r="J2333" s="580"/>
    </row>
    <row r="2334" spans="1:10" x14ac:dyDescent="0.35">
      <c r="B2334" t="str">
        <f>IF(LEN('Ch10'!H90)=0,"",'Ch10'!H90)</f>
        <v/>
      </c>
      <c r="C2334" t="str">
        <f t="shared" si="55"/>
        <v/>
      </c>
      <c r="D2334" s="31"/>
      <c r="E2334" s="422" t="s">
        <v>269</v>
      </c>
      <c r="F2334" s="415"/>
      <c r="G2334" s="178" t="s">
        <v>3331</v>
      </c>
      <c r="H2334" s="400" t="str">
        <f>IF(LEN('Ch10'!W90)=0,"",'Ch10'!W90)</f>
        <v/>
      </c>
      <c r="J2334" s="580"/>
    </row>
    <row r="2335" spans="1:10" x14ac:dyDescent="0.35">
      <c r="B2335" t="str">
        <f>IF(LEN('Ch10'!H91)=0,"",'Ch10'!H91)</f>
        <v/>
      </c>
      <c r="C2335" t="str">
        <f t="shared" si="55"/>
        <v/>
      </c>
      <c r="D2335" s="31"/>
      <c r="E2335" s="402" t="s">
        <v>275</v>
      </c>
      <c r="F2335" s="31"/>
      <c r="G2335" s="814" t="s">
        <v>3332</v>
      </c>
      <c r="H2335" s="400" t="str">
        <f>IF(LEN('Ch10'!W91)=0,"",'Ch10'!W91)</f>
        <v/>
      </c>
      <c r="J2335" s="580"/>
    </row>
    <row r="2336" spans="1:10" x14ac:dyDescent="0.35">
      <c r="B2336" t="str">
        <f>IF(LEN('Ch10'!H92)=0,"",'Ch10'!H92)</f>
        <v/>
      </c>
      <c r="C2336" t="str">
        <f t="shared" si="55"/>
        <v/>
      </c>
      <c r="D2336" s="31"/>
      <c r="E2336" s="402"/>
      <c r="F2336" s="31"/>
      <c r="G2336" s="814"/>
      <c r="H2336"/>
      <c r="J2336" s="580"/>
    </row>
    <row r="2337" spans="1:10" ht="15" customHeight="1" x14ac:dyDescent="0.35">
      <c r="B2337" t="str">
        <f>IF(LEN('Ch10'!H93)=0,"",'Ch10'!H93)</f>
        <v/>
      </c>
      <c r="C2337" t="str">
        <f t="shared" si="55"/>
        <v/>
      </c>
      <c r="D2337" s="31"/>
      <c r="E2337" s="422" t="s">
        <v>277</v>
      </c>
      <c r="F2337" s="415"/>
      <c r="G2337" s="178" t="s">
        <v>3289</v>
      </c>
      <c r="H2337" s="400" t="str">
        <f>IF(LEN('Ch10'!W93)=0,"",'Ch10'!W93)</f>
        <v/>
      </c>
      <c r="J2337" s="580"/>
    </row>
    <row r="2338" spans="1:10" x14ac:dyDescent="0.35">
      <c r="B2338" t="str">
        <f>IF(LEN('Ch10'!H94)=0,"",'Ch10'!H94)</f>
        <v/>
      </c>
      <c r="C2338" t="str">
        <f t="shared" si="55"/>
        <v/>
      </c>
      <c r="D2338" s="31"/>
      <c r="E2338" s="422" t="s">
        <v>383</v>
      </c>
      <c r="F2338" s="415"/>
      <c r="G2338" s="178" t="s">
        <v>3333</v>
      </c>
      <c r="H2338" s="400" t="str">
        <f>IF(LEN('Ch10'!W94)=0,"",'Ch10'!W94)</f>
        <v/>
      </c>
      <c r="J2338" s="580"/>
    </row>
    <row r="2339" spans="1:10" x14ac:dyDescent="0.35">
      <c r="B2339" t="str">
        <f>IF(LEN('Ch10'!H95)=0,"",'Ch10'!H95)</f>
        <v/>
      </c>
      <c r="C2339" t="str">
        <f t="shared" si="55"/>
        <v/>
      </c>
      <c r="D2339" s="31"/>
      <c r="E2339" s="402" t="s">
        <v>428</v>
      </c>
      <c r="F2339" s="31"/>
      <c r="G2339" s="814" t="s">
        <v>3334</v>
      </c>
      <c r="H2339" s="400" t="str">
        <f>IF(LEN('Ch10'!W95)=0,"",'Ch10'!W95)</f>
        <v/>
      </c>
      <c r="J2339" s="580"/>
    </row>
    <row r="2340" spans="1:10" ht="15" thickBot="1" x14ac:dyDescent="0.4">
      <c r="B2340" t="str">
        <f>IF(LEN('Ch10'!H96)=0,"",'Ch10'!H96)</f>
        <v/>
      </c>
      <c r="C2340" t="str">
        <f t="shared" si="55"/>
        <v/>
      </c>
      <c r="D2340" s="404"/>
      <c r="E2340" s="404"/>
      <c r="F2340" s="404"/>
      <c r="G2340" s="839"/>
      <c r="H2340"/>
      <c r="J2340" s="580"/>
    </row>
    <row r="2341" spans="1:10" ht="15" thickTop="1" x14ac:dyDescent="0.35">
      <c r="A2341" s="366" t="str">
        <f>IF(I2341&gt;0,"P","")</f>
        <v/>
      </c>
      <c r="B2341" t="str">
        <f>IF(LEN('Ch10'!H97)=0,"",'Ch10'!H97)</f>
        <v/>
      </c>
      <c r="C2341" t="str">
        <f t="shared" si="55"/>
        <v/>
      </c>
      <c r="D2341" s="31">
        <v>1002.2</v>
      </c>
      <c r="E2341" s="31"/>
      <c r="F2341" s="31"/>
      <c r="G2341" s="838" t="s">
        <v>3375</v>
      </c>
      <c r="H2341"/>
      <c r="I2341" s="46">
        <f>'Ch10'!O97</f>
        <v>0</v>
      </c>
      <c r="J2341" s="975" t="s">
        <v>5044</v>
      </c>
    </row>
    <row r="2342" spans="1:10" x14ac:dyDescent="0.35">
      <c r="A2342" s="366" t="str">
        <f>A2341</f>
        <v/>
      </c>
      <c r="B2342" t="str">
        <f>IF(LEN('Ch10'!H98)=0,"",'Ch10'!H98)</f>
        <v/>
      </c>
      <c r="C2342" t="str">
        <f t="shared" si="55"/>
        <v/>
      </c>
      <c r="D2342" s="31"/>
      <c r="E2342" s="31"/>
      <c r="F2342" s="31"/>
      <c r="G2342" s="838"/>
      <c r="H2342"/>
      <c r="J2342" s="978"/>
    </row>
    <row r="2343" spans="1:10" x14ac:dyDescent="0.35">
      <c r="A2343" s="366" t="str">
        <f>A2342</f>
        <v/>
      </c>
      <c r="B2343" t="str">
        <f>IF(LEN('Ch10'!H99)=0,"",'Ch10'!H99)</f>
        <v/>
      </c>
      <c r="C2343" t="str">
        <f t="shared" si="55"/>
        <v/>
      </c>
      <c r="D2343" s="31"/>
      <c r="E2343" s="31"/>
      <c r="F2343" s="31"/>
      <c r="G2343" s="838"/>
      <c r="H2343"/>
      <c r="J2343" s="580"/>
    </row>
    <row r="2344" spans="1:10" x14ac:dyDescent="0.35">
      <c r="B2344" t="str">
        <f>IF(LEN('Ch10'!H100)=0,"",'Ch10'!H100)</f>
        <v/>
      </c>
      <c r="C2344" t="str">
        <f t="shared" si="55"/>
        <v/>
      </c>
      <c r="D2344" s="31"/>
      <c r="E2344" s="31"/>
      <c r="F2344" s="31"/>
      <c r="G2344" s="148" t="s">
        <v>3372</v>
      </c>
      <c r="H2344"/>
      <c r="J2344" s="580"/>
    </row>
    <row r="2345" spans="1:10" x14ac:dyDescent="0.35">
      <c r="B2345" t="str">
        <f>IF(LEN('Ch10'!H101)=0,"",'Ch10'!H101)</f>
        <v/>
      </c>
      <c r="C2345" t="str">
        <f t="shared" si="55"/>
        <v/>
      </c>
      <c r="D2345" s="31"/>
      <c r="E2345" s="402" t="s">
        <v>256</v>
      </c>
      <c r="F2345" s="31"/>
      <c r="G2345" s="814" t="s">
        <v>3335</v>
      </c>
      <c r="H2345" s="400" t="str">
        <f>IF(LEN('Ch10'!W101)=0,"",'Ch10'!W101)</f>
        <v/>
      </c>
      <c r="J2345" s="580"/>
    </row>
    <row r="2346" spans="1:10" x14ac:dyDescent="0.35">
      <c r="B2346" t="str">
        <f>IF(LEN('Ch10'!H102)=0,"",'Ch10'!H102)</f>
        <v/>
      </c>
      <c r="C2346" t="str">
        <f t="shared" si="55"/>
        <v/>
      </c>
      <c r="D2346" s="31"/>
      <c r="E2346" s="416"/>
      <c r="F2346" s="403"/>
      <c r="G2346" s="815"/>
      <c r="H2346"/>
      <c r="J2346" s="580"/>
    </row>
    <row r="2347" spans="1:10" x14ac:dyDescent="0.35">
      <c r="B2347" t="str">
        <f>IF(LEN('Ch10'!H103)=0,"",'Ch10'!H103)</f>
        <v/>
      </c>
      <c r="C2347" t="str">
        <f t="shared" si="55"/>
        <v/>
      </c>
      <c r="D2347" s="31"/>
      <c r="E2347" s="424" t="s">
        <v>258</v>
      </c>
      <c r="F2347" s="405"/>
      <c r="G2347" s="836" t="s">
        <v>3336</v>
      </c>
      <c r="H2347" s="400" t="str">
        <f>IF(LEN('Ch10'!W103)=0,"",'Ch10'!W103)</f>
        <v/>
      </c>
      <c r="J2347" s="580"/>
    </row>
    <row r="2348" spans="1:10" x14ac:dyDescent="0.35">
      <c r="B2348" t="str">
        <f>IF(LEN('Ch10'!H104)=0,"",'Ch10'!H104)</f>
        <v/>
      </c>
      <c r="C2348" t="str">
        <f t="shared" si="55"/>
        <v/>
      </c>
      <c r="D2348" s="31"/>
      <c r="E2348" s="402"/>
      <c r="F2348" s="31"/>
      <c r="G2348" s="814"/>
      <c r="H2348"/>
      <c r="J2348" s="580"/>
    </row>
    <row r="2349" spans="1:10" x14ac:dyDescent="0.35">
      <c r="B2349" t="str">
        <f>IF(LEN('Ch10'!H105)=0,"",'Ch10'!H105)</f>
        <v/>
      </c>
      <c r="C2349" t="str">
        <f t="shared" si="55"/>
        <v/>
      </c>
      <c r="D2349" s="31"/>
      <c r="E2349" s="416"/>
      <c r="F2349" s="403"/>
      <c r="G2349" s="815"/>
      <c r="H2349"/>
      <c r="J2349" s="580"/>
    </row>
    <row r="2350" spans="1:10" x14ac:dyDescent="0.35">
      <c r="B2350" t="str">
        <f>IF(LEN('Ch10'!H106)=0,"",'Ch10'!H106)</f>
        <v/>
      </c>
      <c r="C2350" t="str">
        <f t="shared" si="55"/>
        <v/>
      </c>
      <c r="D2350" s="31"/>
      <c r="E2350" s="424" t="s">
        <v>260</v>
      </c>
      <c r="F2350" s="405"/>
      <c r="G2350" s="836" t="s">
        <v>3305</v>
      </c>
      <c r="H2350" s="400" t="str">
        <f>IF(LEN('Ch10'!W106)=0,"",'Ch10'!W106)</f>
        <v/>
      </c>
      <c r="J2350" s="580"/>
    </row>
    <row r="2351" spans="1:10" x14ac:dyDescent="0.35">
      <c r="B2351" t="str">
        <f>IF(LEN('Ch10'!H107)=0,"",'Ch10'!H107)</f>
        <v/>
      </c>
      <c r="C2351" t="str">
        <f t="shared" si="55"/>
        <v/>
      </c>
      <c r="D2351" s="31"/>
      <c r="E2351" s="403"/>
      <c r="F2351" s="403"/>
      <c r="G2351" s="815"/>
      <c r="H2351"/>
      <c r="J2351" s="580"/>
    </row>
    <row r="2352" spans="1:10" x14ac:dyDescent="0.35">
      <c r="B2352" t="str">
        <f>IF(LEN('Ch10'!H108)=0,"",'Ch10'!H108)</f>
        <v/>
      </c>
      <c r="C2352" t="str">
        <f t="shared" si="55"/>
        <v/>
      </c>
      <c r="D2352" s="31"/>
      <c r="E2352" s="402" t="s">
        <v>269</v>
      </c>
      <c r="F2352" s="31"/>
      <c r="G2352" s="814" t="s">
        <v>3337</v>
      </c>
      <c r="H2352" s="400" t="str">
        <f>IF(LEN('Ch10'!W108)=0,"",'Ch10'!W108)</f>
        <v/>
      </c>
      <c r="J2352" s="580"/>
    </row>
    <row r="2353" spans="1:10" x14ac:dyDescent="0.35">
      <c r="B2353" t="str">
        <f>IF(LEN('Ch10'!H109)=0,"",'Ch10'!H109)</f>
        <v/>
      </c>
      <c r="C2353" t="str">
        <f t="shared" si="55"/>
        <v/>
      </c>
      <c r="D2353" s="31"/>
      <c r="E2353" s="31"/>
      <c r="F2353" s="31"/>
      <c r="G2353" s="814"/>
      <c r="H2353"/>
      <c r="J2353" s="580"/>
    </row>
    <row r="2354" spans="1:10" x14ac:dyDescent="0.35">
      <c r="B2354" t="str">
        <f>IF(LEN('Ch10'!H110)=0,"",'Ch10'!H110)</f>
        <v/>
      </c>
      <c r="C2354" t="str">
        <f t="shared" si="55"/>
        <v/>
      </c>
      <c r="D2354" s="31"/>
      <c r="E2354" s="31"/>
      <c r="F2354" s="31"/>
      <c r="G2354" s="814"/>
      <c r="H2354"/>
      <c r="J2354" s="580"/>
    </row>
    <row r="2355" spans="1:10" x14ac:dyDescent="0.35">
      <c r="B2355" t="str">
        <f>IF(LEN('Ch10'!H111)=0,"",'Ch10'!H111)</f>
        <v/>
      </c>
      <c r="C2355" t="str">
        <f t="shared" si="55"/>
        <v/>
      </c>
      <c r="D2355" s="31"/>
      <c r="E2355" s="424" t="s">
        <v>275</v>
      </c>
      <c r="F2355" s="405"/>
      <c r="G2355" s="836" t="s">
        <v>3338</v>
      </c>
      <c r="H2355" s="400" t="str">
        <f>IF(LEN('Ch10'!W111)=0,"",'Ch10'!W111)</f>
        <v/>
      </c>
      <c r="J2355" s="580"/>
    </row>
    <row r="2356" spans="1:10" x14ac:dyDescent="0.35">
      <c r="B2356" t="str">
        <f>IF(LEN('Ch10'!H112)=0,"",'Ch10'!H112)</f>
        <v/>
      </c>
      <c r="C2356" t="str">
        <f t="shared" si="55"/>
        <v/>
      </c>
      <c r="D2356" s="31"/>
      <c r="E2356" s="416"/>
      <c r="F2356" s="403"/>
      <c r="G2356" s="815"/>
      <c r="H2356"/>
      <c r="J2356" s="580"/>
    </row>
    <row r="2357" spans="1:10" x14ac:dyDescent="0.35">
      <c r="B2357" t="str">
        <f>IF(LEN('Ch10'!H113)=0,"",'Ch10'!H113)</f>
        <v/>
      </c>
      <c r="C2357" t="str">
        <f t="shared" si="55"/>
        <v/>
      </c>
      <c r="D2357" s="31"/>
      <c r="E2357" s="402" t="s">
        <v>277</v>
      </c>
      <c r="F2357" s="31"/>
      <c r="G2357" s="90" t="s">
        <v>3288</v>
      </c>
      <c r="H2357" s="400" t="str">
        <f>IF(LEN('Ch10'!W113)=0,"",'Ch10'!W113)</f>
        <v/>
      </c>
      <c r="J2357" s="580"/>
    </row>
    <row r="2358" spans="1:10" x14ac:dyDescent="0.35">
      <c r="B2358" t="str">
        <f>IF(LEN('Ch10'!H114)=0,"",'Ch10'!H114)</f>
        <v/>
      </c>
      <c r="C2358" t="str">
        <f t="shared" si="55"/>
        <v/>
      </c>
      <c r="D2358" s="31"/>
      <c r="E2358" s="424" t="s">
        <v>383</v>
      </c>
      <c r="F2358" s="405"/>
      <c r="G2358" s="836" t="s">
        <v>3339</v>
      </c>
      <c r="H2358" s="400" t="str">
        <f>IF(LEN('Ch10'!W114)=0,"",'Ch10'!W114)</f>
        <v/>
      </c>
      <c r="J2358" s="580"/>
    </row>
    <row r="2359" spans="1:10" x14ac:dyDescent="0.35">
      <c r="B2359" t="str">
        <f>IF(LEN('Ch10'!H115)=0,"",'Ch10'!H115)</f>
        <v/>
      </c>
      <c r="C2359" t="str">
        <f t="shared" si="55"/>
        <v/>
      </c>
      <c r="D2359" s="31"/>
      <c r="E2359" s="403"/>
      <c r="F2359" s="403"/>
      <c r="G2359" s="815"/>
      <c r="H2359"/>
      <c r="J2359" s="580"/>
    </row>
    <row r="2360" spans="1:10" x14ac:dyDescent="0.35">
      <c r="B2360" t="str">
        <f>IF(LEN('Ch10'!H116)=0,"",'Ch10'!H116)</f>
        <v/>
      </c>
      <c r="C2360" t="str">
        <f t="shared" si="55"/>
        <v/>
      </c>
      <c r="D2360" s="31"/>
      <c r="E2360" s="402" t="s">
        <v>428</v>
      </c>
      <c r="F2360" s="31"/>
      <c r="G2360" s="848" t="s">
        <v>3303</v>
      </c>
      <c r="H2360" s="400" t="str">
        <f>IF(LEN('Ch10'!W116)=0,"",'Ch10'!W116)</f>
        <v/>
      </c>
      <c r="J2360" s="580"/>
    </row>
    <row r="2361" spans="1:10" x14ac:dyDescent="0.35">
      <c r="B2361" t="str">
        <f>IF(LEN('Ch10'!H117)=0,"",'Ch10'!H117)</f>
        <v/>
      </c>
      <c r="C2361" t="str">
        <f t="shared" si="55"/>
        <v/>
      </c>
      <c r="D2361" s="31"/>
      <c r="E2361" s="402"/>
      <c r="F2361" s="31"/>
      <c r="G2361" s="848"/>
      <c r="H2361"/>
      <c r="J2361" s="580"/>
    </row>
    <row r="2362" spans="1:10" x14ac:dyDescent="0.35">
      <c r="B2362" t="str">
        <f>IF(LEN('Ch10'!H118)=0,"",'Ch10'!H118)</f>
        <v/>
      </c>
      <c r="C2362" t="str">
        <f t="shared" si="55"/>
        <v/>
      </c>
      <c r="D2362" s="31"/>
      <c r="E2362" s="424" t="s">
        <v>430</v>
      </c>
      <c r="F2362" s="405"/>
      <c r="G2362" s="286" t="s">
        <v>3340</v>
      </c>
      <c r="H2362" s="400" t="str">
        <f>IF(LEN('Ch10'!W118)=0,"",'Ch10'!W118)</f>
        <v/>
      </c>
      <c r="J2362" s="580"/>
    </row>
    <row r="2363" spans="1:10" x14ac:dyDescent="0.35">
      <c r="B2363" t="str">
        <f>IF(LEN('Ch10'!H119)=0,"",'Ch10'!H119)</f>
        <v/>
      </c>
      <c r="C2363" t="str">
        <f t="shared" si="55"/>
        <v/>
      </c>
      <c r="D2363" s="31"/>
      <c r="E2363" s="424" t="s">
        <v>432</v>
      </c>
      <c r="F2363" s="405"/>
      <c r="G2363" s="836" t="s">
        <v>3341</v>
      </c>
      <c r="H2363" s="400" t="str">
        <f>IF(LEN('Ch10'!W119)=0,"",'Ch10'!W119)</f>
        <v/>
      </c>
      <c r="J2363" s="580"/>
    </row>
    <row r="2364" spans="1:10" x14ac:dyDescent="0.35">
      <c r="B2364" t="str">
        <f>IF(LEN('Ch10'!H120)=0,"",'Ch10'!H120)</f>
        <v/>
      </c>
      <c r="C2364" t="str">
        <f t="shared" si="55"/>
        <v/>
      </c>
      <c r="D2364" s="31"/>
      <c r="E2364" s="402"/>
      <c r="F2364" s="31"/>
      <c r="G2364" s="814"/>
      <c r="H2364"/>
      <c r="J2364" s="580"/>
    </row>
    <row r="2365" spans="1:10" x14ac:dyDescent="0.35">
      <c r="B2365" t="str">
        <f>IF(LEN('Ch10'!H121)=0,"",'Ch10'!H121)</f>
        <v/>
      </c>
      <c r="C2365" t="str">
        <f t="shared" si="55"/>
        <v/>
      </c>
      <c r="D2365" s="31"/>
      <c r="E2365" s="416"/>
      <c r="F2365" s="403"/>
      <c r="G2365" s="815"/>
      <c r="H2365"/>
      <c r="J2365" s="580"/>
    </row>
    <row r="2366" spans="1:10" x14ac:dyDescent="0.35">
      <c r="B2366" t="str">
        <f>IF(LEN('Ch10'!H122)=0,"",'Ch10'!H122)</f>
        <v/>
      </c>
      <c r="C2366" t="str">
        <f t="shared" si="55"/>
        <v/>
      </c>
      <c r="D2366" s="31"/>
      <c r="E2366" s="402" t="s">
        <v>434</v>
      </c>
      <c r="F2366" s="31"/>
      <c r="G2366" s="848" t="s">
        <v>3342</v>
      </c>
      <c r="H2366" s="400" t="str">
        <f>IF(LEN('Ch10'!W122)=0,"",'Ch10'!W122)</f>
        <v/>
      </c>
      <c r="J2366" s="580"/>
    </row>
    <row r="2367" spans="1:10" ht="15" thickBot="1" x14ac:dyDescent="0.4">
      <c r="B2367" t="str">
        <f>IF(LEN('Ch10'!H123)=0,"",'Ch10'!H123)</f>
        <v/>
      </c>
      <c r="C2367" t="str">
        <f t="shared" si="55"/>
        <v/>
      </c>
      <c r="D2367" s="404"/>
      <c r="E2367" s="407"/>
      <c r="F2367" s="404"/>
      <c r="G2367" s="888"/>
      <c r="H2367"/>
      <c r="J2367" s="580"/>
    </row>
    <row r="2368" spans="1:10" ht="15" thickTop="1" x14ac:dyDescent="0.35">
      <c r="A2368" s="366" t="str">
        <f>IF(I2368&gt;0,"P","")</f>
        <v/>
      </c>
      <c r="B2368" t="str">
        <f>IF(LEN('Ch10'!H124)=0,"",'Ch10'!H124)</f>
        <v/>
      </c>
      <c r="C2368" t="str">
        <f t="shared" si="55"/>
        <v/>
      </c>
      <c r="D2368" s="31">
        <v>1002.3</v>
      </c>
      <c r="E2368" s="31"/>
      <c r="F2368" s="31"/>
      <c r="G2368" s="838" t="s">
        <v>3376</v>
      </c>
      <c r="H2368"/>
      <c r="I2368" s="46">
        <f>'Ch10'!O124</f>
        <v>0</v>
      </c>
      <c r="J2368" s="975" t="s">
        <v>5045</v>
      </c>
    </row>
    <row r="2369" spans="1:10" x14ac:dyDescent="0.35">
      <c r="A2369" s="366" t="str">
        <f>A2368</f>
        <v/>
      </c>
      <c r="B2369" t="str">
        <f>IF(LEN('Ch10'!H125)=0,"",'Ch10'!H125)</f>
        <v/>
      </c>
      <c r="C2369" t="str">
        <f t="shared" si="55"/>
        <v/>
      </c>
      <c r="D2369" s="31"/>
      <c r="E2369" s="31"/>
      <c r="F2369" s="31"/>
      <c r="G2369" s="838"/>
      <c r="H2369"/>
      <c r="J2369" s="978"/>
    </row>
    <row r="2370" spans="1:10" x14ac:dyDescent="0.35">
      <c r="A2370" s="366" t="str">
        <f>A2369</f>
        <v/>
      </c>
      <c r="B2370" t="str">
        <f>IF(LEN('Ch10'!H126)=0,"",'Ch10'!H126)</f>
        <v/>
      </c>
      <c r="C2370" t="str">
        <f t="shared" si="55"/>
        <v/>
      </c>
      <c r="D2370" s="31"/>
      <c r="E2370" s="31"/>
      <c r="F2370" s="31"/>
      <c r="G2370" s="838"/>
      <c r="H2370"/>
      <c r="J2370" s="580"/>
    </row>
    <row r="2371" spans="1:10" x14ac:dyDescent="0.35">
      <c r="B2371" t="str">
        <f>IF(LEN('Ch10'!H127)=0,"",'Ch10'!H127)</f>
        <v/>
      </c>
      <c r="C2371" t="str">
        <f t="shared" si="55"/>
        <v/>
      </c>
      <c r="D2371" s="31"/>
      <c r="E2371" s="31"/>
      <c r="F2371" s="31"/>
      <c r="G2371" s="148" t="s">
        <v>3372</v>
      </c>
      <c r="H2371"/>
      <c r="J2371" s="580"/>
    </row>
    <row r="2372" spans="1:10" x14ac:dyDescent="0.35">
      <c r="B2372" t="str">
        <f>IF(LEN('Ch10'!H128)=0,"",'Ch10'!H128)</f>
        <v/>
      </c>
      <c r="C2372" t="str">
        <f t="shared" si="55"/>
        <v/>
      </c>
      <c r="D2372" s="31"/>
      <c r="E2372" s="402" t="s">
        <v>256</v>
      </c>
      <c r="F2372" s="31"/>
      <c r="G2372" s="814" t="s">
        <v>3343</v>
      </c>
      <c r="H2372" s="400" t="str">
        <f>IF(LEN('Ch10'!W128)=0,"",'Ch10'!W128)</f>
        <v/>
      </c>
      <c r="J2372" s="580"/>
    </row>
    <row r="2373" spans="1:10" x14ac:dyDescent="0.35">
      <c r="B2373" t="str">
        <f>IF(LEN('Ch10'!H129)=0,"",'Ch10'!H129)</f>
        <v/>
      </c>
      <c r="C2373" t="str">
        <f t="shared" si="55"/>
        <v/>
      </c>
      <c r="D2373" s="31"/>
      <c r="E2373" s="416"/>
      <c r="F2373" s="403"/>
      <c r="G2373" s="815"/>
      <c r="H2373"/>
      <c r="J2373" s="580"/>
    </row>
    <row r="2374" spans="1:10" x14ac:dyDescent="0.35">
      <c r="B2374" t="str">
        <f>IF(LEN('Ch10'!H130)=0,"",'Ch10'!H130)</f>
        <v/>
      </c>
      <c r="C2374" t="str">
        <f t="shared" si="55"/>
        <v/>
      </c>
      <c r="D2374" s="31"/>
      <c r="E2374" s="424" t="s">
        <v>258</v>
      </c>
      <c r="F2374" s="405"/>
      <c r="G2374" s="836" t="s">
        <v>3295</v>
      </c>
      <c r="H2374" s="400" t="str">
        <f>IF(LEN('Ch10'!W130)=0,"",'Ch10'!W130)</f>
        <v/>
      </c>
      <c r="J2374" s="580"/>
    </row>
    <row r="2375" spans="1:10" x14ac:dyDescent="0.35">
      <c r="B2375" t="str">
        <f>IF(LEN('Ch10'!H131)=0,"",'Ch10'!H131)</f>
        <v/>
      </c>
      <c r="C2375" t="str">
        <f t="shared" si="55"/>
        <v/>
      </c>
      <c r="D2375" s="31"/>
      <c r="E2375" s="31"/>
      <c r="F2375" s="31"/>
      <c r="G2375" s="814"/>
      <c r="H2375"/>
      <c r="J2375" s="580"/>
    </row>
    <row r="2376" spans="1:10" x14ac:dyDescent="0.35">
      <c r="B2376" t="str">
        <f>IF(LEN('Ch10'!H132)=0,"",'Ch10'!H132)</f>
        <v/>
      </c>
      <c r="C2376" t="str">
        <f t="shared" si="55"/>
        <v/>
      </c>
      <c r="D2376" s="31"/>
      <c r="E2376" s="31"/>
      <c r="F2376" s="31"/>
      <c r="G2376" s="814"/>
      <c r="H2376"/>
      <c r="J2376" s="580"/>
    </row>
    <row r="2377" spans="1:10" x14ac:dyDescent="0.35">
      <c r="B2377" t="str">
        <f>IF(LEN('Ch10'!H133)=0,"",'Ch10'!H133)</f>
        <v/>
      </c>
      <c r="C2377" t="str">
        <f t="shared" si="55"/>
        <v/>
      </c>
      <c r="D2377" s="31"/>
      <c r="E2377" s="403"/>
      <c r="F2377" s="403"/>
      <c r="G2377" s="815"/>
      <c r="H2377"/>
      <c r="J2377" s="580"/>
    </row>
    <row r="2378" spans="1:10" x14ac:dyDescent="0.35">
      <c r="B2378" t="str">
        <f>IF(LEN('Ch10'!H134)=0,"",'Ch10'!H134)</f>
        <v/>
      </c>
      <c r="C2378" t="str">
        <f t="shared" si="55"/>
        <v/>
      </c>
      <c r="D2378" s="31"/>
      <c r="E2378" s="424" t="s">
        <v>260</v>
      </c>
      <c r="F2378" s="405"/>
      <c r="G2378" s="166" t="s">
        <v>3344</v>
      </c>
      <c r="H2378" s="400" t="str">
        <f>IF(LEN('Ch10'!W134)=0,"",'Ch10'!W134)</f>
        <v/>
      </c>
      <c r="J2378" s="580"/>
    </row>
    <row r="2379" spans="1:10" x14ac:dyDescent="0.35">
      <c r="B2379" t="str">
        <f>IF(LEN('Ch10'!H135)=0,"",'Ch10'!H135)</f>
        <v/>
      </c>
      <c r="C2379" t="str">
        <f t="shared" si="55"/>
        <v/>
      </c>
      <c r="D2379" s="31"/>
      <c r="E2379" s="31"/>
      <c r="F2379" s="402" t="s">
        <v>121</v>
      </c>
      <c r="G2379" s="146" t="s">
        <v>3345</v>
      </c>
      <c r="H2379"/>
      <c r="J2379" s="580"/>
    </row>
    <row r="2380" spans="1:10" x14ac:dyDescent="0.35">
      <c r="B2380" t="str">
        <f>IF(LEN('Ch10'!H136)=0,"",'Ch10'!H136)</f>
        <v/>
      </c>
      <c r="C2380" t="str">
        <f t="shared" si="55"/>
        <v/>
      </c>
      <c r="D2380" s="31"/>
      <c r="E2380" s="31"/>
      <c r="F2380" s="402" t="s">
        <v>122</v>
      </c>
      <c r="G2380" s="146" t="s">
        <v>3346</v>
      </c>
      <c r="H2380"/>
      <c r="J2380" s="580"/>
    </row>
    <row r="2381" spans="1:10" x14ac:dyDescent="0.35">
      <c r="B2381" t="str">
        <f>IF(LEN('Ch10'!H137)=0,"",'Ch10'!H137)</f>
        <v/>
      </c>
      <c r="C2381" t="str">
        <f t="shared" si="55"/>
        <v/>
      </c>
      <c r="D2381" s="31"/>
      <c r="E2381" s="31"/>
      <c r="F2381" s="402" t="s">
        <v>123</v>
      </c>
      <c r="G2381" s="146" t="s">
        <v>3347</v>
      </c>
      <c r="H2381"/>
      <c r="J2381" s="580"/>
    </row>
    <row r="2382" spans="1:10" x14ac:dyDescent="0.35">
      <c r="B2382" t="str">
        <f>IF(LEN('Ch10'!H138)=0,"",'Ch10'!H138)</f>
        <v/>
      </c>
      <c r="C2382" t="str">
        <f t="shared" si="55"/>
        <v/>
      </c>
      <c r="D2382" s="31"/>
      <c r="E2382" s="31"/>
      <c r="F2382" s="402" t="s">
        <v>401</v>
      </c>
      <c r="G2382" s="146" t="s">
        <v>3348</v>
      </c>
      <c r="H2382"/>
      <c r="J2382" s="580"/>
    </row>
    <row r="2383" spans="1:10" x14ac:dyDescent="0.35">
      <c r="B2383" t="str">
        <f>IF(LEN('Ch10'!H139)=0,"",'Ch10'!H139)</f>
        <v/>
      </c>
      <c r="C2383" t="str">
        <f t="shared" si="55"/>
        <v/>
      </c>
      <c r="D2383" s="31"/>
      <c r="E2383" s="31"/>
      <c r="F2383" s="402" t="s">
        <v>539</v>
      </c>
      <c r="G2383" s="146" t="s">
        <v>3349</v>
      </c>
      <c r="H2383"/>
      <c r="J2383" s="580"/>
    </row>
    <row r="2384" spans="1:10" x14ac:dyDescent="0.35">
      <c r="B2384" t="str">
        <f>IF(LEN('Ch10'!H140)=0,"",'Ch10'!H140)</f>
        <v/>
      </c>
      <c r="C2384" t="str">
        <f t="shared" si="55"/>
        <v/>
      </c>
      <c r="D2384" s="31"/>
      <c r="E2384" s="403"/>
      <c r="F2384" s="416" t="s">
        <v>604</v>
      </c>
      <c r="G2384" s="162" t="s">
        <v>3350</v>
      </c>
      <c r="H2384"/>
      <c r="J2384" s="580"/>
    </row>
    <row r="2385" spans="1:10" x14ac:dyDescent="0.35">
      <c r="B2385" t="str">
        <f>IF(LEN('Ch10'!H141)=0,"",'Ch10'!H141)</f>
        <v/>
      </c>
      <c r="C2385" t="str">
        <f t="shared" si="55"/>
        <v/>
      </c>
      <c r="D2385" s="31"/>
      <c r="E2385" s="402" t="s">
        <v>269</v>
      </c>
      <c r="F2385" s="31"/>
      <c r="G2385" s="814" t="s">
        <v>3299</v>
      </c>
      <c r="H2385" s="400" t="str">
        <f>IF(LEN('Ch10'!W141)=0,"",'Ch10'!W141)</f>
        <v/>
      </c>
      <c r="J2385" s="580"/>
    </row>
    <row r="2386" spans="1:10" x14ac:dyDescent="0.35">
      <c r="B2386" t="str">
        <f>IF(LEN('Ch10'!H142)=0,"",'Ch10'!H142)</f>
        <v/>
      </c>
      <c r="C2386" t="str">
        <f t="shared" si="55"/>
        <v/>
      </c>
      <c r="D2386" s="31"/>
      <c r="E2386" s="31"/>
      <c r="F2386" s="31"/>
      <c r="G2386" s="814"/>
      <c r="H2386"/>
      <c r="J2386" s="580"/>
    </row>
    <row r="2387" spans="1:10" x14ac:dyDescent="0.35">
      <c r="B2387" t="str">
        <f>IF(LEN('Ch10'!H143)=0,"",'Ch10'!H143)</f>
        <v/>
      </c>
      <c r="C2387" t="str">
        <f t="shared" ref="C2387:C2450" si="56">IF(LEN(B2387)=0,IF(A2387="P","P",""),B2387)</f>
        <v/>
      </c>
      <c r="D2387" s="31"/>
      <c r="E2387" s="422" t="s">
        <v>275</v>
      </c>
      <c r="F2387" s="415"/>
      <c r="G2387" s="164" t="s">
        <v>3301</v>
      </c>
      <c r="H2387" s="400" t="str">
        <f>IF(LEN('Ch10'!W143)=0,"",'Ch10'!W143)</f>
        <v/>
      </c>
      <c r="J2387" s="580"/>
    </row>
    <row r="2388" spans="1:10" x14ac:dyDescent="0.35">
      <c r="B2388" t="str">
        <f>IF(LEN('Ch10'!H144)=0,"",'Ch10'!H144)</f>
        <v/>
      </c>
      <c r="C2388" t="str">
        <f t="shared" si="56"/>
        <v/>
      </c>
      <c r="D2388" s="31"/>
      <c r="E2388" s="402" t="s">
        <v>277</v>
      </c>
      <c r="F2388" s="31"/>
      <c r="G2388" s="814" t="s">
        <v>3351</v>
      </c>
      <c r="H2388" s="400" t="str">
        <f>IF(LEN('Ch10'!W144)=0,"",'Ch10'!W144)</f>
        <v/>
      </c>
      <c r="J2388" s="580"/>
    </row>
    <row r="2389" spans="1:10" x14ac:dyDescent="0.35">
      <c r="B2389" t="str">
        <f>IF(LEN('Ch10'!H145)=0,"",'Ch10'!H145)</f>
        <v/>
      </c>
      <c r="C2389" t="str">
        <f t="shared" si="56"/>
        <v/>
      </c>
      <c r="D2389" s="31"/>
      <c r="E2389" s="402"/>
      <c r="F2389" s="31"/>
      <c r="G2389" s="814"/>
      <c r="H2389"/>
      <c r="J2389" s="580"/>
    </row>
    <row r="2390" spans="1:10" x14ac:dyDescent="0.35">
      <c r="B2390" t="str">
        <f>IF(LEN('Ch10'!H146)=0,"",'Ch10'!H146)</f>
        <v/>
      </c>
      <c r="C2390" t="str">
        <f t="shared" si="56"/>
        <v/>
      </c>
      <c r="D2390" s="31"/>
      <c r="E2390" s="422" t="s">
        <v>383</v>
      </c>
      <c r="F2390" s="415"/>
      <c r="G2390" s="164" t="s">
        <v>3307</v>
      </c>
      <c r="H2390" s="400" t="str">
        <f>IF(LEN('Ch10'!W146)=0,"",'Ch10'!W146)</f>
        <v/>
      </c>
      <c r="J2390" s="580"/>
    </row>
    <row r="2391" spans="1:10" x14ac:dyDescent="0.35">
      <c r="B2391" t="str">
        <f>IF(LEN('Ch10'!H147)=0,"",'Ch10'!H147)</f>
        <v/>
      </c>
      <c r="C2391" t="str">
        <f t="shared" si="56"/>
        <v/>
      </c>
      <c r="D2391" s="31"/>
      <c r="E2391" s="402" t="s">
        <v>428</v>
      </c>
      <c r="F2391" s="31"/>
      <c r="G2391" s="146" t="s">
        <v>3352</v>
      </c>
      <c r="H2391" s="400" t="str">
        <f>IF(LEN('Ch10'!W147)=0,"",'Ch10'!W147)</f>
        <v/>
      </c>
      <c r="J2391" s="580"/>
    </row>
    <row r="2392" spans="1:10" x14ac:dyDescent="0.35">
      <c r="B2392" t="str">
        <f>IF(LEN('Ch10'!H148)=0,"",'Ch10'!H148)</f>
        <v/>
      </c>
      <c r="C2392" t="str">
        <f t="shared" si="56"/>
        <v/>
      </c>
      <c r="D2392" s="31"/>
      <c r="E2392" s="422" t="s">
        <v>430</v>
      </c>
      <c r="F2392" s="415"/>
      <c r="G2392" s="164" t="s">
        <v>3353</v>
      </c>
      <c r="H2392" s="400" t="str">
        <f>IF(LEN('Ch10'!W148)=0,"",'Ch10'!W148)</f>
        <v/>
      </c>
      <c r="J2392" s="580"/>
    </row>
    <row r="2393" spans="1:10" x14ac:dyDescent="0.35">
      <c r="B2393" t="str">
        <f>IF(LEN('Ch10'!H149)=0,"",'Ch10'!H149)</f>
        <v/>
      </c>
      <c r="C2393" t="str">
        <f t="shared" si="56"/>
        <v/>
      </c>
      <c r="D2393" s="31"/>
      <c r="E2393" s="422" t="s">
        <v>432</v>
      </c>
      <c r="F2393" s="415"/>
      <c r="G2393" s="164" t="s">
        <v>3354</v>
      </c>
      <c r="H2393" s="400" t="str">
        <f>IF(LEN('Ch10'!W149)=0,"",'Ch10'!W149)</f>
        <v/>
      </c>
      <c r="J2393" s="580"/>
    </row>
    <row r="2394" spans="1:10" x14ac:dyDescent="0.35">
      <c r="B2394" t="str">
        <f>IF(LEN('Ch10'!H150)=0,"",'Ch10'!H150)</f>
        <v/>
      </c>
      <c r="C2394" t="str">
        <f t="shared" si="56"/>
        <v/>
      </c>
      <c r="E2394" s="402" t="s">
        <v>434</v>
      </c>
      <c r="F2394" s="402"/>
      <c r="G2394" s="848" t="s">
        <v>4547</v>
      </c>
      <c r="H2394" s="400" t="str">
        <f>IF(LEN('Ch10'!W150)=0,"",'Ch10'!W150)</f>
        <v/>
      </c>
      <c r="J2394" s="580"/>
    </row>
    <row r="2395" spans="1:10" ht="15" thickBot="1" x14ac:dyDescent="0.4">
      <c r="B2395" t="str">
        <f>IF(LEN('Ch10'!H151)=0,"",'Ch10'!H151)</f>
        <v/>
      </c>
      <c r="C2395" t="str">
        <f t="shared" si="56"/>
        <v/>
      </c>
      <c r="D2395" s="618"/>
      <c r="E2395" s="407"/>
      <c r="F2395" s="407"/>
      <c r="G2395" s="888"/>
      <c r="H2395"/>
      <c r="J2395" s="580"/>
    </row>
    <row r="2396" spans="1:10" ht="15" thickTop="1" x14ac:dyDescent="0.35">
      <c r="A2396" s="366" t="str">
        <f>IF(I2396&gt;0,"P","")</f>
        <v/>
      </c>
      <c r="B2396" t="str">
        <f>IF(LEN('Ch10'!H152)=0,"",'Ch10'!H152)</f>
        <v/>
      </c>
      <c r="C2396" t="str">
        <f t="shared" si="56"/>
        <v/>
      </c>
      <c r="D2396" s="31">
        <v>1002.4</v>
      </c>
      <c r="E2396" s="31"/>
      <c r="F2396" s="31"/>
      <c r="G2396" s="838" t="s">
        <v>3355</v>
      </c>
      <c r="H2396" s="400" t="str">
        <f>IF(LEN('Ch10'!W152)=0,"",'Ch10'!W152)</f>
        <v/>
      </c>
      <c r="I2396" s="46">
        <f>'Ch10'!O152</f>
        <v>0</v>
      </c>
      <c r="J2396" s="975" t="s">
        <v>3947</v>
      </c>
    </row>
    <row r="2397" spans="1:10" x14ac:dyDescent="0.35">
      <c r="A2397" s="366" t="str">
        <f>A2396</f>
        <v/>
      </c>
      <c r="B2397" t="str">
        <f>IF(LEN('Ch10'!H153)=0,"",'Ch10'!H153)</f>
        <v/>
      </c>
      <c r="C2397" t="str">
        <f t="shared" si="56"/>
        <v/>
      </c>
      <c r="D2397" s="31"/>
      <c r="E2397" s="31"/>
      <c r="F2397" s="31"/>
      <c r="G2397" s="838"/>
      <c r="H2397"/>
      <c r="J2397" s="977"/>
    </row>
    <row r="2398" spans="1:10" x14ac:dyDescent="0.35">
      <c r="A2398" s="366" t="str">
        <f>A2397</f>
        <v/>
      </c>
      <c r="B2398" t="str">
        <f>IF(LEN('Ch10'!H154)=0,"",'Ch10'!H154)</f>
        <v/>
      </c>
      <c r="C2398" t="str">
        <f t="shared" si="56"/>
        <v/>
      </c>
      <c r="D2398" s="31"/>
      <c r="E2398" s="31"/>
      <c r="F2398" s="31"/>
      <c r="G2398" s="838"/>
      <c r="H2398"/>
      <c r="J2398" s="978"/>
    </row>
    <row r="2399" spans="1:10" x14ac:dyDescent="0.35">
      <c r="A2399" s="366" t="str">
        <f>A2398</f>
        <v/>
      </c>
      <c r="B2399" t="str">
        <f>IF(LEN('Ch10'!H155)=0,"",'Ch10'!H155)</f>
        <v/>
      </c>
      <c r="C2399" t="str">
        <f t="shared" si="56"/>
        <v/>
      </c>
      <c r="D2399" s="31"/>
      <c r="E2399" s="31"/>
      <c r="F2399" s="31"/>
      <c r="G2399" s="838"/>
      <c r="H2399"/>
      <c r="J2399" s="580"/>
    </row>
    <row r="2400" spans="1:10" x14ac:dyDescent="0.35">
      <c r="A2400" s="366" t="str">
        <f>A2399</f>
        <v/>
      </c>
      <c r="B2400" t="str">
        <f>IF(LEN('Ch10'!H156)=0,"",'Ch10'!H156)</f>
        <v/>
      </c>
      <c r="C2400" t="str">
        <f t="shared" si="56"/>
        <v/>
      </c>
      <c r="D2400" s="31"/>
      <c r="E2400" s="31"/>
      <c r="F2400" s="31"/>
      <c r="G2400" s="838"/>
      <c r="H2400"/>
      <c r="J2400" s="580"/>
    </row>
    <row r="2401" spans="1:10" x14ac:dyDescent="0.35">
      <c r="B2401" t="str">
        <f>IF(LEN('Ch10'!H157)=0,"",'Ch10'!H157)</f>
        <v/>
      </c>
      <c r="C2401" t="str">
        <f t="shared" si="56"/>
        <v/>
      </c>
      <c r="D2401" s="31"/>
      <c r="E2401" s="402" t="s">
        <v>256</v>
      </c>
      <c r="F2401" s="31"/>
      <c r="G2401" s="146" t="s">
        <v>3345</v>
      </c>
      <c r="H2401"/>
      <c r="J2401" s="580"/>
    </row>
    <row r="2402" spans="1:10" x14ac:dyDescent="0.35">
      <c r="B2402" t="str">
        <f>IF(LEN('Ch10'!H158)=0,"",'Ch10'!H158)</f>
        <v/>
      </c>
      <c r="C2402" t="str">
        <f t="shared" si="56"/>
        <v/>
      </c>
      <c r="D2402" s="31"/>
      <c r="E2402" s="402" t="s">
        <v>258</v>
      </c>
      <c r="F2402" s="31"/>
      <c r="G2402" s="146" t="s">
        <v>3346</v>
      </c>
      <c r="H2402"/>
      <c r="J2402" s="580"/>
    </row>
    <row r="2403" spans="1:10" x14ac:dyDescent="0.35">
      <c r="B2403" t="str">
        <f>IF(LEN('Ch10'!H159)=0,"",'Ch10'!H159)</f>
        <v/>
      </c>
      <c r="C2403" t="str">
        <f t="shared" si="56"/>
        <v/>
      </c>
      <c r="D2403" s="31"/>
      <c r="E2403" s="402" t="s">
        <v>260</v>
      </c>
      <c r="F2403" s="31"/>
      <c r="G2403" s="146" t="s">
        <v>3347</v>
      </c>
      <c r="H2403"/>
      <c r="J2403" s="580"/>
    </row>
    <row r="2404" spans="1:10" x14ac:dyDescent="0.35">
      <c r="B2404" t="str">
        <f>IF(LEN('Ch10'!H160)=0,"",'Ch10'!H160)</f>
        <v/>
      </c>
      <c r="C2404" t="str">
        <f t="shared" si="56"/>
        <v/>
      </c>
      <c r="D2404" s="31"/>
      <c r="E2404" s="402" t="s">
        <v>269</v>
      </c>
      <c r="F2404" s="31"/>
      <c r="G2404" s="146" t="s">
        <v>3356</v>
      </c>
      <c r="H2404"/>
      <c r="J2404" s="580"/>
    </row>
    <row r="2405" spans="1:10" x14ac:dyDescent="0.35">
      <c r="B2405" t="str">
        <f>IF(LEN('Ch10'!H161)=0,"",'Ch10'!H161)</f>
        <v/>
      </c>
      <c r="C2405" t="str">
        <f t="shared" si="56"/>
        <v/>
      </c>
      <c r="D2405" s="31"/>
      <c r="E2405" s="402" t="s">
        <v>275</v>
      </c>
      <c r="F2405" s="31"/>
      <c r="G2405" s="146" t="s">
        <v>3357</v>
      </c>
      <c r="H2405"/>
      <c r="J2405" s="580"/>
    </row>
    <row r="2406" spans="1:10" x14ac:dyDescent="0.35">
      <c r="B2406" t="str">
        <f>IF(LEN('Ch10'!H162)=0,"",'Ch10'!H162)</f>
        <v/>
      </c>
      <c r="C2406" t="str">
        <f t="shared" si="56"/>
        <v/>
      </c>
      <c r="D2406" s="31"/>
      <c r="E2406" s="402" t="s">
        <v>277</v>
      </c>
      <c r="F2406" s="31"/>
      <c r="G2406" s="146" t="s">
        <v>3350</v>
      </c>
      <c r="H2406"/>
      <c r="J2406" s="580"/>
    </row>
    <row r="2407" spans="1:10" x14ac:dyDescent="0.35">
      <c r="B2407" t="str">
        <f>IF(LEN('Ch10'!H163)=0,"",'Ch10'!H163)</f>
        <v/>
      </c>
      <c r="C2407" t="str">
        <f t="shared" si="56"/>
        <v/>
      </c>
      <c r="D2407" s="31"/>
      <c r="E2407" s="402" t="s">
        <v>383</v>
      </c>
      <c r="F2407" s="31"/>
      <c r="G2407" s="146" t="s">
        <v>3358</v>
      </c>
      <c r="H2407"/>
      <c r="J2407" s="580"/>
    </row>
    <row r="2408" spans="1:10" ht="15" thickBot="1" x14ac:dyDescent="0.4">
      <c r="B2408" t="str">
        <f>IF(LEN('Ch10'!H164)=0,"",'Ch10'!H164)</f>
        <v/>
      </c>
      <c r="C2408" t="str">
        <f t="shared" si="56"/>
        <v/>
      </c>
      <c r="D2408" s="404"/>
      <c r="E2408" s="407" t="s">
        <v>428</v>
      </c>
      <c r="F2408" s="407"/>
      <c r="G2408" s="229" t="s">
        <v>4548</v>
      </c>
      <c r="H2408"/>
      <c r="J2408" s="580"/>
    </row>
    <row r="2409" spans="1:10" ht="15" thickTop="1" x14ac:dyDescent="0.35">
      <c r="A2409" s="366" t="str">
        <f>IF(I2409&gt;0,"P","")</f>
        <v/>
      </c>
      <c r="B2409" t="str">
        <f>IF(LEN('Ch10'!H165)=0,"",'Ch10'!H165)</f>
        <v/>
      </c>
      <c r="C2409" t="str">
        <f t="shared" si="56"/>
        <v/>
      </c>
      <c r="D2409" s="402" t="s">
        <v>4549</v>
      </c>
      <c r="E2409" s="402"/>
      <c r="F2409" s="402"/>
      <c r="G2409" s="919" t="s">
        <v>4551</v>
      </c>
      <c r="H2409"/>
      <c r="I2409" s="46">
        <f>'Ch10'!O165</f>
        <v>0</v>
      </c>
      <c r="J2409" s="975" t="s">
        <v>5046</v>
      </c>
    </row>
    <row r="2410" spans="1:10" x14ac:dyDescent="0.35">
      <c r="A2410" s="366" t="str">
        <f>A2409</f>
        <v/>
      </c>
      <c r="B2410" t="str">
        <f>IF(LEN('Ch10'!H166)=0,"",'Ch10'!H166)</f>
        <v/>
      </c>
      <c r="C2410" t="str">
        <f t="shared" si="56"/>
        <v/>
      </c>
      <c r="D2410" s="402"/>
      <c r="E2410" s="402"/>
      <c r="F2410" s="402"/>
      <c r="G2410" s="919"/>
      <c r="H2410"/>
      <c r="J2410" s="978"/>
    </row>
    <row r="2411" spans="1:10" x14ac:dyDescent="0.35">
      <c r="B2411" t="str">
        <f>IF(LEN('Ch10'!H167)=0,"",'Ch10'!H167)</f>
        <v/>
      </c>
      <c r="C2411" t="str">
        <f t="shared" si="56"/>
        <v/>
      </c>
      <c r="D2411" s="402"/>
      <c r="E2411" s="402" t="s">
        <v>256</v>
      </c>
      <c r="F2411" s="402"/>
      <c r="G2411" s="90" t="s">
        <v>4552</v>
      </c>
      <c r="H2411" s="400" t="str">
        <f>IF(LEN('Ch10'!W167)=0,"",'Ch10'!W167)</f>
        <v/>
      </c>
      <c r="J2411" s="580"/>
    </row>
    <row r="2412" spans="1:10" x14ac:dyDescent="0.35">
      <c r="B2412" t="str">
        <f>IF(LEN('Ch10'!H168)=0,"",'Ch10'!H168)</f>
        <v/>
      </c>
      <c r="C2412" t="str">
        <f t="shared" si="56"/>
        <v/>
      </c>
      <c r="D2412" s="402"/>
      <c r="E2412" s="402" t="s">
        <v>258</v>
      </c>
      <c r="F2412" s="402"/>
      <c r="G2412" s="90" t="s">
        <v>4553</v>
      </c>
      <c r="H2412" s="400" t="str">
        <f>IF(LEN('Ch10'!W168)=0,"",'Ch10'!W168)</f>
        <v/>
      </c>
      <c r="J2412" s="580"/>
    </row>
    <row r="2413" spans="1:10" x14ac:dyDescent="0.35">
      <c r="B2413" t="str">
        <f>IF(LEN('Ch10'!H169)=0,"",'Ch10'!H169)</f>
        <v/>
      </c>
      <c r="C2413" t="str">
        <f t="shared" si="56"/>
        <v/>
      </c>
      <c r="D2413" s="402"/>
      <c r="E2413" s="402" t="s">
        <v>260</v>
      </c>
      <c r="F2413" s="402"/>
      <c r="G2413" s="848" t="s">
        <v>4554</v>
      </c>
      <c r="H2413" s="400" t="str">
        <f>IF(LEN('Ch10'!W169)=0,"",'Ch10'!W169)</f>
        <v/>
      </c>
      <c r="J2413" s="580"/>
    </row>
    <row r="2414" spans="1:10" x14ac:dyDescent="0.35">
      <c r="B2414" t="str">
        <f>IF(LEN('Ch10'!H170)=0,"",'Ch10'!H170)</f>
        <v/>
      </c>
      <c r="C2414" t="str">
        <f t="shared" si="56"/>
        <v/>
      </c>
      <c r="D2414" s="402"/>
      <c r="E2414" s="402"/>
      <c r="F2414" s="402"/>
      <c r="G2414" s="848"/>
      <c r="H2414"/>
      <c r="J2414" s="580"/>
    </row>
    <row r="2415" spans="1:10" x14ac:dyDescent="0.35">
      <c r="B2415" t="str">
        <f>IF(LEN('Ch10'!H171)=0,"",'Ch10'!H171)</f>
        <v/>
      </c>
      <c r="C2415" t="str">
        <f t="shared" si="56"/>
        <v/>
      </c>
      <c r="D2415" s="402"/>
      <c r="E2415" s="402" t="s">
        <v>269</v>
      </c>
      <c r="F2415" s="402"/>
      <c r="G2415" s="90" t="s">
        <v>4555</v>
      </c>
      <c r="H2415" s="400" t="str">
        <f>IF(LEN('Ch10'!W171)=0,"",'Ch10'!W171)</f>
        <v/>
      </c>
      <c r="J2415" s="580"/>
    </row>
    <row r="2416" spans="1:10" x14ac:dyDescent="0.35">
      <c r="B2416" t="str">
        <f>IF(LEN('Ch10'!H172)=0,"",'Ch10'!H172)</f>
        <v/>
      </c>
      <c r="C2416" t="str">
        <f t="shared" si="56"/>
        <v/>
      </c>
      <c r="D2416" s="402"/>
      <c r="E2416" s="402" t="s">
        <v>275</v>
      </c>
      <c r="F2416" s="402"/>
      <c r="G2416" s="90" t="s">
        <v>4556</v>
      </c>
      <c r="H2416" s="400" t="str">
        <f>IF(LEN('Ch10'!W172)=0,"",'Ch10'!W172)</f>
        <v/>
      </c>
      <c r="J2416" s="580"/>
    </row>
    <row r="2417" spans="1:10" x14ac:dyDescent="0.35">
      <c r="B2417" t="str">
        <f>IF(LEN('Ch10'!H173)=0,"",'Ch10'!H173)</f>
        <v/>
      </c>
      <c r="C2417" t="str">
        <f t="shared" si="56"/>
        <v/>
      </c>
      <c r="D2417" s="402"/>
      <c r="E2417" s="402" t="s">
        <v>277</v>
      </c>
      <c r="F2417" s="402"/>
      <c r="G2417" s="90" t="s">
        <v>4557</v>
      </c>
      <c r="H2417" s="400" t="str">
        <f>IF(LEN('Ch10'!W173)=0,"",'Ch10'!W173)</f>
        <v/>
      </c>
      <c r="J2417" s="580"/>
    </row>
    <row r="2418" spans="1:10" x14ac:dyDescent="0.35">
      <c r="B2418" t="str">
        <f>IF(LEN('Ch10'!H174)=0,"",'Ch10'!H174)</f>
        <v/>
      </c>
      <c r="C2418" t="str">
        <f t="shared" si="56"/>
        <v/>
      </c>
      <c r="D2418" s="402"/>
      <c r="E2418" s="402" t="s">
        <v>383</v>
      </c>
      <c r="F2418" s="402"/>
      <c r="G2418" s="90" t="s">
        <v>4558</v>
      </c>
      <c r="H2418" s="400" t="str">
        <f>IF(LEN('Ch10'!W174)=0,"",'Ch10'!W174)</f>
        <v/>
      </c>
      <c r="J2418" s="580"/>
    </row>
    <row r="2419" spans="1:10" x14ac:dyDescent="0.35">
      <c r="B2419" t="str">
        <f>IF(LEN('Ch10'!H175)=0,"",'Ch10'!H175)</f>
        <v/>
      </c>
      <c r="C2419" t="str">
        <f t="shared" si="56"/>
        <v/>
      </c>
      <c r="D2419" s="402"/>
      <c r="E2419" s="402" t="s">
        <v>428</v>
      </c>
      <c r="F2419" s="402"/>
      <c r="G2419" s="90" t="s">
        <v>4559</v>
      </c>
      <c r="H2419" s="400" t="str">
        <f>IF(LEN('Ch10'!W175)=0,"",'Ch10'!W175)</f>
        <v/>
      </c>
      <c r="J2419" s="580"/>
    </row>
    <row r="2420" spans="1:10" ht="15" thickBot="1" x14ac:dyDescent="0.4">
      <c r="B2420" t="str">
        <f>IF(LEN('Ch10'!H176)=0,"",'Ch10'!H176)</f>
        <v/>
      </c>
      <c r="C2420" t="str">
        <f t="shared" si="56"/>
        <v/>
      </c>
      <c r="D2420" s="407"/>
      <c r="E2420" s="407" t="s">
        <v>430</v>
      </c>
      <c r="F2420" s="407"/>
      <c r="G2420" s="229" t="s">
        <v>4560</v>
      </c>
      <c r="H2420" s="400" t="str">
        <f>IF(LEN('Ch10'!W176)=0,"",'Ch10'!W176)</f>
        <v/>
      </c>
      <c r="J2420" s="580"/>
    </row>
    <row r="2421" spans="1:10" ht="15" thickTop="1" x14ac:dyDescent="0.35">
      <c r="A2421" s="366" t="str">
        <f>IF(I2421&gt;0,"P","")</f>
        <v/>
      </c>
      <c r="B2421" t="str">
        <f>IF(LEN('Ch10'!H177)=0,"",'Ch10'!H177)</f>
        <v/>
      </c>
      <c r="C2421" t="str">
        <f t="shared" si="56"/>
        <v/>
      </c>
      <c r="D2421" s="402" t="s">
        <v>4550</v>
      </c>
      <c r="E2421" s="402"/>
      <c r="F2421" s="402"/>
      <c r="G2421" s="919" t="s">
        <v>4561</v>
      </c>
      <c r="H2421"/>
      <c r="I2421" s="46">
        <f>'Ch10'!O177</f>
        <v>0</v>
      </c>
      <c r="J2421" s="580" t="s">
        <v>5047</v>
      </c>
    </row>
    <row r="2422" spans="1:10" x14ac:dyDescent="0.35">
      <c r="A2422" s="366" t="str">
        <f>A2421</f>
        <v/>
      </c>
      <c r="B2422" t="str">
        <f>IF(LEN('Ch10'!H178)=0,"",'Ch10'!H178)</f>
        <v/>
      </c>
      <c r="C2422" t="str">
        <f t="shared" si="56"/>
        <v/>
      </c>
      <c r="D2422" s="402"/>
      <c r="E2422" s="402"/>
      <c r="F2422" s="402"/>
      <c r="G2422" s="919"/>
      <c r="H2422"/>
      <c r="J2422" s="580"/>
    </row>
    <row r="2423" spans="1:10" x14ac:dyDescent="0.35">
      <c r="A2423" s="366" t="str">
        <f>A2422</f>
        <v/>
      </c>
      <c r="B2423" t="str">
        <f>IF(LEN('Ch10'!H179)=0,"",'Ch10'!H179)</f>
        <v/>
      </c>
      <c r="C2423" t="str">
        <f t="shared" si="56"/>
        <v/>
      </c>
      <c r="D2423" s="402"/>
      <c r="E2423" s="402"/>
      <c r="F2423" s="402"/>
      <c r="G2423" s="919"/>
      <c r="H2423"/>
      <c r="J2423" s="580"/>
    </row>
    <row r="2424" spans="1:10" x14ac:dyDescent="0.35">
      <c r="A2424" s="366" t="str">
        <f>A2423</f>
        <v/>
      </c>
      <c r="B2424" t="str">
        <f>IF(LEN('Ch10'!H180)=0,"",'Ch10'!H180)</f>
        <v/>
      </c>
      <c r="C2424" t="str">
        <f t="shared" si="56"/>
        <v/>
      </c>
      <c r="D2424" s="402"/>
      <c r="E2424" s="402"/>
      <c r="F2424" s="402"/>
      <c r="G2424" s="919"/>
      <c r="H2424"/>
      <c r="J2424" s="580"/>
    </row>
    <row r="2425" spans="1:10" x14ac:dyDescent="0.35">
      <c r="B2425" t="str">
        <f>IF(LEN('Ch10'!H181)=0,"",'Ch10'!H181)</f>
        <v/>
      </c>
      <c r="C2425" t="str">
        <f t="shared" si="56"/>
        <v/>
      </c>
      <c r="D2425" s="402"/>
      <c r="E2425" s="402" t="s">
        <v>256</v>
      </c>
      <c r="F2425" s="402"/>
      <c r="G2425" s="90" t="s">
        <v>4562</v>
      </c>
      <c r="H2425" s="400" t="str">
        <f>IF(LEN('Ch10'!W181)=0,"",'Ch10'!W181)</f>
        <v/>
      </c>
      <c r="J2425" s="580"/>
    </row>
    <row r="2426" spans="1:10" x14ac:dyDescent="0.35">
      <c r="B2426" t="str">
        <f>IF(LEN('Ch10'!H182)=0,"",'Ch10'!H182)</f>
        <v/>
      </c>
      <c r="C2426" t="str">
        <f t="shared" si="56"/>
        <v/>
      </c>
      <c r="D2426" s="402"/>
      <c r="E2426" s="402" t="s">
        <v>258</v>
      </c>
      <c r="F2426" s="402"/>
      <c r="G2426" s="90" t="s">
        <v>4563</v>
      </c>
      <c r="H2426" s="400" t="str">
        <f>IF(LEN('Ch10'!W182)=0,"",'Ch10'!W182)</f>
        <v/>
      </c>
      <c r="J2426" s="580"/>
    </row>
    <row r="2427" spans="1:10" x14ac:dyDescent="0.35">
      <c r="B2427" t="str">
        <f>IF(LEN('Ch10'!H183)=0,"",'Ch10'!H183)</f>
        <v/>
      </c>
      <c r="C2427" t="str">
        <f t="shared" si="56"/>
        <v/>
      </c>
      <c r="D2427" s="402"/>
      <c r="E2427" s="402" t="s">
        <v>260</v>
      </c>
      <c r="F2427" s="402"/>
      <c r="G2427" s="90" t="s">
        <v>4564</v>
      </c>
      <c r="H2427" s="400" t="str">
        <f>IF(LEN('Ch10'!W183)=0,"",'Ch10'!W183)</f>
        <v/>
      </c>
      <c r="J2427" s="580"/>
    </row>
    <row r="2428" spans="1:10" x14ac:dyDescent="0.35">
      <c r="B2428" t="str">
        <f>IF(LEN('Ch10'!H184)=0,"",'Ch10'!H184)</f>
        <v/>
      </c>
      <c r="C2428" t="str">
        <f t="shared" si="56"/>
        <v/>
      </c>
      <c r="D2428" s="402"/>
      <c r="E2428" s="402" t="s">
        <v>269</v>
      </c>
      <c r="F2428" s="402"/>
      <c r="G2428" s="90" t="s">
        <v>4565</v>
      </c>
      <c r="H2428" s="400" t="str">
        <f>IF(LEN('Ch10'!W184)=0,"",'Ch10'!W184)</f>
        <v/>
      </c>
      <c r="J2428" s="580"/>
    </row>
    <row r="2429" spans="1:10" x14ac:dyDescent="0.35">
      <c r="B2429" t="str">
        <f>IF(LEN('Ch10'!H185)=0,"",'Ch10'!H185)</f>
        <v/>
      </c>
      <c r="C2429" t="str">
        <f t="shared" si="56"/>
        <v/>
      </c>
      <c r="D2429" s="402"/>
      <c r="E2429" s="402" t="s">
        <v>275</v>
      </c>
      <c r="F2429" s="402"/>
      <c r="G2429" s="90" t="s">
        <v>4566</v>
      </c>
      <c r="H2429" s="400" t="str">
        <f>IF(LEN('Ch10'!W185)=0,"",'Ch10'!W185)</f>
        <v/>
      </c>
      <c r="J2429" s="580"/>
    </row>
    <row r="2430" spans="1:10" x14ac:dyDescent="0.35">
      <c r="B2430" t="str">
        <f>IF(LEN('Ch10'!H186)=0,"",'Ch10'!H186)</f>
        <v/>
      </c>
      <c r="C2430" t="str">
        <f t="shared" si="56"/>
        <v/>
      </c>
      <c r="D2430" s="402"/>
      <c r="E2430" s="402" t="s">
        <v>277</v>
      </c>
      <c r="F2430" s="402"/>
      <c r="G2430" s="90" t="s">
        <v>3345</v>
      </c>
      <c r="H2430" s="400" t="str">
        <f>IF(LEN('Ch10'!W186)=0,"",'Ch10'!W186)</f>
        <v/>
      </c>
      <c r="J2430" s="580"/>
    </row>
    <row r="2431" spans="1:10" x14ac:dyDescent="0.35">
      <c r="B2431" t="str">
        <f>IF(LEN('Ch10'!H187)=0,"",'Ch10'!H187)</f>
        <v/>
      </c>
      <c r="C2431" t="str">
        <f t="shared" si="56"/>
        <v/>
      </c>
      <c r="D2431" s="402"/>
      <c r="E2431" s="402" t="s">
        <v>383</v>
      </c>
      <c r="F2431" s="402"/>
      <c r="G2431" s="90" t="s">
        <v>4567</v>
      </c>
      <c r="H2431" s="400" t="str">
        <f>IF(LEN('Ch10'!W187)=0,"",'Ch10'!W187)</f>
        <v/>
      </c>
      <c r="J2431" s="580"/>
    </row>
    <row r="2432" spans="1:10" ht="18.5" x14ac:dyDescent="0.35">
      <c r="A2432" s="366" t="s">
        <v>3973</v>
      </c>
      <c r="B2432" t="str">
        <f>IF(LEN('Ch10'!H188)=0,"",'Ch10'!H188)</f>
        <v/>
      </c>
      <c r="C2432" t="str">
        <f t="shared" si="56"/>
        <v>P</v>
      </c>
      <c r="D2432" s="620" t="s">
        <v>3359</v>
      </c>
      <c r="E2432" s="620"/>
      <c r="F2432" s="620"/>
      <c r="G2432" s="605"/>
      <c r="H2432"/>
      <c r="J2432" s="580"/>
    </row>
    <row r="2433" spans="1:10" x14ac:dyDescent="0.35">
      <c r="B2433" t="str">
        <f>IF(LEN('Ch10'!H189)=0,"",'Ch10'!H189)</f>
        <v/>
      </c>
      <c r="C2433" t="str">
        <f t="shared" si="56"/>
        <v/>
      </c>
      <c r="D2433" s="402" t="s">
        <v>3984</v>
      </c>
      <c r="E2433" s="31"/>
      <c r="F2433" s="31"/>
      <c r="G2433" s="838" t="s">
        <v>3360</v>
      </c>
      <c r="H2433"/>
      <c r="J2433" s="580"/>
    </row>
    <row r="2434" spans="1:10" x14ac:dyDescent="0.35">
      <c r="B2434" t="str">
        <f>IF(LEN('Ch10'!H190)=0,"",'Ch10'!H190)</f>
        <v/>
      </c>
      <c r="C2434" t="str">
        <f t="shared" si="56"/>
        <v/>
      </c>
      <c r="D2434" s="31"/>
      <c r="E2434" s="31"/>
      <c r="F2434" s="31"/>
      <c r="G2434" s="838"/>
      <c r="H2434"/>
      <c r="J2434" s="580"/>
    </row>
    <row r="2435" spans="1:10" ht="15" thickBot="1" x14ac:dyDescent="0.4">
      <c r="B2435" t="str">
        <f>IF(LEN('Ch10'!H191)=0,"",'Ch10'!H191)</f>
        <v/>
      </c>
      <c r="C2435" t="str">
        <f t="shared" si="56"/>
        <v/>
      </c>
      <c r="D2435" s="404"/>
      <c r="E2435" s="404"/>
      <c r="F2435" s="404"/>
      <c r="G2435" s="849"/>
      <c r="H2435"/>
      <c r="J2435" s="580"/>
    </row>
    <row r="2436" spans="1:10" ht="15" thickTop="1" x14ac:dyDescent="0.35">
      <c r="A2436" s="366" t="str">
        <f>IF(I2436&gt;0,"P","")</f>
        <v/>
      </c>
      <c r="B2436" t="str">
        <f>IF(LEN('Ch10'!H192)=0,"",'Ch10'!H192)</f>
        <v/>
      </c>
      <c r="C2436" t="str">
        <f t="shared" si="56"/>
        <v/>
      </c>
      <c r="D2436" s="31">
        <v>1003.1</v>
      </c>
      <c r="E2436" s="31"/>
      <c r="F2436" s="31"/>
      <c r="G2436" s="149" t="s">
        <v>3361</v>
      </c>
      <c r="H2436"/>
      <c r="I2436" s="46">
        <f>'Ch10'!O192</f>
        <v>0</v>
      </c>
      <c r="J2436" s="975" t="s">
        <v>5048</v>
      </c>
    </row>
    <row r="2437" spans="1:10" x14ac:dyDescent="0.35">
      <c r="A2437" s="366" t="str">
        <f>IF(AND(LEN(H2437)&gt;0,NOT(H2437=FALSE)),"P","")</f>
        <v/>
      </c>
      <c r="B2437" t="str">
        <f>IF(LEN('Ch10'!H193)=0,"",'Ch10'!H193)</f>
        <v/>
      </c>
      <c r="C2437" t="str">
        <f t="shared" si="56"/>
        <v/>
      </c>
      <c r="D2437" s="31"/>
      <c r="E2437" s="402" t="s">
        <v>256</v>
      </c>
      <c r="F2437" s="31"/>
      <c r="G2437" s="838" t="s">
        <v>3363</v>
      </c>
      <c r="H2437" s="400" t="str">
        <f>IF(LEN('Ch10'!W193)=0,"",'Ch10'!W193)</f>
        <v/>
      </c>
      <c r="J2437" s="978"/>
    </row>
    <row r="2438" spans="1:10" x14ac:dyDescent="0.35">
      <c r="A2438" s="366" t="str">
        <f>A2437</f>
        <v/>
      </c>
      <c r="B2438" t="str">
        <f>IF(LEN('Ch10'!H194)=0,"",'Ch10'!H194)</f>
        <v/>
      </c>
      <c r="C2438" t="str">
        <f t="shared" si="56"/>
        <v/>
      </c>
      <c r="D2438" s="31"/>
      <c r="E2438" s="416"/>
      <c r="F2438" s="403"/>
      <c r="G2438" s="889"/>
      <c r="H2438"/>
      <c r="J2438" s="580"/>
    </row>
    <row r="2439" spans="1:10" x14ac:dyDescent="0.35">
      <c r="A2439" s="366" t="str">
        <f>IF(AND(LEN(H2439)&gt;0,NOT(H2439=FALSE)),"P","")</f>
        <v/>
      </c>
      <c r="B2439" t="str">
        <f>IF(LEN('Ch10'!H195)=0,"",'Ch10'!H195)</f>
        <v/>
      </c>
      <c r="C2439" t="str">
        <f t="shared" si="56"/>
        <v/>
      </c>
      <c r="D2439" s="31"/>
      <c r="E2439" s="424" t="s">
        <v>258</v>
      </c>
      <c r="F2439" s="405"/>
      <c r="G2439" s="905" t="s">
        <v>3364</v>
      </c>
      <c r="H2439" s="400" t="str">
        <f>IF(LEN('Ch10'!W195)=0,"",'Ch10'!W195)</f>
        <v/>
      </c>
      <c r="J2439" s="975" t="s">
        <v>3948</v>
      </c>
    </row>
    <row r="2440" spans="1:10" x14ac:dyDescent="0.35">
      <c r="A2440" s="366" t="str">
        <f>A2439</f>
        <v/>
      </c>
      <c r="B2440" t="str">
        <f>IF(LEN('Ch10'!H196)=0,"",'Ch10'!H196)</f>
        <v/>
      </c>
      <c r="C2440" t="str">
        <f t="shared" si="56"/>
        <v/>
      </c>
      <c r="D2440" s="31"/>
      <c r="E2440" s="402"/>
      <c r="F2440" s="31"/>
      <c r="G2440" s="838"/>
      <c r="H2440"/>
      <c r="J2440" s="978"/>
    </row>
    <row r="2441" spans="1:10" x14ac:dyDescent="0.35">
      <c r="A2441" s="366" t="str">
        <f>A2440</f>
        <v/>
      </c>
      <c r="B2441" t="str">
        <f>IF(LEN('Ch10'!H197)=0,"",'Ch10'!H197)</f>
        <v/>
      </c>
      <c r="C2441" t="str">
        <f t="shared" si="56"/>
        <v/>
      </c>
      <c r="D2441" s="31"/>
      <c r="E2441" s="416"/>
      <c r="F2441" s="403"/>
      <c r="G2441" s="889"/>
      <c r="H2441"/>
      <c r="J2441" s="580"/>
    </row>
    <row r="2442" spans="1:10" x14ac:dyDescent="0.35">
      <c r="A2442" s="366" t="str">
        <f>IF(AND(LEN(H2442)&gt;0,NOT(H2442=FALSE)),"P","")</f>
        <v/>
      </c>
      <c r="B2442" t="str">
        <f>IF(LEN('Ch10'!H198)=0,"",'Ch10'!H198)</f>
        <v/>
      </c>
      <c r="C2442" t="str">
        <f t="shared" si="56"/>
        <v/>
      </c>
      <c r="D2442" s="31"/>
      <c r="E2442" s="402" t="s">
        <v>260</v>
      </c>
      <c r="F2442" s="31"/>
      <c r="G2442" s="838" t="s">
        <v>3365</v>
      </c>
      <c r="H2442" s="400" t="str">
        <f>IF(LEN('Ch10'!W198)=0,"",'Ch10'!W198)</f>
        <v/>
      </c>
      <c r="J2442" s="580"/>
    </row>
    <row r="2443" spans="1:10" x14ac:dyDescent="0.35">
      <c r="A2443" s="366" t="str">
        <f>A2442</f>
        <v/>
      </c>
      <c r="B2443" t="str">
        <f>IF(LEN('Ch10'!H199)=0,"",'Ch10'!H199)</f>
        <v/>
      </c>
      <c r="C2443" t="str">
        <f t="shared" si="56"/>
        <v/>
      </c>
      <c r="D2443" s="31"/>
      <c r="E2443" s="31"/>
      <c r="F2443" s="31"/>
      <c r="G2443" s="838"/>
      <c r="H2443"/>
      <c r="J2443" s="975" t="s">
        <v>5049</v>
      </c>
    </row>
    <row r="2444" spans="1:10" x14ac:dyDescent="0.35">
      <c r="A2444" s="366" t="str">
        <f>A2443</f>
        <v/>
      </c>
      <c r="B2444" t="str">
        <f>IF(LEN('Ch10'!H200)=0,"",'Ch10'!H200)</f>
        <v/>
      </c>
      <c r="C2444" t="str">
        <f t="shared" si="56"/>
        <v/>
      </c>
      <c r="D2444" s="31"/>
      <c r="E2444" s="31"/>
      <c r="F2444" s="31"/>
      <c r="G2444" s="838"/>
      <c r="H2444"/>
      <c r="J2444" s="978"/>
    </row>
    <row r="2445" spans="1:10" ht="18.5" x14ac:dyDescent="0.35">
      <c r="A2445" s="366" t="s">
        <v>3973</v>
      </c>
      <c r="B2445" t="str">
        <f>IF(LEN('Ch10'!H201)=0,"",'Ch10'!H201)</f>
        <v/>
      </c>
      <c r="C2445" t="str">
        <f t="shared" si="56"/>
        <v>P</v>
      </c>
      <c r="D2445" s="620" t="s">
        <v>3366</v>
      </c>
      <c r="E2445" s="620"/>
      <c r="F2445" s="620"/>
      <c r="G2445" s="605"/>
      <c r="H2445"/>
      <c r="J2445" s="580"/>
    </row>
    <row r="2446" spans="1:10" x14ac:dyDescent="0.35">
      <c r="B2446" t="str">
        <f>IF(LEN('Ch10'!H202)=0,"",'Ch10'!H202)</f>
        <v/>
      </c>
      <c r="C2446" t="str">
        <f t="shared" si="56"/>
        <v/>
      </c>
      <c r="D2446" s="402" t="s">
        <v>3985</v>
      </c>
      <c r="E2446" s="31"/>
      <c r="F2446" s="31"/>
      <c r="G2446" s="838" t="s">
        <v>3367</v>
      </c>
      <c r="H2446"/>
      <c r="J2446" s="580"/>
    </row>
    <row r="2447" spans="1:10" x14ac:dyDescent="0.35">
      <c r="B2447" t="str">
        <f>IF(LEN('Ch10'!H203)=0,"",'Ch10'!H203)</f>
        <v/>
      </c>
      <c r="C2447" t="str">
        <f t="shared" si="56"/>
        <v/>
      </c>
      <c r="D2447" s="31"/>
      <c r="E2447" s="31"/>
      <c r="F2447" s="31"/>
      <c r="G2447" s="838"/>
      <c r="H2447"/>
      <c r="J2447" s="580"/>
    </row>
    <row r="2448" spans="1:10" x14ac:dyDescent="0.35">
      <c r="B2448" t="str">
        <f>IF(LEN('Ch10'!H204)=0,"",'Ch10'!H204)</f>
        <v/>
      </c>
      <c r="C2448" t="str">
        <f t="shared" si="56"/>
        <v/>
      </c>
      <c r="D2448" s="31"/>
      <c r="E2448" s="31"/>
      <c r="F2448" s="31"/>
      <c r="G2448" s="838"/>
      <c r="H2448"/>
      <c r="J2448" s="580"/>
    </row>
    <row r="2449" spans="1:10" ht="15" thickBot="1" x14ac:dyDescent="0.4">
      <c r="B2449" t="str">
        <f>IF(LEN('Ch10'!H205)=0,"",'Ch10'!H205)</f>
        <v/>
      </c>
      <c r="C2449" t="str">
        <f t="shared" si="56"/>
        <v/>
      </c>
      <c r="D2449" s="404"/>
      <c r="E2449" s="404"/>
      <c r="F2449" s="404"/>
      <c r="G2449" s="849"/>
      <c r="H2449"/>
      <c r="J2449" s="580"/>
    </row>
    <row r="2450" spans="1:10" ht="15" thickTop="1" x14ac:dyDescent="0.35">
      <c r="A2450" s="366" t="str">
        <f>IF(I2450&gt;0,"P","")</f>
        <v/>
      </c>
      <c r="B2450" t="str">
        <f>IF(LEN('Ch10'!H206)=0,"",'Ch10'!H206)</f>
        <v/>
      </c>
      <c r="C2450" t="str">
        <f t="shared" si="56"/>
        <v/>
      </c>
      <c r="D2450" s="31">
        <v>1004.1</v>
      </c>
      <c r="E2450" s="31"/>
      <c r="F2450" s="31"/>
      <c r="G2450" s="838" t="s">
        <v>3368</v>
      </c>
      <c r="H2450"/>
      <c r="I2450" s="433">
        <f>SUM(I2455:I2457)</f>
        <v>0</v>
      </c>
      <c r="J2450" s="580"/>
    </row>
    <row r="2451" spans="1:10" x14ac:dyDescent="0.35">
      <c r="A2451" s="366" t="str">
        <f>A2450</f>
        <v/>
      </c>
      <c r="B2451" t="str">
        <f>IF(LEN('Ch10'!H207)=0,"",'Ch10'!H207)</f>
        <v/>
      </c>
      <c r="C2451" t="str">
        <f t="shared" ref="C2451:C2514" si="57">IF(LEN(B2451)=0,IF(A2451="P","P",""),B2451)</f>
        <v/>
      </c>
      <c r="D2451" s="31"/>
      <c r="E2451" s="31"/>
      <c r="F2451" s="31"/>
      <c r="G2451" s="838"/>
      <c r="H2451"/>
      <c r="J2451" s="580"/>
    </row>
    <row r="2452" spans="1:10" x14ac:dyDescent="0.35">
      <c r="A2452" s="366" t="str">
        <f>A2451</f>
        <v/>
      </c>
      <c r="B2452" t="str">
        <f>IF(LEN('Ch10'!H208)=0,"",'Ch10'!H208)</f>
        <v/>
      </c>
      <c r="C2452" t="str">
        <f t="shared" si="57"/>
        <v/>
      </c>
      <c r="D2452" s="31"/>
      <c r="E2452" s="31"/>
      <c r="F2452" s="31"/>
      <c r="G2452" s="838"/>
      <c r="H2452"/>
      <c r="J2452" s="580"/>
    </row>
    <row r="2453" spans="1:10" x14ac:dyDescent="0.35">
      <c r="A2453" s="366" t="str">
        <f>A2452</f>
        <v/>
      </c>
      <c r="B2453" t="str">
        <f>IF(LEN('Ch10'!H209)=0,"",'Ch10'!H209)</f>
        <v/>
      </c>
      <c r="C2453" t="str">
        <f t="shared" si="57"/>
        <v/>
      </c>
      <c r="D2453" s="31"/>
      <c r="E2453" s="31"/>
      <c r="F2453" s="31"/>
      <c r="G2453" s="838"/>
      <c r="H2453"/>
      <c r="J2453" s="580"/>
    </row>
    <row r="2454" spans="1:10" x14ac:dyDescent="0.35">
      <c r="A2454" s="366" t="str">
        <f>A2453</f>
        <v/>
      </c>
      <c r="B2454" t="str">
        <f>IF(LEN('Ch10'!H210)=0,"",'Ch10'!H210)</f>
        <v/>
      </c>
      <c r="C2454" t="str">
        <f t="shared" si="57"/>
        <v/>
      </c>
      <c r="D2454" s="31"/>
      <c r="E2454" s="31"/>
      <c r="F2454" s="31"/>
      <c r="G2454" s="838"/>
      <c r="H2454"/>
      <c r="J2454" s="580"/>
    </row>
    <row r="2455" spans="1:10" ht="39" customHeight="1" x14ac:dyDescent="0.35">
      <c r="A2455" s="366" t="str">
        <f>IF(I2455&gt;0,"P","")</f>
        <v/>
      </c>
      <c r="B2455" t="str">
        <f>IF(LEN('Ch10'!H211)=0,"",'Ch10'!H211)</f>
        <v/>
      </c>
      <c r="C2455" t="str">
        <f t="shared" si="57"/>
        <v/>
      </c>
      <c r="D2455" s="31"/>
      <c r="E2455" s="402" t="s">
        <v>256</v>
      </c>
      <c r="F2455" s="31"/>
      <c r="G2455" s="814" t="s">
        <v>3949</v>
      </c>
      <c r="H2455" s="400" t="str">
        <f>IF(LEN('Ch10'!W211)=0,"",'Ch10'!W211)</f>
        <v/>
      </c>
      <c r="I2455" s="46">
        <f>'Ch10'!O211</f>
        <v>0</v>
      </c>
      <c r="J2455" s="975" t="s">
        <v>5050</v>
      </c>
    </row>
    <row r="2456" spans="1:10" x14ac:dyDescent="0.35">
      <c r="A2456" s="366" t="str">
        <f>A2455</f>
        <v/>
      </c>
      <c r="B2456" t="str">
        <f>IF(LEN('Ch10'!H212)=0,"",'Ch10'!H212)</f>
        <v/>
      </c>
      <c r="C2456" t="str">
        <f t="shared" si="57"/>
        <v/>
      </c>
      <c r="D2456" s="31"/>
      <c r="E2456" s="416"/>
      <c r="F2456" s="403"/>
      <c r="G2456" s="815"/>
      <c r="H2456"/>
      <c r="J2456" s="976"/>
    </row>
    <row r="2457" spans="1:10" x14ac:dyDescent="0.35">
      <c r="A2457" s="366" t="str">
        <f>IF(I2457&gt;0,"P","")</f>
        <v/>
      </c>
      <c r="B2457" t="str">
        <f>IF(LEN('Ch10'!H213)=0,"",'Ch10'!H213)</f>
        <v/>
      </c>
      <c r="C2457" t="str">
        <f t="shared" si="57"/>
        <v/>
      </c>
      <c r="D2457" s="31"/>
      <c r="E2457" s="424" t="s">
        <v>258</v>
      </c>
      <c r="F2457" s="405"/>
      <c r="G2457" s="836" t="s">
        <v>3369</v>
      </c>
      <c r="H2457" s="400" t="str">
        <f>IF(LEN('Ch10'!W213)=0,"",'Ch10'!W213)</f>
        <v/>
      </c>
      <c r="I2457" s="46">
        <f>'Ch10'!O213</f>
        <v>0</v>
      </c>
      <c r="J2457" s="975" t="s">
        <v>5051</v>
      </c>
    </row>
    <row r="2458" spans="1:10" x14ac:dyDescent="0.35">
      <c r="A2458" s="366" t="str">
        <f>A2457</f>
        <v/>
      </c>
      <c r="B2458" t="str">
        <f>IF(LEN('Ch10'!H214)=0,"",'Ch10'!H214)</f>
        <v/>
      </c>
      <c r="C2458" t="str">
        <f t="shared" si="57"/>
        <v/>
      </c>
      <c r="D2458" s="31"/>
      <c r="E2458" s="403"/>
      <c r="F2458" s="403"/>
      <c r="G2458" s="815"/>
      <c r="H2458"/>
      <c r="J2458" s="978"/>
    </row>
    <row r="2459" spans="1:10" ht="18.5" x14ac:dyDescent="0.35">
      <c r="A2459" s="366" t="s">
        <v>3973</v>
      </c>
      <c r="B2459" t="str">
        <f>IF(LEN('Ch10'!H215)=0,"",'Ch10'!H215)</f>
        <v/>
      </c>
      <c r="C2459" t="str">
        <f t="shared" si="57"/>
        <v>P</v>
      </c>
      <c r="D2459" s="620" t="s">
        <v>4570</v>
      </c>
      <c r="E2459" s="617"/>
      <c r="F2459" s="617"/>
      <c r="G2459" s="602"/>
      <c r="H2459"/>
      <c r="J2459" s="580"/>
    </row>
    <row r="2460" spans="1:10" x14ac:dyDescent="0.35">
      <c r="A2460" s="366" t="s">
        <v>3973</v>
      </c>
      <c r="B2460" t="str">
        <f>IF(LEN('Ch10'!H216)=0,"",'Ch10'!H216)</f>
        <v/>
      </c>
      <c r="C2460" t="str">
        <f t="shared" si="57"/>
        <v>P</v>
      </c>
      <c r="D2460" s="402" t="s">
        <v>4571</v>
      </c>
      <c r="E2460" s="402"/>
      <c r="F2460" s="402"/>
      <c r="G2460" s="95" t="s">
        <v>4572</v>
      </c>
      <c r="H2460"/>
      <c r="I2460"/>
      <c r="J2460" s="580" t="s">
        <v>5052</v>
      </c>
    </row>
    <row r="2461" spans="1:10" x14ac:dyDescent="0.35">
      <c r="B2461" t="str">
        <f>IF(LEN('Ch10'!H217)=0,"",'Ch10'!H217)</f>
        <v/>
      </c>
      <c r="C2461" t="str">
        <f t="shared" si="57"/>
        <v/>
      </c>
      <c r="D2461" s="402"/>
      <c r="E2461" s="402" t="s">
        <v>256</v>
      </c>
      <c r="F2461" s="402"/>
      <c r="G2461" s="848" t="s">
        <v>4573</v>
      </c>
      <c r="H2461" s="400" t="str">
        <f>IF(LEN('Ch10'!W217)=0,"",'Ch10'!W217)</f>
        <v/>
      </c>
      <c r="I2461" s="46">
        <f>'Ch10'!O217</f>
        <v>0</v>
      </c>
      <c r="J2461" s="580"/>
    </row>
    <row r="2462" spans="1:10" x14ac:dyDescent="0.35">
      <c r="B2462" t="str">
        <f>IF(LEN('Ch10'!H218)=0,"",'Ch10'!H218)</f>
        <v/>
      </c>
      <c r="C2462" t="str">
        <f t="shared" si="57"/>
        <v/>
      </c>
      <c r="D2462" s="402"/>
      <c r="E2462" s="402"/>
      <c r="F2462" s="402"/>
      <c r="G2462" s="848"/>
      <c r="H2462"/>
      <c r="J2462" s="580"/>
    </row>
    <row r="2463" spans="1:10" x14ac:dyDescent="0.35">
      <c r="B2463" t="str">
        <f>IF(LEN('Ch10'!H219)=0,"",'Ch10'!H219)</f>
        <v/>
      </c>
      <c r="C2463" t="str">
        <f t="shared" si="57"/>
        <v/>
      </c>
      <c r="D2463" s="402"/>
      <c r="E2463" s="416"/>
      <c r="F2463" s="416"/>
      <c r="G2463" s="821"/>
      <c r="H2463"/>
      <c r="J2463" s="580"/>
    </row>
    <row r="2464" spans="1:10" x14ac:dyDescent="0.35">
      <c r="B2464" t="str">
        <f>IF(LEN('Ch10'!H220)=0,"",'Ch10'!H220)</f>
        <v/>
      </c>
      <c r="C2464" t="str">
        <f t="shared" si="57"/>
        <v/>
      </c>
      <c r="D2464" s="402"/>
      <c r="E2464" s="424" t="s">
        <v>258</v>
      </c>
      <c r="F2464" s="424"/>
      <c r="G2464" s="820" t="s">
        <v>4574</v>
      </c>
      <c r="H2464" s="400" t="str">
        <f>IF(LEN('Ch10'!W220)=0,"",'Ch10'!W220)</f>
        <v/>
      </c>
      <c r="I2464" s="46">
        <f>'Ch10'!O220</f>
        <v>0</v>
      </c>
      <c r="J2464" s="580"/>
    </row>
    <row r="2465" spans="1:10" x14ac:dyDescent="0.35">
      <c r="B2465" t="str">
        <f>IF(LEN('Ch10'!H221)=0,"",'Ch10'!H221)</f>
        <v/>
      </c>
      <c r="C2465" t="str">
        <f t="shared" si="57"/>
        <v/>
      </c>
      <c r="D2465" s="402"/>
      <c r="E2465" s="402"/>
      <c r="F2465" s="402"/>
      <c r="G2465" s="848"/>
      <c r="H2465"/>
      <c r="J2465" s="580"/>
    </row>
    <row r="2466" spans="1:10" x14ac:dyDescent="0.35">
      <c r="B2466" t="str">
        <f>IF(LEN('Ch10'!H222)=0,"",'Ch10'!H222)</f>
        <v/>
      </c>
      <c r="C2466" t="str">
        <f t="shared" si="57"/>
        <v/>
      </c>
      <c r="D2466" s="402"/>
      <c r="E2466" s="402"/>
      <c r="F2466" s="402"/>
      <c r="G2466" s="848"/>
      <c r="H2466"/>
      <c r="J2466" s="580"/>
    </row>
    <row r="2467" spans="1:10" x14ac:dyDescent="0.35">
      <c r="B2467" t="str">
        <f>IF(LEN('Ch10'!H223)=0,"",'Ch10'!H223)</f>
        <v/>
      </c>
      <c r="C2467" t="str">
        <f t="shared" si="57"/>
        <v/>
      </c>
      <c r="D2467" s="402"/>
      <c r="E2467" s="416"/>
      <c r="F2467" s="416"/>
      <c r="G2467" s="821"/>
      <c r="H2467"/>
      <c r="J2467" s="580"/>
    </row>
    <row r="2468" spans="1:10" x14ac:dyDescent="0.35">
      <c r="B2468" t="str">
        <f>IF(LEN('Ch10'!H224)=0,"",'Ch10'!H224)</f>
        <v/>
      </c>
      <c r="C2468" t="str">
        <f t="shared" si="57"/>
        <v/>
      </c>
      <c r="D2468" s="402"/>
      <c r="E2468" s="402" t="s">
        <v>260</v>
      </c>
      <c r="F2468" s="402"/>
      <c r="G2468" s="848" t="s">
        <v>4575</v>
      </c>
      <c r="H2468"/>
      <c r="I2468" s="46">
        <f>'Ch10'!O224</f>
        <v>2</v>
      </c>
      <c r="J2468" s="580"/>
    </row>
    <row r="2469" spans="1:10" x14ac:dyDescent="0.35">
      <c r="B2469" t="str">
        <f>IF(LEN('Ch10'!H225)=0,"",'Ch10'!H225)</f>
        <v/>
      </c>
      <c r="C2469" t="str">
        <f t="shared" si="57"/>
        <v/>
      </c>
      <c r="D2469" s="402"/>
      <c r="E2469" s="402"/>
      <c r="F2469" s="402"/>
      <c r="G2469" s="848"/>
      <c r="H2469"/>
      <c r="J2469" s="580"/>
    </row>
    <row r="2470" spans="1:10" x14ac:dyDescent="0.35">
      <c r="B2470" t="str">
        <f>IF(LEN('Ch10'!H226)=0,"",'Ch10'!H226)</f>
        <v/>
      </c>
      <c r="C2470" t="str">
        <f t="shared" si="57"/>
        <v/>
      </c>
      <c r="D2470" s="402"/>
      <c r="E2470" s="402"/>
      <c r="F2470" s="402"/>
      <c r="G2470" s="848"/>
      <c r="H2470"/>
      <c r="J2470" s="580"/>
    </row>
    <row r="2471" spans="1:10" ht="18.5" x14ac:dyDescent="0.45">
      <c r="A2471" s="366" t="str">
        <f>IF(dstCommercial="Yes","P","")</f>
        <v/>
      </c>
      <c r="C2471" t="str">
        <f t="shared" si="57"/>
        <v/>
      </c>
      <c r="D2471" s="631" t="s">
        <v>4590</v>
      </c>
      <c r="E2471" s="631"/>
      <c r="F2471" s="631"/>
      <c r="G2471" s="15"/>
      <c r="H2471"/>
    </row>
    <row r="2472" spans="1:10" x14ac:dyDescent="0.35">
      <c r="C2472" t="str">
        <f t="shared" si="57"/>
        <v/>
      </c>
      <c r="D2472" s="47" t="s">
        <v>4591</v>
      </c>
      <c r="E2472" s="481"/>
      <c r="F2472" s="481"/>
      <c r="G2472" s="881" t="s">
        <v>4592</v>
      </c>
      <c r="H2472"/>
      <c r="J2472" s="613"/>
    </row>
    <row r="2473" spans="1:10" ht="15" thickBot="1" x14ac:dyDescent="0.4">
      <c r="C2473" t="str">
        <f t="shared" si="57"/>
        <v/>
      </c>
      <c r="D2473" s="52"/>
      <c r="E2473" s="491"/>
      <c r="F2473" s="491"/>
      <c r="G2473" s="931"/>
      <c r="H2473"/>
      <c r="J2473" s="613"/>
    </row>
    <row r="2474" spans="1:10" ht="15" thickTop="1" x14ac:dyDescent="0.35">
      <c r="C2474" t="str">
        <f t="shared" si="57"/>
        <v/>
      </c>
      <c r="D2474" s="66" t="s">
        <v>4593</v>
      </c>
      <c r="E2474" s="540"/>
      <c r="F2474" s="540"/>
      <c r="G2474" s="930" t="s">
        <v>4594</v>
      </c>
      <c r="H2474"/>
      <c r="J2474" s="613"/>
    </row>
    <row r="2475" spans="1:10" ht="15" thickBot="1" x14ac:dyDescent="0.4">
      <c r="C2475" t="str">
        <f t="shared" si="57"/>
        <v/>
      </c>
      <c r="D2475" s="52"/>
      <c r="E2475" s="491"/>
      <c r="F2475" s="491"/>
      <c r="G2475" s="931"/>
      <c r="H2475"/>
      <c r="J2475" s="613"/>
    </row>
    <row r="2476" spans="1:10" ht="15" thickTop="1" x14ac:dyDescent="0.35">
      <c r="C2476" t="str">
        <f t="shared" si="57"/>
        <v/>
      </c>
      <c r="D2476" s="47" t="s">
        <v>4595</v>
      </c>
      <c r="E2476" s="481"/>
      <c r="F2476" s="481"/>
      <c r="G2476" s="881" t="s">
        <v>4596</v>
      </c>
      <c r="H2476"/>
      <c r="J2476" s="613"/>
    </row>
    <row r="2477" spans="1:10" x14ac:dyDescent="0.35">
      <c r="C2477" t="str">
        <f t="shared" si="57"/>
        <v/>
      </c>
      <c r="D2477" s="47"/>
      <c r="E2477" s="481"/>
      <c r="F2477" s="481"/>
      <c r="G2477" s="881"/>
      <c r="H2477"/>
      <c r="J2477" s="613"/>
    </row>
    <row r="2478" spans="1:10" x14ac:dyDescent="0.35">
      <c r="C2478" t="str">
        <f t="shared" si="57"/>
        <v/>
      </c>
      <c r="D2478" s="47"/>
      <c r="E2478" s="481"/>
      <c r="F2478" s="481"/>
      <c r="G2478" s="881"/>
      <c r="J2478" s="613"/>
    </row>
    <row r="2479" spans="1:10" x14ac:dyDescent="0.35">
      <c r="C2479" t="str">
        <f t="shared" si="57"/>
        <v/>
      </c>
      <c r="D2479" s="47" t="s">
        <v>4597</v>
      </c>
      <c r="E2479" s="481"/>
      <c r="F2479" s="481"/>
      <c r="G2479" s="881" t="s">
        <v>4598</v>
      </c>
      <c r="J2479" s="613"/>
    </row>
    <row r="2480" spans="1:10" x14ac:dyDescent="0.35">
      <c r="C2480" t="str">
        <f t="shared" si="57"/>
        <v/>
      </c>
      <c r="D2480" s="100"/>
      <c r="E2480" s="482"/>
      <c r="F2480" s="482"/>
      <c r="G2480" s="882"/>
      <c r="J2480" s="613"/>
    </row>
    <row r="2481" spans="1:10" x14ac:dyDescent="0.35">
      <c r="C2481" t="str">
        <f t="shared" si="57"/>
        <v/>
      </c>
      <c r="D2481" s="468" t="s">
        <v>4599</v>
      </c>
      <c r="E2481" s="527"/>
      <c r="F2481" s="527"/>
      <c r="G2481" s="883" t="s">
        <v>4600</v>
      </c>
      <c r="J2481" s="613"/>
    </row>
    <row r="2482" spans="1:10" x14ac:dyDescent="0.35">
      <c r="C2482" t="str">
        <f t="shared" si="57"/>
        <v/>
      </c>
      <c r="D2482" s="47"/>
      <c r="E2482" s="481"/>
      <c r="F2482" s="481"/>
      <c r="G2482" s="881"/>
      <c r="J2482" s="613"/>
    </row>
    <row r="2483" spans="1:10" x14ac:dyDescent="0.35">
      <c r="C2483" t="str">
        <f t="shared" si="57"/>
        <v/>
      </c>
      <c r="D2483" s="47"/>
      <c r="E2483" s="481"/>
      <c r="F2483" s="481"/>
      <c r="G2483" s="881"/>
      <c r="J2483" s="613"/>
    </row>
    <row r="2484" spans="1:10" x14ac:dyDescent="0.35">
      <c r="C2484" t="str">
        <f t="shared" si="57"/>
        <v/>
      </c>
      <c r="D2484" s="47"/>
      <c r="E2484" s="481"/>
      <c r="F2484" s="481"/>
      <c r="G2484" s="881"/>
      <c r="J2484" s="613"/>
    </row>
    <row r="2485" spans="1:10" x14ac:dyDescent="0.35">
      <c r="C2485" t="str">
        <f t="shared" si="57"/>
        <v/>
      </c>
      <c r="D2485" s="100"/>
      <c r="E2485" s="482"/>
      <c r="F2485" s="482"/>
      <c r="G2485" s="882"/>
      <c r="J2485" s="613"/>
    </row>
    <row r="2486" spans="1:10" x14ac:dyDescent="0.35">
      <c r="C2486" t="str">
        <f t="shared" si="57"/>
        <v/>
      </c>
      <c r="D2486" s="468" t="s">
        <v>4601</v>
      </c>
      <c r="E2486" s="527"/>
      <c r="F2486" s="527"/>
      <c r="G2486" s="883" t="s">
        <v>4602</v>
      </c>
      <c r="J2486" s="613"/>
    </row>
    <row r="2487" spans="1:10" x14ac:dyDescent="0.35">
      <c r="C2487" t="str">
        <f t="shared" si="57"/>
        <v/>
      </c>
      <c r="D2487" s="47"/>
      <c r="E2487" s="481"/>
      <c r="F2487" s="481"/>
      <c r="G2487" s="881"/>
      <c r="J2487" s="613"/>
    </row>
    <row r="2488" spans="1:10" ht="15" thickBot="1" x14ac:dyDescent="0.4">
      <c r="C2488" t="str">
        <f t="shared" si="57"/>
        <v/>
      </c>
      <c r="D2488" s="52"/>
      <c r="E2488" s="491"/>
      <c r="F2488" s="491"/>
      <c r="G2488" s="931"/>
      <c r="J2488" s="613"/>
    </row>
    <row r="2489" spans="1:10" ht="15" thickTop="1" x14ac:dyDescent="0.35">
      <c r="A2489" s="366" t="str">
        <f>IF(dstCommercial="Yes","P","")</f>
        <v/>
      </c>
      <c r="C2489" t="str">
        <f t="shared" si="57"/>
        <v/>
      </c>
      <c r="D2489" s="47" t="s">
        <v>4603</v>
      </c>
      <c r="E2489" s="481"/>
      <c r="F2489" s="481"/>
      <c r="G2489" s="881" t="s">
        <v>4604</v>
      </c>
      <c r="J2489" s="613"/>
    </row>
    <row r="2490" spans="1:10" x14ac:dyDescent="0.35">
      <c r="A2490" s="366" t="str">
        <f>IF(dstCommercial="Yes","P","")</f>
        <v/>
      </c>
      <c r="C2490" t="str">
        <f t="shared" si="57"/>
        <v/>
      </c>
      <c r="D2490" s="47"/>
      <c r="E2490" s="481"/>
      <c r="F2490" s="481"/>
      <c r="G2490" s="881"/>
      <c r="J2490" s="613"/>
    </row>
    <row r="2491" spans="1:10" x14ac:dyDescent="0.35">
      <c r="A2491" s="366" t="str">
        <f>IF(dstCommercial="Yes","P","")</f>
        <v/>
      </c>
      <c r="C2491" t="str">
        <f t="shared" si="57"/>
        <v/>
      </c>
      <c r="D2491" s="47" t="s">
        <v>4605</v>
      </c>
      <c r="E2491" s="481"/>
      <c r="F2491" s="481"/>
      <c r="G2491" s="881" t="s">
        <v>4606</v>
      </c>
      <c r="J2491" s="613" t="s">
        <v>5123</v>
      </c>
    </row>
    <row r="2492" spans="1:10" x14ac:dyDescent="0.35">
      <c r="A2492" s="366" t="str">
        <f>IF(dstCommercial="Yes","P","")</f>
        <v/>
      </c>
      <c r="C2492" t="str">
        <f t="shared" si="57"/>
        <v/>
      </c>
      <c r="D2492" s="47"/>
      <c r="E2492" s="481"/>
      <c r="F2492" s="481"/>
      <c r="G2492" s="881"/>
      <c r="J2492" s="613"/>
    </row>
    <row r="2493" spans="1:10" x14ac:dyDescent="0.35">
      <c r="C2493" t="str">
        <f t="shared" si="57"/>
        <v/>
      </c>
      <c r="D2493" s="47"/>
      <c r="E2493" s="481"/>
      <c r="F2493" s="481"/>
      <c r="G2493" s="480" t="s">
        <v>4519</v>
      </c>
      <c r="J2493" s="613"/>
    </row>
    <row r="2494" spans="1:10" x14ac:dyDescent="0.35">
      <c r="C2494" t="str">
        <f t="shared" si="57"/>
        <v/>
      </c>
      <c r="D2494" s="47"/>
      <c r="E2494" s="481" t="s">
        <v>256</v>
      </c>
      <c r="F2494" s="481"/>
      <c r="G2494" s="825" t="s">
        <v>4607</v>
      </c>
      <c r="J2494" s="613"/>
    </row>
    <row r="2495" spans="1:10" x14ac:dyDescent="0.35">
      <c r="C2495" t="str">
        <f t="shared" si="57"/>
        <v/>
      </c>
      <c r="D2495" s="47"/>
      <c r="E2495" s="482"/>
      <c r="F2495" s="482"/>
      <c r="G2495" s="842"/>
      <c r="J2495" s="613"/>
    </row>
    <row r="2496" spans="1:10" x14ac:dyDescent="0.35">
      <c r="C2496" t="str">
        <f t="shared" si="57"/>
        <v/>
      </c>
      <c r="D2496" s="47"/>
      <c r="E2496" s="527" t="s">
        <v>258</v>
      </c>
      <c r="F2496" s="527"/>
      <c r="G2496" s="828" t="s">
        <v>4608</v>
      </c>
      <c r="J2496" s="613"/>
    </row>
    <row r="2497" spans="1:10" x14ac:dyDescent="0.35">
      <c r="C2497" t="str">
        <f t="shared" si="57"/>
        <v/>
      </c>
      <c r="D2497" s="47"/>
      <c r="E2497" s="482"/>
      <c r="F2497" s="482"/>
      <c r="G2497" s="842"/>
      <c r="J2497" s="613"/>
    </row>
    <row r="2498" spans="1:10" x14ac:dyDescent="0.35">
      <c r="C2498" t="str">
        <f t="shared" si="57"/>
        <v/>
      </c>
      <c r="D2498" s="47"/>
      <c r="E2498" s="481" t="s">
        <v>260</v>
      </c>
      <c r="F2498" s="481"/>
      <c r="G2498" s="825" t="s">
        <v>4609</v>
      </c>
      <c r="J2498" s="613"/>
    </row>
    <row r="2499" spans="1:10" x14ac:dyDescent="0.35">
      <c r="C2499" t="str">
        <f t="shared" si="57"/>
        <v/>
      </c>
      <c r="D2499" s="47"/>
      <c r="E2499" s="481"/>
      <c r="F2499" s="481"/>
      <c r="G2499" s="825"/>
      <c r="J2499" s="613"/>
    </row>
    <row r="2500" spans="1:10" x14ac:dyDescent="0.35">
      <c r="C2500" t="str">
        <f t="shared" si="57"/>
        <v/>
      </c>
      <c r="D2500" s="100"/>
      <c r="E2500" s="482"/>
      <c r="F2500" s="482"/>
      <c r="G2500" s="842"/>
      <c r="J2500" s="613"/>
    </row>
    <row r="2501" spans="1:10" x14ac:dyDescent="0.35">
      <c r="A2501" s="366" t="str">
        <f t="shared" ref="A2501:A2514" si="58">IF(dstCommercial="Yes","P","")</f>
        <v/>
      </c>
      <c r="C2501" t="str">
        <f t="shared" si="57"/>
        <v/>
      </c>
      <c r="D2501" s="47" t="s">
        <v>4610</v>
      </c>
      <c r="E2501" s="481"/>
      <c r="F2501" s="481"/>
      <c r="G2501" s="881" t="s">
        <v>4611</v>
      </c>
      <c r="J2501" s="613" t="s">
        <v>5123</v>
      </c>
    </row>
    <row r="2502" spans="1:10" x14ac:dyDescent="0.35">
      <c r="A2502" s="366" t="str">
        <f t="shared" si="58"/>
        <v/>
      </c>
      <c r="C2502" t="str">
        <f t="shared" si="57"/>
        <v/>
      </c>
      <c r="D2502" s="47"/>
      <c r="E2502" s="481"/>
      <c r="F2502" s="481"/>
      <c r="G2502" s="881"/>
      <c r="J2502" s="613"/>
    </row>
    <row r="2503" spans="1:10" ht="15" thickBot="1" x14ac:dyDescent="0.4">
      <c r="A2503" s="366" t="str">
        <f t="shared" si="58"/>
        <v/>
      </c>
      <c r="C2503" t="str">
        <f t="shared" si="57"/>
        <v/>
      </c>
      <c r="D2503" s="52"/>
      <c r="E2503" s="491"/>
      <c r="F2503" s="491"/>
      <c r="G2503" s="931"/>
      <c r="J2503" s="613"/>
    </row>
    <row r="2504" spans="1:10" ht="15" thickTop="1" x14ac:dyDescent="0.35">
      <c r="A2504" s="366" t="str">
        <f t="shared" si="58"/>
        <v/>
      </c>
      <c r="C2504" t="str">
        <f t="shared" si="57"/>
        <v/>
      </c>
      <c r="D2504" s="47" t="s">
        <v>4612</v>
      </c>
      <c r="E2504" s="481"/>
      <c r="F2504" s="481"/>
      <c r="G2504" s="480" t="s">
        <v>4613</v>
      </c>
      <c r="J2504" s="613"/>
    </row>
    <row r="2505" spans="1:10" x14ac:dyDescent="0.35">
      <c r="A2505" s="366" t="str">
        <f t="shared" si="58"/>
        <v/>
      </c>
      <c r="C2505" t="str">
        <f t="shared" si="57"/>
        <v/>
      </c>
      <c r="D2505" s="47" t="s">
        <v>4614</v>
      </c>
      <c r="E2505" s="481"/>
      <c r="F2505" s="481"/>
      <c r="G2505" s="480" t="s">
        <v>4615</v>
      </c>
      <c r="J2505" s="613"/>
    </row>
    <row r="2506" spans="1:10" x14ac:dyDescent="0.35">
      <c r="A2506" s="366" t="str">
        <f t="shared" si="58"/>
        <v/>
      </c>
      <c r="C2506" t="str">
        <f t="shared" si="57"/>
        <v/>
      </c>
      <c r="D2506" s="47" t="s">
        <v>4616</v>
      </c>
      <c r="E2506" s="481"/>
      <c r="F2506" s="481"/>
      <c r="G2506" s="881" t="s">
        <v>4617</v>
      </c>
      <c r="J2506" s="992" t="s">
        <v>5124</v>
      </c>
    </row>
    <row r="2507" spans="1:10" x14ac:dyDescent="0.35">
      <c r="A2507" s="366" t="str">
        <f t="shared" si="58"/>
        <v/>
      </c>
      <c r="C2507" t="str">
        <f t="shared" si="57"/>
        <v/>
      </c>
      <c r="D2507" s="47"/>
      <c r="E2507" s="481"/>
      <c r="F2507" s="481"/>
      <c r="G2507" s="881"/>
      <c r="J2507" s="993"/>
    </row>
    <row r="2508" spans="1:10" x14ac:dyDescent="0.35">
      <c r="A2508" s="366" t="str">
        <f t="shared" si="58"/>
        <v/>
      </c>
      <c r="C2508" t="str">
        <f t="shared" si="57"/>
        <v/>
      </c>
      <c r="D2508" s="100"/>
      <c r="E2508" s="482"/>
      <c r="F2508" s="482"/>
      <c r="G2508" s="882"/>
      <c r="J2508" s="998"/>
    </row>
    <row r="2509" spans="1:10" x14ac:dyDescent="0.35">
      <c r="A2509" s="366" t="str">
        <f t="shared" si="58"/>
        <v/>
      </c>
      <c r="C2509" t="str">
        <f t="shared" si="57"/>
        <v/>
      </c>
      <c r="D2509" s="468" t="s">
        <v>4618</v>
      </c>
      <c r="E2509" s="527"/>
      <c r="F2509" s="527"/>
      <c r="G2509" s="883" t="s">
        <v>4619</v>
      </c>
      <c r="J2509" s="992" t="s">
        <v>4956</v>
      </c>
    </row>
    <row r="2510" spans="1:10" x14ac:dyDescent="0.35">
      <c r="A2510" s="366" t="str">
        <f t="shared" si="58"/>
        <v/>
      </c>
      <c r="C2510" t="str">
        <f t="shared" si="57"/>
        <v/>
      </c>
      <c r="D2510" s="100"/>
      <c r="E2510" s="482"/>
      <c r="F2510" s="482"/>
      <c r="G2510" s="882"/>
      <c r="J2510" s="998"/>
    </row>
    <row r="2511" spans="1:10" x14ac:dyDescent="0.35">
      <c r="A2511" s="366" t="str">
        <f t="shared" si="58"/>
        <v/>
      </c>
      <c r="C2511" t="str">
        <f t="shared" si="57"/>
        <v/>
      </c>
      <c r="D2511" s="468" t="s">
        <v>4620</v>
      </c>
      <c r="E2511" s="527"/>
      <c r="F2511" s="527"/>
      <c r="G2511" s="883" t="s">
        <v>4621</v>
      </c>
      <c r="J2511" s="613" t="s">
        <v>5125</v>
      </c>
    </row>
    <row r="2512" spans="1:10" x14ac:dyDescent="0.35">
      <c r="A2512" s="366" t="str">
        <f t="shared" si="58"/>
        <v/>
      </c>
      <c r="C2512" t="str">
        <f t="shared" si="57"/>
        <v/>
      </c>
      <c r="D2512" s="100"/>
      <c r="E2512" s="482"/>
      <c r="F2512" s="482"/>
      <c r="G2512" s="882"/>
      <c r="J2512" s="613"/>
    </row>
    <row r="2513" spans="1:10" x14ac:dyDescent="0.35">
      <c r="A2513" s="366" t="str">
        <f t="shared" si="58"/>
        <v/>
      </c>
      <c r="C2513" t="str">
        <f t="shared" si="57"/>
        <v/>
      </c>
      <c r="D2513" s="468" t="s">
        <v>4622</v>
      </c>
      <c r="E2513" s="527"/>
      <c r="F2513" s="527"/>
      <c r="G2513" s="883" t="s">
        <v>4623</v>
      </c>
      <c r="J2513" s="613" t="s">
        <v>4961</v>
      </c>
    </row>
    <row r="2514" spans="1:10" x14ac:dyDescent="0.35">
      <c r="A2514" s="366" t="str">
        <f t="shared" si="58"/>
        <v/>
      </c>
      <c r="C2514" t="str">
        <f t="shared" si="57"/>
        <v/>
      </c>
      <c r="D2514" s="47"/>
      <c r="E2514" s="481"/>
      <c r="F2514" s="481"/>
      <c r="G2514" s="881"/>
      <c r="J2514" s="613"/>
    </row>
    <row r="2515" spans="1:10" x14ac:dyDescent="0.35">
      <c r="C2515" t="str">
        <f t="shared" ref="C2515:C2578" si="59">IF(LEN(B2515)=0,IF(A2515="P","P",""),B2515)</f>
        <v/>
      </c>
      <c r="D2515" s="100"/>
      <c r="E2515" s="482"/>
      <c r="F2515" s="482"/>
      <c r="G2515" s="218" t="s">
        <v>4891</v>
      </c>
      <c r="J2515" s="613"/>
    </row>
    <row r="2516" spans="1:10" x14ac:dyDescent="0.35">
      <c r="A2516" s="366" t="str">
        <f t="shared" ref="A2516:A2521" si="60">IF(dstCommercial="Yes","P","")</f>
        <v/>
      </c>
      <c r="C2516" t="str">
        <f t="shared" si="59"/>
        <v/>
      </c>
      <c r="D2516" s="47" t="s">
        <v>4624</v>
      </c>
      <c r="E2516" s="481"/>
      <c r="F2516" s="481"/>
      <c r="G2516" s="881" t="s">
        <v>4625</v>
      </c>
      <c r="J2516" s="613" t="s">
        <v>4962</v>
      </c>
    </row>
    <row r="2517" spans="1:10" x14ac:dyDescent="0.35">
      <c r="A2517" s="366" t="str">
        <f t="shared" si="60"/>
        <v/>
      </c>
      <c r="C2517" t="str">
        <f t="shared" si="59"/>
        <v/>
      </c>
      <c r="D2517" s="47"/>
      <c r="E2517" s="481"/>
      <c r="F2517" s="481"/>
      <c r="G2517" s="881"/>
      <c r="J2517" s="613"/>
    </row>
    <row r="2518" spans="1:10" x14ac:dyDescent="0.35">
      <c r="A2518" s="366" t="str">
        <f t="shared" si="60"/>
        <v/>
      </c>
      <c r="C2518" t="str">
        <f t="shared" si="59"/>
        <v/>
      </c>
      <c r="D2518" s="47"/>
      <c r="E2518" s="481"/>
      <c r="F2518" s="481"/>
      <c r="G2518" s="881"/>
      <c r="J2518" s="613"/>
    </row>
    <row r="2519" spans="1:10" x14ac:dyDescent="0.35">
      <c r="A2519" s="366" t="str">
        <f t="shared" si="60"/>
        <v/>
      </c>
      <c r="C2519" t="str">
        <f t="shared" si="59"/>
        <v/>
      </c>
      <c r="D2519" s="47"/>
      <c r="E2519" s="481"/>
      <c r="F2519" s="481"/>
      <c r="G2519" s="881"/>
      <c r="J2519" s="613"/>
    </row>
    <row r="2520" spans="1:10" x14ac:dyDescent="0.35">
      <c r="A2520" s="366" t="str">
        <f t="shared" si="60"/>
        <v/>
      </c>
      <c r="C2520" t="str">
        <f t="shared" si="59"/>
        <v/>
      </c>
      <c r="D2520" s="47"/>
      <c r="E2520" s="481"/>
      <c r="F2520" s="481"/>
      <c r="G2520" s="881"/>
      <c r="J2520" s="613"/>
    </row>
    <row r="2521" spans="1:10" x14ac:dyDescent="0.35">
      <c r="A2521" s="366" t="str">
        <f t="shared" si="60"/>
        <v/>
      </c>
      <c r="C2521" t="str">
        <f t="shared" si="59"/>
        <v/>
      </c>
      <c r="D2521" s="47"/>
      <c r="E2521" s="481"/>
      <c r="F2521" s="481"/>
      <c r="G2521" s="881"/>
      <c r="J2521" s="613"/>
    </row>
    <row r="2522" spans="1:10" x14ac:dyDescent="0.35">
      <c r="C2522" t="str">
        <f t="shared" si="59"/>
        <v/>
      </c>
      <c r="D2522" s="47"/>
      <c r="E2522" s="482" t="s">
        <v>256</v>
      </c>
      <c r="F2522" s="482"/>
      <c r="G2522" s="477" t="s">
        <v>4626</v>
      </c>
      <c r="J2522" s="613"/>
    </row>
    <row r="2523" spans="1:10" x14ac:dyDescent="0.35">
      <c r="C2523" t="str">
        <f t="shared" si="59"/>
        <v/>
      </c>
      <c r="D2523" s="47"/>
      <c r="E2523" s="528" t="s">
        <v>258</v>
      </c>
      <c r="F2523" s="528"/>
      <c r="G2523" s="478" t="s">
        <v>4627</v>
      </c>
      <c r="J2523" s="613"/>
    </row>
    <row r="2524" spans="1:10" x14ac:dyDescent="0.35">
      <c r="C2524" t="str">
        <f t="shared" si="59"/>
        <v/>
      </c>
      <c r="D2524" s="47"/>
      <c r="E2524" s="528" t="s">
        <v>260</v>
      </c>
      <c r="F2524" s="528"/>
      <c r="G2524" s="478" t="s">
        <v>4628</v>
      </c>
      <c r="J2524" s="613"/>
    </row>
    <row r="2525" spans="1:10" x14ac:dyDescent="0.35">
      <c r="C2525" t="str">
        <f t="shared" si="59"/>
        <v/>
      </c>
      <c r="D2525" s="47"/>
      <c r="E2525" s="527" t="s">
        <v>269</v>
      </c>
      <c r="F2525" s="527"/>
      <c r="G2525" s="828" t="s">
        <v>4629</v>
      </c>
      <c r="J2525" s="613"/>
    </row>
    <row r="2526" spans="1:10" x14ac:dyDescent="0.35">
      <c r="C2526" t="str">
        <f t="shared" si="59"/>
        <v/>
      </c>
      <c r="D2526" s="47"/>
      <c r="E2526" s="482"/>
      <c r="F2526" s="482"/>
      <c r="G2526" s="842"/>
      <c r="J2526" s="613"/>
    </row>
    <row r="2527" spans="1:10" x14ac:dyDescent="0.35">
      <c r="C2527" t="str">
        <f t="shared" si="59"/>
        <v/>
      </c>
      <c r="D2527" s="47"/>
      <c r="E2527" s="528" t="s">
        <v>275</v>
      </c>
      <c r="F2527" s="528"/>
      <c r="G2527" s="478" t="s">
        <v>4630</v>
      </c>
      <c r="J2527" s="613"/>
    </row>
    <row r="2528" spans="1:10" x14ac:dyDescent="0.35">
      <c r="C2528" t="str">
        <f t="shared" si="59"/>
        <v/>
      </c>
      <c r="D2528" s="47"/>
      <c r="E2528" s="528" t="s">
        <v>277</v>
      </c>
      <c r="F2528" s="528"/>
      <c r="G2528" s="478" t="s">
        <v>4631</v>
      </c>
      <c r="J2528" s="613"/>
    </row>
    <row r="2529" spans="1:10" x14ac:dyDescent="0.35">
      <c r="C2529" t="str">
        <f t="shared" si="59"/>
        <v/>
      </c>
      <c r="D2529" s="47"/>
      <c r="E2529" s="528" t="s">
        <v>383</v>
      </c>
      <c r="F2529" s="528"/>
      <c r="G2529" s="478" t="s">
        <v>4632</v>
      </c>
      <c r="J2529" s="613"/>
    </row>
    <row r="2530" spans="1:10" x14ac:dyDescent="0.35">
      <c r="C2530" t="str">
        <f t="shared" si="59"/>
        <v/>
      </c>
      <c r="D2530" s="47"/>
      <c r="E2530" s="528" t="s">
        <v>428</v>
      </c>
      <c r="F2530" s="528"/>
      <c r="G2530" s="478" t="s">
        <v>4633</v>
      </c>
      <c r="J2530" s="613"/>
    </row>
    <row r="2531" spans="1:10" x14ac:dyDescent="0.35">
      <c r="C2531" t="str">
        <f t="shared" si="59"/>
        <v/>
      </c>
      <c r="D2531" s="47"/>
      <c r="E2531" s="528" t="s">
        <v>430</v>
      </c>
      <c r="F2531" s="528"/>
      <c r="G2531" s="478" t="s">
        <v>4634</v>
      </c>
      <c r="J2531" s="613"/>
    </row>
    <row r="2532" spans="1:10" x14ac:dyDescent="0.35">
      <c r="C2532" t="str">
        <f t="shared" si="59"/>
        <v/>
      </c>
      <c r="D2532" s="47"/>
      <c r="E2532" s="528" t="s">
        <v>432</v>
      </c>
      <c r="F2532" s="528"/>
      <c r="G2532" s="478" t="s">
        <v>4635</v>
      </c>
      <c r="J2532" s="613"/>
    </row>
    <row r="2533" spans="1:10" x14ac:dyDescent="0.35">
      <c r="C2533" t="str">
        <f t="shared" si="59"/>
        <v/>
      </c>
      <c r="D2533" s="47"/>
      <c r="E2533" s="527" t="s">
        <v>434</v>
      </c>
      <c r="F2533" s="527"/>
      <c r="G2533" s="828" t="s">
        <v>4636</v>
      </c>
      <c r="J2533" s="613"/>
    </row>
    <row r="2534" spans="1:10" x14ac:dyDescent="0.35">
      <c r="C2534" t="str">
        <f t="shared" si="59"/>
        <v/>
      </c>
      <c r="D2534" s="47"/>
      <c r="E2534" s="482"/>
      <c r="F2534" s="482"/>
      <c r="G2534" s="842"/>
      <c r="J2534" s="613"/>
    </row>
    <row r="2535" spans="1:10" x14ac:dyDescent="0.35">
      <c r="C2535" t="str">
        <f t="shared" si="59"/>
        <v/>
      </c>
      <c r="D2535" s="100"/>
      <c r="E2535" s="482" t="s">
        <v>436</v>
      </c>
      <c r="F2535" s="482"/>
      <c r="G2535" s="477" t="s">
        <v>4637</v>
      </c>
      <c r="J2535" s="613"/>
    </row>
    <row r="2536" spans="1:10" x14ac:dyDescent="0.35">
      <c r="A2536" s="366" t="str">
        <f t="shared" ref="A2536:A2544" si="61">IF(dstCommercial="Yes","P","")</f>
        <v/>
      </c>
      <c r="C2536" t="str">
        <f t="shared" si="59"/>
        <v/>
      </c>
      <c r="D2536" s="468" t="s">
        <v>4638</v>
      </c>
      <c r="E2536" s="527"/>
      <c r="F2536" s="527"/>
      <c r="G2536" s="883" t="s">
        <v>4639</v>
      </c>
      <c r="J2536" s="992" t="s">
        <v>5126</v>
      </c>
    </row>
    <row r="2537" spans="1:10" x14ac:dyDescent="0.35">
      <c r="A2537" s="366" t="str">
        <f t="shared" si="61"/>
        <v/>
      </c>
      <c r="C2537" t="str">
        <f t="shared" si="59"/>
        <v/>
      </c>
      <c r="D2537" s="47"/>
      <c r="E2537" s="481"/>
      <c r="F2537" s="481"/>
      <c r="G2537" s="881"/>
      <c r="J2537" s="998"/>
    </row>
    <row r="2538" spans="1:10" x14ac:dyDescent="0.35">
      <c r="A2538" s="366" t="str">
        <f t="shared" si="61"/>
        <v/>
      </c>
      <c r="C2538" t="str">
        <f t="shared" si="59"/>
        <v/>
      </c>
      <c r="D2538" s="100"/>
      <c r="E2538" s="482"/>
      <c r="F2538" s="482"/>
      <c r="G2538" s="882"/>
      <c r="J2538" s="613"/>
    </row>
    <row r="2539" spans="1:10" x14ac:dyDescent="0.35">
      <c r="A2539" s="366" t="str">
        <f t="shared" si="61"/>
        <v/>
      </c>
      <c r="C2539" t="str">
        <f t="shared" si="59"/>
        <v/>
      </c>
      <c r="D2539" s="468" t="s">
        <v>4640</v>
      </c>
      <c r="E2539" s="527"/>
      <c r="F2539" s="527"/>
      <c r="G2539" s="883" t="s">
        <v>4641</v>
      </c>
      <c r="J2539" s="613" t="s">
        <v>4965</v>
      </c>
    </row>
    <row r="2540" spans="1:10" x14ac:dyDescent="0.35">
      <c r="A2540" s="366" t="str">
        <f t="shared" si="61"/>
        <v/>
      </c>
      <c r="C2540" t="str">
        <f t="shared" si="59"/>
        <v/>
      </c>
      <c r="D2540" s="47"/>
      <c r="E2540" s="481"/>
      <c r="F2540" s="481"/>
      <c r="G2540" s="881"/>
      <c r="J2540" s="613"/>
    </row>
    <row r="2541" spans="1:10" x14ac:dyDescent="0.35">
      <c r="A2541" s="366" t="str">
        <f t="shared" si="61"/>
        <v/>
      </c>
      <c r="C2541" t="str">
        <f t="shared" si="59"/>
        <v/>
      </c>
      <c r="D2541" s="47"/>
      <c r="E2541" s="481"/>
      <c r="F2541" s="481"/>
      <c r="G2541" s="881"/>
      <c r="J2541" s="613"/>
    </row>
    <row r="2542" spans="1:10" x14ac:dyDescent="0.35">
      <c r="A2542" s="366" t="str">
        <f t="shared" si="61"/>
        <v/>
      </c>
      <c r="C2542" t="str">
        <f t="shared" si="59"/>
        <v/>
      </c>
      <c r="D2542" s="100"/>
      <c r="E2542" s="482"/>
      <c r="F2542" s="482"/>
      <c r="G2542" s="882"/>
      <c r="J2542" s="613"/>
    </row>
    <row r="2543" spans="1:10" x14ac:dyDescent="0.35">
      <c r="A2543" s="366" t="str">
        <f t="shared" si="61"/>
        <v/>
      </c>
      <c r="C2543" t="str">
        <f t="shared" si="59"/>
        <v/>
      </c>
      <c r="D2543" s="47" t="s">
        <v>4642</v>
      </c>
      <c r="E2543" s="481"/>
      <c r="F2543" s="481"/>
      <c r="G2543" s="881" t="s">
        <v>4643</v>
      </c>
      <c r="J2543" s="613" t="s">
        <v>3891</v>
      </c>
    </row>
    <row r="2544" spans="1:10" x14ac:dyDescent="0.35">
      <c r="A2544" s="366" t="str">
        <f t="shared" si="61"/>
        <v/>
      </c>
      <c r="C2544" t="str">
        <f t="shared" si="59"/>
        <v/>
      </c>
      <c r="D2544" s="47"/>
      <c r="E2544" s="481"/>
      <c r="F2544" s="481"/>
      <c r="G2544" s="881"/>
      <c r="J2544" s="613"/>
    </row>
    <row r="2545" spans="1:10" x14ac:dyDescent="0.35">
      <c r="C2545" t="str">
        <f t="shared" si="59"/>
        <v/>
      </c>
      <c r="D2545" s="47"/>
      <c r="E2545" s="481" t="s">
        <v>256</v>
      </c>
      <c r="F2545" s="481"/>
      <c r="G2545" s="825" t="s">
        <v>4644</v>
      </c>
      <c r="J2545" s="613"/>
    </row>
    <row r="2546" spans="1:10" x14ac:dyDescent="0.35">
      <c r="C2546" t="str">
        <f t="shared" si="59"/>
        <v/>
      </c>
      <c r="D2546" s="47"/>
      <c r="E2546" s="482"/>
      <c r="F2546" s="482"/>
      <c r="G2546" s="842"/>
      <c r="J2546" s="613"/>
    </row>
    <row r="2547" spans="1:10" x14ac:dyDescent="0.35">
      <c r="C2547" t="str">
        <f t="shared" si="59"/>
        <v/>
      </c>
      <c r="D2547" s="47"/>
      <c r="E2547" s="527" t="s">
        <v>258</v>
      </c>
      <c r="F2547" s="527"/>
      <c r="G2547" s="828" t="s">
        <v>4645</v>
      </c>
      <c r="J2547" s="613"/>
    </row>
    <row r="2548" spans="1:10" x14ac:dyDescent="0.35">
      <c r="C2548" t="str">
        <f t="shared" si="59"/>
        <v/>
      </c>
      <c r="D2548" s="47"/>
      <c r="E2548" s="482"/>
      <c r="F2548" s="482"/>
      <c r="G2548" s="842"/>
      <c r="J2548" s="613"/>
    </row>
    <row r="2549" spans="1:10" x14ac:dyDescent="0.35">
      <c r="C2549" t="str">
        <f t="shared" si="59"/>
        <v/>
      </c>
      <c r="D2549" s="100"/>
      <c r="E2549" s="482" t="s">
        <v>260</v>
      </c>
      <c r="F2549" s="482"/>
      <c r="G2549" s="477" t="s">
        <v>4646</v>
      </c>
      <c r="J2549" s="613"/>
    </row>
    <row r="2550" spans="1:10" x14ac:dyDescent="0.35">
      <c r="A2550" s="366" t="str">
        <f>IF(dstCommercial="Yes","P","")</f>
        <v/>
      </c>
      <c r="C2550" t="str">
        <f t="shared" si="59"/>
        <v/>
      </c>
      <c r="D2550" s="47" t="s">
        <v>4647</v>
      </c>
      <c r="E2550" s="481"/>
      <c r="F2550" s="481"/>
      <c r="G2550" s="881" t="s">
        <v>4648</v>
      </c>
      <c r="J2550" s="613" t="s">
        <v>5127</v>
      </c>
    </row>
    <row r="2551" spans="1:10" x14ac:dyDescent="0.35">
      <c r="A2551" s="366" t="str">
        <f>IF(dstCommercial="Yes","P","")</f>
        <v/>
      </c>
      <c r="C2551" t="str">
        <f t="shared" si="59"/>
        <v/>
      </c>
      <c r="D2551" s="47"/>
      <c r="E2551" s="481"/>
      <c r="F2551" s="481"/>
      <c r="G2551" s="881"/>
      <c r="J2551" s="613"/>
    </row>
    <row r="2552" spans="1:10" x14ac:dyDescent="0.35">
      <c r="C2552" t="str">
        <f t="shared" si="59"/>
        <v/>
      </c>
      <c r="D2552" s="47"/>
      <c r="E2552" s="481" t="s">
        <v>256</v>
      </c>
      <c r="F2552" s="481"/>
      <c r="G2552" s="825" t="s">
        <v>4649</v>
      </c>
      <c r="J2552" s="613"/>
    </row>
    <row r="2553" spans="1:10" x14ac:dyDescent="0.35">
      <c r="C2553" t="str">
        <f t="shared" si="59"/>
        <v/>
      </c>
      <c r="D2553" s="47"/>
      <c r="E2553" s="482"/>
      <c r="F2553" s="482"/>
      <c r="G2553" s="842"/>
      <c r="J2553" s="613"/>
    </row>
    <row r="2554" spans="1:10" x14ac:dyDescent="0.35">
      <c r="C2554" t="str">
        <f t="shared" si="59"/>
        <v/>
      </c>
      <c r="D2554" s="47"/>
      <c r="E2554" s="481" t="s">
        <v>258</v>
      </c>
      <c r="F2554" s="481"/>
      <c r="G2554" s="825" t="s">
        <v>4650</v>
      </c>
      <c r="J2554" s="613"/>
    </row>
    <row r="2555" spans="1:10" ht="15" thickBot="1" x14ac:dyDescent="0.4">
      <c r="C2555" t="str">
        <f t="shared" si="59"/>
        <v/>
      </c>
      <c r="D2555" s="52"/>
      <c r="E2555" s="491"/>
      <c r="F2555" s="491"/>
      <c r="G2555" s="826"/>
      <c r="J2555" s="613"/>
    </row>
    <row r="2556" spans="1:10" ht="15" thickTop="1" x14ac:dyDescent="0.35">
      <c r="A2556" s="366" t="str">
        <f t="shared" ref="A2556:A2571" si="62">IF(dstCommercial="Yes","P","")</f>
        <v/>
      </c>
      <c r="C2556" t="str">
        <f t="shared" si="59"/>
        <v/>
      </c>
      <c r="D2556" s="66" t="s">
        <v>4651</v>
      </c>
      <c r="E2556" s="540"/>
      <c r="F2556" s="540"/>
      <c r="G2556" s="930" t="s">
        <v>4652</v>
      </c>
      <c r="J2556" s="613" t="s">
        <v>5128</v>
      </c>
    </row>
    <row r="2557" spans="1:10" ht="15" thickBot="1" x14ac:dyDescent="0.4">
      <c r="A2557" s="366" t="str">
        <f t="shared" si="62"/>
        <v/>
      </c>
      <c r="C2557" t="str">
        <f t="shared" si="59"/>
        <v/>
      </c>
      <c r="D2557" s="52"/>
      <c r="E2557" s="491"/>
      <c r="F2557" s="491"/>
      <c r="G2557" s="931"/>
      <c r="J2557" s="613"/>
    </row>
    <row r="2558" spans="1:10" ht="15" thickTop="1" x14ac:dyDescent="0.35">
      <c r="A2558" s="366" t="str">
        <f t="shared" si="62"/>
        <v/>
      </c>
      <c r="C2558" t="str">
        <f t="shared" si="59"/>
        <v/>
      </c>
      <c r="D2558" s="66" t="s">
        <v>4653</v>
      </c>
      <c r="E2558" s="540"/>
      <c r="F2558" s="540"/>
      <c r="G2558" s="930" t="s">
        <v>4654</v>
      </c>
      <c r="J2558" s="613"/>
    </row>
    <row r="2559" spans="1:10" x14ac:dyDescent="0.35">
      <c r="A2559" s="366" t="str">
        <f t="shared" si="62"/>
        <v/>
      </c>
      <c r="C2559" t="str">
        <f t="shared" si="59"/>
        <v/>
      </c>
      <c r="D2559" s="47"/>
      <c r="E2559" s="481"/>
      <c r="F2559" s="481"/>
      <c r="G2559" s="881"/>
      <c r="J2559" s="613"/>
    </row>
    <row r="2560" spans="1:10" x14ac:dyDescent="0.35">
      <c r="A2560" s="366" t="str">
        <f t="shared" si="62"/>
        <v/>
      </c>
      <c r="C2560" t="str">
        <f t="shared" si="59"/>
        <v/>
      </c>
      <c r="D2560" s="100"/>
      <c r="E2560" s="482"/>
      <c r="F2560" s="482"/>
      <c r="G2560" s="882"/>
      <c r="J2560" s="613"/>
    </row>
    <row r="2561" spans="1:10" ht="15" customHeight="1" x14ac:dyDescent="0.35">
      <c r="A2561" s="366" t="str">
        <f t="shared" si="62"/>
        <v/>
      </c>
      <c r="C2561" t="str">
        <f t="shared" si="59"/>
        <v/>
      </c>
      <c r="D2561" s="100" t="s">
        <v>4655</v>
      </c>
      <c r="E2561" s="482"/>
      <c r="F2561" s="482"/>
      <c r="G2561" s="532" t="s">
        <v>4656</v>
      </c>
      <c r="J2561" s="613" t="s">
        <v>5129</v>
      </c>
    </row>
    <row r="2562" spans="1:10" x14ac:dyDescent="0.35">
      <c r="A2562" s="366" t="str">
        <f t="shared" si="62"/>
        <v/>
      </c>
      <c r="C2562" t="str">
        <f t="shared" si="59"/>
        <v/>
      </c>
      <c r="D2562" s="30">
        <v>606.1</v>
      </c>
      <c r="E2562" s="32"/>
      <c r="F2562" s="45"/>
      <c r="G2562" s="45" t="s">
        <v>668</v>
      </c>
      <c r="J2562" s="613"/>
    </row>
    <row r="2563" spans="1:10" x14ac:dyDescent="0.35">
      <c r="A2563" s="366" t="str">
        <f t="shared" si="62"/>
        <v/>
      </c>
      <c r="C2563" t="str">
        <f t="shared" si="59"/>
        <v/>
      </c>
      <c r="D2563" s="30"/>
      <c r="E2563" s="32"/>
      <c r="F2563" s="47" t="s">
        <v>121</v>
      </c>
      <c r="G2563" s="43" t="s">
        <v>669</v>
      </c>
      <c r="J2563" s="613"/>
    </row>
    <row r="2564" spans="1:10" x14ac:dyDescent="0.35">
      <c r="A2564" s="366" t="str">
        <f t="shared" si="62"/>
        <v/>
      </c>
      <c r="C2564" t="str">
        <f t="shared" si="59"/>
        <v/>
      </c>
      <c r="D2564" s="30"/>
      <c r="E2564" s="32"/>
      <c r="F2564" s="47" t="s">
        <v>122</v>
      </c>
      <c r="G2564" s="43" t="s">
        <v>670</v>
      </c>
      <c r="J2564" s="613"/>
    </row>
    <row r="2565" spans="1:10" x14ac:dyDescent="0.35">
      <c r="A2565" s="366" t="str">
        <f t="shared" si="62"/>
        <v/>
      </c>
      <c r="C2565" t="str">
        <f t="shared" si="59"/>
        <v/>
      </c>
      <c r="D2565" s="30"/>
      <c r="E2565" s="32"/>
      <c r="F2565" s="49" t="s">
        <v>123</v>
      </c>
      <c r="G2565" s="43" t="s">
        <v>671</v>
      </c>
      <c r="J2565" s="613"/>
    </row>
    <row r="2566" spans="1:10" x14ac:dyDescent="0.35">
      <c r="A2566" s="366" t="str">
        <f t="shared" si="62"/>
        <v/>
      </c>
      <c r="C2566" t="str">
        <f t="shared" si="59"/>
        <v/>
      </c>
      <c r="D2566" s="30"/>
      <c r="E2566" s="32"/>
      <c r="F2566" s="45" t="s">
        <v>401</v>
      </c>
      <c r="G2566" s="43" t="s">
        <v>672</v>
      </c>
      <c r="J2566" s="613"/>
    </row>
    <row r="2567" spans="1:10" x14ac:dyDescent="0.35">
      <c r="A2567" s="366" t="str">
        <f t="shared" si="62"/>
        <v/>
      </c>
      <c r="C2567" t="str">
        <f t="shared" si="59"/>
        <v/>
      </c>
      <c r="D2567" s="30"/>
      <c r="E2567" s="32"/>
      <c r="F2567" s="47" t="s">
        <v>539</v>
      </c>
      <c r="G2567" s="43" t="s">
        <v>673</v>
      </c>
      <c r="J2567" s="613"/>
    </row>
    <row r="2568" spans="1:10" x14ac:dyDescent="0.35">
      <c r="A2568" s="366" t="str">
        <f t="shared" si="62"/>
        <v/>
      </c>
      <c r="C2568" t="str">
        <f t="shared" si="59"/>
        <v/>
      </c>
      <c r="D2568" s="30"/>
      <c r="E2568" s="32"/>
      <c r="F2568" s="47" t="s">
        <v>604</v>
      </c>
      <c r="G2568" s="43" t="s">
        <v>674</v>
      </c>
      <c r="J2568" s="613"/>
    </row>
    <row r="2569" spans="1:10" x14ac:dyDescent="0.35">
      <c r="A2569" s="366" t="str">
        <f t="shared" si="62"/>
        <v/>
      </c>
      <c r="C2569" t="str">
        <f t="shared" si="59"/>
        <v/>
      </c>
      <c r="D2569" s="30"/>
      <c r="E2569" s="32"/>
      <c r="F2569" s="49" t="s">
        <v>606</v>
      </c>
      <c r="G2569" s="43" t="s">
        <v>675</v>
      </c>
      <c r="J2569" s="613"/>
    </row>
    <row r="2570" spans="1:10" x14ac:dyDescent="0.35">
      <c r="A2570" s="366" t="str">
        <f t="shared" si="62"/>
        <v/>
      </c>
      <c r="C2570" t="str">
        <f t="shared" si="59"/>
        <v/>
      </c>
      <c r="D2570" s="30"/>
      <c r="E2570" s="32"/>
      <c r="F2570" s="45" t="s">
        <v>608</v>
      </c>
      <c r="G2570" s="814" t="s">
        <v>676</v>
      </c>
      <c r="J2570" s="613"/>
    </row>
    <row r="2571" spans="1:10" x14ac:dyDescent="0.35">
      <c r="A2571" s="366" t="str">
        <f t="shared" si="62"/>
        <v/>
      </c>
      <c r="C2571" t="str">
        <f t="shared" si="59"/>
        <v/>
      </c>
      <c r="D2571" s="30"/>
      <c r="E2571" s="32"/>
      <c r="F2571" s="45"/>
      <c r="G2571" s="814"/>
      <c r="J2571" s="613"/>
    </row>
    <row r="2572" spans="1:10" x14ac:dyDescent="0.35">
      <c r="C2572" t="str">
        <f t="shared" si="59"/>
        <v/>
      </c>
      <c r="D2572" s="30"/>
      <c r="E2572" s="32"/>
      <c r="F2572" s="45"/>
      <c r="G2572" s="218" t="s">
        <v>1105</v>
      </c>
      <c r="J2572" s="613"/>
    </row>
    <row r="2573" spans="1:10" x14ac:dyDescent="0.35">
      <c r="A2573" s="366" t="str">
        <f t="shared" ref="A2573:A2595" si="63">IF(dstCommercial="Yes","P","")</f>
        <v/>
      </c>
      <c r="C2573" t="str">
        <f t="shared" si="59"/>
        <v/>
      </c>
      <c r="D2573" s="30"/>
      <c r="E2573" s="19" t="s">
        <v>256</v>
      </c>
      <c r="F2573" s="45"/>
      <c r="G2573" s="814" t="s">
        <v>677</v>
      </c>
      <c r="J2573" s="613"/>
    </row>
    <row r="2574" spans="1:10" x14ac:dyDescent="0.35">
      <c r="A2574" s="366" t="str">
        <f t="shared" si="63"/>
        <v/>
      </c>
      <c r="C2574" t="str">
        <f t="shared" si="59"/>
        <v/>
      </c>
      <c r="D2574" s="30"/>
      <c r="E2574" s="331"/>
      <c r="F2574" s="139"/>
      <c r="G2574" s="815"/>
      <c r="J2574" s="613"/>
    </row>
    <row r="2575" spans="1:10" x14ac:dyDescent="0.35">
      <c r="A2575" s="366" t="str">
        <f t="shared" si="63"/>
        <v/>
      </c>
      <c r="C2575" t="str">
        <f t="shared" si="59"/>
        <v/>
      </c>
      <c r="D2575" s="30"/>
      <c r="E2575" s="132" t="s">
        <v>258</v>
      </c>
      <c r="F2575" s="137"/>
      <c r="G2575" s="836" t="s">
        <v>678</v>
      </c>
      <c r="J2575" s="613"/>
    </row>
    <row r="2576" spans="1:10" x14ac:dyDescent="0.35">
      <c r="A2576" s="366" t="str">
        <f t="shared" si="63"/>
        <v/>
      </c>
      <c r="C2576" t="str">
        <f t="shared" si="59"/>
        <v/>
      </c>
      <c r="D2576" s="30"/>
      <c r="E2576" s="331"/>
      <c r="F2576" s="139"/>
      <c r="G2576" s="815"/>
      <c r="J2576" s="613"/>
    </row>
    <row r="2577" spans="1:10" x14ac:dyDescent="0.35">
      <c r="A2577" s="366" t="str">
        <f t="shared" si="63"/>
        <v/>
      </c>
      <c r="C2577" t="str">
        <f t="shared" si="59"/>
        <v/>
      </c>
      <c r="D2577" s="30"/>
      <c r="E2577" s="19" t="s">
        <v>260</v>
      </c>
      <c r="F2577" s="45"/>
      <c r="G2577" s="814" t="s">
        <v>679</v>
      </c>
      <c r="J2577" s="613"/>
    </row>
    <row r="2578" spans="1:10" ht="15" thickBot="1" x14ac:dyDescent="0.4">
      <c r="A2578" s="366" t="str">
        <f t="shared" si="63"/>
        <v/>
      </c>
      <c r="C2578" t="str">
        <f t="shared" si="59"/>
        <v/>
      </c>
      <c r="D2578" s="30"/>
      <c r="E2578" s="32"/>
      <c r="F2578" s="45"/>
      <c r="G2578" s="814"/>
      <c r="J2578" s="613"/>
    </row>
    <row r="2579" spans="1:10" ht="15" thickTop="1" x14ac:dyDescent="0.35">
      <c r="A2579" s="366" t="str">
        <f t="shared" si="63"/>
        <v/>
      </c>
      <c r="C2579" t="str">
        <f t="shared" ref="C2579:C2642" si="64">IF(LEN(B2579)=0,IF(A2579="P","P",""),B2579)</f>
        <v/>
      </c>
      <c r="D2579" s="106">
        <v>606.20000000000005</v>
      </c>
      <c r="E2579" s="312"/>
      <c r="F2579" s="632"/>
      <c r="G2579" s="837" t="s">
        <v>4180</v>
      </c>
      <c r="J2579" s="613"/>
    </row>
    <row r="2580" spans="1:10" x14ac:dyDescent="0.35">
      <c r="A2580" s="366" t="str">
        <f t="shared" si="63"/>
        <v/>
      </c>
      <c r="C2580" t="str">
        <f t="shared" si="64"/>
        <v/>
      </c>
      <c r="D2580" s="30"/>
      <c r="E2580" s="32"/>
      <c r="F2580" s="45"/>
      <c r="G2580" s="838"/>
      <c r="J2580" s="613"/>
    </row>
    <row r="2581" spans="1:10" x14ac:dyDescent="0.35">
      <c r="A2581" s="366" t="str">
        <f t="shared" si="63"/>
        <v/>
      </c>
      <c r="C2581" t="str">
        <f t="shared" si="64"/>
        <v/>
      </c>
      <c r="D2581" s="30"/>
      <c r="E2581" s="32"/>
      <c r="F2581" s="47" t="s">
        <v>121</v>
      </c>
      <c r="G2581" s="90" t="s">
        <v>680</v>
      </c>
      <c r="J2581" s="613"/>
    </row>
    <row r="2582" spans="1:10" x14ac:dyDescent="0.35">
      <c r="A2582" s="366" t="str">
        <f t="shared" si="63"/>
        <v/>
      </c>
      <c r="C2582" t="str">
        <f t="shared" si="64"/>
        <v/>
      </c>
      <c r="D2582" s="30"/>
      <c r="E2582" s="32"/>
      <c r="F2582" s="47" t="s">
        <v>122</v>
      </c>
      <c r="G2582" s="814" t="s">
        <v>681</v>
      </c>
      <c r="J2582" s="613"/>
    </row>
    <row r="2583" spans="1:10" x14ac:dyDescent="0.35">
      <c r="A2583" s="366" t="str">
        <f t="shared" si="63"/>
        <v/>
      </c>
      <c r="C2583" t="str">
        <f t="shared" si="64"/>
        <v/>
      </c>
      <c r="D2583" s="30"/>
      <c r="E2583" s="32"/>
      <c r="F2583" s="47"/>
      <c r="G2583" s="814"/>
      <c r="J2583" s="613"/>
    </row>
    <row r="2584" spans="1:10" x14ac:dyDescent="0.35">
      <c r="A2584" s="366" t="str">
        <f t="shared" si="63"/>
        <v/>
      </c>
      <c r="C2584" t="str">
        <f t="shared" si="64"/>
        <v/>
      </c>
      <c r="D2584" s="30"/>
      <c r="E2584" s="32"/>
      <c r="F2584" s="47" t="s">
        <v>123</v>
      </c>
      <c r="G2584" s="155" t="s">
        <v>682</v>
      </c>
      <c r="J2584" s="613"/>
    </row>
    <row r="2585" spans="1:10" x14ac:dyDescent="0.35">
      <c r="A2585" s="366" t="str">
        <f t="shared" si="63"/>
        <v/>
      </c>
      <c r="C2585" t="str">
        <f t="shared" si="64"/>
        <v/>
      </c>
      <c r="D2585" s="30"/>
      <c r="E2585" s="32"/>
      <c r="F2585" s="49" t="s">
        <v>401</v>
      </c>
      <c r="G2585" s="155" t="s">
        <v>683</v>
      </c>
      <c r="J2585" s="613"/>
    </row>
    <row r="2586" spans="1:10" x14ac:dyDescent="0.35">
      <c r="A2586" s="366" t="str">
        <f t="shared" si="63"/>
        <v/>
      </c>
      <c r="C2586" t="str">
        <f t="shared" si="64"/>
        <v/>
      </c>
      <c r="D2586" s="30"/>
      <c r="E2586" s="32"/>
      <c r="F2586" s="45" t="s">
        <v>539</v>
      </c>
      <c r="G2586" s="155" t="s">
        <v>684</v>
      </c>
      <c r="J2586" s="613"/>
    </row>
    <row r="2587" spans="1:10" x14ac:dyDescent="0.35">
      <c r="A2587" s="366" t="str">
        <f t="shared" si="63"/>
        <v/>
      </c>
      <c r="C2587" t="str">
        <f t="shared" si="64"/>
        <v/>
      </c>
      <c r="D2587" s="30"/>
      <c r="E2587" s="32"/>
      <c r="F2587" s="47" t="s">
        <v>604</v>
      </c>
      <c r="G2587" s="90" t="s">
        <v>685</v>
      </c>
      <c r="J2587" s="613"/>
    </row>
    <row r="2588" spans="1:10" x14ac:dyDescent="0.35">
      <c r="A2588" s="366" t="str">
        <f t="shared" si="63"/>
        <v/>
      </c>
      <c r="C2588" t="str">
        <f t="shared" si="64"/>
        <v/>
      </c>
      <c r="D2588" s="30"/>
      <c r="E2588" s="32"/>
      <c r="F2588" s="47" t="s">
        <v>606</v>
      </c>
      <c r="G2588" s="90" t="s">
        <v>686</v>
      </c>
      <c r="J2588" s="613"/>
    </row>
    <row r="2589" spans="1:10" x14ac:dyDescent="0.35">
      <c r="A2589" s="366" t="str">
        <f t="shared" si="63"/>
        <v/>
      </c>
      <c r="C2589" t="str">
        <f t="shared" si="64"/>
        <v/>
      </c>
      <c r="D2589" s="30"/>
      <c r="E2589" s="32"/>
      <c r="F2589" s="47" t="s">
        <v>608</v>
      </c>
      <c r="G2589" s="825" t="s">
        <v>4176</v>
      </c>
      <c r="J2589" s="613"/>
    </row>
    <row r="2590" spans="1:10" x14ac:dyDescent="0.35">
      <c r="A2590" s="366" t="str">
        <f t="shared" si="63"/>
        <v/>
      </c>
      <c r="C2590" t="str">
        <f t="shared" si="64"/>
        <v/>
      </c>
      <c r="D2590" s="30"/>
      <c r="E2590" s="32"/>
      <c r="F2590" s="47"/>
      <c r="G2590" s="825"/>
      <c r="J2590" s="613"/>
    </row>
    <row r="2591" spans="1:10" x14ac:dyDescent="0.35">
      <c r="A2591" s="366" t="str">
        <f t="shared" si="63"/>
        <v/>
      </c>
      <c r="C2591" t="str">
        <f t="shared" si="64"/>
        <v/>
      </c>
      <c r="D2591" s="30"/>
      <c r="E2591" s="32"/>
      <c r="F2591" s="47"/>
      <c r="G2591" s="825"/>
      <c r="J2591" s="613"/>
    </row>
    <row r="2592" spans="1:10" x14ac:dyDescent="0.35">
      <c r="A2592" s="366" t="str">
        <f t="shared" si="63"/>
        <v/>
      </c>
      <c r="C2592" t="str">
        <f t="shared" si="64"/>
        <v/>
      </c>
      <c r="D2592" s="30"/>
      <c r="E2592" s="32"/>
      <c r="F2592" s="47"/>
      <c r="G2592" s="825"/>
      <c r="J2592" s="613"/>
    </row>
    <row r="2593" spans="1:10" x14ac:dyDescent="0.35">
      <c r="A2593" s="366" t="str">
        <f t="shared" si="63"/>
        <v/>
      </c>
      <c r="C2593" t="str">
        <f t="shared" si="64"/>
        <v/>
      </c>
      <c r="D2593" s="30"/>
      <c r="E2593" s="32"/>
      <c r="F2593" s="47"/>
      <c r="G2593" s="825"/>
      <c r="J2593" s="613"/>
    </row>
    <row r="2594" spans="1:10" x14ac:dyDescent="0.35">
      <c r="A2594" s="366" t="str">
        <f t="shared" si="63"/>
        <v/>
      </c>
      <c r="C2594" t="str">
        <f t="shared" si="64"/>
        <v/>
      </c>
      <c r="D2594" s="30"/>
      <c r="E2594" s="19" t="s">
        <v>256</v>
      </c>
      <c r="F2594" s="45"/>
      <c r="G2594" s="814" t="s">
        <v>4178</v>
      </c>
      <c r="J2594" s="613"/>
    </row>
    <row r="2595" spans="1:10" x14ac:dyDescent="0.35">
      <c r="A2595" s="366" t="str">
        <f t="shared" si="63"/>
        <v/>
      </c>
      <c r="C2595" t="str">
        <f t="shared" si="64"/>
        <v/>
      </c>
      <c r="D2595" s="30"/>
      <c r="E2595" s="19"/>
      <c r="F2595" s="45"/>
      <c r="G2595" s="814"/>
      <c r="J2595" s="613"/>
    </row>
    <row r="2596" spans="1:10" x14ac:dyDescent="0.35">
      <c r="C2596" t="str">
        <f t="shared" si="64"/>
        <v/>
      </c>
      <c r="D2596" s="30"/>
      <c r="E2596" s="129"/>
      <c r="F2596" s="139"/>
      <c r="G2596" s="284" t="s">
        <v>3080</v>
      </c>
      <c r="J2596" s="613"/>
    </row>
    <row r="2597" spans="1:10" x14ac:dyDescent="0.35">
      <c r="A2597" s="366" t="str">
        <f>IF(dstCommercial="Yes","P","")</f>
        <v/>
      </c>
      <c r="C2597" t="str">
        <f t="shared" si="64"/>
        <v/>
      </c>
      <c r="D2597" s="30"/>
      <c r="E2597" s="19" t="s">
        <v>258</v>
      </c>
      <c r="F2597" s="45"/>
      <c r="G2597" s="814" t="s">
        <v>4179</v>
      </c>
      <c r="J2597" s="613"/>
    </row>
    <row r="2598" spans="1:10" x14ac:dyDescent="0.35">
      <c r="A2598" s="366" t="str">
        <f>IF(dstCommercial="Yes","P","")</f>
        <v/>
      </c>
      <c r="C2598" t="str">
        <f t="shared" si="64"/>
        <v/>
      </c>
      <c r="D2598" s="30"/>
      <c r="E2598" s="32"/>
      <c r="F2598" s="45"/>
      <c r="G2598" s="814"/>
      <c r="J2598" s="613"/>
    </row>
    <row r="2599" spans="1:10" ht="15" thickBot="1" x14ac:dyDescent="0.4">
      <c r="C2599" t="str">
        <f t="shared" si="64"/>
        <v/>
      </c>
      <c r="D2599" s="30"/>
      <c r="E2599" s="32"/>
      <c r="F2599" s="45"/>
      <c r="G2599" s="531" t="s">
        <v>3080</v>
      </c>
      <c r="J2599" s="613"/>
    </row>
    <row r="2600" spans="1:10" ht="15" thickTop="1" x14ac:dyDescent="0.35">
      <c r="A2600" s="366" t="str">
        <f>IF(dstCommercial="Yes","P","")</f>
        <v/>
      </c>
      <c r="C2600" t="str">
        <f t="shared" si="64"/>
        <v/>
      </c>
      <c r="D2600" s="106">
        <v>606.29999999999995</v>
      </c>
      <c r="E2600" s="312"/>
      <c r="F2600" s="632"/>
      <c r="G2600" s="837" t="s">
        <v>687</v>
      </c>
      <c r="J2600" s="613"/>
    </row>
    <row r="2601" spans="1:10" x14ac:dyDescent="0.35">
      <c r="A2601" s="366" t="str">
        <f>IF(dstCommercial="Yes","P","")</f>
        <v/>
      </c>
      <c r="C2601" t="str">
        <f t="shared" si="64"/>
        <v/>
      </c>
      <c r="D2601" s="30"/>
      <c r="E2601" s="32"/>
      <c r="F2601" s="45"/>
      <c r="G2601" s="838"/>
      <c r="J2601" s="613"/>
    </row>
    <row r="2602" spans="1:10" x14ac:dyDescent="0.35">
      <c r="A2602" s="366" t="str">
        <f>IF(dstCommercial="Yes","P","")</f>
        <v/>
      </c>
      <c r="C2602" t="str">
        <f t="shared" si="64"/>
        <v/>
      </c>
      <c r="D2602" s="30"/>
      <c r="E2602" s="32"/>
      <c r="F2602" s="45"/>
      <c r="G2602" s="838"/>
      <c r="J2602" s="613"/>
    </row>
    <row r="2603" spans="1:10" x14ac:dyDescent="0.35">
      <c r="A2603" s="366" t="str">
        <f>IF(dstCommercial="Yes","P","")</f>
        <v/>
      </c>
      <c r="C2603" t="str">
        <f t="shared" si="64"/>
        <v/>
      </c>
      <c r="D2603" s="30"/>
      <c r="E2603" s="32"/>
      <c r="F2603" s="45"/>
      <c r="G2603" s="838"/>
      <c r="J2603" s="613"/>
    </row>
    <row r="2604" spans="1:10" x14ac:dyDescent="0.35">
      <c r="A2604" s="366" t="str">
        <f>IF(dstCommercial="Yes","P","")</f>
        <v/>
      </c>
      <c r="C2604" t="str">
        <f t="shared" si="64"/>
        <v/>
      </c>
      <c r="D2604" s="30"/>
      <c r="E2604" s="32"/>
      <c r="F2604" s="45"/>
      <c r="G2604" s="112" t="s">
        <v>688</v>
      </c>
      <c r="J2604" s="613"/>
    </row>
    <row r="2605" spans="1:10" ht="15" thickBot="1" x14ac:dyDescent="0.4">
      <c r="C2605" t="str">
        <f t="shared" si="64"/>
        <v/>
      </c>
      <c r="D2605" s="114"/>
      <c r="E2605" s="475"/>
      <c r="F2605" s="58"/>
      <c r="G2605" s="180" t="s">
        <v>3084</v>
      </c>
      <c r="J2605" s="613"/>
    </row>
    <row r="2606" spans="1:10" ht="15" thickTop="1" x14ac:dyDescent="0.35">
      <c r="A2606" s="366" t="str">
        <f t="shared" ref="A2606:A2612" si="65">IF(dstCommercial="Yes","P","")</f>
        <v/>
      </c>
      <c r="C2606" t="str">
        <f t="shared" si="64"/>
        <v/>
      </c>
      <c r="D2606" s="30">
        <v>608.1</v>
      </c>
      <c r="E2606" s="32"/>
      <c r="F2606" s="45"/>
      <c r="G2606" s="838" t="s">
        <v>693</v>
      </c>
      <c r="J2606" s="613"/>
    </row>
    <row r="2607" spans="1:10" x14ac:dyDescent="0.35">
      <c r="A2607" s="366" t="str">
        <f t="shared" si="65"/>
        <v/>
      </c>
      <c r="C2607" t="str">
        <f t="shared" si="64"/>
        <v/>
      </c>
      <c r="D2607" s="30"/>
      <c r="E2607" s="32"/>
      <c r="F2607" s="45"/>
      <c r="G2607" s="838"/>
      <c r="J2607" s="613"/>
    </row>
    <row r="2608" spans="1:10" x14ac:dyDescent="0.35">
      <c r="A2608" s="366" t="str">
        <f t="shared" si="65"/>
        <v/>
      </c>
      <c r="C2608" t="str">
        <f t="shared" si="64"/>
        <v/>
      </c>
      <c r="D2608" s="30"/>
      <c r="E2608" s="32"/>
      <c r="F2608" s="45"/>
      <c r="G2608" s="838"/>
      <c r="J2608" s="613"/>
    </row>
    <row r="2609" spans="1:10" x14ac:dyDescent="0.35">
      <c r="A2609" s="366" t="str">
        <f t="shared" si="65"/>
        <v/>
      </c>
      <c r="C2609" t="str">
        <f t="shared" si="64"/>
        <v/>
      </c>
      <c r="D2609" s="30"/>
      <c r="E2609" s="19" t="s">
        <v>256</v>
      </c>
      <c r="F2609" s="45"/>
      <c r="G2609" s="814" t="s">
        <v>694</v>
      </c>
      <c r="J2609" s="613"/>
    </row>
    <row r="2610" spans="1:10" x14ac:dyDescent="0.35">
      <c r="A2610" s="366" t="str">
        <f t="shared" si="65"/>
        <v/>
      </c>
      <c r="C2610" t="str">
        <f t="shared" si="64"/>
        <v/>
      </c>
      <c r="D2610" s="30"/>
      <c r="E2610" s="19"/>
      <c r="F2610" s="45"/>
      <c r="G2610" s="814"/>
      <c r="J2610" s="613"/>
    </row>
    <row r="2611" spans="1:10" x14ac:dyDescent="0.35">
      <c r="A2611" s="366" t="str">
        <f t="shared" si="65"/>
        <v/>
      </c>
      <c r="C2611" t="str">
        <f t="shared" si="64"/>
        <v/>
      </c>
      <c r="D2611" s="30"/>
      <c r="E2611" s="19" t="s">
        <v>258</v>
      </c>
      <c r="F2611" s="45"/>
      <c r="G2611" s="43" t="s">
        <v>695</v>
      </c>
      <c r="J2611" s="613"/>
    </row>
    <row r="2612" spans="1:10" x14ac:dyDescent="0.35">
      <c r="A2612" s="366" t="str">
        <f t="shared" si="65"/>
        <v/>
      </c>
      <c r="C2612" t="str">
        <f t="shared" si="64"/>
        <v/>
      </c>
      <c r="D2612" s="30"/>
      <c r="E2612" s="19" t="s">
        <v>260</v>
      </c>
      <c r="F2612" s="45"/>
      <c r="G2612" s="43" t="s">
        <v>696</v>
      </c>
      <c r="J2612" s="613"/>
    </row>
    <row r="2613" spans="1:10" ht="15.75" customHeight="1" thickBot="1" x14ac:dyDescent="0.4">
      <c r="C2613" t="str">
        <f t="shared" si="64"/>
        <v/>
      </c>
      <c r="D2613" s="114"/>
      <c r="E2613" s="115"/>
      <c r="F2613" s="58"/>
      <c r="G2613" s="180" t="s">
        <v>3089</v>
      </c>
      <c r="J2613" s="613"/>
    </row>
    <row r="2614" spans="1:10" ht="15" thickTop="1" x14ac:dyDescent="0.35">
      <c r="A2614" s="366" t="str">
        <f>IF(dstCommercial="Yes","P","")</f>
        <v/>
      </c>
      <c r="C2614" t="str">
        <f t="shared" si="64"/>
        <v/>
      </c>
      <c r="D2614" s="30">
        <v>609.1</v>
      </c>
      <c r="E2614" s="32"/>
      <c r="F2614" s="45"/>
      <c r="G2614" s="838" t="s">
        <v>698</v>
      </c>
      <c r="J2614" s="613"/>
    </row>
    <row r="2615" spans="1:10" x14ac:dyDescent="0.35">
      <c r="A2615" s="366" t="str">
        <f>IF(dstCommercial="Yes","P","")</f>
        <v/>
      </c>
      <c r="C2615" t="str">
        <f t="shared" si="64"/>
        <v/>
      </c>
      <c r="D2615" s="30"/>
      <c r="E2615" s="32"/>
      <c r="F2615" s="45"/>
      <c r="G2615" s="838"/>
      <c r="J2615" s="613"/>
    </row>
    <row r="2616" spans="1:10" x14ac:dyDescent="0.35">
      <c r="A2616" s="366" t="str">
        <f>IF(dstCommercial="Yes","P","")</f>
        <v/>
      </c>
      <c r="C2616" t="str">
        <f t="shared" si="64"/>
        <v/>
      </c>
      <c r="D2616" s="30"/>
      <c r="E2616" s="32"/>
      <c r="F2616" s="45"/>
      <c r="G2616" s="895" t="s">
        <v>3104</v>
      </c>
      <c r="J2616" s="613"/>
    </row>
    <row r="2617" spans="1:10" x14ac:dyDescent="0.35">
      <c r="A2617" s="366" t="str">
        <f>IF(dstCommercial="Yes","P","")</f>
        <v/>
      </c>
      <c r="C2617" t="str">
        <f t="shared" si="64"/>
        <v/>
      </c>
      <c r="D2617" s="30"/>
      <c r="E2617" s="32"/>
      <c r="F2617" s="45"/>
      <c r="G2617" s="895"/>
      <c r="J2617" s="613"/>
    </row>
    <row r="2618" spans="1:10" x14ac:dyDescent="0.35">
      <c r="A2618" s="366" t="str">
        <f>IF(dstCommercial="Yes","P","")</f>
        <v/>
      </c>
      <c r="C2618" t="str">
        <f t="shared" si="64"/>
        <v/>
      </c>
      <c r="D2618" s="30"/>
      <c r="E2618" s="32"/>
      <c r="F2618" s="45"/>
      <c r="G2618" s="895"/>
      <c r="J2618" s="613"/>
    </row>
    <row r="2619" spans="1:10" x14ac:dyDescent="0.35">
      <c r="C2619" t="str">
        <f t="shared" si="64"/>
        <v/>
      </c>
      <c r="D2619" s="30"/>
      <c r="E2619" s="32"/>
      <c r="F2619" s="45"/>
      <c r="G2619" s="893" t="s">
        <v>3103</v>
      </c>
      <c r="J2619" s="613"/>
    </row>
    <row r="2620" spans="1:10" ht="15" thickBot="1" x14ac:dyDescent="0.4">
      <c r="C2620" t="str">
        <f t="shared" si="64"/>
        <v/>
      </c>
      <c r="D2620" s="30"/>
      <c r="E2620" s="32"/>
      <c r="F2620" s="45"/>
      <c r="G2620" s="902"/>
      <c r="J2620" s="613"/>
    </row>
    <row r="2621" spans="1:10" ht="15" thickTop="1" x14ac:dyDescent="0.35">
      <c r="A2621" s="366" t="str">
        <f t="shared" ref="A2621:A2636" si="66">IF(dstCommercial="Yes","P","")</f>
        <v/>
      </c>
      <c r="C2621" t="str">
        <f t="shared" si="64"/>
        <v/>
      </c>
      <c r="D2621" s="106" t="s">
        <v>713</v>
      </c>
      <c r="E2621" s="312"/>
      <c r="F2621" s="632"/>
      <c r="G2621" s="837" t="s">
        <v>714</v>
      </c>
      <c r="J2621" s="613"/>
    </row>
    <row r="2622" spans="1:10" x14ac:dyDescent="0.35">
      <c r="A2622" s="366" t="str">
        <f t="shared" si="66"/>
        <v/>
      </c>
      <c r="C2622" t="str">
        <f t="shared" si="64"/>
        <v/>
      </c>
      <c r="D2622" s="30"/>
      <c r="E2622" s="32"/>
      <c r="F2622" s="45"/>
      <c r="G2622" s="838"/>
      <c r="J2622" s="613"/>
    </row>
    <row r="2623" spans="1:10" x14ac:dyDescent="0.35">
      <c r="A2623" s="366" t="str">
        <f t="shared" si="66"/>
        <v/>
      </c>
      <c r="C2623" t="str">
        <f t="shared" si="64"/>
        <v/>
      </c>
      <c r="D2623" s="30"/>
      <c r="E2623" s="32"/>
      <c r="F2623" s="45"/>
      <c r="G2623" s="838"/>
      <c r="J2623" s="613"/>
    </row>
    <row r="2624" spans="1:10" x14ac:dyDescent="0.35">
      <c r="A2624" s="366" t="str">
        <f t="shared" si="66"/>
        <v/>
      </c>
      <c r="C2624" t="str">
        <f t="shared" si="64"/>
        <v/>
      </c>
      <c r="D2624" s="138"/>
      <c r="E2624" s="331"/>
      <c r="F2624" s="139"/>
      <c r="G2624" s="889"/>
      <c r="J2624" s="613"/>
    </row>
    <row r="2625" spans="1:10" x14ac:dyDescent="0.35">
      <c r="A2625" s="366" t="str">
        <f t="shared" si="66"/>
        <v/>
      </c>
      <c r="C2625" t="str">
        <f t="shared" si="64"/>
        <v/>
      </c>
      <c r="D2625" s="117" t="s">
        <v>716</v>
      </c>
      <c r="E2625" s="330"/>
      <c r="F2625" s="137"/>
      <c r="G2625" s="905" t="s">
        <v>717</v>
      </c>
      <c r="J2625" s="613"/>
    </row>
    <row r="2626" spans="1:10" x14ac:dyDescent="0.35">
      <c r="A2626" s="366" t="str">
        <f t="shared" si="66"/>
        <v/>
      </c>
      <c r="C2626" t="str">
        <f t="shared" si="64"/>
        <v/>
      </c>
      <c r="D2626" s="30"/>
      <c r="E2626" s="32"/>
      <c r="F2626" s="45"/>
      <c r="G2626" s="838"/>
      <c r="J2626" s="613"/>
    </row>
    <row r="2627" spans="1:10" x14ac:dyDescent="0.35">
      <c r="A2627" s="366" t="str">
        <f t="shared" si="66"/>
        <v/>
      </c>
      <c r="C2627" t="str">
        <f t="shared" si="64"/>
        <v/>
      </c>
      <c r="D2627" s="30"/>
      <c r="E2627" s="32"/>
      <c r="F2627" s="45"/>
      <c r="G2627" s="838"/>
      <c r="J2627" s="613"/>
    </row>
    <row r="2628" spans="1:10" x14ac:dyDescent="0.35">
      <c r="A2628" s="366" t="str">
        <f t="shared" si="66"/>
        <v/>
      </c>
      <c r="C2628" t="str">
        <f t="shared" si="64"/>
        <v/>
      </c>
      <c r="D2628" s="30"/>
      <c r="E2628" s="32"/>
      <c r="F2628" s="47" t="s">
        <v>121</v>
      </c>
      <c r="G2628" s="43" t="s">
        <v>705</v>
      </c>
      <c r="J2628" s="613"/>
    </row>
    <row r="2629" spans="1:10" x14ac:dyDescent="0.35">
      <c r="A2629" s="366" t="str">
        <f t="shared" si="66"/>
        <v/>
      </c>
      <c r="C2629" t="str">
        <f t="shared" si="64"/>
        <v/>
      </c>
      <c r="D2629" s="30"/>
      <c r="E2629" s="32"/>
      <c r="F2629" s="47" t="s">
        <v>122</v>
      </c>
      <c r="G2629" s="43" t="s">
        <v>706</v>
      </c>
      <c r="J2629" s="613"/>
    </row>
    <row r="2630" spans="1:10" x14ac:dyDescent="0.35">
      <c r="A2630" s="366" t="str">
        <f t="shared" si="66"/>
        <v/>
      </c>
      <c r="C2630" t="str">
        <f t="shared" si="64"/>
        <v/>
      </c>
      <c r="D2630" s="30"/>
      <c r="E2630" s="32"/>
      <c r="F2630" s="47" t="s">
        <v>123</v>
      </c>
      <c r="G2630" s="43" t="s">
        <v>707</v>
      </c>
      <c r="J2630" s="613"/>
    </row>
    <row r="2631" spans="1:10" x14ac:dyDescent="0.35">
      <c r="A2631" s="366" t="str">
        <f t="shared" si="66"/>
        <v/>
      </c>
      <c r="C2631" t="str">
        <f t="shared" si="64"/>
        <v/>
      </c>
      <c r="D2631" s="30"/>
      <c r="E2631" s="32"/>
      <c r="F2631" s="49" t="s">
        <v>401</v>
      </c>
      <c r="G2631" s="43" t="s">
        <v>708</v>
      </c>
      <c r="J2631" s="613"/>
    </row>
    <row r="2632" spans="1:10" x14ac:dyDescent="0.35">
      <c r="A2632" s="366" t="str">
        <f t="shared" si="66"/>
        <v/>
      </c>
      <c r="C2632" t="str">
        <f t="shared" si="64"/>
        <v/>
      </c>
      <c r="D2632" s="30"/>
      <c r="E2632" s="32"/>
      <c r="F2632" s="45" t="s">
        <v>539</v>
      </c>
      <c r="G2632" s="43" t="s">
        <v>709</v>
      </c>
      <c r="J2632" s="613"/>
    </row>
    <row r="2633" spans="1:10" x14ac:dyDescent="0.35">
      <c r="A2633" s="366" t="str">
        <f t="shared" si="66"/>
        <v/>
      </c>
      <c r="C2633" t="str">
        <f t="shared" si="64"/>
        <v/>
      </c>
      <c r="D2633" s="30"/>
      <c r="E2633" s="32"/>
      <c r="F2633" s="47" t="s">
        <v>604</v>
      </c>
      <c r="G2633" s="43" t="s">
        <v>710</v>
      </c>
      <c r="J2633" s="613"/>
    </row>
    <row r="2634" spans="1:10" x14ac:dyDescent="0.35">
      <c r="A2634" s="366" t="str">
        <f t="shared" si="66"/>
        <v/>
      </c>
      <c r="C2634" t="str">
        <f t="shared" si="64"/>
        <v/>
      </c>
      <c r="D2634" s="30"/>
      <c r="E2634" s="32"/>
      <c r="F2634" s="216"/>
      <c r="G2634" s="895" t="s">
        <v>718</v>
      </c>
      <c r="J2634" s="613"/>
    </row>
    <row r="2635" spans="1:10" x14ac:dyDescent="0.35">
      <c r="A2635" s="366" t="str">
        <f t="shared" si="66"/>
        <v/>
      </c>
      <c r="C2635" t="str">
        <f t="shared" si="64"/>
        <v/>
      </c>
      <c r="D2635" s="30"/>
      <c r="E2635" s="32"/>
      <c r="F2635" s="92"/>
      <c r="G2635" s="895"/>
      <c r="J2635" s="613"/>
    </row>
    <row r="2636" spans="1:10" x14ac:dyDescent="0.35">
      <c r="A2636" s="366" t="str">
        <f t="shared" si="66"/>
        <v/>
      </c>
      <c r="C2636" t="str">
        <f t="shared" si="64"/>
        <v/>
      </c>
      <c r="D2636" s="30"/>
      <c r="E2636" s="32"/>
      <c r="F2636" s="92"/>
      <c r="G2636" s="895"/>
      <c r="J2636" s="613"/>
    </row>
    <row r="2637" spans="1:10" x14ac:dyDescent="0.35">
      <c r="C2637" t="str">
        <f t="shared" si="64"/>
        <v/>
      </c>
      <c r="D2637" s="30"/>
      <c r="E2637" s="32"/>
      <c r="F2637" s="92"/>
      <c r="G2637" s="855" t="s">
        <v>3105</v>
      </c>
      <c r="J2637" s="613"/>
    </row>
    <row r="2638" spans="1:10" x14ac:dyDescent="0.35">
      <c r="C2638" t="str">
        <f t="shared" si="64"/>
        <v/>
      </c>
      <c r="D2638" s="138"/>
      <c r="E2638" s="331"/>
      <c r="F2638" s="142"/>
      <c r="G2638" s="903"/>
      <c r="J2638" s="613"/>
    </row>
    <row r="2639" spans="1:10" x14ac:dyDescent="0.35">
      <c r="A2639" s="366" t="str">
        <f t="shared" ref="A2639:A2660" si="67">IF(dstCommercial="Yes","P","")</f>
        <v/>
      </c>
      <c r="C2639" t="str">
        <f t="shared" si="64"/>
        <v/>
      </c>
      <c r="D2639" s="30" t="s">
        <v>719</v>
      </c>
      <c r="E2639" s="32"/>
      <c r="F2639" s="45"/>
      <c r="G2639" s="838" t="s">
        <v>720</v>
      </c>
      <c r="J2639" s="613"/>
    </row>
    <row r="2640" spans="1:10" x14ac:dyDescent="0.35">
      <c r="A2640" s="366" t="str">
        <f t="shared" si="67"/>
        <v/>
      </c>
      <c r="C2640" t="str">
        <f t="shared" si="64"/>
        <v/>
      </c>
      <c r="D2640" s="30"/>
      <c r="E2640" s="32"/>
      <c r="F2640" s="45"/>
      <c r="G2640" s="838"/>
      <c r="J2640" s="613"/>
    </row>
    <row r="2641" spans="1:10" x14ac:dyDescent="0.35">
      <c r="A2641" s="366" t="str">
        <f t="shared" si="67"/>
        <v/>
      </c>
      <c r="C2641" t="str">
        <f t="shared" si="64"/>
        <v/>
      </c>
      <c r="D2641" s="30"/>
      <c r="E2641" s="32"/>
      <c r="F2641" s="45"/>
      <c r="G2641" s="838"/>
      <c r="J2641" s="613"/>
    </row>
    <row r="2642" spans="1:10" x14ac:dyDescent="0.35">
      <c r="A2642" s="366" t="str">
        <f t="shared" si="67"/>
        <v/>
      </c>
      <c r="C2642" t="str">
        <f t="shared" si="64"/>
        <v/>
      </c>
      <c r="D2642" s="30"/>
      <c r="E2642" s="32"/>
      <c r="F2642" s="45"/>
      <c r="G2642" s="838"/>
      <c r="J2642" s="613"/>
    </row>
    <row r="2643" spans="1:10" x14ac:dyDescent="0.35">
      <c r="A2643" s="366" t="str">
        <f t="shared" si="67"/>
        <v/>
      </c>
      <c r="C2643" t="str">
        <f t="shared" ref="C2643:C2706" si="68">IF(LEN(B2643)=0,IF(A2643="P","P",""),B2643)</f>
        <v/>
      </c>
      <c r="D2643" s="30"/>
      <c r="E2643" s="32"/>
      <c r="F2643" s="45"/>
      <c r="G2643" s="838"/>
      <c r="J2643" s="613"/>
    </row>
    <row r="2644" spans="1:10" x14ac:dyDescent="0.35">
      <c r="A2644" s="366" t="str">
        <f t="shared" si="67"/>
        <v/>
      </c>
      <c r="C2644" t="str">
        <f t="shared" si="68"/>
        <v/>
      </c>
      <c r="D2644" s="30"/>
      <c r="E2644" s="32"/>
      <c r="F2644" s="45"/>
      <c r="G2644" s="838"/>
      <c r="J2644" s="613"/>
    </row>
    <row r="2645" spans="1:10" x14ac:dyDescent="0.35">
      <c r="A2645" s="366" t="str">
        <f t="shared" si="67"/>
        <v/>
      </c>
      <c r="C2645" t="str">
        <f t="shared" si="68"/>
        <v/>
      </c>
      <c r="D2645" s="30"/>
      <c r="E2645" s="32"/>
      <c r="F2645" s="45"/>
      <c r="G2645" s="838"/>
      <c r="J2645" s="613"/>
    </row>
    <row r="2646" spans="1:10" x14ac:dyDescent="0.35">
      <c r="A2646" s="366" t="str">
        <f t="shared" si="67"/>
        <v/>
      </c>
      <c r="C2646" t="str">
        <f t="shared" si="68"/>
        <v/>
      </c>
      <c r="D2646" s="30"/>
      <c r="E2646" s="32"/>
      <c r="F2646" s="45"/>
      <c r="G2646" s="838"/>
      <c r="J2646" s="613"/>
    </row>
    <row r="2647" spans="1:10" x14ac:dyDescent="0.35">
      <c r="A2647" s="366" t="str">
        <f t="shared" si="67"/>
        <v/>
      </c>
      <c r="C2647" t="str">
        <f t="shared" si="68"/>
        <v/>
      </c>
      <c r="D2647" s="30"/>
      <c r="E2647" s="32"/>
      <c r="F2647" s="47" t="s">
        <v>121</v>
      </c>
      <c r="G2647" s="43" t="s">
        <v>721</v>
      </c>
      <c r="J2647" s="613"/>
    </row>
    <row r="2648" spans="1:10" x14ac:dyDescent="0.35">
      <c r="A2648" s="366" t="str">
        <f t="shared" si="67"/>
        <v/>
      </c>
      <c r="C2648" t="str">
        <f t="shared" si="68"/>
        <v/>
      </c>
      <c r="D2648" s="30"/>
      <c r="E2648" s="32"/>
      <c r="F2648" s="47" t="s">
        <v>122</v>
      </c>
      <c r="G2648" s="43" t="s">
        <v>722</v>
      </c>
      <c r="J2648" s="613"/>
    </row>
    <row r="2649" spans="1:10" x14ac:dyDescent="0.35">
      <c r="A2649" s="366" t="str">
        <f t="shared" si="67"/>
        <v/>
      </c>
      <c r="C2649" t="str">
        <f t="shared" si="68"/>
        <v/>
      </c>
      <c r="D2649" s="30"/>
      <c r="E2649" s="32"/>
      <c r="F2649" s="47" t="s">
        <v>123</v>
      </c>
      <c r="G2649" s="43" t="s">
        <v>723</v>
      </c>
      <c r="J2649" s="613"/>
    </row>
    <row r="2650" spans="1:10" x14ac:dyDescent="0.35">
      <c r="A2650" s="366" t="str">
        <f t="shared" si="67"/>
        <v/>
      </c>
      <c r="C2650" t="str">
        <f t="shared" si="68"/>
        <v/>
      </c>
      <c r="D2650" s="30"/>
      <c r="E2650" s="32"/>
      <c r="F2650" s="49" t="s">
        <v>401</v>
      </c>
      <c r="G2650" s="43" t="s">
        <v>724</v>
      </c>
      <c r="J2650" s="613"/>
    </row>
    <row r="2651" spans="1:10" x14ac:dyDescent="0.35">
      <c r="A2651" s="366" t="str">
        <f t="shared" si="67"/>
        <v/>
      </c>
      <c r="C2651" t="str">
        <f t="shared" si="68"/>
        <v/>
      </c>
      <c r="D2651" s="30"/>
      <c r="E2651" s="32"/>
      <c r="F2651" s="45"/>
      <c r="G2651" s="848" t="s">
        <v>725</v>
      </c>
      <c r="J2651" s="613"/>
    </row>
    <row r="2652" spans="1:10" x14ac:dyDescent="0.35">
      <c r="A2652" s="366" t="str">
        <f t="shared" si="67"/>
        <v/>
      </c>
      <c r="C2652" t="str">
        <f t="shared" si="68"/>
        <v/>
      </c>
      <c r="D2652" s="30"/>
      <c r="E2652" s="32"/>
      <c r="F2652" s="45"/>
      <c r="G2652" s="848"/>
      <c r="J2652" s="613"/>
    </row>
    <row r="2653" spans="1:10" x14ac:dyDescent="0.35">
      <c r="A2653" s="366" t="str">
        <f t="shared" si="67"/>
        <v/>
      </c>
      <c r="C2653" t="str">
        <f t="shared" si="68"/>
        <v/>
      </c>
      <c r="D2653" s="30"/>
      <c r="E2653" s="32"/>
      <c r="F2653" s="47" t="s">
        <v>121</v>
      </c>
      <c r="G2653" s="43" t="s">
        <v>705</v>
      </c>
      <c r="J2653" s="613"/>
    </row>
    <row r="2654" spans="1:10" x14ac:dyDescent="0.35">
      <c r="A2654" s="366" t="str">
        <f t="shared" si="67"/>
        <v/>
      </c>
      <c r="C2654" t="str">
        <f t="shared" si="68"/>
        <v/>
      </c>
      <c r="D2654" s="30"/>
      <c r="E2654" s="32"/>
      <c r="F2654" s="47" t="s">
        <v>122</v>
      </c>
      <c r="G2654" s="43" t="s">
        <v>706</v>
      </c>
      <c r="J2654" s="613"/>
    </row>
    <row r="2655" spans="1:10" x14ac:dyDescent="0.35">
      <c r="A2655" s="366" t="str">
        <f t="shared" si="67"/>
        <v/>
      </c>
      <c r="C2655" t="str">
        <f t="shared" si="68"/>
        <v/>
      </c>
      <c r="D2655" s="30"/>
      <c r="E2655" s="32"/>
      <c r="F2655" s="47" t="s">
        <v>123</v>
      </c>
      <c r="G2655" s="43" t="s">
        <v>707</v>
      </c>
      <c r="J2655" s="613"/>
    </row>
    <row r="2656" spans="1:10" x14ac:dyDescent="0.35">
      <c r="A2656" s="366" t="str">
        <f t="shared" si="67"/>
        <v/>
      </c>
      <c r="C2656" t="str">
        <f t="shared" si="68"/>
        <v/>
      </c>
      <c r="D2656" s="30"/>
      <c r="E2656" s="32"/>
      <c r="F2656" s="49" t="s">
        <v>401</v>
      </c>
      <c r="G2656" s="43" t="s">
        <v>708</v>
      </c>
      <c r="J2656" s="613"/>
    </row>
    <row r="2657" spans="1:10" x14ac:dyDescent="0.35">
      <c r="A2657" s="366" t="str">
        <f t="shared" si="67"/>
        <v/>
      </c>
      <c r="C2657" t="str">
        <f t="shared" si="68"/>
        <v/>
      </c>
      <c r="D2657" s="30"/>
      <c r="E2657" s="32"/>
      <c r="F2657" s="45" t="s">
        <v>539</v>
      </c>
      <c r="G2657" s="43" t="s">
        <v>709</v>
      </c>
      <c r="J2657" s="613"/>
    </row>
    <row r="2658" spans="1:10" x14ac:dyDescent="0.35">
      <c r="A2658" s="366" t="str">
        <f t="shared" si="67"/>
        <v/>
      </c>
      <c r="C2658" t="str">
        <f t="shared" si="68"/>
        <v/>
      </c>
      <c r="D2658" s="30"/>
      <c r="E2658" s="32"/>
      <c r="F2658" s="47" t="s">
        <v>604</v>
      </c>
      <c r="G2658" s="43" t="s">
        <v>710</v>
      </c>
      <c r="J2658" s="613"/>
    </row>
    <row r="2659" spans="1:10" x14ac:dyDescent="0.35">
      <c r="A2659" s="366" t="str">
        <f t="shared" si="67"/>
        <v/>
      </c>
      <c r="C2659" t="str">
        <f t="shared" si="68"/>
        <v/>
      </c>
      <c r="D2659" s="30"/>
      <c r="E2659" s="32"/>
      <c r="F2659" s="45"/>
      <c r="G2659" s="895" t="s">
        <v>726</v>
      </c>
      <c r="J2659" s="613"/>
    </row>
    <row r="2660" spans="1:10" x14ac:dyDescent="0.35">
      <c r="A2660" s="366" t="str">
        <f t="shared" si="67"/>
        <v/>
      </c>
      <c r="C2660" t="str">
        <f t="shared" si="68"/>
        <v/>
      </c>
      <c r="D2660" s="30"/>
      <c r="E2660" s="32"/>
      <c r="F2660" s="45"/>
      <c r="G2660" s="895"/>
      <c r="J2660" s="613"/>
    </row>
    <row r="2661" spans="1:10" x14ac:dyDescent="0.35">
      <c r="C2661" t="str">
        <f t="shared" si="68"/>
        <v/>
      </c>
      <c r="D2661" s="30"/>
      <c r="E2661" s="32"/>
      <c r="F2661" s="45"/>
      <c r="G2661" s="893" t="s">
        <v>3113</v>
      </c>
      <c r="J2661" s="613"/>
    </row>
    <row r="2662" spans="1:10" ht="15" thickBot="1" x14ac:dyDescent="0.4">
      <c r="C2662" t="str">
        <f t="shared" si="68"/>
        <v/>
      </c>
      <c r="D2662" s="114"/>
      <c r="E2662" s="475"/>
      <c r="F2662" s="58"/>
      <c r="G2662" s="997"/>
      <c r="J2662" s="613"/>
    </row>
    <row r="2663" spans="1:10" ht="15" thickTop="1" x14ac:dyDescent="0.35">
      <c r="A2663" s="366" t="str">
        <f t="shared" ref="A2663:A2668" si="69">IF(dstCommercial="Yes","P","")</f>
        <v/>
      </c>
      <c r="C2663" t="str">
        <f t="shared" si="68"/>
        <v/>
      </c>
      <c r="D2663" s="30">
        <v>612.1</v>
      </c>
      <c r="E2663" s="32"/>
      <c r="F2663" s="45"/>
      <c r="G2663" s="838" t="s">
        <v>4184</v>
      </c>
      <c r="J2663" s="613"/>
    </row>
    <row r="2664" spans="1:10" x14ac:dyDescent="0.35">
      <c r="A2664" s="366" t="str">
        <f t="shared" si="69"/>
        <v/>
      </c>
      <c r="C2664" t="str">
        <f t="shared" si="68"/>
        <v/>
      </c>
      <c r="D2664" s="30"/>
      <c r="E2664" s="32"/>
      <c r="F2664" s="45"/>
      <c r="G2664" s="838"/>
      <c r="J2664" s="613"/>
    </row>
    <row r="2665" spans="1:10" x14ac:dyDescent="0.35">
      <c r="A2665" s="366" t="str">
        <f t="shared" si="69"/>
        <v/>
      </c>
      <c r="C2665" t="str">
        <f t="shared" si="68"/>
        <v/>
      </c>
      <c r="D2665" s="30"/>
      <c r="E2665" s="32"/>
      <c r="F2665" s="45"/>
      <c r="G2665" s="838"/>
      <c r="J2665" s="613"/>
    </row>
    <row r="2666" spans="1:10" x14ac:dyDescent="0.35">
      <c r="A2666" s="366" t="str">
        <f t="shared" si="69"/>
        <v/>
      </c>
      <c r="C2666" t="str">
        <f t="shared" si="68"/>
        <v/>
      </c>
      <c r="D2666" s="30"/>
      <c r="E2666" s="32"/>
      <c r="F2666" s="45"/>
      <c r="G2666" s="838"/>
      <c r="J2666" s="613"/>
    </row>
    <row r="2667" spans="1:10" x14ac:dyDescent="0.35">
      <c r="A2667" s="366" t="str">
        <f t="shared" si="69"/>
        <v/>
      </c>
      <c r="C2667" t="str">
        <f t="shared" si="68"/>
        <v/>
      </c>
      <c r="D2667" s="30"/>
      <c r="E2667" s="32"/>
      <c r="F2667" s="45"/>
      <c r="G2667" s="838"/>
      <c r="J2667" s="613"/>
    </row>
    <row r="2668" spans="1:10" x14ac:dyDescent="0.35">
      <c r="A2668" s="366" t="str">
        <f t="shared" si="69"/>
        <v/>
      </c>
      <c r="C2668" t="str">
        <f t="shared" si="68"/>
        <v/>
      </c>
      <c r="D2668" s="30"/>
      <c r="E2668" s="32"/>
      <c r="F2668" s="45"/>
      <c r="G2668" s="158" t="s">
        <v>727</v>
      </c>
      <c r="J2668" s="613"/>
    </row>
    <row r="2669" spans="1:10" x14ac:dyDescent="0.35">
      <c r="C2669" t="str">
        <f t="shared" si="68"/>
        <v/>
      </c>
      <c r="D2669" s="30"/>
      <c r="E2669" s="32"/>
      <c r="F2669" s="45"/>
      <c r="G2669" s="855" t="s">
        <v>3134</v>
      </c>
      <c r="J2669" s="613"/>
    </row>
    <row r="2670" spans="1:10" ht="15" thickBot="1" x14ac:dyDescent="0.4">
      <c r="C2670" t="str">
        <f t="shared" si="68"/>
        <v/>
      </c>
      <c r="D2670" s="30"/>
      <c r="E2670" s="32"/>
      <c r="F2670" s="45"/>
      <c r="G2670" s="893"/>
      <c r="J2670" s="613"/>
    </row>
    <row r="2671" spans="1:10" ht="15" thickTop="1" x14ac:dyDescent="0.35">
      <c r="A2671" s="366" t="str">
        <f t="shared" ref="A2671:A2690" si="70">IF(dstCommercial="Yes","P","")</f>
        <v/>
      </c>
      <c r="C2671" t="str">
        <f t="shared" si="68"/>
        <v/>
      </c>
      <c r="D2671" s="106">
        <v>612.20000000000005</v>
      </c>
      <c r="E2671" s="312"/>
      <c r="F2671" s="632"/>
      <c r="G2671" s="837" t="s">
        <v>4193</v>
      </c>
      <c r="J2671" s="613"/>
    </row>
    <row r="2672" spans="1:10" x14ac:dyDescent="0.35">
      <c r="A2672" s="366" t="str">
        <f t="shared" si="70"/>
        <v/>
      </c>
      <c r="C2672" t="str">
        <f t="shared" si="68"/>
        <v/>
      </c>
      <c r="D2672" s="30"/>
      <c r="E2672" s="32"/>
      <c r="F2672" s="45"/>
      <c r="G2672" s="838"/>
      <c r="J2672" s="613"/>
    </row>
    <row r="2673" spans="1:10" x14ac:dyDescent="0.35">
      <c r="A2673" s="366" t="str">
        <f t="shared" si="70"/>
        <v/>
      </c>
      <c r="C2673" t="str">
        <f t="shared" si="68"/>
        <v/>
      </c>
      <c r="D2673" s="30"/>
      <c r="E2673" s="32"/>
      <c r="F2673" s="45"/>
      <c r="G2673" s="838"/>
      <c r="J2673" s="613"/>
    </row>
    <row r="2674" spans="1:10" x14ac:dyDescent="0.35">
      <c r="A2674" s="366" t="str">
        <f t="shared" si="70"/>
        <v/>
      </c>
      <c r="C2674" t="str">
        <f t="shared" si="68"/>
        <v/>
      </c>
      <c r="D2674" s="30"/>
      <c r="E2674" s="129" t="s">
        <v>256</v>
      </c>
      <c r="F2674" s="139"/>
      <c r="G2674" s="477" t="s">
        <v>4194</v>
      </c>
      <c r="J2674" s="613"/>
    </row>
    <row r="2675" spans="1:10" x14ac:dyDescent="0.35">
      <c r="A2675" s="366" t="str">
        <f t="shared" si="70"/>
        <v/>
      </c>
      <c r="C2675" t="str">
        <f t="shared" si="68"/>
        <v/>
      </c>
      <c r="D2675" s="30"/>
      <c r="E2675" s="132" t="s">
        <v>258</v>
      </c>
      <c r="F2675" s="137"/>
      <c r="G2675" s="828" t="s">
        <v>4195</v>
      </c>
      <c r="J2675" s="613"/>
    </row>
    <row r="2676" spans="1:10" x14ac:dyDescent="0.35">
      <c r="A2676" s="366" t="str">
        <f t="shared" si="70"/>
        <v/>
      </c>
      <c r="C2676" t="str">
        <f t="shared" si="68"/>
        <v/>
      </c>
      <c r="D2676" s="216"/>
      <c r="E2676" s="633"/>
      <c r="F2676" s="633"/>
      <c r="G2676" s="842"/>
      <c r="J2676" s="613"/>
    </row>
    <row r="2677" spans="1:10" x14ac:dyDescent="0.35">
      <c r="A2677" s="366" t="str">
        <f t="shared" si="70"/>
        <v/>
      </c>
      <c r="C2677" t="str">
        <f t="shared" si="68"/>
        <v/>
      </c>
      <c r="D2677" s="30"/>
      <c r="E2677" s="132" t="s">
        <v>260</v>
      </c>
      <c r="F2677" s="137"/>
      <c r="G2677" s="828" t="s">
        <v>4196</v>
      </c>
      <c r="J2677" s="613"/>
    </row>
    <row r="2678" spans="1:10" x14ac:dyDescent="0.35">
      <c r="A2678" s="366" t="str">
        <f t="shared" si="70"/>
        <v/>
      </c>
      <c r="C2678" t="str">
        <f t="shared" si="68"/>
        <v/>
      </c>
      <c r="D2678" s="216"/>
      <c r="E2678" s="633"/>
      <c r="F2678" s="633"/>
      <c r="G2678" s="842"/>
      <c r="J2678" s="613"/>
    </row>
    <row r="2679" spans="1:10" x14ac:dyDescent="0.35">
      <c r="A2679" s="366" t="str">
        <f t="shared" si="70"/>
        <v/>
      </c>
      <c r="C2679" t="str">
        <f t="shared" si="68"/>
        <v/>
      </c>
      <c r="D2679" s="30"/>
      <c r="E2679" s="132" t="s">
        <v>269</v>
      </c>
      <c r="F2679" s="137"/>
      <c r="G2679" s="828" t="s">
        <v>4197</v>
      </c>
      <c r="J2679" s="613"/>
    </row>
    <row r="2680" spans="1:10" x14ac:dyDescent="0.35">
      <c r="A2680" s="366" t="str">
        <f t="shared" si="70"/>
        <v/>
      </c>
      <c r="C2680" t="str">
        <f t="shared" si="68"/>
        <v/>
      </c>
      <c r="D2680" s="216"/>
      <c r="E2680" s="633"/>
      <c r="F2680" s="633"/>
      <c r="G2680" s="842"/>
      <c r="J2680" s="613"/>
    </row>
    <row r="2681" spans="1:10" x14ac:dyDescent="0.35">
      <c r="A2681" s="366" t="str">
        <f t="shared" si="70"/>
        <v/>
      </c>
      <c r="C2681" t="str">
        <f t="shared" si="68"/>
        <v/>
      </c>
      <c r="D2681" s="30"/>
      <c r="E2681" s="132" t="s">
        <v>275</v>
      </c>
      <c r="F2681" s="137"/>
      <c r="G2681" s="828" t="s">
        <v>4198</v>
      </c>
      <c r="J2681" s="613"/>
    </row>
    <row r="2682" spans="1:10" x14ac:dyDescent="0.35">
      <c r="A2682" s="366" t="str">
        <f t="shared" si="70"/>
        <v/>
      </c>
      <c r="C2682" t="str">
        <f t="shared" si="68"/>
        <v/>
      </c>
      <c r="D2682" s="216"/>
      <c r="E2682" s="633"/>
      <c r="F2682" s="633"/>
      <c r="G2682" s="842"/>
      <c r="J2682" s="613"/>
    </row>
    <row r="2683" spans="1:10" x14ac:dyDescent="0.35">
      <c r="A2683" s="366" t="str">
        <f t="shared" si="70"/>
        <v/>
      </c>
      <c r="C2683" t="str">
        <f t="shared" si="68"/>
        <v/>
      </c>
      <c r="D2683" s="30"/>
      <c r="E2683" s="132" t="s">
        <v>277</v>
      </c>
      <c r="F2683" s="137"/>
      <c r="G2683" s="828" t="s">
        <v>4199</v>
      </c>
      <c r="J2683" s="613"/>
    </row>
    <row r="2684" spans="1:10" x14ac:dyDescent="0.35">
      <c r="A2684" s="366" t="str">
        <f t="shared" si="70"/>
        <v/>
      </c>
      <c r="C2684" t="str">
        <f t="shared" si="68"/>
        <v/>
      </c>
      <c r="D2684" s="216"/>
      <c r="E2684" s="633"/>
      <c r="F2684" s="633"/>
      <c r="G2684" s="842"/>
      <c r="J2684" s="613"/>
    </row>
    <row r="2685" spans="1:10" x14ac:dyDescent="0.35">
      <c r="A2685" s="366" t="str">
        <f t="shared" si="70"/>
        <v/>
      </c>
      <c r="C2685" t="str">
        <f t="shared" si="68"/>
        <v/>
      </c>
      <c r="D2685" s="30"/>
      <c r="E2685" s="19" t="s">
        <v>383</v>
      </c>
      <c r="F2685" s="45"/>
      <c r="G2685" s="828" t="s">
        <v>4200</v>
      </c>
      <c r="J2685" s="613"/>
    </row>
    <row r="2686" spans="1:10" ht="15" thickBot="1" x14ac:dyDescent="0.4">
      <c r="A2686" s="366" t="str">
        <f t="shared" si="70"/>
        <v/>
      </c>
      <c r="C2686" t="str">
        <f t="shared" si="68"/>
        <v/>
      </c>
      <c r="D2686" s="30"/>
      <c r="E2686" s="19"/>
      <c r="F2686" s="45"/>
      <c r="G2686" s="826"/>
      <c r="J2686" s="613"/>
    </row>
    <row r="2687" spans="1:10" ht="15" thickTop="1" x14ac:dyDescent="0.35">
      <c r="A2687" s="366" t="str">
        <f t="shared" si="70"/>
        <v/>
      </c>
      <c r="C2687" t="str">
        <f t="shared" si="68"/>
        <v/>
      </c>
      <c r="D2687" s="106">
        <v>603.20000000000005</v>
      </c>
      <c r="E2687" s="312"/>
      <c r="F2687" s="632"/>
      <c r="G2687" s="837" t="s">
        <v>653</v>
      </c>
      <c r="J2687" s="613"/>
    </row>
    <row r="2688" spans="1:10" x14ac:dyDescent="0.35">
      <c r="A2688" s="366" t="str">
        <f t="shared" si="70"/>
        <v/>
      </c>
      <c r="C2688" t="str">
        <f t="shared" si="68"/>
        <v/>
      </c>
      <c r="D2688" s="30"/>
      <c r="E2688" s="32"/>
      <c r="F2688" s="45"/>
      <c r="G2688" s="838"/>
      <c r="J2688" s="613"/>
    </row>
    <row r="2689" spans="1:10" x14ac:dyDescent="0.35">
      <c r="A2689" s="366" t="str">
        <f t="shared" si="70"/>
        <v/>
      </c>
      <c r="C2689" t="str">
        <f t="shared" si="68"/>
        <v/>
      </c>
      <c r="D2689" s="30"/>
      <c r="E2689" s="32"/>
      <c r="F2689" s="45"/>
      <c r="G2689" s="838"/>
      <c r="J2689" s="613"/>
    </row>
    <row r="2690" spans="1:10" ht="15" customHeight="1" x14ac:dyDescent="0.35">
      <c r="A2690" s="366" t="str">
        <f t="shared" si="70"/>
        <v/>
      </c>
      <c r="C2690" t="str">
        <f t="shared" si="68"/>
        <v/>
      </c>
      <c r="D2690" s="30"/>
      <c r="E2690" s="32"/>
      <c r="F2690" s="45"/>
      <c r="G2690" s="91" t="s">
        <v>3056</v>
      </c>
      <c r="J2690" s="613"/>
    </row>
    <row r="2691" spans="1:10" x14ac:dyDescent="0.35">
      <c r="C2691" t="str">
        <f t="shared" si="68"/>
        <v/>
      </c>
      <c r="D2691" s="30"/>
      <c r="E2691" s="32"/>
      <c r="F2691" s="45"/>
      <c r="G2691" s="893" t="s">
        <v>3054</v>
      </c>
      <c r="J2691" s="613"/>
    </row>
    <row r="2692" spans="1:10" x14ac:dyDescent="0.35">
      <c r="C2692" t="str">
        <f t="shared" si="68"/>
        <v/>
      </c>
      <c r="D2692" s="30"/>
      <c r="E2692" s="32"/>
      <c r="F2692" s="45"/>
      <c r="G2692" s="894"/>
      <c r="J2692" s="613"/>
    </row>
    <row r="2693" spans="1:10" ht="15" thickBot="1" x14ac:dyDescent="0.4">
      <c r="C2693" t="str">
        <f t="shared" si="68"/>
        <v/>
      </c>
      <c r="D2693" s="114"/>
      <c r="E2693" s="475"/>
      <c r="F2693" s="58"/>
      <c r="G2693" s="997"/>
      <c r="J2693" s="613"/>
    </row>
    <row r="2694" spans="1:10" ht="15" thickTop="1" x14ac:dyDescent="0.35">
      <c r="A2694" s="366" t="str">
        <f t="shared" ref="A2694:A2725" si="71">IF(dstCommercial="Yes","P","")</f>
        <v/>
      </c>
      <c r="C2694" t="str">
        <f t="shared" si="68"/>
        <v/>
      </c>
      <c r="D2694" s="30">
        <v>611.1</v>
      </c>
      <c r="E2694" s="32"/>
      <c r="F2694" s="45"/>
      <c r="G2694" s="838" t="s">
        <v>4187</v>
      </c>
      <c r="J2694" s="613"/>
    </row>
    <row r="2695" spans="1:10" x14ac:dyDescent="0.35">
      <c r="A2695" s="366" t="str">
        <f t="shared" si="71"/>
        <v/>
      </c>
      <c r="C2695" t="str">
        <f t="shared" si="68"/>
        <v/>
      </c>
      <c r="D2695" s="30"/>
      <c r="E2695" s="32"/>
      <c r="F2695" s="45"/>
      <c r="G2695" s="838"/>
      <c r="J2695" s="613"/>
    </row>
    <row r="2696" spans="1:10" x14ac:dyDescent="0.35">
      <c r="A2696" s="366" t="str">
        <f t="shared" si="71"/>
        <v/>
      </c>
      <c r="C2696" t="str">
        <f t="shared" si="68"/>
        <v/>
      </c>
      <c r="D2696" s="30"/>
      <c r="E2696" s="32"/>
      <c r="F2696" s="45"/>
      <c r="G2696" s="838"/>
      <c r="J2696" s="613"/>
    </row>
    <row r="2697" spans="1:10" x14ac:dyDescent="0.35">
      <c r="A2697" s="366" t="str">
        <f t="shared" si="71"/>
        <v/>
      </c>
      <c r="C2697" t="str">
        <f t="shared" si="68"/>
        <v/>
      </c>
      <c r="D2697" s="30"/>
      <c r="E2697" s="32"/>
      <c r="F2697" s="45"/>
      <c r="G2697" s="838"/>
      <c r="J2697" s="613"/>
    </row>
    <row r="2698" spans="1:10" x14ac:dyDescent="0.35">
      <c r="A2698" s="366" t="str">
        <f t="shared" si="71"/>
        <v/>
      </c>
      <c r="C2698" t="str">
        <f t="shared" si="68"/>
        <v/>
      </c>
      <c r="D2698" s="138"/>
      <c r="E2698" s="331"/>
      <c r="F2698" s="139"/>
      <c r="G2698" s="889"/>
      <c r="J2698" s="613"/>
    </row>
    <row r="2699" spans="1:10" x14ac:dyDescent="0.35">
      <c r="A2699" s="366" t="str">
        <f t="shared" si="71"/>
        <v/>
      </c>
      <c r="C2699" t="str">
        <f t="shared" si="68"/>
        <v/>
      </c>
      <c r="D2699" s="30" t="s">
        <v>4188</v>
      </c>
      <c r="E2699" s="32"/>
      <c r="F2699" s="45"/>
      <c r="G2699" s="896" t="s">
        <v>4814</v>
      </c>
      <c r="J2699" s="613"/>
    </row>
    <row r="2700" spans="1:10" x14ac:dyDescent="0.35">
      <c r="A2700" s="366" t="str">
        <f t="shared" si="71"/>
        <v/>
      </c>
      <c r="C2700" t="str">
        <f t="shared" si="68"/>
        <v/>
      </c>
      <c r="D2700" s="30"/>
      <c r="E2700" s="32"/>
      <c r="F2700" s="45"/>
      <c r="G2700" s="896"/>
      <c r="J2700" s="613"/>
    </row>
    <row r="2701" spans="1:10" x14ac:dyDescent="0.35">
      <c r="A2701" s="366" t="str">
        <f t="shared" si="71"/>
        <v/>
      </c>
      <c r="C2701" t="str">
        <f t="shared" si="68"/>
        <v/>
      </c>
      <c r="D2701" s="30"/>
      <c r="E2701" s="32"/>
      <c r="F2701" s="45"/>
      <c r="G2701" s="896"/>
      <c r="J2701" s="613"/>
    </row>
    <row r="2702" spans="1:10" x14ac:dyDescent="0.35">
      <c r="A2702" s="366" t="str">
        <f t="shared" si="71"/>
        <v/>
      </c>
      <c r="C2702" t="str">
        <f t="shared" si="68"/>
        <v/>
      </c>
      <c r="D2702" s="30"/>
      <c r="E2702" s="32"/>
      <c r="F2702" s="45"/>
      <c r="G2702" s="896"/>
      <c r="J2702" s="613"/>
    </row>
    <row r="2703" spans="1:10" x14ac:dyDescent="0.35">
      <c r="A2703" s="366" t="str">
        <f t="shared" si="71"/>
        <v/>
      </c>
      <c r="C2703" t="str">
        <f t="shared" si="68"/>
        <v/>
      </c>
      <c r="D2703" s="30"/>
      <c r="E2703" s="32"/>
      <c r="F2703" s="45"/>
      <c r="G2703" s="896"/>
      <c r="J2703" s="613"/>
    </row>
    <row r="2704" spans="1:10" x14ac:dyDescent="0.35">
      <c r="A2704" s="366" t="str">
        <f t="shared" si="71"/>
        <v/>
      </c>
      <c r="C2704" t="str">
        <f t="shared" si="68"/>
        <v/>
      </c>
      <c r="D2704" s="30"/>
      <c r="E2704" s="32"/>
      <c r="F2704" s="45"/>
      <c r="G2704" s="896"/>
      <c r="J2704" s="613"/>
    </row>
    <row r="2705" spans="1:10" x14ac:dyDescent="0.35">
      <c r="A2705" s="366" t="str">
        <f t="shared" si="71"/>
        <v/>
      </c>
      <c r="C2705" t="str">
        <f t="shared" si="68"/>
        <v/>
      </c>
      <c r="D2705" s="30"/>
      <c r="E2705" s="32"/>
      <c r="F2705" s="45"/>
      <c r="G2705" s="896"/>
      <c r="J2705" s="613"/>
    </row>
    <row r="2706" spans="1:10" x14ac:dyDescent="0.35">
      <c r="A2706" s="366" t="str">
        <f t="shared" si="71"/>
        <v/>
      </c>
      <c r="C2706" t="str">
        <f t="shared" si="68"/>
        <v/>
      </c>
      <c r="D2706" s="30"/>
      <c r="E2706" s="32"/>
      <c r="F2706" s="45"/>
      <c r="G2706" s="896"/>
      <c r="J2706" s="613"/>
    </row>
    <row r="2707" spans="1:10" x14ac:dyDescent="0.35">
      <c r="A2707" s="366" t="str">
        <f t="shared" si="71"/>
        <v/>
      </c>
      <c r="C2707" t="str">
        <f t="shared" ref="C2707:C2770" si="72">IF(LEN(B2707)=0,IF(A2707="P","P",""),B2707)</f>
        <v/>
      </c>
      <c r="D2707" s="138"/>
      <c r="E2707" s="331"/>
      <c r="F2707" s="139"/>
      <c r="G2707" s="284" t="s">
        <v>3137</v>
      </c>
      <c r="J2707" s="613"/>
    </row>
    <row r="2708" spans="1:10" x14ac:dyDescent="0.35">
      <c r="A2708" s="366" t="str">
        <f t="shared" si="71"/>
        <v/>
      </c>
      <c r="C2708" t="str">
        <f t="shared" si="72"/>
        <v/>
      </c>
      <c r="D2708" s="30" t="s">
        <v>4189</v>
      </c>
      <c r="E2708" s="32"/>
      <c r="F2708" s="45"/>
      <c r="G2708" s="896" t="s">
        <v>4815</v>
      </c>
      <c r="J2708" s="613"/>
    </row>
    <row r="2709" spans="1:10" x14ac:dyDescent="0.35">
      <c r="A2709" s="366" t="str">
        <f t="shared" si="71"/>
        <v/>
      </c>
      <c r="C2709" t="str">
        <f t="shared" si="72"/>
        <v/>
      </c>
      <c r="D2709" s="30"/>
      <c r="E2709" s="32"/>
      <c r="F2709" s="45"/>
      <c r="G2709" s="896"/>
      <c r="J2709" s="613"/>
    </row>
    <row r="2710" spans="1:10" x14ac:dyDescent="0.35">
      <c r="A2710" s="366" t="str">
        <f t="shared" si="71"/>
        <v/>
      </c>
      <c r="C2710" t="str">
        <f t="shared" si="72"/>
        <v/>
      </c>
      <c r="D2710" s="30"/>
      <c r="E2710" s="32"/>
      <c r="F2710" s="45"/>
      <c r="G2710" s="896"/>
      <c r="J2710" s="613"/>
    </row>
    <row r="2711" spans="1:10" x14ac:dyDescent="0.35">
      <c r="A2711" s="366" t="str">
        <f t="shared" si="71"/>
        <v/>
      </c>
      <c r="C2711" t="str">
        <f t="shared" si="72"/>
        <v/>
      </c>
      <c r="D2711" s="30"/>
      <c r="E2711" s="32"/>
      <c r="F2711" s="45"/>
      <c r="G2711" s="896"/>
      <c r="J2711" s="613"/>
    </row>
    <row r="2712" spans="1:10" x14ac:dyDescent="0.35">
      <c r="A2712" s="366" t="str">
        <f t="shared" si="71"/>
        <v/>
      </c>
      <c r="C2712" t="str">
        <f t="shared" si="72"/>
        <v/>
      </c>
      <c r="D2712" s="30"/>
      <c r="E2712" s="32"/>
      <c r="F2712" s="45"/>
      <c r="G2712" s="896"/>
      <c r="J2712" s="613"/>
    </row>
    <row r="2713" spans="1:10" x14ac:dyDescent="0.35">
      <c r="A2713" s="366" t="str">
        <f t="shared" si="71"/>
        <v/>
      </c>
      <c r="C2713" t="str">
        <f t="shared" si="72"/>
        <v/>
      </c>
      <c r="D2713" s="30"/>
      <c r="E2713" s="32"/>
      <c r="F2713" s="45"/>
      <c r="G2713" s="896"/>
      <c r="J2713" s="613"/>
    </row>
    <row r="2714" spans="1:10" ht="15" thickBot="1" x14ac:dyDescent="0.4">
      <c r="A2714" s="366" t="str">
        <f t="shared" si="71"/>
        <v/>
      </c>
      <c r="C2714" t="str">
        <f t="shared" si="72"/>
        <v/>
      </c>
      <c r="D2714" s="634"/>
      <c r="E2714" s="634"/>
      <c r="F2714" s="634"/>
      <c r="G2714" s="180" t="s">
        <v>3137</v>
      </c>
      <c r="J2714" s="613"/>
    </row>
    <row r="2715" spans="1:10" ht="15" thickTop="1" x14ac:dyDescent="0.35">
      <c r="A2715" s="366" t="str">
        <f t="shared" si="71"/>
        <v/>
      </c>
      <c r="C2715" t="str">
        <f t="shared" si="72"/>
        <v/>
      </c>
      <c r="D2715" s="30">
        <v>604.1</v>
      </c>
      <c r="E2715" s="32"/>
      <c r="F2715" s="45"/>
      <c r="G2715" s="838" t="s">
        <v>656</v>
      </c>
      <c r="J2715" s="613"/>
    </row>
    <row r="2716" spans="1:10" x14ac:dyDescent="0.35">
      <c r="A2716" s="366" t="str">
        <f t="shared" si="71"/>
        <v/>
      </c>
      <c r="C2716" t="str">
        <f t="shared" si="72"/>
        <v/>
      </c>
      <c r="D2716" s="30"/>
      <c r="E2716" s="32"/>
      <c r="F2716" s="45"/>
      <c r="G2716" s="838"/>
      <c r="J2716" s="613"/>
    </row>
    <row r="2717" spans="1:10" x14ac:dyDescent="0.35">
      <c r="A2717" s="366" t="str">
        <f t="shared" si="71"/>
        <v/>
      </c>
      <c r="C2717" t="str">
        <f t="shared" si="72"/>
        <v/>
      </c>
      <c r="D2717" s="30"/>
      <c r="E2717" s="32"/>
      <c r="F2717" s="45"/>
      <c r="G2717" s="218" t="s">
        <v>3066</v>
      </c>
      <c r="J2717" s="613"/>
    </row>
    <row r="2718" spans="1:10" x14ac:dyDescent="0.35">
      <c r="A2718" s="366" t="str">
        <f t="shared" si="71"/>
        <v/>
      </c>
      <c r="C2718" t="str">
        <f t="shared" si="72"/>
        <v/>
      </c>
      <c r="D2718" s="30"/>
      <c r="E2718" s="32"/>
      <c r="F2718" s="45"/>
      <c r="G2718" s="170" t="s">
        <v>3063</v>
      </c>
      <c r="J2718" s="613"/>
    </row>
    <row r="2719" spans="1:10" x14ac:dyDescent="0.35">
      <c r="A2719" s="366" t="str">
        <f t="shared" si="71"/>
        <v/>
      </c>
      <c r="C2719" t="str">
        <f t="shared" si="72"/>
        <v/>
      </c>
      <c r="D2719" s="30"/>
      <c r="E2719" s="32"/>
      <c r="F2719" s="45"/>
      <c r="G2719" s="855" t="s">
        <v>3065</v>
      </c>
      <c r="J2719" s="613"/>
    </row>
    <row r="2720" spans="1:10" x14ac:dyDescent="0.35">
      <c r="A2720" s="366" t="str">
        <f t="shared" si="71"/>
        <v/>
      </c>
      <c r="C2720" t="str">
        <f t="shared" si="72"/>
        <v/>
      </c>
      <c r="D2720" s="30"/>
      <c r="E2720" s="32"/>
      <c r="F2720" s="45"/>
      <c r="G2720" s="855"/>
      <c r="J2720" s="613"/>
    </row>
    <row r="2721" spans="1:10" x14ac:dyDescent="0.35">
      <c r="A2721" s="366" t="str">
        <f t="shared" si="71"/>
        <v/>
      </c>
      <c r="C2721" t="str">
        <f t="shared" si="72"/>
        <v/>
      </c>
      <c r="D2721" s="30"/>
      <c r="E2721" s="32"/>
      <c r="F2721" s="45"/>
      <c r="J2721" s="613"/>
    </row>
    <row r="2722" spans="1:10" ht="15" thickBot="1" x14ac:dyDescent="0.4">
      <c r="A2722" s="366" t="str">
        <f t="shared" si="71"/>
        <v/>
      </c>
      <c r="C2722" t="str">
        <f t="shared" si="72"/>
        <v/>
      </c>
      <c r="D2722" s="30"/>
      <c r="E2722" s="32"/>
      <c r="F2722" s="45"/>
      <c r="J2722" s="613"/>
    </row>
    <row r="2723" spans="1:10" ht="15" thickTop="1" x14ac:dyDescent="0.35">
      <c r="A2723" s="366" t="str">
        <f t="shared" si="71"/>
        <v/>
      </c>
      <c r="C2723" t="str">
        <f t="shared" si="72"/>
        <v/>
      </c>
      <c r="D2723" s="66" t="s">
        <v>4657</v>
      </c>
      <c r="E2723" s="540"/>
      <c r="F2723" s="540"/>
      <c r="G2723" s="930" t="s">
        <v>4658</v>
      </c>
      <c r="J2723" s="613" t="s">
        <v>5123</v>
      </c>
    </row>
    <row r="2724" spans="1:10" x14ac:dyDescent="0.35">
      <c r="A2724" s="366" t="str">
        <f t="shared" si="71"/>
        <v/>
      </c>
      <c r="C2724" t="str">
        <f t="shared" si="72"/>
        <v/>
      </c>
      <c r="D2724" s="47"/>
      <c r="E2724" s="481"/>
      <c r="F2724" s="481"/>
      <c r="G2724" s="881"/>
      <c r="J2724" s="613"/>
    </row>
    <row r="2725" spans="1:10" ht="15" thickBot="1" x14ac:dyDescent="0.4">
      <c r="A2725" s="366" t="str">
        <f t="shared" si="71"/>
        <v/>
      </c>
      <c r="C2725" t="str">
        <f t="shared" si="72"/>
        <v/>
      </c>
      <c r="D2725" s="52"/>
      <c r="E2725" s="491"/>
      <c r="F2725" s="491"/>
      <c r="G2725" s="931"/>
      <c r="J2725" s="613"/>
    </row>
    <row r="2726" spans="1:10" ht="15" thickTop="1" x14ac:dyDescent="0.35">
      <c r="A2726" s="366" t="str">
        <f t="shared" ref="A2726:A2743" si="73">IF(dstCommercial="Yes","P","")</f>
        <v/>
      </c>
      <c r="C2726" t="str">
        <f t="shared" si="72"/>
        <v/>
      </c>
      <c r="D2726" s="47" t="s">
        <v>4659</v>
      </c>
      <c r="E2726" s="481"/>
      <c r="F2726" s="481"/>
      <c r="G2726" s="480" t="s">
        <v>4660</v>
      </c>
      <c r="J2726" s="613"/>
    </row>
    <row r="2727" spans="1:10" x14ac:dyDescent="0.35">
      <c r="A2727" s="366" t="str">
        <f t="shared" si="73"/>
        <v/>
      </c>
      <c r="C2727" t="str">
        <f t="shared" si="72"/>
        <v/>
      </c>
      <c r="D2727" s="47" t="s">
        <v>4661</v>
      </c>
      <c r="E2727" s="481"/>
      <c r="F2727" s="481"/>
      <c r="G2727" s="881" t="s">
        <v>4662</v>
      </c>
      <c r="J2727" s="613" t="s">
        <v>5130</v>
      </c>
    </row>
    <row r="2728" spans="1:10" x14ac:dyDescent="0.35">
      <c r="A2728" s="366" t="str">
        <f t="shared" si="73"/>
        <v/>
      </c>
      <c r="C2728" t="str">
        <f t="shared" si="72"/>
        <v/>
      </c>
      <c r="D2728" s="47"/>
      <c r="E2728" s="481"/>
      <c r="F2728" s="481"/>
      <c r="G2728" s="881"/>
      <c r="J2728" s="613"/>
    </row>
    <row r="2729" spans="1:10" x14ac:dyDescent="0.35">
      <c r="A2729" s="366" t="str">
        <f t="shared" si="73"/>
        <v/>
      </c>
      <c r="C2729" t="str">
        <f t="shared" si="72"/>
        <v/>
      </c>
      <c r="D2729" s="47"/>
      <c r="E2729" s="481"/>
      <c r="F2729" s="481"/>
      <c r="G2729" s="881"/>
      <c r="J2729" s="613"/>
    </row>
    <row r="2730" spans="1:10" x14ac:dyDescent="0.35">
      <c r="A2730" s="366" t="str">
        <f t="shared" si="73"/>
        <v/>
      </c>
      <c r="C2730" t="str">
        <f t="shared" si="72"/>
        <v/>
      </c>
      <c r="D2730" s="47"/>
      <c r="E2730" s="481"/>
      <c r="F2730" s="481"/>
      <c r="G2730" s="881"/>
      <c r="J2730" s="613"/>
    </row>
    <row r="2731" spans="1:10" x14ac:dyDescent="0.35">
      <c r="A2731" s="366" t="str">
        <f t="shared" si="73"/>
        <v/>
      </c>
      <c r="C2731" t="str">
        <f t="shared" si="72"/>
        <v/>
      </c>
      <c r="D2731" s="47"/>
      <c r="E2731" s="481"/>
      <c r="F2731" s="481"/>
      <c r="G2731" s="881" t="s">
        <v>4663</v>
      </c>
      <c r="J2731" s="613" t="s">
        <v>5131</v>
      </c>
    </row>
    <row r="2732" spans="1:10" x14ac:dyDescent="0.35">
      <c r="A2732" s="366" t="str">
        <f t="shared" si="73"/>
        <v/>
      </c>
      <c r="C2732" t="str">
        <f t="shared" si="72"/>
        <v/>
      </c>
      <c r="D2732" s="47"/>
      <c r="E2732" s="481"/>
      <c r="F2732" s="481"/>
      <c r="G2732" s="881"/>
      <c r="J2732" s="613"/>
    </row>
    <row r="2733" spans="1:10" x14ac:dyDescent="0.35">
      <c r="A2733" s="366" t="str">
        <f t="shared" si="73"/>
        <v/>
      </c>
      <c r="C2733" t="str">
        <f t="shared" si="72"/>
        <v/>
      </c>
      <c r="D2733" s="47"/>
      <c r="E2733" s="481"/>
      <c r="F2733" s="481"/>
      <c r="G2733" s="881"/>
      <c r="J2733" s="613"/>
    </row>
    <row r="2734" spans="1:10" x14ac:dyDescent="0.35">
      <c r="A2734" s="366" t="str">
        <f t="shared" si="73"/>
        <v/>
      </c>
      <c r="C2734" t="str">
        <f t="shared" si="72"/>
        <v/>
      </c>
      <c r="D2734" s="47"/>
      <c r="E2734" s="481"/>
      <c r="F2734" s="481"/>
      <c r="G2734" s="881"/>
      <c r="J2734" s="613"/>
    </row>
    <row r="2735" spans="1:10" x14ac:dyDescent="0.35">
      <c r="A2735" s="366" t="str">
        <f t="shared" si="73"/>
        <v/>
      </c>
      <c r="C2735" t="str">
        <f t="shared" si="72"/>
        <v/>
      </c>
      <c r="D2735" s="47"/>
      <c r="E2735" s="481"/>
      <c r="F2735" s="481"/>
      <c r="G2735" s="881"/>
      <c r="J2735" s="613"/>
    </row>
    <row r="2736" spans="1:10" x14ac:dyDescent="0.35">
      <c r="A2736" s="366" t="str">
        <f t="shared" si="73"/>
        <v/>
      </c>
      <c r="C2736" t="str">
        <f t="shared" si="72"/>
        <v/>
      </c>
      <c r="D2736" s="100"/>
      <c r="E2736" s="482"/>
      <c r="F2736" s="482"/>
      <c r="G2736" s="882"/>
      <c r="J2736" s="613"/>
    </row>
    <row r="2737" spans="1:10" x14ac:dyDescent="0.35">
      <c r="A2737" s="366" t="str">
        <f t="shared" si="73"/>
        <v/>
      </c>
      <c r="C2737" t="str">
        <f t="shared" si="72"/>
        <v/>
      </c>
      <c r="D2737" s="47" t="s">
        <v>4664</v>
      </c>
      <c r="E2737" s="481"/>
      <c r="F2737" s="481"/>
      <c r="G2737" s="881" t="s">
        <v>4665</v>
      </c>
      <c r="J2737" s="613" t="s">
        <v>5127</v>
      </c>
    </row>
    <row r="2738" spans="1:10" x14ac:dyDescent="0.35">
      <c r="A2738" s="366" t="str">
        <f t="shared" si="73"/>
        <v/>
      </c>
      <c r="C2738" t="str">
        <f t="shared" si="72"/>
        <v/>
      </c>
      <c r="D2738" s="47"/>
      <c r="E2738" s="481"/>
      <c r="F2738" s="481"/>
      <c r="G2738" s="881"/>
      <c r="J2738" s="613"/>
    </row>
    <row r="2739" spans="1:10" x14ac:dyDescent="0.35">
      <c r="A2739" s="366" t="str">
        <f t="shared" si="73"/>
        <v/>
      </c>
      <c r="C2739" t="str">
        <f t="shared" si="72"/>
        <v/>
      </c>
      <c r="D2739" s="47"/>
      <c r="E2739" s="481"/>
      <c r="F2739" s="481"/>
      <c r="G2739" s="881"/>
      <c r="J2739" s="613"/>
    </row>
    <row r="2740" spans="1:10" ht="15" thickBot="1" x14ac:dyDescent="0.4">
      <c r="A2740" s="366" t="str">
        <f t="shared" si="73"/>
        <v/>
      </c>
      <c r="C2740" t="str">
        <f t="shared" si="72"/>
        <v/>
      </c>
      <c r="D2740" s="52"/>
      <c r="E2740" s="491"/>
      <c r="F2740" s="491"/>
      <c r="G2740" s="931"/>
      <c r="J2740" s="613"/>
    </row>
    <row r="2741" spans="1:10" ht="15" thickTop="1" x14ac:dyDescent="0.35">
      <c r="A2741" s="366" t="str">
        <f t="shared" si="73"/>
        <v/>
      </c>
      <c r="C2741" t="str">
        <f t="shared" si="72"/>
        <v/>
      </c>
      <c r="D2741" s="66" t="s">
        <v>4666</v>
      </c>
      <c r="E2741" s="540"/>
      <c r="F2741" s="540"/>
      <c r="G2741" s="930" t="s">
        <v>4667</v>
      </c>
      <c r="J2741" s="999" t="s">
        <v>5132</v>
      </c>
    </row>
    <row r="2742" spans="1:10" x14ac:dyDescent="0.35">
      <c r="A2742" s="366" t="str">
        <f t="shared" si="73"/>
        <v/>
      </c>
      <c r="C2742" t="str">
        <f t="shared" si="72"/>
        <v/>
      </c>
      <c r="D2742" s="47"/>
      <c r="E2742" s="481"/>
      <c r="F2742" s="481"/>
      <c r="G2742" s="881"/>
      <c r="J2742" s="1000"/>
    </row>
    <row r="2743" spans="1:10" x14ac:dyDescent="0.35">
      <c r="A2743" s="366" t="str">
        <f t="shared" si="73"/>
        <v/>
      </c>
      <c r="C2743" t="str">
        <f t="shared" si="72"/>
        <v/>
      </c>
      <c r="D2743" s="47"/>
      <c r="E2743" s="481"/>
      <c r="F2743" s="481"/>
      <c r="G2743" s="881"/>
      <c r="J2743" s="613"/>
    </row>
    <row r="2744" spans="1:10" ht="15" thickBot="1" x14ac:dyDescent="0.4">
      <c r="C2744" t="str">
        <f t="shared" si="72"/>
        <v/>
      </c>
      <c r="D2744" s="52"/>
      <c r="E2744" s="491"/>
      <c r="F2744" s="491"/>
      <c r="G2744" s="295" t="s">
        <v>4846</v>
      </c>
      <c r="J2744" s="612"/>
    </row>
    <row r="2745" spans="1:10" ht="15" thickTop="1" x14ac:dyDescent="0.35">
      <c r="A2745" s="366" t="str">
        <f t="shared" ref="A2745:A2769" si="74">IF(dstCommercial="Yes","P","")</f>
        <v/>
      </c>
      <c r="C2745" t="str">
        <f t="shared" si="72"/>
        <v/>
      </c>
      <c r="D2745" s="47" t="s">
        <v>4668</v>
      </c>
      <c r="E2745" s="481"/>
      <c r="F2745" s="481"/>
      <c r="G2745" s="881" t="s">
        <v>4669</v>
      </c>
      <c r="J2745" s="992" t="s">
        <v>5133</v>
      </c>
    </row>
    <row r="2746" spans="1:10" x14ac:dyDescent="0.35">
      <c r="A2746" s="366" t="str">
        <f t="shared" si="74"/>
        <v/>
      </c>
      <c r="C2746" t="str">
        <f t="shared" si="72"/>
        <v/>
      </c>
      <c r="D2746" s="47"/>
      <c r="E2746" s="481"/>
      <c r="F2746" s="481"/>
      <c r="G2746" s="881"/>
      <c r="J2746" s="998"/>
    </row>
    <row r="2747" spans="1:10" x14ac:dyDescent="0.35">
      <c r="A2747" s="366" t="str">
        <f t="shared" si="74"/>
        <v/>
      </c>
      <c r="C2747" t="str">
        <f t="shared" si="72"/>
        <v/>
      </c>
      <c r="D2747" s="47"/>
      <c r="E2747" s="481"/>
      <c r="F2747" s="481"/>
      <c r="G2747" s="881"/>
      <c r="J2747" s="613"/>
    </row>
    <row r="2748" spans="1:10" x14ac:dyDescent="0.35">
      <c r="A2748" s="366" t="str">
        <f t="shared" si="74"/>
        <v/>
      </c>
      <c r="C2748" t="str">
        <f t="shared" si="72"/>
        <v/>
      </c>
      <c r="D2748" s="47"/>
      <c r="E2748" s="481"/>
      <c r="F2748" s="481"/>
      <c r="G2748" s="881"/>
      <c r="J2748" s="613"/>
    </row>
    <row r="2749" spans="1:10" x14ac:dyDescent="0.35">
      <c r="A2749" s="366" t="str">
        <f t="shared" si="74"/>
        <v/>
      </c>
      <c r="C2749" t="str">
        <f t="shared" si="72"/>
        <v/>
      </c>
      <c r="D2749" s="47"/>
      <c r="E2749" s="482" t="s">
        <v>256</v>
      </c>
      <c r="F2749" s="482"/>
      <c r="G2749" s="477" t="s">
        <v>4670</v>
      </c>
      <c r="J2749" s="613"/>
    </row>
    <row r="2750" spans="1:10" x14ac:dyDescent="0.35">
      <c r="A2750" s="366" t="str">
        <f t="shared" si="74"/>
        <v/>
      </c>
      <c r="C2750" t="str">
        <f t="shared" si="72"/>
        <v/>
      </c>
      <c r="D2750" s="47"/>
      <c r="E2750" s="528" t="s">
        <v>258</v>
      </c>
      <c r="F2750" s="528"/>
      <c r="G2750" s="478" t="s">
        <v>4671</v>
      </c>
      <c r="J2750" s="613"/>
    </row>
    <row r="2751" spans="1:10" ht="15" customHeight="1" x14ac:dyDescent="0.35">
      <c r="A2751" s="366" t="str">
        <f t="shared" si="74"/>
        <v/>
      </c>
      <c r="C2751" t="str">
        <f t="shared" si="72"/>
        <v/>
      </c>
      <c r="D2751" s="47"/>
      <c r="E2751" s="528" t="s">
        <v>260</v>
      </c>
      <c r="F2751" s="528"/>
      <c r="G2751" s="478" t="s">
        <v>4672</v>
      </c>
      <c r="J2751" s="613"/>
    </row>
    <row r="2752" spans="1:10" x14ac:dyDescent="0.35">
      <c r="A2752" s="366" t="str">
        <f t="shared" si="74"/>
        <v/>
      </c>
      <c r="C2752" t="str">
        <f t="shared" si="72"/>
        <v/>
      </c>
      <c r="D2752" s="47"/>
      <c r="E2752" s="528" t="s">
        <v>269</v>
      </c>
      <c r="F2752" s="528"/>
      <c r="G2752" s="478" t="s">
        <v>4673</v>
      </c>
      <c r="J2752" s="613"/>
    </row>
    <row r="2753" spans="1:10" x14ac:dyDescent="0.35">
      <c r="A2753" s="366" t="str">
        <f t="shared" si="74"/>
        <v/>
      </c>
      <c r="C2753" t="str">
        <f t="shared" si="72"/>
        <v/>
      </c>
      <c r="D2753" s="47"/>
      <c r="E2753" s="528" t="s">
        <v>275</v>
      </c>
      <c r="F2753" s="528"/>
      <c r="G2753" s="478" t="s">
        <v>4674</v>
      </c>
      <c r="J2753" s="613"/>
    </row>
    <row r="2754" spans="1:10" x14ac:dyDescent="0.35">
      <c r="A2754" s="366" t="str">
        <f t="shared" si="74"/>
        <v/>
      </c>
      <c r="C2754" t="str">
        <f t="shared" si="72"/>
        <v/>
      </c>
      <c r="D2754" s="47"/>
      <c r="E2754" s="528" t="s">
        <v>277</v>
      </c>
      <c r="F2754" s="528"/>
      <c r="G2754" s="478" t="s">
        <v>4675</v>
      </c>
      <c r="J2754" s="613"/>
    </row>
    <row r="2755" spans="1:10" x14ac:dyDescent="0.35">
      <c r="A2755" s="366" t="str">
        <f t="shared" si="74"/>
        <v/>
      </c>
      <c r="C2755" t="str">
        <f t="shared" si="72"/>
        <v/>
      </c>
      <c r="D2755" s="47"/>
      <c r="E2755" s="528" t="s">
        <v>383</v>
      </c>
      <c r="F2755" s="528"/>
      <c r="G2755" s="478" t="s">
        <v>4676</v>
      </c>
      <c r="J2755" s="613"/>
    </row>
    <row r="2756" spans="1:10" x14ac:dyDescent="0.35">
      <c r="A2756" s="366" t="str">
        <f t="shared" si="74"/>
        <v/>
      </c>
      <c r="C2756" t="str">
        <f t="shared" si="72"/>
        <v/>
      </c>
      <c r="D2756" s="47"/>
      <c r="E2756" s="528" t="s">
        <v>428</v>
      </c>
      <c r="F2756" s="528"/>
      <c r="G2756" s="478" t="s">
        <v>4677</v>
      </c>
      <c r="J2756" s="613"/>
    </row>
    <row r="2757" spans="1:10" x14ac:dyDescent="0.35">
      <c r="A2757" s="366" t="str">
        <f t="shared" si="74"/>
        <v/>
      </c>
      <c r="C2757" t="str">
        <f t="shared" si="72"/>
        <v/>
      </c>
      <c r="D2757" s="47"/>
      <c r="E2757" s="528" t="s">
        <v>430</v>
      </c>
      <c r="F2757" s="528"/>
      <c r="G2757" s="478" t="s">
        <v>4678</v>
      </c>
      <c r="J2757" s="613"/>
    </row>
    <row r="2758" spans="1:10" x14ac:dyDescent="0.35">
      <c r="A2758" s="366" t="str">
        <f t="shared" si="74"/>
        <v/>
      </c>
      <c r="C2758" t="str">
        <f t="shared" si="72"/>
        <v/>
      </c>
      <c r="D2758" s="47"/>
      <c r="E2758" s="528" t="s">
        <v>432</v>
      </c>
      <c r="F2758" s="528"/>
      <c r="G2758" s="478" t="s">
        <v>4679</v>
      </c>
      <c r="J2758" s="613"/>
    </row>
    <row r="2759" spans="1:10" x14ac:dyDescent="0.35">
      <c r="A2759" s="366" t="str">
        <f t="shared" si="74"/>
        <v/>
      </c>
      <c r="C2759" t="str">
        <f t="shared" si="72"/>
        <v/>
      </c>
      <c r="D2759" s="47"/>
      <c r="E2759" s="528" t="s">
        <v>434</v>
      </c>
      <c r="F2759" s="528"/>
      <c r="G2759" s="478" t="s">
        <v>4680</v>
      </c>
      <c r="J2759" s="613"/>
    </row>
    <row r="2760" spans="1:10" x14ac:dyDescent="0.35">
      <c r="A2760" s="366" t="str">
        <f t="shared" si="74"/>
        <v/>
      </c>
      <c r="C2760" t="str">
        <f t="shared" si="72"/>
        <v/>
      </c>
      <c r="D2760" s="100"/>
      <c r="E2760" s="482" t="s">
        <v>436</v>
      </c>
      <c r="F2760" s="482"/>
      <c r="G2760" s="477" t="s">
        <v>4681</v>
      </c>
      <c r="J2760" s="613"/>
    </row>
    <row r="2761" spans="1:10" x14ac:dyDescent="0.35">
      <c r="A2761" s="366" t="str">
        <f t="shared" si="74"/>
        <v/>
      </c>
      <c r="C2761" t="str">
        <f t="shared" si="72"/>
        <v/>
      </c>
      <c r="D2761" s="47" t="s">
        <v>4682</v>
      </c>
      <c r="E2761" s="481"/>
      <c r="F2761" s="481"/>
      <c r="G2761" s="881" t="s">
        <v>4683</v>
      </c>
      <c r="J2761" s="613" t="s">
        <v>5134</v>
      </c>
    </row>
    <row r="2762" spans="1:10" x14ac:dyDescent="0.35">
      <c r="A2762" s="366" t="str">
        <f t="shared" si="74"/>
        <v/>
      </c>
      <c r="C2762" t="str">
        <f t="shared" si="72"/>
        <v/>
      </c>
      <c r="D2762" s="47"/>
      <c r="E2762" s="481"/>
      <c r="F2762" s="481"/>
      <c r="G2762" s="881"/>
      <c r="J2762" s="613"/>
    </row>
    <row r="2763" spans="1:10" ht="15" thickBot="1" x14ac:dyDescent="0.4">
      <c r="A2763" s="366" t="str">
        <f t="shared" si="74"/>
        <v/>
      </c>
      <c r="C2763" t="str">
        <f t="shared" si="72"/>
        <v/>
      </c>
      <c r="D2763" s="52"/>
      <c r="E2763" s="491"/>
      <c r="F2763" s="491"/>
      <c r="G2763" s="931"/>
      <c r="J2763" s="613"/>
    </row>
    <row r="2764" spans="1:10" ht="15" thickTop="1" x14ac:dyDescent="0.35">
      <c r="A2764" s="366" t="str">
        <f t="shared" si="74"/>
        <v/>
      </c>
      <c r="C2764" t="str">
        <f t="shared" si="72"/>
        <v/>
      </c>
      <c r="D2764" s="47" t="s">
        <v>4684</v>
      </c>
      <c r="E2764" s="481"/>
      <c r="F2764" s="481"/>
      <c r="G2764" s="881" t="s">
        <v>4685</v>
      </c>
      <c r="J2764" s="613" t="s">
        <v>5123</v>
      </c>
    </row>
    <row r="2765" spans="1:10" x14ac:dyDescent="0.35">
      <c r="A2765" s="366" t="str">
        <f t="shared" si="74"/>
        <v/>
      </c>
      <c r="C2765" t="str">
        <f t="shared" si="72"/>
        <v/>
      </c>
      <c r="D2765" s="47"/>
      <c r="E2765" s="481"/>
      <c r="F2765" s="481"/>
      <c r="G2765" s="881"/>
      <c r="J2765" s="613"/>
    </row>
    <row r="2766" spans="1:10" ht="15" thickBot="1" x14ac:dyDescent="0.4">
      <c r="A2766" s="366" t="str">
        <f t="shared" si="74"/>
        <v/>
      </c>
      <c r="C2766" t="str">
        <f t="shared" si="72"/>
        <v/>
      </c>
      <c r="D2766" s="52"/>
      <c r="E2766" s="491"/>
      <c r="F2766" s="491"/>
      <c r="G2766" s="931"/>
      <c r="J2766" s="613"/>
    </row>
    <row r="2767" spans="1:10" ht="15" thickTop="1" x14ac:dyDescent="0.35">
      <c r="A2767" s="366" t="str">
        <f t="shared" si="74"/>
        <v/>
      </c>
      <c r="C2767" t="str">
        <f t="shared" si="72"/>
        <v/>
      </c>
      <c r="D2767" s="66" t="s">
        <v>4686</v>
      </c>
      <c r="E2767" s="540"/>
      <c r="F2767" s="540"/>
      <c r="G2767" s="930" t="s">
        <v>4687</v>
      </c>
      <c r="J2767" s="613" t="s">
        <v>5135</v>
      </c>
    </row>
    <row r="2768" spans="1:10" x14ac:dyDescent="0.35">
      <c r="A2768" s="366" t="str">
        <f t="shared" si="74"/>
        <v/>
      </c>
      <c r="C2768" t="str">
        <f t="shared" si="72"/>
        <v/>
      </c>
      <c r="D2768" s="47"/>
      <c r="E2768" s="481"/>
      <c r="F2768" s="481"/>
      <c r="G2768" s="881"/>
      <c r="J2768" s="613"/>
    </row>
    <row r="2769" spans="1:10" x14ac:dyDescent="0.35">
      <c r="A2769" s="366" t="str">
        <f t="shared" si="74"/>
        <v/>
      </c>
      <c r="C2769" t="str">
        <f t="shared" si="72"/>
        <v/>
      </c>
      <c r="D2769" s="47"/>
      <c r="E2769" s="481"/>
      <c r="F2769" s="481"/>
      <c r="G2769" s="881"/>
      <c r="J2769" s="613"/>
    </row>
    <row r="2770" spans="1:10" ht="15" thickBot="1" x14ac:dyDescent="0.4">
      <c r="C2770" t="str">
        <f t="shared" si="72"/>
        <v/>
      </c>
      <c r="D2770" s="52"/>
      <c r="E2770" s="491"/>
      <c r="F2770" s="491"/>
      <c r="G2770" s="218" t="s">
        <v>4847</v>
      </c>
      <c r="J2770" s="613"/>
    </row>
    <row r="2771" spans="1:10" ht="15" thickTop="1" x14ac:dyDescent="0.35">
      <c r="A2771" s="366" t="str">
        <f>IF(dstCommercial="Yes","P","")</f>
        <v/>
      </c>
      <c r="C2771" t="str">
        <f t="shared" ref="C2771:C2834" si="75">IF(LEN(B2771)=0,IF(A2771="P","P",""),B2771)</f>
        <v/>
      </c>
      <c r="D2771" s="66" t="s">
        <v>4688</v>
      </c>
      <c r="E2771" s="540"/>
      <c r="F2771" s="540"/>
      <c r="G2771" s="930" t="s">
        <v>4689</v>
      </c>
      <c r="J2771" s="613" t="s">
        <v>5123</v>
      </c>
    </row>
    <row r="2772" spans="1:10" x14ac:dyDescent="0.35">
      <c r="A2772" s="366" t="str">
        <f>IF(dstCommercial="Yes","P","")</f>
        <v/>
      </c>
      <c r="C2772" t="str">
        <f t="shared" si="75"/>
        <v/>
      </c>
      <c r="D2772" s="47"/>
      <c r="E2772" s="481"/>
      <c r="F2772" s="481"/>
      <c r="G2772" s="881"/>
      <c r="J2772" s="613"/>
    </row>
    <row r="2773" spans="1:10" ht="15" thickBot="1" x14ac:dyDescent="0.4">
      <c r="C2773" t="str">
        <f t="shared" si="75"/>
        <v/>
      </c>
      <c r="D2773" s="52"/>
      <c r="E2773" s="491"/>
      <c r="F2773" s="491"/>
      <c r="G2773" s="218" t="s">
        <v>4847</v>
      </c>
      <c r="J2773" s="613"/>
    </row>
    <row r="2774" spans="1:10" ht="15" thickTop="1" x14ac:dyDescent="0.35">
      <c r="A2774" s="366" t="str">
        <f t="shared" ref="A2774:A2787" si="76">IF(dstCommercial="Yes","P","")</f>
        <v/>
      </c>
      <c r="C2774" t="str">
        <f t="shared" si="75"/>
        <v/>
      </c>
      <c r="D2774" s="66" t="s">
        <v>4690</v>
      </c>
      <c r="E2774" s="540"/>
      <c r="F2774" s="540"/>
      <c r="G2774" s="930" t="s">
        <v>4691</v>
      </c>
      <c r="J2774" s="613" t="s">
        <v>5123</v>
      </c>
    </row>
    <row r="2775" spans="1:10" x14ac:dyDescent="0.35">
      <c r="A2775" s="366" t="str">
        <f t="shared" si="76"/>
        <v/>
      </c>
      <c r="C2775" t="str">
        <f t="shared" si="75"/>
        <v/>
      </c>
      <c r="D2775" s="47"/>
      <c r="E2775" s="481"/>
      <c r="F2775" s="481"/>
      <c r="G2775" s="881"/>
      <c r="J2775" s="613"/>
    </row>
    <row r="2776" spans="1:10" ht="15" thickBot="1" x14ac:dyDescent="0.4">
      <c r="A2776" s="366" t="str">
        <f t="shared" si="76"/>
        <v/>
      </c>
      <c r="C2776" t="str">
        <f t="shared" si="75"/>
        <v/>
      </c>
      <c r="D2776" s="52"/>
      <c r="E2776" s="491"/>
      <c r="F2776" s="491"/>
      <c r="G2776" s="931"/>
      <c r="J2776" s="613"/>
    </row>
    <row r="2777" spans="1:10" ht="15" thickTop="1" x14ac:dyDescent="0.35">
      <c r="A2777" s="366" t="str">
        <f t="shared" si="76"/>
        <v/>
      </c>
      <c r="C2777" t="str">
        <f t="shared" si="75"/>
        <v/>
      </c>
      <c r="D2777" s="47" t="s">
        <v>4692</v>
      </c>
      <c r="E2777" s="481"/>
      <c r="F2777" s="481"/>
      <c r="G2777" s="480" t="s">
        <v>4693</v>
      </c>
      <c r="J2777" s="613"/>
    </row>
    <row r="2778" spans="1:10" x14ac:dyDescent="0.35">
      <c r="A2778" s="366" t="str">
        <f t="shared" si="76"/>
        <v/>
      </c>
      <c r="C2778" t="str">
        <f t="shared" si="75"/>
        <v/>
      </c>
      <c r="D2778" s="47" t="s">
        <v>4694</v>
      </c>
      <c r="E2778" s="481"/>
      <c r="F2778" s="481"/>
      <c r="G2778" s="881" t="s">
        <v>4695</v>
      </c>
      <c r="J2778" s="613" t="s">
        <v>5123</v>
      </c>
    </row>
    <row r="2779" spans="1:10" ht="15" thickBot="1" x14ac:dyDescent="0.4">
      <c r="A2779" s="366" t="str">
        <f t="shared" si="76"/>
        <v/>
      </c>
      <c r="C2779" t="str">
        <f t="shared" si="75"/>
        <v/>
      </c>
      <c r="D2779" s="52"/>
      <c r="E2779" s="491"/>
      <c r="F2779" s="491"/>
      <c r="G2779" s="931"/>
      <c r="J2779" s="613"/>
    </row>
    <row r="2780" spans="1:10" ht="15" thickTop="1" x14ac:dyDescent="0.35">
      <c r="A2780" s="366" t="str">
        <f t="shared" si="76"/>
        <v/>
      </c>
      <c r="C2780" t="str">
        <f t="shared" si="75"/>
        <v/>
      </c>
      <c r="D2780" s="66" t="s">
        <v>4696</v>
      </c>
      <c r="E2780" s="540"/>
      <c r="F2780" s="540"/>
      <c r="G2780" s="930" t="s">
        <v>4697</v>
      </c>
      <c r="J2780" s="613" t="s">
        <v>5136</v>
      </c>
    </row>
    <row r="2781" spans="1:10" x14ac:dyDescent="0.35">
      <c r="A2781" s="366" t="str">
        <f t="shared" si="76"/>
        <v/>
      </c>
      <c r="C2781" t="str">
        <f t="shared" si="75"/>
        <v/>
      </c>
      <c r="D2781" s="47"/>
      <c r="E2781" s="481"/>
      <c r="F2781" s="481"/>
      <c r="G2781" s="881"/>
      <c r="J2781" s="613"/>
    </row>
    <row r="2782" spans="1:10" x14ac:dyDescent="0.35">
      <c r="A2782" s="366" t="str">
        <f t="shared" si="76"/>
        <v/>
      </c>
      <c r="C2782" t="str">
        <f t="shared" si="75"/>
        <v/>
      </c>
      <c r="D2782" s="47"/>
      <c r="E2782" s="481"/>
      <c r="F2782" s="481"/>
      <c r="G2782" s="881"/>
      <c r="J2782" s="613"/>
    </row>
    <row r="2783" spans="1:10" x14ac:dyDescent="0.35">
      <c r="A2783" s="366" t="str">
        <f t="shared" si="76"/>
        <v/>
      </c>
      <c r="C2783" t="str">
        <f t="shared" si="75"/>
        <v/>
      </c>
      <c r="D2783" s="47"/>
      <c r="E2783" s="481"/>
      <c r="F2783" s="481"/>
      <c r="G2783" s="881"/>
      <c r="J2783" s="613"/>
    </row>
    <row r="2784" spans="1:10" x14ac:dyDescent="0.35">
      <c r="A2784" s="366" t="str">
        <f t="shared" si="76"/>
        <v/>
      </c>
      <c r="C2784" t="str">
        <f t="shared" si="75"/>
        <v/>
      </c>
      <c r="D2784" s="47"/>
      <c r="E2784" s="481"/>
      <c r="F2784" s="481"/>
      <c r="G2784" s="881"/>
      <c r="J2784" s="613"/>
    </row>
    <row r="2785" spans="1:10" x14ac:dyDescent="0.35">
      <c r="A2785" s="366" t="str">
        <f t="shared" si="76"/>
        <v/>
      </c>
      <c r="C2785" t="str">
        <f t="shared" si="75"/>
        <v/>
      </c>
      <c r="D2785" s="47"/>
      <c r="E2785" s="481"/>
      <c r="F2785" s="481"/>
      <c r="G2785" s="881"/>
      <c r="J2785" s="613"/>
    </row>
    <row r="2786" spans="1:10" ht="15" thickBot="1" x14ac:dyDescent="0.4">
      <c r="A2786" s="366" t="str">
        <f t="shared" si="76"/>
        <v/>
      </c>
      <c r="C2786" t="str">
        <f t="shared" si="75"/>
        <v/>
      </c>
      <c r="D2786" s="52"/>
      <c r="E2786" s="491"/>
      <c r="F2786" s="491"/>
      <c r="G2786" s="931"/>
      <c r="J2786" s="613"/>
    </row>
    <row r="2787" spans="1:10" ht="15.75" customHeight="1" thickTop="1" x14ac:dyDescent="0.35">
      <c r="A2787" s="366" t="str">
        <f t="shared" si="76"/>
        <v/>
      </c>
      <c r="C2787" t="str">
        <f t="shared" si="75"/>
        <v/>
      </c>
      <c r="D2787" s="66" t="s">
        <v>4698</v>
      </c>
      <c r="E2787" s="540"/>
      <c r="F2787" s="540"/>
      <c r="G2787" s="560" t="s">
        <v>4699</v>
      </c>
      <c r="J2787" s="613" t="s">
        <v>5137</v>
      </c>
    </row>
    <row r="2788" spans="1:10" ht="15" thickBot="1" x14ac:dyDescent="0.4">
      <c r="C2788" t="str">
        <f t="shared" si="75"/>
        <v/>
      </c>
      <c r="D2788" s="216"/>
      <c r="E2788" s="216"/>
      <c r="F2788" s="216"/>
      <c r="G2788" s="218" t="s">
        <v>4845</v>
      </c>
      <c r="J2788" s="613"/>
    </row>
    <row r="2789" spans="1:10" ht="15" thickTop="1" x14ac:dyDescent="0.35">
      <c r="A2789" s="366" t="str">
        <f t="shared" ref="A2789:A2833" si="77">IF(dstCommercial="Yes","P","")</f>
        <v/>
      </c>
      <c r="C2789" t="str">
        <f t="shared" si="75"/>
        <v/>
      </c>
      <c r="D2789" s="66" t="s">
        <v>4700</v>
      </c>
      <c r="E2789" s="540"/>
      <c r="F2789" s="540"/>
      <c r="G2789" s="930" t="s">
        <v>4701</v>
      </c>
      <c r="J2789" s="613"/>
    </row>
    <row r="2790" spans="1:10" x14ac:dyDescent="0.35">
      <c r="A2790" s="366" t="str">
        <f t="shared" si="77"/>
        <v/>
      </c>
      <c r="C2790" t="str">
        <f t="shared" si="75"/>
        <v/>
      </c>
      <c r="D2790" s="47"/>
      <c r="E2790" s="481"/>
      <c r="F2790" s="481"/>
      <c r="G2790" s="881"/>
      <c r="J2790" s="613"/>
    </row>
    <row r="2791" spans="1:10" x14ac:dyDescent="0.35">
      <c r="A2791" s="366" t="str">
        <f t="shared" si="77"/>
        <v/>
      </c>
      <c r="C2791" t="str">
        <f t="shared" si="75"/>
        <v/>
      </c>
      <c r="D2791" s="47"/>
      <c r="E2791" s="481"/>
      <c r="F2791" s="481"/>
      <c r="G2791" s="881"/>
      <c r="J2791" s="613"/>
    </row>
    <row r="2792" spans="1:10" x14ac:dyDescent="0.35">
      <c r="A2792" s="366" t="str">
        <f t="shared" si="77"/>
        <v/>
      </c>
      <c r="C2792" t="str">
        <f t="shared" si="75"/>
        <v/>
      </c>
      <c r="D2792" s="47"/>
      <c r="E2792" s="481"/>
      <c r="F2792" s="481"/>
      <c r="G2792" s="881"/>
      <c r="J2792" s="613"/>
    </row>
    <row r="2793" spans="1:10" x14ac:dyDescent="0.35">
      <c r="A2793" s="366" t="str">
        <f t="shared" si="77"/>
        <v/>
      </c>
      <c r="C2793" t="str">
        <f t="shared" si="75"/>
        <v/>
      </c>
      <c r="D2793" s="47"/>
      <c r="E2793" s="481"/>
      <c r="F2793" s="481"/>
      <c r="G2793" s="881"/>
      <c r="J2793" s="613"/>
    </row>
    <row r="2794" spans="1:10" x14ac:dyDescent="0.35">
      <c r="A2794" s="366" t="str">
        <f t="shared" si="77"/>
        <v/>
      </c>
      <c r="C2794" t="str">
        <f t="shared" si="75"/>
        <v/>
      </c>
      <c r="D2794" s="100"/>
      <c r="E2794" s="482"/>
      <c r="F2794" s="482"/>
      <c r="G2794" s="882"/>
      <c r="J2794" s="613"/>
    </row>
    <row r="2795" spans="1:10" x14ac:dyDescent="0.35">
      <c r="A2795" s="366" t="str">
        <f t="shared" si="77"/>
        <v/>
      </c>
      <c r="C2795" t="str">
        <f t="shared" si="75"/>
        <v/>
      </c>
      <c r="D2795" s="468" t="s">
        <v>4702</v>
      </c>
      <c r="E2795" s="527"/>
      <c r="F2795" s="527"/>
      <c r="G2795" s="883" t="s">
        <v>4703</v>
      </c>
      <c r="J2795" s="613" t="s">
        <v>5123</v>
      </c>
    </row>
    <row r="2796" spans="1:10" x14ac:dyDescent="0.35">
      <c r="A2796" s="366" t="str">
        <f t="shared" si="77"/>
        <v/>
      </c>
      <c r="C2796" t="str">
        <f t="shared" si="75"/>
        <v/>
      </c>
      <c r="D2796" s="47"/>
      <c r="E2796" s="481"/>
      <c r="F2796" s="481"/>
      <c r="G2796" s="881"/>
      <c r="J2796" s="613"/>
    </row>
    <row r="2797" spans="1:10" x14ac:dyDescent="0.35">
      <c r="A2797" s="366" t="str">
        <f t="shared" si="77"/>
        <v/>
      </c>
      <c r="C2797" t="str">
        <f t="shared" si="75"/>
        <v/>
      </c>
      <c r="D2797" s="47"/>
      <c r="E2797" s="481"/>
      <c r="F2797" s="481"/>
      <c r="G2797" s="881"/>
      <c r="J2797" s="613"/>
    </row>
    <row r="2798" spans="1:10" x14ac:dyDescent="0.35">
      <c r="A2798" s="366" t="str">
        <f t="shared" si="77"/>
        <v/>
      </c>
      <c r="C2798" t="str">
        <f t="shared" si="75"/>
        <v/>
      </c>
      <c r="D2798" s="47"/>
      <c r="E2798" s="481"/>
      <c r="F2798" s="481"/>
      <c r="G2798" s="881"/>
      <c r="J2798" s="613"/>
    </row>
    <row r="2799" spans="1:10" x14ac:dyDescent="0.35">
      <c r="A2799" s="366" t="str">
        <f t="shared" si="77"/>
        <v/>
      </c>
      <c r="C2799" t="str">
        <f t="shared" si="75"/>
        <v/>
      </c>
      <c r="D2799" s="47"/>
      <c r="E2799" s="481"/>
      <c r="F2799" s="481"/>
      <c r="G2799" s="881"/>
      <c r="J2799" s="613"/>
    </row>
    <row r="2800" spans="1:10" x14ac:dyDescent="0.35">
      <c r="A2800" s="366" t="str">
        <f t="shared" si="77"/>
        <v/>
      </c>
      <c r="C2800" t="str">
        <f t="shared" si="75"/>
        <v/>
      </c>
      <c r="D2800" s="47"/>
      <c r="E2800" s="481"/>
      <c r="F2800" s="481"/>
      <c r="G2800" s="881"/>
      <c r="J2800" s="613"/>
    </row>
    <row r="2801" spans="1:10" x14ac:dyDescent="0.35">
      <c r="A2801" s="366" t="str">
        <f t="shared" si="77"/>
        <v/>
      </c>
      <c r="C2801" t="str">
        <f t="shared" si="75"/>
        <v/>
      </c>
      <c r="D2801" s="100"/>
      <c r="E2801" s="482"/>
      <c r="F2801" s="482"/>
      <c r="G2801" s="882"/>
      <c r="J2801" s="613"/>
    </row>
    <row r="2802" spans="1:10" x14ac:dyDescent="0.35">
      <c r="A2802" s="366" t="str">
        <f t="shared" si="77"/>
        <v/>
      </c>
      <c r="C2802" t="str">
        <f t="shared" si="75"/>
        <v/>
      </c>
      <c r="D2802" s="468" t="s">
        <v>4704</v>
      </c>
      <c r="E2802" s="527"/>
      <c r="F2802" s="527"/>
      <c r="G2802" s="883" t="s">
        <v>4705</v>
      </c>
      <c r="J2802" s="613" t="s">
        <v>5123</v>
      </c>
    </row>
    <row r="2803" spans="1:10" x14ac:dyDescent="0.35">
      <c r="A2803" s="366" t="str">
        <f t="shared" si="77"/>
        <v/>
      </c>
      <c r="C2803" t="str">
        <f t="shared" si="75"/>
        <v/>
      </c>
      <c r="D2803" s="47"/>
      <c r="E2803" s="481"/>
      <c r="F2803" s="481"/>
      <c r="G2803" s="881"/>
      <c r="J2803" s="613"/>
    </row>
    <row r="2804" spans="1:10" x14ac:dyDescent="0.35">
      <c r="A2804" s="366" t="str">
        <f t="shared" si="77"/>
        <v/>
      </c>
      <c r="C2804" t="str">
        <f t="shared" si="75"/>
        <v/>
      </c>
      <c r="D2804" s="47"/>
      <c r="E2804" s="481"/>
      <c r="F2804" s="481"/>
      <c r="G2804" s="881"/>
      <c r="J2804" s="613"/>
    </row>
    <row r="2805" spans="1:10" x14ac:dyDescent="0.35">
      <c r="A2805" s="366" t="str">
        <f t="shared" si="77"/>
        <v/>
      </c>
      <c r="C2805" t="str">
        <f t="shared" si="75"/>
        <v/>
      </c>
      <c r="D2805" s="47"/>
      <c r="E2805" s="481"/>
      <c r="F2805" s="481"/>
      <c r="G2805" s="881"/>
      <c r="J2805" s="613"/>
    </row>
    <row r="2806" spans="1:10" x14ac:dyDescent="0.35">
      <c r="A2806" s="366" t="str">
        <f t="shared" si="77"/>
        <v/>
      </c>
      <c r="C2806" t="str">
        <f t="shared" si="75"/>
        <v/>
      </c>
      <c r="D2806" s="100"/>
      <c r="E2806" s="482"/>
      <c r="F2806" s="482"/>
      <c r="G2806" s="882"/>
      <c r="J2806" s="613"/>
    </row>
    <row r="2807" spans="1:10" x14ac:dyDescent="0.35">
      <c r="A2807" s="366" t="str">
        <f t="shared" si="77"/>
        <v/>
      </c>
      <c r="C2807" t="str">
        <f t="shared" si="75"/>
        <v/>
      </c>
      <c r="D2807" s="47" t="s">
        <v>4706</v>
      </c>
      <c r="E2807" s="481"/>
      <c r="F2807" s="481"/>
      <c r="G2807" s="881" t="s">
        <v>4707</v>
      </c>
      <c r="J2807" s="613" t="s">
        <v>5123</v>
      </c>
    </row>
    <row r="2808" spans="1:10" x14ac:dyDescent="0.35">
      <c r="A2808" s="366" t="str">
        <f t="shared" si="77"/>
        <v/>
      </c>
      <c r="C2808" t="str">
        <f t="shared" si="75"/>
        <v/>
      </c>
      <c r="D2808" s="47"/>
      <c r="E2808" s="481"/>
      <c r="F2808" s="481"/>
      <c r="G2808" s="881"/>
      <c r="J2808" s="613"/>
    </row>
    <row r="2809" spans="1:10" ht="15" thickBot="1" x14ac:dyDescent="0.4">
      <c r="A2809" s="366" t="str">
        <f t="shared" si="77"/>
        <v/>
      </c>
      <c r="C2809" t="str">
        <f t="shared" si="75"/>
        <v/>
      </c>
      <c r="D2809" s="52"/>
      <c r="E2809" s="491"/>
      <c r="F2809" s="491"/>
      <c r="G2809" s="931"/>
      <c r="J2809" s="613"/>
    </row>
    <row r="2810" spans="1:10" ht="15" thickTop="1" x14ac:dyDescent="0.35">
      <c r="A2810" s="366" t="str">
        <f t="shared" si="77"/>
        <v/>
      </c>
      <c r="C2810" t="str">
        <f t="shared" si="75"/>
        <v/>
      </c>
      <c r="D2810" s="47" t="s">
        <v>4708</v>
      </c>
      <c r="E2810" s="481"/>
      <c r="F2810" s="481"/>
      <c r="G2810" s="881" t="s">
        <v>4709</v>
      </c>
      <c r="J2810" s="613"/>
    </row>
    <row r="2811" spans="1:10" x14ac:dyDescent="0.35">
      <c r="A2811" s="366" t="str">
        <f t="shared" si="77"/>
        <v/>
      </c>
      <c r="C2811" t="str">
        <f t="shared" si="75"/>
        <v/>
      </c>
      <c r="D2811" s="47"/>
      <c r="E2811" s="481"/>
      <c r="F2811" s="481"/>
      <c r="G2811" s="881"/>
      <c r="J2811" s="613"/>
    </row>
    <row r="2812" spans="1:10" ht="39" customHeight="1" x14ac:dyDescent="0.35">
      <c r="A2812" s="366" t="str">
        <f t="shared" si="77"/>
        <v/>
      </c>
      <c r="C2812" t="str">
        <f t="shared" si="75"/>
        <v/>
      </c>
      <c r="D2812" s="47" t="s">
        <v>4710</v>
      </c>
      <c r="E2812" s="481"/>
      <c r="F2812" s="481"/>
      <c r="G2812" s="881" t="s">
        <v>4711</v>
      </c>
      <c r="J2812" s="992" t="s">
        <v>5138</v>
      </c>
    </row>
    <row r="2813" spans="1:10" x14ac:dyDescent="0.35">
      <c r="A2813" s="366" t="str">
        <f t="shared" si="77"/>
        <v/>
      </c>
      <c r="C2813" t="str">
        <f t="shared" si="75"/>
        <v/>
      </c>
      <c r="D2813" s="100"/>
      <c r="E2813" s="482"/>
      <c r="F2813" s="482"/>
      <c r="G2813" s="882"/>
      <c r="J2813" s="998"/>
    </row>
    <row r="2814" spans="1:10" x14ac:dyDescent="0.35">
      <c r="A2814" s="366" t="str">
        <f t="shared" si="77"/>
        <v/>
      </c>
      <c r="C2814" t="str">
        <f t="shared" si="75"/>
        <v/>
      </c>
      <c r="D2814" s="468" t="s">
        <v>4712</v>
      </c>
      <c r="E2814" s="527"/>
      <c r="F2814" s="527"/>
      <c r="G2814" s="883" t="s">
        <v>4713</v>
      </c>
      <c r="J2814" s="613" t="s">
        <v>5139</v>
      </c>
    </row>
    <row r="2815" spans="1:10" x14ac:dyDescent="0.35">
      <c r="A2815" s="366" t="str">
        <f t="shared" si="77"/>
        <v/>
      </c>
      <c r="C2815" t="str">
        <f t="shared" si="75"/>
        <v/>
      </c>
      <c r="D2815" s="100"/>
      <c r="E2815" s="482"/>
      <c r="F2815" s="482"/>
      <c r="G2815" s="882"/>
      <c r="J2815" s="613"/>
    </row>
    <row r="2816" spans="1:10" x14ac:dyDescent="0.35">
      <c r="A2816" s="366" t="str">
        <f t="shared" si="77"/>
        <v/>
      </c>
      <c r="C2816" t="str">
        <f t="shared" si="75"/>
        <v/>
      </c>
      <c r="D2816" s="47" t="s">
        <v>4714</v>
      </c>
      <c r="E2816" s="481"/>
      <c r="F2816" s="481"/>
      <c r="G2816" s="883" t="s">
        <v>4715</v>
      </c>
      <c r="J2816" s="613" t="s">
        <v>5123</v>
      </c>
    </row>
    <row r="2817" spans="1:10" x14ac:dyDescent="0.35">
      <c r="A2817" s="366" t="str">
        <f t="shared" si="77"/>
        <v/>
      </c>
      <c r="C2817" t="str">
        <f t="shared" si="75"/>
        <v/>
      </c>
      <c r="D2817" s="47"/>
      <c r="E2817" s="481"/>
      <c r="F2817" s="481"/>
      <c r="G2817" s="881"/>
      <c r="J2817" s="613"/>
    </row>
    <row r="2818" spans="1:10" ht="15" thickBot="1" x14ac:dyDescent="0.4">
      <c r="A2818" s="366" t="str">
        <f t="shared" si="77"/>
        <v/>
      </c>
      <c r="C2818" t="str">
        <f t="shared" si="75"/>
        <v/>
      </c>
      <c r="D2818" s="52"/>
      <c r="E2818" s="491"/>
      <c r="F2818" s="491"/>
      <c r="G2818" s="180" t="s">
        <v>4874</v>
      </c>
      <c r="J2818" s="613"/>
    </row>
    <row r="2819" spans="1:10" ht="15" thickTop="1" x14ac:dyDescent="0.35">
      <c r="A2819" s="366" t="str">
        <f t="shared" si="77"/>
        <v/>
      </c>
      <c r="C2819" t="str">
        <f t="shared" si="75"/>
        <v/>
      </c>
      <c r="D2819" s="47" t="s">
        <v>4716</v>
      </c>
      <c r="E2819" s="481"/>
      <c r="F2819" s="481"/>
      <c r="G2819" s="480" t="s">
        <v>4717</v>
      </c>
      <c r="J2819" s="613"/>
    </row>
    <row r="2820" spans="1:10" x14ac:dyDescent="0.35">
      <c r="A2820" s="366" t="str">
        <f t="shared" si="77"/>
        <v/>
      </c>
      <c r="C2820" t="str">
        <f t="shared" si="75"/>
        <v/>
      </c>
      <c r="D2820" s="47" t="s">
        <v>4718</v>
      </c>
      <c r="E2820" s="481"/>
      <c r="F2820" s="481"/>
      <c r="G2820" s="881" t="s">
        <v>4719</v>
      </c>
      <c r="J2820" s="613" t="s">
        <v>5140</v>
      </c>
    </row>
    <row r="2821" spans="1:10" x14ac:dyDescent="0.35">
      <c r="A2821" s="366" t="str">
        <f t="shared" si="77"/>
        <v/>
      </c>
      <c r="C2821" t="str">
        <f t="shared" si="75"/>
        <v/>
      </c>
      <c r="D2821" s="47"/>
      <c r="E2821" s="481"/>
      <c r="F2821" s="481"/>
      <c r="G2821" s="881"/>
      <c r="J2821" s="613"/>
    </row>
    <row r="2822" spans="1:10" x14ac:dyDescent="0.35">
      <c r="A2822" s="366" t="str">
        <f t="shared" si="77"/>
        <v/>
      </c>
      <c r="C2822" t="str">
        <f t="shared" si="75"/>
        <v/>
      </c>
      <c r="D2822" s="47"/>
      <c r="E2822" s="481"/>
      <c r="F2822" s="481"/>
      <c r="G2822" s="881"/>
      <c r="J2822" s="613"/>
    </row>
    <row r="2823" spans="1:10" x14ac:dyDescent="0.35">
      <c r="A2823" s="366" t="str">
        <f t="shared" si="77"/>
        <v/>
      </c>
      <c r="C2823" t="str">
        <f t="shared" si="75"/>
        <v/>
      </c>
      <c r="D2823" s="47"/>
      <c r="E2823" s="481"/>
      <c r="F2823" s="481"/>
      <c r="G2823" s="881"/>
      <c r="J2823" s="613"/>
    </row>
    <row r="2824" spans="1:10" x14ac:dyDescent="0.35">
      <c r="A2824" s="366" t="str">
        <f t="shared" si="77"/>
        <v/>
      </c>
      <c r="C2824" t="str">
        <f t="shared" si="75"/>
        <v/>
      </c>
      <c r="D2824" s="47"/>
      <c r="E2824" s="481"/>
      <c r="F2824" s="481"/>
      <c r="G2824" s="881"/>
      <c r="J2824" s="613"/>
    </row>
    <row r="2825" spans="1:10" x14ac:dyDescent="0.35">
      <c r="A2825" s="366" t="str">
        <f t="shared" si="77"/>
        <v/>
      </c>
      <c r="C2825" t="str">
        <f t="shared" si="75"/>
        <v/>
      </c>
      <c r="D2825" s="47"/>
      <c r="E2825" s="482" t="s">
        <v>256</v>
      </c>
      <c r="F2825" s="482"/>
      <c r="G2825" s="477" t="s">
        <v>4720</v>
      </c>
      <c r="J2825" s="613"/>
    </row>
    <row r="2826" spans="1:10" x14ac:dyDescent="0.35">
      <c r="A2826" s="366" t="str">
        <f t="shared" si="77"/>
        <v/>
      </c>
      <c r="C2826" t="str">
        <f t="shared" si="75"/>
        <v/>
      </c>
      <c r="D2826" s="47"/>
      <c r="E2826" s="527" t="s">
        <v>258</v>
      </c>
      <c r="F2826" s="527"/>
      <c r="G2826" s="828" t="s">
        <v>4721</v>
      </c>
      <c r="J2826" s="613"/>
    </row>
    <row r="2827" spans="1:10" x14ac:dyDescent="0.35">
      <c r="A2827" s="366" t="str">
        <f t="shared" si="77"/>
        <v/>
      </c>
      <c r="C2827" t="str">
        <f t="shared" si="75"/>
        <v/>
      </c>
      <c r="D2827" s="47"/>
      <c r="E2827" s="482"/>
      <c r="F2827" s="482"/>
      <c r="G2827" s="842"/>
      <c r="J2827" s="613"/>
    </row>
    <row r="2828" spans="1:10" ht="15" thickBot="1" x14ac:dyDescent="0.4">
      <c r="A2828" s="366" t="str">
        <f t="shared" si="77"/>
        <v/>
      </c>
      <c r="C2828" t="str">
        <f t="shared" si="75"/>
        <v/>
      </c>
      <c r="D2828" s="52"/>
      <c r="E2828" s="491" t="s">
        <v>260</v>
      </c>
      <c r="F2828" s="491"/>
      <c r="G2828" s="474" t="s">
        <v>4722</v>
      </c>
      <c r="J2828" s="613"/>
    </row>
    <row r="2829" spans="1:10" ht="15" thickTop="1" x14ac:dyDescent="0.35">
      <c r="A2829" s="366" t="str">
        <f t="shared" si="77"/>
        <v/>
      </c>
      <c r="C2829" t="str">
        <f t="shared" si="75"/>
        <v/>
      </c>
      <c r="D2829" s="66" t="s">
        <v>4723</v>
      </c>
      <c r="E2829" s="540"/>
      <c r="F2829" s="540"/>
      <c r="G2829" s="930" t="s">
        <v>4724</v>
      </c>
      <c r="J2829" s="613" t="s">
        <v>5123</v>
      </c>
    </row>
    <row r="2830" spans="1:10" ht="15" thickBot="1" x14ac:dyDescent="0.4">
      <c r="A2830" s="366" t="str">
        <f t="shared" si="77"/>
        <v/>
      </c>
      <c r="C2830" t="str">
        <f t="shared" si="75"/>
        <v/>
      </c>
      <c r="D2830" s="52"/>
      <c r="E2830" s="491"/>
      <c r="F2830" s="491"/>
      <c r="G2830" s="931"/>
      <c r="J2830" s="613"/>
    </row>
    <row r="2831" spans="1:10" ht="15" thickTop="1" x14ac:dyDescent="0.35">
      <c r="A2831" s="366" t="str">
        <f t="shared" si="77"/>
        <v/>
      </c>
      <c r="C2831" t="str">
        <f t="shared" si="75"/>
        <v/>
      </c>
      <c r="D2831" s="47" t="s">
        <v>4725</v>
      </c>
      <c r="E2831" s="481"/>
      <c r="F2831" s="481"/>
      <c r="G2831" s="881" t="s">
        <v>4726</v>
      </c>
      <c r="J2831" s="613" t="s">
        <v>5141</v>
      </c>
    </row>
    <row r="2832" spans="1:10" x14ac:dyDescent="0.35">
      <c r="A2832" s="366" t="str">
        <f t="shared" si="77"/>
        <v/>
      </c>
      <c r="C2832" t="str">
        <f t="shared" si="75"/>
        <v/>
      </c>
      <c r="D2832" s="47"/>
      <c r="E2832" s="481"/>
      <c r="F2832" s="481"/>
      <c r="G2832" s="881"/>
      <c r="J2832" s="613"/>
    </row>
    <row r="2833" spans="1:10" x14ac:dyDescent="0.35">
      <c r="A2833" s="366" t="str">
        <f t="shared" si="77"/>
        <v/>
      </c>
      <c r="C2833" t="str">
        <f t="shared" si="75"/>
        <v/>
      </c>
      <c r="D2833" s="47"/>
      <c r="E2833" s="481"/>
      <c r="F2833" s="481"/>
      <c r="G2833" s="881"/>
      <c r="J2833" s="613"/>
    </row>
    <row r="2834" spans="1:10" x14ac:dyDescent="0.35">
      <c r="C2834" t="str">
        <f t="shared" si="75"/>
        <v/>
      </c>
      <c r="D2834" s="47"/>
      <c r="E2834" s="481" t="s">
        <v>256</v>
      </c>
      <c r="F2834" s="481"/>
      <c r="G2834" s="825" t="s">
        <v>4727</v>
      </c>
      <c r="J2834" s="613"/>
    </row>
    <row r="2835" spans="1:10" x14ac:dyDescent="0.35">
      <c r="C2835" t="str">
        <f t="shared" ref="C2835:C2898" si="78">IF(LEN(B2835)=0,IF(A2835="P","P",""),B2835)</f>
        <v/>
      </c>
      <c r="D2835" s="47"/>
      <c r="E2835" s="482"/>
      <c r="F2835" s="482"/>
      <c r="G2835" s="842"/>
      <c r="J2835" s="613"/>
    </row>
    <row r="2836" spans="1:10" x14ac:dyDescent="0.35">
      <c r="C2836" t="str">
        <f t="shared" si="78"/>
        <v/>
      </c>
      <c r="D2836" s="47"/>
      <c r="E2836" s="527" t="s">
        <v>258</v>
      </c>
      <c r="F2836" s="527"/>
      <c r="G2836" s="828" t="s">
        <v>4728</v>
      </c>
      <c r="J2836" s="613"/>
    </row>
    <row r="2837" spans="1:10" x14ac:dyDescent="0.35">
      <c r="C2837" t="str">
        <f t="shared" si="78"/>
        <v/>
      </c>
      <c r="D2837" s="47"/>
      <c r="E2837" s="482"/>
      <c r="F2837" s="482"/>
      <c r="G2837" s="842"/>
      <c r="J2837" s="613"/>
    </row>
    <row r="2838" spans="1:10" x14ac:dyDescent="0.35">
      <c r="C2838" t="str">
        <f t="shared" si="78"/>
        <v/>
      </c>
      <c r="D2838" s="47"/>
      <c r="E2838" s="527" t="s">
        <v>260</v>
      </c>
      <c r="F2838" s="527"/>
      <c r="G2838" s="828" t="s">
        <v>4729</v>
      </c>
      <c r="J2838" s="613"/>
    </row>
    <row r="2839" spans="1:10" x14ac:dyDescent="0.35">
      <c r="C2839" t="str">
        <f t="shared" si="78"/>
        <v/>
      </c>
      <c r="D2839" s="47"/>
      <c r="E2839" s="482"/>
      <c r="F2839" s="482"/>
      <c r="G2839" s="842"/>
      <c r="J2839" s="613"/>
    </row>
    <row r="2840" spans="1:10" x14ac:dyDescent="0.35">
      <c r="C2840" t="str">
        <f t="shared" si="78"/>
        <v/>
      </c>
      <c r="D2840" s="47"/>
      <c r="E2840" s="481" t="s">
        <v>269</v>
      </c>
      <c r="F2840" s="481"/>
      <c r="G2840" s="825" t="s">
        <v>4730</v>
      </c>
      <c r="J2840" s="613"/>
    </row>
    <row r="2841" spans="1:10" ht="15" thickBot="1" x14ac:dyDescent="0.4">
      <c r="C2841" t="str">
        <f t="shared" si="78"/>
        <v/>
      </c>
      <c r="D2841" s="52"/>
      <c r="E2841" s="491"/>
      <c r="F2841" s="491"/>
      <c r="G2841" s="826"/>
      <c r="J2841" s="613"/>
    </row>
    <row r="2842" spans="1:10" ht="15" thickTop="1" x14ac:dyDescent="0.35">
      <c r="A2842" s="366" t="str">
        <f t="shared" ref="A2842:A2873" si="79">IF(dstCommercial="Yes","P","")</f>
        <v/>
      </c>
      <c r="C2842" t="str">
        <f t="shared" si="78"/>
        <v/>
      </c>
      <c r="D2842" s="47" t="s">
        <v>4731</v>
      </c>
      <c r="E2842" s="481"/>
      <c r="F2842" s="481"/>
      <c r="G2842" s="480" t="s">
        <v>4732</v>
      </c>
      <c r="J2842" s="613"/>
    </row>
    <row r="2843" spans="1:10" x14ac:dyDescent="0.35">
      <c r="A2843" s="366" t="str">
        <f t="shared" si="79"/>
        <v/>
      </c>
      <c r="C2843" t="str">
        <f t="shared" si="78"/>
        <v/>
      </c>
      <c r="D2843" s="47" t="s">
        <v>4733</v>
      </c>
      <c r="E2843" s="481"/>
      <c r="F2843" s="481"/>
      <c r="G2843" s="881" t="s">
        <v>4734</v>
      </c>
      <c r="J2843" s="613" t="s">
        <v>5141</v>
      </c>
    </row>
    <row r="2844" spans="1:10" x14ac:dyDescent="0.35">
      <c r="A2844" s="366" t="str">
        <f t="shared" si="79"/>
        <v/>
      </c>
      <c r="C2844" t="str">
        <f t="shared" si="78"/>
        <v/>
      </c>
      <c r="D2844" s="47"/>
      <c r="E2844" s="481"/>
      <c r="F2844" s="481"/>
      <c r="G2844" s="881"/>
      <c r="J2844" s="613"/>
    </row>
    <row r="2845" spans="1:10" x14ac:dyDescent="0.35">
      <c r="A2845" s="366" t="str">
        <f t="shared" si="79"/>
        <v/>
      </c>
      <c r="C2845" t="str">
        <f t="shared" si="78"/>
        <v/>
      </c>
      <c r="D2845" s="47"/>
      <c r="E2845" s="481"/>
      <c r="F2845" s="481"/>
      <c r="G2845" s="881"/>
      <c r="J2845" s="613"/>
    </row>
    <row r="2846" spans="1:10" x14ac:dyDescent="0.35">
      <c r="A2846" s="366" t="str">
        <f t="shared" si="79"/>
        <v/>
      </c>
      <c r="C2846" t="str">
        <f t="shared" si="78"/>
        <v/>
      </c>
      <c r="D2846" s="100"/>
      <c r="E2846" s="482"/>
      <c r="F2846" s="482"/>
      <c r="G2846" s="882"/>
      <c r="J2846" s="613"/>
    </row>
    <row r="2847" spans="1:10" x14ac:dyDescent="0.35">
      <c r="A2847" s="366" t="str">
        <f t="shared" si="79"/>
        <v/>
      </c>
      <c r="C2847" t="str">
        <f t="shared" si="78"/>
        <v/>
      </c>
      <c r="D2847" s="47" t="s">
        <v>4735</v>
      </c>
      <c r="E2847" s="481"/>
      <c r="F2847" s="481"/>
      <c r="G2847" s="881" t="s">
        <v>4736</v>
      </c>
      <c r="J2847" s="613" t="s">
        <v>5141</v>
      </c>
    </row>
    <row r="2848" spans="1:10" x14ac:dyDescent="0.35">
      <c r="A2848" s="366" t="str">
        <f t="shared" si="79"/>
        <v/>
      </c>
      <c r="C2848" t="str">
        <f t="shared" si="78"/>
        <v/>
      </c>
      <c r="D2848" s="47"/>
      <c r="E2848" s="481"/>
      <c r="F2848" s="481"/>
      <c r="G2848" s="881"/>
      <c r="J2848" s="613"/>
    </row>
    <row r="2849" spans="1:10" x14ac:dyDescent="0.35">
      <c r="A2849" s="366" t="str">
        <f t="shared" si="79"/>
        <v/>
      </c>
      <c r="C2849" t="str">
        <f t="shared" si="78"/>
        <v/>
      </c>
      <c r="D2849" s="47"/>
      <c r="E2849" s="482" t="s">
        <v>256</v>
      </c>
      <c r="F2849" s="482"/>
      <c r="G2849" s="477" t="s">
        <v>4737</v>
      </c>
      <c r="J2849" s="613"/>
    </row>
    <row r="2850" spans="1:10" x14ac:dyDescent="0.35">
      <c r="A2850" s="366" t="str">
        <f t="shared" si="79"/>
        <v/>
      </c>
      <c r="C2850" t="str">
        <f t="shared" si="78"/>
        <v/>
      </c>
      <c r="D2850" s="47"/>
      <c r="E2850" s="527" t="s">
        <v>258</v>
      </c>
      <c r="F2850" s="527"/>
      <c r="G2850" s="828" t="s">
        <v>4738</v>
      </c>
      <c r="J2850" s="613"/>
    </row>
    <row r="2851" spans="1:10" x14ac:dyDescent="0.35">
      <c r="A2851" s="366" t="str">
        <f t="shared" si="79"/>
        <v/>
      </c>
      <c r="C2851" t="str">
        <f t="shared" si="78"/>
        <v/>
      </c>
      <c r="D2851" s="47"/>
      <c r="E2851" s="481"/>
      <c r="F2851" s="481"/>
      <c r="G2851" s="825"/>
      <c r="J2851" s="613"/>
    </row>
    <row r="2852" spans="1:10" x14ac:dyDescent="0.35">
      <c r="A2852" s="366" t="str">
        <f t="shared" si="79"/>
        <v/>
      </c>
      <c r="C2852" t="str">
        <f t="shared" si="78"/>
        <v/>
      </c>
      <c r="D2852" s="47"/>
      <c r="E2852" s="482"/>
      <c r="F2852" s="482"/>
      <c r="G2852" s="842"/>
      <c r="J2852" s="613"/>
    </row>
    <row r="2853" spans="1:10" x14ac:dyDescent="0.35">
      <c r="A2853" s="366" t="str">
        <f t="shared" si="79"/>
        <v/>
      </c>
      <c r="C2853" t="str">
        <f t="shared" si="78"/>
        <v/>
      </c>
      <c r="D2853" s="100"/>
      <c r="E2853" s="482" t="s">
        <v>260</v>
      </c>
      <c r="F2853" s="482"/>
      <c r="G2853" s="477" t="s">
        <v>4739</v>
      </c>
      <c r="J2853" s="613"/>
    </row>
    <row r="2854" spans="1:10" x14ac:dyDescent="0.35">
      <c r="A2854" s="366" t="str">
        <f t="shared" si="79"/>
        <v/>
      </c>
      <c r="C2854" t="str">
        <f t="shared" si="78"/>
        <v/>
      </c>
      <c r="D2854" s="468" t="s">
        <v>4740</v>
      </c>
      <c r="E2854" s="527"/>
      <c r="F2854" s="527"/>
      <c r="G2854" s="883" t="s">
        <v>4741</v>
      </c>
      <c r="J2854" s="613" t="s">
        <v>5141</v>
      </c>
    </row>
    <row r="2855" spans="1:10" x14ac:dyDescent="0.35">
      <c r="A2855" s="366" t="str">
        <f t="shared" si="79"/>
        <v/>
      </c>
      <c r="C2855" t="str">
        <f t="shared" si="78"/>
        <v/>
      </c>
      <c r="D2855" s="47"/>
      <c r="E2855" s="481"/>
      <c r="F2855" s="481"/>
      <c r="G2855" s="881"/>
      <c r="J2855" s="613"/>
    </row>
    <row r="2856" spans="1:10" x14ac:dyDescent="0.35">
      <c r="A2856" s="366" t="str">
        <f t="shared" si="79"/>
        <v/>
      </c>
      <c r="C2856" t="str">
        <f t="shared" si="78"/>
        <v/>
      </c>
      <c r="D2856" s="100"/>
      <c r="E2856" s="482"/>
      <c r="F2856" s="482"/>
      <c r="G2856" s="882"/>
      <c r="J2856" s="613"/>
    </row>
    <row r="2857" spans="1:10" x14ac:dyDescent="0.35">
      <c r="A2857" s="366" t="str">
        <f t="shared" si="79"/>
        <v/>
      </c>
      <c r="C2857" t="str">
        <f t="shared" si="78"/>
        <v/>
      </c>
      <c r="D2857" s="47" t="s">
        <v>4742</v>
      </c>
      <c r="E2857" s="481"/>
      <c r="F2857" s="481"/>
      <c r="G2857" s="881" t="s">
        <v>4743</v>
      </c>
      <c r="J2857" s="613" t="s">
        <v>3891</v>
      </c>
    </row>
    <row r="2858" spans="1:10" ht="15" thickBot="1" x14ac:dyDescent="0.4">
      <c r="A2858" s="366" t="str">
        <f t="shared" si="79"/>
        <v/>
      </c>
      <c r="C2858" t="str">
        <f t="shared" si="78"/>
        <v/>
      </c>
      <c r="D2858" s="52"/>
      <c r="E2858" s="491"/>
      <c r="F2858" s="491"/>
      <c r="G2858" s="931"/>
      <c r="J2858" s="613"/>
    </row>
    <row r="2859" spans="1:10" ht="15" thickTop="1" x14ac:dyDescent="0.35">
      <c r="A2859" s="366" t="str">
        <f t="shared" si="79"/>
        <v/>
      </c>
      <c r="C2859" t="str">
        <f t="shared" si="78"/>
        <v/>
      </c>
      <c r="D2859" s="66" t="s">
        <v>4744</v>
      </c>
      <c r="E2859" s="540"/>
      <c r="F2859" s="540"/>
      <c r="G2859" s="930" t="s">
        <v>4745</v>
      </c>
      <c r="J2859" s="613"/>
    </row>
    <row r="2860" spans="1:10" x14ac:dyDescent="0.35">
      <c r="A2860" s="366" t="str">
        <f t="shared" si="79"/>
        <v/>
      </c>
      <c r="C2860" t="str">
        <f t="shared" si="78"/>
        <v/>
      </c>
      <c r="D2860" s="100"/>
      <c r="E2860" s="482"/>
      <c r="F2860" s="482"/>
      <c r="G2860" s="882"/>
      <c r="J2860" s="613"/>
    </row>
    <row r="2861" spans="1:10" x14ac:dyDescent="0.35">
      <c r="A2861" s="366" t="str">
        <f t="shared" si="79"/>
        <v/>
      </c>
      <c r="C2861" t="str">
        <f t="shared" si="78"/>
        <v/>
      </c>
      <c r="D2861" s="468" t="s">
        <v>4746</v>
      </c>
      <c r="E2861" s="527"/>
      <c r="F2861" s="527"/>
      <c r="G2861" s="883" t="s">
        <v>4747</v>
      </c>
      <c r="J2861" s="613" t="s">
        <v>5141</v>
      </c>
    </row>
    <row r="2862" spans="1:10" x14ac:dyDescent="0.35">
      <c r="A2862" s="366" t="str">
        <f t="shared" si="79"/>
        <v/>
      </c>
      <c r="C2862" t="str">
        <f t="shared" si="78"/>
        <v/>
      </c>
      <c r="D2862" s="47"/>
      <c r="E2862" s="481"/>
      <c r="F2862" s="481"/>
      <c r="G2862" s="881"/>
      <c r="J2862" s="613"/>
    </row>
    <row r="2863" spans="1:10" x14ac:dyDescent="0.35">
      <c r="A2863" s="366" t="str">
        <f t="shared" si="79"/>
        <v/>
      </c>
      <c r="C2863" t="str">
        <f t="shared" si="78"/>
        <v/>
      </c>
      <c r="D2863" s="47"/>
      <c r="E2863" s="481"/>
      <c r="F2863" s="481"/>
      <c r="G2863" s="881"/>
      <c r="J2863" s="613"/>
    </row>
    <row r="2864" spans="1:10" x14ac:dyDescent="0.35">
      <c r="A2864" s="366" t="str">
        <f t="shared" si="79"/>
        <v/>
      </c>
      <c r="C2864" t="str">
        <f t="shared" si="78"/>
        <v/>
      </c>
      <c r="D2864" s="100"/>
      <c r="E2864" s="482"/>
      <c r="F2864" s="482"/>
      <c r="G2864" s="882"/>
      <c r="J2864" s="613"/>
    </row>
    <row r="2865" spans="1:10" x14ac:dyDescent="0.35">
      <c r="A2865" s="366" t="str">
        <f t="shared" si="79"/>
        <v/>
      </c>
      <c r="C2865" t="str">
        <f t="shared" si="78"/>
        <v/>
      </c>
      <c r="D2865" s="468" t="s">
        <v>4748</v>
      </c>
      <c r="E2865" s="527"/>
      <c r="F2865" s="527"/>
      <c r="G2865" s="883" t="s">
        <v>4749</v>
      </c>
      <c r="J2865" s="613" t="s">
        <v>5141</v>
      </c>
    </row>
    <row r="2866" spans="1:10" x14ac:dyDescent="0.35">
      <c r="A2866" s="366" t="str">
        <f t="shared" si="79"/>
        <v/>
      </c>
      <c r="C2866" t="str">
        <f t="shared" si="78"/>
        <v/>
      </c>
      <c r="D2866" s="47"/>
      <c r="E2866" s="481"/>
      <c r="F2866" s="481"/>
      <c r="G2866" s="881"/>
      <c r="J2866" s="613"/>
    </row>
    <row r="2867" spans="1:10" x14ac:dyDescent="0.35">
      <c r="A2867" s="366" t="str">
        <f t="shared" si="79"/>
        <v/>
      </c>
      <c r="C2867" t="str">
        <f t="shared" si="78"/>
        <v/>
      </c>
      <c r="D2867" s="100"/>
      <c r="E2867" s="482"/>
      <c r="F2867" s="482"/>
      <c r="G2867" s="882"/>
      <c r="J2867" s="613"/>
    </row>
    <row r="2868" spans="1:10" x14ac:dyDescent="0.35">
      <c r="A2868" s="366" t="str">
        <f t="shared" si="79"/>
        <v/>
      </c>
      <c r="C2868" t="str">
        <f t="shared" si="78"/>
        <v/>
      </c>
      <c r="D2868" s="47" t="s">
        <v>4750</v>
      </c>
      <c r="E2868" s="481"/>
      <c r="F2868" s="481"/>
      <c r="G2868" s="881" t="s">
        <v>4751</v>
      </c>
      <c r="J2868" s="613" t="s">
        <v>5123</v>
      </c>
    </row>
    <row r="2869" spans="1:10" x14ac:dyDescent="0.35">
      <c r="A2869" s="366" t="str">
        <f t="shared" si="79"/>
        <v/>
      </c>
      <c r="C2869" t="str">
        <f t="shared" si="78"/>
        <v/>
      </c>
      <c r="D2869" s="47"/>
      <c r="E2869" s="481"/>
      <c r="F2869" s="481"/>
      <c r="G2869" s="881"/>
      <c r="J2869" s="613"/>
    </row>
    <row r="2870" spans="1:10" ht="15" thickBot="1" x14ac:dyDescent="0.4">
      <c r="A2870" s="366" t="str">
        <f t="shared" si="79"/>
        <v/>
      </c>
      <c r="C2870" t="str">
        <f t="shared" si="78"/>
        <v/>
      </c>
      <c r="D2870" s="52"/>
      <c r="E2870" s="491"/>
      <c r="F2870" s="491"/>
      <c r="G2870" s="931"/>
      <c r="J2870" s="613"/>
    </row>
    <row r="2871" spans="1:10" ht="15" thickTop="1" x14ac:dyDescent="0.35">
      <c r="A2871" s="366" t="str">
        <f t="shared" si="79"/>
        <v/>
      </c>
      <c r="C2871" t="str">
        <f t="shared" si="78"/>
        <v/>
      </c>
      <c r="D2871" s="66" t="s">
        <v>4752</v>
      </c>
      <c r="E2871" s="540"/>
      <c r="F2871" s="540"/>
      <c r="G2871" s="930" t="s">
        <v>4753</v>
      </c>
      <c r="J2871" s="613" t="s">
        <v>5123</v>
      </c>
    </row>
    <row r="2872" spans="1:10" x14ac:dyDescent="0.35">
      <c r="A2872" s="366" t="str">
        <f t="shared" si="79"/>
        <v/>
      </c>
      <c r="C2872" t="str">
        <f t="shared" si="78"/>
        <v/>
      </c>
      <c r="D2872" s="47"/>
      <c r="E2872" s="481"/>
      <c r="F2872" s="481"/>
      <c r="G2872" s="881"/>
      <c r="J2872" s="613"/>
    </row>
    <row r="2873" spans="1:10" ht="15" thickBot="1" x14ac:dyDescent="0.4">
      <c r="A2873" s="366" t="str">
        <f t="shared" si="79"/>
        <v/>
      </c>
      <c r="C2873" t="str">
        <f t="shared" si="78"/>
        <v/>
      </c>
      <c r="D2873" s="52"/>
      <c r="E2873" s="491"/>
      <c r="F2873" s="491"/>
      <c r="G2873" s="931"/>
      <c r="J2873" s="613"/>
    </row>
    <row r="2874" spans="1:10" ht="15" thickTop="1" x14ac:dyDescent="0.35">
      <c r="A2874" s="366" t="str">
        <f t="shared" ref="A2874:A2892" si="80">IF(dstCommercial="Yes","P","")</f>
        <v/>
      </c>
      <c r="C2874" t="str">
        <f t="shared" si="78"/>
        <v/>
      </c>
      <c r="D2874" s="47" t="s">
        <v>4754</v>
      </c>
      <c r="E2874" s="481"/>
      <c r="F2874" s="481"/>
      <c r="G2874" s="480" t="s">
        <v>4755</v>
      </c>
      <c r="J2874" s="613"/>
    </row>
    <row r="2875" spans="1:10" x14ac:dyDescent="0.35">
      <c r="A2875" s="366" t="str">
        <f t="shared" si="80"/>
        <v/>
      </c>
      <c r="C2875" t="str">
        <f t="shared" si="78"/>
        <v/>
      </c>
      <c r="D2875" s="47" t="s">
        <v>4756</v>
      </c>
      <c r="E2875" s="481"/>
      <c r="F2875" s="481"/>
      <c r="G2875" s="881" t="s">
        <v>4757</v>
      </c>
      <c r="J2875" s="613" t="s">
        <v>3891</v>
      </c>
    </row>
    <row r="2876" spans="1:10" x14ac:dyDescent="0.35">
      <c r="A2876" s="366" t="str">
        <f t="shared" si="80"/>
        <v/>
      </c>
      <c r="C2876" t="str">
        <f t="shared" si="78"/>
        <v/>
      </c>
      <c r="D2876" s="100"/>
      <c r="E2876" s="482"/>
      <c r="F2876" s="482"/>
      <c r="G2876" s="882"/>
      <c r="J2876" s="613"/>
    </row>
    <row r="2877" spans="1:10" x14ac:dyDescent="0.35">
      <c r="A2877" s="366" t="str">
        <f t="shared" si="80"/>
        <v/>
      </c>
      <c r="C2877" t="str">
        <f t="shared" si="78"/>
        <v/>
      </c>
      <c r="D2877" s="47" t="s">
        <v>4758</v>
      </c>
      <c r="E2877" s="481"/>
      <c r="F2877" s="481"/>
      <c r="G2877" s="881" t="s">
        <v>4759</v>
      </c>
      <c r="J2877" s="613" t="s">
        <v>5142</v>
      </c>
    </row>
    <row r="2878" spans="1:10" x14ac:dyDescent="0.35">
      <c r="A2878" s="366" t="str">
        <f t="shared" si="80"/>
        <v/>
      </c>
      <c r="C2878" t="str">
        <f t="shared" si="78"/>
        <v/>
      </c>
      <c r="D2878" s="47"/>
      <c r="E2878" s="481"/>
      <c r="F2878" s="481"/>
      <c r="G2878" s="881"/>
      <c r="J2878" s="613"/>
    </row>
    <row r="2879" spans="1:10" ht="15" customHeight="1" x14ac:dyDescent="0.35">
      <c r="A2879" s="366" t="str">
        <f t="shared" si="80"/>
        <v/>
      </c>
      <c r="C2879" t="str">
        <f t="shared" si="78"/>
        <v/>
      </c>
      <c r="D2879" s="47"/>
      <c r="E2879" s="482" t="s">
        <v>256</v>
      </c>
      <c r="F2879" s="482"/>
      <c r="G2879" s="477" t="s">
        <v>4760</v>
      </c>
      <c r="J2879" s="613"/>
    </row>
    <row r="2880" spans="1:10" ht="15" thickBot="1" x14ac:dyDescent="0.4">
      <c r="A2880" s="366" t="str">
        <f t="shared" si="80"/>
        <v/>
      </c>
      <c r="C2880" t="str">
        <f t="shared" si="78"/>
        <v/>
      </c>
      <c r="D2880" s="52"/>
      <c r="E2880" s="491" t="s">
        <v>258</v>
      </c>
      <c r="F2880" s="491"/>
      <c r="G2880" s="474" t="s">
        <v>4761</v>
      </c>
      <c r="J2880" s="613"/>
    </row>
    <row r="2881" spans="1:10" ht="15" thickTop="1" x14ac:dyDescent="0.35">
      <c r="A2881" s="366" t="str">
        <f t="shared" si="80"/>
        <v/>
      </c>
      <c r="C2881" t="str">
        <f t="shared" si="78"/>
        <v/>
      </c>
      <c r="D2881" s="47" t="s">
        <v>4762</v>
      </c>
      <c r="E2881" s="481"/>
      <c r="F2881" s="481"/>
      <c r="G2881" s="480" t="s">
        <v>4763</v>
      </c>
      <c r="J2881" s="613" t="s">
        <v>5143</v>
      </c>
    </row>
    <row r="2882" spans="1:10" x14ac:dyDescent="0.35">
      <c r="A2882" s="366" t="str">
        <f t="shared" si="80"/>
        <v/>
      </c>
      <c r="C2882" t="str">
        <f t="shared" si="78"/>
        <v/>
      </c>
      <c r="D2882" s="47"/>
      <c r="E2882" s="482" t="s">
        <v>256</v>
      </c>
      <c r="F2882" s="482"/>
      <c r="G2882" s="477" t="s">
        <v>4764</v>
      </c>
      <c r="J2882" s="613"/>
    </row>
    <row r="2883" spans="1:10" ht="15" thickBot="1" x14ac:dyDescent="0.4">
      <c r="A2883" s="366" t="str">
        <f t="shared" si="80"/>
        <v/>
      </c>
      <c r="C2883" t="str">
        <f t="shared" si="78"/>
        <v/>
      </c>
      <c r="D2883" s="52"/>
      <c r="E2883" s="491" t="s">
        <v>258</v>
      </c>
      <c r="F2883" s="491"/>
      <c r="G2883" s="474" t="s">
        <v>4765</v>
      </c>
      <c r="J2883" s="613"/>
    </row>
    <row r="2884" spans="1:10" ht="15" thickTop="1" x14ac:dyDescent="0.35">
      <c r="A2884" s="366" t="str">
        <f t="shared" si="80"/>
        <v/>
      </c>
      <c r="C2884" t="str">
        <f t="shared" si="78"/>
        <v/>
      </c>
      <c r="D2884" s="66" t="s">
        <v>4766</v>
      </c>
      <c r="E2884" s="540"/>
      <c r="F2884" s="540"/>
      <c r="G2884" s="930" t="s">
        <v>4767</v>
      </c>
      <c r="J2884" s="613" t="s">
        <v>5144</v>
      </c>
    </row>
    <row r="2885" spans="1:10" x14ac:dyDescent="0.35">
      <c r="A2885" s="366" t="str">
        <f t="shared" si="80"/>
        <v/>
      </c>
      <c r="C2885" t="str">
        <f t="shared" si="78"/>
        <v/>
      </c>
      <c r="D2885" s="100"/>
      <c r="E2885" s="482"/>
      <c r="F2885" s="482"/>
      <c r="G2885" s="882"/>
      <c r="J2885" s="613"/>
    </row>
    <row r="2886" spans="1:10" x14ac:dyDescent="0.35">
      <c r="A2886" s="366" t="str">
        <f t="shared" si="80"/>
        <v/>
      </c>
      <c r="C2886" t="str">
        <f t="shared" si="78"/>
        <v/>
      </c>
      <c r="D2886" s="30">
        <v>901.4</v>
      </c>
      <c r="E2886" s="32"/>
      <c r="F2886" s="32"/>
      <c r="G2886" s="814" t="s">
        <v>3178</v>
      </c>
      <c r="J2886" s="613"/>
    </row>
    <row r="2887" spans="1:10" x14ac:dyDescent="0.35">
      <c r="A2887" s="366" t="str">
        <f t="shared" si="80"/>
        <v/>
      </c>
      <c r="C2887" t="str">
        <f t="shared" si="78"/>
        <v/>
      </c>
      <c r="D2887" s="30"/>
      <c r="E2887" s="32"/>
      <c r="F2887" s="32"/>
      <c r="G2887" s="814"/>
      <c r="J2887" s="613"/>
    </row>
    <row r="2888" spans="1:10" x14ac:dyDescent="0.35">
      <c r="A2888" s="366" t="str">
        <f t="shared" si="80"/>
        <v/>
      </c>
      <c r="C2888" t="str">
        <f t="shared" si="78"/>
        <v/>
      </c>
      <c r="D2888" s="30"/>
      <c r="E2888" s="32"/>
      <c r="F2888" s="32"/>
      <c r="G2888" s="814"/>
      <c r="J2888" s="613"/>
    </row>
    <row r="2889" spans="1:10" x14ac:dyDescent="0.35">
      <c r="A2889" s="366" t="str">
        <f t="shared" si="80"/>
        <v/>
      </c>
      <c r="C2889" t="str">
        <f t="shared" si="78"/>
        <v/>
      </c>
      <c r="D2889" s="30"/>
      <c r="E2889" s="19" t="s">
        <v>256</v>
      </c>
      <c r="F2889" s="32"/>
      <c r="G2889" s="814" t="s">
        <v>3179</v>
      </c>
      <c r="J2889" s="613"/>
    </row>
    <row r="2890" spans="1:10" x14ac:dyDescent="0.35">
      <c r="A2890" s="366" t="str">
        <f t="shared" si="80"/>
        <v/>
      </c>
      <c r="C2890" t="str">
        <f t="shared" si="78"/>
        <v/>
      </c>
      <c r="D2890" s="30"/>
      <c r="E2890" s="32"/>
      <c r="F2890" s="32"/>
      <c r="G2890" s="814"/>
      <c r="J2890" s="613"/>
    </row>
    <row r="2891" spans="1:10" x14ac:dyDescent="0.35">
      <c r="A2891" s="366" t="str">
        <f t="shared" si="80"/>
        <v/>
      </c>
      <c r="C2891" t="str">
        <f t="shared" si="78"/>
        <v/>
      </c>
      <c r="D2891" s="30"/>
      <c r="E2891" s="32"/>
      <c r="F2891" s="32"/>
      <c r="G2891" s="814"/>
      <c r="J2891" s="613"/>
    </row>
    <row r="2892" spans="1:10" x14ac:dyDescent="0.35">
      <c r="A2892" s="366" t="str">
        <f t="shared" si="80"/>
        <v/>
      </c>
      <c r="C2892" t="str">
        <f t="shared" si="78"/>
        <v/>
      </c>
      <c r="D2892" s="30"/>
      <c r="E2892" s="32"/>
      <c r="F2892" s="32"/>
      <c r="G2892" s="814"/>
      <c r="J2892" s="613"/>
    </row>
    <row r="2893" spans="1:10" x14ac:dyDescent="0.35">
      <c r="C2893" t="str">
        <f t="shared" si="78"/>
        <v/>
      </c>
      <c r="D2893" s="30"/>
      <c r="E2893" s="331"/>
      <c r="F2893" s="331"/>
      <c r="G2893" s="284" t="s">
        <v>3966</v>
      </c>
      <c r="J2893" s="613"/>
    </row>
    <row r="2894" spans="1:10" x14ac:dyDescent="0.35">
      <c r="A2894" s="366" t="str">
        <f t="shared" ref="A2894:A2925" si="81">IF(dstCommercial="Yes","P","")</f>
        <v/>
      </c>
      <c r="C2894" t="str">
        <f t="shared" si="78"/>
        <v/>
      </c>
      <c r="D2894" s="30"/>
      <c r="E2894" s="32"/>
      <c r="F2894" s="32"/>
      <c r="G2894" s="90" t="s">
        <v>3645</v>
      </c>
      <c r="J2894" s="613"/>
    </row>
    <row r="2895" spans="1:10" x14ac:dyDescent="0.35">
      <c r="A2895" s="366" t="str">
        <f t="shared" si="81"/>
        <v/>
      </c>
      <c r="C2895" t="str">
        <f t="shared" si="78"/>
        <v/>
      </c>
      <c r="D2895" s="30"/>
      <c r="E2895" s="32"/>
      <c r="F2895" s="32"/>
      <c r="G2895" s="90" t="s">
        <v>3646</v>
      </c>
      <c r="J2895" s="613"/>
    </row>
    <row r="2896" spans="1:10" x14ac:dyDescent="0.35">
      <c r="A2896" s="366" t="str">
        <f t="shared" si="81"/>
        <v/>
      </c>
      <c r="C2896" t="str">
        <f t="shared" si="78"/>
        <v/>
      </c>
      <c r="D2896" s="30"/>
      <c r="E2896" s="32"/>
      <c r="F2896" s="32"/>
      <c r="G2896" s="90" t="s">
        <v>3647</v>
      </c>
      <c r="J2896" s="613"/>
    </row>
    <row r="2897" spans="1:10" x14ac:dyDescent="0.35">
      <c r="A2897" s="366" t="str">
        <f t="shared" si="81"/>
        <v/>
      </c>
      <c r="C2897" t="str">
        <f t="shared" si="78"/>
        <v/>
      </c>
      <c r="D2897" s="30"/>
      <c r="E2897" s="32"/>
      <c r="F2897" s="32"/>
      <c r="G2897" s="90" t="s">
        <v>3648</v>
      </c>
      <c r="J2897" s="613"/>
    </row>
    <row r="2898" spans="1:10" x14ac:dyDescent="0.35">
      <c r="A2898" s="366" t="str">
        <f t="shared" si="81"/>
        <v/>
      </c>
      <c r="C2898" t="str">
        <f t="shared" si="78"/>
        <v/>
      </c>
      <c r="D2898" s="30"/>
      <c r="E2898" s="19" t="s">
        <v>258</v>
      </c>
      <c r="F2898" s="32"/>
      <c r="G2898" s="814" t="s">
        <v>3180</v>
      </c>
      <c r="J2898" s="613"/>
    </row>
    <row r="2899" spans="1:10" x14ac:dyDescent="0.35">
      <c r="A2899" s="366" t="str">
        <f t="shared" si="81"/>
        <v/>
      </c>
      <c r="C2899" t="str">
        <f t="shared" ref="C2899:C2962" si="82">IF(LEN(B2899)=0,IF(A2899="P","P",""),B2899)</f>
        <v/>
      </c>
      <c r="D2899" s="30"/>
      <c r="E2899" s="331"/>
      <c r="F2899" s="331"/>
      <c r="G2899" s="815"/>
      <c r="J2899" s="613"/>
    </row>
    <row r="2900" spans="1:10" x14ac:dyDescent="0.35">
      <c r="A2900" s="366" t="str">
        <f t="shared" si="81"/>
        <v/>
      </c>
      <c r="C2900" t="str">
        <f t="shared" si="82"/>
        <v/>
      </c>
      <c r="D2900" s="30"/>
      <c r="E2900" s="129" t="s">
        <v>260</v>
      </c>
      <c r="F2900" s="331"/>
      <c r="G2900" s="228" t="s">
        <v>3181</v>
      </c>
      <c r="J2900" s="613"/>
    </row>
    <row r="2901" spans="1:10" x14ac:dyDescent="0.35">
      <c r="A2901" s="366" t="str">
        <f t="shared" si="81"/>
        <v/>
      </c>
      <c r="C2901" t="str">
        <f t="shared" si="82"/>
        <v/>
      </c>
      <c r="D2901" s="30"/>
      <c r="E2901" s="129" t="s">
        <v>269</v>
      </c>
      <c r="F2901" s="331"/>
      <c r="G2901" s="228" t="s">
        <v>3182</v>
      </c>
      <c r="J2901" s="613"/>
    </row>
    <row r="2902" spans="1:10" x14ac:dyDescent="0.35">
      <c r="A2902" s="366" t="str">
        <f t="shared" si="81"/>
        <v/>
      </c>
      <c r="C2902" t="str">
        <f t="shared" si="82"/>
        <v/>
      </c>
      <c r="D2902" s="30"/>
      <c r="E2902" s="19" t="s">
        <v>275</v>
      </c>
      <c r="F2902" s="32"/>
      <c r="G2902" s="814" t="s">
        <v>3183</v>
      </c>
      <c r="J2902" s="613"/>
    </row>
    <row r="2903" spans="1:10" x14ac:dyDescent="0.35">
      <c r="A2903" s="366" t="str">
        <f t="shared" si="81"/>
        <v/>
      </c>
      <c r="C2903" t="str">
        <f t="shared" si="82"/>
        <v/>
      </c>
      <c r="D2903" s="30"/>
      <c r="E2903" s="129"/>
      <c r="F2903" s="331"/>
      <c r="G2903" s="815"/>
      <c r="J2903" s="613"/>
    </row>
    <row r="2904" spans="1:10" ht="15" thickBot="1" x14ac:dyDescent="0.4">
      <c r="A2904" s="366" t="str">
        <f t="shared" si="81"/>
        <v/>
      </c>
      <c r="C2904" t="str">
        <f t="shared" si="82"/>
        <v/>
      </c>
      <c r="D2904" s="114"/>
      <c r="E2904" s="115" t="s">
        <v>277</v>
      </c>
      <c r="F2904" s="475"/>
      <c r="G2904" s="229" t="s">
        <v>3184</v>
      </c>
      <c r="J2904" s="613"/>
    </row>
    <row r="2905" spans="1:10" ht="15" thickTop="1" x14ac:dyDescent="0.35">
      <c r="A2905" s="366" t="str">
        <f t="shared" si="81"/>
        <v/>
      </c>
      <c r="C2905" t="str">
        <f t="shared" si="82"/>
        <v/>
      </c>
      <c r="D2905" s="30">
        <v>901.5</v>
      </c>
      <c r="E2905" s="32"/>
      <c r="F2905" s="32"/>
      <c r="G2905" s="838" t="s">
        <v>3185</v>
      </c>
      <c r="J2905" s="613"/>
    </row>
    <row r="2906" spans="1:10" x14ac:dyDescent="0.35">
      <c r="A2906" s="366" t="str">
        <f t="shared" si="81"/>
        <v/>
      </c>
      <c r="C2906" t="str">
        <f t="shared" si="82"/>
        <v/>
      </c>
      <c r="D2906" s="30"/>
      <c r="E2906" s="32"/>
      <c r="F2906" s="32"/>
      <c r="G2906" s="838"/>
      <c r="J2906" s="613"/>
    </row>
    <row r="2907" spans="1:10" x14ac:dyDescent="0.35">
      <c r="A2907" s="366" t="str">
        <f t="shared" si="81"/>
        <v/>
      </c>
      <c r="C2907" t="str">
        <f t="shared" si="82"/>
        <v/>
      </c>
      <c r="D2907" s="30"/>
      <c r="E2907" s="32"/>
      <c r="F2907" s="32"/>
      <c r="G2907" s="92" t="s">
        <v>3186</v>
      </c>
      <c r="J2907" s="613"/>
    </row>
    <row r="2908" spans="1:10" x14ac:dyDescent="0.35">
      <c r="A2908" s="366" t="str">
        <f t="shared" si="81"/>
        <v/>
      </c>
      <c r="C2908" t="str">
        <f t="shared" si="82"/>
        <v/>
      </c>
      <c r="D2908" s="30"/>
      <c r="E2908" s="19" t="s">
        <v>256</v>
      </c>
      <c r="F2908" s="32"/>
      <c r="G2908" s="814" t="s">
        <v>3187</v>
      </c>
      <c r="J2908" s="613"/>
    </row>
    <row r="2909" spans="1:10" x14ac:dyDescent="0.35">
      <c r="A2909" s="366" t="str">
        <f t="shared" si="81"/>
        <v/>
      </c>
      <c r="C2909" t="str">
        <f t="shared" si="82"/>
        <v/>
      </c>
      <c r="D2909" s="30"/>
      <c r="E2909" s="331"/>
      <c r="F2909" s="331"/>
      <c r="G2909" s="815"/>
      <c r="J2909" s="613"/>
    </row>
    <row r="2910" spans="1:10" x14ac:dyDescent="0.35">
      <c r="A2910" s="366" t="str">
        <f t="shared" si="81"/>
        <v/>
      </c>
      <c r="C2910" t="str">
        <f t="shared" si="82"/>
        <v/>
      </c>
      <c r="D2910" s="30"/>
      <c r="E2910" s="19" t="s">
        <v>258</v>
      </c>
      <c r="F2910" s="32"/>
      <c r="G2910" s="814" t="s">
        <v>3188</v>
      </c>
      <c r="J2910" s="613"/>
    </row>
    <row r="2911" spans="1:10" x14ac:dyDescent="0.35">
      <c r="A2911" s="366" t="str">
        <f t="shared" si="81"/>
        <v/>
      </c>
      <c r="C2911" t="str">
        <f t="shared" si="82"/>
        <v/>
      </c>
      <c r="D2911" s="30"/>
      <c r="E2911" s="32"/>
      <c r="F2911" s="32"/>
      <c r="G2911" s="814"/>
      <c r="J2911" s="613"/>
    </row>
    <row r="2912" spans="1:10" ht="15" thickBot="1" x14ac:dyDescent="0.4">
      <c r="A2912" s="366" t="str">
        <f t="shared" si="81"/>
        <v/>
      </c>
      <c r="C2912" t="str">
        <f t="shared" si="82"/>
        <v/>
      </c>
      <c r="D2912" s="114"/>
      <c r="E2912" s="475"/>
      <c r="F2912" s="475"/>
      <c r="G2912" s="839"/>
      <c r="J2912" s="613"/>
    </row>
    <row r="2913" spans="1:10" ht="15" thickTop="1" x14ac:dyDescent="0.35">
      <c r="A2913" s="366" t="str">
        <f t="shared" si="81"/>
        <v/>
      </c>
      <c r="C2913" t="str">
        <f t="shared" si="82"/>
        <v/>
      </c>
      <c r="D2913" s="30">
        <v>901.7</v>
      </c>
      <c r="E2913" s="32"/>
      <c r="F2913" s="32"/>
      <c r="G2913" s="838" t="s">
        <v>3190</v>
      </c>
      <c r="J2913" s="613"/>
    </row>
    <row r="2914" spans="1:10" x14ac:dyDescent="0.35">
      <c r="A2914" s="366" t="str">
        <f t="shared" si="81"/>
        <v/>
      </c>
      <c r="C2914" t="str">
        <f t="shared" si="82"/>
        <v/>
      </c>
      <c r="D2914" s="30"/>
      <c r="E2914" s="32"/>
      <c r="F2914" s="32"/>
      <c r="G2914" s="838"/>
      <c r="J2914" s="613"/>
    </row>
    <row r="2915" spans="1:10" x14ac:dyDescent="0.35">
      <c r="A2915" s="366" t="str">
        <f t="shared" si="81"/>
        <v/>
      </c>
      <c r="C2915" t="str">
        <f t="shared" si="82"/>
        <v/>
      </c>
      <c r="D2915" s="30"/>
      <c r="E2915" s="32"/>
      <c r="F2915" s="32"/>
      <c r="G2915" s="838"/>
      <c r="J2915" s="613"/>
    </row>
    <row r="2916" spans="1:10" x14ac:dyDescent="0.35">
      <c r="A2916" s="366" t="str">
        <f t="shared" si="81"/>
        <v/>
      </c>
      <c r="C2916" t="str">
        <f t="shared" si="82"/>
        <v/>
      </c>
      <c r="D2916" s="30"/>
      <c r="E2916" s="32"/>
      <c r="F2916" s="32"/>
      <c r="G2916" s="838"/>
      <c r="J2916" s="613"/>
    </row>
    <row r="2917" spans="1:10" x14ac:dyDescent="0.35">
      <c r="A2917" s="366" t="str">
        <f t="shared" si="81"/>
        <v/>
      </c>
      <c r="C2917" t="str">
        <f t="shared" si="82"/>
        <v/>
      </c>
      <c r="D2917" s="30"/>
      <c r="E2917" s="32"/>
      <c r="F2917" s="32"/>
      <c r="G2917" s="838"/>
      <c r="J2917" s="613"/>
    </row>
    <row r="2918" spans="1:10" x14ac:dyDescent="0.35">
      <c r="A2918" s="366" t="str">
        <f t="shared" si="81"/>
        <v/>
      </c>
      <c r="C2918" t="str">
        <f t="shared" si="82"/>
        <v/>
      </c>
      <c r="D2918" s="30"/>
      <c r="E2918" s="32"/>
      <c r="F2918" s="32"/>
      <c r="G2918" s="895" t="s">
        <v>3191</v>
      </c>
      <c r="J2918" s="613"/>
    </row>
    <row r="2919" spans="1:10" x14ac:dyDescent="0.35">
      <c r="A2919" s="366" t="str">
        <f t="shared" si="81"/>
        <v/>
      </c>
      <c r="C2919" t="str">
        <f t="shared" si="82"/>
        <v/>
      </c>
      <c r="D2919" s="30"/>
      <c r="E2919" s="32"/>
      <c r="F2919" s="32"/>
      <c r="G2919" s="895"/>
      <c r="J2919" s="613"/>
    </row>
    <row r="2920" spans="1:10" x14ac:dyDescent="0.35">
      <c r="A2920" s="366" t="str">
        <f t="shared" si="81"/>
        <v/>
      </c>
      <c r="C2920" t="str">
        <f t="shared" si="82"/>
        <v/>
      </c>
      <c r="D2920" s="30"/>
      <c r="E2920" s="19" t="s">
        <v>256</v>
      </c>
      <c r="F2920" s="32"/>
      <c r="G2920" s="814" t="s">
        <v>3192</v>
      </c>
      <c r="J2920" s="613"/>
    </row>
    <row r="2921" spans="1:10" x14ac:dyDescent="0.35">
      <c r="A2921" s="366" t="str">
        <f t="shared" si="81"/>
        <v/>
      </c>
      <c r="C2921" t="str">
        <f t="shared" si="82"/>
        <v/>
      </c>
      <c r="D2921" s="30"/>
      <c r="E2921" s="32"/>
      <c r="F2921" s="32"/>
      <c r="G2921" s="814"/>
      <c r="J2921" s="613"/>
    </row>
    <row r="2922" spans="1:10" x14ac:dyDescent="0.35">
      <c r="A2922" s="366" t="str">
        <f t="shared" si="81"/>
        <v/>
      </c>
      <c r="C2922" t="str">
        <f t="shared" si="82"/>
        <v/>
      </c>
      <c r="D2922" s="30"/>
      <c r="E2922" s="32"/>
      <c r="F2922" s="32"/>
      <c r="G2922" s="814"/>
      <c r="J2922" s="613"/>
    </row>
    <row r="2923" spans="1:10" x14ac:dyDescent="0.35">
      <c r="A2923" s="366" t="str">
        <f t="shared" si="81"/>
        <v/>
      </c>
      <c r="C2923" t="str">
        <f t="shared" si="82"/>
        <v/>
      </c>
      <c r="D2923" s="30"/>
      <c r="E2923" s="32"/>
      <c r="F2923" s="32"/>
      <c r="G2923" s="814"/>
      <c r="J2923" s="613"/>
    </row>
    <row r="2924" spans="1:10" x14ac:dyDescent="0.35">
      <c r="A2924" s="366" t="str">
        <f t="shared" si="81"/>
        <v/>
      </c>
      <c r="C2924" t="str">
        <f t="shared" si="82"/>
        <v/>
      </c>
      <c r="D2924" s="30"/>
      <c r="E2924" s="32"/>
      <c r="F2924" s="19" t="s">
        <v>121</v>
      </c>
      <c r="G2924" s="90" t="s">
        <v>3193</v>
      </c>
      <c r="J2924" s="613"/>
    </row>
    <row r="2925" spans="1:10" x14ac:dyDescent="0.35">
      <c r="A2925" s="366" t="str">
        <f t="shared" si="81"/>
        <v/>
      </c>
      <c r="C2925" t="str">
        <f t="shared" si="82"/>
        <v/>
      </c>
      <c r="D2925" s="30"/>
      <c r="E2925" s="32"/>
      <c r="F2925" s="19" t="s">
        <v>122</v>
      </c>
      <c r="G2925" s="90" t="s">
        <v>3194</v>
      </c>
      <c r="J2925" s="613"/>
    </row>
    <row r="2926" spans="1:10" x14ac:dyDescent="0.35">
      <c r="A2926" s="366" t="str">
        <f t="shared" ref="A2926:A2948" si="83">IF(dstCommercial="Yes","P","")</f>
        <v/>
      </c>
      <c r="C2926" t="str">
        <f t="shared" si="82"/>
        <v/>
      </c>
      <c r="D2926" s="30"/>
      <c r="E2926" s="32"/>
      <c r="F2926" s="19" t="s">
        <v>123</v>
      </c>
      <c r="G2926" s="90" t="s">
        <v>3195</v>
      </c>
      <c r="J2926" s="613"/>
    </row>
    <row r="2927" spans="1:10" x14ac:dyDescent="0.35">
      <c r="A2927" s="366" t="str">
        <f t="shared" si="83"/>
        <v/>
      </c>
      <c r="C2927" t="str">
        <f t="shared" si="82"/>
        <v/>
      </c>
      <c r="D2927" s="30"/>
      <c r="E2927" s="32"/>
      <c r="F2927" s="19" t="s">
        <v>401</v>
      </c>
      <c r="G2927" s="90" t="s">
        <v>3196</v>
      </c>
      <c r="J2927" s="613"/>
    </row>
    <row r="2928" spans="1:10" x14ac:dyDescent="0.35">
      <c r="A2928" s="366" t="str">
        <f t="shared" si="83"/>
        <v/>
      </c>
      <c r="C2928" t="str">
        <f t="shared" si="82"/>
        <v/>
      </c>
      <c r="D2928" s="30"/>
      <c r="E2928" s="32"/>
      <c r="F2928" s="19" t="s">
        <v>539</v>
      </c>
      <c r="G2928" s="90" t="s">
        <v>3197</v>
      </c>
      <c r="J2928" s="613"/>
    </row>
    <row r="2929" spans="1:10" x14ac:dyDescent="0.35">
      <c r="A2929" s="366" t="str">
        <f t="shared" si="83"/>
        <v/>
      </c>
      <c r="C2929" t="str">
        <f t="shared" si="82"/>
        <v/>
      </c>
      <c r="D2929" s="30"/>
      <c r="E2929" s="331"/>
      <c r="F2929" s="129" t="s">
        <v>604</v>
      </c>
      <c r="G2929" s="228" t="s">
        <v>3198</v>
      </c>
      <c r="J2929" s="613"/>
    </row>
    <row r="2930" spans="1:10" x14ac:dyDescent="0.35">
      <c r="A2930" s="366" t="str">
        <f t="shared" si="83"/>
        <v/>
      </c>
      <c r="C2930" t="str">
        <f t="shared" si="82"/>
        <v/>
      </c>
      <c r="D2930" s="30"/>
      <c r="E2930" s="129" t="s">
        <v>258</v>
      </c>
      <c r="F2930" s="331"/>
      <c r="G2930" s="228" t="s">
        <v>3836</v>
      </c>
      <c r="J2930" s="613"/>
    </row>
    <row r="2931" spans="1:10" x14ac:dyDescent="0.35">
      <c r="A2931" s="366" t="str">
        <f t="shared" si="83"/>
        <v/>
      </c>
      <c r="C2931" t="str">
        <f t="shared" si="82"/>
        <v/>
      </c>
      <c r="D2931" s="30"/>
      <c r="E2931" s="19" t="s">
        <v>260</v>
      </c>
      <c r="F2931" s="32"/>
      <c r="G2931" s="90" t="s">
        <v>3649</v>
      </c>
      <c r="J2931" s="613"/>
    </row>
    <row r="2932" spans="1:10" x14ac:dyDescent="0.35">
      <c r="A2932" s="366" t="str">
        <f t="shared" si="83"/>
        <v/>
      </c>
      <c r="C2932" t="str">
        <f t="shared" si="82"/>
        <v/>
      </c>
      <c r="D2932" s="30"/>
      <c r="E2932" s="32"/>
      <c r="F2932" s="32"/>
      <c r="G2932" s="895" t="s">
        <v>3199</v>
      </c>
      <c r="J2932" s="613"/>
    </row>
    <row r="2933" spans="1:10" ht="15" thickBot="1" x14ac:dyDescent="0.4">
      <c r="A2933" s="366" t="str">
        <f t="shared" si="83"/>
        <v/>
      </c>
      <c r="C2933" t="str">
        <f t="shared" si="82"/>
        <v/>
      </c>
      <c r="D2933" s="114"/>
      <c r="E2933" s="475"/>
      <c r="F2933" s="475"/>
      <c r="G2933" s="968"/>
      <c r="J2933" s="613"/>
    </row>
    <row r="2934" spans="1:10" ht="15" thickTop="1" x14ac:dyDescent="0.35">
      <c r="A2934" s="366" t="str">
        <f t="shared" si="83"/>
        <v/>
      </c>
      <c r="C2934" t="str">
        <f t="shared" si="82"/>
        <v/>
      </c>
      <c r="D2934" s="106">
        <v>901.8</v>
      </c>
      <c r="E2934" s="312"/>
      <c r="F2934" s="312"/>
      <c r="G2934" s="837" t="s">
        <v>3200</v>
      </c>
      <c r="J2934" s="613"/>
    </row>
    <row r="2935" spans="1:10" x14ac:dyDescent="0.35">
      <c r="A2935" s="366" t="str">
        <f t="shared" si="83"/>
        <v/>
      </c>
      <c r="C2935" t="str">
        <f t="shared" si="82"/>
        <v/>
      </c>
      <c r="D2935" s="30"/>
      <c r="E2935" s="32"/>
      <c r="F2935" s="32"/>
      <c r="G2935" s="838"/>
      <c r="J2935" s="613"/>
    </row>
    <row r="2936" spans="1:10" x14ac:dyDescent="0.35">
      <c r="A2936" s="366" t="str">
        <f t="shared" si="83"/>
        <v/>
      </c>
      <c r="C2936" t="str">
        <f t="shared" si="82"/>
        <v/>
      </c>
      <c r="D2936" s="30"/>
      <c r="E2936" s="32"/>
      <c r="F2936" s="32"/>
      <c r="G2936" s="838"/>
      <c r="J2936" s="613"/>
    </row>
    <row r="2937" spans="1:10" x14ac:dyDescent="0.35">
      <c r="A2937" s="366" t="str">
        <f t="shared" si="83"/>
        <v/>
      </c>
      <c r="C2937" t="str">
        <f t="shared" si="82"/>
        <v/>
      </c>
      <c r="D2937" s="30"/>
      <c r="E2937" s="32"/>
      <c r="F2937" s="32"/>
      <c r="G2937" s="838"/>
      <c r="J2937" s="613"/>
    </row>
    <row r="2938" spans="1:10" x14ac:dyDescent="0.35">
      <c r="A2938" s="366" t="str">
        <f t="shared" si="83"/>
        <v/>
      </c>
      <c r="C2938" t="str">
        <f t="shared" si="82"/>
        <v/>
      </c>
      <c r="D2938" s="30"/>
      <c r="E2938" s="32"/>
      <c r="F2938" s="32"/>
      <c r="G2938" s="838"/>
      <c r="J2938" s="613"/>
    </row>
    <row r="2939" spans="1:10" ht="15" thickBot="1" x14ac:dyDescent="0.4">
      <c r="A2939" s="366" t="str">
        <f t="shared" si="83"/>
        <v/>
      </c>
      <c r="C2939" t="str">
        <f t="shared" si="82"/>
        <v/>
      </c>
      <c r="D2939" s="114"/>
      <c r="E2939" s="475"/>
      <c r="F2939" s="475"/>
      <c r="G2939" s="849"/>
      <c r="J2939" s="613"/>
    </row>
    <row r="2940" spans="1:10" ht="15" thickTop="1" x14ac:dyDescent="0.35">
      <c r="A2940" s="366" t="str">
        <f t="shared" si="83"/>
        <v/>
      </c>
      <c r="C2940" t="str">
        <f t="shared" si="82"/>
        <v/>
      </c>
      <c r="D2940" s="106">
        <v>901.9</v>
      </c>
      <c r="E2940" s="312"/>
      <c r="F2940" s="312"/>
      <c r="G2940" s="837" t="s">
        <v>3201</v>
      </c>
      <c r="J2940" s="613"/>
    </row>
    <row r="2941" spans="1:10" x14ac:dyDescent="0.35">
      <c r="A2941" s="366" t="str">
        <f t="shared" si="83"/>
        <v/>
      </c>
      <c r="C2941" t="str">
        <f t="shared" si="82"/>
        <v/>
      </c>
      <c r="D2941" s="30"/>
      <c r="E2941" s="32"/>
      <c r="F2941" s="32"/>
      <c r="G2941" s="838"/>
      <c r="J2941" s="613"/>
    </row>
    <row r="2942" spans="1:10" x14ac:dyDescent="0.35">
      <c r="A2942" s="366" t="str">
        <f t="shared" si="83"/>
        <v/>
      </c>
      <c r="C2942" t="str">
        <f t="shared" si="82"/>
        <v/>
      </c>
      <c r="D2942" s="30"/>
      <c r="E2942" s="32"/>
      <c r="F2942" s="32"/>
      <c r="G2942" s="838"/>
      <c r="J2942" s="613"/>
    </row>
    <row r="2943" spans="1:10" x14ac:dyDescent="0.35">
      <c r="A2943" s="366" t="str">
        <f t="shared" si="83"/>
        <v/>
      </c>
      <c r="C2943" t="str">
        <f t="shared" si="82"/>
        <v/>
      </c>
      <c r="D2943" s="30" t="s">
        <v>3202</v>
      </c>
      <c r="E2943" s="32"/>
      <c r="F2943" s="32"/>
      <c r="G2943" s="838" t="s">
        <v>3203</v>
      </c>
      <c r="J2943" s="613"/>
    </row>
    <row r="2944" spans="1:10" x14ac:dyDescent="0.35">
      <c r="A2944" s="366" t="str">
        <f t="shared" si="83"/>
        <v/>
      </c>
      <c r="C2944" t="str">
        <f t="shared" si="82"/>
        <v/>
      </c>
      <c r="D2944" s="30"/>
      <c r="E2944" s="32"/>
      <c r="F2944" s="32"/>
      <c r="G2944" s="838"/>
      <c r="J2944" s="613"/>
    </row>
    <row r="2945" spans="1:10" x14ac:dyDescent="0.35">
      <c r="A2945" s="366" t="str">
        <f t="shared" si="83"/>
        <v/>
      </c>
      <c r="C2945" t="str">
        <f t="shared" si="82"/>
        <v/>
      </c>
      <c r="D2945" s="30"/>
      <c r="E2945" s="19" t="s">
        <v>256</v>
      </c>
      <c r="F2945" s="32"/>
      <c r="G2945" s="814" t="s">
        <v>3204</v>
      </c>
      <c r="J2945" s="613"/>
    </row>
    <row r="2946" spans="1:10" x14ac:dyDescent="0.35">
      <c r="A2946" s="366" t="str">
        <f t="shared" si="83"/>
        <v/>
      </c>
      <c r="C2946" t="str">
        <f t="shared" si="82"/>
        <v/>
      </c>
      <c r="D2946" s="30"/>
      <c r="E2946" s="331"/>
      <c r="F2946" s="331"/>
      <c r="G2946" s="815"/>
      <c r="J2946" s="613"/>
    </row>
    <row r="2947" spans="1:10" x14ac:dyDescent="0.35">
      <c r="A2947" s="366" t="str">
        <f t="shared" si="83"/>
        <v/>
      </c>
      <c r="C2947" t="str">
        <f t="shared" si="82"/>
        <v/>
      </c>
      <c r="D2947" s="30"/>
      <c r="E2947" s="129" t="s">
        <v>258</v>
      </c>
      <c r="F2947" s="331"/>
      <c r="G2947" s="228" t="s">
        <v>3205</v>
      </c>
      <c r="J2947" s="613"/>
    </row>
    <row r="2948" spans="1:10" x14ac:dyDescent="0.35">
      <c r="A2948" s="366" t="str">
        <f t="shared" si="83"/>
        <v/>
      </c>
      <c r="C2948" t="str">
        <f t="shared" si="82"/>
        <v/>
      </c>
      <c r="D2948" s="30"/>
      <c r="E2948" s="19" t="s">
        <v>260</v>
      </c>
      <c r="F2948" s="32"/>
      <c r="G2948" s="90" t="s">
        <v>3206</v>
      </c>
      <c r="J2948" s="613"/>
    </row>
    <row r="2949" spans="1:10" x14ac:dyDescent="0.35">
      <c r="C2949" t="str">
        <f t="shared" si="82"/>
        <v/>
      </c>
      <c r="D2949" s="633"/>
      <c r="E2949" s="633"/>
      <c r="F2949" s="633"/>
      <c r="G2949" s="323" t="s">
        <v>3663</v>
      </c>
      <c r="J2949" s="613"/>
    </row>
    <row r="2950" spans="1:10" x14ac:dyDescent="0.35">
      <c r="A2950" s="366" t="str">
        <f>IF(dstCommercial="Yes","P","")</f>
        <v/>
      </c>
      <c r="C2950" t="str">
        <f t="shared" si="82"/>
        <v/>
      </c>
      <c r="D2950" s="117" t="s">
        <v>3207</v>
      </c>
      <c r="E2950" s="330"/>
      <c r="F2950" s="330"/>
      <c r="G2950" s="905" t="s">
        <v>3208</v>
      </c>
      <c r="J2950" s="613"/>
    </row>
    <row r="2951" spans="1:10" x14ac:dyDescent="0.35">
      <c r="A2951" s="366" t="str">
        <f>IF(dstCommercial="Yes","P","")</f>
        <v/>
      </c>
      <c r="C2951" t="str">
        <f t="shared" si="82"/>
        <v/>
      </c>
      <c r="D2951" s="30"/>
      <c r="E2951" s="32"/>
      <c r="F2951" s="32"/>
      <c r="G2951" s="838"/>
      <c r="J2951" s="613"/>
    </row>
    <row r="2952" spans="1:10" x14ac:dyDescent="0.35">
      <c r="A2952" s="366" t="str">
        <f>IF(dstCommercial="Yes","P","")</f>
        <v/>
      </c>
      <c r="C2952" t="str">
        <f t="shared" si="82"/>
        <v/>
      </c>
      <c r="D2952" s="30"/>
      <c r="E2952" s="32"/>
      <c r="F2952" s="32"/>
      <c r="G2952" s="955" t="s">
        <v>3209</v>
      </c>
      <c r="J2952" s="613"/>
    </row>
    <row r="2953" spans="1:10" x14ac:dyDescent="0.35">
      <c r="A2953" s="366" t="str">
        <f>IF(dstCommercial="Yes","P","")</f>
        <v/>
      </c>
      <c r="C2953" t="str">
        <f t="shared" si="82"/>
        <v/>
      </c>
      <c r="D2953" s="30"/>
      <c r="E2953" s="32"/>
      <c r="F2953" s="32"/>
      <c r="G2953" s="955"/>
      <c r="J2953" s="613"/>
    </row>
    <row r="2954" spans="1:10" x14ac:dyDescent="0.35">
      <c r="C2954" t="str">
        <f t="shared" si="82"/>
        <v/>
      </c>
      <c r="D2954" s="138"/>
      <c r="E2954" s="331"/>
      <c r="F2954" s="331"/>
      <c r="G2954" s="323" t="s">
        <v>3758</v>
      </c>
      <c r="J2954" s="613"/>
    </row>
    <row r="2955" spans="1:10" x14ac:dyDescent="0.35">
      <c r="A2955" s="366" t="str">
        <f t="shared" ref="A2955:A2972" si="84">IF(dstCommercial="Yes","P","")</f>
        <v/>
      </c>
      <c r="C2955" t="str">
        <f t="shared" si="82"/>
        <v/>
      </c>
      <c r="D2955" s="30" t="s">
        <v>3210</v>
      </c>
      <c r="E2955" s="32"/>
      <c r="F2955" s="32"/>
      <c r="G2955" s="838" t="s">
        <v>3211</v>
      </c>
      <c r="J2955" s="613"/>
    </row>
    <row r="2956" spans="1:10" x14ac:dyDescent="0.35">
      <c r="A2956" s="366" t="str">
        <f t="shared" si="84"/>
        <v/>
      </c>
      <c r="C2956" t="str">
        <f t="shared" si="82"/>
        <v/>
      </c>
      <c r="D2956" s="30"/>
      <c r="E2956" s="32"/>
      <c r="F2956" s="32"/>
      <c r="G2956" s="838"/>
      <c r="J2956" s="613"/>
    </row>
    <row r="2957" spans="1:10" x14ac:dyDescent="0.35">
      <c r="A2957" s="366" t="str">
        <f t="shared" si="84"/>
        <v/>
      </c>
      <c r="C2957" t="str">
        <f t="shared" si="82"/>
        <v/>
      </c>
      <c r="D2957" s="30"/>
      <c r="E2957" s="32"/>
      <c r="F2957" s="32"/>
      <c r="G2957" s="838"/>
      <c r="J2957" s="613"/>
    </row>
    <row r="2958" spans="1:10" x14ac:dyDescent="0.35">
      <c r="A2958" s="366" t="str">
        <f t="shared" si="84"/>
        <v/>
      </c>
      <c r="C2958" t="str">
        <f t="shared" si="82"/>
        <v/>
      </c>
      <c r="D2958" s="30"/>
      <c r="E2958" s="32"/>
      <c r="F2958" s="32"/>
      <c r="G2958" s="838"/>
      <c r="J2958" s="613"/>
    </row>
    <row r="2959" spans="1:10" x14ac:dyDescent="0.35">
      <c r="A2959" s="366" t="str">
        <f t="shared" si="84"/>
        <v/>
      </c>
      <c r="C2959" t="str">
        <f t="shared" si="82"/>
        <v/>
      </c>
      <c r="D2959" s="30"/>
      <c r="E2959" s="32"/>
      <c r="F2959" s="32"/>
      <c r="G2959" s="838"/>
      <c r="J2959" s="613"/>
    </row>
    <row r="2960" spans="1:10" ht="15" thickBot="1" x14ac:dyDescent="0.4">
      <c r="A2960" s="366" t="str">
        <f t="shared" si="84"/>
        <v/>
      </c>
      <c r="C2960" t="str">
        <f t="shared" si="82"/>
        <v/>
      </c>
      <c r="D2960" s="114"/>
      <c r="E2960" s="475"/>
      <c r="F2960" s="475"/>
      <c r="G2960" s="849"/>
      <c r="J2960" s="613"/>
    </row>
    <row r="2961" spans="1:10" ht="15" thickTop="1" x14ac:dyDescent="0.35">
      <c r="A2961" s="366" t="str">
        <f t="shared" si="84"/>
        <v/>
      </c>
      <c r="C2961" t="str">
        <f t="shared" si="82"/>
        <v/>
      </c>
      <c r="D2961" s="144">
        <v>901.1</v>
      </c>
      <c r="E2961" s="32"/>
      <c r="F2961" s="32"/>
      <c r="G2961" s="838" t="s">
        <v>3212</v>
      </c>
      <c r="J2961" s="613"/>
    </row>
    <row r="2962" spans="1:10" x14ac:dyDescent="0.35">
      <c r="A2962" s="366" t="str">
        <f t="shared" si="84"/>
        <v/>
      </c>
      <c r="C2962" t="str">
        <f t="shared" si="82"/>
        <v/>
      </c>
      <c r="D2962" s="30"/>
      <c r="E2962" s="32"/>
      <c r="F2962" s="32"/>
      <c r="G2962" s="838"/>
      <c r="J2962" s="613"/>
    </row>
    <row r="2963" spans="1:10" x14ac:dyDescent="0.35">
      <c r="A2963" s="366" t="str">
        <f t="shared" si="84"/>
        <v/>
      </c>
      <c r="C2963" t="str">
        <f t="shared" ref="C2963:C3026" si="85">IF(LEN(B2963)=0,IF(A2963="P","P",""),B2963)</f>
        <v/>
      </c>
      <c r="D2963" s="30"/>
      <c r="E2963" s="32"/>
      <c r="F2963" s="32"/>
      <c r="G2963" s="838"/>
      <c r="J2963" s="613"/>
    </row>
    <row r="2964" spans="1:10" x14ac:dyDescent="0.35">
      <c r="A2964" s="366" t="str">
        <f t="shared" si="84"/>
        <v/>
      </c>
      <c r="C2964" t="str">
        <f t="shared" si="85"/>
        <v/>
      </c>
      <c r="D2964" s="30"/>
      <c r="E2964" s="19" t="s">
        <v>256</v>
      </c>
      <c r="F2964" s="32"/>
      <c r="G2964" s="814" t="s">
        <v>3213</v>
      </c>
      <c r="J2964" s="613"/>
    </row>
    <row r="2965" spans="1:10" x14ac:dyDescent="0.35">
      <c r="A2965" s="366" t="str">
        <f t="shared" si="84"/>
        <v/>
      </c>
      <c r="C2965" t="str">
        <f t="shared" si="85"/>
        <v/>
      </c>
      <c r="D2965" s="30"/>
      <c r="E2965" s="32"/>
      <c r="F2965" s="32"/>
      <c r="G2965" s="814"/>
      <c r="J2965" s="613"/>
    </row>
    <row r="2966" spans="1:10" x14ac:dyDescent="0.35">
      <c r="A2966" s="366" t="str">
        <f t="shared" si="84"/>
        <v/>
      </c>
      <c r="C2966" t="str">
        <f t="shared" si="85"/>
        <v/>
      </c>
      <c r="D2966" s="30"/>
      <c r="E2966" s="32"/>
      <c r="F2966" s="32"/>
      <c r="G2966" s="814"/>
      <c r="J2966" s="613"/>
    </row>
    <row r="2967" spans="1:10" x14ac:dyDescent="0.35">
      <c r="A2967" s="366" t="str">
        <f t="shared" si="84"/>
        <v/>
      </c>
      <c r="C2967" t="str">
        <f t="shared" si="85"/>
        <v/>
      </c>
      <c r="D2967" s="30"/>
      <c r="E2967" s="32"/>
      <c r="F2967" s="32"/>
      <c r="G2967" s="814"/>
      <c r="J2967" s="613"/>
    </row>
    <row r="2968" spans="1:10" x14ac:dyDescent="0.35">
      <c r="A2968" s="366" t="str">
        <f t="shared" si="84"/>
        <v/>
      </c>
      <c r="C2968" t="str">
        <f t="shared" si="85"/>
        <v/>
      </c>
      <c r="D2968" s="30"/>
      <c r="E2968" s="331"/>
      <c r="F2968" s="331"/>
      <c r="G2968" s="815"/>
      <c r="J2968" s="613"/>
    </row>
    <row r="2969" spans="1:10" x14ac:dyDescent="0.35">
      <c r="A2969" s="366" t="str">
        <f t="shared" si="84"/>
        <v/>
      </c>
      <c r="C2969" t="str">
        <f t="shared" si="85"/>
        <v/>
      </c>
      <c r="D2969" s="30"/>
      <c r="E2969" s="129" t="s">
        <v>258</v>
      </c>
      <c r="F2969" s="331"/>
      <c r="G2969" s="228" t="s">
        <v>3214</v>
      </c>
      <c r="J2969" s="613"/>
    </row>
    <row r="2970" spans="1:10" x14ac:dyDescent="0.35">
      <c r="A2970" s="366" t="str">
        <f t="shared" si="84"/>
        <v/>
      </c>
      <c r="C2970" t="str">
        <f t="shared" si="85"/>
        <v/>
      </c>
      <c r="D2970" s="30"/>
      <c r="E2970" s="19" t="s">
        <v>260</v>
      </c>
      <c r="F2970" s="32"/>
      <c r="G2970" s="814" t="s">
        <v>3215</v>
      </c>
      <c r="J2970" s="613"/>
    </row>
    <row r="2971" spans="1:10" x14ac:dyDescent="0.35">
      <c r="A2971" s="366" t="str">
        <f t="shared" si="84"/>
        <v/>
      </c>
      <c r="C2971" t="str">
        <f t="shared" si="85"/>
        <v/>
      </c>
      <c r="D2971" s="30"/>
      <c r="E2971" s="32"/>
      <c r="F2971" s="32"/>
      <c r="G2971" s="814"/>
      <c r="J2971" s="613"/>
    </row>
    <row r="2972" spans="1:10" x14ac:dyDescent="0.35">
      <c r="A2972" s="366" t="str">
        <f t="shared" si="84"/>
        <v/>
      </c>
      <c r="C2972" t="str">
        <f t="shared" si="85"/>
        <v/>
      </c>
      <c r="D2972" s="30"/>
      <c r="E2972" s="32"/>
      <c r="F2972" s="32"/>
      <c r="G2972" s="814"/>
      <c r="J2972" s="613"/>
    </row>
    <row r="2973" spans="1:10" ht="15" thickBot="1" x14ac:dyDescent="0.4">
      <c r="C2973" t="str">
        <f t="shared" si="85"/>
        <v/>
      </c>
      <c r="D2973" s="114"/>
      <c r="E2973" s="475"/>
      <c r="F2973" s="475"/>
      <c r="G2973" s="295" t="s">
        <v>3759</v>
      </c>
      <c r="J2973" s="613"/>
    </row>
    <row r="2974" spans="1:10" ht="15" thickTop="1" x14ac:dyDescent="0.35">
      <c r="A2974" s="366" t="str">
        <f t="shared" ref="A2974:A3005" si="86">IF(dstCommercial="Yes","P","")</f>
        <v/>
      </c>
      <c r="C2974" t="str">
        <f t="shared" si="85"/>
        <v/>
      </c>
      <c r="D2974" s="106">
        <v>901.11</v>
      </c>
      <c r="E2974" s="312"/>
      <c r="F2974" s="312"/>
      <c r="G2974" s="837" t="s">
        <v>3216</v>
      </c>
      <c r="J2974" s="613"/>
    </row>
    <row r="2975" spans="1:10" x14ac:dyDescent="0.35">
      <c r="A2975" s="366" t="str">
        <f t="shared" si="86"/>
        <v/>
      </c>
      <c r="C2975" t="str">
        <f t="shared" si="85"/>
        <v/>
      </c>
      <c r="D2975" s="30"/>
      <c r="E2975" s="32"/>
      <c r="F2975" s="32"/>
      <c r="G2975" s="838"/>
      <c r="J2975" s="613"/>
    </row>
    <row r="2976" spans="1:10" x14ac:dyDescent="0.35">
      <c r="A2976" s="366" t="str">
        <f t="shared" si="86"/>
        <v/>
      </c>
      <c r="C2976" t="str">
        <f t="shared" si="85"/>
        <v/>
      </c>
      <c r="D2976" s="30"/>
      <c r="E2976" s="32"/>
      <c r="F2976" s="32"/>
      <c r="G2976" s="838"/>
      <c r="J2976" s="613"/>
    </row>
    <row r="2977" spans="1:10" x14ac:dyDescent="0.35">
      <c r="A2977" s="366" t="str">
        <f t="shared" si="86"/>
        <v/>
      </c>
      <c r="C2977" t="str">
        <f t="shared" si="85"/>
        <v/>
      </c>
      <c r="D2977" s="30"/>
      <c r="E2977" s="32"/>
      <c r="F2977" s="32"/>
      <c r="G2977" s="838"/>
      <c r="J2977" s="613"/>
    </row>
    <row r="2978" spans="1:10" ht="15" thickBot="1" x14ac:dyDescent="0.4">
      <c r="A2978" s="366" t="str">
        <f t="shared" si="86"/>
        <v/>
      </c>
      <c r="C2978" t="str">
        <f t="shared" si="85"/>
        <v/>
      </c>
      <c r="D2978" s="114"/>
      <c r="E2978" s="475"/>
      <c r="F2978" s="475"/>
      <c r="G2978" s="849"/>
      <c r="J2978" s="613"/>
    </row>
    <row r="2979" spans="1:10" ht="15" thickTop="1" x14ac:dyDescent="0.35">
      <c r="A2979" s="366" t="str">
        <f t="shared" si="86"/>
        <v/>
      </c>
      <c r="C2979" t="str">
        <f t="shared" si="85"/>
        <v/>
      </c>
      <c r="D2979" s="66" t="s">
        <v>4768</v>
      </c>
      <c r="E2979" s="540"/>
      <c r="F2979" s="540"/>
      <c r="G2979" s="930" t="s">
        <v>4769</v>
      </c>
      <c r="J2979" s="613"/>
    </row>
    <row r="2980" spans="1:10" x14ac:dyDescent="0.35">
      <c r="A2980" s="366" t="str">
        <f t="shared" si="86"/>
        <v/>
      </c>
      <c r="C2980" t="str">
        <f t="shared" si="85"/>
        <v/>
      </c>
      <c r="D2980" s="47"/>
      <c r="E2980" s="481"/>
      <c r="F2980" s="481"/>
      <c r="G2980" s="881"/>
      <c r="J2980" s="613"/>
    </row>
    <row r="2981" spans="1:10" x14ac:dyDescent="0.35">
      <c r="A2981" s="366" t="str">
        <f t="shared" si="86"/>
        <v/>
      </c>
      <c r="C2981" t="str">
        <f t="shared" si="85"/>
        <v/>
      </c>
      <c r="D2981" s="47"/>
      <c r="E2981" s="481"/>
      <c r="F2981" s="481"/>
      <c r="G2981" s="881"/>
      <c r="J2981" s="613"/>
    </row>
    <row r="2982" spans="1:10" x14ac:dyDescent="0.35">
      <c r="A2982" s="366" t="str">
        <f t="shared" si="86"/>
        <v/>
      </c>
      <c r="C2982" t="str">
        <f t="shared" si="85"/>
        <v/>
      </c>
      <c r="D2982" s="100"/>
      <c r="E2982" s="482"/>
      <c r="F2982" s="482"/>
      <c r="G2982" s="882"/>
      <c r="J2982" s="613"/>
    </row>
    <row r="2983" spans="1:10" x14ac:dyDescent="0.35">
      <c r="A2983" s="366" t="str">
        <f t="shared" si="86"/>
        <v/>
      </c>
      <c r="C2983" t="str">
        <f t="shared" si="85"/>
        <v/>
      </c>
      <c r="D2983" s="468" t="s">
        <v>4770</v>
      </c>
      <c r="E2983" s="527"/>
      <c r="F2983" s="527"/>
      <c r="G2983" s="883" t="s">
        <v>4771</v>
      </c>
      <c r="J2983" s="613" t="s">
        <v>3891</v>
      </c>
    </row>
    <row r="2984" spans="1:10" x14ac:dyDescent="0.35">
      <c r="A2984" s="366" t="str">
        <f t="shared" si="86"/>
        <v/>
      </c>
      <c r="C2984" t="str">
        <f t="shared" si="85"/>
        <v/>
      </c>
      <c r="D2984" s="47"/>
      <c r="E2984" s="481"/>
      <c r="F2984" s="481"/>
      <c r="G2984" s="881"/>
      <c r="J2984" s="613"/>
    </row>
    <row r="2985" spans="1:10" x14ac:dyDescent="0.35">
      <c r="A2985" s="366" t="str">
        <f t="shared" si="86"/>
        <v/>
      </c>
      <c r="C2985" t="str">
        <f t="shared" si="85"/>
        <v/>
      </c>
      <c r="D2985" s="47"/>
      <c r="E2985" s="481"/>
      <c r="F2985" s="481"/>
      <c r="G2985" s="881"/>
      <c r="J2985" s="613"/>
    </row>
    <row r="2986" spans="1:10" x14ac:dyDescent="0.35">
      <c r="A2986" s="366" t="str">
        <f t="shared" si="86"/>
        <v/>
      </c>
      <c r="C2986" t="str">
        <f t="shared" si="85"/>
        <v/>
      </c>
      <c r="D2986" s="47"/>
      <c r="E2986" s="481"/>
      <c r="F2986" s="481"/>
      <c r="G2986" s="881"/>
      <c r="J2986" s="613"/>
    </row>
    <row r="2987" spans="1:10" x14ac:dyDescent="0.35">
      <c r="A2987" s="366" t="str">
        <f t="shared" si="86"/>
        <v/>
      </c>
      <c r="C2987" t="str">
        <f t="shared" si="85"/>
        <v/>
      </c>
      <c r="D2987" s="100"/>
      <c r="E2987" s="482"/>
      <c r="F2987" s="482"/>
      <c r="G2987" s="882"/>
      <c r="J2987" s="613"/>
    </row>
    <row r="2988" spans="1:10" x14ac:dyDescent="0.35">
      <c r="A2988" s="366" t="str">
        <f t="shared" si="86"/>
        <v/>
      </c>
      <c r="C2988" t="str">
        <f t="shared" si="85"/>
        <v/>
      </c>
      <c r="D2988" s="47" t="s">
        <v>4772</v>
      </c>
      <c r="E2988" s="527"/>
      <c r="F2988" s="527"/>
      <c r="G2988" s="883" t="s">
        <v>4773</v>
      </c>
      <c r="J2988" s="613" t="s">
        <v>5141</v>
      </c>
    </row>
    <row r="2989" spans="1:10" x14ac:dyDescent="0.35">
      <c r="A2989" s="366" t="str">
        <f t="shared" si="86"/>
        <v/>
      </c>
      <c r="C2989" t="str">
        <f t="shared" si="85"/>
        <v/>
      </c>
      <c r="D2989" s="47"/>
      <c r="E2989" s="481"/>
      <c r="F2989" s="481"/>
      <c r="G2989" s="881"/>
      <c r="J2989" s="613"/>
    </row>
    <row r="2990" spans="1:10" x14ac:dyDescent="0.35">
      <c r="A2990" s="366" t="str">
        <f t="shared" si="86"/>
        <v/>
      </c>
      <c r="C2990" t="str">
        <f t="shared" si="85"/>
        <v/>
      </c>
      <c r="D2990" s="47"/>
      <c r="E2990" s="482"/>
      <c r="F2990" s="482"/>
      <c r="G2990" s="882"/>
      <c r="J2990" s="613"/>
    </row>
    <row r="2991" spans="1:10" x14ac:dyDescent="0.35">
      <c r="A2991" s="366" t="str">
        <f t="shared" si="86"/>
        <v/>
      </c>
      <c r="C2991" t="str">
        <f t="shared" si="85"/>
        <v/>
      </c>
      <c r="D2991" s="47"/>
      <c r="E2991" s="481" t="s">
        <v>256</v>
      </c>
      <c r="F2991" s="481"/>
      <c r="G2991" s="825" t="s">
        <v>3167</v>
      </c>
      <c r="J2991" s="613"/>
    </row>
    <row r="2992" spans="1:10" x14ac:dyDescent="0.35">
      <c r="A2992" s="366" t="str">
        <f t="shared" si="86"/>
        <v/>
      </c>
      <c r="C2992" t="str">
        <f t="shared" si="85"/>
        <v/>
      </c>
      <c r="D2992" s="47"/>
      <c r="E2992" s="481"/>
      <c r="F2992" s="481"/>
      <c r="G2992" s="825"/>
      <c r="J2992" s="613"/>
    </row>
    <row r="2993" spans="1:10" x14ac:dyDescent="0.35">
      <c r="A2993" s="366" t="str">
        <f t="shared" si="86"/>
        <v/>
      </c>
      <c r="C2993" t="str">
        <f t="shared" si="85"/>
        <v/>
      </c>
      <c r="D2993" s="47"/>
      <c r="E2993" s="482"/>
      <c r="F2993" s="482"/>
      <c r="G2993" s="842"/>
      <c r="J2993" s="613"/>
    </row>
    <row r="2994" spans="1:10" x14ac:dyDescent="0.35">
      <c r="A2994" s="366" t="str">
        <f t="shared" si="86"/>
        <v/>
      </c>
      <c r="C2994" t="str">
        <f t="shared" si="85"/>
        <v/>
      </c>
      <c r="D2994" s="47"/>
      <c r="E2994" s="527" t="s">
        <v>258</v>
      </c>
      <c r="F2994" s="527"/>
      <c r="G2994" s="828" t="s">
        <v>4774</v>
      </c>
      <c r="J2994" s="613"/>
    </row>
    <row r="2995" spans="1:10" x14ac:dyDescent="0.35">
      <c r="A2995" s="366" t="str">
        <f t="shared" si="86"/>
        <v/>
      </c>
      <c r="C2995" t="str">
        <f t="shared" si="85"/>
        <v/>
      </c>
      <c r="D2995" s="47"/>
      <c r="E2995" s="482"/>
      <c r="F2995" s="482"/>
      <c r="G2995" s="842"/>
      <c r="J2995" s="613"/>
    </row>
    <row r="2996" spans="1:10" x14ac:dyDescent="0.35">
      <c r="A2996" s="366" t="str">
        <f t="shared" si="86"/>
        <v/>
      </c>
      <c r="C2996" t="str">
        <f t="shared" si="85"/>
        <v/>
      </c>
      <c r="D2996" s="47"/>
      <c r="E2996" s="481" t="s">
        <v>260</v>
      </c>
      <c r="F2996" s="481"/>
      <c r="G2996" s="825" t="s">
        <v>4775</v>
      </c>
      <c r="J2996" s="613"/>
    </row>
    <row r="2997" spans="1:10" x14ac:dyDescent="0.35">
      <c r="A2997" s="366" t="str">
        <f t="shared" si="86"/>
        <v/>
      </c>
      <c r="C2997" t="str">
        <f t="shared" si="85"/>
        <v/>
      </c>
      <c r="D2997" s="100"/>
      <c r="E2997" s="482"/>
      <c r="F2997" s="482"/>
      <c r="G2997" s="842"/>
      <c r="J2997" s="613"/>
    </row>
    <row r="2998" spans="1:10" x14ac:dyDescent="0.35">
      <c r="A2998" s="366" t="str">
        <f t="shared" si="86"/>
        <v/>
      </c>
      <c r="C2998" t="str">
        <f t="shared" si="85"/>
        <v/>
      </c>
      <c r="D2998" s="468" t="s">
        <v>4776</v>
      </c>
      <c r="E2998" s="527"/>
      <c r="F2998" s="527"/>
      <c r="G2998" s="883" t="s">
        <v>4777</v>
      </c>
      <c r="J2998" s="613" t="s">
        <v>5141</v>
      </c>
    </row>
    <row r="2999" spans="1:10" x14ac:dyDescent="0.35">
      <c r="A2999" s="366" t="str">
        <f t="shared" si="86"/>
        <v/>
      </c>
      <c r="C2999" t="str">
        <f t="shared" si="85"/>
        <v/>
      </c>
      <c r="D2999" s="47"/>
      <c r="E2999" s="481"/>
      <c r="F2999" s="481"/>
      <c r="G2999" s="881"/>
      <c r="J2999" s="613"/>
    </row>
    <row r="3000" spans="1:10" x14ac:dyDescent="0.35">
      <c r="A3000" s="366" t="str">
        <f t="shared" si="86"/>
        <v/>
      </c>
      <c r="C3000" t="str">
        <f t="shared" si="85"/>
        <v/>
      </c>
      <c r="D3000" s="47"/>
      <c r="E3000" s="481"/>
      <c r="F3000" s="481"/>
      <c r="G3000" s="881"/>
      <c r="J3000" s="613"/>
    </row>
    <row r="3001" spans="1:10" x14ac:dyDescent="0.35">
      <c r="A3001" s="366" t="str">
        <f t="shared" si="86"/>
        <v/>
      </c>
      <c r="C3001" t="str">
        <f t="shared" si="85"/>
        <v/>
      </c>
      <c r="D3001" s="100"/>
      <c r="E3001" s="482"/>
      <c r="F3001" s="482"/>
      <c r="G3001" s="882"/>
      <c r="J3001" s="613"/>
    </row>
    <row r="3002" spans="1:10" x14ac:dyDescent="0.35">
      <c r="A3002" s="366" t="str">
        <f t="shared" si="86"/>
        <v/>
      </c>
      <c r="C3002" t="str">
        <f t="shared" si="85"/>
        <v/>
      </c>
      <c r="D3002" s="468" t="s">
        <v>4778</v>
      </c>
      <c r="E3002" s="527"/>
      <c r="F3002" s="527"/>
      <c r="G3002" s="883" t="s">
        <v>4779</v>
      </c>
      <c r="J3002" s="613" t="s">
        <v>5141</v>
      </c>
    </row>
    <row r="3003" spans="1:10" x14ac:dyDescent="0.35">
      <c r="A3003" s="366" t="str">
        <f t="shared" si="86"/>
        <v/>
      </c>
      <c r="C3003" t="str">
        <f t="shared" si="85"/>
        <v/>
      </c>
      <c r="D3003" s="47"/>
      <c r="E3003" s="481"/>
      <c r="F3003" s="481"/>
      <c r="G3003" s="881"/>
      <c r="J3003" s="613"/>
    </row>
    <row r="3004" spans="1:10" x14ac:dyDescent="0.35">
      <c r="A3004" s="366" t="str">
        <f t="shared" si="86"/>
        <v/>
      </c>
      <c r="C3004" t="str">
        <f t="shared" si="85"/>
        <v/>
      </c>
      <c r="D3004" s="47"/>
      <c r="E3004" s="481"/>
      <c r="F3004" s="481"/>
      <c r="G3004" s="881"/>
      <c r="J3004" s="613"/>
    </row>
    <row r="3005" spans="1:10" x14ac:dyDescent="0.35">
      <c r="A3005" s="366" t="str">
        <f t="shared" si="86"/>
        <v/>
      </c>
      <c r="C3005" t="str">
        <f t="shared" si="85"/>
        <v/>
      </c>
      <c r="D3005" s="100"/>
      <c r="E3005" s="482"/>
      <c r="F3005" s="482"/>
      <c r="G3005" s="882"/>
      <c r="J3005" s="613"/>
    </row>
    <row r="3006" spans="1:10" x14ac:dyDescent="0.35">
      <c r="A3006" s="366" t="str">
        <f t="shared" ref="A3006:A3037" si="87">IF(dstCommercial="Yes","P","")</f>
        <v/>
      </c>
      <c r="C3006" t="str">
        <f t="shared" si="85"/>
        <v/>
      </c>
      <c r="D3006" s="47" t="s">
        <v>4780</v>
      </c>
      <c r="E3006" s="481"/>
      <c r="F3006" s="481"/>
      <c r="G3006" s="881" t="s">
        <v>4781</v>
      </c>
      <c r="J3006" s="613" t="s">
        <v>3891</v>
      </c>
    </row>
    <row r="3007" spans="1:10" ht="15" thickBot="1" x14ac:dyDescent="0.4">
      <c r="A3007" s="366" t="str">
        <f t="shared" si="87"/>
        <v/>
      </c>
      <c r="C3007" t="str">
        <f t="shared" si="85"/>
        <v/>
      </c>
      <c r="D3007" s="52"/>
      <c r="E3007" s="491"/>
      <c r="F3007" s="491"/>
      <c r="G3007" s="931"/>
      <c r="J3007" s="613"/>
    </row>
    <row r="3008" spans="1:10" ht="15" thickTop="1" x14ac:dyDescent="0.35">
      <c r="A3008" s="366" t="str">
        <f t="shared" si="87"/>
        <v/>
      </c>
      <c r="C3008" t="str">
        <f t="shared" si="85"/>
        <v/>
      </c>
      <c r="D3008" s="66" t="s">
        <v>4782</v>
      </c>
      <c r="E3008" s="540"/>
      <c r="F3008" s="540"/>
      <c r="G3008" s="930" t="s">
        <v>4783</v>
      </c>
      <c r="J3008" s="613" t="s">
        <v>5123</v>
      </c>
    </row>
    <row r="3009" spans="1:10" ht="15" thickBot="1" x14ac:dyDescent="0.4">
      <c r="A3009" s="366" t="str">
        <f t="shared" si="87"/>
        <v/>
      </c>
      <c r="C3009" t="str">
        <f t="shared" si="85"/>
        <v/>
      </c>
      <c r="D3009" s="52"/>
      <c r="E3009" s="491"/>
      <c r="F3009" s="491"/>
      <c r="G3009" s="931"/>
      <c r="J3009" s="613"/>
    </row>
    <row r="3010" spans="1:10" ht="15" thickTop="1" x14ac:dyDescent="0.35">
      <c r="A3010" s="366" t="str">
        <f t="shared" si="87"/>
        <v/>
      </c>
      <c r="C3010" t="str">
        <f t="shared" si="85"/>
        <v/>
      </c>
      <c r="D3010" s="47" t="s">
        <v>4784</v>
      </c>
      <c r="E3010" s="481"/>
      <c r="F3010" s="481"/>
      <c r="G3010" s="480" t="s">
        <v>4785</v>
      </c>
      <c r="J3010" s="613" t="s">
        <v>3891</v>
      </c>
    </row>
    <row r="3011" spans="1:10" x14ac:dyDescent="0.35">
      <c r="A3011" s="366" t="str">
        <f t="shared" si="87"/>
        <v/>
      </c>
      <c r="C3011" t="str">
        <f t="shared" si="85"/>
        <v/>
      </c>
      <c r="D3011" s="47"/>
      <c r="E3011" s="481" t="s">
        <v>256</v>
      </c>
      <c r="F3011" s="481"/>
      <c r="G3011" s="825" t="s">
        <v>3175</v>
      </c>
      <c r="J3011" s="613"/>
    </row>
    <row r="3012" spans="1:10" x14ac:dyDescent="0.35">
      <c r="A3012" s="366" t="str">
        <f t="shared" si="87"/>
        <v/>
      </c>
      <c r="C3012" t="str">
        <f t="shared" si="85"/>
        <v/>
      </c>
      <c r="D3012" s="47"/>
      <c r="E3012" s="482"/>
      <c r="F3012" s="482"/>
      <c r="G3012" s="842"/>
      <c r="J3012" s="613"/>
    </row>
    <row r="3013" spans="1:10" x14ac:dyDescent="0.35">
      <c r="A3013" s="366" t="str">
        <f t="shared" si="87"/>
        <v/>
      </c>
      <c r="C3013" t="str">
        <f t="shared" si="85"/>
        <v/>
      </c>
      <c r="D3013" s="47"/>
      <c r="E3013" s="481" t="s">
        <v>258</v>
      </c>
      <c r="F3013" s="481"/>
      <c r="G3013" s="825" t="s">
        <v>4786</v>
      </c>
      <c r="J3013" s="613"/>
    </row>
    <row r="3014" spans="1:10" ht="15" thickBot="1" x14ac:dyDescent="0.4">
      <c r="A3014" s="366" t="str">
        <f t="shared" si="87"/>
        <v/>
      </c>
      <c r="C3014" t="str">
        <f t="shared" si="85"/>
        <v/>
      </c>
      <c r="D3014" s="52"/>
      <c r="E3014" s="491"/>
      <c r="F3014" s="491"/>
      <c r="G3014" s="826"/>
      <c r="J3014" s="613"/>
    </row>
    <row r="3015" spans="1:10" ht="15" thickTop="1" x14ac:dyDescent="0.35">
      <c r="A3015" s="366" t="str">
        <f t="shared" si="87"/>
        <v/>
      </c>
      <c r="C3015" t="str">
        <f t="shared" si="85"/>
        <v/>
      </c>
      <c r="D3015" s="66" t="s">
        <v>4787</v>
      </c>
      <c r="E3015" s="540"/>
      <c r="F3015" s="540"/>
      <c r="G3015" s="930" t="s">
        <v>4788</v>
      </c>
      <c r="J3015" s="613" t="s">
        <v>5123</v>
      </c>
    </row>
    <row r="3016" spans="1:10" ht="15" thickBot="1" x14ac:dyDescent="0.4">
      <c r="A3016" s="366" t="str">
        <f t="shared" si="87"/>
        <v/>
      </c>
      <c r="C3016" t="str">
        <f t="shared" si="85"/>
        <v/>
      </c>
      <c r="D3016" s="52"/>
      <c r="E3016" s="491"/>
      <c r="F3016" s="491"/>
      <c r="G3016" s="931"/>
      <c r="J3016" s="613"/>
    </row>
    <row r="3017" spans="1:10" ht="15" thickTop="1" x14ac:dyDescent="0.35">
      <c r="A3017" s="366" t="str">
        <f t="shared" si="87"/>
        <v/>
      </c>
      <c r="C3017" t="str">
        <f t="shared" si="85"/>
        <v/>
      </c>
      <c r="D3017" s="47" t="s">
        <v>4789</v>
      </c>
      <c r="E3017" s="481"/>
      <c r="F3017" s="481"/>
      <c r="G3017" s="480" t="s">
        <v>4790</v>
      </c>
      <c r="J3017" s="613"/>
    </row>
    <row r="3018" spans="1:10" x14ac:dyDescent="0.35">
      <c r="A3018" s="366" t="str">
        <f t="shared" si="87"/>
        <v/>
      </c>
      <c r="C3018" t="str">
        <f t="shared" si="85"/>
        <v/>
      </c>
      <c r="D3018" s="47" t="s">
        <v>4791</v>
      </c>
      <c r="E3018" s="481"/>
      <c r="F3018" s="481"/>
      <c r="G3018" s="881" t="s">
        <v>4792</v>
      </c>
      <c r="J3018" s="613" t="s">
        <v>5123</v>
      </c>
    </row>
    <row r="3019" spans="1:10" x14ac:dyDescent="0.35">
      <c r="A3019" s="366" t="str">
        <f t="shared" si="87"/>
        <v/>
      </c>
      <c r="C3019" t="str">
        <f t="shared" si="85"/>
        <v/>
      </c>
      <c r="D3019" s="100"/>
      <c r="E3019" s="482"/>
      <c r="F3019" s="482"/>
      <c r="G3019" s="882"/>
      <c r="J3019" s="613"/>
    </row>
    <row r="3020" spans="1:10" x14ac:dyDescent="0.35">
      <c r="A3020" s="366" t="str">
        <f t="shared" si="87"/>
        <v/>
      </c>
      <c r="C3020" t="str">
        <f t="shared" si="85"/>
        <v/>
      </c>
      <c r="D3020" s="47" t="s">
        <v>4793</v>
      </c>
      <c r="E3020" s="481"/>
      <c r="F3020" s="481"/>
      <c r="G3020" s="881" t="s">
        <v>4794</v>
      </c>
      <c r="J3020" s="613" t="s">
        <v>5123</v>
      </c>
    </row>
    <row r="3021" spans="1:10" ht="15" thickBot="1" x14ac:dyDescent="0.4">
      <c r="A3021" s="366" t="str">
        <f t="shared" si="87"/>
        <v/>
      </c>
      <c r="C3021" t="str">
        <f t="shared" si="85"/>
        <v/>
      </c>
      <c r="D3021" s="52"/>
      <c r="E3021" s="491"/>
      <c r="F3021" s="491"/>
      <c r="G3021" s="931"/>
      <c r="J3021" s="613"/>
    </row>
    <row r="3022" spans="1:10" ht="15" thickTop="1" x14ac:dyDescent="0.35">
      <c r="A3022" s="366" t="str">
        <f t="shared" si="87"/>
        <v/>
      </c>
      <c r="C3022" t="str">
        <f t="shared" si="85"/>
        <v/>
      </c>
      <c r="D3022" s="66" t="s">
        <v>4795</v>
      </c>
      <c r="E3022" s="540"/>
      <c r="F3022" s="540"/>
      <c r="G3022" s="930" t="s">
        <v>4796</v>
      </c>
      <c r="J3022" s="613"/>
    </row>
    <row r="3023" spans="1:10" x14ac:dyDescent="0.35">
      <c r="A3023" s="366" t="str">
        <f t="shared" si="87"/>
        <v/>
      </c>
      <c r="C3023" t="str">
        <f t="shared" si="85"/>
        <v/>
      </c>
      <c r="D3023" s="100"/>
      <c r="E3023" s="482"/>
      <c r="F3023" s="482"/>
      <c r="G3023" s="882"/>
      <c r="J3023" s="613"/>
    </row>
    <row r="3024" spans="1:10" x14ac:dyDescent="0.35">
      <c r="A3024" s="366" t="str">
        <f t="shared" si="87"/>
        <v/>
      </c>
      <c r="C3024" t="str">
        <f t="shared" si="85"/>
        <v/>
      </c>
      <c r="D3024" s="38" t="s">
        <v>4497</v>
      </c>
      <c r="E3024" s="402"/>
      <c r="F3024" s="402"/>
      <c r="G3024" s="841" t="s">
        <v>4498</v>
      </c>
      <c r="J3024" s="613" t="s">
        <v>5145</v>
      </c>
    </row>
    <row r="3025" spans="1:10" x14ac:dyDescent="0.35">
      <c r="A3025" s="366" t="str">
        <f t="shared" si="87"/>
        <v/>
      </c>
      <c r="C3025" t="str">
        <f t="shared" si="85"/>
        <v/>
      </c>
      <c r="D3025" s="402"/>
      <c r="E3025" s="402"/>
      <c r="F3025" s="402"/>
      <c r="G3025" s="841"/>
      <c r="J3025" s="613"/>
    </row>
    <row r="3026" spans="1:10" x14ac:dyDescent="0.35">
      <c r="A3026" s="366" t="str">
        <f t="shared" si="87"/>
        <v/>
      </c>
      <c r="C3026" t="str">
        <f t="shared" si="85"/>
        <v/>
      </c>
      <c r="D3026" s="402"/>
      <c r="E3026" s="402"/>
      <c r="F3026" s="402"/>
      <c r="G3026" s="841"/>
      <c r="J3026" s="613"/>
    </row>
    <row r="3027" spans="1:10" x14ac:dyDescent="0.35">
      <c r="A3027" s="366" t="str">
        <f t="shared" si="87"/>
        <v/>
      </c>
      <c r="C3027" t="str">
        <f t="shared" ref="C3027:C3090" si="88">IF(LEN(B3027)=0,IF(A3027="P","P",""),B3027)</f>
        <v/>
      </c>
      <c r="D3027" s="402"/>
      <c r="E3027" s="402" t="s">
        <v>256</v>
      </c>
      <c r="F3027" s="402"/>
      <c r="G3027" s="517" t="s">
        <v>3254</v>
      </c>
      <c r="J3027" s="613"/>
    </row>
    <row r="3028" spans="1:10" x14ac:dyDescent="0.35">
      <c r="A3028" s="366" t="str">
        <f t="shared" si="87"/>
        <v/>
      </c>
      <c r="C3028" t="str">
        <f t="shared" si="88"/>
        <v/>
      </c>
      <c r="D3028" s="402"/>
      <c r="E3028" s="402"/>
      <c r="F3028" s="402" t="s">
        <v>121</v>
      </c>
      <c r="G3028" s="517" t="s">
        <v>4499</v>
      </c>
      <c r="J3028" s="613"/>
    </row>
    <row r="3029" spans="1:10" x14ac:dyDescent="0.35">
      <c r="A3029" s="366" t="str">
        <f t="shared" si="87"/>
        <v/>
      </c>
      <c r="C3029" t="str">
        <f t="shared" si="88"/>
        <v/>
      </c>
      <c r="D3029" s="416"/>
      <c r="E3029" s="416"/>
      <c r="F3029" s="416" t="s">
        <v>122</v>
      </c>
      <c r="G3029" s="518" t="s">
        <v>4500</v>
      </c>
      <c r="J3029" s="613"/>
    </row>
    <row r="3030" spans="1:10" ht="15" customHeight="1" x14ac:dyDescent="0.35">
      <c r="A3030" s="366" t="str">
        <f t="shared" si="87"/>
        <v/>
      </c>
      <c r="C3030" t="str">
        <f t="shared" si="88"/>
        <v/>
      </c>
      <c r="D3030" s="402" t="s">
        <v>4501</v>
      </c>
      <c r="E3030" s="402"/>
      <c r="F3030" s="402"/>
      <c r="G3030" s="485" t="s">
        <v>4816</v>
      </c>
      <c r="J3030" s="613"/>
    </row>
    <row r="3031" spans="1:10" x14ac:dyDescent="0.35">
      <c r="A3031" s="366" t="str">
        <f t="shared" si="87"/>
        <v/>
      </c>
      <c r="C3031" t="str">
        <f t="shared" si="88"/>
        <v/>
      </c>
      <c r="D3031" s="402" t="s">
        <v>4503</v>
      </c>
      <c r="E3031" s="402"/>
      <c r="F3031" s="402"/>
      <c r="G3031" s="841" t="s">
        <v>4504</v>
      </c>
      <c r="J3031" s="613"/>
    </row>
    <row r="3032" spans="1:10" x14ac:dyDescent="0.35">
      <c r="A3032" s="366" t="str">
        <f t="shared" si="87"/>
        <v/>
      </c>
      <c r="C3032" t="str">
        <f t="shared" si="88"/>
        <v/>
      </c>
      <c r="D3032" s="402"/>
      <c r="E3032" s="402"/>
      <c r="F3032" s="402"/>
      <c r="G3032" s="841"/>
      <c r="J3032" s="613"/>
    </row>
    <row r="3033" spans="1:10" x14ac:dyDescent="0.35">
      <c r="A3033" s="366" t="str">
        <f t="shared" si="87"/>
        <v/>
      </c>
      <c r="C3033" t="str">
        <f t="shared" si="88"/>
        <v/>
      </c>
      <c r="D3033" s="402"/>
      <c r="E3033" s="402"/>
      <c r="F3033" s="402"/>
      <c r="G3033" s="841"/>
      <c r="J3033" s="613"/>
    </row>
    <row r="3034" spans="1:10" x14ac:dyDescent="0.35">
      <c r="A3034" s="366" t="str">
        <f t="shared" si="87"/>
        <v/>
      </c>
      <c r="C3034" t="str">
        <f t="shared" si="88"/>
        <v/>
      </c>
      <c r="D3034" s="402"/>
      <c r="E3034" s="402"/>
      <c r="F3034" s="402"/>
      <c r="G3034" s="841"/>
      <c r="J3034" s="613"/>
    </row>
    <row r="3035" spans="1:10" x14ac:dyDescent="0.35">
      <c r="A3035" s="366" t="str">
        <f t="shared" si="87"/>
        <v/>
      </c>
      <c r="C3035" t="str">
        <f t="shared" si="88"/>
        <v/>
      </c>
      <c r="D3035" s="402"/>
      <c r="E3035" s="402"/>
      <c r="F3035" s="402"/>
      <c r="G3035" s="841"/>
      <c r="J3035" s="613"/>
    </row>
    <row r="3036" spans="1:10" x14ac:dyDescent="0.35">
      <c r="A3036" s="366" t="str">
        <f t="shared" si="87"/>
        <v/>
      </c>
      <c r="C3036" t="str">
        <f t="shared" si="88"/>
        <v/>
      </c>
      <c r="D3036" s="402"/>
      <c r="E3036" s="402"/>
      <c r="F3036" s="402"/>
      <c r="G3036" s="841"/>
      <c r="J3036" s="613"/>
    </row>
    <row r="3037" spans="1:10" x14ac:dyDescent="0.35">
      <c r="A3037" s="366" t="str">
        <f t="shared" si="87"/>
        <v/>
      </c>
      <c r="C3037" t="str">
        <f t="shared" si="88"/>
        <v/>
      </c>
      <c r="D3037" s="416"/>
      <c r="E3037" s="416"/>
      <c r="F3037" s="416"/>
      <c r="G3037" s="962"/>
      <c r="J3037" s="613"/>
    </row>
    <row r="3038" spans="1:10" x14ac:dyDescent="0.35">
      <c r="A3038" s="366" t="str">
        <f t="shared" ref="A3038:A3069" si="89">IF(dstCommercial="Yes","P","")</f>
        <v/>
      </c>
      <c r="C3038" t="str">
        <f t="shared" si="88"/>
        <v/>
      </c>
      <c r="D3038" s="424" t="s">
        <v>4505</v>
      </c>
      <c r="E3038" s="424"/>
      <c r="F3038" s="424"/>
      <c r="G3038" s="961" t="s">
        <v>4506</v>
      </c>
      <c r="J3038" s="613"/>
    </row>
    <row r="3039" spans="1:10" x14ac:dyDescent="0.35">
      <c r="A3039" s="366" t="str">
        <f t="shared" si="89"/>
        <v/>
      </c>
      <c r="C3039" t="str">
        <f t="shared" si="88"/>
        <v/>
      </c>
      <c r="D3039" s="402"/>
      <c r="E3039" s="402"/>
      <c r="F3039" s="402"/>
      <c r="G3039" s="841"/>
      <c r="J3039" s="613"/>
    </row>
    <row r="3040" spans="1:10" x14ac:dyDescent="0.35">
      <c r="A3040" s="366" t="str">
        <f t="shared" si="89"/>
        <v/>
      </c>
      <c r="C3040" t="str">
        <f t="shared" si="88"/>
        <v/>
      </c>
      <c r="D3040" s="402"/>
      <c r="E3040" s="402"/>
      <c r="F3040" s="402"/>
      <c r="G3040" s="841"/>
      <c r="J3040" s="613"/>
    </row>
    <row r="3041" spans="1:10" x14ac:dyDescent="0.35">
      <c r="A3041" s="366" t="str">
        <f t="shared" si="89"/>
        <v/>
      </c>
      <c r="C3041" t="str">
        <f t="shared" si="88"/>
        <v/>
      </c>
      <c r="D3041" s="402"/>
      <c r="E3041" s="402"/>
      <c r="F3041" s="402"/>
      <c r="G3041" s="841"/>
      <c r="J3041" s="613"/>
    </row>
    <row r="3042" spans="1:10" x14ac:dyDescent="0.35">
      <c r="A3042" s="366" t="str">
        <f t="shared" si="89"/>
        <v/>
      </c>
      <c r="C3042" t="str">
        <f t="shared" si="88"/>
        <v/>
      </c>
      <c r="D3042" s="402"/>
      <c r="E3042" s="402"/>
      <c r="F3042" s="402"/>
      <c r="G3042" s="841"/>
      <c r="J3042" s="613"/>
    </row>
    <row r="3043" spans="1:10" x14ac:dyDescent="0.35">
      <c r="A3043" s="366" t="str">
        <f t="shared" si="89"/>
        <v/>
      </c>
      <c r="C3043" t="str">
        <f t="shared" si="88"/>
        <v/>
      </c>
      <c r="D3043" s="402"/>
      <c r="E3043" s="402"/>
      <c r="F3043" s="402"/>
      <c r="G3043" s="841"/>
      <c r="J3043" s="613"/>
    </row>
    <row r="3044" spans="1:10" x14ac:dyDescent="0.35">
      <c r="A3044" s="366" t="str">
        <f t="shared" si="89"/>
        <v/>
      </c>
      <c r="C3044" t="str">
        <f t="shared" si="88"/>
        <v/>
      </c>
      <c r="D3044" s="416"/>
      <c r="E3044" s="416"/>
      <c r="F3044" s="416"/>
      <c r="G3044" s="962"/>
      <c r="J3044" s="613"/>
    </row>
    <row r="3045" spans="1:10" x14ac:dyDescent="0.35">
      <c r="A3045" s="366" t="str">
        <f t="shared" si="89"/>
        <v/>
      </c>
      <c r="C3045" t="str">
        <f t="shared" si="88"/>
        <v/>
      </c>
      <c r="D3045" s="424" t="s">
        <v>4507</v>
      </c>
      <c r="E3045" s="424"/>
      <c r="F3045" s="424"/>
      <c r="G3045" s="961" t="s">
        <v>4508</v>
      </c>
      <c r="J3045" s="613"/>
    </row>
    <row r="3046" spans="1:10" x14ac:dyDescent="0.35">
      <c r="A3046" s="366" t="str">
        <f t="shared" si="89"/>
        <v/>
      </c>
      <c r="C3046" t="str">
        <f t="shared" si="88"/>
        <v/>
      </c>
      <c r="D3046" s="402"/>
      <c r="E3046" s="402"/>
      <c r="F3046" s="402"/>
      <c r="G3046" s="841"/>
      <c r="J3046" s="613"/>
    </row>
    <row r="3047" spans="1:10" x14ac:dyDescent="0.35">
      <c r="A3047" s="366" t="str">
        <f t="shared" si="89"/>
        <v/>
      </c>
      <c r="C3047" t="str">
        <f t="shared" si="88"/>
        <v/>
      </c>
      <c r="D3047" s="402"/>
      <c r="E3047" s="402"/>
      <c r="F3047" s="402"/>
      <c r="G3047" s="841"/>
      <c r="J3047" s="613"/>
    </row>
    <row r="3048" spans="1:10" x14ac:dyDescent="0.35">
      <c r="A3048" s="366" t="str">
        <f t="shared" si="89"/>
        <v/>
      </c>
      <c r="C3048" t="str">
        <f t="shared" si="88"/>
        <v/>
      </c>
      <c r="D3048" s="402"/>
      <c r="E3048" s="402"/>
      <c r="F3048" s="402"/>
      <c r="G3048" s="841"/>
      <c r="J3048" s="613"/>
    </row>
    <row r="3049" spans="1:10" x14ac:dyDescent="0.35">
      <c r="A3049" s="366" t="str">
        <f t="shared" si="89"/>
        <v/>
      </c>
      <c r="C3049" t="str">
        <f t="shared" si="88"/>
        <v/>
      </c>
      <c r="D3049" s="402"/>
      <c r="E3049" s="402"/>
      <c r="F3049" s="402"/>
      <c r="G3049" s="841"/>
      <c r="J3049" s="613"/>
    </row>
    <row r="3050" spans="1:10" x14ac:dyDescent="0.35">
      <c r="A3050" s="366" t="str">
        <f t="shared" si="89"/>
        <v/>
      </c>
      <c r="C3050" t="str">
        <f t="shared" si="88"/>
        <v/>
      </c>
      <c r="D3050" s="402"/>
      <c r="E3050" s="402"/>
      <c r="F3050" s="402"/>
      <c r="G3050" s="841"/>
      <c r="J3050" s="613"/>
    </row>
    <row r="3051" spans="1:10" x14ac:dyDescent="0.35">
      <c r="A3051" s="366" t="str">
        <f t="shared" si="89"/>
        <v/>
      </c>
      <c r="C3051" t="str">
        <f t="shared" si="88"/>
        <v/>
      </c>
      <c r="D3051" s="416"/>
      <c r="E3051" s="416"/>
      <c r="F3051" s="416"/>
      <c r="G3051" s="962"/>
      <c r="J3051" s="613"/>
    </row>
    <row r="3052" spans="1:10" x14ac:dyDescent="0.35">
      <c r="A3052" s="366" t="str">
        <f t="shared" si="89"/>
        <v/>
      </c>
      <c r="C3052" t="str">
        <f t="shared" si="88"/>
        <v/>
      </c>
      <c r="D3052" s="424" t="s">
        <v>4509</v>
      </c>
      <c r="E3052" s="424"/>
      <c r="F3052" s="424"/>
      <c r="G3052" s="961" t="s">
        <v>4510</v>
      </c>
      <c r="J3052" s="613"/>
    </row>
    <row r="3053" spans="1:10" x14ac:dyDescent="0.35">
      <c r="A3053" s="366" t="str">
        <f t="shared" si="89"/>
        <v/>
      </c>
      <c r="C3053" t="str">
        <f t="shared" si="88"/>
        <v/>
      </c>
      <c r="D3053" s="402"/>
      <c r="E3053" s="402"/>
      <c r="F3053" s="402"/>
      <c r="G3053" s="841"/>
      <c r="J3053" s="613"/>
    </row>
    <row r="3054" spans="1:10" x14ac:dyDescent="0.35">
      <c r="A3054" s="366" t="str">
        <f t="shared" si="89"/>
        <v/>
      </c>
      <c r="C3054" t="str">
        <f t="shared" si="88"/>
        <v/>
      </c>
      <c r="D3054" s="402"/>
      <c r="E3054" s="402"/>
      <c r="F3054" s="402"/>
      <c r="G3054" s="841"/>
      <c r="J3054" s="613"/>
    </row>
    <row r="3055" spans="1:10" x14ac:dyDescent="0.35">
      <c r="A3055" s="366" t="str">
        <f t="shared" si="89"/>
        <v/>
      </c>
      <c r="C3055" t="str">
        <f t="shared" si="88"/>
        <v/>
      </c>
      <c r="D3055" s="402"/>
      <c r="E3055" s="402"/>
      <c r="F3055" s="402"/>
      <c r="G3055" s="841"/>
      <c r="J3055" s="613"/>
    </row>
    <row r="3056" spans="1:10" x14ac:dyDescent="0.35">
      <c r="A3056" s="366" t="str">
        <f t="shared" si="89"/>
        <v/>
      </c>
      <c r="C3056" t="str">
        <f t="shared" si="88"/>
        <v/>
      </c>
      <c r="D3056" s="416"/>
      <c r="E3056" s="416"/>
      <c r="F3056" s="416"/>
      <c r="G3056" s="962"/>
      <c r="J3056" s="613"/>
    </row>
    <row r="3057" spans="1:10" x14ac:dyDescent="0.35">
      <c r="A3057" s="366" t="str">
        <f t="shared" si="89"/>
        <v/>
      </c>
      <c r="C3057" t="str">
        <f t="shared" si="88"/>
        <v/>
      </c>
      <c r="D3057" s="424" t="s">
        <v>4511</v>
      </c>
      <c r="E3057" s="424"/>
      <c r="F3057" s="424"/>
      <c r="G3057" s="961" t="s">
        <v>4512</v>
      </c>
      <c r="J3057" s="613"/>
    </row>
    <row r="3058" spans="1:10" x14ac:dyDescent="0.35">
      <c r="A3058" s="366" t="str">
        <f t="shared" si="89"/>
        <v/>
      </c>
      <c r="C3058" t="str">
        <f t="shared" si="88"/>
        <v/>
      </c>
      <c r="D3058" s="416"/>
      <c r="E3058" s="416"/>
      <c r="F3058" s="416"/>
      <c r="G3058" s="962"/>
      <c r="J3058" s="613"/>
    </row>
    <row r="3059" spans="1:10" x14ac:dyDescent="0.35">
      <c r="A3059" s="366" t="str">
        <f t="shared" si="89"/>
        <v/>
      </c>
      <c r="C3059" t="str">
        <f t="shared" si="88"/>
        <v/>
      </c>
      <c r="D3059" s="424" t="s">
        <v>4513</v>
      </c>
      <c r="E3059" s="424"/>
      <c r="F3059" s="424"/>
      <c r="G3059" s="961" t="s">
        <v>4514</v>
      </c>
      <c r="J3059" s="613"/>
    </row>
    <row r="3060" spans="1:10" x14ac:dyDescent="0.35">
      <c r="A3060" s="366" t="str">
        <f t="shared" si="89"/>
        <v/>
      </c>
      <c r="C3060" t="str">
        <f t="shared" si="88"/>
        <v/>
      </c>
      <c r="D3060" s="402"/>
      <c r="E3060" s="402"/>
      <c r="F3060" s="402"/>
      <c r="G3060" s="841"/>
      <c r="J3060" s="613"/>
    </row>
    <row r="3061" spans="1:10" x14ac:dyDescent="0.35">
      <c r="A3061" s="366" t="str">
        <f t="shared" si="89"/>
        <v/>
      </c>
      <c r="C3061" t="str">
        <f t="shared" si="88"/>
        <v/>
      </c>
      <c r="D3061" s="402"/>
      <c r="E3061" s="402"/>
      <c r="F3061" s="402"/>
      <c r="G3061" s="841"/>
      <c r="J3061" s="613"/>
    </row>
    <row r="3062" spans="1:10" x14ac:dyDescent="0.35">
      <c r="A3062" s="366" t="str">
        <f t="shared" si="89"/>
        <v/>
      </c>
      <c r="C3062" t="str">
        <f t="shared" si="88"/>
        <v/>
      </c>
      <c r="D3062" s="416"/>
      <c r="E3062" s="416"/>
      <c r="F3062" s="416"/>
      <c r="G3062" s="962"/>
      <c r="J3062" s="613"/>
    </row>
    <row r="3063" spans="1:10" x14ac:dyDescent="0.35">
      <c r="A3063" s="366" t="str">
        <f t="shared" si="89"/>
        <v/>
      </c>
      <c r="C3063" t="str">
        <f t="shared" si="88"/>
        <v/>
      </c>
      <c r="D3063" s="424" t="s">
        <v>4515</v>
      </c>
      <c r="E3063" s="424"/>
      <c r="F3063" s="424"/>
      <c r="G3063" s="961" t="s">
        <v>4516</v>
      </c>
      <c r="J3063" s="613"/>
    </row>
    <row r="3064" spans="1:10" x14ac:dyDescent="0.35">
      <c r="A3064" s="366" t="str">
        <f t="shared" si="89"/>
        <v/>
      </c>
      <c r="C3064" t="str">
        <f t="shared" si="88"/>
        <v/>
      </c>
      <c r="D3064" s="402"/>
      <c r="E3064" s="402"/>
      <c r="F3064" s="402"/>
      <c r="G3064" s="841"/>
      <c r="J3064" s="613"/>
    </row>
    <row r="3065" spans="1:10" x14ac:dyDescent="0.35">
      <c r="A3065" s="366" t="str">
        <f t="shared" si="89"/>
        <v/>
      </c>
      <c r="C3065" t="str">
        <f t="shared" si="88"/>
        <v/>
      </c>
      <c r="D3065" s="416"/>
      <c r="E3065" s="416"/>
      <c r="F3065" s="416"/>
      <c r="G3065" s="962"/>
      <c r="J3065" s="613"/>
    </row>
    <row r="3066" spans="1:10" x14ac:dyDescent="0.35">
      <c r="A3066" s="366" t="str">
        <f t="shared" si="89"/>
        <v/>
      </c>
      <c r="C3066" t="str">
        <f t="shared" si="88"/>
        <v/>
      </c>
      <c r="D3066" s="402" t="s">
        <v>4517</v>
      </c>
      <c r="E3066" s="402"/>
      <c r="F3066" s="402"/>
      <c r="G3066" s="485" t="s">
        <v>4518</v>
      </c>
      <c r="J3066" s="613"/>
    </row>
    <row r="3067" spans="1:10" x14ac:dyDescent="0.35">
      <c r="A3067" s="366" t="str">
        <f t="shared" si="89"/>
        <v/>
      </c>
      <c r="C3067" t="str">
        <f t="shared" si="88"/>
        <v/>
      </c>
      <c r="D3067" s="402"/>
      <c r="E3067" s="402"/>
      <c r="F3067" s="402"/>
      <c r="G3067" s="485" t="s">
        <v>4519</v>
      </c>
      <c r="J3067" s="613"/>
    </row>
    <row r="3068" spans="1:10" x14ac:dyDescent="0.35">
      <c r="A3068" s="366" t="str">
        <f t="shared" si="89"/>
        <v/>
      </c>
      <c r="C3068" t="str">
        <f t="shared" si="88"/>
        <v/>
      </c>
      <c r="D3068" s="402"/>
      <c r="E3068" s="402"/>
      <c r="F3068" s="402"/>
      <c r="G3068" s="957" t="s">
        <v>4520</v>
      </c>
      <c r="J3068" s="613"/>
    </row>
    <row r="3069" spans="1:10" x14ac:dyDescent="0.35">
      <c r="A3069" s="366" t="str">
        <f t="shared" si="89"/>
        <v/>
      </c>
      <c r="C3069" t="str">
        <f t="shared" si="88"/>
        <v/>
      </c>
      <c r="D3069" s="402"/>
      <c r="E3069" s="402"/>
      <c r="F3069" s="402"/>
      <c r="G3069" s="957"/>
      <c r="J3069" s="613"/>
    </row>
    <row r="3070" spans="1:10" x14ac:dyDescent="0.35">
      <c r="A3070" s="366" t="str">
        <f t="shared" ref="A3070:A3091" si="90">IF(dstCommercial="Yes","P","")</f>
        <v/>
      </c>
      <c r="C3070" t="str">
        <f t="shared" si="88"/>
        <v/>
      </c>
      <c r="D3070" s="402"/>
      <c r="E3070" s="402" t="s">
        <v>256</v>
      </c>
      <c r="F3070" s="402"/>
      <c r="G3070" s="517" t="s">
        <v>4521</v>
      </c>
      <c r="J3070" s="613"/>
    </row>
    <row r="3071" spans="1:10" x14ac:dyDescent="0.35">
      <c r="A3071" s="366" t="str">
        <f t="shared" si="90"/>
        <v/>
      </c>
      <c r="C3071" t="str">
        <f t="shared" si="88"/>
        <v/>
      </c>
      <c r="D3071" s="402"/>
      <c r="E3071" s="402"/>
      <c r="F3071" s="402" t="s">
        <v>121</v>
      </c>
      <c r="G3071" s="517" t="s">
        <v>4522</v>
      </c>
      <c r="J3071" s="613"/>
    </row>
    <row r="3072" spans="1:10" x14ac:dyDescent="0.35">
      <c r="A3072" s="366" t="str">
        <f t="shared" si="90"/>
        <v/>
      </c>
      <c r="C3072" t="str">
        <f t="shared" si="88"/>
        <v/>
      </c>
      <c r="D3072" s="402"/>
      <c r="E3072" s="402"/>
      <c r="F3072" s="402" t="s">
        <v>122</v>
      </c>
      <c r="G3072" s="957" t="s">
        <v>4523</v>
      </c>
      <c r="J3072" s="613"/>
    </row>
    <row r="3073" spans="1:10" x14ac:dyDescent="0.35">
      <c r="A3073" s="366" t="str">
        <f t="shared" si="90"/>
        <v/>
      </c>
      <c r="C3073" t="str">
        <f t="shared" si="88"/>
        <v/>
      </c>
      <c r="D3073" s="402"/>
      <c r="E3073" s="402"/>
      <c r="F3073" s="402"/>
      <c r="G3073" s="957"/>
      <c r="J3073" s="613"/>
    </row>
    <row r="3074" spans="1:10" x14ac:dyDescent="0.35">
      <c r="A3074" s="366" t="str">
        <f t="shared" si="90"/>
        <v/>
      </c>
      <c r="C3074" t="str">
        <f t="shared" si="88"/>
        <v/>
      </c>
      <c r="D3074" s="216"/>
      <c r="E3074" s="216"/>
      <c r="F3074" s="402" t="s">
        <v>123</v>
      </c>
      <c r="G3074" s="957" t="s">
        <v>4524</v>
      </c>
      <c r="J3074" s="613"/>
    </row>
    <row r="3075" spans="1:10" x14ac:dyDescent="0.35">
      <c r="A3075" s="366" t="str">
        <f t="shared" si="90"/>
        <v/>
      </c>
      <c r="C3075" t="str">
        <f t="shared" si="88"/>
        <v/>
      </c>
      <c r="D3075" s="216"/>
      <c r="E3075" s="216"/>
      <c r="F3075" s="402"/>
      <c r="G3075" s="957"/>
      <c r="J3075" s="613"/>
    </row>
    <row r="3076" spans="1:10" x14ac:dyDescent="0.35">
      <c r="A3076" s="366" t="str">
        <f t="shared" si="90"/>
        <v/>
      </c>
      <c r="C3076" t="str">
        <f t="shared" si="88"/>
        <v/>
      </c>
      <c r="D3076" s="216"/>
      <c r="E3076" s="216"/>
      <c r="F3076" s="31" t="s">
        <v>401</v>
      </c>
      <c r="G3076" s="957" t="s">
        <v>4525</v>
      </c>
      <c r="J3076" s="613"/>
    </row>
    <row r="3077" spans="1:10" x14ac:dyDescent="0.35">
      <c r="A3077" s="366" t="str">
        <f t="shared" si="90"/>
        <v/>
      </c>
      <c r="C3077" t="str">
        <f t="shared" si="88"/>
        <v/>
      </c>
      <c r="D3077" s="216"/>
      <c r="E3077" s="216"/>
      <c r="F3077" s="31"/>
      <c r="G3077" s="957"/>
      <c r="J3077" s="613"/>
    </row>
    <row r="3078" spans="1:10" x14ac:dyDescent="0.35">
      <c r="A3078" s="366" t="str">
        <f t="shared" si="90"/>
        <v/>
      </c>
      <c r="C3078" t="str">
        <f t="shared" si="88"/>
        <v/>
      </c>
      <c r="D3078" s="216"/>
      <c r="E3078" s="216"/>
      <c r="F3078" s="31" t="s">
        <v>539</v>
      </c>
      <c r="G3078" s="957" t="s">
        <v>4893</v>
      </c>
      <c r="J3078" s="613"/>
    </row>
    <row r="3079" spans="1:10" x14ac:dyDescent="0.35">
      <c r="A3079" s="366" t="str">
        <f t="shared" si="90"/>
        <v/>
      </c>
      <c r="C3079" t="str">
        <f t="shared" si="88"/>
        <v/>
      </c>
      <c r="D3079" s="216"/>
      <c r="E3079" s="216"/>
      <c r="F3079" s="31"/>
      <c r="G3079" s="957"/>
      <c r="J3079" s="613"/>
    </row>
    <row r="3080" spans="1:10" x14ac:dyDescent="0.35">
      <c r="A3080" s="366" t="str">
        <f t="shared" si="90"/>
        <v/>
      </c>
      <c r="C3080" t="str">
        <f t="shared" si="88"/>
        <v/>
      </c>
      <c r="D3080" s="216"/>
      <c r="E3080" s="216"/>
      <c r="F3080" s="31"/>
      <c r="G3080" s="957"/>
      <c r="J3080" s="613"/>
    </row>
    <row r="3081" spans="1:10" x14ac:dyDescent="0.35">
      <c r="A3081" s="366" t="str">
        <f t="shared" si="90"/>
        <v/>
      </c>
      <c r="C3081" t="str">
        <f t="shared" si="88"/>
        <v/>
      </c>
      <c r="D3081" s="216"/>
      <c r="E3081" s="216"/>
      <c r="F3081" s="31" t="s">
        <v>604</v>
      </c>
      <c r="G3081" s="957" t="s">
        <v>4526</v>
      </c>
      <c r="J3081" s="613"/>
    </row>
    <row r="3082" spans="1:10" x14ac:dyDescent="0.35">
      <c r="A3082" s="366" t="str">
        <f t="shared" si="90"/>
        <v/>
      </c>
      <c r="C3082" t="str">
        <f t="shared" si="88"/>
        <v/>
      </c>
      <c r="D3082" s="216"/>
      <c r="E3082" s="216"/>
      <c r="F3082" s="31"/>
      <c r="G3082" s="957"/>
      <c r="J3082" s="613"/>
    </row>
    <row r="3083" spans="1:10" x14ac:dyDescent="0.35">
      <c r="A3083" s="366" t="str">
        <f t="shared" si="90"/>
        <v/>
      </c>
      <c r="C3083" t="str">
        <f t="shared" si="88"/>
        <v/>
      </c>
      <c r="D3083" s="216"/>
      <c r="E3083" s="216"/>
      <c r="F3083" s="402" t="s">
        <v>606</v>
      </c>
      <c r="G3083" s="957" t="s">
        <v>4527</v>
      </c>
      <c r="J3083" s="613"/>
    </row>
    <row r="3084" spans="1:10" x14ac:dyDescent="0.35">
      <c r="A3084" s="366" t="str">
        <f t="shared" si="90"/>
        <v/>
      </c>
      <c r="C3084" t="str">
        <f t="shared" si="88"/>
        <v/>
      </c>
      <c r="D3084" s="216"/>
      <c r="E3084" s="216"/>
      <c r="F3084" s="402"/>
      <c r="G3084" s="957"/>
      <c r="J3084" s="613"/>
    </row>
    <row r="3085" spans="1:10" x14ac:dyDescent="0.35">
      <c r="A3085" s="366" t="str">
        <f t="shared" si="90"/>
        <v/>
      </c>
      <c r="C3085" t="str">
        <f t="shared" si="88"/>
        <v/>
      </c>
      <c r="D3085" s="216"/>
      <c r="E3085" s="216"/>
      <c r="F3085" s="402" t="s">
        <v>608</v>
      </c>
      <c r="G3085" s="957" t="s">
        <v>4528</v>
      </c>
      <c r="J3085" s="613"/>
    </row>
    <row r="3086" spans="1:10" x14ac:dyDescent="0.35">
      <c r="A3086" s="366" t="str">
        <f t="shared" si="90"/>
        <v/>
      </c>
      <c r="C3086" t="str">
        <f t="shared" si="88"/>
        <v/>
      </c>
      <c r="D3086" s="216"/>
      <c r="E3086" s="216"/>
      <c r="F3086" s="402"/>
      <c r="G3086" s="957"/>
      <c r="J3086" s="613"/>
    </row>
    <row r="3087" spans="1:10" x14ac:dyDescent="0.35">
      <c r="A3087" s="366" t="str">
        <f t="shared" si="90"/>
        <v/>
      </c>
      <c r="C3087" t="str">
        <f t="shared" si="88"/>
        <v/>
      </c>
      <c r="D3087" s="216"/>
      <c r="E3087" s="216"/>
      <c r="F3087" s="402" t="s">
        <v>843</v>
      </c>
      <c r="G3087" s="957" t="s">
        <v>4529</v>
      </c>
      <c r="J3087" s="613"/>
    </row>
    <row r="3088" spans="1:10" x14ac:dyDescent="0.35">
      <c r="A3088" s="366" t="str">
        <f t="shared" si="90"/>
        <v/>
      </c>
      <c r="C3088" t="str">
        <f t="shared" si="88"/>
        <v/>
      </c>
      <c r="D3088" s="216"/>
      <c r="E3088" s="216"/>
      <c r="F3088" s="402"/>
      <c r="G3088" s="957"/>
      <c r="J3088" s="613"/>
    </row>
    <row r="3089" spans="1:10" x14ac:dyDescent="0.35">
      <c r="A3089" s="366" t="str">
        <f t="shared" si="90"/>
        <v/>
      </c>
      <c r="C3089" t="str">
        <f t="shared" si="88"/>
        <v/>
      </c>
      <c r="D3089" s="216"/>
      <c r="E3089" s="216"/>
      <c r="F3089" s="402"/>
      <c r="G3089" s="957"/>
      <c r="J3089" s="613"/>
    </row>
    <row r="3090" spans="1:10" x14ac:dyDescent="0.35">
      <c r="A3090" s="366" t="str">
        <f t="shared" si="90"/>
        <v/>
      </c>
      <c r="C3090" t="str">
        <f t="shared" si="88"/>
        <v/>
      </c>
      <c r="D3090" s="216"/>
      <c r="E3090" s="216"/>
      <c r="F3090" s="402" t="s">
        <v>844</v>
      </c>
      <c r="G3090" s="957" t="s">
        <v>4530</v>
      </c>
      <c r="J3090" s="613"/>
    </row>
    <row r="3091" spans="1:10" ht="15" thickBot="1" x14ac:dyDescent="0.4">
      <c r="A3091" s="366" t="str">
        <f t="shared" si="90"/>
        <v/>
      </c>
      <c r="C3091" t="str">
        <f t="shared" ref="C3091:C3118" si="91">IF(LEN(B3091)=0,IF(A3091="P","P",""),B3091)</f>
        <v/>
      </c>
      <c r="D3091" s="634"/>
      <c r="E3091" s="407"/>
      <c r="F3091" s="407"/>
      <c r="G3091" s="958"/>
      <c r="J3091" s="613"/>
    </row>
    <row r="3092" spans="1:10" ht="15" thickTop="1" x14ac:dyDescent="0.35">
      <c r="C3092" t="str">
        <f t="shared" si="91"/>
        <v/>
      </c>
      <c r="D3092" s="47" t="s">
        <v>4797</v>
      </c>
      <c r="E3092" s="481"/>
      <c r="F3092" s="481"/>
      <c r="G3092" s="480" t="s">
        <v>4798</v>
      </c>
      <c r="J3092" s="613"/>
    </row>
    <row r="3093" spans="1:10" x14ac:dyDescent="0.35">
      <c r="C3093" t="str">
        <f t="shared" si="91"/>
        <v/>
      </c>
      <c r="D3093" s="47" t="s">
        <v>4799</v>
      </c>
      <c r="E3093" s="481"/>
      <c r="F3093" s="481"/>
      <c r="G3093" s="881" t="s">
        <v>4800</v>
      </c>
      <c r="J3093" s="613"/>
    </row>
    <row r="3094" spans="1:10" x14ac:dyDescent="0.35">
      <c r="C3094" t="str">
        <f t="shared" si="91"/>
        <v/>
      </c>
      <c r="D3094" s="47"/>
      <c r="E3094" s="481"/>
      <c r="F3094" s="481"/>
      <c r="G3094" s="881"/>
      <c r="J3094" s="613"/>
    </row>
    <row r="3095" spans="1:10" x14ac:dyDescent="0.35">
      <c r="C3095" t="str">
        <f t="shared" si="91"/>
        <v/>
      </c>
      <c r="D3095" s="47"/>
      <c r="E3095" s="481"/>
      <c r="F3095" s="481"/>
      <c r="G3095" s="881"/>
      <c r="J3095" s="613"/>
    </row>
    <row r="3096" spans="1:10" x14ac:dyDescent="0.35">
      <c r="C3096" t="str">
        <f t="shared" si="91"/>
        <v/>
      </c>
      <c r="D3096" s="47"/>
      <c r="E3096" s="481"/>
      <c r="F3096" s="481"/>
      <c r="G3096" s="881"/>
      <c r="J3096" s="613"/>
    </row>
    <row r="3097" spans="1:10" x14ac:dyDescent="0.35">
      <c r="C3097" t="str">
        <f t="shared" si="91"/>
        <v/>
      </c>
      <c r="D3097" s="47"/>
      <c r="E3097" s="481"/>
      <c r="F3097" s="481"/>
      <c r="G3097" s="881"/>
      <c r="J3097" s="613"/>
    </row>
    <row r="3098" spans="1:10" x14ac:dyDescent="0.35">
      <c r="C3098" t="str">
        <f t="shared" si="91"/>
        <v/>
      </c>
      <c r="D3098" s="47"/>
      <c r="E3098" s="481"/>
      <c r="F3098" s="481"/>
      <c r="G3098" s="881"/>
      <c r="J3098" s="613"/>
    </row>
    <row r="3099" spans="1:10" x14ac:dyDescent="0.35">
      <c r="C3099" t="str">
        <f t="shared" si="91"/>
        <v/>
      </c>
      <c r="D3099" s="47"/>
      <c r="E3099" s="481" t="s">
        <v>256</v>
      </c>
      <c r="F3099" s="481"/>
      <c r="G3099" s="825" t="s">
        <v>4801</v>
      </c>
      <c r="J3099" s="613"/>
    </row>
    <row r="3100" spans="1:10" x14ac:dyDescent="0.35">
      <c r="C3100" t="str">
        <f t="shared" si="91"/>
        <v/>
      </c>
      <c r="D3100" s="47"/>
      <c r="E3100" s="482"/>
      <c r="F3100" s="482"/>
      <c r="G3100" s="842"/>
      <c r="J3100" s="613"/>
    </row>
    <row r="3101" spans="1:10" x14ac:dyDescent="0.35">
      <c r="C3101" t="str">
        <f t="shared" si="91"/>
        <v/>
      </c>
      <c r="D3101" s="47"/>
      <c r="E3101" s="528" t="s">
        <v>258</v>
      </c>
      <c r="F3101" s="528"/>
      <c r="G3101" s="478" t="s">
        <v>4802</v>
      </c>
      <c r="J3101" s="613"/>
    </row>
    <row r="3102" spans="1:10" x14ac:dyDescent="0.35">
      <c r="C3102" t="str">
        <f t="shared" si="91"/>
        <v/>
      </c>
      <c r="D3102" s="47"/>
      <c r="E3102" s="527" t="s">
        <v>260</v>
      </c>
      <c r="F3102" s="527"/>
      <c r="G3102" s="828" t="s">
        <v>4803</v>
      </c>
      <c r="J3102" s="613"/>
    </row>
    <row r="3103" spans="1:10" x14ac:dyDescent="0.35">
      <c r="C3103" t="str">
        <f t="shared" si="91"/>
        <v/>
      </c>
      <c r="D3103" s="47"/>
      <c r="E3103" s="482"/>
      <c r="F3103" s="482"/>
      <c r="G3103" s="842"/>
      <c r="J3103" s="613"/>
    </row>
    <row r="3104" spans="1:10" x14ac:dyDescent="0.35">
      <c r="C3104" t="str">
        <f t="shared" si="91"/>
        <v/>
      </c>
      <c r="D3104" s="47"/>
      <c r="E3104" s="528" t="s">
        <v>269</v>
      </c>
      <c r="F3104" s="528"/>
      <c r="G3104" s="478" t="s">
        <v>4804</v>
      </c>
      <c r="J3104" s="613"/>
    </row>
    <row r="3105" spans="1:10" ht="15" thickBot="1" x14ac:dyDescent="0.4">
      <c r="C3105" t="str">
        <f t="shared" si="91"/>
        <v/>
      </c>
      <c r="D3105" s="52"/>
      <c r="E3105" s="491" t="s">
        <v>275</v>
      </c>
      <c r="F3105" s="491"/>
      <c r="G3105" s="474" t="s">
        <v>4805</v>
      </c>
      <c r="J3105" s="613"/>
    </row>
    <row r="3106" spans="1:10" ht="15" thickTop="1" x14ac:dyDescent="0.35">
      <c r="A3106" s="366" t="str">
        <f t="shared" ref="A3106:A3118" si="92">IF(dstCommercial="Yes","P","")</f>
        <v/>
      </c>
      <c r="C3106" t="str">
        <f t="shared" si="91"/>
        <v/>
      </c>
      <c r="D3106" s="47" t="s">
        <v>4806</v>
      </c>
      <c r="E3106" s="481"/>
      <c r="F3106" s="481"/>
      <c r="G3106" s="881" t="s">
        <v>4813</v>
      </c>
      <c r="J3106" s="613" t="s">
        <v>5146</v>
      </c>
    </row>
    <row r="3107" spans="1:10" x14ac:dyDescent="0.35">
      <c r="A3107" s="366" t="str">
        <f t="shared" si="92"/>
        <v/>
      </c>
      <c r="C3107" t="str">
        <f t="shared" si="91"/>
        <v/>
      </c>
      <c r="D3107" s="47"/>
      <c r="E3107" s="481"/>
      <c r="F3107" s="481"/>
      <c r="G3107" s="881"/>
      <c r="J3107" s="613"/>
    </row>
    <row r="3108" spans="1:10" x14ac:dyDescent="0.35">
      <c r="A3108" s="366" t="str">
        <f t="shared" si="92"/>
        <v/>
      </c>
      <c r="C3108" t="str">
        <f t="shared" si="91"/>
        <v/>
      </c>
      <c r="D3108" s="47"/>
      <c r="E3108" s="481"/>
      <c r="F3108" s="481"/>
      <c r="G3108" s="881"/>
      <c r="J3108" s="613"/>
    </row>
    <row r="3109" spans="1:10" x14ac:dyDescent="0.35">
      <c r="A3109" s="366" t="str">
        <f t="shared" si="92"/>
        <v/>
      </c>
      <c r="C3109" t="str">
        <f t="shared" si="91"/>
        <v/>
      </c>
      <c r="D3109" s="47"/>
      <c r="E3109" s="481"/>
      <c r="F3109" s="481"/>
      <c r="G3109" s="881"/>
      <c r="J3109" s="613"/>
    </row>
    <row r="3110" spans="1:10" x14ac:dyDescent="0.35">
      <c r="A3110" s="366" t="str">
        <f t="shared" si="92"/>
        <v/>
      </c>
      <c r="C3110" t="str">
        <f t="shared" si="91"/>
        <v/>
      </c>
      <c r="D3110" s="47"/>
      <c r="E3110" s="481"/>
      <c r="F3110" s="481"/>
      <c r="G3110" s="881"/>
      <c r="J3110" s="613"/>
    </row>
    <row r="3111" spans="1:10" x14ac:dyDescent="0.35">
      <c r="A3111" s="366" t="str">
        <f t="shared" si="92"/>
        <v/>
      </c>
      <c r="C3111" t="str">
        <f t="shared" si="91"/>
        <v/>
      </c>
      <c r="D3111" s="47"/>
      <c r="E3111" s="481"/>
      <c r="F3111" s="481"/>
      <c r="G3111" s="881"/>
      <c r="J3111" s="613"/>
    </row>
    <row r="3112" spans="1:10" x14ac:dyDescent="0.35">
      <c r="A3112" s="366" t="str">
        <f t="shared" si="92"/>
        <v/>
      </c>
      <c r="C3112" t="str">
        <f t="shared" si="91"/>
        <v/>
      </c>
      <c r="D3112" s="47"/>
      <c r="E3112" s="481" t="s">
        <v>256</v>
      </c>
      <c r="F3112" s="481"/>
      <c r="G3112" s="825" t="s">
        <v>4807</v>
      </c>
      <c r="J3112" s="613"/>
    </row>
    <row r="3113" spans="1:10" x14ac:dyDescent="0.35">
      <c r="A3113" s="366" t="str">
        <f t="shared" si="92"/>
        <v/>
      </c>
      <c r="C3113" t="str">
        <f t="shared" si="91"/>
        <v/>
      </c>
      <c r="D3113" s="47"/>
      <c r="E3113" s="482"/>
      <c r="F3113" s="482"/>
      <c r="G3113" s="842"/>
      <c r="J3113" s="613"/>
    </row>
    <row r="3114" spans="1:10" x14ac:dyDescent="0.35">
      <c r="A3114" s="366" t="str">
        <f t="shared" si="92"/>
        <v/>
      </c>
      <c r="C3114" t="str">
        <f t="shared" si="91"/>
        <v/>
      </c>
      <c r="D3114" s="47"/>
      <c r="E3114" s="481" t="s">
        <v>258</v>
      </c>
      <c r="F3114" s="481"/>
      <c r="G3114" s="825" t="s">
        <v>4808</v>
      </c>
      <c r="J3114" s="613"/>
    </row>
    <row r="3115" spans="1:10" x14ac:dyDescent="0.35">
      <c r="A3115" s="366" t="str">
        <f t="shared" si="92"/>
        <v/>
      </c>
      <c r="C3115" t="str">
        <f t="shared" si="91"/>
        <v/>
      </c>
      <c r="D3115" s="47"/>
      <c r="E3115" s="482"/>
      <c r="F3115" s="482"/>
      <c r="G3115" s="842"/>
      <c r="J3115" s="613"/>
    </row>
    <row r="3116" spans="1:10" x14ac:dyDescent="0.35">
      <c r="A3116" s="366" t="str">
        <f t="shared" si="92"/>
        <v/>
      </c>
      <c r="C3116" t="str">
        <f t="shared" si="91"/>
        <v/>
      </c>
      <c r="D3116" s="47"/>
      <c r="E3116" s="481" t="s">
        <v>260</v>
      </c>
      <c r="F3116" s="481"/>
      <c r="G3116" s="825" t="s">
        <v>4809</v>
      </c>
      <c r="J3116" s="613"/>
    </row>
    <row r="3117" spans="1:10" x14ac:dyDescent="0.35">
      <c r="A3117" s="366" t="str">
        <f t="shared" si="92"/>
        <v/>
      </c>
      <c r="C3117" t="str">
        <f t="shared" si="91"/>
        <v/>
      </c>
      <c r="D3117" s="47"/>
      <c r="E3117" s="481"/>
      <c r="F3117" s="481"/>
      <c r="G3117" s="825"/>
      <c r="J3117" s="613"/>
    </row>
    <row r="3118" spans="1:10" x14ac:dyDescent="0.35">
      <c r="A3118" s="366" t="str">
        <f t="shared" si="92"/>
        <v/>
      </c>
      <c r="C3118" t="str">
        <f t="shared" si="91"/>
        <v/>
      </c>
      <c r="D3118" s="47"/>
      <c r="E3118" s="481"/>
      <c r="F3118" s="481"/>
      <c r="G3118" s="825"/>
      <c r="J3118" s="613"/>
    </row>
  </sheetData>
  <sheetProtection algorithmName="SHA-512" hashValue="Uf9e0niGdWsjdHdnEcnuTPpPk7ubAXxfY0b9PlZvnzC4XgFio24Wzhw1/nfWuZojeQTTiLsYaAWM7aB5CcCE1Q==" saltValue="wkOuK7cDOlw0xj9ZycMUUQ==" spinCount="100000" sheet="1" objects="1" scenarios="1" selectLockedCells="1" autoFilter="0" selectUnlockedCells="1"/>
  <autoFilter ref="A6:C3118" xr:uid="{00000000-0009-0000-0000-000009000000}"/>
  <mergeCells count="921">
    <mergeCell ref="G3114:G3115"/>
    <mergeCell ref="G3116:G3118"/>
    <mergeCell ref="J2506:J2508"/>
    <mergeCell ref="J2509:J2510"/>
    <mergeCell ref="J2536:J2537"/>
    <mergeCell ref="J2741:J2742"/>
    <mergeCell ref="J2745:J2746"/>
    <mergeCell ref="J2812:J2813"/>
    <mergeCell ref="G3083:G3084"/>
    <mergeCell ref="G3085:G3086"/>
    <mergeCell ref="G3087:G3089"/>
    <mergeCell ref="G3090:G3091"/>
    <mergeCell ref="G3093:G3098"/>
    <mergeCell ref="G3099:G3100"/>
    <mergeCell ref="G3102:G3103"/>
    <mergeCell ref="G3106:G3111"/>
    <mergeCell ref="G3112:G3113"/>
    <mergeCell ref="G3057:G3058"/>
    <mergeCell ref="G3059:G3062"/>
    <mergeCell ref="G3063:G3065"/>
    <mergeCell ref="G3068:G3069"/>
    <mergeCell ref="G3072:G3073"/>
    <mergeCell ref="G3074:G3075"/>
    <mergeCell ref="G3076:G3077"/>
    <mergeCell ref="G3078:G3080"/>
    <mergeCell ref="G3081:G3082"/>
    <mergeCell ref="G3015:G3016"/>
    <mergeCell ref="G3018:G3019"/>
    <mergeCell ref="G3020:G3021"/>
    <mergeCell ref="G3022:G3023"/>
    <mergeCell ref="G3024:G3026"/>
    <mergeCell ref="G3031:G3037"/>
    <mergeCell ref="G3038:G3044"/>
    <mergeCell ref="G3045:G3051"/>
    <mergeCell ref="G3052:G3056"/>
    <mergeCell ref="G2991:G2993"/>
    <mergeCell ref="G2994:G2995"/>
    <mergeCell ref="G2996:G2997"/>
    <mergeCell ref="G2998:G3001"/>
    <mergeCell ref="G3002:G3005"/>
    <mergeCell ref="G3006:G3007"/>
    <mergeCell ref="G3008:G3009"/>
    <mergeCell ref="G3011:G3012"/>
    <mergeCell ref="G3013:G3014"/>
    <mergeCell ref="G2952:G2953"/>
    <mergeCell ref="G2955:G2960"/>
    <mergeCell ref="G2961:G2963"/>
    <mergeCell ref="G2964:G2968"/>
    <mergeCell ref="G2970:G2972"/>
    <mergeCell ref="G2974:G2978"/>
    <mergeCell ref="G2979:G2982"/>
    <mergeCell ref="G2983:G2987"/>
    <mergeCell ref="G2988:G2990"/>
    <mergeCell ref="G2913:G2917"/>
    <mergeCell ref="G2918:G2919"/>
    <mergeCell ref="G2920:G2923"/>
    <mergeCell ref="G2932:G2933"/>
    <mergeCell ref="G2934:G2939"/>
    <mergeCell ref="G2940:G2942"/>
    <mergeCell ref="G2943:G2944"/>
    <mergeCell ref="G2945:G2946"/>
    <mergeCell ref="G2950:G2951"/>
    <mergeCell ref="G2877:G2878"/>
    <mergeCell ref="G2884:G2885"/>
    <mergeCell ref="G2886:G2888"/>
    <mergeCell ref="G2889:G2892"/>
    <mergeCell ref="G2898:G2899"/>
    <mergeCell ref="G2902:G2903"/>
    <mergeCell ref="G2905:G2906"/>
    <mergeCell ref="G2908:G2909"/>
    <mergeCell ref="G2910:G2912"/>
    <mergeCell ref="G2850:G2852"/>
    <mergeCell ref="G2854:G2856"/>
    <mergeCell ref="G2857:G2858"/>
    <mergeCell ref="G2859:G2860"/>
    <mergeCell ref="G2861:G2864"/>
    <mergeCell ref="G2865:G2867"/>
    <mergeCell ref="G2868:G2870"/>
    <mergeCell ref="G2871:G2873"/>
    <mergeCell ref="G2875:G2876"/>
    <mergeCell ref="G2826:G2827"/>
    <mergeCell ref="G2829:G2830"/>
    <mergeCell ref="G2831:G2833"/>
    <mergeCell ref="G2834:G2835"/>
    <mergeCell ref="G2836:G2837"/>
    <mergeCell ref="G2838:G2839"/>
    <mergeCell ref="G2840:G2841"/>
    <mergeCell ref="G2843:G2846"/>
    <mergeCell ref="G2847:G2848"/>
    <mergeCell ref="G2789:G2794"/>
    <mergeCell ref="G2795:G2801"/>
    <mergeCell ref="G2802:G2806"/>
    <mergeCell ref="G2807:G2809"/>
    <mergeCell ref="G2810:G2811"/>
    <mergeCell ref="G2812:G2813"/>
    <mergeCell ref="G2814:G2815"/>
    <mergeCell ref="G2816:G2817"/>
    <mergeCell ref="G2820:G2824"/>
    <mergeCell ref="G2741:G2743"/>
    <mergeCell ref="G2745:G2748"/>
    <mergeCell ref="G2761:G2763"/>
    <mergeCell ref="G2764:G2766"/>
    <mergeCell ref="G2767:G2769"/>
    <mergeCell ref="G2771:G2772"/>
    <mergeCell ref="G2774:G2776"/>
    <mergeCell ref="G2778:G2779"/>
    <mergeCell ref="G2780:G2786"/>
    <mergeCell ref="G2694:G2698"/>
    <mergeCell ref="G2699:G2706"/>
    <mergeCell ref="G2708:G2713"/>
    <mergeCell ref="G2715:G2716"/>
    <mergeCell ref="G2719:G2720"/>
    <mergeCell ref="G2723:G2725"/>
    <mergeCell ref="G2727:G2730"/>
    <mergeCell ref="G2731:G2736"/>
    <mergeCell ref="G2737:G2740"/>
    <mergeCell ref="G2671:G2673"/>
    <mergeCell ref="G2675:G2676"/>
    <mergeCell ref="G2677:G2678"/>
    <mergeCell ref="G2679:G2680"/>
    <mergeCell ref="G2681:G2682"/>
    <mergeCell ref="G2683:G2684"/>
    <mergeCell ref="G2685:G2686"/>
    <mergeCell ref="G2687:G2689"/>
    <mergeCell ref="G2691:G2693"/>
    <mergeCell ref="G2625:G2627"/>
    <mergeCell ref="G2634:G2636"/>
    <mergeCell ref="G2637:G2638"/>
    <mergeCell ref="G2639:G2646"/>
    <mergeCell ref="G2651:G2652"/>
    <mergeCell ref="G2659:G2660"/>
    <mergeCell ref="G2661:G2662"/>
    <mergeCell ref="G2663:G2667"/>
    <mergeCell ref="G2669:G2670"/>
    <mergeCell ref="G2594:G2595"/>
    <mergeCell ref="G2597:G2598"/>
    <mergeCell ref="G2600:G2603"/>
    <mergeCell ref="G2606:G2608"/>
    <mergeCell ref="G2609:G2610"/>
    <mergeCell ref="G2614:G2615"/>
    <mergeCell ref="G2616:G2618"/>
    <mergeCell ref="G2619:G2620"/>
    <mergeCell ref="G2621:G2624"/>
    <mergeCell ref="G2556:G2557"/>
    <mergeCell ref="G2558:G2560"/>
    <mergeCell ref="G2570:G2571"/>
    <mergeCell ref="G2573:G2574"/>
    <mergeCell ref="G2575:G2576"/>
    <mergeCell ref="G2577:G2578"/>
    <mergeCell ref="G2579:G2580"/>
    <mergeCell ref="G2582:G2583"/>
    <mergeCell ref="G2589:G2593"/>
    <mergeCell ref="G2533:G2534"/>
    <mergeCell ref="G2536:G2538"/>
    <mergeCell ref="G2539:G2542"/>
    <mergeCell ref="G2543:G2544"/>
    <mergeCell ref="G2545:G2546"/>
    <mergeCell ref="G2547:G2548"/>
    <mergeCell ref="G2550:G2551"/>
    <mergeCell ref="G2552:G2553"/>
    <mergeCell ref="G2554:G2555"/>
    <mergeCell ref="G2496:G2497"/>
    <mergeCell ref="G2498:G2500"/>
    <mergeCell ref="G2501:G2503"/>
    <mergeCell ref="G2506:G2508"/>
    <mergeCell ref="G2509:G2510"/>
    <mergeCell ref="G2511:G2512"/>
    <mergeCell ref="G2513:G2514"/>
    <mergeCell ref="G2516:G2521"/>
    <mergeCell ref="G2525:G2526"/>
    <mergeCell ref="G2472:G2473"/>
    <mergeCell ref="G2474:G2475"/>
    <mergeCell ref="G2476:G2478"/>
    <mergeCell ref="G2479:G2480"/>
    <mergeCell ref="G2481:G2485"/>
    <mergeCell ref="G2486:G2488"/>
    <mergeCell ref="G2489:G2490"/>
    <mergeCell ref="G2491:G2492"/>
    <mergeCell ref="G2494:G2495"/>
    <mergeCell ref="J2409:J2410"/>
    <mergeCell ref="J2436:J2437"/>
    <mergeCell ref="J2439:J2440"/>
    <mergeCell ref="J2443:J2444"/>
    <mergeCell ref="J2455:J2456"/>
    <mergeCell ref="J2457:J2458"/>
    <mergeCell ref="J2256:J2257"/>
    <mergeCell ref="J2304:J2306"/>
    <mergeCell ref="J2323:J2325"/>
    <mergeCell ref="J2341:J2342"/>
    <mergeCell ref="J2368:J2369"/>
    <mergeCell ref="J2396:J2398"/>
    <mergeCell ref="J2035:J2036"/>
    <mergeCell ref="J2086:J2089"/>
    <mergeCell ref="J2151:J2153"/>
    <mergeCell ref="J2203:J2204"/>
    <mergeCell ref="J2244:J2245"/>
    <mergeCell ref="J2249:J2250"/>
    <mergeCell ref="J1913:J1914"/>
    <mergeCell ref="J1986:J1987"/>
    <mergeCell ref="J1995:J1996"/>
    <mergeCell ref="J2002:J2003"/>
    <mergeCell ref="J2007:J2009"/>
    <mergeCell ref="J2026:J2027"/>
    <mergeCell ref="J2013:J2014"/>
    <mergeCell ref="J1548:J1549"/>
    <mergeCell ref="J1650:J1651"/>
    <mergeCell ref="J1772:J1774"/>
    <mergeCell ref="J1792:J1793"/>
    <mergeCell ref="J1847:J1848"/>
    <mergeCell ref="J1853:J1854"/>
    <mergeCell ref="J1292:J1293"/>
    <mergeCell ref="J1315:J1316"/>
    <mergeCell ref="J1358:J1359"/>
    <mergeCell ref="J1386:J1387"/>
    <mergeCell ref="J1498:J1499"/>
    <mergeCell ref="J1543:J1544"/>
    <mergeCell ref="J1683:J1684"/>
    <mergeCell ref="J1052:J1060"/>
    <mergeCell ref="J1065:J1067"/>
    <mergeCell ref="J1089:J1091"/>
    <mergeCell ref="J1153:J1154"/>
    <mergeCell ref="J1210:J1213"/>
    <mergeCell ref="J886:J888"/>
    <mergeCell ref="J896:J899"/>
    <mergeCell ref="J946:J948"/>
    <mergeCell ref="J953:J954"/>
    <mergeCell ref="J1048:J1051"/>
    <mergeCell ref="J932:J933"/>
    <mergeCell ref="J1080:J1081"/>
    <mergeCell ref="J763:J764"/>
    <mergeCell ref="J812:J814"/>
    <mergeCell ref="J863:J867"/>
    <mergeCell ref="J595:J596"/>
    <mergeCell ref="J610:J611"/>
    <mergeCell ref="J619:J620"/>
    <mergeCell ref="J635:J636"/>
    <mergeCell ref="J673:J674"/>
    <mergeCell ref="J696:J697"/>
    <mergeCell ref="J705:J706"/>
    <mergeCell ref="J717:J718"/>
    <mergeCell ref="J724:J725"/>
    <mergeCell ref="J749:J750"/>
    <mergeCell ref="J434:J435"/>
    <mergeCell ref="J468:J469"/>
    <mergeCell ref="J509:J511"/>
    <mergeCell ref="J522:J523"/>
    <mergeCell ref="J565:J567"/>
    <mergeCell ref="J571:J572"/>
    <mergeCell ref="J330:J333"/>
    <mergeCell ref="J363:J364"/>
    <mergeCell ref="J379:J380"/>
    <mergeCell ref="J410:J412"/>
    <mergeCell ref="J413:J414"/>
    <mergeCell ref="J420:J421"/>
    <mergeCell ref="J156:J157"/>
    <mergeCell ref="J159:J160"/>
    <mergeCell ref="J161:J162"/>
    <mergeCell ref="J175:J176"/>
    <mergeCell ref="J197:J198"/>
    <mergeCell ref="J261:J262"/>
    <mergeCell ref="J90:J91"/>
    <mergeCell ref="J97:J98"/>
    <mergeCell ref="J103:J104"/>
    <mergeCell ref="J120:J122"/>
    <mergeCell ref="J154:J155"/>
    <mergeCell ref="J148:J149"/>
    <mergeCell ref="J51:J52"/>
    <mergeCell ref="J57:J60"/>
    <mergeCell ref="J68:J69"/>
    <mergeCell ref="J70:J71"/>
    <mergeCell ref="J72:J73"/>
    <mergeCell ref="J74:J75"/>
    <mergeCell ref="G2461:G2463"/>
    <mergeCell ref="G2464:G2467"/>
    <mergeCell ref="G2468:G2470"/>
    <mergeCell ref="H749:H750"/>
    <mergeCell ref="H756:H757"/>
    <mergeCell ref="H804:H805"/>
    <mergeCell ref="H1052:H1053"/>
    <mergeCell ref="H1081:H1082"/>
    <mergeCell ref="H1101:H1102"/>
    <mergeCell ref="H1414:H1415"/>
    <mergeCell ref="G2439:G2441"/>
    <mergeCell ref="G2442:G2444"/>
    <mergeCell ref="G2446:G2449"/>
    <mergeCell ref="G2450:G2454"/>
    <mergeCell ref="G2455:G2456"/>
    <mergeCell ref="G2457:G2458"/>
    <mergeCell ref="G2396:G2400"/>
    <mergeCell ref="G2409:G2410"/>
    <mergeCell ref="G2413:G2414"/>
    <mergeCell ref="G2421:G2424"/>
    <mergeCell ref="G2433:G2435"/>
    <mergeCell ref="G2437:G2438"/>
    <mergeCell ref="G2368:G2370"/>
    <mergeCell ref="G2372:G2373"/>
    <mergeCell ref="G2374:G2377"/>
    <mergeCell ref="G2385:G2386"/>
    <mergeCell ref="G2388:G2389"/>
    <mergeCell ref="G2394:G2395"/>
    <mergeCell ref="G2352:G2354"/>
    <mergeCell ref="G2355:G2356"/>
    <mergeCell ref="G2358:G2359"/>
    <mergeCell ref="G2360:G2361"/>
    <mergeCell ref="G2363:G2365"/>
    <mergeCell ref="G2366:G2367"/>
    <mergeCell ref="G2335:G2336"/>
    <mergeCell ref="G2339:G2340"/>
    <mergeCell ref="G2341:G2343"/>
    <mergeCell ref="G2345:G2346"/>
    <mergeCell ref="G2347:G2349"/>
    <mergeCell ref="G2350:G2351"/>
    <mergeCell ref="G2304:G2307"/>
    <mergeCell ref="G2317:G2322"/>
    <mergeCell ref="G2323:G2324"/>
    <mergeCell ref="G2326:G2328"/>
    <mergeCell ref="G2329:G2331"/>
    <mergeCell ref="G2332:G2333"/>
    <mergeCell ref="G2288:G2289"/>
    <mergeCell ref="G2291:G2292"/>
    <mergeCell ref="G2293:G2294"/>
    <mergeCell ref="G2296:G2297"/>
    <mergeCell ref="G2298:G2299"/>
    <mergeCell ref="G2300:G2301"/>
    <mergeCell ref="G2269:G2270"/>
    <mergeCell ref="G2272:G2273"/>
    <mergeCell ref="G2276:G2277"/>
    <mergeCell ref="G2280:G2281"/>
    <mergeCell ref="G2282:G2285"/>
    <mergeCell ref="G2286:G2287"/>
    <mergeCell ref="G2244:G2248"/>
    <mergeCell ref="G2249:G2252"/>
    <mergeCell ref="G2254:G2255"/>
    <mergeCell ref="G2256:G2257"/>
    <mergeCell ref="G2261:G2264"/>
    <mergeCell ref="G2267:G2268"/>
    <mergeCell ref="G2219:G2220"/>
    <mergeCell ref="G2221:G2228"/>
    <mergeCell ref="G2229:G2231"/>
    <mergeCell ref="G2233:G2237"/>
    <mergeCell ref="G2238:G2239"/>
    <mergeCell ref="G2242:G2243"/>
    <mergeCell ref="G2201:G2202"/>
    <mergeCell ref="G2203:G2204"/>
    <mergeCell ref="G2206:G2207"/>
    <mergeCell ref="G2209:G2210"/>
    <mergeCell ref="G2211:G2215"/>
    <mergeCell ref="G2216:G2218"/>
    <mergeCell ref="G2181:G2182"/>
    <mergeCell ref="G2183:G2185"/>
    <mergeCell ref="G2186:G2188"/>
    <mergeCell ref="G2189:G2190"/>
    <mergeCell ref="G2191:G2192"/>
    <mergeCell ref="G2196:G2197"/>
    <mergeCell ref="G2168:G2169"/>
    <mergeCell ref="G2170:G2171"/>
    <mergeCell ref="G2172:G2174"/>
    <mergeCell ref="G2175:G2176"/>
    <mergeCell ref="G2177:G2178"/>
    <mergeCell ref="G2179:G2180"/>
    <mergeCell ref="G2153:G2154"/>
    <mergeCell ref="G2157:G2158"/>
    <mergeCell ref="G2159:G2160"/>
    <mergeCell ref="G2161:G2162"/>
    <mergeCell ref="G2163:G2165"/>
    <mergeCell ref="G2166:G2167"/>
    <mergeCell ref="G2123:G2129"/>
    <mergeCell ref="G2130:G2136"/>
    <mergeCell ref="G2137:G2141"/>
    <mergeCell ref="G2142:G2143"/>
    <mergeCell ref="G2144:G2147"/>
    <mergeCell ref="G2148:G2150"/>
    <mergeCell ref="G2092:G2093"/>
    <mergeCell ref="G2097:G2098"/>
    <mergeCell ref="G2099:G2101"/>
    <mergeCell ref="G2102:G2104"/>
    <mergeCell ref="G2105:G2107"/>
    <mergeCell ref="G2115:G2122"/>
    <mergeCell ref="G2075:G2076"/>
    <mergeCell ref="G2077:G2078"/>
    <mergeCell ref="G2079:G2081"/>
    <mergeCell ref="G2082:G2084"/>
    <mergeCell ref="G2086:G2089"/>
    <mergeCell ref="G2090:G2091"/>
    <mergeCell ref="G2053:G2054"/>
    <mergeCell ref="G2055:G2056"/>
    <mergeCell ref="G2057:G2059"/>
    <mergeCell ref="G2060:G2061"/>
    <mergeCell ref="G2064:G2065"/>
    <mergeCell ref="G2073:G2074"/>
    <mergeCell ref="G2035:G2036"/>
    <mergeCell ref="G2037:G2038"/>
    <mergeCell ref="G2041:G2042"/>
    <mergeCell ref="G2043:G2044"/>
    <mergeCell ref="G2045:G2046"/>
    <mergeCell ref="G2051:G2052"/>
    <mergeCell ref="G2007:G2012"/>
    <mergeCell ref="G2013:G2015"/>
    <mergeCell ref="G2016:G2020"/>
    <mergeCell ref="G2022:G2024"/>
    <mergeCell ref="G2026:G2030"/>
    <mergeCell ref="G2031:G2034"/>
    <mergeCell ref="G1963:G1964"/>
    <mergeCell ref="G1965:G1969"/>
    <mergeCell ref="G1972:G1975"/>
    <mergeCell ref="G1984:G1985"/>
    <mergeCell ref="G1986:G1991"/>
    <mergeCell ref="G1992:G1994"/>
    <mergeCell ref="G2004:G2005"/>
    <mergeCell ref="G1995:G1996"/>
    <mergeCell ref="G1997:G1998"/>
    <mergeCell ref="G2002:G2003"/>
    <mergeCell ref="G1970:G1971"/>
    <mergeCell ref="G1696:G1699"/>
    <mergeCell ref="G1680:G1682"/>
    <mergeCell ref="G1683:G1684"/>
    <mergeCell ref="G1803:G1804"/>
    <mergeCell ref="G1807:G1808"/>
    <mergeCell ref="G1811:G1812"/>
    <mergeCell ref="G1813:G1815"/>
    <mergeCell ref="G1816:G1818"/>
    <mergeCell ref="G1822:G1823"/>
    <mergeCell ref="G1788:G1789"/>
    <mergeCell ref="G1790:G1791"/>
    <mergeCell ref="G1792:G1793"/>
    <mergeCell ref="G1794:G1795"/>
    <mergeCell ref="G1796:G1797"/>
    <mergeCell ref="G1799:G1800"/>
    <mergeCell ref="G1768:G1769"/>
    <mergeCell ref="G1742:G1744"/>
    <mergeCell ref="G1747:G1748"/>
    <mergeCell ref="G1739:G1740"/>
    <mergeCell ref="G1730:G1732"/>
    <mergeCell ref="G1734:G1736"/>
    <mergeCell ref="G1719:G1721"/>
    <mergeCell ref="G1722:G1724"/>
    <mergeCell ref="G1701:G1702"/>
    <mergeCell ref="G1664:G1665"/>
    <mergeCell ref="G1666:G1667"/>
    <mergeCell ref="G1668:G1669"/>
    <mergeCell ref="G1670:G1672"/>
    <mergeCell ref="G1673:G1674"/>
    <mergeCell ref="G1675:G1679"/>
    <mergeCell ref="G1690:G1691"/>
    <mergeCell ref="G1688:G1689"/>
    <mergeCell ref="G1694:G1695"/>
    <mergeCell ref="G1398:G1399"/>
    <mergeCell ref="G1400:G1401"/>
    <mergeCell ref="G1404:G1406"/>
    <mergeCell ref="G1407:G1408"/>
    <mergeCell ref="G1410:G1413"/>
    <mergeCell ref="G1414:G1415"/>
    <mergeCell ref="G1402:G1403"/>
    <mergeCell ref="G1416:G1418"/>
    <mergeCell ref="G1419:G1420"/>
    <mergeCell ref="G1321:G1322"/>
    <mergeCell ref="G1329:G1330"/>
    <mergeCell ref="G1331:G1332"/>
    <mergeCell ref="G1333:G1334"/>
    <mergeCell ref="G1337:G1338"/>
    <mergeCell ref="G1339:G1340"/>
    <mergeCell ref="G1351:G1355"/>
    <mergeCell ref="G1356:G1357"/>
    <mergeCell ref="G1335:G1336"/>
    <mergeCell ref="G1344:G1345"/>
    <mergeCell ref="G1346:G1347"/>
    <mergeCell ref="G1096:G1097"/>
    <mergeCell ref="G1098:G1100"/>
    <mergeCell ref="G1101:G1103"/>
    <mergeCell ref="G1105:G1111"/>
    <mergeCell ref="G1113:G1120"/>
    <mergeCell ref="G1121:G1125"/>
    <mergeCell ref="G1176:G1178"/>
    <mergeCell ref="G1188:G1190"/>
    <mergeCell ref="G1153:G1157"/>
    <mergeCell ref="G1139:G1147"/>
    <mergeCell ref="G1148:G1149"/>
    <mergeCell ref="G1129:G1137"/>
    <mergeCell ref="G988:G989"/>
    <mergeCell ref="G990:G991"/>
    <mergeCell ref="G993:G996"/>
    <mergeCell ref="G998:G1001"/>
    <mergeCell ref="G1002:G1003"/>
    <mergeCell ref="G1004:G1006"/>
    <mergeCell ref="G916:G917"/>
    <mergeCell ref="G928:G929"/>
    <mergeCell ref="G930:G931"/>
    <mergeCell ref="G932:G933"/>
    <mergeCell ref="G937:G939"/>
    <mergeCell ref="G940:G944"/>
    <mergeCell ref="G970:G973"/>
    <mergeCell ref="G974:G978"/>
    <mergeCell ref="G980:G981"/>
    <mergeCell ref="G983:G984"/>
    <mergeCell ref="G953:G956"/>
    <mergeCell ref="G946:G948"/>
    <mergeCell ref="G950:G951"/>
    <mergeCell ref="G926:G927"/>
    <mergeCell ref="G859:G861"/>
    <mergeCell ref="G863:G867"/>
    <mergeCell ref="G820:G822"/>
    <mergeCell ref="G824:G825"/>
    <mergeCell ref="G826:G827"/>
    <mergeCell ref="G828:G829"/>
    <mergeCell ref="G830:G831"/>
    <mergeCell ref="G832:G833"/>
    <mergeCell ref="G834:G835"/>
    <mergeCell ref="G836:G837"/>
    <mergeCell ref="G838:G842"/>
    <mergeCell ref="G843:G846"/>
    <mergeCell ref="G776:G777"/>
    <mergeCell ref="G758:G760"/>
    <mergeCell ref="G761:G762"/>
    <mergeCell ref="G763:G771"/>
    <mergeCell ref="G749:G751"/>
    <mergeCell ref="G705:G706"/>
    <mergeCell ref="G711:G713"/>
    <mergeCell ref="G714:G715"/>
    <mergeCell ref="G857:G858"/>
    <mergeCell ref="G847:G848"/>
    <mergeCell ref="G849:G850"/>
    <mergeCell ref="G853:G856"/>
    <mergeCell ref="G804:G809"/>
    <mergeCell ref="G812:G816"/>
    <mergeCell ref="G818:G819"/>
    <mergeCell ref="G789:G793"/>
    <mergeCell ref="G794:G802"/>
    <mergeCell ref="G784:G785"/>
    <mergeCell ref="G786:G787"/>
    <mergeCell ref="G743:G744"/>
    <mergeCell ref="G745:G748"/>
    <mergeCell ref="G448:G451"/>
    <mergeCell ref="G452:G455"/>
    <mergeCell ref="G456:G458"/>
    <mergeCell ref="G440:G441"/>
    <mergeCell ref="G442:G444"/>
    <mergeCell ref="G445:G446"/>
    <mergeCell ref="G655:G656"/>
    <mergeCell ref="G662:G666"/>
    <mergeCell ref="G667:G668"/>
    <mergeCell ref="G540:G543"/>
    <mergeCell ref="G461:G462"/>
    <mergeCell ref="G463:G464"/>
    <mergeCell ref="G466:G467"/>
    <mergeCell ref="G468:G469"/>
    <mergeCell ref="G470:G473"/>
    <mergeCell ref="G474:G475"/>
    <mergeCell ref="G477:G481"/>
    <mergeCell ref="G486:G487"/>
    <mergeCell ref="G492:G494"/>
    <mergeCell ref="G646:G647"/>
    <mergeCell ref="G648:G649"/>
    <mergeCell ref="G650:G651"/>
    <mergeCell ref="G652:G653"/>
    <mergeCell ref="G311:G313"/>
    <mergeCell ref="G315:G316"/>
    <mergeCell ref="G317:G319"/>
    <mergeCell ref="G282:G284"/>
    <mergeCell ref="G393:G394"/>
    <mergeCell ref="G395:G396"/>
    <mergeCell ref="G397:G401"/>
    <mergeCell ref="G402:G404"/>
    <mergeCell ref="G384:G385"/>
    <mergeCell ref="G388:G389"/>
    <mergeCell ref="G390:G391"/>
    <mergeCell ref="G374:G376"/>
    <mergeCell ref="G379:G380"/>
    <mergeCell ref="G363:G365"/>
    <mergeCell ref="G366:G368"/>
    <mergeCell ref="G351:G353"/>
    <mergeCell ref="G355:G357"/>
    <mergeCell ref="G146:G147"/>
    <mergeCell ref="G148:G149"/>
    <mergeCell ref="G144:G145"/>
    <mergeCell ref="G229:G232"/>
    <mergeCell ref="G233:G235"/>
    <mergeCell ref="G247:G249"/>
    <mergeCell ref="G250:G251"/>
    <mergeCell ref="G252:G253"/>
    <mergeCell ref="G261:G262"/>
    <mergeCell ref="G215:G216"/>
    <mergeCell ref="G217:G218"/>
    <mergeCell ref="G219:G221"/>
    <mergeCell ref="G222:G223"/>
    <mergeCell ref="G225:G226"/>
    <mergeCell ref="G227:G228"/>
    <mergeCell ref="G186:G187"/>
    <mergeCell ref="G184:G185"/>
    <mergeCell ref="G170:G174"/>
    <mergeCell ref="G175:G176"/>
    <mergeCell ref="G177:G179"/>
    <mergeCell ref="G159:G160"/>
    <mergeCell ref="G154:G155"/>
    <mergeCell ref="G156:G158"/>
    <mergeCell ref="G161:G163"/>
    <mergeCell ref="G180:G181"/>
    <mergeCell ref="G182:G183"/>
    <mergeCell ref="G190:G191"/>
    <mergeCell ref="G193:G194"/>
    <mergeCell ref="G195:G196"/>
    <mergeCell ref="G197:G198"/>
    <mergeCell ref="G1936:G1938"/>
    <mergeCell ref="G1939:G1942"/>
    <mergeCell ref="G320:G321"/>
    <mergeCell ref="G327:G329"/>
    <mergeCell ref="G330:G335"/>
    <mergeCell ref="G342:G343"/>
    <mergeCell ref="G344:G345"/>
    <mergeCell ref="G348:G350"/>
    <mergeCell ref="G271:G273"/>
    <mergeCell ref="G285:G286"/>
    <mergeCell ref="G287:G289"/>
    <mergeCell ref="G292:G295"/>
    <mergeCell ref="G296:G303"/>
    <mergeCell ref="G304:G307"/>
    <mergeCell ref="G346:G347"/>
    <mergeCell ref="G322:G323"/>
    <mergeCell ref="G324:G325"/>
    <mergeCell ref="G309:G310"/>
    <mergeCell ref="G1948:G1949"/>
    <mergeCell ref="G1952:G1953"/>
    <mergeCell ref="G1955:G1956"/>
    <mergeCell ref="G1958:G1959"/>
    <mergeCell ref="G1960:G1962"/>
    <mergeCell ref="G1927:G1928"/>
    <mergeCell ref="G1925:G1926"/>
    <mergeCell ref="G1883:G1884"/>
    <mergeCell ref="G1901:G1903"/>
    <mergeCell ref="G1915:G1917"/>
    <mergeCell ref="G1918:G1919"/>
    <mergeCell ref="G1920:G1921"/>
    <mergeCell ref="G1929:G1934"/>
    <mergeCell ref="G1869:G1870"/>
    <mergeCell ref="G1863:G1864"/>
    <mergeCell ref="G1850:G1852"/>
    <mergeCell ref="G1853:G1855"/>
    <mergeCell ref="G1858:G1860"/>
    <mergeCell ref="G1861:G1862"/>
    <mergeCell ref="G1908:G1909"/>
    <mergeCell ref="G1910:G1912"/>
    <mergeCell ref="G1913:G1914"/>
    <mergeCell ref="G1867:G1868"/>
    <mergeCell ref="G1871:G1873"/>
    <mergeCell ref="G1879:G1882"/>
    <mergeCell ref="G1885:G1886"/>
    <mergeCell ref="G1888:G1889"/>
    <mergeCell ref="G1896:G1900"/>
    <mergeCell ref="G1833:G1834"/>
    <mergeCell ref="G1838:G1840"/>
    <mergeCell ref="G1843:G1844"/>
    <mergeCell ref="G1825:G1830"/>
    <mergeCell ref="G1801:G1802"/>
    <mergeCell ref="G1781:G1782"/>
    <mergeCell ref="G1783:G1784"/>
    <mergeCell ref="G1786:G1787"/>
    <mergeCell ref="G1770:G1771"/>
    <mergeCell ref="G1773:G1774"/>
    <mergeCell ref="G1775:G1777"/>
    <mergeCell ref="G1703:G1704"/>
    <mergeCell ref="G1705:G1708"/>
    <mergeCell ref="G1710:G1718"/>
    <mergeCell ref="G1750:G1751"/>
    <mergeCell ref="G1752:G1753"/>
    <mergeCell ref="G1754:G1757"/>
    <mergeCell ref="G1758:G1760"/>
    <mergeCell ref="G1762:G1763"/>
    <mergeCell ref="G1765:G1767"/>
    <mergeCell ref="G1655:G1657"/>
    <mergeCell ref="G1658:G1660"/>
    <mergeCell ref="G1615:G1616"/>
    <mergeCell ref="G1617:G1618"/>
    <mergeCell ref="G1619:G1622"/>
    <mergeCell ref="G1623:G1624"/>
    <mergeCell ref="G1596:G1597"/>
    <mergeCell ref="G1577:G1578"/>
    <mergeCell ref="G1584:G1585"/>
    <mergeCell ref="G1586:G1588"/>
    <mergeCell ref="G1589:G1590"/>
    <mergeCell ref="G1591:G1593"/>
    <mergeCell ref="G1628:G1631"/>
    <mergeCell ref="G1632:G1633"/>
    <mergeCell ref="G1634:G1636"/>
    <mergeCell ref="G1640:G1642"/>
    <mergeCell ref="G1643:G1648"/>
    <mergeCell ref="G1650:G1654"/>
    <mergeCell ref="G1594:G1595"/>
    <mergeCell ref="G1598:G1599"/>
    <mergeCell ref="G1602:G1603"/>
    <mergeCell ref="G1604:G1606"/>
    <mergeCell ref="G1607:G1611"/>
    <mergeCell ref="G1612:G1614"/>
    <mergeCell ref="G1573:G1574"/>
    <mergeCell ref="G1575:G1576"/>
    <mergeCell ref="G1538:G1539"/>
    <mergeCell ref="G1541:G1542"/>
    <mergeCell ref="G1543:G1547"/>
    <mergeCell ref="G1524:G1525"/>
    <mergeCell ref="G1528:G1531"/>
    <mergeCell ref="G1533:G1534"/>
    <mergeCell ref="G1489:G1490"/>
    <mergeCell ref="G1496:G1497"/>
    <mergeCell ref="G1498:G1500"/>
    <mergeCell ref="G1548:G1550"/>
    <mergeCell ref="G1551:G1552"/>
    <mergeCell ref="G1553:G1554"/>
    <mergeCell ref="G1555:G1556"/>
    <mergeCell ref="G1559:G1560"/>
    <mergeCell ref="G1561:G1562"/>
    <mergeCell ref="G1501:G1502"/>
    <mergeCell ref="G1504:G1505"/>
    <mergeCell ref="G1510:G1511"/>
    <mergeCell ref="G1512:G1513"/>
    <mergeCell ref="G1521:G1522"/>
    <mergeCell ref="G1526:G1527"/>
    <mergeCell ref="G1486:G1488"/>
    <mergeCell ref="H1479:H1484"/>
    <mergeCell ref="G1466:G1467"/>
    <mergeCell ref="G1437:G1439"/>
    <mergeCell ref="G1442:G1444"/>
    <mergeCell ref="G1447:G1448"/>
    <mergeCell ref="G1450:G1451"/>
    <mergeCell ref="G1424:G1425"/>
    <mergeCell ref="G1426:G1427"/>
    <mergeCell ref="G1430:G1431"/>
    <mergeCell ref="G1433:G1434"/>
    <mergeCell ref="G1452:G1454"/>
    <mergeCell ref="G1456:G1458"/>
    <mergeCell ref="G1461:G1463"/>
    <mergeCell ref="G1464:G1465"/>
    <mergeCell ref="G1475:G1476"/>
    <mergeCell ref="G1479:G1484"/>
    <mergeCell ref="G1391:G1392"/>
    <mergeCell ref="G1393:G1395"/>
    <mergeCell ref="G1396:G1397"/>
    <mergeCell ref="G1386:G1387"/>
    <mergeCell ref="G1373:G1374"/>
    <mergeCell ref="G1375:G1376"/>
    <mergeCell ref="G1358:G1359"/>
    <mergeCell ref="G1362:G1363"/>
    <mergeCell ref="G1364:G1365"/>
    <mergeCell ref="G1368:G1369"/>
    <mergeCell ref="G1370:G1371"/>
    <mergeCell ref="G1377:G1379"/>
    <mergeCell ref="G1380:G1381"/>
    <mergeCell ref="G1382:G1383"/>
    <mergeCell ref="G1384:G1385"/>
    <mergeCell ref="G1389:G1390"/>
    <mergeCell ref="G1307:G1308"/>
    <mergeCell ref="G1315:G1316"/>
    <mergeCell ref="G1317:G1318"/>
    <mergeCell ref="G1319:G1320"/>
    <mergeCell ref="G1289:G1290"/>
    <mergeCell ref="G1292:G1293"/>
    <mergeCell ref="G1297:G1299"/>
    <mergeCell ref="G1300:G1301"/>
    <mergeCell ref="G1270:G1271"/>
    <mergeCell ref="G1279:G1280"/>
    <mergeCell ref="G1285:G1286"/>
    <mergeCell ref="G1287:G1288"/>
    <mergeCell ref="G1265:G1266"/>
    <mergeCell ref="G1233:G1237"/>
    <mergeCell ref="G1217:G1218"/>
    <mergeCell ref="G1220:G1221"/>
    <mergeCell ref="G1229:G1230"/>
    <mergeCell ref="G1204:G1206"/>
    <mergeCell ref="G1212:G1215"/>
    <mergeCell ref="G1197:G1198"/>
    <mergeCell ref="G1200:G1202"/>
    <mergeCell ref="G1244:G1245"/>
    <mergeCell ref="G1246:G1247"/>
    <mergeCell ref="G1248:G1249"/>
    <mergeCell ref="G1251:G1252"/>
    <mergeCell ref="G1255:G1256"/>
    <mergeCell ref="G1260:G1262"/>
    <mergeCell ref="G1083:G1087"/>
    <mergeCell ref="G1089:G1094"/>
    <mergeCell ref="G1045:G1046"/>
    <mergeCell ref="G1048:G1051"/>
    <mergeCell ref="G1052:G1056"/>
    <mergeCell ref="G1007:G1008"/>
    <mergeCell ref="G1011:G1013"/>
    <mergeCell ref="G1014:G1015"/>
    <mergeCell ref="G1016:G1018"/>
    <mergeCell ref="G1058:G1060"/>
    <mergeCell ref="G1061:G1062"/>
    <mergeCell ref="G1065:G1066"/>
    <mergeCell ref="G1068:G1075"/>
    <mergeCell ref="G1076:G1079"/>
    <mergeCell ref="G1080:G1081"/>
    <mergeCell ref="G1019:G1025"/>
    <mergeCell ref="G1026:G1028"/>
    <mergeCell ref="G1029:G1036"/>
    <mergeCell ref="G1037:G1038"/>
    <mergeCell ref="G1039:G1040"/>
    <mergeCell ref="G1042:G1043"/>
    <mergeCell ref="G906:G908"/>
    <mergeCell ref="G911:G912"/>
    <mergeCell ref="G914:G915"/>
    <mergeCell ref="G889:G892"/>
    <mergeCell ref="G893:G895"/>
    <mergeCell ref="G896:G904"/>
    <mergeCell ref="G868:G869"/>
    <mergeCell ref="G870:G873"/>
    <mergeCell ref="G879:G882"/>
    <mergeCell ref="G886:G888"/>
    <mergeCell ref="G883:G885"/>
    <mergeCell ref="G693:G694"/>
    <mergeCell ref="G682:G686"/>
    <mergeCell ref="G687:G692"/>
    <mergeCell ref="G696:G698"/>
    <mergeCell ref="G699:G700"/>
    <mergeCell ref="G717:G722"/>
    <mergeCell ref="G724:G725"/>
    <mergeCell ref="G726:G728"/>
    <mergeCell ref="G735:G742"/>
    <mergeCell ref="G670:G671"/>
    <mergeCell ref="G673:G676"/>
    <mergeCell ref="G680:G681"/>
    <mergeCell ref="G643:G644"/>
    <mergeCell ref="G592:G594"/>
    <mergeCell ref="G595:G600"/>
    <mergeCell ref="G601:G604"/>
    <mergeCell ref="G582:G583"/>
    <mergeCell ref="G586:G587"/>
    <mergeCell ref="G606:G607"/>
    <mergeCell ref="G608:G609"/>
    <mergeCell ref="G610:G611"/>
    <mergeCell ref="G612:G614"/>
    <mergeCell ref="G616:G618"/>
    <mergeCell ref="G619:G620"/>
    <mergeCell ref="J582:J583"/>
    <mergeCell ref="G544:G545"/>
    <mergeCell ref="G522:G523"/>
    <mergeCell ref="G524:G525"/>
    <mergeCell ref="G527:G530"/>
    <mergeCell ref="G531:G532"/>
    <mergeCell ref="G509:G514"/>
    <mergeCell ref="G520:G521"/>
    <mergeCell ref="G496:G499"/>
    <mergeCell ref="G501:G503"/>
    <mergeCell ref="G504:G505"/>
    <mergeCell ref="G506:G507"/>
    <mergeCell ref="G547:G549"/>
    <mergeCell ref="G550:G552"/>
    <mergeCell ref="G554:G558"/>
    <mergeCell ref="G559:G560"/>
    <mergeCell ref="G563:G564"/>
    <mergeCell ref="G565:G566"/>
    <mergeCell ref="G568:G570"/>
    <mergeCell ref="G571:G573"/>
    <mergeCell ref="G575:G577"/>
    <mergeCell ref="G578:G579"/>
    <mergeCell ref="G533:G534"/>
    <mergeCell ref="G537:G538"/>
    <mergeCell ref="G415:G416"/>
    <mergeCell ref="G420:G421"/>
    <mergeCell ref="G406:G407"/>
    <mergeCell ref="G422:G423"/>
    <mergeCell ref="G425:G427"/>
    <mergeCell ref="G428:G429"/>
    <mergeCell ref="G431:G433"/>
    <mergeCell ref="G434:G435"/>
    <mergeCell ref="G436:G437"/>
    <mergeCell ref="G410:G412"/>
    <mergeCell ref="G413:G414"/>
    <mergeCell ref="J282:J284"/>
    <mergeCell ref="G254:G255"/>
    <mergeCell ref="G263:G265"/>
    <mergeCell ref="G266:G269"/>
    <mergeCell ref="G205:G206"/>
    <mergeCell ref="G207:G210"/>
    <mergeCell ref="G212:G213"/>
    <mergeCell ref="G199:G201"/>
    <mergeCell ref="G202:G203"/>
    <mergeCell ref="G134:G135"/>
    <mergeCell ref="G139:G140"/>
    <mergeCell ref="G141:G143"/>
    <mergeCell ref="J127:J128"/>
    <mergeCell ref="G120:G122"/>
    <mergeCell ref="G123:G126"/>
    <mergeCell ref="G127:G130"/>
    <mergeCell ref="G90:G91"/>
    <mergeCell ref="G92:G93"/>
    <mergeCell ref="G97:G98"/>
    <mergeCell ref="G100:G101"/>
    <mergeCell ref="G103:G104"/>
    <mergeCell ref="G105:G106"/>
    <mergeCell ref="G108:G109"/>
    <mergeCell ref="G113:G116"/>
    <mergeCell ref="G117:G119"/>
    <mergeCell ref="G78:G79"/>
    <mergeCell ref="G80:G81"/>
    <mergeCell ref="G82:G86"/>
    <mergeCell ref="G68:G69"/>
    <mergeCell ref="G70:G71"/>
    <mergeCell ref="G76:G77"/>
    <mergeCell ref="G35:G38"/>
    <mergeCell ref="G41:G43"/>
    <mergeCell ref="G44:G45"/>
    <mergeCell ref="G49:G50"/>
    <mergeCell ref="G51:G52"/>
    <mergeCell ref="G57:G60"/>
    <mergeCell ref="G62:G65"/>
    <mergeCell ref="G72:G73"/>
    <mergeCell ref="G74:G75"/>
    <mergeCell ref="J22:J23"/>
    <mergeCell ref="J24:J25"/>
    <mergeCell ref="J26:J27"/>
    <mergeCell ref="J36:J40"/>
    <mergeCell ref="J15:J17"/>
    <mergeCell ref="A1:A5"/>
    <mergeCell ref="B1:B5"/>
    <mergeCell ref="C1:C5"/>
    <mergeCell ref="D1:G5"/>
    <mergeCell ref="J1:J6"/>
    <mergeCell ref="G8:G10"/>
    <mergeCell ref="G18:G19"/>
    <mergeCell ref="G20:G21"/>
    <mergeCell ref="G22:G23"/>
    <mergeCell ref="G24:G25"/>
    <mergeCell ref="G26:G29"/>
  </mergeCells>
  <hyperlinks>
    <hyperlink ref="G447" location="'Figure 6(3)'!A1" display="See Figure 6(3)" xr:uid="{EA322B9A-EE3F-4884-A43F-F2AF64D5C24A}"/>
    <hyperlink ref="G439" location="'Figure 6(3)'!A1" display="See Figure 6(3)" xr:uid="{1365B23E-217C-47CF-9A3A-2E7BEA680B58}"/>
    <hyperlink ref="G585" location="'Table 604.1'!A1" display="See Table 604.1" xr:uid="{992B4E98-30A7-415F-A25E-B23112EC7170}"/>
    <hyperlink ref="G992" location="'Table 701.4.3.2(2)'!A1" display="See Table 701.4.3.2(2)" xr:uid="{A135CCF0-45DD-4103-800A-E064D8C7D796}"/>
    <hyperlink ref="G1095" location="'Table 703.2.1(a)'!A1" display="See Table 703.2.1(a)" xr:uid="{B61A8438-30D4-480C-A029-7245CC365D72}"/>
    <hyperlink ref="G1348" location="'Table 703.7.1(7)'!A1" display="See Table 703.7.1(7)" xr:uid="{0B11E12C-5B90-427E-9B2C-68781BECB486}"/>
    <hyperlink ref="G1112" location="'Table 703.2.5.1'!A1" display="See Table 703.2.5.1" xr:uid="{FC221744-5E85-4D13-AB8B-2788FD8C8FB4}"/>
    <hyperlink ref="G1662" location="'Table 801.1(1)'!A1" display="See Table 801.1(1)" xr:uid="{B2E5A506-F74E-4C76-8F25-C4547FA7876C}"/>
    <hyperlink ref="G1663" location="'Table 801.1(2)'!A1" display="See Table 801.1(2)" xr:uid="{73CFB902-2853-465C-8167-24A672250A20}"/>
    <hyperlink ref="G2001" location="'Table 901.9.1'!A1" display="See Table 901.9.1" xr:uid="{59FE7055-6AFB-4A3F-A64E-F0E4ABF9AC55}"/>
    <hyperlink ref="G2006" location="'Table 901.9.2'!A1" display="See Table 901.9.2" xr:uid="{BB8A6722-9F40-4F8A-A859-5B55C156B3F5}"/>
    <hyperlink ref="G2025" location="'Table 901.10(3)'!A1" display="See Table 901.10(3)" xr:uid="{7C4757B7-FC65-4C43-BE0E-A91514EC13E9}"/>
    <hyperlink ref="G526" location="'Table 602.1.12'!A1" display="See Table 602.1.12" xr:uid="{B6B48D82-FA75-46D0-A9C6-3D6D181F668C}"/>
    <hyperlink ref="J1410" r:id="rId1" xr:uid="{93C03FBA-0A23-44F6-BA7B-32A38278C61D}"/>
    <hyperlink ref="G2718" location="'Table 604.1'!A1" display="See Table 604.1" xr:uid="{69F5EE34-0F82-457B-8CED-01868FE70C2E}"/>
    <hyperlink ref="G2949" location="'Table 901.9.1'!A1" display="See Table 901.9.1" xr:uid="{59EFE14E-F875-4945-B66C-20D050AC1922}"/>
    <hyperlink ref="G2954" location="'Table 901.9.2'!A1" display="See Table 901.9.2" xr:uid="{319A6787-688E-4D1F-86B3-A0BBCA1369AD}"/>
    <hyperlink ref="G2973" location="'Table 901.10(3)'!A1" display="See Table 901.10(3)" xr:uid="{982A8C0B-A81F-4F62-B28B-3828EE4D7489}"/>
    <hyperlink ref="G2744" r:id="rId2" location="C402.4" xr:uid="{C2567095-597C-465A-AF46-A0A8D94C9D5B}"/>
  </hyperlinks>
  <pageMargins left="0.7" right="0.7" top="0.75" bottom="0.75" header="0.3" footer="0.3"/>
  <pageSetup scale="51" fitToHeight="0"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3" id="{D5F562CA-7D3C-4360-BDC9-D832CE1A56E7}">
            <xm:f>'Overview (Design)'!$G$28&gt;2400</xm:f>
            <x14:dxf>
              <font>
                <color theme="1"/>
              </font>
              <fill>
                <patternFill>
                  <bgColor rgb="FFFF0000"/>
                </patternFill>
              </fill>
              <border>
                <left style="thin">
                  <color auto="1"/>
                </left>
                <right style="thin">
                  <color auto="1"/>
                </right>
                <top style="thin">
                  <color auto="1"/>
                </top>
                <vertical/>
                <horizontal/>
              </border>
            </x14:dxf>
          </x14:cfRule>
          <xm:sqref>G905</xm:sqref>
        </x14:conditionalFormatting>
        <x14:conditionalFormatting xmlns:xm="http://schemas.microsoft.com/office/excel/2006/main">
          <x14:cfRule type="expression" priority="1" id="{EDC3A9C0-EB8A-476C-8178-C066236A5DB4}">
            <xm:f>'Overview (Design)'!$G$28&gt;2400</xm:f>
            <x14:dxf>
              <font>
                <color theme="1"/>
              </font>
              <fill>
                <patternFill>
                  <bgColor rgb="FFFF0000"/>
                </patternFill>
              </fill>
              <border>
                <left style="thin">
                  <color auto="1"/>
                </left>
                <right style="thin">
                  <color auto="1"/>
                </right>
                <top style="thin">
                  <color auto="1"/>
                </top>
                <bottom style="thin">
                  <color auto="1"/>
                </bottom>
                <vertical/>
                <horizontal/>
              </border>
            </x14:dxf>
          </x14:cfRule>
          <xm:sqref>G909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pageSetUpPr fitToPage="1"/>
  </sheetPr>
  <dimension ref="B1:M25"/>
  <sheetViews>
    <sheetView showGridLines="0" zoomScaleNormal="100" workbookViewId="0">
      <selection activeCell="S48" sqref="S48"/>
    </sheetView>
  </sheetViews>
  <sheetFormatPr defaultRowHeight="14.5" x14ac:dyDescent="0.35"/>
  <cols>
    <col min="2" max="2" width="3.7265625" customWidth="1"/>
    <col min="3" max="3" width="62.26953125" bestFit="1" customWidth="1"/>
    <col min="8" max="8" width="2.26953125" customWidth="1"/>
    <col min="11" max="11" width="11" customWidth="1"/>
    <col min="12" max="12" width="8" customWidth="1"/>
  </cols>
  <sheetData>
    <row r="1" spans="2:13" x14ac:dyDescent="0.35">
      <c r="D1" s="834" t="s">
        <v>4873</v>
      </c>
      <c r="E1" s="834"/>
      <c r="F1" s="834"/>
      <c r="G1" s="834"/>
      <c r="H1" s="834"/>
      <c r="I1" s="834"/>
      <c r="J1" s="834"/>
      <c r="K1" s="834"/>
      <c r="L1" s="834"/>
      <c r="M1" s="834"/>
    </row>
    <row r="2" spans="2:13" x14ac:dyDescent="0.35">
      <c r="D2" s="834"/>
      <c r="E2" s="834"/>
      <c r="F2" s="834"/>
      <c r="G2" s="834"/>
      <c r="H2" s="834"/>
      <c r="I2" s="834"/>
      <c r="J2" s="834"/>
      <c r="K2" s="834"/>
      <c r="L2" s="834"/>
      <c r="M2" s="834"/>
    </row>
    <row r="3" spans="2:13" x14ac:dyDescent="0.35">
      <c r="D3" s="834"/>
      <c r="E3" s="834"/>
      <c r="F3" s="834"/>
      <c r="G3" s="834"/>
      <c r="H3" s="834"/>
      <c r="I3" s="834"/>
      <c r="J3" s="834"/>
      <c r="K3" s="834"/>
      <c r="L3" s="834"/>
      <c r="M3" s="834"/>
    </row>
    <row r="4" spans="2:13" x14ac:dyDescent="0.35">
      <c r="D4" s="834"/>
      <c r="E4" s="834"/>
      <c r="F4" s="834"/>
      <c r="G4" s="834"/>
      <c r="H4" s="834"/>
      <c r="I4" s="834"/>
      <c r="J4" s="834"/>
      <c r="K4" s="834"/>
      <c r="L4" s="834"/>
      <c r="M4" s="834"/>
    </row>
    <row r="5" spans="2:13" x14ac:dyDescent="0.35">
      <c r="D5" s="834"/>
      <c r="E5" s="834"/>
      <c r="F5" s="834"/>
      <c r="G5" s="834"/>
      <c r="H5" s="834"/>
      <c r="I5" s="834"/>
      <c r="J5" s="834"/>
      <c r="K5" s="834"/>
      <c r="L5" s="834"/>
      <c r="M5" s="834"/>
    </row>
    <row r="6" spans="2:13" x14ac:dyDescent="0.35">
      <c r="D6" s="41"/>
      <c r="E6" s="41"/>
      <c r="F6" s="41"/>
      <c r="G6" s="41"/>
      <c r="H6" s="41"/>
      <c r="I6" s="41"/>
      <c r="J6" s="41"/>
      <c r="K6" s="41"/>
      <c r="L6" s="41"/>
      <c r="M6" s="41"/>
    </row>
    <row r="7" spans="2:13" ht="21" x14ac:dyDescent="0.5">
      <c r="C7" s="354" t="s">
        <v>3829</v>
      </c>
    </row>
    <row r="8" spans="2:13" x14ac:dyDescent="0.35">
      <c r="E8" s="379" t="str">
        <f>IF(LEN('Overview (Design)'!G23)=0,"","Project Name: ")</f>
        <v/>
      </c>
      <c r="F8" s="216" t="str">
        <f>IF(LEN('Overview (Design)'!G23)=0,"",'Overview (Design)'!G23)</f>
        <v/>
      </c>
    </row>
    <row r="9" spans="2:13" x14ac:dyDescent="0.35">
      <c r="B9" s="358" t="str">
        <f>IF(startError,"û","ü")</f>
        <v>ü</v>
      </c>
      <c r="C9" s="359" t="s">
        <v>4091</v>
      </c>
      <c r="E9" s="216" t="s">
        <v>4094</v>
      </c>
      <c r="F9" s="216" t="str">
        <f>IF(LEN(dstHomeAddress)=0,"",dstHomeAddress&amp;", ")&amp;IF(LEN(dstCity)=0,"",dstCity&amp;", ")&amp;dstState&amp;" "&amp;dstZIP</f>
        <v>123 Example Drive, Durham, North Carolina 27703</v>
      </c>
    </row>
    <row r="10" spans="2:13" x14ac:dyDescent="0.35">
      <c r="C10" s="363"/>
    </row>
    <row r="11" spans="2:13" x14ac:dyDescent="0.35">
      <c r="D11" s="1005" t="s">
        <v>3837</v>
      </c>
      <c r="E11" s="1005"/>
      <c r="F11" s="1005"/>
      <c r="G11" s="1005"/>
      <c r="I11" s="1004" t="s">
        <v>253</v>
      </c>
      <c r="J11" s="352"/>
      <c r="K11" s="1004" t="s">
        <v>3833</v>
      </c>
      <c r="L11" s="1004" t="s">
        <v>3834</v>
      </c>
    </row>
    <row r="12" spans="2:13" x14ac:dyDescent="0.35">
      <c r="D12" s="351" t="s">
        <v>292</v>
      </c>
      <c r="E12" s="351" t="s">
        <v>293</v>
      </c>
      <c r="F12" s="351" t="s">
        <v>294</v>
      </c>
      <c r="G12" s="351" t="s">
        <v>290</v>
      </c>
      <c r="I12" s="1004"/>
      <c r="J12" s="352"/>
      <c r="K12" s="1004"/>
      <c r="L12" s="1004"/>
    </row>
    <row r="13" spans="2:13" x14ac:dyDescent="0.35">
      <c r="C13" s="350" t="s">
        <v>3823</v>
      </c>
      <c r="D13" s="353">
        <v>50</v>
      </c>
      <c r="E13" s="353">
        <v>64</v>
      </c>
      <c r="F13" s="353">
        <v>93</v>
      </c>
      <c r="G13" s="353">
        <v>121</v>
      </c>
      <c r="I13" s="355">
        <f ca="1">Points!H15</f>
        <v>57</v>
      </c>
      <c r="K13" s="358" t="str">
        <f>IF('Ch5'!$AG$3,"û","ü")</f>
        <v>ü</v>
      </c>
      <c r="L13" s="358" t="str">
        <f ca="1">IF('Ch5'!$AI$3,"û","ü")</f>
        <v>ü</v>
      </c>
    </row>
    <row r="14" spans="2:13" x14ac:dyDescent="0.35">
      <c r="C14" s="350" t="s">
        <v>3822</v>
      </c>
      <c r="D14" s="353">
        <v>43</v>
      </c>
      <c r="E14" s="353">
        <v>59</v>
      </c>
      <c r="F14" s="353">
        <v>89</v>
      </c>
      <c r="G14" s="353">
        <v>119</v>
      </c>
      <c r="I14" s="355">
        <f ca="1">Points!H16</f>
        <v>54</v>
      </c>
      <c r="K14" s="358" t="str">
        <f ca="1">IF('Ch6'!$AG$3,"û","ü")</f>
        <v>ü</v>
      </c>
      <c r="L14" s="358" t="str">
        <f ca="1">IF('Ch6'!$AI$3,"û","ü")</f>
        <v>ü</v>
      </c>
    </row>
    <row r="15" spans="2:13" x14ac:dyDescent="0.35">
      <c r="C15" s="350" t="s">
        <v>3824</v>
      </c>
      <c r="D15" s="353">
        <v>30</v>
      </c>
      <c r="E15" s="353">
        <v>45</v>
      </c>
      <c r="F15" s="353">
        <v>60</v>
      </c>
      <c r="G15" s="353">
        <v>70</v>
      </c>
      <c r="I15" s="355">
        <f ca="1">Points!H17</f>
        <v>60</v>
      </c>
      <c r="K15" s="358" t="str">
        <f ca="1">IF('Ch7'!$AG$3,"û","ü")</f>
        <v>ü</v>
      </c>
      <c r="L15" s="358" t="str">
        <f ca="1">IF('Ch7'!$AI$3,"û","ü")</f>
        <v>ü</v>
      </c>
    </row>
    <row r="16" spans="2:13" x14ac:dyDescent="0.35">
      <c r="C16" s="350" t="s">
        <v>3825</v>
      </c>
      <c r="D16" s="353">
        <v>25</v>
      </c>
      <c r="E16" s="353">
        <v>39</v>
      </c>
      <c r="F16" s="353">
        <v>67</v>
      </c>
      <c r="G16" s="353">
        <v>92</v>
      </c>
      <c r="I16" s="355">
        <f ca="1">Points!H18</f>
        <v>42</v>
      </c>
      <c r="K16" s="358" t="str">
        <f>IF('Ch8'!$AG$3,"û","ü")</f>
        <v>ü</v>
      </c>
      <c r="L16" s="358" t="str">
        <f ca="1">IF('Ch8'!$AI$3,"û","ü")</f>
        <v>ü</v>
      </c>
    </row>
    <row r="17" spans="3:12" x14ac:dyDescent="0.35">
      <c r="C17" s="350" t="s">
        <v>3826</v>
      </c>
      <c r="D17" s="353">
        <v>25</v>
      </c>
      <c r="E17" s="353">
        <v>42</v>
      </c>
      <c r="F17" s="353">
        <v>69</v>
      </c>
      <c r="G17" s="353">
        <v>97</v>
      </c>
      <c r="I17" s="355">
        <f ca="1">Points!H19</f>
        <v>31</v>
      </c>
      <c r="K17" s="358" t="str">
        <f>IF('Ch9'!$AG$3,"û","ü")</f>
        <v>ü</v>
      </c>
      <c r="L17" s="358" t="str">
        <f ca="1">IF('Ch9'!$AI$3,"û","ü")</f>
        <v>ü</v>
      </c>
    </row>
    <row r="18" spans="3:12" x14ac:dyDescent="0.35">
      <c r="C18" s="350" t="s">
        <v>3827</v>
      </c>
      <c r="D18" s="353">
        <v>8</v>
      </c>
      <c r="E18" s="353">
        <v>10</v>
      </c>
      <c r="F18" s="353">
        <v>11</v>
      </c>
      <c r="G18" s="353">
        <v>12</v>
      </c>
      <c r="I18" s="355">
        <f>Points!H20</f>
        <v>14</v>
      </c>
      <c r="K18" s="358" t="str">
        <f ca="1">IF('Ch10'!$AG$3,"û","ü")</f>
        <v>ü</v>
      </c>
      <c r="L18" s="358" t="str">
        <f>IF('Ch10'!$AI$3,"û","ü")</f>
        <v>ü</v>
      </c>
    </row>
    <row r="19" spans="3:12" x14ac:dyDescent="0.35">
      <c r="C19" s="350" t="s">
        <v>3820</v>
      </c>
      <c r="D19" s="353">
        <v>50</v>
      </c>
      <c r="E19" s="353">
        <v>75</v>
      </c>
      <c r="F19" s="353">
        <v>100</v>
      </c>
      <c r="G19" s="353">
        <v>100</v>
      </c>
      <c r="I19" s="355"/>
    </row>
    <row r="20" spans="3:12" x14ac:dyDescent="0.35">
      <c r="C20" s="350" t="s">
        <v>3831</v>
      </c>
      <c r="D20" s="353">
        <f>MAX(0,ROUNDDOWN(('Overview (Design)'!$G$25-4000)/100,0))</f>
        <v>0</v>
      </c>
      <c r="E20" s="353">
        <f>MAX(0,ROUNDDOWN(('Overview (Design)'!$G$25-4000)/100,0))</f>
        <v>0</v>
      </c>
      <c r="F20" s="353">
        <f>MAX(0,ROUNDDOWN(('Overview (Design)'!$G$25-4000)/100,0))</f>
        <v>0</v>
      </c>
      <c r="G20" s="353">
        <f>MAX(0,ROUNDDOWN(('Overview (Design)'!$G$25-4000)/100,0))</f>
        <v>0</v>
      </c>
      <c r="I20" s="355"/>
    </row>
    <row r="21" spans="3:12" x14ac:dyDescent="0.35">
      <c r="C21" s="360" t="s">
        <v>3821</v>
      </c>
      <c r="D21" s="353">
        <f>SUM(D13:D20)</f>
        <v>231</v>
      </c>
      <c r="E21" s="353">
        <f>SUM(E13:E20)</f>
        <v>334</v>
      </c>
      <c r="F21" s="353">
        <f>SUM(F13:F20)</f>
        <v>489</v>
      </c>
      <c r="G21" s="353">
        <f>SUM(G13:G20)</f>
        <v>611</v>
      </c>
      <c r="I21" s="355">
        <f ca="1">SUM(I13:I18)</f>
        <v>258</v>
      </c>
    </row>
    <row r="23" spans="3:12" x14ac:dyDescent="0.35">
      <c r="C23" s="350" t="s">
        <v>3828</v>
      </c>
      <c r="D23" s="356">
        <f ca="1">Points!J21</f>
        <v>77</v>
      </c>
      <c r="E23" s="356">
        <f ca="1">Points!K21</f>
        <v>-1</v>
      </c>
      <c r="F23" s="356">
        <f ca="1">Points!L21</f>
        <v>-131</v>
      </c>
      <c r="G23" s="356">
        <f ca="1">Points!M21</f>
        <v>-253</v>
      </c>
      <c r="H23" s="361"/>
    </row>
    <row r="25" spans="3:12" ht="18.5" x14ac:dyDescent="0.35">
      <c r="C25" s="357" t="s">
        <v>3830</v>
      </c>
      <c r="D25" s="1001" t="str">
        <f ca="1">Points!R22</f>
        <v>Bronze</v>
      </c>
      <c r="E25" s="1002"/>
      <c r="F25" s="1002"/>
      <c r="G25" s="1003"/>
      <c r="H25" s="362"/>
    </row>
  </sheetData>
  <sheetProtection algorithmName="SHA-512" hashValue="6Lpn8EavL6XJvgRbIyHdLsx69kZ/WmRZn6h4mTXjLkIuyy6MbugsTpRuv1rAlYx8gZdgETXJOhbIKQ3ddLmVBw==" saltValue="JyDQz6P1Ci7qtJCi3IJGTA==" spinCount="100000" sheet="1" objects="1" scenarios="1" selectLockedCells="1" selectUnlockedCells="1"/>
  <mergeCells count="6">
    <mergeCell ref="D25:G25"/>
    <mergeCell ref="D1:M5"/>
    <mergeCell ref="K11:K12"/>
    <mergeCell ref="L11:L12"/>
    <mergeCell ref="I11:I12"/>
    <mergeCell ref="D11:G11"/>
  </mergeCells>
  <conditionalFormatting sqref="B9">
    <cfRule type="expression" dxfId="3200" priority="1">
      <formula>$B$9="ü"</formula>
    </cfRule>
    <cfRule type="expression" dxfId="3199" priority="3">
      <formula>$B$9="û"</formula>
    </cfRule>
  </conditionalFormatting>
  <conditionalFormatting sqref="D25">
    <cfRule type="expression" dxfId="3198" priority="12">
      <formula>D25="Gold"</formula>
    </cfRule>
    <cfRule type="expression" dxfId="3197" priority="13">
      <formula>D25="Silver"</formula>
    </cfRule>
    <cfRule type="expression" dxfId="3196" priority="14">
      <formula>D25="Bronze"</formula>
    </cfRule>
    <cfRule type="expression" dxfId="3195" priority="15">
      <formula>D25="Emerald"</formula>
    </cfRule>
  </conditionalFormatting>
  <conditionalFormatting sqref="D12:G12">
    <cfRule type="expression" dxfId="3194" priority="4">
      <formula>D12="Gold"</formula>
    </cfRule>
    <cfRule type="expression" dxfId="3193" priority="5">
      <formula>D12="Silver"</formula>
    </cfRule>
    <cfRule type="expression" dxfId="3192" priority="6">
      <formula>D12="Bronze"</formula>
    </cfRule>
    <cfRule type="expression" dxfId="3191" priority="7">
      <formula>D12="Emerald"</formula>
    </cfRule>
  </conditionalFormatting>
  <conditionalFormatting sqref="D13:G21">
    <cfRule type="cellIs" dxfId="3190" priority="27" operator="lessThanOrEqual">
      <formula>$I13</formula>
    </cfRule>
  </conditionalFormatting>
  <conditionalFormatting sqref="D19:G19">
    <cfRule type="cellIs" dxfId="3189" priority="16" operator="lessThanOrEqual">
      <formula>D$23</formula>
    </cfRule>
  </conditionalFormatting>
  <conditionalFormatting sqref="F15">
    <cfRule type="expression" dxfId="3188" priority="26">
      <formula>Ch7Max&lt;3</formula>
    </cfRule>
  </conditionalFormatting>
  <conditionalFormatting sqref="F16:G16">
    <cfRule type="expression" dxfId="3187" priority="28">
      <formula>Ch8Max=2</formula>
    </cfRule>
  </conditionalFormatting>
  <conditionalFormatting sqref="G15">
    <cfRule type="expression" dxfId="3186" priority="25">
      <formula>Ch7Max&lt;4</formula>
    </cfRule>
  </conditionalFormatting>
  <conditionalFormatting sqref="K13:L18">
    <cfRule type="expression" dxfId="3185" priority="2">
      <formula>K13="ü"</formula>
    </cfRule>
    <cfRule type="expression" dxfId="3184" priority="23">
      <formula>K13="û"</formula>
    </cfRule>
  </conditionalFormatting>
  <pageMargins left="0.7" right="0.7" top="0.75" bottom="0.75" header="0.3" footer="0.3"/>
  <pageSetup scale="56" fitToHeight="0"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EFF2C-8CFA-44B2-8454-E6DDF2DFF2E5}">
  <sheetPr codeName="Sheet17">
    <pageSetUpPr fitToPage="1"/>
  </sheetPr>
  <dimension ref="B1:BI314"/>
  <sheetViews>
    <sheetView showGridLines="0" zoomScaleNormal="100" zoomScaleSheetLayoutView="80" workbookViewId="0">
      <pane ySplit="8" topLeftCell="A9" activePane="bottomLeft" state="frozen"/>
      <selection activeCell="S48" sqref="S48"/>
      <selection pane="bottomLeft" activeCell="S48" sqref="S48"/>
    </sheetView>
  </sheetViews>
  <sheetFormatPr defaultRowHeight="14.5" x14ac:dyDescent="0.35"/>
  <cols>
    <col min="1" max="14" width="7.54296875" customWidth="1"/>
    <col min="15" max="15" width="7.54296875" style="6" customWidth="1"/>
    <col min="16" max="16" width="6.1796875" hidden="1" customWidth="1"/>
    <col min="17" max="17" width="5.453125" hidden="1" customWidth="1"/>
    <col min="18" max="20" width="6.1796875" hidden="1" customWidth="1"/>
    <col min="21" max="21" width="8.7265625" hidden="1" customWidth="1"/>
    <col min="22" max="22" width="3.1796875" hidden="1" customWidth="1"/>
    <col min="23" max="23" width="21.453125" style="6" customWidth="1"/>
    <col min="24" max="24" width="69" customWidth="1"/>
    <col min="25" max="25" width="4.7265625" hidden="1" customWidth="1"/>
    <col min="26" max="35" width="9.1796875" hidden="1" customWidth="1"/>
    <col min="36" max="40" width="8.453125" hidden="1" customWidth="1"/>
    <col min="41" max="41" width="9.1796875" hidden="1" customWidth="1"/>
    <col min="42" max="42" width="29.1796875" hidden="1" customWidth="1"/>
    <col min="43" max="43" width="2.7265625" hidden="1" customWidth="1"/>
    <col min="44" max="44" width="29.1796875" hidden="1" customWidth="1"/>
    <col min="45" max="45" width="4.81640625" hidden="1" customWidth="1"/>
    <col min="46" max="48" width="8.453125" hidden="1" customWidth="1"/>
    <col min="49" max="59" width="9.1796875" hidden="1" customWidth="1"/>
    <col min="60" max="60" width="13.26953125" hidden="1" customWidth="1"/>
    <col min="61" max="61" width="26.1796875" hidden="1" customWidth="1"/>
    <col min="62" max="62" width="9.1796875" customWidth="1"/>
  </cols>
  <sheetData>
    <row r="1" spans="2:61" ht="15" customHeight="1" x14ac:dyDescent="0.35">
      <c r="W1" s="1014" t="s">
        <v>4873</v>
      </c>
      <c r="X1" s="716" t="s">
        <v>4063</v>
      </c>
    </row>
    <row r="2" spans="2:61" x14ac:dyDescent="0.35">
      <c r="C2" s="642" t="s">
        <v>5396</v>
      </c>
      <c r="D2" t="s">
        <v>5421</v>
      </c>
      <c r="W2" s="1014"/>
      <c r="X2" s="716" t="s">
        <v>3502</v>
      </c>
    </row>
    <row r="3" spans="2:61" x14ac:dyDescent="0.35">
      <c r="C3" s="642" t="s">
        <v>5391</v>
      </c>
      <c r="D3" t="str">
        <f ca="1">G89</f>
        <v>Not Earned</v>
      </c>
      <c r="Q3" s="6" t="s">
        <v>5241</v>
      </c>
      <c r="R3" t="s">
        <v>315</v>
      </c>
      <c r="W3" s="1015"/>
      <c r="X3" s="716" t="s">
        <v>3503</v>
      </c>
      <c r="AF3" s="6" t="s">
        <v>312</v>
      </c>
      <c r="AG3" t="b">
        <f>OR(ReportType="",IF(ReportType="Rough",OR(AF:AF),OR(AE:AE)))</f>
        <v>0</v>
      </c>
      <c r="AH3" s="6" t="s">
        <v>313</v>
      </c>
      <c r="AI3" t="b">
        <f ca="1">OR(AD:AD)</f>
        <v>0</v>
      </c>
    </row>
    <row r="4" spans="2:61" x14ac:dyDescent="0.35">
      <c r="C4" s="642" t="s">
        <v>5393</v>
      </c>
      <c r="D4" t="str">
        <f ca="1">G116</f>
        <v>Not Earned</v>
      </c>
      <c r="W4" s="214" t="s">
        <v>3501</v>
      </c>
      <c r="X4" s="523" t="str">
        <f>IF(dstCity="","",IF(dstBatch, "Various ", dstHomeAddress)&amp;", "&amp;dstCity&amp;", "&amp;dstState&amp;"  "&amp;dstZIP)</f>
        <v>123 Example Drive, Durham, North Carolina  27703</v>
      </c>
    </row>
    <row r="5" spans="2:61" ht="15" customHeight="1" x14ac:dyDescent="0.35">
      <c r="C5" s="642" t="s">
        <v>5392</v>
      </c>
      <c r="D5" t="str">
        <f>G173</f>
        <v>Not Earned</v>
      </c>
      <c r="W5" s="213" t="s">
        <v>130</v>
      </c>
      <c r="X5" s="524" t="str">
        <f>IF(dstLot="","",dstLot)</f>
        <v>Lot 1A</v>
      </c>
    </row>
    <row r="6" spans="2:61" ht="15" customHeight="1" x14ac:dyDescent="0.35">
      <c r="C6" s="642" t="s">
        <v>5394</v>
      </c>
      <c r="D6" t="str">
        <f ca="1">G194</f>
        <v>Not Earned</v>
      </c>
      <c r="W6" s="641"/>
    </row>
    <row r="7" spans="2:61" ht="15" customHeight="1" x14ac:dyDescent="0.35">
      <c r="C7" s="642" t="s">
        <v>5395</v>
      </c>
      <c r="D7" t="str">
        <f>G307</f>
        <v>Not Earned</v>
      </c>
      <c r="I7" s="1016" t="s">
        <v>5777</v>
      </c>
      <c r="J7" s="1016"/>
      <c r="K7" s="1016"/>
      <c r="L7" s="1016"/>
      <c r="M7" s="1016"/>
      <c r="P7" t="s">
        <v>4101</v>
      </c>
      <c r="Q7" t="s">
        <v>309</v>
      </c>
      <c r="R7" t="s">
        <v>250</v>
      </c>
      <c r="S7" t="s">
        <v>251</v>
      </c>
      <c r="T7" t="s">
        <v>0</v>
      </c>
      <c r="U7" t="s">
        <v>4102</v>
      </c>
      <c r="W7" s="641"/>
      <c r="AC7" s="2" t="s">
        <v>307</v>
      </c>
      <c r="AD7" s="2" t="s">
        <v>0</v>
      </c>
      <c r="AE7" s="2" t="s">
        <v>306</v>
      </c>
      <c r="AF7" s="6" t="s">
        <v>3990</v>
      </c>
    </row>
    <row r="8" spans="2:61" x14ac:dyDescent="0.35">
      <c r="H8" s="6"/>
      <c r="I8" s="1016"/>
      <c r="J8" s="1016"/>
      <c r="K8" s="1016"/>
      <c r="L8" s="1016"/>
      <c r="M8" s="1016"/>
      <c r="P8" s="21" t="s">
        <v>247</v>
      </c>
      <c r="Q8" s="21" t="s">
        <v>247</v>
      </c>
      <c r="R8" s="21" t="s">
        <v>247</v>
      </c>
      <c r="S8" s="21" t="s">
        <v>247</v>
      </c>
      <c r="T8" s="21" t="s">
        <v>247</v>
      </c>
      <c r="U8" s="21" t="s">
        <v>247</v>
      </c>
      <c r="V8" s="21" t="s">
        <v>247</v>
      </c>
      <c r="W8" s="641"/>
      <c r="X8" s="216" t="s">
        <v>5237</v>
      </c>
      <c r="Y8" s="21" t="s">
        <v>247</v>
      </c>
      <c r="Z8" s="21" t="s">
        <v>247</v>
      </c>
      <c r="AA8" s="21" t="s">
        <v>247</v>
      </c>
      <c r="AB8" s="21" t="s">
        <v>247</v>
      </c>
      <c r="AC8" s="21" t="s">
        <v>247</v>
      </c>
      <c r="AD8" s="21" t="s">
        <v>247</v>
      </c>
      <c r="AE8" s="21" t="s">
        <v>247</v>
      </c>
      <c r="AF8" s="21" t="s">
        <v>247</v>
      </c>
      <c r="AG8" s="21" t="s">
        <v>247</v>
      </c>
      <c r="AH8" s="21" t="s">
        <v>247</v>
      </c>
      <c r="AI8" s="21" t="s">
        <v>247</v>
      </c>
      <c r="AJ8" t="s">
        <v>247</v>
      </c>
      <c r="AK8" t="s">
        <v>247</v>
      </c>
      <c r="AL8" t="s">
        <v>247</v>
      </c>
      <c r="AM8" t="s">
        <v>247</v>
      </c>
      <c r="AN8" t="s">
        <v>247</v>
      </c>
      <c r="AO8" t="s">
        <v>247</v>
      </c>
      <c r="AP8" t="s">
        <v>247</v>
      </c>
      <c r="AQ8" t="s">
        <v>247</v>
      </c>
      <c r="AR8" t="s">
        <v>247</v>
      </c>
      <c r="AS8" t="s">
        <v>247</v>
      </c>
      <c r="AT8" t="s">
        <v>247</v>
      </c>
      <c r="AU8" t="s">
        <v>247</v>
      </c>
      <c r="AV8" t="s">
        <v>247</v>
      </c>
      <c r="AW8" t="s">
        <v>247</v>
      </c>
      <c r="AX8" t="s">
        <v>247</v>
      </c>
      <c r="AY8" t="s">
        <v>247</v>
      </c>
      <c r="AZ8" t="s">
        <v>247</v>
      </c>
      <c r="BA8" t="s">
        <v>247</v>
      </c>
      <c r="BB8" t="s">
        <v>247</v>
      </c>
      <c r="BC8" t="s">
        <v>247</v>
      </c>
      <c r="BD8" t="s">
        <v>247</v>
      </c>
      <c r="BE8" t="s">
        <v>247</v>
      </c>
      <c r="BF8" t="s">
        <v>247</v>
      </c>
      <c r="BG8" t="s">
        <v>247</v>
      </c>
      <c r="BH8" t="s">
        <v>247</v>
      </c>
      <c r="BI8" t="s">
        <v>247</v>
      </c>
    </row>
    <row r="9" spans="2:61" x14ac:dyDescent="0.35">
      <c r="O9"/>
      <c r="W9"/>
    </row>
    <row r="10" spans="2:61" x14ac:dyDescent="0.35">
      <c r="B10" s="1006" t="s">
        <v>5249</v>
      </c>
      <c r="C10" s="1006"/>
      <c r="D10" s="1006"/>
      <c r="E10" s="1006"/>
      <c r="F10" s="1006"/>
      <c r="G10" s="1008" t="str">
        <f>IF(AND(LEN('Ch7'!W549)&gt;0,'Ch7'!W549=0),"Expected to Meet Based on Expected Energy Performance from Selected Path but Energy Analysis Documentation Required for Review",IF('Ch7'!W549&gt;0,"Not Expected to Meet Based on Expected Energy Performance from Selected Path – However, Badge Compliance is Based on Separate Energy Analysis Documentation that is Independent from This Tool, and Badge is Available for All Energy Compliance Paths.","Not expected to meet based on Performance Path inputs, 
but compliance possible based on energy analysis document"))</f>
        <v>Not expected to meet based on Performance Path inputs, 
but compliance possible based on energy analysis document</v>
      </c>
      <c r="H10" s="1009"/>
      <c r="I10" s="1009"/>
      <c r="J10" s="1009"/>
      <c r="K10" s="1009"/>
      <c r="L10" s="1009"/>
      <c r="M10" s="1009"/>
      <c r="N10" s="1009"/>
      <c r="O10" s="1010"/>
      <c r="W10"/>
    </row>
    <row r="11" spans="2:61" ht="15" thickBot="1" x14ac:dyDescent="0.4">
      <c r="B11" s="1007"/>
      <c r="C11" s="1007"/>
      <c r="D11" s="1007"/>
      <c r="E11" s="1007"/>
      <c r="F11" s="1007"/>
      <c r="G11" s="1011"/>
      <c r="H11" s="1012"/>
      <c r="I11" s="1012"/>
      <c r="J11" s="1012"/>
      <c r="K11" s="1012"/>
      <c r="L11" s="1012"/>
      <c r="M11" s="1012"/>
      <c r="N11" s="1012"/>
      <c r="O11" s="1013"/>
      <c r="P11" s="55"/>
      <c r="Q11" s="55"/>
      <c r="R11" s="55"/>
      <c r="S11" s="55"/>
      <c r="T11" s="55"/>
      <c r="U11" s="55"/>
      <c r="V11" s="55"/>
      <c r="W11" s="55"/>
      <c r="X11" s="55"/>
    </row>
    <row r="12" spans="2:61" ht="15" thickTop="1" x14ac:dyDescent="0.35">
      <c r="O12"/>
      <c r="W12"/>
    </row>
    <row r="13" spans="2:61" x14ac:dyDescent="0.35">
      <c r="O13"/>
      <c r="W13"/>
    </row>
    <row r="14" spans="2:61" x14ac:dyDescent="0.35">
      <c r="C14" s="216" t="s">
        <v>5352</v>
      </c>
      <c r="O14"/>
      <c r="R14" t="b">
        <f>OR(LEN(W15)&gt;0,LEN(W16)&gt;0,LEN(W17)&gt;0,LEN(W21)&gt;0,LEN(W22)&gt;0,LEN(W23)&gt;0,LEN(W39)&gt;0,LEN(W40)&gt;0,LEN(W41)&gt;0,LEN(W42)&gt;0,LEN(W43)&gt;0,LEN(W44)&gt;0,LEN(W45)&gt;0,LEN(W46)&gt;0,LEN(W47)&gt;0,LEN(W48)&gt;0,LEN(W49)&gt;0,LEN(W54)&gt;0,LEN(W55)&gt;0)</f>
        <v>0</v>
      </c>
      <c r="W14"/>
    </row>
    <row r="15" spans="2:61" x14ac:dyDescent="0.35">
      <c r="D15" s="857" t="s">
        <v>5353</v>
      </c>
      <c r="E15" s="857"/>
      <c r="F15" s="857"/>
      <c r="G15" s="857"/>
      <c r="H15" s="857"/>
      <c r="I15" s="857"/>
      <c r="J15" s="857"/>
      <c r="K15" s="857"/>
      <c r="L15" s="857"/>
      <c r="M15" s="857"/>
      <c r="O15"/>
      <c r="P15" t="b">
        <v>1</v>
      </c>
      <c r="Q15" t="b">
        <v>1</v>
      </c>
      <c r="R15" t="b">
        <f>R14</f>
        <v>0</v>
      </c>
      <c r="S15" t="b">
        <v>1</v>
      </c>
      <c r="T15" t="b">
        <v>0</v>
      </c>
      <c r="W15" s="314"/>
      <c r="X15" s="36"/>
      <c r="AC15" t="b">
        <f>OR(AD15:AE15)</f>
        <v>0</v>
      </c>
      <c r="AD15" t="b">
        <f>T15</f>
        <v>0</v>
      </c>
      <c r="AE15" t="b">
        <f>AND(R15=TRUE,LEN(W15)=0)</f>
        <v>0</v>
      </c>
      <c r="AF15" t="b">
        <f>AND(AE15,NOT(Q15))</f>
        <v>0</v>
      </c>
      <c r="AP15" t="s">
        <v>5424</v>
      </c>
      <c r="AQ15" t="str">
        <f>IF(LEN(W15)=0,"",W15)</f>
        <v/>
      </c>
      <c r="AR15" t="s">
        <v>5450</v>
      </c>
      <c r="AS15" t="str">
        <f>IF(LEN(X15)=0,"",X15)</f>
        <v/>
      </c>
    </row>
    <row r="16" spans="2:61" x14ac:dyDescent="0.35">
      <c r="D16" s="857" t="s">
        <v>5354</v>
      </c>
      <c r="E16" s="857"/>
      <c r="F16" s="857"/>
      <c r="G16" s="857"/>
      <c r="H16" s="857"/>
      <c r="I16" s="857"/>
      <c r="J16" s="857"/>
      <c r="K16" s="857"/>
      <c r="L16" s="857"/>
      <c r="M16" s="857"/>
      <c r="O16"/>
      <c r="P16" t="b">
        <v>1</v>
      </c>
      <c r="Q16" t="b">
        <v>1</v>
      </c>
      <c r="R16" t="b">
        <f>R14</f>
        <v>0</v>
      </c>
      <c r="S16" t="b">
        <v>1</v>
      </c>
      <c r="T16" t="b">
        <v>0</v>
      </c>
      <c r="W16" s="314"/>
      <c r="X16" s="36"/>
      <c r="AC16" t="b">
        <f>OR(AD16:AE16)</f>
        <v>0</v>
      </c>
      <c r="AD16" t="b">
        <f>T16</f>
        <v>0</v>
      </c>
      <c r="AE16" t="b">
        <f>AND(R16=TRUE,LEN(W16)=0)</f>
        <v>0</v>
      </c>
      <c r="AF16" t="b">
        <f>AND(AE16,NOT(Q16))</f>
        <v>0</v>
      </c>
      <c r="AP16" t="s">
        <v>5425</v>
      </c>
      <c r="AQ16" t="str">
        <f>IF(LEN(W16)=0,"",W16)</f>
        <v/>
      </c>
      <c r="AR16" t="s">
        <v>5451</v>
      </c>
      <c r="AS16" t="str">
        <f>IF(LEN(X16)=0,"",X16)</f>
        <v/>
      </c>
    </row>
    <row r="17" spans="3:51" x14ac:dyDescent="0.35">
      <c r="D17" s="857" t="s">
        <v>5355</v>
      </c>
      <c r="E17" s="857"/>
      <c r="F17" s="857"/>
      <c r="G17" s="857"/>
      <c r="H17" s="857"/>
      <c r="I17" s="857"/>
      <c r="J17" s="857"/>
      <c r="K17" s="857"/>
      <c r="L17" s="857"/>
      <c r="M17" s="857"/>
      <c r="O17"/>
      <c r="P17" t="b">
        <v>1</v>
      </c>
      <c r="Q17" t="b">
        <v>1</v>
      </c>
      <c r="R17" t="b">
        <f>R14</f>
        <v>0</v>
      </c>
      <c r="S17" t="b">
        <v>1</v>
      </c>
      <c r="T17" t="b">
        <v>0</v>
      </c>
      <c r="W17" s="314"/>
      <c r="X17" s="36"/>
      <c r="AC17" t="b">
        <f>OR(AD17:AE17)</f>
        <v>0</v>
      </c>
      <c r="AD17" t="b">
        <f>T17</f>
        <v>0</v>
      </c>
      <c r="AE17" t="b">
        <f>AND(R17=TRUE,LEN(W17)=0)</f>
        <v>0</v>
      </c>
      <c r="AF17" t="b">
        <f>AND(AE17,NOT(Q17))</f>
        <v>0</v>
      </c>
      <c r="AP17" t="s">
        <v>5426</v>
      </c>
      <c r="AQ17" t="str">
        <f>IF(LEN(W17)=0,"",W17)</f>
        <v/>
      </c>
      <c r="AR17" t="s">
        <v>5452</v>
      </c>
      <c r="AS17" t="str">
        <f>IF(LEN(X17)=0,"",X17)</f>
        <v/>
      </c>
    </row>
    <row r="18" spans="3:51" x14ac:dyDescent="0.35">
      <c r="E18" s="857" t="s">
        <v>5356</v>
      </c>
      <c r="F18" s="857"/>
      <c r="G18" s="857"/>
      <c r="H18" s="857"/>
      <c r="I18" s="857"/>
      <c r="J18" s="857"/>
      <c r="K18" s="857"/>
      <c r="L18" s="857"/>
      <c r="M18" s="857"/>
      <c r="O18"/>
      <c r="R18" t="b">
        <f>R14</f>
        <v>0</v>
      </c>
      <c r="W18"/>
      <c r="X18" s="817"/>
      <c r="AC18" t="b">
        <f>OR(AD18:AE18)</f>
        <v>0</v>
      </c>
      <c r="AE18" t="b">
        <f>AND(R18=TRUE,LEN(X18)=0)</f>
        <v>0</v>
      </c>
      <c r="AF18" t="b">
        <f>AND(AE18,NOT(Q18))</f>
        <v>0</v>
      </c>
      <c r="AR18" t="s">
        <v>5453</v>
      </c>
      <c r="AS18" t="str">
        <f>IF(LEN(X18)=0,"",X18)</f>
        <v/>
      </c>
      <c r="AX18" s="6" t="str">
        <f>'Overview (Verification)'!A18</f>
        <v>Single-Family or Multifamily:</v>
      </c>
      <c r="AY18" t="str">
        <f>IF(LEN(dstSingleOrMulti)=0,0,dstSingleOrMulti)</f>
        <v>Single-Family</v>
      </c>
    </row>
    <row r="19" spans="3:51" x14ac:dyDescent="0.35">
      <c r="O19"/>
      <c r="W19"/>
      <c r="X19" s="817"/>
    </row>
    <row r="20" spans="3:51" x14ac:dyDescent="0.35">
      <c r="O20"/>
      <c r="W20"/>
    </row>
    <row r="21" spans="3:51" x14ac:dyDescent="0.35">
      <c r="D21" s="857" t="s">
        <v>5357</v>
      </c>
      <c r="E21" s="857"/>
      <c r="F21" s="857"/>
      <c r="G21" s="857"/>
      <c r="H21" s="857"/>
      <c r="I21" s="857"/>
      <c r="J21" s="857"/>
      <c r="K21" s="857"/>
      <c r="L21" s="857"/>
      <c r="M21" s="857"/>
      <c r="O21"/>
      <c r="P21" t="b">
        <v>1</v>
      </c>
      <c r="Q21" t="b">
        <v>1</v>
      </c>
      <c r="R21" t="b">
        <f>R14</f>
        <v>0</v>
      </c>
      <c r="S21" t="b">
        <v>1</v>
      </c>
      <c r="T21" t="b">
        <v>0</v>
      </c>
      <c r="W21" s="241"/>
      <c r="X21" s="36"/>
      <c r="AC21" t="b">
        <f>OR(AD21:AE21)</f>
        <v>0</v>
      </c>
      <c r="AD21" t="b">
        <f>T21</f>
        <v>0</v>
      </c>
      <c r="AE21" t="b">
        <f>AND(R21=TRUE,LEN(W21)=0)</f>
        <v>0</v>
      </c>
      <c r="AF21" t="b">
        <f>AND(AE21,NOT(Q21))</f>
        <v>0</v>
      </c>
      <c r="AP21" t="s">
        <v>5427</v>
      </c>
      <c r="AQ21" t="str">
        <f>IF(LEN(W21)=0,"",W21)</f>
        <v/>
      </c>
      <c r="AR21" t="s">
        <v>5454</v>
      </c>
      <c r="AS21" t="str">
        <f>IF(LEN(X21)=0,"",X21)</f>
        <v/>
      </c>
    </row>
    <row r="22" spans="3:51" x14ac:dyDescent="0.35">
      <c r="D22" s="857" t="s">
        <v>5358</v>
      </c>
      <c r="E22" s="857"/>
      <c r="F22" s="857"/>
      <c r="G22" s="857"/>
      <c r="H22" s="857"/>
      <c r="I22" s="857"/>
      <c r="J22" s="857"/>
      <c r="K22" s="857"/>
      <c r="L22" s="857"/>
      <c r="M22" s="857"/>
      <c r="O22"/>
      <c r="P22" t="b">
        <v>1</v>
      </c>
      <c r="Q22" t="b">
        <v>1</v>
      </c>
      <c r="R22" t="b">
        <f>R14</f>
        <v>0</v>
      </c>
      <c r="S22" t="b">
        <v>1</v>
      </c>
      <c r="T22" t="b">
        <v>0</v>
      </c>
      <c r="W22" s="241"/>
      <c r="X22" s="36"/>
      <c r="AC22" t="b">
        <f>OR(AD22:AE22)</f>
        <v>0</v>
      </c>
      <c r="AD22" t="b">
        <f>T22</f>
        <v>0</v>
      </c>
      <c r="AE22" t="b">
        <f>AND(R22=TRUE,LEN(W22)=0)</f>
        <v>0</v>
      </c>
      <c r="AF22" t="b">
        <f>AND(AE22,NOT(Q22))</f>
        <v>0</v>
      </c>
      <c r="AP22" t="s">
        <v>5428</v>
      </c>
      <c r="AQ22" t="str">
        <f>IF(LEN(W22)=0,"",W22)</f>
        <v/>
      </c>
      <c r="AR22" t="s">
        <v>5455</v>
      </c>
      <c r="AS22" t="str">
        <f>IF(LEN(X22)=0,"",X22)</f>
        <v/>
      </c>
    </row>
    <row r="23" spans="3:51" x14ac:dyDescent="0.35">
      <c r="D23" s="857" t="s">
        <v>5359</v>
      </c>
      <c r="E23" s="857"/>
      <c r="F23" s="857"/>
      <c r="G23" s="857"/>
      <c r="H23" s="857"/>
      <c r="I23" s="857"/>
      <c r="J23" s="857"/>
      <c r="K23" s="857"/>
      <c r="L23" s="857"/>
      <c r="M23" s="857"/>
      <c r="O23"/>
      <c r="P23" t="b">
        <v>1</v>
      </c>
      <c r="Q23" t="b">
        <v>1</v>
      </c>
      <c r="R23" t="b">
        <f>R14</f>
        <v>0</v>
      </c>
      <c r="S23" t="b">
        <v>1</v>
      </c>
      <c r="T23" t="b">
        <v>0</v>
      </c>
      <c r="W23" s="241"/>
      <c r="X23" s="36"/>
      <c r="AC23" t="b">
        <f>OR(AD23:AE23)</f>
        <v>0</v>
      </c>
      <c r="AD23" t="b">
        <f>T23</f>
        <v>0</v>
      </c>
      <c r="AE23" t="b">
        <f>AND(R23=TRUE,LEN(W23)=0)</f>
        <v>0</v>
      </c>
      <c r="AF23" t="b">
        <f>AND(AE23,NOT(Q23))</f>
        <v>0</v>
      </c>
      <c r="AP23" t="s">
        <v>5429</v>
      </c>
      <c r="AQ23" t="str">
        <f>IF(LEN(W23)=0,"",W23)</f>
        <v/>
      </c>
      <c r="AR23" t="s">
        <v>5456</v>
      </c>
      <c r="AS23" t="str">
        <f>IF(LEN(X23)=0,"",X23)</f>
        <v/>
      </c>
    </row>
    <row r="24" spans="3:51" x14ac:dyDescent="0.35">
      <c r="E24" s="857" t="s">
        <v>5360</v>
      </c>
      <c r="F24" s="857"/>
      <c r="G24" s="857"/>
      <c r="H24" s="857"/>
      <c r="I24" s="857"/>
      <c r="J24" s="857"/>
      <c r="K24" s="857"/>
      <c r="L24" s="857"/>
      <c r="M24" s="857"/>
      <c r="O24"/>
      <c r="R24" t="b">
        <f>R14</f>
        <v>0</v>
      </c>
      <c r="W24"/>
      <c r="X24" s="817"/>
      <c r="AC24" t="b">
        <f>OR(AD24:AE24)</f>
        <v>0</v>
      </c>
      <c r="AE24" t="b">
        <f>AND(R24=TRUE,LEN(X24)=0)</f>
        <v>0</v>
      </c>
      <c r="AF24" t="b">
        <f>AND(AE24,NOT(Q24))</f>
        <v>0</v>
      </c>
      <c r="AR24" t="s">
        <v>5457</v>
      </c>
      <c r="AS24" t="str">
        <f>IF(LEN(X24)=0,"",X24)</f>
        <v/>
      </c>
    </row>
    <row r="25" spans="3:51" x14ac:dyDescent="0.35">
      <c r="O25"/>
      <c r="W25"/>
      <c r="X25" s="817"/>
    </row>
    <row r="26" spans="3:51" x14ac:dyDescent="0.35">
      <c r="O26"/>
      <c r="W26"/>
    </row>
    <row r="27" spans="3:51" x14ac:dyDescent="0.35">
      <c r="D27" s="857" t="s">
        <v>5361</v>
      </c>
      <c r="E27" s="857"/>
      <c r="F27" s="857"/>
      <c r="G27" s="857"/>
      <c r="H27" s="857"/>
      <c r="I27" s="857"/>
      <c r="J27" s="857"/>
      <c r="K27" s="857"/>
      <c r="L27" s="857"/>
      <c r="M27" s="857"/>
      <c r="O27"/>
      <c r="R27" t="b">
        <f>R14</f>
        <v>0</v>
      </c>
      <c r="W27"/>
      <c r="X27" s="36"/>
      <c r="AC27" t="b">
        <f>OR(AD27:AE27)</f>
        <v>0</v>
      </c>
      <c r="AE27" t="b">
        <f>AND(R27=TRUE,LEN(X27)=0)</f>
        <v>0</v>
      </c>
      <c r="AF27" t="b">
        <f>AND(AE27,NOT(Q27))</f>
        <v>0</v>
      </c>
      <c r="AR27" t="s">
        <v>5458</v>
      </c>
      <c r="AS27" t="str">
        <f>IF(LEN(X27)=0,"",X27)</f>
        <v/>
      </c>
    </row>
    <row r="28" spans="3:51" x14ac:dyDescent="0.35">
      <c r="D28" s="857" t="s">
        <v>5362</v>
      </c>
      <c r="E28" s="857"/>
      <c r="F28" s="857"/>
      <c r="G28" s="857"/>
      <c r="H28" s="857"/>
      <c r="I28" s="857"/>
      <c r="J28" s="857"/>
      <c r="K28" s="857"/>
      <c r="L28" s="857"/>
      <c r="M28" s="857"/>
      <c r="O28"/>
      <c r="R28" t="b">
        <f>R14</f>
        <v>0</v>
      </c>
      <c r="W28"/>
      <c r="X28" s="36"/>
      <c r="AC28" t="b">
        <f>OR(AD28:AE28)</f>
        <v>0</v>
      </c>
      <c r="AE28" t="b">
        <f>AND(R28=TRUE,LEN(X28)=0)</f>
        <v>0</v>
      </c>
      <c r="AF28" t="b">
        <f>AND(AE28,NOT(Q28))</f>
        <v>0</v>
      </c>
      <c r="AR28" t="s">
        <v>5459</v>
      </c>
      <c r="AS28" t="str">
        <f>IF(LEN(X28)=0,"",X28)</f>
        <v/>
      </c>
    </row>
    <row r="29" spans="3:51" x14ac:dyDescent="0.35">
      <c r="D29" s="857" t="s">
        <v>5363</v>
      </c>
      <c r="E29" s="857"/>
      <c r="F29" s="857"/>
      <c r="G29" s="857"/>
      <c r="H29" s="857"/>
      <c r="I29" s="857"/>
      <c r="J29" s="857"/>
      <c r="K29" s="857"/>
      <c r="L29" s="857"/>
      <c r="M29" s="857"/>
      <c r="O29"/>
      <c r="R29" t="b">
        <f>R14</f>
        <v>0</v>
      </c>
      <c r="W29"/>
      <c r="X29" s="817"/>
      <c r="AC29" t="b">
        <f>OR(AD29:AE29)</f>
        <v>0</v>
      </c>
      <c r="AE29" t="b">
        <f>AND(R29=TRUE,LEN(X29)=0)</f>
        <v>0</v>
      </c>
      <c r="AF29" t="b">
        <f>AND(AE29,NOT(Q29))</f>
        <v>0</v>
      </c>
      <c r="AR29" t="s">
        <v>5460</v>
      </c>
      <c r="AS29" t="str">
        <f>IF(LEN(X29)=0,"",X29)</f>
        <v/>
      </c>
    </row>
    <row r="30" spans="3:51" x14ac:dyDescent="0.35">
      <c r="O30"/>
      <c r="W30"/>
      <c r="X30" s="817"/>
    </row>
    <row r="31" spans="3:51" x14ac:dyDescent="0.35">
      <c r="O31"/>
      <c r="W31"/>
      <c r="X31" s="817"/>
    </row>
    <row r="32" spans="3:51" x14ac:dyDescent="0.35">
      <c r="C32" s="216" t="s">
        <v>5364</v>
      </c>
      <c r="O32"/>
      <c r="W32"/>
    </row>
    <row r="33" spans="3:45" x14ac:dyDescent="0.35">
      <c r="D33" s="857" t="s">
        <v>5399</v>
      </c>
      <c r="E33" s="857"/>
      <c r="F33" s="857"/>
      <c r="G33" s="857"/>
      <c r="H33" s="857"/>
      <c r="I33" s="857"/>
      <c r="J33" s="857"/>
      <c r="K33" s="857"/>
      <c r="L33" s="857"/>
      <c r="M33" s="857"/>
      <c r="O33"/>
      <c r="R33" t="b">
        <f>R14</f>
        <v>0</v>
      </c>
      <c r="W33"/>
      <c r="X33" s="36"/>
      <c r="AC33" t="b">
        <f>OR(AD33:AE33)</f>
        <v>0</v>
      </c>
      <c r="AE33" t="b">
        <f>AND(R33=TRUE,LEN(X33)=0)</f>
        <v>0</v>
      </c>
      <c r="AF33" t="b">
        <f>AND(AE33,NOT(Q33))</f>
        <v>0</v>
      </c>
      <c r="AR33" t="s">
        <v>5461</v>
      </c>
      <c r="AS33" t="str">
        <f>IF(LEN(X33)=0,"",X33)</f>
        <v/>
      </c>
    </row>
    <row r="34" spans="3:45" x14ac:dyDescent="0.35">
      <c r="D34" s="857" t="s">
        <v>5400</v>
      </c>
      <c r="E34" s="857"/>
      <c r="F34" s="857"/>
      <c r="G34" s="857"/>
      <c r="H34" s="857"/>
      <c r="I34" s="857"/>
      <c r="J34" s="857"/>
      <c r="K34" s="857"/>
      <c r="L34" s="857"/>
      <c r="M34" s="857"/>
      <c r="O34"/>
      <c r="R34" t="b">
        <f>R14</f>
        <v>0</v>
      </c>
      <c r="W34"/>
      <c r="X34" s="36"/>
      <c r="AC34" t="b">
        <f>OR(AD34:AE34)</f>
        <v>0</v>
      </c>
      <c r="AE34" t="b">
        <f>AND(R34=TRUE,LEN(X34)=0)</f>
        <v>0</v>
      </c>
      <c r="AF34" t="b">
        <f>AND(AE34,NOT(Q34))</f>
        <v>0</v>
      </c>
      <c r="AR34" t="s">
        <v>5462</v>
      </c>
      <c r="AS34" t="str">
        <f>IF(LEN(X34)=0,"",X34)</f>
        <v/>
      </c>
    </row>
    <row r="35" spans="3:45" x14ac:dyDescent="0.35">
      <c r="D35" s="857" t="s">
        <v>5401</v>
      </c>
      <c r="E35" s="857"/>
      <c r="F35" s="857"/>
      <c r="G35" s="857"/>
      <c r="H35" s="857"/>
      <c r="I35" s="857"/>
      <c r="J35" s="857"/>
      <c r="K35" s="857"/>
      <c r="L35" s="857"/>
      <c r="M35" s="857"/>
      <c r="O35"/>
      <c r="R35" t="b">
        <f>R14</f>
        <v>0</v>
      </c>
      <c r="W35"/>
      <c r="X35" s="36"/>
      <c r="AC35" t="b">
        <f>OR(AD35:AE35)</f>
        <v>0</v>
      </c>
      <c r="AE35" t="b">
        <f>AND(R35=TRUE,LEN(X35)=0)</f>
        <v>0</v>
      </c>
      <c r="AF35" t="b">
        <f>AND(AE35,NOT(Q35))</f>
        <v>0</v>
      </c>
      <c r="AR35" t="s">
        <v>5463</v>
      </c>
      <c r="AS35" t="str">
        <f>IF(LEN(X35)=0,"",X35)</f>
        <v/>
      </c>
    </row>
    <row r="36" spans="3:45" x14ac:dyDescent="0.35">
      <c r="E36" s="857" t="s">
        <v>5365</v>
      </c>
      <c r="F36" s="857"/>
      <c r="G36" s="857"/>
      <c r="H36" s="857"/>
      <c r="I36" s="857"/>
      <c r="J36" s="857"/>
      <c r="K36" s="857"/>
      <c r="L36" s="857"/>
      <c r="M36" s="857"/>
      <c r="O36"/>
      <c r="R36" t="b">
        <f>R14</f>
        <v>0</v>
      </c>
      <c r="W36"/>
      <c r="X36" s="36"/>
      <c r="AC36" t="b">
        <f>OR(AD36:AE36)</f>
        <v>0</v>
      </c>
      <c r="AE36" t="b">
        <f>AND(R36=TRUE,LEN(X36)=0)</f>
        <v>0</v>
      </c>
      <c r="AF36" t="b">
        <f>AND(AE36,NOT(Q36))</f>
        <v>0</v>
      </c>
      <c r="AR36" t="s">
        <v>5464</v>
      </c>
      <c r="AS36" t="str">
        <f>IF(LEN(X36)=0,"",X36)</f>
        <v/>
      </c>
    </row>
    <row r="37" spans="3:45" x14ac:dyDescent="0.35">
      <c r="O37"/>
      <c r="W37"/>
    </row>
    <row r="38" spans="3:45" x14ac:dyDescent="0.35">
      <c r="C38" s="216" t="s">
        <v>5366</v>
      </c>
      <c r="O38"/>
      <c r="W38"/>
    </row>
    <row r="39" spans="3:45" x14ac:dyDescent="0.35">
      <c r="D39" s="857" t="s">
        <v>5367</v>
      </c>
      <c r="E39" s="857"/>
      <c r="F39" s="857"/>
      <c r="G39" s="857"/>
      <c r="H39" s="857"/>
      <c r="I39" s="857"/>
      <c r="J39" s="857"/>
      <c r="K39" s="857"/>
      <c r="L39" s="857"/>
      <c r="M39" s="857"/>
      <c r="O39"/>
      <c r="P39" t="b">
        <v>1</v>
      </c>
      <c r="Q39" t="b">
        <v>1</v>
      </c>
      <c r="R39" t="b">
        <v>0</v>
      </c>
      <c r="S39" t="b">
        <v>1</v>
      </c>
      <c r="T39" t="b">
        <v>0</v>
      </c>
      <c r="W39" s="17"/>
      <c r="X39" s="36"/>
      <c r="AP39" t="s">
        <v>5430</v>
      </c>
      <c r="AQ39" t="str">
        <f t="shared" ref="AQ39:AQ49" si="0">IF(LEN(W39)=0,"",W39)</f>
        <v/>
      </c>
      <c r="AR39" t="s">
        <v>5465</v>
      </c>
      <c r="AS39" t="str">
        <f t="shared" ref="AS39:AS50" si="1">IF(LEN(X39)=0,"",X39)</f>
        <v/>
      </c>
    </row>
    <row r="40" spans="3:45" x14ac:dyDescent="0.35">
      <c r="D40" s="857" t="s">
        <v>5380</v>
      </c>
      <c r="E40" s="857"/>
      <c r="F40" s="857"/>
      <c r="G40" s="857"/>
      <c r="H40" s="857"/>
      <c r="I40" s="857"/>
      <c r="J40" s="857"/>
      <c r="K40" s="857"/>
      <c r="L40" s="857"/>
      <c r="M40" s="857"/>
      <c r="O40"/>
      <c r="P40" t="b">
        <v>1</v>
      </c>
      <c r="Q40" t="b">
        <v>1</v>
      </c>
      <c r="R40" t="b">
        <v>0</v>
      </c>
      <c r="S40" t="b">
        <v>1</v>
      </c>
      <c r="T40" t="b">
        <v>0</v>
      </c>
      <c r="W40" s="17"/>
      <c r="X40" s="36"/>
      <c r="AP40" t="s">
        <v>5431</v>
      </c>
      <c r="AQ40" t="str">
        <f t="shared" si="0"/>
        <v/>
      </c>
      <c r="AR40" t="s">
        <v>5466</v>
      </c>
      <c r="AS40" t="str">
        <f t="shared" si="1"/>
        <v/>
      </c>
    </row>
    <row r="41" spans="3:45" x14ac:dyDescent="0.35">
      <c r="D41" s="857" t="s">
        <v>5368</v>
      </c>
      <c r="E41" s="857"/>
      <c r="F41" s="857"/>
      <c r="G41" s="857"/>
      <c r="H41" s="857"/>
      <c r="I41" s="857"/>
      <c r="J41" s="857"/>
      <c r="K41" s="857"/>
      <c r="L41" s="857"/>
      <c r="M41" s="857"/>
      <c r="O41"/>
      <c r="P41" t="b">
        <v>1</v>
      </c>
      <c r="Q41" t="b">
        <v>1</v>
      </c>
      <c r="R41" t="b">
        <v>0</v>
      </c>
      <c r="S41" t="b">
        <v>1</v>
      </c>
      <c r="T41" t="b">
        <v>0</v>
      </c>
      <c r="W41" s="17"/>
      <c r="X41" s="36"/>
      <c r="AP41" t="s">
        <v>5432</v>
      </c>
      <c r="AQ41" t="str">
        <f t="shared" si="0"/>
        <v/>
      </c>
      <c r="AR41" t="s">
        <v>5467</v>
      </c>
      <c r="AS41" t="str">
        <f t="shared" si="1"/>
        <v/>
      </c>
    </row>
    <row r="42" spans="3:45" x14ac:dyDescent="0.35">
      <c r="D42" s="857" t="s">
        <v>5369</v>
      </c>
      <c r="E42" s="857"/>
      <c r="F42" s="857"/>
      <c r="G42" s="857"/>
      <c r="H42" s="857"/>
      <c r="I42" s="857"/>
      <c r="J42" s="857"/>
      <c r="K42" s="857"/>
      <c r="L42" s="857"/>
      <c r="M42" s="857"/>
      <c r="O42"/>
      <c r="P42" t="b">
        <v>1</v>
      </c>
      <c r="Q42" t="b">
        <v>1</v>
      </c>
      <c r="R42" t="b">
        <v>0</v>
      </c>
      <c r="S42" t="b">
        <v>1</v>
      </c>
      <c r="T42" t="b">
        <v>0</v>
      </c>
      <c r="W42" s="17"/>
      <c r="X42" s="36"/>
      <c r="AP42" t="s">
        <v>5433</v>
      </c>
      <c r="AQ42" t="str">
        <f t="shared" si="0"/>
        <v/>
      </c>
      <c r="AR42" t="s">
        <v>5468</v>
      </c>
      <c r="AS42" t="str">
        <f t="shared" si="1"/>
        <v/>
      </c>
    </row>
    <row r="43" spans="3:45" x14ac:dyDescent="0.35">
      <c r="D43" s="857" t="s">
        <v>5370</v>
      </c>
      <c r="E43" s="857"/>
      <c r="F43" s="857"/>
      <c r="G43" s="857"/>
      <c r="H43" s="857"/>
      <c r="I43" s="857"/>
      <c r="J43" s="857"/>
      <c r="K43" s="857"/>
      <c r="L43" s="857"/>
      <c r="M43" s="857"/>
      <c r="O43"/>
      <c r="P43" t="b">
        <v>1</v>
      </c>
      <c r="Q43" t="b">
        <v>1</v>
      </c>
      <c r="R43" t="b">
        <v>0</v>
      </c>
      <c r="S43" t="b">
        <v>1</v>
      </c>
      <c r="T43" t="b">
        <v>0</v>
      </c>
      <c r="W43" s="17"/>
      <c r="X43" s="36"/>
      <c r="AP43" t="s">
        <v>5434</v>
      </c>
      <c r="AQ43" t="str">
        <f t="shared" si="0"/>
        <v/>
      </c>
      <c r="AR43" t="s">
        <v>5469</v>
      </c>
      <c r="AS43" t="str">
        <f t="shared" si="1"/>
        <v/>
      </c>
    </row>
    <row r="44" spans="3:45" x14ac:dyDescent="0.35">
      <c r="D44" s="857" t="s">
        <v>5371</v>
      </c>
      <c r="E44" s="857"/>
      <c r="F44" s="857"/>
      <c r="G44" s="857"/>
      <c r="H44" s="857"/>
      <c r="I44" s="857"/>
      <c r="J44" s="857"/>
      <c r="K44" s="857"/>
      <c r="L44" s="857"/>
      <c r="M44" s="857"/>
      <c r="O44"/>
      <c r="P44" t="b">
        <v>1</v>
      </c>
      <c r="Q44" t="b">
        <v>1</v>
      </c>
      <c r="R44" t="b">
        <v>0</v>
      </c>
      <c r="S44" t="b">
        <v>1</v>
      </c>
      <c r="T44" t="b">
        <v>0</v>
      </c>
      <c r="W44" s="17"/>
      <c r="X44" s="36"/>
      <c r="AP44" t="s">
        <v>5435</v>
      </c>
      <c r="AQ44" t="str">
        <f t="shared" si="0"/>
        <v/>
      </c>
      <c r="AR44" t="s">
        <v>5470</v>
      </c>
      <c r="AS44" t="str">
        <f t="shared" si="1"/>
        <v/>
      </c>
    </row>
    <row r="45" spans="3:45" x14ac:dyDescent="0.35">
      <c r="D45" s="857" t="s">
        <v>5372</v>
      </c>
      <c r="E45" s="857"/>
      <c r="F45" s="857"/>
      <c r="G45" s="857"/>
      <c r="H45" s="857"/>
      <c r="I45" s="857"/>
      <c r="J45" s="857"/>
      <c r="K45" s="857"/>
      <c r="L45" s="857"/>
      <c r="M45" s="857"/>
      <c r="O45"/>
      <c r="P45" t="b">
        <v>1</v>
      </c>
      <c r="Q45" t="b">
        <v>1</v>
      </c>
      <c r="R45" t="b">
        <v>0</v>
      </c>
      <c r="S45" t="b">
        <v>1</v>
      </c>
      <c r="T45" t="b">
        <v>0</v>
      </c>
      <c r="W45" s="17"/>
      <c r="X45" s="36"/>
      <c r="AP45" t="s">
        <v>5436</v>
      </c>
      <c r="AQ45" t="str">
        <f t="shared" si="0"/>
        <v/>
      </c>
      <c r="AR45" t="s">
        <v>5471</v>
      </c>
      <c r="AS45" t="str">
        <f t="shared" si="1"/>
        <v/>
      </c>
    </row>
    <row r="46" spans="3:45" x14ac:dyDescent="0.35">
      <c r="D46" s="857" t="s">
        <v>3798</v>
      </c>
      <c r="E46" s="857"/>
      <c r="F46" s="857"/>
      <c r="G46" s="857"/>
      <c r="H46" s="857"/>
      <c r="I46" s="857"/>
      <c r="J46" s="857"/>
      <c r="K46" s="857"/>
      <c r="L46" s="857"/>
      <c r="M46" s="857"/>
      <c r="O46"/>
      <c r="P46" t="b">
        <v>1</v>
      </c>
      <c r="Q46" t="b">
        <v>1</v>
      </c>
      <c r="R46" t="b">
        <v>0</v>
      </c>
      <c r="S46" t="b">
        <v>1</v>
      </c>
      <c r="T46" t="b">
        <v>0</v>
      </c>
      <c r="W46" s="17"/>
      <c r="X46" s="36"/>
      <c r="AP46" t="s">
        <v>5437</v>
      </c>
      <c r="AQ46" t="str">
        <f t="shared" si="0"/>
        <v/>
      </c>
      <c r="AR46" t="s">
        <v>5472</v>
      </c>
      <c r="AS46" t="str">
        <f t="shared" si="1"/>
        <v/>
      </c>
    </row>
    <row r="47" spans="3:45" x14ac:dyDescent="0.35">
      <c r="D47" s="857" t="s">
        <v>5373</v>
      </c>
      <c r="E47" s="857"/>
      <c r="F47" s="857"/>
      <c r="G47" s="857"/>
      <c r="H47" s="857"/>
      <c r="I47" s="857"/>
      <c r="J47" s="857"/>
      <c r="K47" s="857"/>
      <c r="L47" s="857"/>
      <c r="M47" s="857"/>
      <c r="O47"/>
      <c r="P47" t="b">
        <v>1</v>
      </c>
      <c r="Q47" t="b">
        <v>1</v>
      </c>
      <c r="R47" t="b">
        <v>0</v>
      </c>
      <c r="S47" t="b">
        <v>1</v>
      </c>
      <c r="T47" t="b">
        <v>0</v>
      </c>
      <c r="W47" s="17"/>
      <c r="X47" s="36"/>
      <c r="AP47" t="s">
        <v>5438</v>
      </c>
      <c r="AQ47" t="str">
        <f t="shared" si="0"/>
        <v/>
      </c>
      <c r="AR47" t="s">
        <v>5473</v>
      </c>
      <c r="AS47" t="str">
        <f t="shared" si="1"/>
        <v/>
      </c>
    </row>
    <row r="48" spans="3:45" x14ac:dyDescent="0.35">
      <c r="D48" s="857" t="s">
        <v>5374</v>
      </c>
      <c r="E48" s="857"/>
      <c r="F48" s="857"/>
      <c r="G48" s="857"/>
      <c r="H48" s="857"/>
      <c r="I48" s="857"/>
      <c r="J48" s="857"/>
      <c r="K48" s="857"/>
      <c r="L48" s="857"/>
      <c r="M48" s="857"/>
      <c r="O48"/>
      <c r="P48" t="b">
        <v>1</v>
      </c>
      <c r="Q48" t="b">
        <v>1</v>
      </c>
      <c r="R48" t="b">
        <v>0</v>
      </c>
      <c r="S48" t="b">
        <v>1</v>
      </c>
      <c r="T48" t="b">
        <v>0</v>
      </c>
      <c r="W48" s="17"/>
      <c r="X48" s="36"/>
      <c r="AP48" t="s">
        <v>5439</v>
      </c>
      <c r="AQ48" t="str">
        <f t="shared" si="0"/>
        <v/>
      </c>
      <c r="AR48" t="s">
        <v>5474</v>
      </c>
      <c r="AS48" t="str">
        <f t="shared" si="1"/>
        <v/>
      </c>
    </row>
    <row r="49" spans="3:45" x14ac:dyDescent="0.35">
      <c r="D49" s="857" t="s">
        <v>204</v>
      </c>
      <c r="E49" s="857"/>
      <c r="F49" s="857"/>
      <c r="G49" s="857"/>
      <c r="H49" s="857"/>
      <c r="I49" s="857"/>
      <c r="J49" s="857"/>
      <c r="K49" s="857"/>
      <c r="L49" s="857"/>
      <c r="M49" s="857"/>
      <c r="O49"/>
      <c r="P49" t="b">
        <v>1</v>
      </c>
      <c r="Q49" t="b">
        <v>1</v>
      </c>
      <c r="R49" t="b">
        <v>0</v>
      </c>
      <c r="S49" t="b">
        <v>1</v>
      </c>
      <c r="T49" t="b">
        <v>0</v>
      </c>
      <c r="W49" s="17"/>
      <c r="X49" s="36"/>
      <c r="AP49" t="s">
        <v>5440</v>
      </c>
      <c r="AQ49" t="str">
        <f t="shared" si="0"/>
        <v/>
      </c>
      <c r="AR49" t="s">
        <v>5475</v>
      </c>
      <c r="AS49" t="str">
        <f t="shared" si="1"/>
        <v/>
      </c>
    </row>
    <row r="50" spans="3:45" x14ac:dyDescent="0.35">
      <c r="E50" s="1017" t="s">
        <v>5375</v>
      </c>
      <c r="F50" s="1017"/>
      <c r="G50" s="1017"/>
      <c r="H50" s="1017"/>
      <c r="I50" s="1017"/>
      <c r="J50" s="1017"/>
      <c r="K50" s="1017"/>
      <c r="L50" s="1017"/>
      <c r="M50" s="1017"/>
      <c r="O50"/>
      <c r="R50" t="b">
        <f>R14</f>
        <v>0</v>
      </c>
      <c r="W50"/>
      <c r="X50" s="817"/>
      <c r="AC50" t="b">
        <f t="shared" ref="AC50" si="2">OR(AD50:AE50)</f>
        <v>0</v>
      </c>
      <c r="AE50" t="b">
        <f>AND(R50=TRUE,LEN(X50)=0)</f>
        <v>0</v>
      </c>
      <c r="AF50" t="b">
        <f t="shared" ref="AF50" si="3">AND(AE50,NOT(Q50))</f>
        <v>0</v>
      </c>
      <c r="AR50" t="s">
        <v>5476</v>
      </c>
      <c r="AS50" t="str">
        <f t="shared" si="1"/>
        <v/>
      </c>
    </row>
    <row r="51" spans="3:45" x14ac:dyDescent="0.35">
      <c r="O51"/>
      <c r="W51"/>
      <c r="X51" s="817"/>
    </row>
    <row r="52" spans="3:45" x14ac:dyDescent="0.35">
      <c r="O52"/>
      <c r="W52"/>
    </row>
    <row r="53" spans="3:45" x14ac:dyDescent="0.35">
      <c r="C53" s="216" t="s">
        <v>5376</v>
      </c>
      <c r="O53"/>
      <c r="W53"/>
    </row>
    <row r="54" spans="3:45" x14ac:dyDescent="0.35">
      <c r="D54" s="857" t="s">
        <v>5377</v>
      </c>
      <c r="E54" s="857"/>
      <c r="F54" s="857"/>
      <c r="G54" s="857"/>
      <c r="H54" s="857"/>
      <c r="I54" s="857"/>
      <c r="J54" s="857"/>
      <c r="K54" s="857"/>
      <c r="L54" s="857"/>
      <c r="M54" s="857"/>
      <c r="O54"/>
      <c r="P54" t="b">
        <v>1</v>
      </c>
      <c r="Q54" t="b">
        <v>1</v>
      </c>
      <c r="R54" t="b">
        <f>R14</f>
        <v>0</v>
      </c>
      <c r="S54" t="b">
        <f>NOT(W55=TRUE)</f>
        <v>1</v>
      </c>
      <c r="T54" t="b">
        <v>0</v>
      </c>
      <c r="W54" s="17"/>
      <c r="X54" s="36"/>
      <c r="AC54" t="b">
        <f>OR(AD54:AE54)</f>
        <v>0</v>
      </c>
      <c r="AD54" t="b">
        <f>T54</f>
        <v>0</v>
      </c>
      <c r="AE54" t="b">
        <f>AND(R54=TRUE,LEN(W54)=0)</f>
        <v>0</v>
      </c>
      <c r="AF54" t="b">
        <f>AND(AE54,NOT(Q54))</f>
        <v>0</v>
      </c>
      <c r="AP54" t="s">
        <v>5441</v>
      </c>
      <c r="AQ54" t="str">
        <f>IF(LEN(W54)=0,"",W54)</f>
        <v/>
      </c>
      <c r="AR54" t="s">
        <v>5477</v>
      </c>
      <c r="AS54" t="str">
        <f>IF(LEN(X54)=0,"",X54)</f>
        <v/>
      </c>
    </row>
    <row r="55" spans="3:45" x14ac:dyDescent="0.35">
      <c r="D55" s="857" t="s">
        <v>5378</v>
      </c>
      <c r="E55" s="857"/>
      <c r="F55" s="857"/>
      <c r="G55" s="857"/>
      <c r="H55" s="857"/>
      <c r="I55" s="857"/>
      <c r="J55" s="857"/>
      <c r="K55" s="857"/>
      <c r="L55" s="857"/>
      <c r="M55" s="857"/>
      <c r="O55"/>
      <c r="P55" t="b">
        <v>1</v>
      </c>
      <c r="Q55" t="b">
        <v>1</v>
      </c>
      <c r="R55" t="b">
        <f>R14</f>
        <v>0</v>
      </c>
      <c r="S55" t="b">
        <f>NOT(W54=TRUE)</f>
        <v>1</v>
      </c>
      <c r="T55" t="b">
        <v>0</v>
      </c>
      <c r="W55" s="17"/>
      <c r="X55" s="36"/>
      <c r="AC55" t="b">
        <f>OR(AD55:AE55)</f>
        <v>0</v>
      </c>
      <c r="AD55" t="b">
        <f>T55</f>
        <v>0</v>
      </c>
      <c r="AE55" t="b">
        <f>AND(R55=TRUE,LEN(W55)=0)</f>
        <v>0</v>
      </c>
      <c r="AF55" t="b">
        <f>AND(AE55,NOT(Q55))</f>
        <v>0</v>
      </c>
      <c r="AP55" t="s">
        <v>5442</v>
      </c>
      <c r="AQ55" t="str">
        <f>IF(LEN(W55)=0,"",W55)</f>
        <v/>
      </c>
      <c r="AR55" t="s">
        <v>5478</v>
      </c>
      <c r="AS55" t="str">
        <f>IF(LEN(X55)=0,"",X55)</f>
        <v/>
      </c>
    </row>
    <row r="56" spans="3:45" x14ac:dyDescent="0.35">
      <c r="O56"/>
      <c r="W56"/>
    </row>
    <row r="57" spans="3:45" x14ac:dyDescent="0.35">
      <c r="C57" s="216" t="s">
        <v>5379</v>
      </c>
      <c r="O57"/>
      <c r="W57"/>
    </row>
    <row r="58" spans="3:45" x14ac:dyDescent="0.35">
      <c r="D58" s="857" t="s">
        <v>5402</v>
      </c>
      <c r="E58" s="857"/>
      <c r="F58" s="857"/>
      <c r="G58" s="857"/>
      <c r="H58" s="857"/>
      <c r="I58" s="857"/>
      <c r="J58" s="857"/>
      <c r="K58" s="857"/>
      <c r="L58" s="857"/>
      <c r="M58" s="857"/>
      <c r="O58"/>
      <c r="R58" t="b">
        <f>R14</f>
        <v>0</v>
      </c>
      <c r="W58"/>
      <c r="X58" s="817"/>
      <c r="AC58" t="b">
        <f>OR(AD58:AE58)</f>
        <v>0</v>
      </c>
      <c r="AE58" t="b">
        <f>AND(R58=TRUE,LEN(X58)=0)</f>
        <v>0</v>
      </c>
      <c r="AF58" t="b">
        <f>AND(AE58,NOT(Q58))</f>
        <v>0</v>
      </c>
      <c r="AR58" t="s">
        <v>5479</v>
      </c>
      <c r="AS58" t="str">
        <f>IF(LEN(X58)=0,"",X58)</f>
        <v/>
      </c>
    </row>
    <row r="59" spans="3:45" x14ac:dyDescent="0.35">
      <c r="O59"/>
      <c r="W59"/>
      <c r="X59" s="817"/>
    </row>
    <row r="60" spans="3:45" x14ac:dyDescent="0.35">
      <c r="O60"/>
      <c r="W60"/>
    </row>
    <row r="61" spans="3:45" x14ac:dyDescent="0.35">
      <c r="O61"/>
      <c r="W61"/>
    </row>
    <row r="62" spans="3:45" x14ac:dyDescent="0.35">
      <c r="C62" s="216" t="s">
        <v>5381</v>
      </c>
      <c r="O62"/>
      <c r="W62"/>
    </row>
    <row r="63" spans="3:45" ht="15" customHeight="1" x14ac:dyDescent="0.35">
      <c r="D63" s="760" t="s">
        <v>5382</v>
      </c>
      <c r="E63" s="760"/>
      <c r="F63" s="760"/>
      <c r="G63" s="760"/>
      <c r="H63" s="760"/>
      <c r="I63" s="760"/>
      <c r="J63" s="760"/>
      <c r="K63" s="760"/>
      <c r="L63" s="760"/>
      <c r="M63" s="760"/>
      <c r="N63" s="565"/>
      <c r="O63" s="565"/>
      <c r="W63"/>
    </row>
    <row r="64" spans="3:45" x14ac:dyDescent="0.35">
      <c r="D64" s="760"/>
      <c r="E64" s="760"/>
      <c r="F64" s="760"/>
      <c r="G64" s="760"/>
      <c r="H64" s="760"/>
      <c r="I64" s="760"/>
      <c r="J64" s="760"/>
      <c r="K64" s="760"/>
      <c r="L64" s="760"/>
      <c r="M64" s="760"/>
      <c r="N64" s="565"/>
      <c r="O64" s="565"/>
      <c r="W64"/>
    </row>
    <row r="65" spans="4:45" x14ac:dyDescent="0.35">
      <c r="D65" s="760"/>
      <c r="E65" s="760"/>
      <c r="F65" s="760"/>
      <c r="G65" s="760"/>
      <c r="H65" s="760"/>
      <c r="I65" s="760"/>
      <c r="J65" s="760"/>
      <c r="K65" s="760"/>
      <c r="L65" s="760"/>
      <c r="M65" s="760"/>
      <c r="O65"/>
      <c r="W65"/>
    </row>
    <row r="66" spans="4:45" x14ac:dyDescent="0.35">
      <c r="D66" s="1023" t="s">
        <v>5383</v>
      </c>
      <c r="E66" s="1023"/>
      <c r="F66" s="1023"/>
      <c r="G66" s="1023"/>
      <c r="H66" s="1023"/>
      <c r="I66" s="1023"/>
      <c r="J66" s="1023"/>
      <c r="K66" s="1023"/>
      <c r="L66" s="1023"/>
      <c r="M66" s="1023"/>
      <c r="O66"/>
      <c r="W66"/>
      <c r="X66" s="817"/>
      <c r="AR66" t="s">
        <v>5480</v>
      </c>
      <c r="AS66" t="str">
        <f>IF(LEN(X66)=0,"",X66)</f>
        <v/>
      </c>
    </row>
    <row r="67" spans="4:45" x14ac:dyDescent="0.35">
      <c r="D67" s="1023"/>
      <c r="E67" s="1023"/>
      <c r="F67" s="1023"/>
      <c r="G67" s="1023"/>
      <c r="H67" s="1023"/>
      <c r="I67" s="1023"/>
      <c r="J67" s="1023"/>
      <c r="K67" s="1023"/>
      <c r="L67" s="1023"/>
      <c r="M67" s="1023"/>
      <c r="O67"/>
      <c r="W67"/>
      <c r="X67" s="817"/>
    </row>
    <row r="68" spans="4:45" x14ac:dyDescent="0.35">
      <c r="D68" s="1024" t="s">
        <v>5744</v>
      </c>
      <c r="E68" s="1024"/>
      <c r="F68" s="1024"/>
      <c r="G68" s="1024"/>
      <c r="H68" s="1024"/>
      <c r="I68" s="1024"/>
      <c r="J68" s="1024"/>
      <c r="K68" s="1024"/>
      <c r="L68" s="1024"/>
      <c r="M68" s="1024"/>
      <c r="O68"/>
      <c r="W68"/>
    </row>
    <row r="69" spans="4:45" ht="15" customHeight="1" x14ac:dyDescent="0.35">
      <c r="D69" s="857" t="s">
        <v>5753</v>
      </c>
      <c r="E69" s="857"/>
      <c r="F69" s="857"/>
      <c r="G69" s="857"/>
      <c r="H69" s="857"/>
      <c r="I69" s="857"/>
      <c r="J69" s="857"/>
      <c r="K69" s="857"/>
      <c r="L69" s="857"/>
      <c r="M69" s="857"/>
      <c r="O69"/>
      <c r="P69" t="b">
        <v>1</v>
      </c>
      <c r="Q69" t="b">
        <v>1</v>
      </c>
      <c r="R69" t="b">
        <v>0</v>
      </c>
      <c r="S69" t="b">
        <v>1</v>
      </c>
      <c r="T69" t="b">
        <v>0</v>
      </c>
      <c r="W69" s="476"/>
      <c r="X69" s="850"/>
      <c r="AP69" t="s">
        <v>5757</v>
      </c>
      <c r="AQ69" t="str">
        <f>IF(LEN(W69)=0,"",W69)</f>
        <v/>
      </c>
      <c r="AR69" t="s">
        <v>5768</v>
      </c>
      <c r="AS69" t="str">
        <f>IF(LEN(X69)=0,"",X69)</f>
        <v/>
      </c>
    </row>
    <row r="70" spans="4:45" x14ac:dyDescent="0.35">
      <c r="D70" s="857" t="s">
        <v>5755</v>
      </c>
      <c r="E70" s="857"/>
      <c r="F70" s="857"/>
      <c r="G70" s="857"/>
      <c r="H70" s="857"/>
      <c r="I70" s="857"/>
      <c r="J70" s="857"/>
      <c r="K70" s="857"/>
      <c r="L70" s="857"/>
      <c r="M70" s="857"/>
      <c r="O70"/>
      <c r="P70" t="b">
        <v>1</v>
      </c>
      <c r="Q70" t="b">
        <v>1</v>
      </c>
      <c r="R70" t="b">
        <v>0</v>
      </c>
      <c r="S70" t="b">
        <v>1</v>
      </c>
      <c r="T70" t="b">
        <v>0</v>
      </c>
      <c r="W70" s="670"/>
      <c r="X70" s="851"/>
      <c r="AP70" t="s">
        <v>5758</v>
      </c>
      <c r="AQ70" t="str">
        <f t="shared" ref="AQ70:AQ73" si="4">IF(LEN(W70)=0,"",W70)</f>
        <v/>
      </c>
    </row>
    <row r="71" spans="4:45" x14ac:dyDescent="0.35">
      <c r="D71" s="1028" t="s">
        <v>5756</v>
      </c>
      <c r="E71" s="1029"/>
      <c r="F71" s="1029"/>
      <c r="G71" s="1029"/>
      <c r="H71" s="1029"/>
      <c r="I71" s="1029"/>
      <c r="J71" s="1029"/>
      <c r="K71" s="1029"/>
      <c r="L71" s="1029"/>
      <c r="M71" s="1030"/>
      <c r="O71"/>
      <c r="P71" t="b">
        <v>1</v>
      </c>
      <c r="Q71" t="b">
        <v>1</v>
      </c>
      <c r="R71" t="b">
        <v>0</v>
      </c>
      <c r="S71" t="b">
        <v>1</v>
      </c>
      <c r="T71" t="b">
        <v>0</v>
      </c>
      <c r="W71" s="299"/>
      <c r="X71" s="851"/>
      <c r="AP71" t="s">
        <v>5759</v>
      </c>
      <c r="AQ71" t="str">
        <f t="shared" si="4"/>
        <v/>
      </c>
    </row>
    <row r="72" spans="4:45" x14ac:dyDescent="0.35">
      <c r="D72" s="857" t="s">
        <v>5745</v>
      </c>
      <c r="E72" s="857"/>
      <c r="F72" s="857"/>
      <c r="G72" s="857"/>
      <c r="H72" s="857"/>
      <c r="I72" s="857"/>
      <c r="J72" s="857"/>
      <c r="K72" s="857"/>
      <c r="L72" s="857"/>
      <c r="M72" s="857"/>
      <c r="O72"/>
      <c r="P72" t="b">
        <v>1</v>
      </c>
      <c r="Q72" t="b">
        <v>1</v>
      </c>
      <c r="R72" t="b">
        <v>0</v>
      </c>
      <c r="S72" t="b">
        <v>1</v>
      </c>
      <c r="T72" t="b">
        <v>0</v>
      </c>
      <c r="W72" s="669"/>
      <c r="X72" s="851"/>
      <c r="AP72" t="s">
        <v>5760</v>
      </c>
      <c r="AQ72" t="str">
        <f t="shared" si="4"/>
        <v/>
      </c>
    </row>
    <row r="73" spans="4:45" x14ac:dyDescent="0.35">
      <c r="D73" s="857" t="s">
        <v>5746</v>
      </c>
      <c r="E73" s="857"/>
      <c r="F73" s="857"/>
      <c r="G73" s="857"/>
      <c r="H73" s="857"/>
      <c r="I73" s="857"/>
      <c r="J73" s="857"/>
      <c r="K73" s="857"/>
      <c r="L73" s="857"/>
      <c r="M73" s="857"/>
      <c r="O73"/>
      <c r="P73" t="b">
        <v>1</v>
      </c>
      <c r="Q73" t="b">
        <v>1</v>
      </c>
      <c r="R73" t="b">
        <v>0</v>
      </c>
      <c r="S73" t="b">
        <v>1</v>
      </c>
      <c r="T73" t="b">
        <v>0</v>
      </c>
      <c r="W73" s="674"/>
      <c r="X73" s="816"/>
      <c r="AP73" t="s">
        <v>5761</v>
      </c>
      <c r="AQ73" t="str">
        <f t="shared" si="4"/>
        <v/>
      </c>
    </row>
    <row r="74" spans="4:45" x14ac:dyDescent="0.35">
      <c r="D74" s="1023" t="s">
        <v>5384</v>
      </c>
      <c r="E74" s="1023"/>
      <c r="F74" s="1023"/>
      <c r="G74" s="1023"/>
      <c r="H74" s="1023"/>
      <c r="I74" s="1023"/>
      <c r="J74" s="1023"/>
      <c r="K74" s="1023"/>
      <c r="L74" s="1023"/>
      <c r="M74" s="1023"/>
      <c r="O74"/>
      <c r="W74"/>
      <c r="X74" s="817"/>
      <c r="AR74" t="s">
        <v>5481</v>
      </c>
      <c r="AS74" t="str">
        <f>IF(LEN(X74)=0,"",X74)</f>
        <v/>
      </c>
    </row>
    <row r="75" spans="4:45" x14ac:dyDescent="0.35">
      <c r="D75" s="1023"/>
      <c r="E75" s="1023"/>
      <c r="F75" s="1023"/>
      <c r="G75" s="1023"/>
      <c r="H75" s="1023"/>
      <c r="I75" s="1023"/>
      <c r="J75" s="1023"/>
      <c r="K75" s="1023"/>
      <c r="L75" s="1023"/>
      <c r="M75" s="1023"/>
      <c r="O75"/>
      <c r="W75"/>
      <c r="X75" s="817"/>
    </row>
    <row r="76" spans="4:45" x14ac:dyDescent="0.35">
      <c r="D76" s="1023"/>
      <c r="E76" s="1023"/>
      <c r="F76" s="1023"/>
      <c r="G76" s="1023"/>
      <c r="H76" s="1023"/>
      <c r="I76" s="1023"/>
      <c r="J76" s="1023"/>
      <c r="K76" s="1023"/>
      <c r="L76" s="1023"/>
      <c r="M76" s="1023"/>
      <c r="O76"/>
      <c r="W76"/>
      <c r="X76" s="817"/>
    </row>
    <row r="77" spans="4:45" x14ac:dyDescent="0.35">
      <c r="D77" s="1023" t="s">
        <v>5385</v>
      </c>
      <c r="E77" s="1023"/>
      <c r="F77" s="1023"/>
      <c r="G77" s="1023"/>
      <c r="H77" s="1023"/>
      <c r="I77" s="1023"/>
      <c r="J77" s="1023"/>
      <c r="K77" s="1023"/>
      <c r="L77" s="1023"/>
      <c r="M77" s="1023"/>
      <c r="O77"/>
      <c r="W77"/>
      <c r="X77" s="817"/>
      <c r="AR77" t="s">
        <v>5482</v>
      </c>
      <c r="AS77" t="str">
        <f>IF(LEN(X77)=0,"",X77)</f>
        <v/>
      </c>
    </row>
    <row r="78" spans="4:45" x14ac:dyDescent="0.35">
      <c r="D78" s="1023"/>
      <c r="E78" s="1023"/>
      <c r="F78" s="1023"/>
      <c r="G78" s="1023"/>
      <c r="H78" s="1023"/>
      <c r="I78" s="1023"/>
      <c r="J78" s="1023"/>
      <c r="K78" s="1023"/>
      <c r="L78" s="1023"/>
      <c r="M78" s="1023"/>
      <c r="O78"/>
      <c r="W78"/>
      <c r="X78" s="817"/>
    </row>
    <row r="79" spans="4:45" x14ac:dyDescent="0.35">
      <c r="D79" s="1025" t="s">
        <v>5747</v>
      </c>
      <c r="E79" s="1026"/>
      <c r="F79" s="1026"/>
      <c r="G79" s="1026"/>
      <c r="H79" s="1026"/>
      <c r="I79" s="1026"/>
      <c r="J79" s="1026"/>
      <c r="K79" s="1026"/>
      <c r="L79" s="1026"/>
      <c r="M79" s="1027"/>
      <c r="O79"/>
      <c r="W79"/>
    </row>
    <row r="80" spans="4:45" x14ac:dyDescent="0.35">
      <c r="D80" s="1028" t="s">
        <v>5748</v>
      </c>
      <c r="E80" s="1029"/>
      <c r="F80" s="1029"/>
      <c r="G80" s="1029"/>
      <c r="H80" s="1029"/>
      <c r="I80" s="1029"/>
      <c r="J80" s="1029"/>
      <c r="K80" s="1029"/>
      <c r="L80" s="1029"/>
      <c r="M80" s="1030"/>
      <c r="O80"/>
      <c r="P80" t="b">
        <v>1</v>
      </c>
      <c r="Q80" t="b">
        <v>1</v>
      </c>
      <c r="R80" t="b">
        <v>0</v>
      </c>
      <c r="S80" t="b">
        <v>1</v>
      </c>
      <c r="T80" t="b">
        <v>0</v>
      </c>
      <c r="W80" s="671"/>
      <c r="X80" s="850"/>
      <c r="AP80" t="s">
        <v>5762</v>
      </c>
      <c r="AQ80" t="str">
        <f>IF(LEN(W80)=0,"",W80)</f>
        <v/>
      </c>
      <c r="AR80" t="s">
        <v>5769</v>
      </c>
      <c r="AS80" t="str">
        <f>IF(LEN(X80)=0,"",X80)</f>
        <v/>
      </c>
    </row>
    <row r="81" spans="2:43" x14ac:dyDescent="0.35">
      <c r="D81" s="1028" t="s">
        <v>5749</v>
      </c>
      <c r="E81" s="1029"/>
      <c r="F81" s="1029"/>
      <c r="G81" s="1029"/>
      <c r="H81" s="1029"/>
      <c r="I81" s="1029"/>
      <c r="J81" s="1029"/>
      <c r="K81" s="1029"/>
      <c r="L81" s="1029"/>
      <c r="M81" s="1030"/>
      <c r="O81"/>
      <c r="P81" t="b">
        <v>1</v>
      </c>
      <c r="Q81" t="b">
        <v>1</v>
      </c>
      <c r="R81" t="b">
        <v>0</v>
      </c>
      <c r="S81" t="b">
        <v>1</v>
      </c>
      <c r="T81" t="b">
        <v>0</v>
      </c>
      <c r="W81" s="672"/>
      <c r="X81" s="851"/>
      <c r="AP81" t="s">
        <v>5763</v>
      </c>
      <c r="AQ81" t="str">
        <f t="shared" ref="AQ81:AQ84" si="5">IF(LEN(W81)=0,"",W81)</f>
        <v/>
      </c>
    </row>
    <row r="82" spans="2:43" x14ac:dyDescent="0.35">
      <c r="D82" s="1028" t="s">
        <v>5750</v>
      </c>
      <c r="E82" s="1029"/>
      <c r="F82" s="1029"/>
      <c r="G82" s="1029"/>
      <c r="H82" s="1029"/>
      <c r="I82" s="1029"/>
      <c r="J82" s="1029"/>
      <c r="K82" s="1029"/>
      <c r="L82" s="1029"/>
      <c r="M82" s="1030"/>
      <c r="O82"/>
      <c r="P82" t="b">
        <v>1</v>
      </c>
      <c r="Q82" t="b">
        <v>1</v>
      </c>
      <c r="R82" t="b">
        <v>0</v>
      </c>
      <c r="S82" t="b">
        <v>1</v>
      </c>
      <c r="T82" t="b">
        <v>0</v>
      </c>
      <c r="W82" s="672"/>
      <c r="X82" s="851"/>
      <c r="AP82" t="s">
        <v>5764</v>
      </c>
      <c r="AQ82" t="str">
        <f t="shared" si="5"/>
        <v/>
      </c>
    </row>
    <row r="83" spans="2:43" ht="15" customHeight="1" x14ac:dyDescent="0.35">
      <c r="D83" s="1028" t="s">
        <v>5754</v>
      </c>
      <c r="E83" s="1029"/>
      <c r="F83" s="1029"/>
      <c r="G83" s="1029"/>
      <c r="H83" s="1029"/>
      <c r="I83" s="1029"/>
      <c r="J83" s="1029"/>
      <c r="K83" s="1029"/>
      <c r="L83" s="1029"/>
      <c r="M83" s="1030"/>
      <c r="O83"/>
      <c r="P83" t="b">
        <v>1</v>
      </c>
      <c r="Q83" t="b">
        <v>1</v>
      </c>
      <c r="R83" t="b">
        <v>0</v>
      </c>
      <c r="S83" t="b">
        <v>1</v>
      </c>
      <c r="T83" t="b">
        <v>0</v>
      </c>
      <c r="W83" s="673"/>
      <c r="X83" s="851"/>
      <c r="AP83" t="s">
        <v>5765</v>
      </c>
      <c r="AQ83" t="str">
        <f t="shared" si="5"/>
        <v/>
      </c>
    </row>
    <row r="84" spans="2:43" x14ac:dyDescent="0.35">
      <c r="D84" s="1028" t="s">
        <v>5751</v>
      </c>
      <c r="E84" s="1029"/>
      <c r="F84" s="1029"/>
      <c r="G84" s="1029"/>
      <c r="H84" s="1029"/>
      <c r="I84" s="1029"/>
      <c r="J84" s="1029"/>
      <c r="K84" s="1029"/>
      <c r="L84" s="1029"/>
      <c r="M84" s="1030"/>
      <c r="O84"/>
      <c r="P84" t="b">
        <v>1</v>
      </c>
      <c r="Q84" t="b">
        <v>1</v>
      </c>
      <c r="R84" t="b">
        <v>0</v>
      </c>
      <c r="S84" t="b">
        <v>1</v>
      </c>
      <c r="T84" t="b">
        <v>0</v>
      </c>
      <c r="W84" s="314"/>
      <c r="X84" s="851"/>
      <c r="AP84" t="s">
        <v>5766</v>
      </c>
      <c r="AQ84" t="str">
        <f t="shared" si="5"/>
        <v/>
      </c>
    </row>
    <row r="85" spans="2:43" x14ac:dyDescent="0.35">
      <c r="D85" s="1028" t="s">
        <v>5752</v>
      </c>
      <c r="E85" s="1029"/>
      <c r="F85" s="1029"/>
      <c r="G85" s="1029"/>
      <c r="H85" s="1029"/>
      <c r="I85" s="1029"/>
      <c r="J85" s="1029"/>
      <c r="K85" s="1029"/>
      <c r="L85" s="1029"/>
      <c r="M85" s="1030"/>
      <c r="O85"/>
      <c r="P85" t="b">
        <v>1</v>
      </c>
      <c r="Q85" t="b">
        <v>1</v>
      </c>
      <c r="R85" t="b">
        <v>0</v>
      </c>
      <c r="S85" t="b">
        <v>1</v>
      </c>
      <c r="T85" t="b">
        <v>0</v>
      </c>
      <c r="W85" s="299"/>
      <c r="X85" s="816"/>
      <c r="AP85" t="s">
        <v>5767</v>
      </c>
      <c r="AQ85" t="str">
        <f t="shared" ref="AQ85" si="6">IF(LEN(W85)=0,"",W85)</f>
        <v/>
      </c>
    </row>
    <row r="86" spans="2:43" x14ac:dyDescent="0.35">
      <c r="O86"/>
      <c r="W86"/>
    </row>
    <row r="87" spans="2:43" x14ac:dyDescent="0.35">
      <c r="O87"/>
      <c r="W87"/>
    </row>
    <row r="88" spans="2:43" x14ac:dyDescent="0.35">
      <c r="O88"/>
      <c r="W88"/>
    </row>
    <row r="89" spans="2:43" ht="15" customHeight="1" x14ac:dyDescent="0.35">
      <c r="B89" s="1006" t="s">
        <v>5244</v>
      </c>
      <c r="C89" s="1006"/>
      <c r="D89" s="1006"/>
      <c r="F89" s="65"/>
      <c r="G89" s="1018" t="str">
        <f ca="1">IF(AND(W110=TRUE,W97="Met",W106="Met"),"Earned","Not Earned")</f>
        <v>Not Earned</v>
      </c>
      <c r="H89" s="1018"/>
      <c r="I89" s="1018"/>
      <c r="J89" s="1018"/>
      <c r="K89" s="1018"/>
      <c r="L89" s="1018"/>
      <c r="M89" s="1018"/>
      <c r="N89" s="1018"/>
      <c r="O89" s="1019"/>
      <c r="W89"/>
    </row>
    <row r="90" spans="2:43" ht="15.75" customHeight="1" thickBot="1" x14ac:dyDescent="0.4">
      <c r="B90" s="1007"/>
      <c r="C90" s="1007"/>
      <c r="D90" s="1007"/>
      <c r="E90" s="55"/>
      <c r="F90" s="640"/>
      <c r="G90" s="1020"/>
      <c r="H90" s="1020"/>
      <c r="I90" s="1020"/>
      <c r="J90" s="1020"/>
      <c r="K90" s="1020"/>
      <c r="L90" s="1020"/>
      <c r="M90" s="1020"/>
      <c r="N90" s="1020"/>
      <c r="O90" s="1021"/>
      <c r="P90" s="55"/>
      <c r="Q90" s="55"/>
      <c r="R90" s="55"/>
      <c r="S90" s="55"/>
      <c r="T90" s="55"/>
      <c r="U90" s="55"/>
      <c r="V90" s="55"/>
      <c r="W90" s="55"/>
      <c r="X90" s="55"/>
      <c r="Y90" s="55"/>
    </row>
    <row r="91" spans="2:43" ht="15" thickTop="1" x14ac:dyDescent="0.35">
      <c r="O91"/>
      <c r="W91"/>
    </row>
    <row r="92" spans="2:43" x14ac:dyDescent="0.35">
      <c r="O92"/>
      <c r="W92"/>
    </row>
    <row r="93" spans="2:43" x14ac:dyDescent="0.35">
      <c r="C93" s="216" t="s">
        <v>5250</v>
      </c>
      <c r="W93"/>
    </row>
    <row r="94" spans="2:43" x14ac:dyDescent="0.35">
      <c r="C94" s="639" t="s">
        <v>5251</v>
      </c>
      <c r="W94"/>
    </row>
    <row r="95" spans="2:43" x14ac:dyDescent="0.35">
      <c r="D95" t="s">
        <v>5386</v>
      </c>
      <c r="W95"/>
    </row>
    <row r="96" spans="2:43" x14ac:dyDescent="0.35">
      <c r="C96" s="639" t="s">
        <v>5403</v>
      </c>
      <c r="W96"/>
    </row>
    <row r="97" spans="3:45" x14ac:dyDescent="0.35">
      <c r="C97" t="s">
        <v>5253</v>
      </c>
      <c r="W97" s="1022" t="str">
        <f ca="1">IF('Ch6'!O546&gt;=10,"Met","Not Met")</f>
        <v>Not Met</v>
      </c>
      <c r="X97" s="817"/>
      <c r="AR97" t="s">
        <v>5483</v>
      </c>
      <c r="AS97" t="str">
        <f>IF(LEN(X97)=0,"",X97)</f>
        <v/>
      </c>
    </row>
    <row r="98" spans="3:45" x14ac:dyDescent="0.35">
      <c r="C98" t="s">
        <v>5254</v>
      </c>
      <c r="W98" s="1022"/>
      <c r="X98" s="817"/>
    </row>
    <row r="99" spans="3:45" ht="15" customHeight="1" x14ac:dyDescent="0.35">
      <c r="C99" t="s">
        <v>5255</v>
      </c>
      <c r="W99" s="1022"/>
      <c r="X99" s="817"/>
    </row>
    <row r="100" spans="3:45" x14ac:dyDescent="0.35">
      <c r="W100"/>
    </row>
    <row r="101" spans="3:45" x14ac:dyDescent="0.35">
      <c r="W101"/>
    </row>
    <row r="102" spans="3:45" x14ac:dyDescent="0.35">
      <c r="C102" s="216" t="s">
        <v>5252</v>
      </c>
      <c r="W102"/>
    </row>
    <row r="103" spans="3:45" x14ac:dyDescent="0.35">
      <c r="C103" s="639" t="s">
        <v>5251</v>
      </c>
      <c r="W103"/>
    </row>
    <row r="104" spans="3:45" x14ac:dyDescent="0.35">
      <c r="D104" t="s">
        <v>5387</v>
      </c>
      <c r="W104"/>
    </row>
    <row r="105" spans="3:45" x14ac:dyDescent="0.35">
      <c r="C105" s="639" t="s">
        <v>5403</v>
      </c>
      <c r="W105"/>
    </row>
    <row r="106" spans="3:45" x14ac:dyDescent="0.35">
      <c r="C106" t="s">
        <v>5256</v>
      </c>
      <c r="W106" s="351" t="str">
        <f ca="1">IF('Ch7'!O715&gt;=1,"Met","Not Met")</f>
        <v>Not Met</v>
      </c>
      <c r="X106" s="36"/>
      <c r="AR106" t="s">
        <v>5484</v>
      </c>
      <c r="AS106" t="str">
        <f>IF(LEN(X106)=0,"",X106)</f>
        <v/>
      </c>
    </row>
    <row r="107" spans="3:45" x14ac:dyDescent="0.35">
      <c r="W107"/>
    </row>
    <row r="108" spans="3:45" x14ac:dyDescent="0.35">
      <c r="L108" s="6"/>
    </row>
    <row r="109" spans="3:45" x14ac:dyDescent="0.35">
      <c r="C109" s="216" t="s">
        <v>5257</v>
      </c>
      <c r="L109" s="6"/>
    </row>
    <row r="110" spans="3:45" ht="15" customHeight="1" x14ac:dyDescent="0.35">
      <c r="C110" s="760" t="s">
        <v>5258</v>
      </c>
      <c r="D110" s="760"/>
      <c r="E110" s="760"/>
      <c r="F110" s="760"/>
      <c r="G110" s="760"/>
      <c r="H110" s="760"/>
      <c r="I110" s="760"/>
      <c r="J110" s="760"/>
      <c r="K110" s="760"/>
      <c r="L110" s="760"/>
      <c r="O110"/>
      <c r="P110" t="b">
        <v>1</v>
      </c>
      <c r="Q110" t="b">
        <v>1</v>
      </c>
      <c r="R110" t="b">
        <v>1</v>
      </c>
      <c r="S110" t="b">
        <v>1</v>
      </c>
      <c r="T110" t="b">
        <v>0</v>
      </c>
      <c r="W110" s="17"/>
      <c r="X110" s="817"/>
      <c r="AP110" t="s">
        <v>5443</v>
      </c>
      <c r="AQ110" t="str">
        <f>IF(LEN(W110)=0,"",W110)</f>
        <v/>
      </c>
      <c r="AR110" t="s">
        <v>5485</v>
      </c>
      <c r="AS110" t="str">
        <f>IF(LEN(X110)=0,"",X110)</f>
        <v/>
      </c>
    </row>
    <row r="111" spans="3:45" x14ac:dyDescent="0.35">
      <c r="C111" s="760"/>
      <c r="D111" s="760"/>
      <c r="E111" s="760"/>
      <c r="F111" s="760"/>
      <c r="G111" s="760"/>
      <c r="H111" s="760"/>
      <c r="I111" s="760"/>
      <c r="J111" s="760"/>
      <c r="K111" s="760"/>
      <c r="L111" s="760"/>
      <c r="X111" s="817"/>
    </row>
    <row r="112" spans="3:45" x14ac:dyDescent="0.35">
      <c r="X112" s="817"/>
    </row>
    <row r="115" spans="2:45" ht="15" customHeight="1" x14ac:dyDescent="0.35"/>
    <row r="116" spans="2:45" x14ac:dyDescent="0.35">
      <c r="B116" s="1006" t="s">
        <v>5246</v>
      </c>
      <c r="C116" s="1006"/>
      <c r="D116" s="1006"/>
      <c r="E116" s="1006"/>
      <c r="G116" s="1031" t="str">
        <f ca="1">IF(AND(N169&gt;=18,W125="Met",W139="Met",OR(R152=FALSE,W152=TRUE),W166=TRUE),"Earned","Not Earned")</f>
        <v>Not Earned</v>
      </c>
      <c r="H116" s="1018"/>
      <c r="I116" s="1018"/>
      <c r="J116" s="1018"/>
      <c r="K116" s="1018"/>
      <c r="L116" s="1018"/>
      <c r="M116" s="1018"/>
      <c r="N116" s="1018"/>
      <c r="O116" s="1019"/>
      <c r="W116"/>
    </row>
    <row r="117" spans="2:45" ht="15" thickBot="1" x14ac:dyDescent="0.4">
      <c r="B117" s="1007"/>
      <c r="C117" s="1007"/>
      <c r="D117" s="1007"/>
      <c r="E117" s="1007"/>
      <c r="F117" s="55"/>
      <c r="G117" s="1032"/>
      <c r="H117" s="1020"/>
      <c r="I117" s="1020"/>
      <c r="J117" s="1020"/>
      <c r="K117" s="1020"/>
      <c r="L117" s="1020"/>
      <c r="M117" s="1020"/>
      <c r="N117" s="1020"/>
      <c r="O117" s="1021"/>
      <c r="P117" s="55"/>
      <c r="Q117" s="55"/>
      <c r="R117" s="55"/>
      <c r="S117" s="55"/>
      <c r="T117" s="55"/>
      <c r="U117" s="55"/>
      <c r="V117" s="55"/>
      <c r="W117" s="55"/>
      <c r="X117" s="55"/>
      <c r="Y117" s="55"/>
    </row>
    <row r="118" spans="2:45" ht="15" thickTop="1" x14ac:dyDescent="0.35">
      <c r="O118"/>
      <c r="W118"/>
      <c r="AM118" s="6"/>
    </row>
    <row r="119" spans="2:45" x14ac:dyDescent="0.35">
      <c r="O119"/>
      <c r="W119"/>
      <c r="AM119" s="6"/>
    </row>
    <row r="120" spans="2:45" x14ac:dyDescent="0.35">
      <c r="C120" s="216" t="s">
        <v>5270</v>
      </c>
      <c r="L120" s="6"/>
      <c r="AM120" s="6"/>
    </row>
    <row r="121" spans="2:45" x14ac:dyDescent="0.35">
      <c r="C121" s="639" t="s">
        <v>5251</v>
      </c>
      <c r="L121" s="6"/>
    </row>
    <row r="122" spans="2:45" x14ac:dyDescent="0.35">
      <c r="D122" t="s">
        <v>5271</v>
      </c>
      <c r="L122" s="6"/>
    </row>
    <row r="123" spans="2:45" x14ac:dyDescent="0.35">
      <c r="D123" t="s">
        <v>5404</v>
      </c>
      <c r="W123"/>
    </row>
    <row r="124" spans="2:45" x14ac:dyDescent="0.35">
      <c r="C124" s="639" t="s">
        <v>5403</v>
      </c>
      <c r="L124" s="21"/>
      <c r="N124" s="765" t="s">
        <v>249</v>
      </c>
      <c r="O124" s="765"/>
      <c r="W124"/>
    </row>
    <row r="125" spans="2:45" ht="15" customHeight="1" x14ac:dyDescent="0.35">
      <c r="C125" t="s">
        <v>5272</v>
      </c>
      <c r="D125" s="565"/>
      <c r="E125" s="565"/>
      <c r="F125" s="565"/>
      <c r="G125" s="565"/>
      <c r="H125" s="565"/>
      <c r="I125" s="565"/>
      <c r="J125" s="565"/>
      <c r="N125" s="1033" t="s">
        <v>4106</v>
      </c>
      <c r="O125" s="1033"/>
      <c r="W125" s="351" t="str">
        <f>IF(LEN('Ch6'!W542)&gt;0,"Met","Not Met")</f>
        <v>Met</v>
      </c>
      <c r="X125" s="817"/>
      <c r="AR125" t="s">
        <v>5486</v>
      </c>
      <c r="AS125" t="str">
        <f>IF(LEN(X125)=0,"",X125)</f>
        <v/>
      </c>
    </row>
    <row r="126" spans="2:45" x14ac:dyDescent="0.35">
      <c r="C126" t="s">
        <v>5273</v>
      </c>
      <c r="L126" s="21"/>
      <c r="N126" s="765">
        <v>1</v>
      </c>
      <c r="O126" s="765"/>
      <c r="P126" t="b">
        <v>1</v>
      </c>
      <c r="Q126" t="b">
        <v>1</v>
      </c>
      <c r="R126" t="b">
        <v>0</v>
      </c>
      <c r="S126" t="b">
        <v>1</v>
      </c>
      <c r="T126" t="b">
        <v>0</v>
      </c>
      <c r="W126" s="17"/>
      <c r="X126" s="817"/>
      <c r="AP126" t="s">
        <v>5444</v>
      </c>
      <c r="AQ126" t="str">
        <f>IF(LEN(W126)=0,"",W126)</f>
        <v/>
      </c>
    </row>
    <row r="127" spans="2:45" x14ac:dyDescent="0.35">
      <c r="C127" t="s">
        <v>5274</v>
      </c>
      <c r="L127" s="637"/>
      <c r="N127" s="1034" t="s">
        <v>5279</v>
      </c>
      <c r="O127" s="1034"/>
      <c r="W127" s="351">
        <f ca="1">'Ch7'!O557</f>
        <v>0</v>
      </c>
      <c r="X127" s="817"/>
    </row>
    <row r="128" spans="2:45" x14ac:dyDescent="0.35">
      <c r="C128" t="s">
        <v>5275</v>
      </c>
      <c r="L128" s="21"/>
      <c r="N128" s="765">
        <v>1</v>
      </c>
      <c r="O128" s="765"/>
      <c r="W128" s="351">
        <f>'Ch7'!O561</f>
        <v>0</v>
      </c>
      <c r="X128" s="817"/>
    </row>
    <row r="129" spans="3:45" x14ac:dyDescent="0.35">
      <c r="C129" t="s">
        <v>5276</v>
      </c>
      <c r="L129" s="21"/>
      <c r="N129" s="765">
        <v>1</v>
      </c>
      <c r="O129" s="765"/>
      <c r="W129" s="351">
        <f>'Ch7'!O581</f>
        <v>0</v>
      </c>
      <c r="X129" s="817"/>
    </row>
    <row r="130" spans="3:45" x14ac:dyDescent="0.35">
      <c r="C130" t="s">
        <v>5277</v>
      </c>
      <c r="L130" s="637"/>
      <c r="N130" s="1034" t="s">
        <v>5397</v>
      </c>
      <c r="O130" s="1034"/>
      <c r="S130" t="b">
        <f ca="1">IF($AY$18=INDEX(INDIRECT("ddSingleOrMulti"),2),TRUE,FALSE)</f>
        <v>0</v>
      </c>
      <c r="W130" s="351">
        <f ca="1">('Ch7'!O564+'Ch7'!O568)*S130</f>
        <v>0</v>
      </c>
      <c r="X130" s="817"/>
    </row>
    <row r="131" spans="3:45" x14ac:dyDescent="0.35">
      <c r="C131" t="s">
        <v>5278</v>
      </c>
      <c r="L131" s="637"/>
      <c r="N131" s="1034" t="s">
        <v>5405</v>
      </c>
      <c r="O131" s="1034"/>
      <c r="S131" t="b">
        <f ca="1">IF($AY$18=INDEX(INDIRECT("ddSingleOrMulti"),2),TRUE,FALSE)</f>
        <v>0</v>
      </c>
      <c r="W131" s="351">
        <f ca="1">'Ch7'!O573*S131</f>
        <v>0</v>
      </c>
      <c r="X131" s="817"/>
    </row>
    <row r="132" spans="3:45" x14ac:dyDescent="0.35">
      <c r="W132"/>
    </row>
    <row r="133" spans="3:45" x14ac:dyDescent="0.35">
      <c r="O133"/>
      <c r="W133"/>
    </row>
    <row r="134" spans="3:45" x14ac:dyDescent="0.35">
      <c r="C134" s="216" t="s">
        <v>5280</v>
      </c>
    </row>
    <row r="135" spans="3:45" x14ac:dyDescent="0.35">
      <c r="C135" s="639" t="s">
        <v>5281</v>
      </c>
    </row>
    <row r="136" spans="3:45" x14ac:dyDescent="0.35">
      <c r="D136" t="s">
        <v>5271</v>
      </c>
    </row>
    <row r="137" spans="3:45" x14ac:dyDescent="0.35">
      <c r="D137" t="s">
        <v>5404</v>
      </c>
    </row>
    <row r="138" spans="3:45" x14ac:dyDescent="0.35">
      <c r="C138" s="639" t="s">
        <v>5403</v>
      </c>
      <c r="N138" s="1033" t="s">
        <v>249</v>
      </c>
      <c r="O138" s="1033"/>
    </row>
    <row r="139" spans="3:45" x14ac:dyDescent="0.35">
      <c r="C139" t="s">
        <v>5282</v>
      </c>
      <c r="N139" s="1033" t="s">
        <v>4106</v>
      </c>
      <c r="O139" s="1033"/>
      <c r="W139" s="351" t="str">
        <f>IF('Ch7'!W666=TRUE,"Met","Not Met")</f>
        <v>Not Met</v>
      </c>
      <c r="X139" s="817"/>
      <c r="AR139" t="s">
        <v>5487</v>
      </c>
      <c r="AS139" t="str">
        <f>IF(LEN(X139)=0,"",X139)</f>
        <v/>
      </c>
    </row>
    <row r="140" spans="3:45" x14ac:dyDescent="0.35">
      <c r="C140" t="s">
        <v>5283</v>
      </c>
      <c r="N140" s="1033">
        <v>1</v>
      </c>
      <c r="O140" s="1033"/>
      <c r="W140" s="351">
        <f>'Ch7'!O741</f>
        <v>0</v>
      </c>
      <c r="X140" s="817"/>
    </row>
    <row r="141" spans="3:45" x14ac:dyDescent="0.35">
      <c r="C141" t="s">
        <v>5284</v>
      </c>
      <c r="N141" s="1033">
        <v>2</v>
      </c>
      <c r="O141" s="1033"/>
      <c r="W141" s="351">
        <f>'Ch7'!O746</f>
        <v>0</v>
      </c>
      <c r="X141" s="817"/>
    </row>
    <row r="142" spans="3:45" x14ac:dyDescent="0.35">
      <c r="C142" t="s">
        <v>5285</v>
      </c>
      <c r="N142" s="1033">
        <v>3</v>
      </c>
      <c r="O142" s="1033"/>
      <c r="W142" s="351">
        <f>'Ch10'!O213</f>
        <v>0</v>
      </c>
      <c r="X142" s="817"/>
    </row>
    <row r="143" spans="3:45" x14ac:dyDescent="0.35">
      <c r="C143" t="s">
        <v>5286</v>
      </c>
      <c r="N143" s="1033">
        <v>2</v>
      </c>
      <c r="O143" s="1033"/>
      <c r="W143" s="351">
        <f>MAX('Ch7'!O664-1,0)</f>
        <v>0</v>
      </c>
      <c r="X143" s="817"/>
    </row>
    <row r="144" spans="3:45" x14ac:dyDescent="0.35">
      <c r="C144" t="s">
        <v>5287</v>
      </c>
      <c r="N144" s="1033" t="s">
        <v>5279</v>
      </c>
      <c r="O144" s="1033"/>
      <c r="W144" s="351">
        <f>'Ch7'!O686</f>
        <v>0</v>
      </c>
      <c r="X144" s="817"/>
    </row>
    <row r="146" spans="3:45" x14ac:dyDescent="0.35">
      <c r="O146"/>
      <c r="W146"/>
    </row>
    <row r="147" spans="3:45" x14ac:dyDescent="0.35">
      <c r="C147" s="216" t="s">
        <v>5288</v>
      </c>
      <c r="O147"/>
      <c r="W147"/>
    </row>
    <row r="148" spans="3:45" x14ac:dyDescent="0.35">
      <c r="C148" s="639" t="s">
        <v>5251</v>
      </c>
      <c r="O148"/>
      <c r="W148"/>
    </row>
    <row r="149" spans="3:45" x14ac:dyDescent="0.35">
      <c r="D149" t="s">
        <v>5293</v>
      </c>
    </row>
    <row r="150" spans="3:45" x14ac:dyDescent="0.35">
      <c r="D150" t="s">
        <v>5404</v>
      </c>
    </row>
    <row r="151" spans="3:45" x14ac:dyDescent="0.35">
      <c r="C151" s="639" t="s">
        <v>5403</v>
      </c>
      <c r="N151" s="765" t="s">
        <v>249</v>
      </c>
      <c r="O151" s="765"/>
    </row>
    <row r="152" spans="3:45" x14ac:dyDescent="0.35">
      <c r="C152" t="s">
        <v>5289</v>
      </c>
      <c r="N152" s="1033" t="s">
        <v>4106</v>
      </c>
      <c r="O152" s="1033"/>
      <c r="P152" t="b">
        <v>1</v>
      </c>
      <c r="Q152" t="b">
        <v>1</v>
      </c>
      <c r="R152" t="b">
        <f ca="1">S152</f>
        <v>0</v>
      </c>
      <c r="S152" s="1" t="b">
        <f ca="1">'Ch8'!S156</f>
        <v>0</v>
      </c>
      <c r="T152" t="b">
        <v>0</v>
      </c>
      <c r="W152" s="17"/>
      <c r="X152" s="817"/>
      <c r="AP152" t="s">
        <v>5445</v>
      </c>
      <c r="AQ152" t="str">
        <f>IF(LEN(W152)=0,"",W152)</f>
        <v/>
      </c>
      <c r="AR152" t="s">
        <v>5423</v>
      </c>
      <c r="AS152" t="str">
        <f>IF(LEN(X152)=0,"",X152)</f>
        <v/>
      </c>
    </row>
    <row r="153" spans="3:45" x14ac:dyDescent="0.35">
      <c r="C153" t="s">
        <v>5290</v>
      </c>
      <c r="N153" s="765">
        <v>3</v>
      </c>
      <c r="O153" s="765"/>
      <c r="P153" t="b">
        <v>1</v>
      </c>
      <c r="Q153" t="b">
        <v>1</v>
      </c>
      <c r="R153" t="b">
        <v>0</v>
      </c>
      <c r="S153" t="b">
        <v>1</v>
      </c>
      <c r="T153" t="b">
        <v>0</v>
      </c>
      <c r="W153" s="17"/>
      <c r="X153" s="817"/>
      <c r="AP153" t="s">
        <v>5446</v>
      </c>
      <c r="AQ153" t="str">
        <f>IF(LEN(W153)=0,"",W153)</f>
        <v/>
      </c>
    </row>
    <row r="154" spans="3:45" x14ac:dyDescent="0.35">
      <c r="C154" t="s">
        <v>5291</v>
      </c>
      <c r="N154" s="765" t="s">
        <v>5398</v>
      </c>
      <c r="O154" s="765"/>
      <c r="P154" t="b">
        <v>1</v>
      </c>
      <c r="Q154" t="b">
        <v>1</v>
      </c>
      <c r="R154" t="b">
        <v>0</v>
      </c>
      <c r="S154" t="b">
        <f ca="1">IF($AY$18=INDEX(INDIRECT("ddSingleOrMulti"),1),TRUE,FALSE)</f>
        <v>1</v>
      </c>
      <c r="T154" t="b">
        <v>0</v>
      </c>
      <c r="W154" s="17"/>
      <c r="X154" s="817"/>
      <c r="AP154" t="s">
        <v>5447</v>
      </c>
      <c r="AQ154" t="str">
        <f>IF(LEN(W154)=0,"",W154)</f>
        <v/>
      </c>
    </row>
    <row r="155" spans="3:45" x14ac:dyDescent="0.35">
      <c r="C155" t="s">
        <v>5292</v>
      </c>
      <c r="N155" s="765">
        <v>2</v>
      </c>
      <c r="O155" s="765"/>
      <c r="P155" t="b">
        <v>1</v>
      </c>
      <c r="Q155" t="b">
        <v>1</v>
      </c>
      <c r="R155" t="b">
        <v>0</v>
      </c>
      <c r="S155" t="b">
        <v>1</v>
      </c>
      <c r="T155" t="b">
        <v>0</v>
      </c>
      <c r="U155" t="str">
        <f>'Verification Report'!U1852</f>
        <v>dd803_3</v>
      </c>
      <c r="W155" s="9"/>
      <c r="X155" s="817"/>
      <c r="AP155" t="s">
        <v>5448</v>
      </c>
      <c r="AQ155" t="str">
        <f>IF(LEN(W155)=0,"",W155)</f>
        <v/>
      </c>
    </row>
    <row r="158" spans="3:45" x14ac:dyDescent="0.35">
      <c r="C158" s="216" t="s">
        <v>5294</v>
      </c>
      <c r="O158"/>
      <c r="W158"/>
    </row>
    <row r="159" spans="3:45" x14ac:dyDescent="0.35">
      <c r="C159" s="639" t="s">
        <v>5251</v>
      </c>
      <c r="O159"/>
      <c r="W159"/>
    </row>
    <row r="160" spans="3:45" x14ac:dyDescent="0.35">
      <c r="C160" s="565"/>
      <c r="D160" t="s">
        <v>5420</v>
      </c>
      <c r="O160"/>
      <c r="W160"/>
    </row>
    <row r="161" spans="2:45" x14ac:dyDescent="0.35">
      <c r="C161" s="639" t="s">
        <v>5403</v>
      </c>
      <c r="N161" s="765" t="s">
        <v>249</v>
      </c>
      <c r="O161" s="765"/>
      <c r="W161"/>
    </row>
    <row r="162" spans="2:45" x14ac:dyDescent="0.35">
      <c r="C162" t="s">
        <v>5295</v>
      </c>
      <c r="N162" s="765">
        <v>1</v>
      </c>
      <c r="O162" s="765"/>
      <c r="W162" s="351">
        <f>'Ch7'!O748</f>
        <v>0</v>
      </c>
      <c r="X162" s="817"/>
      <c r="AR162" t="s">
        <v>5488</v>
      </c>
      <c r="AS162" t="str">
        <f>IF(LEN(X162)=0,"",X162)</f>
        <v/>
      </c>
    </row>
    <row r="163" spans="2:45" x14ac:dyDescent="0.35">
      <c r="C163" t="s">
        <v>5296</v>
      </c>
      <c r="N163" s="765">
        <v>2</v>
      </c>
      <c r="O163" s="765"/>
      <c r="W163" s="351">
        <f>'Ch9'!O366</f>
        <v>0</v>
      </c>
      <c r="X163" s="817"/>
    </row>
    <row r="164" spans="2:45" x14ac:dyDescent="0.35">
      <c r="O164"/>
      <c r="W164"/>
    </row>
    <row r="165" spans="2:45" ht="15" customHeight="1" x14ac:dyDescent="0.35">
      <c r="C165" s="216" t="s">
        <v>5257</v>
      </c>
      <c r="L165" s="6"/>
      <c r="W165"/>
    </row>
    <row r="166" spans="2:45" ht="15" customHeight="1" x14ac:dyDescent="0.35">
      <c r="D166" s="760" t="s">
        <v>5297</v>
      </c>
      <c r="E166" s="760"/>
      <c r="F166" s="760"/>
      <c r="G166" s="760"/>
      <c r="H166" s="760"/>
      <c r="I166" s="760"/>
      <c r="J166" s="760"/>
      <c r="K166" s="760"/>
      <c r="L166" s="760"/>
      <c r="M166" s="760"/>
      <c r="N166" s="565"/>
      <c r="O166" s="565"/>
      <c r="P166" t="b">
        <v>1</v>
      </c>
      <c r="Q166" t="b">
        <v>1</v>
      </c>
      <c r="R166" t="b">
        <v>1</v>
      </c>
      <c r="S166" t="b">
        <v>1</v>
      </c>
      <c r="T166" t="b">
        <v>0</v>
      </c>
      <c r="W166" s="17"/>
      <c r="X166" s="817"/>
      <c r="AP166" t="s">
        <v>5449</v>
      </c>
      <c r="AQ166" t="str">
        <f>IF(LEN(W166)=0,"",W166)</f>
        <v/>
      </c>
      <c r="AR166" t="s">
        <v>5489</v>
      </c>
      <c r="AS166" t="str">
        <f>IF(LEN(X166)=0,"",X166)</f>
        <v/>
      </c>
    </row>
    <row r="167" spans="2:45" x14ac:dyDescent="0.35">
      <c r="D167" s="760"/>
      <c r="E167" s="760"/>
      <c r="F167" s="760"/>
      <c r="G167" s="760"/>
      <c r="H167" s="760"/>
      <c r="I167" s="760"/>
      <c r="J167" s="760"/>
      <c r="K167" s="760"/>
      <c r="L167" s="760"/>
      <c r="M167" s="760"/>
      <c r="N167" s="565"/>
      <c r="O167" s="565"/>
      <c r="X167" s="817"/>
    </row>
    <row r="168" spans="2:45" x14ac:dyDescent="0.35">
      <c r="N168" s="1005" t="s">
        <v>5389</v>
      </c>
      <c r="O168" s="1005"/>
    </row>
    <row r="169" spans="2:45" x14ac:dyDescent="0.35">
      <c r="N169" s="1005">
        <f ca="1">SUM(W127:W131)+SUM(W140:W144)+SUM(W162:W163)+(1*W126)+(3*W153)+(10*W154*S154)+(2*(LEN(W155)&gt;0))</f>
        <v>0</v>
      </c>
      <c r="O169" s="1005"/>
    </row>
    <row r="170" spans="2:45" ht="15" customHeight="1" x14ac:dyDescent="0.35">
      <c r="N170" s="963" t="str">
        <f ca="1">IF(N169&lt;18,"need "&amp;18-N169&amp;" more","")</f>
        <v>need 18 more</v>
      </c>
      <c r="O170" s="963"/>
    </row>
    <row r="171" spans="2:45" ht="15" customHeight="1" x14ac:dyDescent="0.35"/>
    <row r="172" spans="2:45" ht="15" customHeight="1" x14ac:dyDescent="0.35">
      <c r="B172" s="446"/>
    </row>
    <row r="173" spans="2:45" x14ac:dyDescent="0.35">
      <c r="B173" s="1006" t="s">
        <v>5245</v>
      </c>
      <c r="C173" s="1006"/>
      <c r="D173" s="1006"/>
      <c r="E173" s="1006"/>
      <c r="F173" s="1006"/>
      <c r="G173" s="1031" t="str">
        <f>IF(COUNTIF(W181:W189,"Not Met")=0,"Earned","Not Earned")</f>
        <v>Not Earned</v>
      </c>
      <c r="H173" s="1018"/>
      <c r="I173" s="1018"/>
      <c r="J173" s="1018"/>
      <c r="K173" s="1018"/>
      <c r="L173" s="1018"/>
      <c r="M173" s="1018"/>
      <c r="N173" s="1018"/>
      <c r="O173" s="1019"/>
      <c r="W173"/>
    </row>
    <row r="174" spans="2:45" ht="15" thickBot="1" x14ac:dyDescent="0.4">
      <c r="B174" s="1007"/>
      <c r="C174" s="1007"/>
      <c r="D174" s="1007"/>
      <c r="E174" s="1007"/>
      <c r="F174" s="1007"/>
      <c r="G174" s="1032"/>
      <c r="H174" s="1020"/>
      <c r="I174" s="1020"/>
      <c r="J174" s="1020"/>
      <c r="K174" s="1020"/>
      <c r="L174" s="1020"/>
      <c r="M174" s="1020"/>
      <c r="N174" s="1020"/>
      <c r="O174" s="1021"/>
      <c r="P174" s="55"/>
      <c r="Q174" s="55"/>
      <c r="R174" s="55"/>
      <c r="S174" s="55"/>
      <c r="T174" s="55"/>
      <c r="U174" s="55"/>
      <c r="V174" s="55"/>
      <c r="W174" s="55"/>
      <c r="X174" s="55"/>
      <c r="Y174" s="55"/>
    </row>
    <row r="175" spans="2:45" ht="15" thickTop="1" x14ac:dyDescent="0.35">
      <c r="O175"/>
      <c r="W175"/>
    </row>
    <row r="176" spans="2:45" x14ac:dyDescent="0.35">
      <c r="O176"/>
      <c r="W176"/>
    </row>
    <row r="177" spans="3:23" ht="15.75" customHeight="1" x14ac:dyDescent="0.35">
      <c r="C177" s="216" t="s">
        <v>5259</v>
      </c>
      <c r="W177"/>
    </row>
    <row r="178" spans="3:23" ht="15" customHeight="1" x14ac:dyDescent="0.35">
      <c r="C178" s="639" t="s">
        <v>5251</v>
      </c>
      <c r="W178"/>
    </row>
    <row r="179" spans="3:23" ht="15.75" customHeight="1" x14ac:dyDescent="0.35">
      <c r="D179" t="s">
        <v>5262</v>
      </c>
      <c r="W179"/>
    </row>
    <row r="180" spans="3:23" x14ac:dyDescent="0.35">
      <c r="C180" s="639" t="s">
        <v>5403</v>
      </c>
      <c r="W180"/>
    </row>
    <row r="181" spans="3:23" x14ac:dyDescent="0.35">
      <c r="C181" t="s">
        <v>5263</v>
      </c>
      <c r="W181" s="351" t="str">
        <f>IF('Ch6'!W521=TRUE,"Met","Not Met")</f>
        <v>Not Met</v>
      </c>
    </row>
    <row r="182" spans="3:23" x14ac:dyDescent="0.35">
      <c r="C182" t="s">
        <v>5264</v>
      </c>
      <c r="W182" s="351" t="str">
        <f>IF('Ch6'!W526=TRUE,"Met","Not Met")</f>
        <v>Not Met</v>
      </c>
    </row>
    <row r="183" spans="3:23" x14ac:dyDescent="0.35">
      <c r="C183" t="s">
        <v>5265</v>
      </c>
      <c r="L183" s="6"/>
      <c r="W183" s="351" t="str">
        <f>IF('Ch6'!W530=TRUE,"Met","Not Met")</f>
        <v>Not Met</v>
      </c>
    </row>
    <row r="184" spans="3:23" x14ac:dyDescent="0.35">
      <c r="C184" t="s">
        <v>5266</v>
      </c>
      <c r="L184" s="6"/>
      <c r="W184" s="351" t="str">
        <f>IF('Ch6'!W532=TRUE,"Met","Not Met")</f>
        <v>Not Met</v>
      </c>
    </row>
    <row r="185" spans="3:23" x14ac:dyDescent="0.35">
      <c r="C185" t="s">
        <v>5267</v>
      </c>
      <c r="L185" s="6"/>
      <c r="W185" s="351" t="str">
        <f>IF('Ch6'!W534=TRUE,"Met","Not Met")</f>
        <v>Not Met</v>
      </c>
    </row>
    <row r="186" spans="3:23" x14ac:dyDescent="0.35">
      <c r="C186" t="s">
        <v>5268</v>
      </c>
      <c r="W186" s="351" t="str">
        <f>IF('Ch6'!W535=TRUE,"Met","Not Met")</f>
        <v>Not Met</v>
      </c>
    </row>
    <row r="187" spans="3:23" x14ac:dyDescent="0.35">
      <c r="C187" t="s">
        <v>5269</v>
      </c>
      <c r="W187" s="351" t="str">
        <f>IF('Ch6'!W536=TRUE,"Met","Not Met")</f>
        <v>Not Met</v>
      </c>
    </row>
    <row r="188" spans="3:23" x14ac:dyDescent="0.35">
      <c r="C188" t="s">
        <v>5260</v>
      </c>
      <c r="W188" s="351" t="str">
        <f>IF('Ch6'!W540=TRUE,"Met","Not Met")</f>
        <v>Met</v>
      </c>
    </row>
    <row r="189" spans="3:23" ht="15" customHeight="1" x14ac:dyDescent="0.35">
      <c r="C189" s="760" t="s">
        <v>5261</v>
      </c>
      <c r="D189" s="760"/>
      <c r="E189" s="760"/>
      <c r="F189" s="760"/>
      <c r="G189" s="760"/>
      <c r="H189" s="760"/>
      <c r="I189" s="760"/>
      <c r="J189" s="760"/>
      <c r="K189" s="760"/>
      <c r="L189" s="760"/>
      <c r="O189"/>
      <c r="W189" s="351" t="str">
        <f>IF(LEN('Ch6'!W542)&gt;0,"Met","Not Met")</f>
        <v>Met</v>
      </c>
    </row>
    <row r="190" spans="3:23" x14ac:dyDescent="0.35">
      <c r="C190" s="760"/>
      <c r="D190" s="760"/>
      <c r="E190" s="760"/>
      <c r="F190" s="760"/>
      <c r="G190" s="760"/>
      <c r="H190" s="760"/>
      <c r="I190" s="760"/>
      <c r="J190" s="760"/>
      <c r="K190" s="760"/>
      <c r="L190" s="760"/>
      <c r="W190"/>
    </row>
    <row r="191" spans="3:23" x14ac:dyDescent="0.35">
      <c r="W191"/>
    </row>
    <row r="192" spans="3:23" ht="15" customHeight="1" x14ac:dyDescent="0.35">
      <c r="W192"/>
    </row>
    <row r="193" spans="2:45" ht="15" customHeight="1" x14ac:dyDescent="0.35">
      <c r="W193"/>
    </row>
    <row r="194" spans="2:45" x14ac:dyDescent="0.35">
      <c r="B194" s="1006" t="s">
        <v>5247</v>
      </c>
      <c r="C194" s="1006"/>
      <c r="D194" s="1006"/>
      <c r="G194" s="1031" t="str">
        <f ca="1">IF(AND(N303&gt;=29,OR(W203="Met",W203="N/A"),OR(W204="Met",W204="N/A"),COUNTIF(W205:W207,"Not Met")=0,COUNTIF(W208:W214,"&gt;0")&gt;=3,W223="Met",W246="Met",OR(W256="Met",W256="N/A"),SUM(W287:W291)&gt;=15),"Earned","Not Earned")</f>
        <v>Not Earned</v>
      </c>
      <c r="H194" s="1018"/>
      <c r="I194" s="1018"/>
      <c r="J194" s="1018"/>
      <c r="K194" s="1018"/>
      <c r="L194" s="1018"/>
      <c r="M194" s="1018"/>
      <c r="N194" s="1018"/>
      <c r="O194" s="1019"/>
      <c r="W194"/>
    </row>
    <row r="195" spans="2:45" ht="15" thickBot="1" x14ac:dyDescent="0.4">
      <c r="B195" s="1007"/>
      <c r="C195" s="1007"/>
      <c r="D195" s="1007"/>
      <c r="E195" s="55"/>
      <c r="F195" s="55"/>
      <c r="G195" s="1032"/>
      <c r="H195" s="1020"/>
      <c r="I195" s="1020"/>
      <c r="J195" s="1020"/>
      <c r="K195" s="1020"/>
      <c r="L195" s="1020"/>
      <c r="M195" s="1020"/>
      <c r="N195" s="1020"/>
      <c r="O195" s="1021"/>
      <c r="P195" s="55"/>
      <c r="Q195" s="55"/>
      <c r="R195" s="55"/>
      <c r="S195" s="55"/>
      <c r="T195" s="55"/>
      <c r="U195" s="55"/>
      <c r="V195" s="55"/>
      <c r="W195" s="55"/>
      <c r="X195" s="55"/>
      <c r="Y195" s="55"/>
    </row>
    <row r="196" spans="2:45" ht="15" thickTop="1" x14ac:dyDescent="0.35"/>
    <row r="198" spans="2:45" x14ac:dyDescent="0.35">
      <c r="C198" s="216" t="s">
        <v>5298</v>
      </c>
    </row>
    <row r="199" spans="2:45" x14ac:dyDescent="0.35">
      <c r="C199" s="639" t="s">
        <v>5251</v>
      </c>
    </row>
    <row r="200" spans="2:45" x14ac:dyDescent="0.35">
      <c r="D200" t="s">
        <v>5299</v>
      </c>
    </row>
    <row r="201" spans="2:45" x14ac:dyDescent="0.35">
      <c r="D201" t="s">
        <v>5406</v>
      </c>
    </row>
    <row r="202" spans="2:45" x14ac:dyDescent="0.35">
      <c r="C202" s="639" t="s">
        <v>5403</v>
      </c>
      <c r="N202" s="765" t="s">
        <v>249</v>
      </c>
      <c r="O202" s="765"/>
      <c r="R202" t="b">
        <f>OR(LEN(W203)&gt;0,LEN(W204)&gt;0,LEN(W256)&gt;0)</f>
        <v>0</v>
      </c>
    </row>
    <row r="203" spans="2:45" x14ac:dyDescent="0.35">
      <c r="C203" t="s">
        <v>5300</v>
      </c>
      <c r="N203" s="1033" t="s">
        <v>4106</v>
      </c>
      <c r="O203" s="1033"/>
      <c r="P203" t="b">
        <v>1</v>
      </c>
      <c r="Q203" t="b">
        <v>1</v>
      </c>
      <c r="R203" t="b">
        <f>R202</f>
        <v>0</v>
      </c>
      <c r="S203" t="b">
        <v>1</v>
      </c>
      <c r="T203" t="b">
        <v>0</v>
      </c>
      <c r="U203" t="s">
        <v>5604</v>
      </c>
      <c r="W203" s="643"/>
      <c r="X203" s="817"/>
      <c r="AC203" t="b">
        <f>OR(AD203:AE203)</f>
        <v>0</v>
      </c>
      <c r="AD203" t="b">
        <f>T203</f>
        <v>0</v>
      </c>
      <c r="AE203" t="b">
        <f>AND(R203=TRUE,OR(LEN(W203)=0,W203="Not Met"))</f>
        <v>0</v>
      </c>
      <c r="AF203" t="b">
        <f>AND(AE203,NOT(Q203))</f>
        <v>0</v>
      </c>
      <c r="AP203" t="s">
        <v>5605</v>
      </c>
      <c r="AQ203" t="str">
        <f>IF(LEN(W203)=0,"",W203)</f>
        <v/>
      </c>
      <c r="AR203" t="s">
        <v>5490</v>
      </c>
      <c r="AS203" t="str">
        <f>IF(LEN(X203)=0,"",X203)</f>
        <v/>
      </c>
    </row>
    <row r="204" spans="2:45" x14ac:dyDescent="0.35">
      <c r="C204" t="s">
        <v>5301</v>
      </c>
      <c r="N204" s="1033" t="s">
        <v>4106</v>
      </c>
      <c r="O204" s="1033"/>
      <c r="P204" t="b">
        <v>1</v>
      </c>
      <c r="Q204" t="b">
        <v>1</v>
      </c>
      <c r="R204" t="b">
        <f>R202</f>
        <v>0</v>
      </c>
      <c r="S204" t="b">
        <v>1</v>
      </c>
      <c r="T204" t="b">
        <v>0</v>
      </c>
      <c r="U204" t="s">
        <v>5604</v>
      </c>
      <c r="W204" s="643"/>
      <c r="X204" s="817"/>
      <c r="AC204" t="b">
        <f>OR(AD204:AE204)</f>
        <v>0</v>
      </c>
      <c r="AD204" t="b">
        <f>T204</f>
        <v>0</v>
      </c>
      <c r="AE204" t="b">
        <f>AND(R204=TRUE,OR(LEN(W204)=0,W204="Not Met"))</f>
        <v>0</v>
      </c>
      <c r="AF204" t="b">
        <f>AND(AE204,NOT(Q204))</f>
        <v>0</v>
      </c>
      <c r="AP204" t="s">
        <v>5606</v>
      </c>
      <c r="AQ204" t="str">
        <f>IF(LEN(W204)=0,"",W204)</f>
        <v/>
      </c>
    </row>
    <row r="205" spans="2:45" x14ac:dyDescent="0.35">
      <c r="C205" t="s">
        <v>5302</v>
      </c>
      <c r="N205" s="1033" t="s">
        <v>4106</v>
      </c>
      <c r="O205" s="1033"/>
      <c r="W205" s="351" t="str">
        <f ca="1">IF('Ch9'!O219&gt;0,"Met","Not Met")</f>
        <v>Met</v>
      </c>
      <c r="X205" s="817"/>
    </row>
    <row r="206" spans="2:45" x14ac:dyDescent="0.35">
      <c r="C206" t="s">
        <v>5656</v>
      </c>
      <c r="N206" s="1033" t="s">
        <v>5657</v>
      </c>
      <c r="O206" s="1033"/>
      <c r="W206" s="351" t="str">
        <f ca="1">IF(AND('Ch9'!S176=FALSE,'Ch9'!S178=FALSE),"N/A",IF(AND(OR('Ch9'!S176=FALSE,'Ch9'!W176=TRUE),OR('Ch9'!S178=FALSE,'Ch9'!W178=TRUE)),"Met","Not Met"))</f>
        <v>N/A</v>
      </c>
      <c r="X206" s="817"/>
    </row>
    <row r="207" spans="2:45" x14ac:dyDescent="0.35">
      <c r="C207" t="s">
        <v>5303</v>
      </c>
      <c r="N207" s="1033" t="s">
        <v>4106</v>
      </c>
      <c r="O207" s="1033"/>
      <c r="W207" s="351" t="s">
        <v>3038</v>
      </c>
      <c r="X207" s="817"/>
    </row>
    <row r="208" spans="2:45" x14ac:dyDescent="0.35">
      <c r="C208" t="s">
        <v>5304</v>
      </c>
      <c r="N208" s="765" t="s">
        <v>5407</v>
      </c>
      <c r="O208" s="765"/>
      <c r="S208" t="b">
        <f ca="1">IF($AY$18=INDEX(INDIRECT("ddSingleOrMulti"),2),TRUE,FALSE)</f>
        <v>0</v>
      </c>
      <c r="W208" s="351">
        <f ca="1">'Ch9'!O215*S208</f>
        <v>0</v>
      </c>
      <c r="X208" s="817"/>
    </row>
    <row r="209" spans="3:45" x14ac:dyDescent="0.35">
      <c r="C209" t="s">
        <v>5305</v>
      </c>
      <c r="N209" s="765">
        <v>6</v>
      </c>
      <c r="O209" s="765"/>
      <c r="W209" s="351">
        <f>'Ch9'!O55</f>
        <v>0</v>
      </c>
      <c r="X209" s="817"/>
    </row>
    <row r="210" spans="3:45" x14ac:dyDescent="0.35">
      <c r="C210" t="s">
        <v>5306</v>
      </c>
      <c r="N210" s="765">
        <v>3</v>
      </c>
      <c r="O210" s="765"/>
      <c r="W210" s="351">
        <f>'Ch9'!O312</f>
        <v>3</v>
      </c>
      <c r="X210" s="817"/>
    </row>
    <row r="211" spans="3:45" x14ac:dyDescent="0.35">
      <c r="C211" t="s">
        <v>5307</v>
      </c>
      <c r="N211" s="765">
        <v>2</v>
      </c>
      <c r="O211" s="765"/>
      <c r="W211" s="351">
        <f>'Ch9'!O344</f>
        <v>0</v>
      </c>
      <c r="X211" s="817"/>
    </row>
    <row r="212" spans="3:45" x14ac:dyDescent="0.35">
      <c r="C212" t="s">
        <v>5308</v>
      </c>
      <c r="N212" s="765">
        <v>3</v>
      </c>
      <c r="O212" s="765"/>
      <c r="W212" s="351">
        <f>'Ch9'!O349</f>
        <v>0</v>
      </c>
      <c r="X212" s="817"/>
    </row>
    <row r="213" spans="3:45" x14ac:dyDescent="0.35">
      <c r="C213" t="s">
        <v>5295</v>
      </c>
      <c r="N213" s="765">
        <v>1</v>
      </c>
      <c r="O213" s="765"/>
      <c r="W213" s="351">
        <f>'Ch7'!O748</f>
        <v>0</v>
      </c>
      <c r="X213" s="817"/>
    </row>
    <row r="214" spans="3:45" x14ac:dyDescent="0.35">
      <c r="C214" t="s">
        <v>5309</v>
      </c>
      <c r="N214" s="765">
        <v>3</v>
      </c>
      <c r="O214" s="765"/>
      <c r="W214" s="351">
        <f>'Ch9'!O235</f>
        <v>0</v>
      </c>
      <c r="X214" s="817"/>
    </row>
    <row r="217" spans="3:45" ht="15" customHeight="1" x14ac:dyDescent="0.35">
      <c r="C217" s="216" t="s">
        <v>5310</v>
      </c>
    </row>
    <row r="218" spans="3:45" ht="15" customHeight="1" x14ac:dyDescent="0.35">
      <c r="C218" s="639" t="s">
        <v>5251</v>
      </c>
    </row>
    <row r="219" spans="3:45" x14ac:dyDescent="0.35">
      <c r="D219" t="s">
        <v>5311</v>
      </c>
    </row>
    <row r="220" spans="3:45" ht="15" customHeight="1" x14ac:dyDescent="0.35">
      <c r="D220" t="s">
        <v>5408</v>
      </c>
      <c r="O220"/>
      <c r="W220"/>
    </row>
    <row r="221" spans="3:45" x14ac:dyDescent="0.35">
      <c r="C221" s="639" t="s">
        <v>5403</v>
      </c>
      <c r="W221"/>
    </row>
    <row r="222" spans="3:45" x14ac:dyDescent="0.35">
      <c r="C222" t="s">
        <v>5312</v>
      </c>
      <c r="O222"/>
      <c r="S222" t="s">
        <v>5390</v>
      </c>
      <c r="W222"/>
      <c r="X222" s="817"/>
      <c r="AR222" t="s">
        <v>5491</v>
      </c>
      <c r="AS222" t="str">
        <f>IF(LEN(X222)=0,"",X222)</f>
        <v/>
      </c>
    </row>
    <row r="223" spans="3:45" ht="15" customHeight="1" x14ac:dyDescent="0.35">
      <c r="C223" t="s">
        <v>5313</v>
      </c>
      <c r="S223" t="b">
        <f>'Ch5'!W26=TRUE</f>
        <v>0</v>
      </c>
      <c r="W223" s="1035" t="str">
        <f ca="1">IF(OR(S223:S226,LEN(W227)&gt;0),"Met","Not Met")</f>
        <v>Not Met</v>
      </c>
      <c r="X223" s="817"/>
    </row>
    <row r="224" spans="3:45" x14ac:dyDescent="0.35">
      <c r="C224" t="s">
        <v>5314</v>
      </c>
      <c r="S224" t="b">
        <f ca="1">('Ch5'!O28+'Ch5'!O38)&gt;0</f>
        <v>0</v>
      </c>
      <c r="W224" s="1036"/>
      <c r="X224" s="817"/>
    </row>
    <row r="225" spans="3:43" ht="15" customHeight="1" x14ac:dyDescent="0.35">
      <c r="C225" t="s">
        <v>5409</v>
      </c>
      <c r="S225" t="b">
        <f>'Ch5'!W322=TRUE</f>
        <v>0</v>
      </c>
      <c r="W225" s="1036"/>
      <c r="X225" s="817"/>
    </row>
    <row r="226" spans="3:43" x14ac:dyDescent="0.35">
      <c r="C226" t="s">
        <v>5410</v>
      </c>
      <c r="S226" t="b">
        <f>'Ch5'!W324=TRUE</f>
        <v>0</v>
      </c>
      <c r="W226" s="1037"/>
      <c r="X226" s="817"/>
    </row>
    <row r="227" spans="3:43" x14ac:dyDescent="0.35">
      <c r="D227" s="760" t="s">
        <v>5774</v>
      </c>
      <c r="E227" s="760"/>
      <c r="F227" s="760"/>
      <c r="G227" s="760"/>
      <c r="H227" s="760"/>
      <c r="I227" s="760"/>
      <c r="J227" s="760"/>
      <c r="K227" s="760"/>
      <c r="L227" s="760"/>
      <c r="M227" s="760"/>
      <c r="N227" s="760"/>
      <c r="O227" s="760"/>
      <c r="P227" t="b">
        <v>1</v>
      </c>
      <c r="Q227" t="b">
        <v>1</v>
      </c>
      <c r="R227" t="b">
        <v>0</v>
      </c>
      <c r="S227" t="b">
        <f ca="1">IF($AY$18=INDEX(INDIRECT("ddSingleOrMulti"),1),TRUE,FALSE)</f>
        <v>1</v>
      </c>
      <c r="T227" t="b">
        <f ca="1">AND(NOT(S227),LEN(W227)&gt;0)</f>
        <v>0</v>
      </c>
      <c r="U227" t="s">
        <v>5770</v>
      </c>
      <c r="W227" s="9"/>
      <c r="X227" s="817"/>
      <c r="AC227" t="b">
        <f ca="1">OR(AD227:AE227)</f>
        <v>0</v>
      </c>
      <c r="AD227" t="b">
        <f ca="1">T227</f>
        <v>0</v>
      </c>
      <c r="AE227" t="b">
        <f>AND(LEN(W227)&gt;0,LEN(X222)=0)</f>
        <v>0</v>
      </c>
      <c r="AF227" t="b">
        <f>AND(AE227,NOT(Q227))</f>
        <v>0</v>
      </c>
      <c r="AP227" t="s">
        <v>5775</v>
      </c>
      <c r="AQ227" t="str">
        <f>IF(LEN(W227)=0,"",W227)</f>
        <v/>
      </c>
    </row>
    <row r="228" spans="3:43" x14ac:dyDescent="0.35">
      <c r="D228" s="760"/>
      <c r="E228" s="760"/>
      <c r="F228" s="760"/>
      <c r="G228" s="760"/>
      <c r="H228" s="760"/>
      <c r="I228" s="760"/>
      <c r="J228" s="760"/>
      <c r="K228" s="760"/>
      <c r="L228" s="760"/>
      <c r="M228" s="760"/>
      <c r="N228" s="760"/>
      <c r="O228" s="760"/>
      <c r="W228" s="489"/>
      <c r="X228" s="817"/>
    </row>
    <row r="229" spans="3:43" x14ac:dyDescent="0.35">
      <c r="D229" s="760"/>
      <c r="E229" s="760"/>
      <c r="F229" s="760"/>
      <c r="G229" s="760"/>
      <c r="H229" s="760"/>
      <c r="I229" s="760"/>
      <c r="J229" s="760"/>
      <c r="K229" s="760"/>
      <c r="L229" s="760"/>
      <c r="M229" s="760"/>
      <c r="N229" s="760"/>
      <c r="O229" s="760"/>
      <c r="W229" s="489"/>
      <c r="X229" s="817"/>
    </row>
    <row r="230" spans="3:43" x14ac:dyDescent="0.35">
      <c r="D230" s="760"/>
      <c r="E230" s="760"/>
      <c r="F230" s="760"/>
      <c r="G230" s="760"/>
      <c r="H230" s="760"/>
      <c r="I230" s="760"/>
      <c r="J230" s="760"/>
      <c r="K230" s="760"/>
      <c r="L230" s="760"/>
      <c r="M230" s="760"/>
      <c r="N230" s="760"/>
      <c r="O230" s="760"/>
      <c r="W230" s="489"/>
      <c r="X230" s="817"/>
    </row>
    <row r="231" spans="3:43" x14ac:dyDescent="0.35">
      <c r="W231" s="489"/>
      <c r="X231" s="817"/>
    </row>
    <row r="232" spans="3:43" x14ac:dyDescent="0.35">
      <c r="X232" s="817"/>
    </row>
    <row r="233" spans="3:43" x14ac:dyDescent="0.35">
      <c r="C233" t="s">
        <v>5315</v>
      </c>
      <c r="N233" s="765" t="s">
        <v>249</v>
      </c>
      <c r="O233" s="765"/>
      <c r="X233" s="817"/>
    </row>
    <row r="234" spans="3:43" x14ac:dyDescent="0.35">
      <c r="C234" t="s">
        <v>5316</v>
      </c>
      <c r="N234" s="1033">
        <v>5</v>
      </c>
      <c r="O234" s="1033"/>
      <c r="W234" s="351">
        <f>'Ch5'!O43</f>
        <v>0</v>
      </c>
      <c r="X234" s="817"/>
    </row>
    <row r="235" spans="3:43" x14ac:dyDescent="0.35">
      <c r="C235" t="s">
        <v>5317</v>
      </c>
      <c r="N235" s="1033" t="s">
        <v>5411</v>
      </c>
      <c r="O235" s="1033"/>
      <c r="S235" t="b">
        <f ca="1">IF($AY$18=INDEX(INDIRECT("ddSingleOrMulti"),2),TRUE,FALSE)</f>
        <v>0</v>
      </c>
      <c r="W235" s="351">
        <f ca="1">('Ch5'!O46+'Ch5'!O51)*S235</f>
        <v>0</v>
      </c>
      <c r="X235" s="817"/>
    </row>
    <row r="236" spans="3:43" x14ac:dyDescent="0.35">
      <c r="C236" t="s">
        <v>5318</v>
      </c>
      <c r="N236" s="1033">
        <v>6</v>
      </c>
      <c r="O236" s="1033"/>
      <c r="W236" s="351">
        <f>'Ch5'!O22</f>
        <v>0</v>
      </c>
      <c r="X236" s="817"/>
    </row>
    <row r="237" spans="3:43" x14ac:dyDescent="0.35">
      <c r="C237" t="s">
        <v>5319</v>
      </c>
      <c r="N237" s="1033">
        <v>5</v>
      </c>
      <c r="O237" s="1033"/>
      <c r="W237" s="351">
        <f>'Ch5'!O56</f>
        <v>0</v>
      </c>
      <c r="X237" s="817"/>
    </row>
    <row r="238" spans="3:43" x14ac:dyDescent="0.35">
      <c r="C238" t="s">
        <v>5320</v>
      </c>
      <c r="N238" s="1033" t="s">
        <v>5412</v>
      </c>
      <c r="O238" s="1033"/>
      <c r="S238" t="b">
        <f ca="1">IF($AY$18=INDEX(INDIRECT("ddSingleOrMulti"),2),TRUE,FALSE)</f>
        <v>0</v>
      </c>
      <c r="W238" s="351">
        <f ca="1">'Ch5'!O283*S238</f>
        <v>0</v>
      </c>
      <c r="X238" s="817"/>
    </row>
    <row r="239" spans="3:43" x14ac:dyDescent="0.35">
      <c r="O239"/>
      <c r="W239"/>
    </row>
    <row r="240" spans="3:43" x14ac:dyDescent="0.35">
      <c r="O240"/>
      <c r="W240"/>
    </row>
    <row r="241" spans="3:45" x14ac:dyDescent="0.35">
      <c r="C241" s="216" t="s">
        <v>5321</v>
      </c>
      <c r="O241"/>
      <c r="W241"/>
    </row>
    <row r="242" spans="3:45" x14ac:dyDescent="0.35">
      <c r="C242" s="639" t="s">
        <v>5251</v>
      </c>
      <c r="O242"/>
      <c r="W242"/>
    </row>
    <row r="243" spans="3:45" x14ac:dyDescent="0.35">
      <c r="D243" t="s">
        <v>5322</v>
      </c>
      <c r="O243"/>
      <c r="W243"/>
    </row>
    <row r="244" spans="3:45" x14ac:dyDescent="0.35">
      <c r="D244" t="s">
        <v>5413</v>
      </c>
      <c r="O244"/>
      <c r="W244"/>
    </row>
    <row r="245" spans="3:45" x14ac:dyDescent="0.35">
      <c r="C245" s="639" t="s">
        <v>5403</v>
      </c>
      <c r="N245" s="765" t="s">
        <v>249</v>
      </c>
      <c r="O245" s="765"/>
      <c r="W245"/>
    </row>
    <row r="246" spans="3:45" x14ac:dyDescent="0.35">
      <c r="C246" t="s">
        <v>5323</v>
      </c>
      <c r="N246" s="1033" t="s">
        <v>4106</v>
      </c>
      <c r="O246" s="1033"/>
      <c r="W246" s="351" t="str">
        <f>IF(AND('Ch6'!O144&gt;0,'Ch6'!O149&gt;0),"Met","Not Met")</f>
        <v>Not Met</v>
      </c>
      <c r="X246" s="817"/>
      <c r="AR246" t="s">
        <v>5492</v>
      </c>
      <c r="AS246" t="str">
        <f>IF(LEN(X246)=0,"",X246)</f>
        <v/>
      </c>
    </row>
    <row r="247" spans="3:45" x14ac:dyDescent="0.35">
      <c r="C247" t="s">
        <v>5324</v>
      </c>
      <c r="N247" s="1033" t="s">
        <v>5658</v>
      </c>
      <c r="O247" s="1033"/>
      <c r="S247" t="b">
        <f ca="1">IF($AY$18=INDEX(INDIRECT("ddSingleOrMulti"),2),TRUE,FALSE)</f>
        <v>0</v>
      </c>
      <c r="W247" s="351">
        <f ca="1">'Ch6'!O207*S247</f>
        <v>0</v>
      </c>
      <c r="X247" s="817"/>
    </row>
    <row r="248" spans="3:45" x14ac:dyDescent="0.35">
      <c r="C248" t="s">
        <v>5325</v>
      </c>
      <c r="N248" s="1033" t="s">
        <v>5326</v>
      </c>
      <c r="O248" s="1033"/>
      <c r="W248" s="351">
        <f ca="1">'Ch6'!O192</f>
        <v>2</v>
      </c>
      <c r="X248" s="817"/>
    </row>
    <row r="249" spans="3:45" x14ac:dyDescent="0.35">
      <c r="O249"/>
      <c r="W249"/>
    </row>
    <row r="250" spans="3:45" x14ac:dyDescent="0.35">
      <c r="O250"/>
      <c r="W250"/>
    </row>
    <row r="251" spans="3:45" x14ac:dyDescent="0.35">
      <c r="C251" s="216" t="s">
        <v>5327</v>
      </c>
      <c r="O251"/>
      <c r="W251"/>
    </row>
    <row r="252" spans="3:45" x14ac:dyDescent="0.35">
      <c r="C252" s="639" t="s">
        <v>5251</v>
      </c>
      <c r="O252"/>
      <c r="W252"/>
    </row>
    <row r="253" spans="3:45" x14ac:dyDescent="0.35">
      <c r="D253" t="s">
        <v>5322</v>
      </c>
      <c r="O253"/>
      <c r="W253"/>
    </row>
    <row r="254" spans="3:45" x14ac:dyDescent="0.35">
      <c r="D254" t="s">
        <v>5413</v>
      </c>
      <c r="O254"/>
      <c r="W254"/>
    </row>
    <row r="255" spans="3:45" x14ac:dyDescent="0.35">
      <c r="C255" s="639" t="s">
        <v>5403</v>
      </c>
      <c r="N255" s="1033" t="s">
        <v>249</v>
      </c>
      <c r="O255" s="1033"/>
      <c r="W255"/>
    </row>
    <row r="256" spans="3:45" x14ac:dyDescent="0.35">
      <c r="C256" t="s">
        <v>5328</v>
      </c>
      <c r="N256" s="1033" t="s">
        <v>4106</v>
      </c>
      <c r="O256" s="1033"/>
      <c r="P256" t="b">
        <v>1</v>
      </c>
      <c r="Q256" t="b">
        <v>1</v>
      </c>
      <c r="R256" t="b">
        <f>R202</f>
        <v>0</v>
      </c>
      <c r="S256" t="b">
        <v>1</v>
      </c>
      <c r="T256" t="b">
        <v>0</v>
      </c>
      <c r="U256" t="s">
        <v>5604</v>
      </c>
      <c r="W256" s="643"/>
      <c r="X256" s="817"/>
      <c r="AC256" t="b">
        <f>OR(AD256:AE256)</f>
        <v>0</v>
      </c>
      <c r="AD256" t="b">
        <f>T256</f>
        <v>0</v>
      </c>
      <c r="AE256" t="b">
        <f>AND(R256=TRUE,OR(LEN(W256)=0,W256="Not Met"))</f>
        <v>0</v>
      </c>
      <c r="AF256" t="b">
        <f>AND(AE256,NOT(Q256))</f>
        <v>0</v>
      </c>
      <c r="AP256" t="s">
        <v>5609</v>
      </c>
      <c r="AQ256" t="str">
        <f>IF(LEN(W256)=0,"",W256)</f>
        <v/>
      </c>
      <c r="AR256" t="s">
        <v>5493</v>
      </c>
      <c r="AS256" t="str">
        <f>IF(LEN(X256)=0,"",X256)</f>
        <v/>
      </c>
    </row>
    <row r="257" spans="3:45" x14ac:dyDescent="0.35">
      <c r="C257" t="s">
        <v>5329</v>
      </c>
      <c r="N257" s="765">
        <v>2</v>
      </c>
      <c r="O257" s="765"/>
      <c r="W257" s="351">
        <f>'Ch9'!O366</f>
        <v>0</v>
      </c>
      <c r="X257" s="817"/>
    </row>
    <row r="258" spans="3:45" x14ac:dyDescent="0.35">
      <c r="O258"/>
      <c r="W258"/>
    </row>
    <row r="259" spans="3:45" x14ac:dyDescent="0.35">
      <c r="O259"/>
      <c r="W259"/>
    </row>
    <row r="260" spans="3:45" x14ac:dyDescent="0.35">
      <c r="C260" s="216" t="s">
        <v>5331</v>
      </c>
      <c r="O260"/>
      <c r="W260"/>
    </row>
    <row r="261" spans="3:45" x14ac:dyDescent="0.35">
      <c r="C261" s="639" t="s">
        <v>5251</v>
      </c>
      <c r="O261"/>
      <c r="W261"/>
    </row>
    <row r="262" spans="3:45" x14ac:dyDescent="0.35">
      <c r="D262" t="s">
        <v>5414</v>
      </c>
      <c r="O262"/>
      <c r="W262"/>
    </row>
    <row r="263" spans="3:45" x14ac:dyDescent="0.35">
      <c r="C263" s="639" t="s">
        <v>5403</v>
      </c>
      <c r="N263" s="1033" t="s">
        <v>249</v>
      </c>
      <c r="O263" s="1033"/>
      <c r="W263"/>
    </row>
    <row r="264" spans="3:45" x14ac:dyDescent="0.35">
      <c r="C264" t="s">
        <v>5332</v>
      </c>
      <c r="N264" s="1033" t="s">
        <v>5415</v>
      </c>
      <c r="O264" s="1033"/>
      <c r="S264" t="b">
        <f ca="1">IF($AY$18=INDEX(INDIRECT("ddSingleOrMulti"),2),TRUE,FALSE)</f>
        <v>0</v>
      </c>
      <c r="W264" s="351">
        <f ca="1">'Ch5'!O287*S264</f>
        <v>0</v>
      </c>
      <c r="X264" s="817"/>
      <c r="AR264" t="s">
        <v>5494</v>
      </c>
      <c r="AS264" t="str">
        <f>IF(LEN(X264)=0,"",X264)</f>
        <v/>
      </c>
    </row>
    <row r="265" spans="3:45" x14ac:dyDescent="0.35">
      <c r="C265" t="s">
        <v>5333</v>
      </c>
      <c r="N265" s="1033" t="s">
        <v>5407</v>
      </c>
      <c r="O265" s="1033"/>
      <c r="S265" t="b">
        <f ca="1">IF($AY$18=INDEX(INDIRECT("ddSingleOrMulti"),2),TRUE,FALSE)</f>
        <v>0</v>
      </c>
      <c r="W265" s="351">
        <f ca="1">'Ch5'!O289*S265</f>
        <v>0</v>
      </c>
      <c r="X265" s="817"/>
    </row>
    <row r="266" spans="3:45" x14ac:dyDescent="0.35">
      <c r="O266"/>
      <c r="W266"/>
    </row>
    <row r="267" spans="3:45" x14ac:dyDescent="0.35">
      <c r="O267"/>
      <c r="W267"/>
    </row>
    <row r="268" spans="3:45" x14ac:dyDescent="0.35">
      <c r="C268" s="216" t="s">
        <v>5334</v>
      </c>
      <c r="O268"/>
      <c r="W268"/>
    </row>
    <row r="269" spans="3:45" x14ac:dyDescent="0.35">
      <c r="C269" s="639" t="s">
        <v>5251</v>
      </c>
      <c r="O269"/>
      <c r="W269"/>
    </row>
    <row r="270" spans="3:45" x14ac:dyDescent="0.35">
      <c r="D270" t="s">
        <v>5414</v>
      </c>
      <c r="O270"/>
      <c r="W270"/>
    </row>
    <row r="271" spans="3:45" x14ac:dyDescent="0.35">
      <c r="C271" s="639" t="s">
        <v>5403</v>
      </c>
      <c r="N271" s="765" t="s">
        <v>249</v>
      </c>
      <c r="O271" s="765"/>
      <c r="W271"/>
    </row>
    <row r="272" spans="3:45" x14ac:dyDescent="0.35">
      <c r="C272" t="s">
        <v>5335</v>
      </c>
      <c r="N272" s="765">
        <v>1</v>
      </c>
      <c r="O272" s="765"/>
      <c r="W272" s="351">
        <f ca="1">'Ch7'!O487</f>
        <v>0</v>
      </c>
      <c r="X272" s="817"/>
      <c r="AR272" t="s">
        <v>5495</v>
      </c>
      <c r="AS272" t="str">
        <f>IF(LEN(X272)=0,"",X272)</f>
        <v/>
      </c>
    </row>
    <row r="273" spans="3:45" x14ac:dyDescent="0.35">
      <c r="C273" t="s">
        <v>5336</v>
      </c>
      <c r="N273" s="765">
        <v>1</v>
      </c>
      <c r="O273" s="765"/>
      <c r="W273" s="351">
        <f>'Ch7'!W671*1</f>
        <v>0</v>
      </c>
      <c r="X273" s="817"/>
    </row>
    <row r="274" spans="3:45" x14ac:dyDescent="0.35">
      <c r="O274"/>
      <c r="W274"/>
    </row>
    <row r="275" spans="3:45" x14ac:dyDescent="0.35">
      <c r="O275"/>
      <c r="W275"/>
    </row>
    <row r="276" spans="3:45" x14ac:dyDescent="0.35">
      <c r="C276" s="216" t="s">
        <v>5337</v>
      </c>
      <c r="O276"/>
      <c r="W276"/>
    </row>
    <row r="277" spans="3:45" x14ac:dyDescent="0.35">
      <c r="C277" s="639" t="s">
        <v>5251</v>
      </c>
      <c r="O277"/>
      <c r="W277"/>
    </row>
    <row r="278" spans="3:45" x14ac:dyDescent="0.35">
      <c r="D278" t="s">
        <v>5414</v>
      </c>
      <c r="O278"/>
      <c r="W278"/>
    </row>
    <row r="279" spans="3:45" x14ac:dyDescent="0.35">
      <c r="C279" s="639" t="s">
        <v>5403</v>
      </c>
      <c r="N279" s="765" t="s">
        <v>249</v>
      </c>
      <c r="O279" s="765"/>
      <c r="W279"/>
    </row>
    <row r="280" spans="3:45" x14ac:dyDescent="0.35">
      <c r="C280" t="s">
        <v>5338</v>
      </c>
      <c r="N280" s="1033" t="s">
        <v>5388</v>
      </c>
      <c r="O280" s="1033"/>
      <c r="W280" s="351">
        <f ca="1">'Ch9'!O377</f>
        <v>0</v>
      </c>
      <c r="X280" s="36"/>
      <c r="AR280" t="s">
        <v>5496</v>
      </c>
      <c r="AS280" t="str">
        <f>IF(LEN(X280)=0,"",X280)</f>
        <v/>
      </c>
    </row>
    <row r="281" spans="3:45" x14ac:dyDescent="0.35">
      <c r="O281"/>
      <c r="W281"/>
    </row>
    <row r="282" spans="3:45" x14ac:dyDescent="0.35">
      <c r="O282"/>
      <c r="W282"/>
    </row>
    <row r="283" spans="3:45" x14ac:dyDescent="0.35">
      <c r="C283" s="216" t="s">
        <v>5339</v>
      </c>
      <c r="O283"/>
      <c r="W283"/>
    </row>
    <row r="284" spans="3:45" x14ac:dyDescent="0.35">
      <c r="C284" s="639" t="s">
        <v>5251</v>
      </c>
      <c r="O284"/>
      <c r="W284"/>
    </row>
    <row r="285" spans="3:45" x14ac:dyDescent="0.35">
      <c r="D285" t="s">
        <v>5419</v>
      </c>
      <c r="O285"/>
      <c r="W285"/>
    </row>
    <row r="286" spans="3:45" x14ac:dyDescent="0.35">
      <c r="C286" s="639" t="s">
        <v>5403</v>
      </c>
      <c r="N286" s="1033" t="s">
        <v>249</v>
      </c>
      <c r="O286" s="1033"/>
      <c r="W286"/>
    </row>
    <row r="287" spans="3:45" x14ac:dyDescent="0.35">
      <c r="C287" t="s">
        <v>5340</v>
      </c>
      <c r="N287" s="1033" t="s">
        <v>5330</v>
      </c>
      <c r="O287" s="1033"/>
      <c r="W287" s="351">
        <f>'Ch6'!O503</f>
        <v>0</v>
      </c>
      <c r="X287" s="817"/>
      <c r="AR287" t="s">
        <v>5497</v>
      </c>
      <c r="AS287" t="str">
        <f>IF(LEN(X287)=0,"",X287)</f>
        <v/>
      </c>
    </row>
    <row r="288" spans="3:45" x14ac:dyDescent="0.35">
      <c r="C288" t="s">
        <v>5341</v>
      </c>
      <c r="N288" s="1033" t="s">
        <v>5345</v>
      </c>
      <c r="O288" s="1033"/>
      <c r="W288" s="351">
        <f>'Ch9'!O91+'Ch9'!O93</f>
        <v>3</v>
      </c>
      <c r="X288" s="817"/>
    </row>
    <row r="289" spans="3:45" x14ac:dyDescent="0.35">
      <c r="C289" t="s">
        <v>5342</v>
      </c>
      <c r="N289" s="1033" t="s">
        <v>5346</v>
      </c>
      <c r="O289" s="1033"/>
      <c r="W289" s="351">
        <f>'Ch9'!O98</f>
        <v>0</v>
      </c>
      <c r="X289" s="817"/>
    </row>
    <row r="290" spans="3:45" x14ac:dyDescent="0.35">
      <c r="C290" t="s">
        <v>5343</v>
      </c>
      <c r="N290" s="1033">
        <v>4</v>
      </c>
      <c r="O290" s="1033"/>
      <c r="W290" s="351">
        <f>'Ch9'!O119</f>
        <v>0</v>
      </c>
      <c r="X290" s="817"/>
    </row>
    <row r="291" spans="3:45" x14ac:dyDescent="0.35">
      <c r="C291" t="s">
        <v>5344</v>
      </c>
      <c r="N291" s="1033" t="s">
        <v>5416</v>
      </c>
      <c r="O291" s="1033"/>
      <c r="S291" t="b">
        <f ca="1">IF($AY$18=INDEX(INDIRECT("ddSingleOrMulti"),2),TRUE,FALSE)</f>
        <v>0</v>
      </c>
      <c r="W291" s="351">
        <f ca="1">'Ch9'!O164*S291</f>
        <v>0</v>
      </c>
      <c r="X291" s="817"/>
    </row>
    <row r="292" spans="3:45" x14ac:dyDescent="0.35">
      <c r="O292"/>
      <c r="W292"/>
    </row>
    <row r="293" spans="3:45" x14ac:dyDescent="0.35">
      <c r="O293"/>
      <c r="W293"/>
    </row>
    <row r="294" spans="3:45" x14ac:dyDescent="0.35">
      <c r="C294" s="216" t="s">
        <v>5347</v>
      </c>
      <c r="O294"/>
      <c r="W294"/>
    </row>
    <row r="295" spans="3:45" x14ac:dyDescent="0.35">
      <c r="C295" s="639" t="s">
        <v>5251</v>
      </c>
      <c r="O295"/>
      <c r="W295"/>
    </row>
    <row r="296" spans="3:45" x14ac:dyDescent="0.35">
      <c r="D296" t="s">
        <v>5417</v>
      </c>
      <c r="O296"/>
      <c r="W296"/>
    </row>
    <row r="297" spans="3:45" x14ac:dyDescent="0.35">
      <c r="C297" s="639" t="s">
        <v>5403</v>
      </c>
      <c r="N297" s="765" t="s">
        <v>249</v>
      </c>
      <c r="O297" s="765"/>
      <c r="W297"/>
    </row>
    <row r="298" spans="3:45" x14ac:dyDescent="0.35">
      <c r="C298" t="s">
        <v>5348</v>
      </c>
      <c r="N298" s="765">
        <v>3</v>
      </c>
      <c r="O298" s="765"/>
      <c r="W298" s="351">
        <f>'Ch5'!W190*3</f>
        <v>3</v>
      </c>
      <c r="X298" s="817"/>
      <c r="AR298" t="s">
        <v>5498</v>
      </c>
      <c r="AS298" t="str">
        <f>IF(LEN(X298)=0,"",X298)</f>
        <v/>
      </c>
    </row>
    <row r="299" spans="3:45" x14ac:dyDescent="0.35">
      <c r="C299" t="s">
        <v>5349</v>
      </c>
      <c r="N299" s="765">
        <v>3</v>
      </c>
      <c r="O299" s="765"/>
      <c r="W299" s="351">
        <f>'Ch5'!W191*3</f>
        <v>0</v>
      </c>
      <c r="X299" s="817"/>
    </row>
    <row r="300" spans="3:45" x14ac:dyDescent="0.35">
      <c r="C300" t="s">
        <v>5350</v>
      </c>
      <c r="N300" s="765">
        <v>3</v>
      </c>
      <c r="O300" s="765"/>
      <c r="W300" s="351">
        <f>'Ch5'!W192*3</f>
        <v>0</v>
      </c>
      <c r="X300" s="817"/>
    </row>
    <row r="301" spans="3:45" x14ac:dyDescent="0.35">
      <c r="O301"/>
      <c r="W301"/>
    </row>
    <row r="302" spans="3:45" x14ac:dyDescent="0.35">
      <c r="N302" s="1005" t="s">
        <v>5389</v>
      </c>
      <c r="O302" s="1005"/>
      <c r="W302"/>
    </row>
    <row r="303" spans="3:45" ht="15" customHeight="1" x14ac:dyDescent="0.35">
      <c r="N303" s="1005">
        <f ca="1">SUM(W208:W214)+SUM(W234:W238)+SUM(W247:W248)+W257+SUM(W264:W265)+SUM(W272:W273)+W280+SUM(W287:W291)+SUM(W298:W300)</f>
        <v>11</v>
      </c>
      <c r="O303" s="1005"/>
    </row>
    <row r="304" spans="3:45" ht="15" customHeight="1" x14ac:dyDescent="0.35">
      <c r="N304" s="963" t="str">
        <f ca="1">IF(N303&lt;29,"need "&amp;29-N303&amp;" more","")</f>
        <v>need 18 more</v>
      </c>
      <c r="O304" s="963"/>
    </row>
    <row r="305" spans="2:25" ht="15" customHeight="1" x14ac:dyDescent="0.35"/>
    <row r="306" spans="2:25" x14ac:dyDescent="0.35">
      <c r="B306" s="446"/>
      <c r="O306"/>
      <c r="W306"/>
    </row>
    <row r="307" spans="2:25" x14ac:dyDescent="0.35">
      <c r="B307" s="1006" t="s">
        <v>5248</v>
      </c>
      <c r="C307" s="1006"/>
      <c r="D307" s="1006"/>
      <c r="G307" s="1031" t="str">
        <f>IF(W311&lt;=0,"Earned","Not Earned")</f>
        <v>Not Earned</v>
      </c>
      <c r="H307" s="1018"/>
      <c r="I307" s="1018"/>
      <c r="J307" s="1018"/>
      <c r="K307" s="1018"/>
      <c r="L307" s="1018"/>
      <c r="M307" s="1018"/>
      <c r="N307" s="1018"/>
      <c r="O307" s="1019"/>
      <c r="W307"/>
    </row>
    <row r="308" spans="2:25" ht="15" thickBot="1" x14ac:dyDescent="0.4">
      <c r="B308" s="1007"/>
      <c r="C308" s="1007"/>
      <c r="D308" s="1007"/>
      <c r="E308" s="55"/>
      <c r="F308" s="55"/>
      <c r="G308" s="1032"/>
      <c r="H308" s="1020"/>
      <c r="I308" s="1020"/>
      <c r="J308" s="1020"/>
      <c r="K308" s="1020"/>
      <c r="L308" s="1020"/>
      <c r="M308" s="1020"/>
      <c r="N308" s="1020"/>
      <c r="O308" s="1021"/>
      <c r="P308" s="55"/>
      <c r="Q308" s="55"/>
      <c r="R308" s="55"/>
      <c r="S308" s="55"/>
      <c r="T308" s="55"/>
      <c r="U308" s="55"/>
      <c r="V308" s="55"/>
      <c r="W308" s="55"/>
      <c r="X308" s="55"/>
      <c r="Y308" s="55"/>
    </row>
    <row r="309" spans="2:25" ht="15" thickTop="1" x14ac:dyDescent="0.35">
      <c r="O309"/>
      <c r="W309"/>
    </row>
    <row r="310" spans="2:25" x14ac:dyDescent="0.35">
      <c r="O310"/>
      <c r="W310"/>
    </row>
    <row r="311" spans="2:25" x14ac:dyDescent="0.35">
      <c r="N311" t="s">
        <v>5351</v>
      </c>
      <c r="O311"/>
      <c r="W311" s="638" t="str">
        <f>IF(LEN('Ch8'!W239)=0, "WRI not Entered",'Ch8'!W239)</f>
        <v>WRI not Entered</v>
      </c>
    </row>
    <row r="312" spans="2:25" x14ac:dyDescent="0.35">
      <c r="O312"/>
      <c r="W312"/>
    </row>
    <row r="313" spans="2:25" ht="15" thickBot="1" x14ac:dyDescent="0.4">
      <c r="B313" s="55"/>
      <c r="C313" s="55"/>
      <c r="D313" s="55"/>
      <c r="E313" s="55"/>
      <c r="F313" s="55"/>
      <c r="G313" s="55"/>
      <c r="H313" s="55"/>
      <c r="I313" s="55"/>
      <c r="J313" s="55"/>
      <c r="K313" s="55"/>
      <c r="L313" s="55"/>
      <c r="M313" s="55"/>
      <c r="N313" s="55"/>
      <c r="O313" s="635"/>
      <c r="P313" s="55"/>
      <c r="Q313" s="55"/>
      <c r="R313" s="55"/>
      <c r="S313" s="55"/>
      <c r="T313" s="55"/>
      <c r="U313" s="55"/>
      <c r="V313" s="55"/>
      <c r="W313" s="635"/>
      <c r="X313" s="55"/>
      <c r="Y313" s="55"/>
    </row>
    <row r="314" spans="2:25" ht="15" thickTop="1" x14ac:dyDescent="0.35"/>
  </sheetData>
  <sheetProtection algorithmName="SHA-512" hashValue="AKLoUhdszXeqJjK7Cpib9Z3FjAcA8cE+FBrjuwtc5FMLVMA0XSD/ie96owhcp5rlPU1MY7Dw19l/is9LAIbGuQ==" saltValue="MSO06VkKCLP4OBM/iZiAfQ==" spinCount="100000" sheet="1" objects="1" scenarios="1" selectLockedCells="1" autoFilter="0"/>
  <mergeCells count="165">
    <mergeCell ref="D85:M85"/>
    <mergeCell ref="D71:M71"/>
    <mergeCell ref="X69:X73"/>
    <mergeCell ref="X80:X85"/>
    <mergeCell ref="D227:O230"/>
    <mergeCell ref="N303:O303"/>
    <mergeCell ref="N304:O304"/>
    <mergeCell ref="B307:D308"/>
    <mergeCell ref="G307:O308"/>
    <mergeCell ref="N297:O297"/>
    <mergeCell ref="N298:O298"/>
    <mergeCell ref="X298:X300"/>
    <mergeCell ref="N299:O299"/>
    <mergeCell ref="N300:O300"/>
    <mergeCell ref="N302:O302"/>
    <mergeCell ref="N286:O286"/>
    <mergeCell ref="N287:O287"/>
    <mergeCell ref="X287:X291"/>
    <mergeCell ref="N288:O288"/>
    <mergeCell ref="N289:O289"/>
    <mergeCell ref="N290:O290"/>
    <mergeCell ref="N291:O291"/>
    <mergeCell ref="N271:O271"/>
    <mergeCell ref="N272:O272"/>
    <mergeCell ref="X272:X273"/>
    <mergeCell ref="N273:O273"/>
    <mergeCell ref="N279:O279"/>
    <mergeCell ref="N280:O280"/>
    <mergeCell ref="N256:O256"/>
    <mergeCell ref="X256:X257"/>
    <mergeCell ref="N257:O257"/>
    <mergeCell ref="N263:O263"/>
    <mergeCell ref="N264:O264"/>
    <mergeCell ref="X264:X265"/>
    <mergeCell ref="N265:O265"/>
    <mergeCell ref="N255:O255"/>
    <mergeCell ref="X222:X238"/>
    <mergeCell ref="W223:W226"/>
    <mergeCell ref="N233:O233"/>
    <mergeCell ref="N234:O234"/>
    <mergeCell ref="N235:O235"/>
    <mergeCell ref="N236:O236"/>
    <mergeCell ref="N237:O237"/>
    <mergeCell ref="N238:O238"/>
    <mergeCell ref="N245:O245"/>
    <mergeCell ref="N246:O246"/>
    <mergeCell ref="X246:X248"/>
    <mergeCell ref="N247:O247"/>
    <mergeCell ref="N248:O248"/>
    <mergeCell ref="X203:X214"/>
    <mergeCell ref="N204:O204"/>
    <mergeCell ref="N205:O205"/>
    <mergeCell ref="N206:O206"/>
    <mergeCell ref="N207:O207"/>
    <mergeCell ref="N208:O208"/>
    <mergeCell ref="N209:O209"/>
    <mergeCell ref="N210:O210"/>
    <mergeCell ref="N211:O211"/>
    <mergeCell ref="N212:O212"/>
    <mergeCell ref="N213:O213"/>
    <mergeCell ref="N214:O214"/>
    <mergeCell ref="B194:D195"/>
    <mergeCell ref="G194:O195"/>
    <mergeCell ref="N202:O202"/>
    <mergeCell ref="N203:O203"/>
    <mergeCell ref="B173:F174"/>
    <mergeCell ref="G173:O174"/>
    <mergeCell ref="C189:L190"/>
    <mergeCell ref="N161:O161"/>
    <mergeCell ref="N162:O162"/>
    <mergeCell ref="D166:M167"/>
    <mergeCell ref="X166:X167"/>
    <mergeCell ref="N168:O168"/>
    <mergeCell ref="N169:O169"/>
    <mergeCell ref="N170:O170"/>
    <mergeCell ref="N151:O151"/>
    <mergeCell ref="N152:O152"/>
    <mergeCell ref="X152:X155"/>
    <mergeCell ref="N153:O153"/>
    <mergeCell ref="N154:O154"/>
    <mergeCell ref="N155:O155"/>
    <mergeCell ref="N138:O138"/>
    <mergeCell ref="N139:O139"/>
    <mergeCell ref="X139:X144"/>
    <mergeCell ref="N140:O140"/>
    <mergeCell ref="N141:O141"/>
    <mergeCell ref="N142:O142"/>
    <mergeCell ref="N143:O143"/>
    <mergeCell ref="N144:O144"/>
    <mergeCell ref="X162:X163"/>
    <mergeCell ref="N163:O163"/>
    <mergeCell ref="B116:E117"/>
    <mergeCell ref="G116:O117"/>
    <mergeCell ref="N124:O124"/>
    <mergeCell ref="N125:O125"/>
    <mergeCell ref="X125:X131"/>
    <mergeCell ref="N126:O126"/>
    <mergeCell ref="N127:O127"/>
    <mergeCell ref="N128:O128"/>
    <mergeCell ref="N129:O129"/>
    <mergeCell ref="N130:O130"/>
    <mergeCell ref="N131:O131"/>
    <mergeCell ref="B89:D90"/>
    <mergeCell ref="G89:O90"/>
    <mergeCell ref="W97:W99"/>
    <mergeCell ref="X97:X99"/>
    <mergeCell ref="C110:L111"/>
    <mergeCell ref="X110:X112"/>
    <mergeCell ref="D63:M65"/>
    <mergeCell ref="D66:M67"/>
    <mergeCell ref="X66:X67"/>
    <mergeCell ref="D74:M76"/>
    <mergeCell ref="X74:X76"/>
    <mergeCell ref="D77:M78"/>
    <mergeCell ref="X77:X78"/>
    <mergeCell ref="D68:M68"/>
    <mergeCell ref="D69:M69"/>
    <mergeCell ref="D70:M70"/>
    <mergeCell ref="D72:M72"/>
    <mergeCell ref="D73:M73"/>
    <mergeCell ref="D79:M79"/>
    <mergeCell ref="D80:M80"/>
    <mergeCell ref="D81:M81"/>
    <mergeCell ref="D82:M82"/>
    <mergeCell ref="D83:M83"/>
    <mergeCell ref="D84:M84"/>
    <mergeCell ref="X50:X51"/>
    <mergeCell ref="D54:M54"/>
    <mergeCell ref="D55:M55"/>
    <mergeCell ref="D58:M58"/>
    <mergeCell ref="X58:X59"/>
    <mergeCell ref="D43:M43"/>
    <mergeCell ref="D44:M44"/>
    <mergeCell ref="D45:M45"/>
    <mergeCell ref="D46:M46"/>
    <mergeCell ref="D47:M47"/>
    <mergeCell ref="D48:M48"/>
    <mergeCell ref="D40:M40"/>
    <mergeCell ref="D41:M41"/>
    <mergeCell ref="D42:M42"/>
    <mergeCell ref="D27:M27"/>
    <mergeCell ref="D28:M28"/>
    <mergeCell ref="D29:M29"/>
    <mergeCell ref="D49:M49"/>
    <mergeCell ref="E50:M50"/>
    <mergeCell ref="D34:M34"/>
    <mergeCell ref="D35:M35"/>
    <mergeCell ref="E36:M36"/>
    <mergeCell ref="B10:F11"/>
    <mergeCell ref="G10:O11"/>
    <mergeCell ref="D15:M15"/>
    <mergeCell ref="D16:M16"/>
    <mergeCell ref="D17:M17"/>
    <mergeCell ref="E18:M18"/>
    <mergeCell ref="D39:M39"/>
    <mergeCell ref="W1:W3"/>
    <mergeCell ref="X29:X31"/>
    <mergeCell ref="D33:M33"/>
    <mergeCell ref="X18:X19"/>
    <mergeCell ref="D21:M21"/>
    <mergeCell ref="D22:M22"/>
    <mergeCell ref="D23:M23"/>
    <mergeCell ref="E24:M24"/>
    <mergeCell ref="X24:X25"/>
    <mergeCell ref="I7:M8"/>
  </mergeCells>
  <conditionalFormatting sqref="W15:W17">
    <cfRule type="expression" dxfId="3183" priority="84">
      <formula>OR(S15 = FALSE, AND(P15 = FALSE, ReportType &lt;&gt; "Final"), AND(Q15 = FALSE, ReportType &lt;&gt; "Rough"))</formula>
    </cfRule>
  </conditionalFormatting>
  <conditionalFormatting sqref="W21:W23">
    <cfRule type="expression" dxfId="3182" priority="72">
      <formula>OR(S21 = FALSE, AND(P21 = FALSE, ReportType &lt;&gt; "Final"), AND(Q21 = FALSE, ReportType &lt;&gt; "Rough"))</formula>
    </cfRule>
  </conditionalFormatting>
  <conditionalFormatting sqref="W39">
    <cfRule type="expression" dxfId="3181" priority="141">
      <formula>OR($T$39 = TRUE, AND($W$39 = TRUE, $S$39 = FALSE))</formula>
    </cfRule>
    <cfRule type="expression" dxfId="3180" priority="142">
      <formula>OR($S$39 = FALSE, AND($P$39 = FALSE, ReportType &lt;&gt; "Final"), AND($Q$39 = FALSE, ReportType &lt;&gt; "Rough"))</formula>
    </cfRule>
    <cfRule type="expression" dxfId="3179" priority="143">
      <formula>AND(IF($R$39,$W$39,TRUE),LEN(TRIM($W$39))&gt;0)</formula>
    </cfRule>
    <cfRule type="expression" dxfId="3178" priority="144">
      <formula>AND($R$39,$S$39)</formula>
    </cfRule>
  </conditionalFormatting>
  <conditionalFormatting sqref="W40">
    <cfRule type="expression" dxfId="3177" priority="137">
      <formula>OR($T$40 = TRUE, AND($W$40 = TRUE, $S$40 = FALSE))</formula>
    </cfRule>
    <cfRule type="expression" dxfId="3176" priority="138">
      <formula>OR($S$40 = FALSE, AND($P$40 = FALSE, ReportType &lt;&gt; "Final"), AND($Q$40 = FALSE, ReportType &lt;&gt; "Rough"))</formula>
    </cfRule>
    <cfRule type="expression" dxfId="3175" priority="139">
      <formula>AND(IF($R$40,$W$40,TRUE),LEN(TRIM($W$40))&gt;0)</formula>
    </cfRule>
    <cfRule type="expression" dxfId="3174" priority="140">
      <formula>AND($R$40,$S$40)</formula>
    </cfRule>
  </conditionalFormatting>
  <conditionalFormatting sqref="W41">
    <cfRule type="expression" dxfId="3173" priority="133">
      <formula>OR($T$41 = TRUE, AND($W$41 = TRUE, $S$41 = FALSE))</formula>
    </cfRule>
    <cfRule type="expression" dxfId="3172" priority="134">
      <formula>OR($S$41 = FALSE, AND($P$41 = FALSE, ReportType &lt;&gt; "Final"), AND($Q$41 = FALSE, ReportType &lt;&gt; "Rough"))</formula>
    </cfRule>
    <cfRule type="expression" dxfId="3171" priority="135">
      <formula>AND(IF($R$41,$W$41,TRUE),LEN(TRIM($W$41))&gt;0)</formula>
    </cfRule>
    <cfRule type="expression" dxfId="3170" priority="136">
      <formula>AND($R$41,$S$41)</formula>
    </cfRule>
  </conditionalFormatting>
  <conditionalFormatting sqref="W42">
    <cfRule type="expression" dxfId="3169" priority="129">
      <formula>OR($T$42 = TRUE, AND($W$42 = TRUE, $S$42 = FALSE))</formula>
    </cfRule>
    <cfRule type="expression" dxfId="3168" priority="130">
      <formula>OR($S$42 = FALSE, AND($P$42 = FALSE, ReportType &lt;&gt; "Final"), AND($Q$42 = FALSE, ReportType &lt;&gt; "Rough"))</formula>
    </cfRule>
    <cfRule type="expression" dxfId="3167" priority="131">
      <formula>AND(IF($R$42,$W$42,TRUE),LEN(TRIM($W$42))&gt;0)</formula>
    </cfRule>
    <cfRule type="expression" dxfId="3166" priority="132">
      <formula>AND($R$42,$S$42)</formula>
    </cfRule>
  </conditionalFormatting>
  <conditionalFormatting sqref="W43">
    <cfRule type="expression" dxfId="3165" priority="125">
      <formula>OR($T$43 = TRUE, AND($W$43 = TRUE, $S$43 = FALSE))</formula>
    </cfRule>
    <cfRule type="expression" dxfId="3164" priority="126">
      <formula>OR($S$43 = FALSE, AND($P$43 = FALSE, ReportType &lt;&gt; "Final"), AND($Q$43 = FALSE, ReportType &lt;&gt; "Rough"))</formula>
    </cfRule>
    <cfRule type="expression" dxfId="3163" priority="127">
      <formula>AND(IF($R$43,$W$43,TRUE),LEN(TRIM($W$43))&gt;0)</formula>
    </cfRule>
    <cfRule type="expression" dxfId="3162" priority="128">
      <formula>AND($R$43,$S$43)</formula>
    </cfRule>
  </conditionalFormatting>
  <conditionalFormatting sqref="W44">
    <cfRule type="expression" dxfId="3161" priority="121">
      <formula>OR($T$44 = TRUE, AND($W$44 = TRUE, $S$44 = FALSE))</formula>
    </cfRule>
    <cfRule type="expression" dxfId="3160" priority="122">
      <formula>OR($S$44 = FALSE, AND($P$44 = FALSE, ReportType &lt;&gt; "Final"), AND($Q$44 = FALSE, ReportType &lt;&gt; "Rough"))</formula>
    </cfRule>
    <cfRule type="expression" dxfId="3159" priority="123">
      <formula>AND(IF($R$44,$W$44,TRUE),LEN(TRIM($W$44))&gt;0)</formula>
    </cfRule>
    <cfRule type="expression" dxfId="3158" priority="124">
      <formula>AND($R$44,$S$44)</formula>
    </cfRule>
  </conditionalFormatting>
  <conditionalFormatting sqref="W45">
    <cfRule type="expression" dxfId="3157" priority="117">
      <formula>OR($T$45 = TRUE, AND($W$45 = TRUE, $S$45 = FALSE))</formula>
    </cfRule>
    <cfRule type="expression" dxfId="3156" priority="118">
      <formula>OR($S$45 = FALSE, AND($P$45 = FALSE, ReportType &lt;&gt; "Final"), AND($Q$45 = FALSE, ReportType &lt;&gt; "Rough"))</formula>
    </cfRule>
    <cfRule type="expression" dxfId="3155" priority="119">
      <formula>AND(IF($R$45,$W$45,TRUE),LEN(TRIM($W$45))&gt;0)</formula>
    </cfRule>
    <cfRule type="expression" dxfId="3154" priority="120">
      <formula>AND($R$45,$S$45)</formula>
    </cfRule>
  </conditionalFormatting>
  <conditionalFormatting sqref="W46">
    <cfRule type="expression" dxfId="3153" priority="113">
      <formula>OR($T$46 = TRUE, AND($W$46 = TRUE, $S$46 = FALSE))</formula>
    </cfRule>
    <cfRule type="expression" dxfId="3152" priority="114">
      <formula>OR($S$46 = FALSE, AND($P$46 = FALSE, ReportType &lt;&gt; "Final"), AND($Q$46 = FALSE, ReportType &lt;&gt; "Rough"))</formula>
    </cfRule>
    <cfRule type="expression" dxfId="3151" priority="115">
      <formula>AND(IF($R$46,$W$46,TRUE),LEN(TRIM($W$46))&gt;0)</formula>
    </cfRule>
    <cfRule type="expression" dxfId="3150" priority="116">
      <formula>AND($R$46,$S$46)</formula>
    </cfRule>
  </conditionalFormatting>
  <conditionalFormatting sqref="W47">
    <cfRule type="expression" dxfId="3149" priority="109">
      <formula>OR($T$47 = TRUE, AND($W$47 = TRUE, $S$47 = FALSE))</formula>
    </cfRule>
    <cfRule type="expression" dxfId="3148" priority="110">
      <formula>OR($S$47 = FALSE, AND($P$47 = FALSE, ReportType &lt;&gt; "Final"), AND($Q$47 = FALSE, ReportType &lt;&gt; "Rough"))</formula>
    </cfRule>
    <cfRule type="expression" dxfId="3147" priority="111">
      <formula>AND(IF($R$47,$W$47,TRUE),LEN(TRIM($W$47))&gt;0)</formula>
    </cfRule>
    <cfRule type="expression" dxfId="3146" priority="112">
      <formula>AND($R$47,$S$47)</formula>
    </cfRule>
  </conditionalFormatting>
  <conditionalFormatting sqref="W48">
    <cfRule type="expression" dxfId="3145" priority="105">
      <formula>OR($T$48 = TRUE, AND($W$48 = TRUE, $S$48 = FALSE))</formula>
    </cfRule>
    <cfRule type="expression" dxfId="3144" priority="106">
      <formula>OR($S$48 = FALSE, AND($P$48 = FALSE, ReportType &lt;&gt; "Final"), AND($Q$48 = FALSE, ReportType &lt;&gt; "Rough"))</formula>
    </cfRule>
    <cfRule type="expression" dxfId="3143" priority="107">
      <formula>AND(IF($R$48,$W$48,TRUE),LEN(TRIM($W$48))&gt;0)</formula>
    </cfRule>
    <cfRule type="expression" dxfId="3142" priority="108">
      <formula>AND($R$48,$S$48)</formula>
    </cfRule>
  </conditionalFormatting>
  <conditionalFormatting sqref="W49">
    <cfRule type="expression" dxfId="3141" priority="101">
      <formula>OR($T$49 = TRUE, AND($W$49 = TRUE, $S$49 = FALSE))</formula>
    </cfRule>
    <cfRule type="expression" dxfId="3140" priority="102">
      <formula>OR($S$49 = FALSE, AND($P$49 = FALSE, ReportType &lt;&gt; "Final"), AND($Q$49 = FALSE, ReportType &lt;&gt; "Rough"))</formula>
    </cfRule>
    <cfRule type="expression" dxfId="3139" priority="103">
      <formula>AND(IF($R$49,$W$49,TRUE),LEN(TRIM($W$49))&gt;0)</formula>
    </cfRule>
    <cfRule type="expression" dxfId="3138" priority="104">
      <formula>AND($R$49,$S$49)</formula>
    </cfRule>
  </conditionalFormatting>
  <conditionalFormatting sqref="W54">
    <cfRule type="expression" dxfId="3137" priority="97">
      <formula>OR($T$54 = TRUE, AND($W$54 = TRUE, $S$54 = FALSE))</formula>
    </cfRule>
    <cfRule type="expression" dxfId="3136" priority="98">
      <formula>OR($S$54 = FALSE, AND($P$54 = FALSE, ReportType &lt;&gt; "Final"), AND($Q$54 = FALSE, ReportType &lt;&gt; "Rough"))</formula>
    </cfRule>
    <cfRule type="expression" dxfId="3135" priority="99">
      <formula>AND(IF($R$54,$W$54,TRUE),LEN(TRIM($W$54))&gt;0)</formula>
    </cfRule>
    <cfRule type="expression" dxfId="3134" priority="100">
      <formula>AND($R$54,$S$54)</formula>
    </cfRule>
  </conditionalFormatting>
  <conditionalFormatting sqref="W55">
    <cfRule type="expression" dxfId="3133" priority="93">
      <formula>OR($T$55 = TRUE, AND($W$55 = TRUE, $S$55 = FALSE))</formula>
    </cfRule>
    <cfRule type="expression" dxfId="3132" priority="94">
      <formula>OR($S$55 = FALSE, AND($P$55 = FALSE, ReportType &lt;&gt; "Final"), AND($Q$55 = FALSE, ReportType &lt;&gt; "Rough"))</formula>
    </cfRule>
    <cfRule type="expression" dxfId="3131" priority="95">
      <formula>AND(IF($R$55,$W$55,TRUE),LEN(TRIM($W$55))&gt;0)</formula>
    </cfRule>
    <cfRule type="expression" dxfId="3130" priority="96">
      <formula>AND($R$55,$S$55)</formula>
    </cfRule>
  </conditionalFormatting>
  <conditionalFormatting sqref="W69:W73">
    <cfRule type="expression" dxfId="3129" priority="33">
      <formula>OR(S69 = FALSE, AND(P69 = FALSE, ReportType &lt;&gt; "Final"), AND(Q69 = FALSE, ReportType &lt;&gt; "Rough"))</formula>
    </cfRule>
  </conditionalFormatting>
  <conditionalFormatting sqref="W80:W85">
    <cfRule type="expression" dxfId="3128" priority="9">
      <formula>OR(S80 = FALSE, AND(P80 = FALSE, ReportType &lt;&gt; "Final"), AND(Q80 = FALSE, ReportType &lt;&gt; "Rough"))</formula>
    </cfRule>
  </conditionalFormatting>
  <conditionalFormatting sqref="W110">
    <cfRule type="expression" dxfId="3127" priority="169">
      <formula>OR($T$110 = TRUE, AND($W$110 = TRUE, $S$110 = FALSE))</formula>
    </cfRule>
    <cfRule type="expression" dxfId="3126" priority="170">
      <formula>OR($S$110 = FALSE, AND($P$110 = FALSE, ReportType &lt;&gt; "Final"), AND($Q$110 = FALSE, ReportType &lt;&gt; "Rough"))</formula>
    </cfRule>
    <cfRule type="expression" dxfId="3125" priority="171">
      <formula>AND(IF($R$110,$W$110,TRUE),LEN(TRIM($W$110))&gt;0)</formula>
    </cfRule>
    <cfRule type="expression" dxfId="3124" priority="172">
      <formula>AND($R$110,$S$110)</formula>
    </cfRule>
  </conditionalFormatting>
  <conditionalFormatting sqref="W126">
    <cfRule type="expression" dxfId="3123" priority="145">
      <formula>OR($T$126 = TRUE, AND($W$126 = TRUE, $S$126 = FALSE))</formula>
    </cfRule>
    <cfRule type="expression" dxfId="3122" priority="146">
      <formula>OR($S$126 = FALSE, AND($P$126 = FALSE, ReportType &lt;&gt; "Final"), AND($Q$126 = FALSE, ReportType &lt;&gt; "Rough"))</formula>
    </cfRule>
    <cfRule type="expression" dxfId="3121" priority="147">
      <formula>AND(IF($R$126,$W$126,TRUE),LEN(TRIM($W$126))&gt;0)</formula>
    </cfRule>
    <cfRule type="expression" dxfId="3120" priority="148">
      <formula>AND($R$126,$S$126)</formula>
    </cfRule>
  </conditionalFormatting>
  <conditionalFormatting sqref="W152">
    <cfRule type="expression" dxfId="3119" priority="161">
      <formula>OR($T$152 = TRUE, AND($W$152 = TRUE, $S$152 = FALSE))</formula>
    </cfRule>
    <cfRule type="expression" dxfId="3118" priority="162">
      <formula>OR($S$152 = FALSE, AND($P$152 = FALSE, ReportType &lt;&gt; "Final"), AND($Q$152 = FALSE, ReportType &lt;&gt; "Rough"))</formula>
    </cfRule>
    <cfRule type="expression" dxfId="3117" priority="163">
      <formula>AND(IF($R$152,$W$152,TRUE),LEN(TRIM($W$152))&gt;0)</formula>
    </cfRule>
    <cfRule type="expression" dxfId="3116" priority="164">
      <formula>AND($R$152,$S$152)</formula>
    </cfRule>
  </conditionalFormatting>
  <conditionalFormatting sqref="W153">
    <cfRule type="expression" dxfId="3115" priority="157">
      <formula>OR($T$153 = TRUE, AND($W$153 = TRUE, $S$153 = FALSE))</formula>
    </cfRule>
    <cfRule type="expression" dxfId="3114" priority="158">
      <formula>OR($S$153 = FALSE, AND($P$153 = FALSE, ReportType &lt;&gt; "Final"), AND($Q$153 = FALSE, ReportType &lt;&gt; "Rough"))</formula>
    </cfRule>
    <cfRule type="expression" dxfId="3113" priority="159">
      <formula>AND(IF($R$153,$W$153,TRUE),LEN(TRIM($W$153))&gt;0)</formula>
    </cfRule>
    <cfRule type="expression" dxfId="3112" priority="160">
      <formula>AND($R$153,$S$153)</formula>
    </cfRule>
  </conditionalFormatting>
  <conditionalFormatting sqref="W154">
    <cfRule type="expression" dxfId="3111" priority="153">
      <formula>OR($T$154 = TRUE, AND($W$154 = TRUE, $S$154 = FALSE))</formula>
    </cfRule>
    <cfRule type="expression" dxfId="3110" priority="154">
      <formula>OR($S$154 = FALSE, AND($P$154 = FALSE, ReportType &lt;&gt; "Final"), AND($Q$154 = FALSE, ReportType &lt;&gt; "Rough"))</formula>
    </cfRule>
    <cfRule type="expression" dxfId="3109" priority="155">
      <formula>AND(IF($R$154,$W$154,TRUE),LEN(TRIM($W$154))&gt;0)</formula>
    </cfRule>
    <cfRule type="expression" dxfId="3108" priority="156">
      <formula>AND($R$154,$S$154)</formula>
    </cfRule>
  </conditionalFormatting>
  <conditionalFormatting sqref="W155">
    <cfRule type="expression" dxfId="3107" priority="149">
      <formula>OR($T$155 = TRUE, AND(LEN(TRIM($W$155))&gt;0, $S$155 = FALSE))</formula>
    </cfRule>
    <cfRule type="expression" dxfId="3106" priority="150">
      <formula>OR($S$155 = FALSE, AND($P$155 = FALSE, ReportType &lt;&gt; "Final"), AND($Q$155 = FALSE, ReportType &lt;&gt; "Rough"))</formula>
    </cfRule>
    <cfRule type="expression" dxfId="3105" priority="151">
      <formula>AND($W$155&lt;&gt;"Not Met",LEN(TRIM($W$155))&gt;0)</formula>
    </cfRule>
    <cfRule type="expression" dxfId="3104" priority="152">
      <formula>AND($R$155,$S$155)</formula>
    </cfRule>
  </conditionalFormatting>
  <conditionalFormatting sqref="W166">
    <cfRule type="expression" dxfId="3103" priority="165">
      <formula>OR($T$166 = TRUE, AND($W$166 = TRUE, $S$166 = FALSE))</formula>
    </cfRule>
    <cfRule type="expression" dxfId="3102" priority="166">
      <formula>OR($S$166 = FALSE, AND($P$166 = FALSE, ReportType &lt;&gt; "Final"), AND($Q$166 = FALSE, ReportType &lt;&gt; "Rough"))</formula>
    </cfRule>
    <cfRule type="expression" dxfId="3101" priority="167">
      <formula>AND(IF($R$166,$W$166,TRUE),LEN(TRIM($W$166))&gt;0)</formula>
    </cfRule>
    <cfRule type="expression" dxfId="3100" priority="168">
      <formula>AND($R$166,$S$166)</formula>
    </cfRule>
  </conditionalFormatting>
  <conditionalFormatting sqref="W203">
    <cfRule type="expression" dxfId="3099" priority="58">
      <formula>OR($T$203 = TRUE, AND(LEN(TRIM($W$203))&gt;0, $S$203 = FALSE))</formula>
    </cfRule>
    <cfRule type="expression" dxfId="3098" priority="59">
      <formula>$S$203 = FALSE</formula>
    </cfRule>
    <cfRule type="expression" dxfId="3097" priority="60">
      <formula>AND($W$203&lt;&gt;"Not Met",LEN(TRIM($W$203))&gt;0)</formula>
    </cfRule>
    <cfRule type="expression" dxfId="3096" priority="61">
      <formula>AND($R$203,$S$203)</formula>
    </cfRule>
  </conditionalFormatting>
  <conditionalFormatting sqref="W204">
    <cfRule type="expression" dxfId="3095" priority="54">
      <formula>OR($T$204 = TRUE, AND(LEN(TRIM($W$204))&gt;0, $S$204 = FALSE))</formula>
    </cfRule>
    <cfRule type="expression" dxfId="3094" priority="55">
      <formula>$S$204 = FALSE</formula>
    </cfRule>
    <cfRule type="expression" dxfId="3093" priority="56">
      <formula>AND($W$204&lt;&gt;"Not Met",LEN(TRIM($W$204))&gt;0)</formula>
    </cfRule>
    <cfRule type="expression" dxfId="3092" priority="57">
      <formula>AND($R$204,$S$204)</formula>
    </cfRule>
  </conditionalFormatting>
  <conditionalFormatting sqref="W227">
    <cfRule type="expression" dxfId="3091" priority="2">
      <formula>OR($T$227 = TRUE, AND(LEN(TRIM($W$227))&gt;0, $S$227 = FALSE))</formula>
    </cfRule>
    <cfRule type="expression" dxfId="3090" priority="3">
      <formula>$S$227 = FALSE</formula>
    </cfRule>
    <cfRule type="expression" dxfId="3089" priority="4">
      <formula>AND($W$227&lt;&gt;"Not Met",LEN(TRIM($W$227))&gt;0)</formula>
    </cfRule>
    <cfRule type="expression" dxfId="3088" priority="5">
      <formula>AND($R$227,$S$227)</formula>
    </cfRule>
  </conditionalFormatting>
  <conditionalFormatting sqref="W256">
    <cfRule type="expression" dxfId="3087" priority="50">
      <formula>OR($T$256 = TRUE, AND(LEN(TRIM($W$256))&gt;0, $S$256 = FALSE))</formula>
    </cfRule>
    <cfRule type="expression" dxfId="3086" priority="51">
      <formula>$S$256 = FALSE</formula>
    </cfRule>
    <cfRule type="expression" dxfId="3085" priority="52">
      <formula>AND($W$256&lt;&gt;"Not Met",LEN(TRIM($W$256))&gt;0)</formula>
    </cfRule>
    <cfRule type="expression" dxfId="3084" priority="53">
      <formula>AND($R$256,$S$256)</formula>
    </cfRule>
  </conditionalFormatting>
  <conditionalFormatting sqref="X1">
    <cfRule type="expression" dxfId="3083" priority="62">
      <formula>startError</formula>
    </cfRule>
  </conditionalFormatting>
  <conditionalFormatting sqref="X2">
    <cfRule type="expression" dxfId="3082" priority="66">
      <formula>$AG$3</formula>
    </cfRule>
  </conditionalFormatting>
  <conditionalFormatting sqref="X3">
    <cfRule type="expression" dxfId="3081" priority="67">
      <formula>$AI$3</formula>
    </cfRule>
  </conditionalFormatting>
  <conditionalFormatting sqref="X18 X24 X27:X29 X33:X36 X50 X58">
    <cfRule type="expression" dxfId="3080" priority="65">
      <formula>R18</formula>
    </cfRule>
  </conditionalFormatting>
  <conditionalFormatting sqref="X39:X49">
    <cfRule type="expression" dxfId="3079" priority="64">
      <formula>W39</formula>
    </cfRule>
  </conditionalFormatting>
  <conditionalFormatting sqref="X222:X238">
    <cfRule type="expression" dxfId="3078" priority="1">
      <formula>LEN($W$227)&gt;0</formula>
    </cfRule>
  </conditionalFormatting>
  <conditionalFormatting sqref="W15:W17 W21:W23 W69:W73 W80:W85">
    <cfRule type="expression" dxfId="3077" priority="6">
      <formula>OR(T15 = TRUE, AND(W15 = TRUE, S15 = FALSE))</formula>
    </cfRule>
    <cfRule type="expression" dxfId="3076" priority="7">
      <formula>AND(IF(R15,W15,TRUE),LEN(TRIM(W15))&gt;0)</formula>
    </cfRule>
    <cfRule type="expression" dxfId="3075" priority="8">
      <formula>AND(R15,S15)</formula>
    </cfRule>
  </conditionalFormatting>
  <dataValidations count="19">
    <dataValidation type="decimal" allowBlank="1" showDropDown="1" showInputMessage="1" showErrorMessage="1" error="Enter a number" prompt="Enter a decimal" sqref="W21:W23" xr:uid="{EEAC702C-C21F-4DCE-9337-E6C408E758C5}">
      <formula1>0</formula1>
      <formula2>1</formula2>
    </dataValidation>
    <dataValidation type="whole" allowBlank="1" showDropDown="1" showInputMessage="1" showErrorMessage="1" error="Enter a number" prompt="Enter a whole number" sqref="W15:W17" xr:uid="{5630048B-CC64-4BB5-8390-04AF7B9FCFEF}">
      <formula1>0</formula1>
      <formula2>100</formula2>
    </dataValidation>
    <dataValidation type="list" allowBlank="1" showInputMessage="1" showErrorMessage="1" error="Please use the dropdown." sqref="W155" xr:uid="{31DD6076-4617-4A0B-9F95-8D38658D90E6}">
      <formula1>INDIRECT($U$155)</formula1>
    </dataValidation>
    <dataValidation type="list" allowBlank="1" showDropDown="1" showInputMessage="1" showErrorMessage="1" error="Use Checkbox" prompt="Use Checkbox" sqref="W110 W166 W126 W152:W154 W54:W55 W39:W49" xr:uid="{88D60872-038D-4BAC-902A-483571172250}">
      <formula1>TorF</formula1>
    </dataValidation>
    <dataValidation type="custom" allowBlank="1" showInputMessage="1" showErrorMessage="1" sqref="B306 B172" xr:uid="{7CBC4554-D19C-421F-93EF-C4177830CEBA}">
      <formula1>"&lt;0&gt;0"</formula1>
    </dataValidation>
    <dataValidation type="list" allowBlank="1" showInputMessage="1" showErrorMessage="1" error="Please use the dropdown." sqref="W203" xr:uid="{50534581-34B5-4365-A59A-2F2A6E2969C9}">
      <formula1>INDIRECT($U$203)</formula1>
    </dataValidation>
    <dataValidation type="list" allowBlank="1" showInputMessage="1" showErrorMessage="1" error="Please use the dropdown." sqref="W204" xr:uid="{0E01B21A-8F02-4CDD-B924-808CC888729A}">
      <formula1>INDIRECT($U$204)</formula1>
    </dataValidation>
    <dataValidation type="list" allowBlank="1" showInputMessage="1" showErrorMessage="1" error="Please use the dropdown." sqref="W256" xr:uid="{43C3811F-B87E-4D63-98F9-F47578DFD88D}">
      <formula1>INDIRECT($U$256)</formula1>
    </dataValidation>
    <dataValidation type="whole" allowBlank="1" showDropDown="1" showInputMessage="1" showErrorMessage="1" error="Enter a number" prompt="Enter a whole number" sqref="W72" xr:uid="{525EE85B-53ED-4F04-9B1B-C97E04F9C7C2}">
      <formula1>0</formula1>
      <formula2>300</formula2>
    </dataValidation>
    <dataValidation type="whole" allowBlank="1" showDropDown="1" showInputMessage="1" showErrorMessage="1" error="Enter a number" prompt="Enter a whole number" sqref="W69" xr:uid="{E9BA587E-C4AB-40A1-94AA-86BFC46E51EB}">
      <formula1>0</formula1>
      <formula2>1000</formula2>
    </dataValidation>
    <dataValidation type="whole" allowBlank="1" showDropDown="1" showInputMessage="1" showErrorMessage="1" error="Enter a number" prompt="Enter a whole number" sqref="W73" xr:uid="{F33079FE-4E27-4834-B232-90FF182E1C76}">
      <formula1>0</formula1>
      <formula2>10000</formula2>
    </dataValidation>
    <dataValidation type="whole" allowBlank="1" showDropDown="1" showInputMessage="1" showErrorMessage="1" error="Enter a number" prompt="Enter a whole number" sqref="W70" xr:uid="{28F2B43A-91CA-4640-8EDA-26AF20CF6F92}">
      <formula1>0</formula1>
      <formula2>90</formula2>
    </dataValidation>
    <dataValidation type="decimal" allowBlank="1" showDropDown="1" showInputMessage="1" showErrorMessage="1" error="Enter a percentage" prompt="Enter a percentage" sqref="W71 W85" xr:uid="{C8A5CFD0-9B20-4F92-8CB4-D063DFDCB9A9}">
      <formula1>0</formula1>
      <formula2>1</formula2>
    </dataValidation>
    <dataValidation type="whole" allowBlank="1" showDropDown="1" showInputMessage="1" showErrorMessage="1" error="Enter a number" prompt="Enter a whole number" sqref="W80" xr:uid="{F4734CFF-CFE2-41F6-B969-946E177DC572}">
      <formula1>0</formula1>
      <formula2>134102</formula2>
    </dataValidation>
    <dataValidation type="whole" allowBlank="1" showDropDown="1" showInputMessage="1" showErrorMessage="1" error="Enter a number" prompt="Enter a whole number" sqref="W81" xr:uid="{B20E9596-F75B-4E7D-953B-6C1441099CA3}">
      <formula1>-70</formula1>
      <formula2>212</formula2>
    </dataValidation>
    <dataValidation type="whole" allowBlank="1" showDropDown="1" showInputMessage="1" showErrorMessage="1" error="Enter a number" prompt="Enter a whole number" sqref="W82" xr:uid="{8078DF76-7102-426C-961F-3A9432262CAA}">
      <formula1>80</formula1>
      <formula2>500</formula2>
    </dataValidation>
    <dataValidation type="whole" allowBlank="1" showDropDown="1" showInputMessage="1" showErrorMessage="1" error="Enter a number" prompt="Enter a whole number" sqref="W83" xr:uid="{6A632487-A7E0-4E75-8390-38385446C53B}">
      <formula1>0</formula1>
      <formula2>7</formula2>
    </dataValidation>
    <dataValidation type="whole" allowBlank="1" showDropDown="1" showInputMessage="1" showErrorMessage="1" error="Enter a number" prompt="Enter a whole number" sqref="W84" xr:uid="{03B7859E-2F78-4E6B-B7FF-55C5F3098939}">
      <formula1>0</formula1>
      <formula2>50</formula2>
    </dataValidation>
    <dataValidation type="list" allowBlank="1" showInputMessage="1" showErrorMessage="1" error="Please use the dropdown." sqref="W227" xr:uid="{37B8A0C4-20D6-4937-BB1D-0DCAF4B95C5B}">
      <formula1>INDIRECT($U$227)</formula1>
    </dataValidation>
  </dataValidations>
  <hyperlinks>
    <hyperlink ref="C2:C7" location="Badges!W15" display="Net Zero Energy:" xr:uid="{7C403C10-F58C-4DC9-80CF-06FFF0E86735}"/>
    <hyperlink ref="C3" location="'Badges (Design)'!X84" display="Resilience:" xr:uid="{2F4D745D-4954-47FD-8975-28BAABAD94E2}"/>
    <hyperlink ref="C4" location="'Badges (Design)'!X112" display="Smart Home:" xr:uid="{C9FF8E9E-9C7B-4122-8CCE-AF6D4BE5B96C}"/>
    <hyperlink ref="C5" location="'Badges (Design)'!B159" display="Universal Design:" xr:uid="{C92B3E36-281A-4F16-8795-48ADC28BA3EA}"/>
    <hyperlink ref="C6" location="'Badges (Design)'!X190" display="Wellness:" xr:uid="{F9AEFB24-AA57-4A86-B18F-26D25A05190E}"/>
    <hyperlink ref="C7" location="'Badges (Design)'!B288" display="Zero Water:" xr:uid="{C29A4EFF-389B-4ED5-82FA-43C3B5FC2F9C}"/>
    <hyperlink ref="C2" location="'Badges (Design)'!W15" display="Net Zero Energy:" xr:uid="{FB45C4F0-5265-4698-8C7C-927B2F83A56A}"/>
  </hyperlinks>
  <pageMargins left="0.7" right="0.7" top="0.75" bottom="0.75" header="0.3" footer="0.3"/>
  <pageSetup scale="44" fitToHeight="0" orientation="portrait" r:id="rId1"/>
  <rowBreaks count="3" manualBreakCount="3">
    <brk id="115" max="23" man="1"/>
    <brk id="193" max="23" man="1"/>
    <brk id="305"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205825" r:id="rId4" name="Check Box 1">
              <controlPr locked="0" defaultSize="0" autoFill="0" autoLine="0" autoPict="0">
                <anchor moveWithCells="1">
                  <from>
                    <xdr:col>22</xdr:col>
                    <xdr:colOff>0</xdr:colOff>
                    <xdr:row>109</xdr:row>
                    <xdr:rowOff>0</xdr:rowOff>
                  </from>
                  <to>
                    <xdr:col>22</xdr:col>
                    <xdr:colOff>184150</xdr:colOff>
                    <xdr:row>109</xdr:row>
                    <xdr:rowOff>184150</xdr:rowOff>
                  </to>
                </anchor>
              </controlPr>
            </control>
          </mc:Choice>
        </mc:AlternateContent>
        <mc:AlternateContent xmlns:mc="http://schemas.openxmlformats.org/markup-compatibility/2006">
          <mc:Choice Requires="x14">
            <control shapeId="205826" r:id="rId5" name="Check Box 2">
              <controlPr locked="0" defaultSize="0" autoFill="0" autoLine="0" autoPict="0">
                <anchor moveWithCells="1">
                  <from>
                    <xdr:col>22</xdr:col>
                    <xdr:colOff>0</xdr:colOff>
                    <xdr:row>165</xdr:row>
                    <xdr:rowOff>0</xdr:rowOff>
                  </from>
                  <to>
                    <xdr:col>22</xdr:col>
                    <xdr:colOff>184150</xdr:colOff>
                    <xdr:row>165</xdr:row>
                    <xdr:rowOff>184150</xdr:rowOff>
                  </to>
                </anchor>
              </controlPr>
            </control>
          </mc:Choice>
        </mc:AlternateContent>
        <mc:AlternateContent xmlns:mc="http://schemas.openxmlformats.org/markup-compatibility/2006">
          <mc:Choice Requires="x14">
            <control shapeId="205827" r:id="rId6" name="Check Box 3">
              <controlPr locked="0" defaultSize="0" autoFill="0" autoLine="0" autoPict="0">
                <anchor moveWithCells="1">
                  <from>
                    <xdr:col>22</xdr:col>
                    <xdr:colOff>0</xdr:colOff>
                    <xdr:row>151</xdr:row>
                    <xdr:rowOff>0</xdr:rowOff>
                  </from>
                  <to>
                    <xdr:col>22</xdr:col>
                    <xdr:colOff>184150</xdr:colOff>
                    <xdr:row>151</xdr:row>
                    <xdr:rowOff>184150</xdr:rowOff>
                  </to>
                </anchor>
              </controlPr>
            </control>
          </mc:Choice>
        </mc:AlternateContent>
        <mc:AlternateContent xmlns:mc="http://schemas.openxmlformats.org/markup-compatibility/2006">
          <mc:Choice Requires="x14">
            <control shapeId="205828" r:id="rId7" name="Check Box 4">
              <controlPr locked="0" defaultSize="0" autoFill="0" autoLine="0" autoPict="0">
                <anchor moveWithCells="1">
                  <from>
                    <xdr:col>22</xdr:col>
                    <xdr:colOff>0</xdr:colOff>
                    <xdr:row>152</xdr:row>
                    <xdr:rowOff>0</xdr:rowOff>
                  </from>
                  <to>
                    <xdr:col>22</xdr:col>
                    <xdr:colOff>184150</xdr:colOff>
                    <xdr:row>152</xdr:row>
                    <xdr:rowOff>184150</xdr:rowOff>
                  </to>
                </anchor>
              </controlPr>
            </control>
          </mc:Choice>
        </mc:AlternateContent>
        <mc:AlternateContent xmlns:mc="http://schemas.openxmlformats.org/markup-compatibility/2006">
          <mc:Choice Requires="x14">
            <control shapeId="205829" r:id="rId8" name="Check Box 5">
              <controlPr locked="0" defaultSize="0" autoFill="0" autoLine="0" autoPict="0">
                <anchor moveWithCells="1">
                  <from>
                    <xdr:col>22</xdr:col>
                    <xdr:colOff>0</xdr:colOff>
                    <xdr:row>153</xdr:row>
                    <xdr:rowOff>0</xdr:rowOff>
                  </from>
                  <to>
                    <xdr:col>22</xdr:col>
                    <xdr:colOff>184150</xdr:colOff>
                    <xdr:row>153</xdr:row>
                    <xdr:rowOff>184150</xdr:rowOff>
                  </to>
                </anchor>
              </controlPr>
            </control>
          </mc:Choice>
        </mc:AlternateContent>
        <mc:AlternateContent xmlns:mc="http://schemas.openxmlformats.org/markup-compatibility/2006">
          <mc:Choice Requires="x14">
            <control shapeId="205830" r:id="rId9" name="Check Box 6">
              <controlPr locked="0" defaultSize="0" autoFill="0" autoLine="0" autoPict="0">
                <anchor moveWithCells="1">
                  <from>
                    <xdr:col>22</xdr:col>
                    <xdr:colOff>0</xdr:colOff>
                    <xdr:row>125</xdr:row>
                    <xdr:rowOff>0</xdr:rowOff>
                  </from>
                  <to>
                    <xdr:col>22</xdr:col>
                    <xdr:colOff>184150</xdr:colOff>
                    <xdr:row>125</xdr:row>
                    <xdr:rowOff>184150</xdr:rowOff>
                  </to>
                </anchor>
              </controlPr>
            </control>
          </mc:Choice>
        </mc:AlternateContent>
        <mc:AlternateContent xmlns:mc="http://schemas.openxmlformats.org/markup-compatibility/2006">
          <mc:Choice Requires="x14">
            <control shapeId="205831" r:id="rId10" name="Check Box 7">
              <controlPr locked="0" defaultSize="0" autoFill="0" autoLine="0" autoPict="0">
                <anchor moveWithCells="1">
                  <from>
                    <xdr:col>22</xdr:col>
                    <xdr:colOff>0</xdr:colOff>
                    <xdr:row>38</xdr:row>
                    <xdr:rowOff>0</xdr:rowOff>
                  </from>
                  <to>
                    <xdr:col>22</xdr:col>
                    <xdr:colOff>184150</xdr:colOff>
                    <xdr:row>38</xdr:row>
                    <xdr:rowOff>184150</xdr:rowOff>
                  </to>
                </anchor>
              </controlPr>
            </control>
          </mc:Choice>
        </mc:AlternateContent>
        <mc:AlternateContent xmlns:mc="http://schemas.openxmlformats.org/markup-compatibility/2006">
          <mc:Choice Requires="x14">
            <control shapeId="205832" r:id="rId11" name="Check Box 8">
              <controlPr locked="0" defaultSize="0" autoFill="0" autoLine="0" autoPict="0">
                <anchor moveWithCells="1">
                  <from>
                    <xdr:col>22</xdr:col>
                    <xdr:colOff>0</xdr:colOff>
                    <xdr:row>39</xdr:row>
                    <xdr:rowOff>0</xdr:rowOff>
                  </from>
                  <to>
                    <xdr:col>22</xdr:col>
                    <xdr:colOff>184150</xdr:colOff>
                    <xdr:row>39</xdr:row>
                    <xdr:rowOff>184150</xdr:rowOff>
                  </to>
                </anchor>
              </controlPr>
            </control>
          </mc:Choice>
        </mc:AlternateContent>
        <mc:AlternateContent xmlns:mc="http://schemas.openxmlformats.org/markup-compatibility/2006">
          <mc:Choice Requires="x14">
            <control shapeId="205833" r:id="rId12" name="Check Box 9">
              <controlPr locked="0" defaultSize="0" autoFill="0" autoLine="0" autoPict="0">
                <anchor moveWithCells="1">
                  <from>
                    <xdr:col>22</xdr:col>
                    <xdr:colOff>0</xdr:colOff>
                    <xdr:row>40</xdr:row>
                    <xdr:rowOff>0</xdr:rowOff>
                  </from>
                  <to>
                    <xdr:col>22</xdr:col>
                    <xdr:colOff>184150</xdr:colOff>
                    <xdr:row>40</xdr:row>
                    <xdr:rowOff>184150</xdr:rowOff>
                  </to>
                </anchor>
              </controlPr>
            </control>
          </mc:Choice>
        </mc:AlternateContent>
        <mc:AlternateContent xmlns:mc="http://schemas.openxmlformats.org/markup-compatibility/2006">
          <mc:Choice Requires="x14">
            <control shapeId="205834" r:id="rId13" name="Check Box 10">
              <controlPr locked="0" defaultSize="0" autoFill="0" autoLine="0" autoPict="0">
                <anchor moveWithCells="1">
                  <from>
                    <xdr:col>22</xdr:col>
                    <xdr:colOff>0</xdr:colOff>
                    <xdr:row>41</xdr:row>
                    <xdr:rowOff>0</xdr:rowOff>
                  </from>
                  <to>
                    <xdr:col>22</xdr:col>
                    <xdr:colOff>184150</xdr:colOff>
                    <xdr:row>41</xdr:row>
                    <xdr:rowOff>184150</xdr:rowOff>
                  </to>
                </anchor>
              </controlPr>
            </control>
          </mc:Choice>
        </mc:AlternateContent>
        <mc:AlternateContent xmlns:mc="http://schemas.openxmlformats.org/markup-compatibility/2006">
          <mc:Choice Requires="x14">
            <control shapeId="205835" r:id="rId14" name="Check Box 11">
              <controlPr locked="0" defaultSize="0" autoFill="0" autoLine="0" autoPict="0">
                <anchor moveWithCells="1">
                  <from>
                    <xdr:col>22</xdr:col>
                    <xdr:colOff>0</xdr:colOff>
                    <xdr:row>42</xdr:row>
                    <xdr:rowOff>0</xdr:rowOff>
                  </from>
                  <to>
                    <xdr:col>22</xdr:col>
                    <xdr:colOff>184150</xdr:colOff>
                    <xdr:row>42</xdr:row>
                    <xdr:rowOff>184150</xdr:rowOff>
                  </to>
                </anchor>
              </controlPr>
            </control>
          </mc:Choice>
        </mc:AlternateContent>
        <mc:AlternateContent xmlns:mc="http://schemas.openxmlformats.org/markup-compatibility/2006">
          <mc:Choice Requires="x14">
            <control shapeId="205836" r:id="rId15" name="Check Box 12">
              <controlPr locked="0" defaultSize="0" autoFill="0" autoLine="0" autoPict="0">
                <anchor moveWithCells="1">
                  <from>
                    <xdr:col>22</xdr:col>
                    <xdr:colOff>0</xdr:colOff>
                    <xdr:row>43</xdr:row>
                    <xdr:rowOff>0</xdr:rowOff>
                  </from>
                  <to>
                    <xdr:col>22</xdr:col>
                    <xdr:colOff>184150</xdr:colOff>
                    <xdr:row>43</xdr:row>
                    <xdr:rowOff>184150</xdr:rowOff>
                  </to>
                </anchor>
              </controlPr>
            </control>
          </mc:Choice>
        </mc:AlternateContent>
        <mc:AlternateContent xmlns:mc="http://schemas.openxmlformats.org/markup-compatibility/2006">
          <mc:Choice Requires="x14">
            <control shapeId="205837" r:id="rId16" name="Check Box 13">
              <controlPr locked="0" defaultSize="0" autoFill="0" autoLine="0" autoPict="0">
                <anchor moveWithCells="1">
                  <from>
                    <xdr:col>22</xdr:col>
                    <xdr:colOff>0</xdr:colOff>
                    <xdr:row>44</xdr:row>
                    <xdr:rowOff>0</xdr:rowOff>
                  </from>
                  <to>
                    <xdr:col>22</xdr:col>
                    <xdr:colOff>184150</xdr:colOff>
                    <xdr:row>44</xdr:row>
                    <xdr:rowOff>184150</xdr:rowOff>
                  </to>
                </anchor>
              </controlPr>
            </control>
          </mc:Choice>
        </mc:AlternateContent>
        <mc:AlternateContent xmlns:mc="http://schemas.openxmlformats.org/markup-compatibility/2006">
          <mc:Choice Requires="x14">
            <control shapeId="205838" r:id="rId17" name="Check Box 14">
              <controlPr locked="0" defaultSize="0" autoFill="0" autoLine="0" autoPict="0">
                <anchor moveWithCells="1">
                  <from>
                    <xdr:col>22</xdr:col>
                    <xdr:colOff>0</xdr:colOff>
                    <xdr:row>45</xdr:row>
                    <xdr:rowOff>0</xdr:rowOff>
                  </from>
                  <to>
                    <xdr:col>22</xdr:col>
                    <xdr:colOff>184150</xdr:colOff>
                    <xdr:row>45</xdr:row>
                    <xdr:rowOff>184150</xdr:rowOff>
                  </to>
                </anchor>
              </controlPr>
            </control>
          </mc:Choice>
        </mc:AlternateContent>
        <mc:AlternateContent xmlns:mc="http://schemas.openxmlformats.org/markup-compatibility/2006">
          <mc:Choice Requires="x14">
            <control shapeId="205839" r:id="rId18" name="Check Box 15">
              <controlPr locked="0" defaultSize="0" autoFill="0" autoLine="0" autoPict="0">
                <anchor moveWithCells="1">
                  <from>
                    <xdr:col>22</xdr:col>
                    <xdr:colOff>0</xdr:colOff>
                    <xdr:row>46</xdr:row>
                    <xdr:rowOff>0</xdr:rowOff>
                  </from>
                  <to>
                    <xdr:col>22</xdr:col>
                    <xdr:colOff>184150</xdr:colOff>
                    <xdr:row>46</xdr:row>
                    <xdr:rowOff>184150</xdr:rowOff>
                  </to>
                </anchor>
              </controlPr>
            </control>
          </mc:Choice>
        </mc:AlternateContent>
        <mc:AlternateContent xmlns:mc="http://schemas.openxmlformats.org/markup-compatibility/2006">
          <mc:Choice Requires="x14">
            <control shapeId="205840" r:id="rId19" name="Check Box 16">
              <controlPr locked="0" defaultSize="0" autoFill="0" autoLine="0" autoPict="0">
                <anchor moveWithCells="1">
                  <from>
                    <xdr:col>22</xdr:col>
                    <xdr:colOff>0</xdr:colOff>
                    <xdr:row>47</xdr:row>
                    <xdr:rowOff>0</xdr:rowOff>
                  </from>
                  <to>
                    <xdr:col>22</xdr:col>
                    <xdr:colOff>184150</xdr:colOff>
                    <xdr:row>47</xdr:row>
                    <xdr:rowOff>184150</xdr:rowOff>
                  </to>
                </anchor>
              </controlPr>
            </control>
          </mc:Choice>
        </mc:AlternateContent>
        <mc:AlternateContent xmlns:mc="http://schemas.openxmlformats.org/markup-compatibility/2006">
          <mc:Choice Requires="x14">
            <control shapeId="205841" r:id="rId20" name="Check Box 17">
              <controlPr locked="0" defaultSize="0" autoFill="0" autoLine="0" autoPict="0">
                <anchor moveWithCells="1">
                  <from>
                    <xdr:col>22</xdr:col>
                    <xdr:colOff>0</xdr:colOff>
                    <xdr:row>48</xdr:row>
                    <xdr:rowOff>0</xdr:rowOff>
                  </from>
                  <to>
                    <xdr:col>22</xdr:col>
                    <xdr:colOff>184150</xdr:colOff>
                    <xdr:row>48</xdr:row>
                    <xdr:rowOff>184150</xdr:rowOff>
                  </to>
                </anchor>
              </controlPr>
            </control>
          </mc:Choice>
        </mc:AlternateContent>
        <mc:AlternateContent xmlns:mc="http://schemas.openxmlformats.org/markup-compatibility/2006">
          <mc:Choice Requires="x14">
            <control shapeId="205842" r:id="rId21" name="Check Box 18">
              <controlPr locked="0" defaultSize="0" autoFill="0" autoLine="0" autoPict="0">
                <anchor moveWithCells="1">
                  <from>
                    <xdr:col>22</xdr:col>
                    <xdr:colOff>0</xdr:colOff>
                    <xdr:row>53</xdr:row>
                    <xdr:rowOff>0</xdr:rowOff>
                  </from>
                  <to>
                    <xdr:col>22</xdr:col>
                    <xdr:colOff>184150</xdr:colOff>
                    <xdr:row>53</xdr:row>
                    <xdr:rowOff>184150</xdr:rowOff>
                  </to>
                </anchor>
              </controlPr>
            </control>
          </mc:Choice>
        </mc:AlternateContent>
        <mc:AlternateContent xmlns:mc="http://schemas.openxmlformats.org/markup-compatibility/2006">
          <mc:Choice Requires="x14">
            <control shapeId="205843" r:id="rId22" name="Check Box 19">
              <controlPr locked="0" defaultSize="0" autoFill="0" autoLine="0" autoPict="0">
                <anchor moveWithCells="1">
                  <from>
                    <xdr:col>22</xdr:col>
                    <xdr:colOff>0</xdr:colOff>
                    <xdr:row>54</xdr:row>
                    <xdr:rowOff>0</xdr:rowOff>
                  </from>
                  <to>
                    <xdr:col>22</xdr:col>
                    <xdr:colOff>184150</xdr:colOff>
                    <xdr:row>54</xdr:row>
                    <xdr:rowOff>184150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B54C9-DA91-43B6-ACD9-F3F362F80F54}">
  <sheetPr codeName="Sheet43">
    <pageSetUpPr fitToPage="1"/>
  </sheetPr>
  <dimension ref="B1:BI143"/>
  <sheetViews>
    <sheetView showGridLines="0" zoomScaleNormal="100" zoomScaleSheetLayoutView="80" workbookViewId="0">
      <pane ySplit="8" topLeftCell="A9" activePane="bottomLeft" state="frozen"/>
      <selection activeCell="S48" sqref="S48"/>
      <selection pane="bottomLeft" activeCell="S48" sqref="S48"/>
    </sheetView>
  </sheetViews>
  <sheetFormatPr defaultRowHeight="14.5" x14ac:dyDescent="0.35"/>
  <cols>
    <col min="1" max="14" width="7.54296875" customWidth="1"/>
    <col min="15" max="15" width="7.54296875" style="6" customWidth="1"/>
    <col min="16" max="16" width="6.1796875" hidden="1" customWidth="1"/>
    <col min="17" max="17" width="5.453125" hidden="1" customWidth="1"/>
    <col min="18" max="20" width="6.1796875" hidden="1" customWidth="1"/>
    <col min="21" max="21" width="8.7265625" hidden="1" customWidth="1"/>
    <col min="22" max="22" width="3.1796875" hidden="1" customWidth="1"/>
    <col min="23" max="23" width="21.453125" style="6" customWidth="1"/>
    <col min="24" max="24" width="69" customWidth="1"/>
    <col min="25" max="25" width="4.7265625" hidden="1" customWidth="1"/>
    <col min="26" max="35" width="9.1796875" hidden="1" customWidth="1"/>
    <col min="36" max="40" width="8.453125" hidden="1" customWidth="1"/>
    <col min="41" max="41" width="9.1796875" hidden="1" customWidth="1"/>
    <col min="42" max="42" width="29.1796875" hidden="1" customWidth="1"/>
    <col min="43" max="43" width="2.7265625" hidden="1" customWidth="1"/>
    <col min="44" max="44" width="29.1796875" hidden="1" customWidth="1"/>
    <col min="45" max="45" width="4.81640625" hidden="1" customWidth="1"/>
    <col min="46" max="48" width="8.453125" hidden="1" customWidth="1"/>
    <col min="49" max="59" width="9.1796875" hidden="1" customWidth="1"/>
    <col min="60" max="60" width="13.26953125" hidden="1" customWidth="1"/>
    <col min="61" max="61" width="26.1796875" hidden="1" customWidth="1"/>
    <col min="62" max="62" width="9.1796875" customWidth="1"/>
  </cols>
  <sheetData>
    <row r="1" spans="2:61" ht="15" customHeight="1" x14ac:dyDescent="0.35">
      <c r="W1" s="1014" t="s">
        <v>4873</v>
      </c>
      <c r="X1" s="395" t="s">
        <v>4063</v>
      </c>
    </row>
    <row r="2" spans="2:61" x14ac:dyDescent="0.35">
      <c r="C2" s="6" t="s">
        <v>5715</v>
      </c>
      <c r="D2" t="str">
        <f ca="1">G10</f>
        <v>Not Earned</v>
      </c>
      <c r="W2" s="1014"/>
      <c r="X2" s="395" t="s">
        <v>3502</v>
      </c>
    </row>
    <row r="3" spans="2:61" x14ac:dyDescent="0.35">
      <c r="Q3" s="6" t="s">
        <v>5241</v>
      </c>
      <c r="R3" t="s">
        <v>315</v>
      </c>
      <c r="W3" s="1015"/>
      <c r="X3" s="395" t="s">
        <v>3503</v>
      </c>
      <c r="AF3" s="6" t="s">
        <v>312</v>
      </c>
      <c r="AG3" t="b">
        <f ca="1">OR(AE:AE)</f>
        <v>1</v>
      </c>
      <c r="AH3" s="6" t="s">
        <v>313</v>
      </c>
      <c r="AI3" t="b">
        <f>OR(AD:AD)</f>
        <v>0</v>
      </c>
    </row>
    <row r="4" spans="2:61" x14ac:dyDescent="0.35">
      <c r="W4" s="214" t="s">
        <v>3501</v>
      </c>
      <c r="X4" s="523" t="str">
        <f>IF(dstCity="","",IF(dstBatch, "Various ", dstHomeAddress)&amp;", "&amp;dstCity&amp;", "&amp;dstState&amp;"  "&amp;dstZIP)</f>
        <v>123 Example Drive, Durham, North Carolina  27703</v>
      </c>
    </row>
    <row r="5" spans="2:61" ht="15" customHeight="1" x14ac:dyDescent="0.35">
      <c r="W5" s="213" t="s">
        <v>130</v>
      </c>
      <c r="X5" s="524" t="str">
        <f>IF(dstLot="","",dstLot)</f>
        <v>Lot 1A</v>
      </c>
    </row>
    <row r="6" spans="2:61" ht="15" customHeight="1" x14ac:dyDescent="0.35">
      <c r="W6" s="641"/>
    </row>
    <row r="7" spans="2:61" ht="15" customHeight="1" x14ac:dyDescent="0.35">
      <c r="P7" t="s">
        <v>4101</v>
      </c>
      <c r="Q7" t="s">
        <v>309</v>
      </c>
      <c r="R7" t="s">
        <v>250</v>
      </c>
      <c r="S7" t="s">
        <v>251</v>
      </c>
      <c r="T7" t="s">
        <v>0</v>
      </c>
      <c r="U7" t="s">
        <v>4102</v>
      </c>
      <c r="W7" s="641"/>
      <c r="AC7" s="2" t="s">
        <v>307</v>
      </c>
      <c r="AD7" s="2" t="s">
        <v>0</v>
      </c>
      <c r="AE7" s="2" t="s">
        <v>306</v>
      </c>
      <c r="AF7" s="6" t="s">
        <v>3990</v>
      </c>
    </row>
    <row r="8" spans="2:61" x14ac:dyDescent="0.35">
      <c r="H8" s="6"/>
      <c r="I8" s="636"/>
      <c r="J8" s="636"/>
      <c r="P8" s="21" t="s">
        <v>247</v>
      </c>
      <c r="Q8" s="21" t="s">
        <v>247</v>
      </c>
      <c r="R8" s="21" t="s">
        <v>247</v>
      </c>
      <c r="S8" s="21" t="s">
        <v>247</v>
      </c>
      <c r="T8" s="21" t="s">
        <v>247</v>
      </c>
      <c r="U8" s="21" t="s">
        <v>247</v>
      </c>
      <c r="V8" s="21" t="s">
        <v>247</v>
      </c>
      <c r="W8" s="641"/>
      <c r="X8" s="216" t="s">
        <v>5237</v>
      </c>
      <c r="Y8" s="21" t="s">
        <v>247</v>
      </c>
      <c r="Z8" s="21" t="s">
        <v>247</v>
      </c>
      <c r="AA8" s="21" t="s">
        <v>247</v>
      </c>
      <c r="AB8" s="21" t="s">
        <v>247</v>
      </c>
      <c r="AC8" s="21" t="s">
        <v>247</v>
      </c>
      <c r="AD8" s="21" t="s">
        <v>247</v>
      </c>
      <c r="AE8" s="21" t="s">
        <v>247</v>
      </c>
      <c r="AF8" s="21" t="s">
        <v>247</v>
      </c>
      <c r="AG8" s="21" t="s">
        <v>247</v>
      </c>
      <c r="AH8" s="21" t="s">
        <v>247</v>
      </c>
      <c r="AI8" s="21" t="s">
        <v>247</v>
      </c>
      <c r="AJ8" t="s">
        <v>247</v>
      </c>
      <c r="AK8" t="s">
        <v>247</v>
      </c>
      <c r="AL8" t="s">
        <v>247</v>
      </c>
      <c r="AM8" t="s">
        <v>247</v>
      </c>
      <c r="AN8" t="s">
        <v>247</v>
      </c>
      <c r="AO8" t="s">
        <v>247</v>
      </c>
      <c r="AP8" t="s">
        <v>247</v>
      </c>
      <c r="AQ8" t="s">
        <v>247</v>
      </c>
      <c r="AR8" t="s">
        <v>247</v>
      </c>
      <c r="AS8" t="s">
        <v>247</v>
      </c>
      <c r="AT8" t="s">
        <v>247</v>
      </c>
      <c r="AU8" t="s">
        <v>247</v>
      </c>
      <c r="AV8" t="s">
        <v>247</v>
      </c>
      <c r="AW8" t="s">
        <v>247</v>
      </c>
      <c r="AX8" t="s">
        <v>247</v>
      </c>
      <c r="AY8" t="s">
        <v>247</v>
      </c>
      <c r="AZ8" t="s">
        <v>247</v>
      </c>
      <c r="BA8" t="s">
        <v>247</v>
      </c>
      <c r="BB8" t="s">
        <v>247</v>
      </c>
      <c r="BC8" t="s">
        <v>247</v>
      </c>
      <c r="BD8" t="s">
        <v>247</v>
      </c>
      <c r="BE8" t="s">
        <v>247</v>
      </c>
      <c r="BF8" t="s">
        <v>247</v>
      </c>
      <c r="BG8" t="s">
        <v>247</v>
      </c>
      <c r="BH8" t="s">
        <v>247</v>
      </c>
      <c r="BI8" t="s">
        <v>247</v>
      </c>
    </row>
    <row r="9" spans="2:61" x14ac:dyDescent="0.35">
      <c r="O9"/>
      <c r="W9"/>
    </row>
    <row r="10" spans="2:61" x14ac:dyDescent="0.35">
      <c r="B10" s="1006" t="s">
        <v>5675</v>
      </c>
      <c r="C10" s="1006"/>
      <c r="D10" s="1006"/>
      <c r="E10" s="1006"/>
      <c r="G10" s="1031" t="str" cm="1">
        <f t="array" aca="1" ref="G10" ca="1">IF(S15&gt;0,IF(INDEX(T10:T11,S15),"Earned","Not Earned"),"Not Earned")</f>
        <v>Not Earned</v>
      </c>
      <c r="H10" s="1018"/>
      <c r="I10" s="1018"/>
      <c r="J10" s="1018"/>
      <c r="K10" s="1018"/>
      <c r="L10" s="1018"/>
      <c r="M10" s="1018"/>
      <c r="N10" s="1018"/>
      <c r="O10" s="1019"/>
      <c r="Q10" s="6"/>
      <c r="S10" s="6" t="s">
        <v>5714</v>
      </c>
      <c r="T10" t="b">
        <f ca="1">AND(W18=TRUE,W19=TRUE,W20=TRUE,W22=TRUE,W23=TRUE,W24=TRUE,W27=TRUE,W28=TRUE,W34=TRUE,W41=TRUE,W48=TRUE,NOT(W59="Not Met"),NOT(W98="Not Met"))</f>
        <v>0</v>
      </c>
      <c r="W10"/>
    </row>
    <row r="11" spans="2:61" ht="15" thickBot="1" x14ac:dyDescent="0.4">
      <c r="B11" s="1007"/>
      <c r="C11" s="1007"/>
      <c r="D11" s="1007"/>
      <c r="E11" s="1007"/>
      <c r="F11" s="55"/>
      <c r="G11" s="1032"/>
      <c r="H11" s="1020"/>
      <c r="I11" s="1020"/>
      <c r="J11" s="1020"/>
      <c r="K11" s="1020"/>
      <c r="L11" s="1020"/>
      <c r="M11" s="1020"/>
      <c r="N11" s="1020"/>
      <c r="O11" s="1021"/>
      <c r="P11" s="55"/>
      <c r="Q11" s="635"/>
      <c r="R11" s="55"/>
      <c r="S11" s="635" t="s">
        <v>5713</v>
      </c>
      <c r="T11" s="55" t="b" cm="1">
        <f t="array" aca="1" ref="T11" ca="1">AND(W18=TRUE,W19=TRUE,W20=TRUE,W22=TRUE,W23=TRUE,W24=TRUE,W27=TRUE,W28=TRUE,SUM(COUNTIF(INDIRECT({"W36","W43","W50","W63","W74","W84","W105","W112","W117","W125","W130"}),"Not Met"))=0)</f>
        <v>0</v>
      </c>
      <c r="U11" s="55"/>
      <c r="V11" s="55"/>
      <c r="W11" s="55"/>
      <c r="X11" s="55"/>
      <c r="Y11" s="55"/>
      <c r="AX11" s="6" t="str">
        <f>'Overview (Design)'!A10</f>
        <v>Builder Name:</v>
      </c>
      <c r="AY11" t="str">
        <f>'Overview (Design)'!G10</f>
        <v>ABC Builder</v>
      </c>
    </row>
    <row r="12" spans="2:61" ht="15" thickTop="1" x14ac:dyDescent="0.35">
      <c r="O12"/>
      <c r="W12"/>
      <c r="AM12" s="6"/>
      <c r="AX12" s="6" t="str">
        <f>'Overview (Design)'!A11</f>
        <v>Physical Address of Home:</v>
      </c>
      <c r="AY12" t="str">
        <f>'Overview (Design)'!G11</f>
        <v>123 Example Drive</v>
      </c>
    </row>
    <row r="13" spans="2:61" x14ac:dyDescent="0.35">
      <c r="O13"/>
      <c r="W13"/>
      <c r="AM13" s="6"/>
      <c r="AX13" s="6" t="str">
        <f>'Overview (Design)'!A12</f>
        <v>Community/Lot #:</v>
      </c>
      <c r="AY13" t="str">
        <f>'Overview (Design)'!G12</f>
        <v>Lot 1A</v>
      </c>
    </row>
    <row r="14" spans="2:61" x14ac:dyDescent="0.35">
      <c r="L14" s="6"/>
      <c r="N14" s="6" t="s">
        <v>5629</v>
      </c>
      <c r="O14"/>
      <c r="U14" t="s">
        <v>5659</v>
      </c>
      <c r="W14" s="350" t="str">
        <f>IF(LEN('Ch8'!W13)=0, "Enter in Ch8",'Ch8'!W13)</f>
        <v>Prescriptive Path</v>
      </c>
      <c r="AM14" s="6"/>
      <c r="AX14" s="6" t="str">
        <f>'Overview (Design)'!A13</f>
        <v>City:</v>
      </c>
      <c r="AY14" t="str">
        <f>'Overview (Design)'!G13</f>
        <v>Durham</v>
      </c>
    </row>
    <row r="15" spans="2:61" x14ac:dyDescent="0.35">
      <c r="C15" s="639"/>
      <c r="L15" s="6"/>
      <c r="R15" s="1" t="s">
        <v>3380</v>
      </c>
      <c r="S15" s="1">
        <f ca="1">IFERROR(MATCH(W14,INDIRECT(U14),0),0)</f>
        <v>2</v>
      </c>
      <c r="AX15" s="6" t="str">
        <f>'Overview (Design)'!A14</f>
        <v>State:</v>
      </c>
      <c r="AY15" t="str">
        <f>'Overview (Design)'!G14</f>
        <v>North Carolina</v>
      </c>
    </row>
    <row r="16" spans="2:61" x14ac:dyDescent="0.35">
      <c r="C16" s="216" t="s">
        <v>5628</v>
      </c>
      <c r="L16" s="6"/>
      <c r="AX16" s="6" t="str">
        <f>'Overview (Design)'!A15</f>
        <v>County:</v>
      </c>
      <c r="AY16" t="str">
        <f>'Overview (Design)'!G15</f>
        <v xml:space="preserve">Chatham  </v>
      </c>
    </row>
    <row r="17" spans="2:51" x14ac:dyDescent="0.35">
      <c r="C17" s="639"/>
      <c r="L17" s="21"/>
      <c r="O17"/>
      <c r="W17"/>
      <c r="AX17" s="6" t="str">
        <f>'Overview (Design)'!A16</f>
        <v>Zip:</v>
      </c>
      <c r="AY17" t="str">
        <f>'Overview (Design)'!G16</f>
        <v>27703</v>
      </c>
    </row>
    <row r="18" spans="2:51" ht="15" customHeight="1" x14ac:dyDescent="0.35">
      <c r="B18" s="645"/>
      <c r="C18" s="104" t="s">
        <v>5630</v>
      </c>
      <c r="D18" s="586"/>
      <c r="E18" s="586"/>
      <c r="F18" s="586"/>
      <c r="G18" s="586"/>
      <c r="H18" s="586"/>
      <c r="I18" s="586"/>
      <c r="J18" s="586"/>
      <c r="K18" s="104"/>
      <c r="L18" s="104"/>
      <c r="M18" s="104"/>
      <c r="N18" s="104"/>
      <c r="O18" s="104"/>
      <c r="P18" t="b">
        <v>1</v>
      </c>
      <c r="Q18" t="b">
        <v>1</v>
      </c>
      <c r="R18" t="b">
        <f ca="1">S18</f>
        <v>1</v>
      </c>
      <c r="S18" t="b">
        <f ca="1">S15&gt;0</f>
        <v>1</v>
      </c>
      <c r="T18" t="b">
        <v>0</v>
      </c>
      <c r="W18" s="17"/>
      <c r="X18" s="36"/>
      <c r="AC18" t="b">
        <f ca="1">OR(AD18,AE18)</f>
        <v>1</v>
      </c>
      <c r="AD18" t="b">
        <f>T18</f>
        <v>0</v>
      </c>
      <c r="AE18" t="b">
        <f ca="1">AND(R18,NOT(W18))</f>
        <v>1</v>
      </c>
      <c r="AL18" t="s">
        <v>5717</v>
      </c>
      <c r="AP18" t="str">
        <f>"des"&amp;AL18</f>
        <v>desWaterSenseLeaks1</v>
      </c>
      <c r="AQ18" t="str">
        <f>IF(LEN(W18)=0,"",W18)</f>
        <v/>
      </c>
      <c r="AR18" t="str">
        <f>"dnt"&amp;AL18</f>
        <v>dntWaterSenseLeaks1</v>
      </c>
      <c r="AS18" t="str">
        <f>IF(LEN(X18)=0,"",X18)</f>
        <v/>
      </c>
      <c r="AX18" s="6"/>
    </row>
    <row r="19" spans="2:51" x14ac:dyDescent="0.35">
      <c r="B19" s="645"/>
      <c r="C19" s="134" t="s">
        <v>5631</v>
      </c>
      <c r="D19" s="134"/>
      <c r="E19" s="134"/>
      <c r="F19" s="134"/>
      <c r="G19" s="134"/>
      <c r="H19" s="134"/>
      <c r="I19" s="134"/>
      <c r="J19" s="134"/>
      <c r="K19" s="134"/>
      <c r="L19" s="646"/>
      <c r="M19" s="134"/>
      <c r="N19" s="134"/>
      <c r="O19" s="134"/>
      <c r="P19" t="b">
        <v>1</v>
      </c>
      <c r="Q19" t="b">
        <v>1</v>
      </c>
      <c r="R19" t="b">
        <f ca="1">S19</f>
        <v>1</v>
      </c>
      <c r="S19" t="b">
        <f ca="1">S15&gt;0</f>
        <v>1</v>
      </c>
      <c r="T19" t="b">
        <v>0</v>
      </c>
      <c r="W19" s="17"/>
      <c r="X19" s="36"/>
      <c r="AC19" t="b">
        <f ca="1">OR(AD19,AE19)</f>
        <v>1</v>
      </c>
      <c r="AD19" t="b">
        <f>T19</f>
        <v>0</v>
      </c>
      <c r="AE19" t="b">
        <f ca="1">AND(R19,NOT(W19))</f>
        <v>1</v>
      </c>
      <c r="AL19" t="s">
        <v>5718</v>
      </c>
      <c r="AP19" t="str">
        <f>"des"&amp;AL19</f>
        <v>desWaterSenseLeaks2</v>
      </c>
      <c r="AQ19" t="str">
        <f>IF(LEN(W19)=0,"",W19)</f>
        <v/>
      </c>
      <c r="AR19" t="str">
        <f>"dnt"&amp;AL19</f>
        <v>dntWaterSenseLeaks2</v>
      </c>
      <c r="AS19" t="str">
        <f>IF(LEN(X19)=0,"",X19)</f>
        <v/>
      </c>
      <c r="AX19" s="6" t="str">
        <f>'Overview (Design)'!A18</f>
        <v>Single-Family or Multifamily:</v>
      </c>
      <c r="AY19" t="str">
        <f>'Overview (Design)'!G18</f>
        <v>Single-Family</v>
      </c>
    </row>
    <row r="20" spans="2:51" x14ac:dyDescent="0.35">
      <c r="B20" s="645"/>
      <c r="C20" s="1041" t="s">
        <v>5632</v>
      </c>
      <c r="D20" s="1041"/>
      <c r="E20" s="1041"/>
      <c r="F20" s="1041"/>
      <c r="G20" s="1041"/>
      <c r="H20" s="1041"/>
      <c r="I20" s="1041"/>
      <c r="J20" s="1041"/>
      <c r="K20" s="1041"/>
      <c r="L20" s="1041"/>
      <c r="M20" s="1041"/>
      <c r="N20" s="120"/>
      <c r="O20" s="120"/>
      <c r="P20" t="b">
        <v>1</v>
      </c>
      <c r="Q20" t="b">
        <v>1</v>
      </c>
      <c r="R20" t="b">
        <f ca="1">S20</f>
        <v>1</v>
      </c>
      <c r="S20" t="b">
        <f ca="1">S15&gt;0</f>
        <v>1</v>
      </c>
      <c r="T20" t="b">
        <v>0</v>
      </c>
      <c r="W20" s="17"/>
      <c r="X20" s="817"/>
      <c r="AC20" t="b">
        <f ca="1">OR(AD20,AE20)</f>
        <v>1</v>
      </c>
      <c r="AD20" t="b">
        <f>T20</f>
        <v>0</v>
      </c>
      <c r="AE20" t="b">
        <f ca="1">AND(R20,NOT(W20))</f>
        <v>1</v>
      </c>
      <c r="AL20" t="s">
        <v>5719</v>
      </c>
      <c r="AP20" t="str">
        <f>"des"&amp;AL20</f>
        <v>desWaterSenseLeaks3</v>
      </c>
      <c r="AQ20" t="str">
        <f>IF(LEN(W20)=0,"",W20)</f>
        <v/>
      </c>
      <c r="AR20" t="str">
        <f>"dnt"&amp;AL20</f>
        <v>dntWaterSenseLeaks3</v>
      </c>
      <c r="AS20" t="str">
        <f>IF(LEN(X20)=0,"",X20)</f>
        <v/>
      </c>
      <c r="AX20" s="6" t="str">
        <f>'Overview (Design)'!A19</f>
        <v>Number of Units:</v>
      </c>
      <c r="AY20">
        <f>'Overview (Design)'!G19</f>
        <v>0</v>
      </c>
    </row>
    <row r="21" spans="2:51" x14ac:dyDescent="0.35">
      <c r="C21" s="1042"/>
      <c r="D21" s="1042"/>
      <c r="E21" s="1042"/>
      <c r="F21" s="1042"/>
      <c r="G21" s="1042"/>
      <c r="H21" s="1042"/>
      <c r="I21" s="1042"/>
      <c r="J21" s="1042"/>
      <c r="K21" s="1042"/>
      <c r="L21" s="1042"/>
      <c r="M21" s="1042"/>
      <c r="N21" s="104"/>
      <c r="O21" s="104"/>
      <c r="W21"/>
      <c r="X21" s="817"/>
      <c r="AX21" s="6" t="str">
        <f>'Overview (Design)'!A20</f>
        <v>Building includes commercial space pursuing Commercial Space certification?</v>
      </c>
      <c r="AY21">
        <f>'Overview (Design)'!G20</f>
        <v>0</v>
      </c>
    </row>
    <row r="22" spans="2:51" x14ac:dyDescent="0.35">
      <c r="B22" s="645"/>
      <c r="C22" s="134" t="s">
        <v>5633</v>
      </c>
      <c r="D22" s="134"/>
      <c r="E22" s="134"/>
      <c r="F22" s="134"/>
      <c r="G22" s="134"/>
      <c r="H22" s="134"/>
      <c r="I22" s="134"/>
      <c r="J22" s="134"/>
      <c r="K22" s="134"/>
      <c r="L22" s="646"/>
      <c r="M22" s="134"/>
      <c r="N22" s="134"/>
      <c r="O22" s="134"/>
      <c r="P22" t="b">
        <v>1</v>
      </c>
      <c r="Q22" t="b">
        <v>1</v>
      </c>
      <c r="R22" t="b">
        <f ca="1">S22</f>
        <v>1</v>
      </c>
      <c r="S22" t="b">
        <f ca="1">S15&gt;0</f>
        <v>1</v>
      </c>
      <c r="T22" t="b">
        <v>0</v>
      </c>
      <c r="W22" s="17"/>
      <c r="X22" s="36"/>
      <c r="AC22" t="b">
        <f ca="1">OR(AD22,AE22)</f>
        <v>1</v>
      </c>
      <c r="AD22" t="b">
        <f>T22</f>
        <v>0</v>
      </c>
      <c r="AE22" t="b">
        <f ca="1">AND(R22,NOT(W22))</f>
        <v>1</v>
      </c>
      <c r="AL22" t="s">
        <v>5720</v>
      </c>
      <c r="AP22" t="str">
        <f>"des"&amp;AL22</f>
        <v>desWaterSenseLeaks4</v>
      </c>
      <c r="AQ22" t="str">
        <f>IF(LEN(W22)=0,"",W22)</f>
        <v/>
      </c>
      <c r="AR22" t="str">
        <f>"dnt"&amp;AL22</f>
        <v>dntWaterSenseLeaks4</v>
      </c>
      <c r="AS22" t="str">
        <f>IF(LEN(X22)=0,"",X22)</f>
        <v/>
      </c>
      <c r="AX22" s="6"/>
    </row>
    <row r="23" spans="2:51" x14ac:dyDescent="0.35">
      <c r="B23" s="645"/>
      <c r="C23" s="134" t="s">
        <v>5634</v>
      </c>
      <c r="D23" s="134"/>
      <c r="E23" s="134"/>
      <c r="F23" s="134"/>
      <c r="G23" s="134"/>
      <c r="H23" s="134"/>
      <c r="I23" s="134"/>
      <c r="J23" s="134"/>
      <c r="K23" s="134"/>
      <c r="L23" s="646"/>
      <c r="M23" s="134"/>
      <c r="N23" s="134"/>
      <c r="O23" s="134"/>
      <c r="P23" t="b">
        <v>1</v>
      </c>
      <c r="Q23" t="b">
        <v>1</v>
      </c>
      <c r="R23" t="b">
        <f ca="1">S23</f>
        <v>1</v>
      </c>
      <c r="S23" t="b">
        <f ca="1">S15&gt;0</f>
        <v>1</v>
      </c>
      <c r="T23" t="b">
        <v>0</v>
      </c>
      <c r="W23" s="17"/>
      <c r="X23" s="36"/>
      <c r="AC23" t="b">
        <f ca="1">OR(AD23,AE23)</f>
        <v>1</v>
      </c>
      <c r="AD23" t="b">
        <f>T23</f>
        <v>0</v>
      </c>
      <c r="AE23" t="b">
        <f ca="1">AND(R23,NOT(W23))</f>
        <v>1</v>
      </c>
      <c r="AL23" t="s">
        <v>5721</v>
      </c>
      <c r="AP23" t="str">
        <f>"des"&amp;AL23</f>
        <v>desWaterSenseLeaks5</v>
      </c>
      <c r="AQ23" t="str">
        <f>IF(LEN(W23)=0,"",W23)</f>
        <v/>
      </c>
      <c r="AR23" t="str">
        <f>"dnt"&amp;AL23</f>
        <v>dntWaterSenseLeaks5</v>
      </c>
      <c r="AS23" t="str">
        <f>IF(LEN(X23)=0,"",X23)</f>
        <v/>
      </c>
      <c r="AX23" s="6"/>
    </row>
    <row r="24" spans="2:51" x14ac:dyDescent="0.35">
      <c r="B24" s="645"/>
      <c r="C24" s="1041" t="s">
        <v>5635</v>
      </c>
      <c r="D24" s="1041"/>
      <c r="E24" s="1041"/>
      <c r="F24" s="1041"/>
      <c r="G24" s="1041"/>
      <c r="H24" s="1041"/>
      <c r="I24" s="1041"/>
      <c r="J24" s="1041"/>
      <c r="K24" s="1041"/>
      <c r="L24" s="1041"/>
      <c r="M24" s="1041"/>
      <c r="N24" s="120"/>
      <c r="O24" s="120"/>
      <c r="P24" t="b">
        <v>1</v>
      </c>
      <c r="Q24" t="b">
        <v>1</v>
      </c>
      <c r="R24" t="b">
        <f ca="1">S24</f>
        <v>1</v>
      </c>
      <c r="S24" t="b">
        <f ca="1">S15&gt;0</f>
        <v>1</v>
      </c>
      <c r="T24" t="b">
        <v>0</v>
      </c>
      <c r="W24" s="17"/>
      <c r="X24" s="817"/>
      <c r="AC24" t="b">
        <f ca="1">OR(AD24,AE24)</f>
        <v>1</v>
      </c>
      <c r="AD24" t="b">
        <f>T24</f>
        <v>0</v>
      </c>
      <c r="AE24" t="b">
        <f ca="1">AND(R24,NOT(W24))</f>
        <v>1</v>
      </c>
      <c r="AL24" t="s">
        <v>5722</v>
      </c>
      <c r="AP24" t="str">
        <f>"des"&amp;AL24</f>
        <v>desWaterSenseLeaks6</v>
      </c>
      <c r="AQ24" t="str">
        <f>IF(LEN(W24)=0,"",W24)</f>
        <v/>
      </c>
      <c r="AR24" t="str">
        <f>"dnt"&amp;AL24</f>
        <v>dntWaterSenseLeaks6</v>
      </c>
      <c r="AS24" t="str">
        <f>IF(LEN(X24)=0,"",X24)</f>
        <v/>
      </c>
      <c r="AX24" s="6" t="str">
        <f>'Overview (Design)'!A23</f>
        <v>Project Name:</v>
      </c>
      <c r="AY24">
        <f>'Overview (Design)'!G23</f>
        <v>0</v>
      </c>
    </row>
    <row r="25" spans="2:51" x14ac:dyDescent="0.35">
      <c r="C25" s="760"/>
      <c r="D25" s="760"/>
      <c r="E25" s="760"/>
      <c r="F25" s="760"/>
      <c r="G25" s="760"/>
      <c r="H25" s="760"/>
      <c r="I25" s="760"/>
      <c r="J25" s="760"/>
      <c r="K25" s="760"/>
      <c r="L25" s="760"/>
      <c r="M25" s="760"/>
      <c r="O25"/>
      <c r="W25"/>
      <c r="X25" s="817"/>
      <c r="AX25" s="6"/>
    </row>
    <row r="26" spans="2:51" x14ac:dyDescent="0.35">
      <c r="C26" s="1042"/>
      <c r="D26" s="1042"/>
      <c r="E26" s="1042"/>
      <c r="F26" s="1042"/>
      <c r="G26" s="1042"/>
      <c r="H26" s="1042"/>
      <c r="I26" s="1042"/>
      <c r="J26" s="1042"/>
      <c r="K26" s="1042"/>
      <c r="L26" s="1042"/>
      <c r="M26" s="1042"/>
      <c r="N26" s="104"/>
      <c r="O26" s="104"/>
      <c r="W26"/>
      <c r="X26" s="817"/>
      <c r="AX26" s="6" t="str">
        <f>'Overview (Design)'!A25</f>
        <v>Above grade plane finished floor area:</v>
      </c>
      <c r="AY26">
        <f>'Overview (Design)'!G25</f>
        <v>2644</v>
      </c>
    </row>
    <row r="27" spans="2:51" x14ac:dyDescent="0.35">
      <c r="B27" s="645"/>
      <c r="C27" s="134" t="s">
        <v>5636</v>
      </c>
      <c r="D27" s="134"/>
      <c r="E27" s="134"/>
      <c r="F27" s="134"/>
      <c r="G27" s="134"/>
      <c r="H27" s="134"/>
      <c r="I27" s="134"/>
      <c r="J27" s="134"/>
      <c r="K27" s="134"/>
      <c r="L27" s="647"/>
      <c r="M27" s="134"/>
      <c r="N27" s="134"/>
      <c r="O27" s="134"/>
      <c r="P27" t="b">
        <v>1</v>
      </c>
      <c r="Q27" t="b">
        <v>1</v>
      </c>
      <c r="R27" t="b">
        <f ca="1">S27</f>
        <v>1</v>
      </c>
      <c r="S27" t="b">
        <f ca="1">S15&gt;0</f>
        <v>1</v>
      </c>
      <c r="T27" t="b">
        <v>0</v>
      </c>
      <c r="W27" s="17"/>
      <c r="X27" s="36"/>
      <c r="AC27" t="b">
        <f ca="1">OR(AD27,AE27)</f>
        <v>1</v>
      </c>
      <c r="AD27" t="b">
        <f>T27</f>
        <v>0</v>
      </c>
      <c r="AE27" t="b">
        <f ca="1">AND(R27,NOT(W27))</f>
        <v>1</v>
      </c>
      <c r="AL27" t="s">
        <v>5723</v>
      </c>
      <c r="AP27" t="str">
        <f>"des"&amp;AL27</f>
        <v>desWaterSenseLeaks7</v>
      </c>
      <c r="AQ27" t="str">
        <f>IF(LEN(W27)=0,"",W27)</f>
        <v/>
      </c>
      <c r="AR27" t="str">
        <f>"dnt"&amp;AL27</f>
        <v>dntWaterSenseLeaks7</v>
      </c>
      <c r="AS27" t="str">
        <f>IF(LEN(X27)=0,"",X27)</f>
        <v/>
      </c>
      <c r="AX27" s="6" t="str">
        <f>'Overview (Design)'!A26</f>
        <v>Total conditioned floor area:</v>
      </c>
      <c r="AY27">
        <f>'Overview (Design)'!G26</f>
        <v>2644</v>
      </c>
    </row>
    <row r="28" spans="2:51" x14ac:dyDescent="0.35">
      <c r="B28" s="645"/>
      <c r="C28" s="760" t="s">
        <v>5637</v>
      </c>
      <c r="D28" s="760"/>
      <c r="E28" s="760"/>
      <c r="F28" s="760"/>
      <c r="G28" s="760"/>
      <c r="H28" s="760"/>
      <c r="I28" s="760"/>
      <c r="J28" s="760"/>
      <c r="K28" s="760"/>
      <c r="L28" s="760"/>
      <c r="M28" s="760"/>
      <c r="O28"/>
      <c r="P28" t="b">
        <v>1</v>
      </c>
      <c r="Q28" t="b">
        <v>1</v>
      </c>
      <c r="R28" t="b">
        <f ca="1">S28</f>
        <v>1</v>
      </c>
      <c r="S28" t="b">
        <f ca="1">S15&gt;0</f>
        <v>1</v>
      </c>
      <c r="T28" t="b">
        <v>0</v>
      </c>
      <c r="W28" s="17"/>
      <c r="X28" s="817"/>
      <c r="AC28" t="b">
        <f ca="1">OR(AD28,AE28)</f>
        <v>1</v>
      </c>
      <c r="AD28" t="b">
        <f>T28</f>
        <v>0</v>
      </c>
      <c r="AE28" t="b">
        <f ca="1">AND(R28,NOT(W28))</f>
        <v>1</v>
      </c>
      <c r="AL28" t="s">
        <v>5724</v>
      </c>
      <c r="AP28" t="str">
        <f>"des"&amp;AL28</f>
        <v>desWaterSenseLeaks8</v>
      </c>
      <c r="AQ28" t="str">
        <f>IF(LEN(W28)=0,"",W28)</f>
        <v/>
      </c>
      <c r="AR28" t="str">
        <f>"dnt"&amp;AL28</f>
        <v>dntWaterSenseLeaks8</v>
      </c>
      <c r="AS28" t="str">
        <f>IF(LEN(X28)=0,"",X28)</f>
        <v/>
      </c>
      <c r="AX28" s="6" t="str">
        <f>'Overview (Design)'!A27</f>
        <v>Stories above grade:</v>
      </c>
      <c r="AY28">
        <f>'Overview (Design)'!G27</f>
        <v>2</v>
      </c>
    </row>
    <row r="29" spans="2:51" x14ac:dyDescent="0.35">
      <c r="C29" s="760"/>
      <c r="D29" s="760"/>
      <c r="E29" s="760"/>
      <c r="F29" s="760"/>
      <c r="G29" s="760"/>
      <c r="H29" s="760"/>
      <c r="I29" s="760"/>
      <c r="J29" s="760"/>
      <c r="K29" s="760"/>
      <c r="L29" s="760"/>
      <c r="M29" s="760"/>
      <c r="W29"/>
      <c r="X29" s="817"/>
      <c r="AX29" s="6" t="str">
        <f>'Overview (Design)'!A28</f>
        <v>Project Elevation (ft. above sea level):</v>
      </c>
      <c r="AY29">
        <f>'Overview (Design)'!G28</f>
        <v>0</v>
      </c>
    </row>
    <row r="30" spans="2:51" x14ac:dyDescent="0.35">
      <c r="W30"/>
      <c r="AX30" s="6"/>
    </row>
    <row r="31" spans="2:51" x14ac:dyDescent="0.35">
      <c r="AX31" s="6" t="str">
        <f>'Overview (Design)'!A30</f>
        <v xml:space="preserve">Project Description (optional): </v>
      </c>
      <c r="AY31">
        <f>'Overview (Design)'!G30</f>
        <v>0</v>
      </c>
    </row>
    <row r="32" spans="2:51" x14ac:dyDescent="0.35">
      <c r="C32" s="216" t="s">
        <v>5640</v>
      </c>
      <c r="AX32" s="6"/>
    </row>
    <row r="33" spans="2:51" x14ac:dyDescent="0.35">
      <c r="AX33" s="6" t="str">
        <f>'Overview (Design)'!A32</f>
        <v>Foundation Type:</v>
      </c>
      <c r="AY33" t="str">
        <f>'Overview (Design)'!G32</f>
        <v>Conditioned crawlspace</v>
      </c>
    </row>
    <row r="34" spans="2:51" x14ac:dyDescent="0.35">
      <c r="B34" s="645"/>
      <c r="C34" t="s">
        <v>5641</v>
      </c>
      <c r="P34" t="b">
        <v>1</v>
      </c>
      <c r="Q34" t="b">
        <v>1</v>
      </c>
      <c r="R34" t="b">
        <f ca="1">S34</f>
        <v>0</v>
      </c>
      <c r="S34" t="b">
        <f ca="1">S15=1</f>
        <v>0</v>
      </c>
      <c r="T34" t="b">
        <v>0</v>
      </c>
      <c r="W34" s="17"/>
      <c r="X34" s="36"/>
      <c r="AC34" t="b">
        <f ca="1">OR(AD34,AE34)</f>
        <v>0</v>
      </c>
      <c r="AD34" t="b">
        <f>T34</f>
        <v>0</v>
      </c>
      <c r="AE34" t="b">
        <f ca="1">AND(R34,NOT(W34))</f>
        <v>0</v>
      </c>
      <c r="AL34" t="s">
        <v>5725</v>
      </c>
      <c r="AP34" t="str">
        <f>"des"&amp;AL34</f>
        <v>desWaterSenseToilet</v>
      </c>
      <c r="AQ34" t="str">
        <f>IF(LEN(W34)=0,"",W34)</f>
        <v/>
      </c>
      <c r="AR34" t="str">
        <f>"dnt"&amp;AL34</f>
        <v>dntWaterSenseToilet</v>
      </c>
      <c r="AS34" t="str">
        <f>IF(LEN(X34)=0,"",X34)</f>
        <v/>
      </c>
      <c r="AX34" s="6"/>
    </row>
    <row r="35" spans="2:51" x14ac:dyDescent="0.35">
      <c r="AX35" s="6" t="str">
        <f>'Overview (Design)'!A34</f>
        <v>Type of Heating System (main system):</v>
      </c>
      <c r="AY35" t="str">
        <f>'Overview (Design)'!G34</f>
        <v>Furnace</v>
      </c>
    </row>
    <row r="36" spans="2:51" x14ac:dyDescent="0.35">
      <c r="C36" t="s">
        <v>5642</v>
      </c>
      <c r="S36" t="b">
        <f ca="1">S15=2</f>
        <v>1</v>
      </c>
      <c r="W36" s="351" t="str">
        <f ca="1">IF(S36,IF('Ch8'!O131&gt;0,"Met", "Not Met"),"N/A")</f>
        <v>Not Met</v>
      </c>
      <c r="AX36" s="6" t="str">
        <f>'Overview (Design)'!A35</f>
        <v>Type of Heating System (system 2):</v>
      </c>
      <c r="AY36">
        <f>'Overview (Design)'!G35</f>
        <v>0</v>
      </c>
    </row>
    <row r="37" spans="2:51" x14ac:dyDescent="0.35">
      <c r="AX37" s="6" t="str">
        <f>'Overview (Design)'!A36</f>
        <v>Type of Heating System (system 3):</v>
      </c>
      <c r="AY37">
        <f>'Overview (Design)'!G36</f>
        <v>0</v>
      </c>
    </row>
    <row r="38" spans="2:51" x14ac:dyDescent="0.35">
      <c r="AX38" s="6" t="str">
        <f>'Overview (Design)'!A37</f>
        <v>Primary Heating Fuel:</v>
      </c>
      <c r="AY38">
        <f>'Overview (Design)'!G37</f>
        <v>0</v>
      </c>
    </row>
    <row r="39" spans="2:51" x14ac:dyDescent="0.35">
      <c r="C39" s="216" t="s">
        <v>5643</v>
      </c>
      <c r="AX39" s="6" t="str">
        <f>'Overview (Design)'!A38</f>
        <v>Heating Ducts:</v>
      </c>
      <c r="AY39" t="str">
        <f>'Overview (Design)'!G38</f>
        <v>Ducted</v>
      </c>
    </row>
    <row r="40" spans="2:51" x14ac:dyDescent="0.35">
      <c r="AX40" s="6" t="str">
        <f>'Overview (Design)'!A39</f>
        <v>Type of Cooling System (main system):</v>
      </c>
      <c r="AY40" t="str">
        <f>'Overview (Design)'!G39</f>
        <v>Electric Air Conditiner</v>
      </c>
    </row>
    <row r="41" spans="2:51" x14ac:dyDescent="0.35">
      <c r="B41" s="645"/>
      <c r="C41" t="str">
        <f ca="1">IF(S15=2,"Lavatory faucets are WaterSense labeled and have a maximum flow rate of 1.2 gallons per minute (gpm).","Lavatory faucets are WaterSense labeled.")</f>
        <v>Lavatory faucets are WaterSense labeled and have a maximum flow rate of 1.2 gallons per minute (gpm).</v>
      </c>
      <c r="P41" t="b">
        <v>1</v>
      </c>
      <c r="Q41" t="b">
        <v>1</v>
      </c>
      <c r="R41" t="b">
        <f ca="1">S41</f>
        <v>0</v>
      </c>
      <c r="S41" t="b">
        <f ca="1">S15=1</f>
        <v>0</v>
      </c>
      <c r="T41" t="b">
        <v>0</v>
      </c>
      <c r="W41" s="17"/>
      <c r="X41" s="36"/>
      <c r="AC41" t="b">
        <f ca="1">OR(AD41,AE41)</f>
        <v>0</v>
      </c>
      <c r="AD41" t="b">
        <f>T41</f>
        <v>0</v>
      </c>
      <c r="AE41" t="b">
        <f ca="1">AND(R41,NOT(W41))</f>
        <v>0</v>
      </c>
      <c r="AL41" t="s">
        <v>5726</v>
      </c>
      <c r="AP41" t="str">
        <f>"des"&amp;AL41</f>
        <v>desWaterSenseLavFaucet</v>
      </c>
      <c r="AQ41" t="str">
        <f>IF(LEN(W41)=0,"",W41)</f>
        <v/>
      </c>
      <c r="AR41" t="str">
        <f>"dnt"&amp;AL41</f>
        <v>dntWaterSenseLavFaucet</v>
      </c>
      <c r="AS41" t="str">
        <f>IF(LEN(X41)=0,"",X41)</f>
        <v/>
      </c>
      <c r="AX41" s="6" t="str">
        <f>'Overview (Design)'!A40</f>
        <v>Type of Cooling System (system 2):</v>
      </c>
      <c r="AY41">
        <f>'Overview (Design)'!G40</f>
        <v>0</v>
      </c>
    </row>
    <row r="42" spans="2:51" x14ac:dyDescent="0.35">
      <c r="AX42" s="6" t="str">
        <f>'Overview (Design)'!A41</f>
        <v>Type of Cooling System (system 3):</v>
      </c>
      <c r="AY42">
        <f>'Overview (Design)'!G41</f>
        <v>0</v>
      </c>
    </row>
    <row r="43" spans="2:51" x14ac:dyDescent="0.35">
      <c r="C43" t="s">
        <v>5678</v>
      </c>
      <c r="S43" t="b">
        <f ca="1">S15=2</f>
        <v>1</v>
      </c>
      <c r="W43" s="351" t="str">
        <f ca="1">IF(S43,IF('Ch8'!W102="(5)","Met", "Not Met"),"N/A")</f>
        <v>Not Met</v>
      </c>
      <c r="AX43" s="6" t="str">
        <f>'Overview (Design)'!A42</f>
        <v>Cooling Ducts:</v>
      </c>
      <c r="AY43" t="str">
        <f>'Overview (Design)'!G42</f>
        <v>Ducted</v>
      </c>
    </row>
    <row r="44" spans="2:51" x14ac:dyDescent="0.35">
      <c r="AX44" s="6"/>
    </row>
    <row r="45" spans="2:51" x14ac:dyDescent="0.35">
      <c r="AX45" s="6" t="str">
        <f>'Overview (Design)'!A44</f>
        <v>Maximum window and door SHGC:</v>
      </c>
      <c r="AY45">
        <f>'Overview (Design)'!G44</f>
        <v>0.22</v>
      </c>
    </row>
    <row r="46" spans="2:51" x14ac:dyDescent="0.35">
      <c r="C46" s="216" t="s">
        <v>5644</v>
      </c>
      <c r="AX46" s="6" t="str">
        <f>'Overview (Design)'!A45</f>
        <v>Maximum skylight SHGC:</v>
      </c>
      <c r="AY46">
        <f>'Overview (Design)'!G45</f>
        <v>0</v>
      </c>
    </row>
    <row r="47" spans="2:51" x14ac:dyDescent="0.35">
      <c r="AX47" s="6" t="str">
        <f>'Overview (Design)'!A46</f>
        <v>Maximum window and door U-value:</v>
      </c>
      <c r="AY47">
        <f>'Overview (Design)'!G46</f>
        <v>0.32</v>
      </c>
    </row>
    <row r="48" spans="2:51" x14ac:dyDescent="0.35">
      <c r="B48" s="645"/>
      <c r="C48" t="s">
        <v>5645</v>
      </c>
      <c r="P48" t="b">
        <v>1</v>
      </c>
      <c r="Q48" t="b">
        <v>1</v>
      </c>
      <c r="R48" t="b">
        <f ca="1">S48</f>
        <v>0</v>
      </c>
      <c r="S48" t="b">
        <f ca="1">S15=1</f>
        <v>0</v>
      </c>
      <c r="T48" t="b">
        <v>0</v>
      </c>
      <c r="W48" s="17"/>
      <c r="X48" s="36"/>
      <c r="AC48" t="b">
        <f ca="1">OR(AD48,AE48)</f>
        <v>0</v>
      </c>
      <c r="AD48" t="b">
        <f>T48</f>
        <v>0</v>
      </c>
      <c r="AE48" t="b">
        <f ca="1">AND(R48,NOT(W48))</f>
        <v>0</v>
      </c>
      <c r="AL48" t="s">
        <v>5727</v>
      </c>
      <c r="AP48" t="str">
        <f>"des"&amp;AL48</f>
        <v>desWaterSenseShowerheads</v>
      </c>
      <c r="AQ48" t="str">
        <f>IF(LEN(W48)=0,"",W48)</f>
        <v/>
      </c>
      <c r="AR48" t="str">
        <f>"dnt"&amp;AL48</f>
        <v>dntWaterSenseShowerheads</v>
      </c>
      <c r="AS48" t="str">
        <f>IF(LEN(X48)=0,"",X48)</f>
        <v/>
      </c>
      <c r="AX48" s="6" t="str">
        <f>'Overview (Design)'!A47</f>
        <v>Maximum skylight U-value:</v>
      </c>
      <c r="AY48">
        <f>'Overview (Design)'!G47</f>
        <v>0</v>
      </c>
    </row>
    <row r="49" spans="3:51" x14ac:dyDescent="0.35">
      <c r="AX49" s="6" t="str">
        <f>'Overview (Design)'!A48</f>
        <v>Renewable Energy:</v>
      </c>
      <c r="AY49">
        <f>'Overview (Design)'!G48</f>
        <v>0</v>
      </c>
    </row>
    <row r="50" spans="3:51" x14ac:dyDescent="0.35">
      <c r="C50" t="s">
        <v>5646</v>
      </c>
      <c r="S50" t="b">
        <f ca="1">S15=2</f>
        <v>1</v>
      </c>
      <c r="W50" s="351" t="str">
        <f ca="1">IF(S50,IF('Ch8'!O80&gt;0,"Met", "Not Met"),"N/A")</f>
        <v>Not Met</v>
      </c>
      <c r="AX50" s="6" t="str">
        <f>'Overview (Design)'!A49</f>
        <v>Thermal Envelope Insulation:</v>
      </c>
      <c r="AY50">
        <f>'Overview (Design)'!G49</f>
        <v>0</v>
      </c>
    </row>
    <row r="51" spans="3:51" x14ac:dyDescent="0.35">
      <c r="AX51" s="6" t="str">
        <f>'Overview (Design)'!A50</f>
        <v>Attic Type:</v>
      </c>
      <c r="AY51" t="str">
        <f>'Overview (Design)'!G50</f>
        <v>Vented</v>
      </c>
    </row>
    <row r="52" spans="3:51" x14ac:dyDescent="0.35">
      <c r="AX52" s="6" t="str">
        <f>'Overview (Design)'!A51</f>
        <v>Attached Garage:</v>
      </c>
      <c r="AY52" t="str">
        <f>'Overview (Design)'!G51</f>
        <v>Yes</v>
      </c>
    </row>
    <row r="53" spans="3:51" x14ac:dyDescent="0.35">
      <c r="C53" s="216" t="s">
        <v>5682</v>
      </c>
      <c r="AX53" s="6" t="str">
        <f>'Overview (Design)'!A52</f>
        <v>Recessed Lighting:</v>
      </c>
      <c r="AY53">
        <f>'Overview (Design)'!G52</f>
        <v>0</v>
      </c>
    </row>
    <row r="54" spans="3:51" x14ac:dyDescent="0.35">
      <c r="AX54" s="6"/>
    </row>
    <row r="55" spans="3:51" x14ac:dyDescent="0.35">
      <c r="C55" s="104" t="s">
        <v>5681</v>
      </c>
      <c r="D55" s="104"/>
      <c r="E55" s="104"/>
      <c r="F55" s="104"/>
      <c r="G55" s="104"/>
      <c r="H55" s="104"/>
      <c r="I55" s="104"/>
      <c r="J55" s="104"/>
      <c r="K55" s="104"/>
      <c r="L55" s="104"/>
      <c r="M55" s="104"/>
      <c r="N55" s="104"/>
      <c r="O55" s="666"/>
      <c r="P55" t="b">
        <v>1</v>
      </c>
      <c r="Q55" t="b">
        <v>1</v>
      </c>
      <c r="R55" t="b">
        <v>0</v>
      </c>
      <c r="S55" t="b">
        <v>1</v>
      </c>
      <c r="T55" t="b">
        <v>0</v>
      </c>
      <c r="W55" s="17"/>
      <c r="X55" s="36"/>
      <c r="AC55" t="b">
        <f>OR(AD55,AE55)</f>
        <v>0</v>
      </c>
      <c r="AD55" t="b">
        <f>T55</f>
        <v>0</v>
      </c>
      <c r="AE55" t="b">
        <f>AND(R55,NOT(W55))</f>
        <v>0</v>
      </c>
      <c r="AL55" t="s">
        <v>5728</v>
      </c>
      <c r="AP55" t="str">
        <f>"des"&amp;AL55</f>
        <v>desWaterSenseIrrigation</v>
      </c>
      <c r="AQ55" t="str">
        <f>IF(LEN(W55)=0,"",W55)</f>
        <v/>
      </c>
      <c r="AR55" t="str">
        <f>"dnt"&amp;AL55</f>
        <v>dntWaterSenseIrrigation</v>
      </c>
      <c r="AS55" t="str">
        <f>IF(LEN(X55)=0,"",X55)</f>
        <v/>
      </c>
      <c r="AX55" s="6" t="str">
        <f>'Overview (Design)'!A54</f>
        <v>Special Design Features:</v>
      </c>
      <c r="AY55">
        <f>'Overview (Design)'!G54</f>
        <v>0</v>
      </c>
    </row>
    <row r="56" spans="3:51" x14ac:dyDescent="0.35">
      <c r="AX56" s="6" t="str">
        <f>'Overview (Design)'!A55</f>
        <v>Passive Solar:</v>
      </c>
      <c r="AY56">
        <f>'Overview (Design)'!G55</f>
        <v>0</v>
      </c>
    </row>
    <row r="57" spans="3:51" x14ac:dyDescent="0.35">
      <c r="C57" t="s">
        <v>5679</v>
      </c>
      <c r="AX57" s="6" t="str">
        <f>'Overview (Design)'!A56</f>
        <v>Mass Walls:</v>
      </c>
      <c r="AY57">
        <f>'Overview (Design)'!G56</f>
        <v>0</v>
      </c>
    </row>
    <row r="58" spans="3:51" x14ac:dyDescent="0.35">
      <c r="AX58" s="6" t="str">
        <f>'Overview (Design)'!A57</f>
        <v>Radiant/Hydronic:</v>
      </c>
      <c r="AY58">
        <f>'Overview (Design)'!G57</f>
        <v>0</v>
      </c>
    </row>
    <row r="59" spans="3:51" x14ac:dyDescent="0.35">
      <c r="C59" s="104" t="s">
        <v>5680</v>
      </c>
      <c r="D59" s="104"/>
      <c r="E59" s="104"/>
      <c r="F59" s="104"/>
      <c r="G59" s="104"/>
      <c r="H59" s="104"/>
      <c r="I59" s="104"/>
      <c r="J59" s="104"/>
      <c r="K59" s="104"/>
      <c r="L59" s="104"/>
      <c r="M59" s="104"/>
      <c r="N59" s="104"/>
      <c r="O59" s="666"/>
      <c r="S59" t="b">
        <f ca="1">AND(S15=1,NOT(W55=TRUE))</f>
        <v>0</v>
      </c>
      <c r="W59" s="351" t="str">
        <f ca="1">IF(S59,IF('Ch5'!O156&gt;0,"Met", "Not Met"),"N/A")</f>
        <v>N/A</v>
      </c>
      <c r="AX59" s="6" t="str">
        <f>'Overview (Design)'!A58</f>
        <v>Tankless Water Heater:</v>
      </c>
      <c r="AY59">
        <f>'Overview (Design)'!G58</f>
        <v>0</v>
      </c>
    </row>
    <row r="60" spans="3:51" x14ac:dyDescent="0.35">
      <c r="AX60" s="6" t="str">
        <f>'Overview (Design)'!A59</f>
        <v>Composting Toilet:</v>
      </c>
      <c r="AY60">
        <f>'Overview (Design)'!G59</f>
        <v>0</v>
      </c>
    </row>
    <row r="61" spans="3:51" x14ac:dyDescent="0.35">
      <c r="C61" t="s">
        <v>5683</v>
      </c>
      <c r="AX61" s="6"/>
    </row>
    <row r="62" spans="3:51" x14ac:dyDescent="0.35">
      <c r="AX62" s="6" t="str">
        <f>'Overview (Design)'!A61</f>
        <v>Local Energy Code:</v>
      </c>
      <c r="AY62">
        <f>'Overview (Design)'!G61</f>
        <v>0</v>
      </c>
    </row>
    <row r="63" spans="3:51" x14ac:dyDescent="0.35">
      <c r="C63" t="s">
        <v>5684</v>
      </c>
      <c r="S63" t="b">
        <f ca="1">AND(S15=2,NOT(W55=TRUE))</f>
        <v>1</v>
      </c>
      <c r="W63" s="351" t="str">
        <f ca="1">IF(S63,IF('Ch8'!O164&gt;0,"Met", "Not Met"),"N/A")</f>
        <v>Not Met</v>
      </c>
      <c r="AX63" s="6" t="str">
        <f>'Overview (Design)'!A62</f>
        <v>Local Building Code:</v>
      </c>
      <c r="AY63">
        <f>'Overview (Design)'!G62</f>
        <v>0</v>
      </c>
    </row>
    <row r="64" spans="3:51" x14ac:dyDescent="0.35">
      <c r="AX64" s="6"/>
    </row>
    <row r="65" spans="3:51" x14ac:dyDescent="0.35">
      <c r="C65" s="639" t="s">
        <v>5237</v>
      </c>
      <c r="AX65" s="6" t="str">
        <f>'Overview (Design)'!A64</f>
        <v>Who completed this information?</v>
      </c>
      <c r="AY65" t="str">
        <f>'Overview (Design)'!G64</f>
        <v>NGBS Green Verifier</v>
      </c>
    </row>
    <row r="66" spans="3:51" ht="15" customHeight="1" x14ac:dyDescent="0.35">
      <c r="C66" s="6" t="s">
        <v>3457</v>
      </c>
      <c r="D66" s="1038" t="s">
        <v>5685</v>
      </c>
      <c r="E66" s="1038"/>
      <c r="F66" s="1038"/>
      <c r="G66" s="1038"/>
      <c r="H66" s="1038"/>
      <c r="I66" s="1038"/>
      <c r="J66" s="1038"/>
      <c r="K66" s="1038"/>
      <c r="L66" s="1038"/>
      <c r="M66" s="1038"/>
      <c r="N66" s="1038"/>
      <c r="O66" s="1038"/>
      <c r="AX66" s="6"/>
    </row>
    <row r="67" spans="3:51" x14ac:dyDescent="0.35">
      <c r="C67" s="6"/>
      <c r="D67" s="1038"/>
      <c r="E67" s="1038"/>
      <c r="F67" s="1038"/>
      <c r="G67" s="1038"/>
      <c r="H67" s="1038"/>
      <c r="I67" s="1038"/>
      <c r="J67" s="1038"/>
      <c r="K67" s="1038"/>
      <c r="L67" s="1038"/>
      <c r="M67" s="1038"/>
      <c r="N67" s="1038"/>
      <c r="O67" s="1038"/>
      <c r="AX67" s="6"/>
    </row>
    <row r="68" spans="3:51" ht="15" customHeight="1" x14ac:dyDescent="0.35">
      <c r="C68" s="6" t="s">
        <v>3457</v>
      </c>
      <c r="D68" s="1038" t="s">
        <v>5686</v>
      </c>
      <c r="E68" s="1038"/>
      <c r="F68" s="1038"/>
      <c r="G68" s="1038"/>
      <c r="H68" s="1038"/>
      <c r="I68" s="1038"/>
      <c r="J68" s="1038"/>
      <c r="K68" s="1038"/>
      <c r="L68" s="1038"/>
      <c r="M68" s="1038"/>
      <c r="N68" s="1038"/>
      <c r="O68" s="1038"/>
      <c r="AX68" s="6"/>
    </row>
    <row r="69" spans="3:51" x14ac:dyDescent="0.35">
      <c r="D69" s="1038"/>
      <c r="E69" s="1038"/>
      <c r="F69" s="1038"/>
      <c r="G69" s="1038"/>
      <c r="H69" s="1038"/>
      <c r="I69" s="1038"/>
      <c r="J69" s="1038"/>
      <c r="K69" s="1038"/>
      <c r="L69" s="1038"/>
      <c r="M69" s="1038"/>
      <c r="N69" s="1038"/>
      <c r="O69" s="1038"/>
      <c r="AX69" s="6"/>
    </row>
    <row r="70" spans="3:51" x14ac:dyDescent="0.35">
      <c r="C70" s="104"/>
      <c r="D70" s="1039"/>
      <c r="E70" s="1039"/>
      <c r="F70" s="1039"/>
      <c r="G70" s="1039"/>
      <c r="H70" s="1039"/>
      <c r="I70" s="1039"/>
      <c r="J70" s="1039"/>
      <c r="K70" s="1039"/>
      <c r="L70" s="1039"/>
      <c r="M70" s="1039"/>
      <c r="N70" s="1039"/>
      <c r="O70" s="1039"/>
      <c r="AX70" s="6"/>
    </row>
    <row r="71" spans="3:51" x14ac:dyDescent="0.35">
      <c r="D71" s="341"/>
      <c r="E71" s="341"/>
      <c r="F71" s="341"/>
      <c r="G71" s="341"/>
      <c r="H71" s="341"/>
      <c r="I71" s="341"/>
      <c r="J71" s="341"/>
      <c r="K71" s="341"/>
      <c r="L71" s="341"/>
      <c r="M71" s="341"/>
      <c r="N71" s="341"/>
      <c r="O71" s="341"/>
      <c r="AX71" s="6"/>
    </row>
    <row r="72" spans="3:51" x14ac:dyDescent="0.35">
      <c r="C72" t="s">
        <v>5687</v>
      </c>
      <c r="D72" s="341"/>
      <c r="E72" s="341"/>
      <c r="F72" s="341"/>
      <c r="G72" s="341"/>
      <c r="H72" s="341"/>
      <c r="I72" s="341"/>
      <c r="J72" s="341"/>
      <c r="K72" s="341"/>
      <c r="L72" s="341"/>
      <c r="M72" s="341"/>
      <c r="N72" s="341"/>
      <c r="O72" s="341"/>
      <c r="AX72" s="6"/>
    </row>
    <row r="73" spans="3:51" x14ac:dyDescent="0.35">
      <c r="D73" s="341"/>
      <c r="E73" s="341"/>
      <c r="F73" s="341"/>
      <c r="G73" s="341"/>
      <c r="H73" s="341"/>
      <c r="I73" s="341"/>
      <c r="J73" s="341"/>
      <c r="K73" s="341"/>
      <c r="L73" s="341"/>
      <c r="M73" s="341"/>
      <c r="N73" s="341"/>
      <c r="O73" s="341"/>
      <c r="AX73" s="6"/>
    </row>
    <row r="74" spans="3:51" x14ac:dyDescent="0.35">
      <c r="C74" t="s">
        <v>5688</v>
      </c>
      <c r="D74" s="341"/>
      <c r="E74" s="341"/>
      <c r="F74" s="341"/>
      <c r="G74" s="341"/>
      <c r="H74" s="341"/>
      <c r="I74" s="341"/>
      <c r="J74" s="341"/>
      <c r="K74" s="341"/>
      <c r="L74" s="341"/>
      <c r="M74" s="341"/>
      <c r="N74" s="341"/>
      <c r="O74" s="341"/>
      <c r="S74" t="b">
        <f ca="1">AND(S15=2,NOT(W55=TRUE))</f>
        <v>1</v>
      </c>
      <c r="W74" s="351" t="str">
        <f ca="1">IF(S74,IF('Ch8'!O156&gt;0,"Met", "Not Met"),"N/A")</f>
        <v>Not Met</v>
      </c>
      <c r="AX74" s="6"/>
    </row>
    <row r="75" spans="3:51" x14ac:dyDescent="0.35">
      <c r="D75" s="341"/>
      <c r="E75" s="341"/>
      <c r="F75" s="341"/>
      <c r="G75" s="341"/>
      <c r="H75" s="341"/>
      <c r="I75" s="341"/>
      <c r="J75" s="341"/>
      <c r="K75" s="341"/>
      <c r="L75" s="341"/>
      <c r="M75" s="341"/>
      <c r="N75" s="341"/>
      <c r="O75" s="341"/>
      <c r="AX75" s="6"/>
    </row>
    <row r="76" spans="3:51" x14ac:dyDescent="0.35">
      <c r="C76" s="639" t="s">
        <v>5237</v>
      </c>
      <c r="D76" s="341"/>
      <c r="E76" s="341"/>
      <c r="F76" s="341"/>
      <c r="G76" s="341"/>
      <c r="H76" s="341"/>
      <c r="I76" s="341"/>
      <c r="J76" s="341"/>
      <c r="K76" s="341"/>
      <c r="L76" s="341"/>
      <c r="M76" s="341"/>
      <c r="N76" s="341"/>
      <c r="O76" s="341"/>
      <c r="AX76" s="6"/>
    </row>
    <row r="77" spans="3:51" ht="15" customHeight="1" x14ac:dyDescent="0.35">
      <c r="C77" s="6" t="s">
        <v>3457</v>
      </c>
      <c r="D77" s="46" t="s">
        <v>5690</v>
      </c>
      <c r="E77" s="341"/>
      <c r="F77" s="341"/>
      <c r="G77" s="341"/>
      <c r="H77" s="341"/>
      <c r="I77" s="341"/>
      <c r="J77" s="341"/>
      <c r="K77" s="341"/>
      <c r="L77" s="341"/>
      <c r="M77" s="341"/>
      <c r="N77" s="341"/>
      <c r="O77" s="341"/>
      <c r="AX77" s="6"/>
    </row>
    <row r="78" spans="3:51" x14ac:dyDescent="0.35">
      <c r="D78" s="1040" t="s">
        <v>5689</v>
      </c>
      <c r="E78" s="1040"/>
      <c r="F78" s="1040"/>
      <c r="G78" s="1040"/>
      <c r="H78" s="1040"/>
      <c r="I78" s="1040"/>
      <c r="J78" s="1040"/>
      <c r="K78" s="341"/>
      <c r="L78" s="341"/>
      <c r="M78" s="341"/>
      <c r="N78" s="341"/>
      <c r="O78" s="341"/>
      <c r="AX78" s="6"/>
    </row>
    <row r="79" spans="3:51" x14ac:dyDescent="0.35">
      <c r="C79" s="104"/>
      <c r="D79" s="667" t="s">
        <v>5691</v>
      </c>
      <c r="E79" s="342"/>
      <c r="F79" s="342"/>
      <c r="G79" s="342"/>
      <c r="H79" s="342"/>
      <c r="I79" s="342"/>
      <c r="J79" s="342"/>
      <c r="K79" s="342"/>
      <c r="L79" s="342"/>
      <c r="M79" s="342"/>
      <c r="N79" s="342"/>
      <c r="O79" s="342"/>
      <c r="AX79" s="6"/>
    </row>
    <row r="80" spans="3:51" x14ac:dyDescent="0.35">
      <c r="D80" s="341"/>
      <c r="E80" s="341"/>
      <c r="F80" s="341"/>
      <c r="G80" s="341"/>
      <c r="H80" s="341"/>
      <c r="I80" s="341"/>
      <c r="J80" s="341"/>
      <c r="K80" s="341"/>
      <c r="L80" s="341"/>
      <c r="M80" s="341"/>
      <c r="N80" s="341"/>
      <c r="O80" s="341"/>
      <c r="AX80" s="6"/>
    </row>
    <row r="81" spans="3:50" x14ac:dyDescent="0.35">
      <c r="C81" s="760" t="s">
        <v>5692</v>
      </c>
      <c r="D81" s="760"/>
      <c r="E81" s="760"/>
      <c r="F81" s="760"/>
      <c r="G81" s="760"/>
      <c r="H81" s="760"/>
      <c r="I81" s="760"/>
      <c r="J81" s="760"/>
      <c r="K81" s="760"/>
      <c r="L81" s="760"/>
      <c r="M81" s="760"/>
      <c r="N81" s="760"/>
      <c r="O81" s="760"/>
      <c r="AX81" s="6"/>
    </row>
    <row r="82" spans="3:50" x14ac:dyDescent="0.35">
      <c r="C82" s="760"/>
      <c r="D82" s="760"/>
      <c r="E82" s="760"/>
      <c r="F82" s="760"/>
      <c r="G82" s="760"/>
      <c r="H82" s="760"/>
      <c r="I82" s="760"/>
      <c r="J82" s="760"/>
      <c r="K82" s="760"/>
      <c r="L82" s="760"/>
      <c r="M82" s="760"/>
      <c r="N82" s="760"/>
      <c r="O82" s="760"/>
      <c r="AX82" s="6"/>
    </row>
    <row r="83" spans="3:50" x14ac:dyDescent="0.35">
      <c r="D83" s="341"/>
      <c r="E83" s="341"/>
      <c r="F83" s="341"/>
      <c r="G83" s="341"/>
      <c r="H83" s="341"/>
      <c r="I83" s="341"/>
      <c r="J83" s="341"/>
      <c r="K83" s="341"/>
      <c r="L83" s="341"/>
      <c r="M83" s="341"/>
      <c r="N83" s="341"/>
      <c r="O83" s="341"/>
      <c r="AX83" s="6"/>
    </row>
    <row r="84" spans="3:50" x14ac:dyDescent="0.35">
      <c r="C84" t="s">
        <v>4374</v>
      </c>
      <c r="D84" s="341"/>
      <c r="E84" s="341"/>
      <c r="F84" s="341"/>
      <c r="G84" s="341"/>
      <c r="H84" s="341"/>
      <c r="I84" s="341"/>
      <c r="J84" s="341"/>
      <c r="K84" s="341"/>
      <c r="L84" s="341"/>
      <c r="M84" s="341"/>
      <c r="N84" s="341"/>
      <c r="O84" s="341"/>
      <c r="S84" t="b">
        <f ca="1">AND(S15=2,NOT(W55=TRUE))</f>
        <v>1</v>
      </c>
      <c r="W84" s="351" t="str">
        <f ca="1">IF(S84,IF(OR('Ch8'!W143="Met",'Ch8'!W143="N/A"),"Met", "Not Met"),"N/A")</f>
        <v>Not Met</v>
      </c>
      <c r="AX84" s="6"/>
    </row>
    <row r="85" spans="3:50" x14ac:dyDescent="0.35">
      <c r="D85" s="341"/>
      <c r="E85" s="341"/>
      <c r="F85" s="341"/>
      <c r="G85" s="341"/>
      <c r="H85" s="341"/>
      <c r="I85" s="341"/>
      <c r="J85" s="341"/>
      <c r="K85" s="341"/>
      <c r="L85" s="341"/>
      <c r="M85" s="341"/>
      <c r="N85" s="341"/>
      <c r="O85" s="341"/>
      <c r="AX85" s="6"/>
    </row>
    <row r="86" spans="3:50" x14ac:dyDescent="0.35">
      <c r="C86" s="639" t="s">
        <v>5237</v>
      </c>
      <c r="D86" s="341"/>
      <c r="E86" s="341"/>
      <c r="F86" s="341"/>
      <c r="G86" s="341"/>
      <c r="H86" s="341"/>
      <c r="I86" s="341"/>
      <c r="J86" s="341"/>
      <c r="K86" s="341"/>
      <c r="L86" s="341"/>
      <c r="M86" s="341"/>
      <c r="N86" s="341"/>
      <c r="O86" s="341"/>
      <c r="AX86" s="6"/>
    </row>
    <row r="87" spans="3:50" x14ac:dyDescent="0.35">
      <c r="C87" s="6" t="s">
        <v>3457</v>
      </c>
      <c r="D87" t="s">
        <v>5694</v>
      </c>
      <c r="AX87" s="6"/>
    </row>
    <row r="88" spans="3:50" x14ac:dyDescent="0.35">
      <c r="C88" s="6"/>
      <c r="D88" s="665" t="s">
        <v>5693</v>
      </c>
      <c r="AX88" s="6"/>
    </row>
    <row r="89" spans="3:50" x14ac:dyDescent="0.35">
      <c r="C89" s="6" t="s">
        <v>3457</v>
      </c>
      <c r="D89" s="1038" t="s">
        <v>5716</v>
      </c>
      <c r="E89" s="1038"/>
      <c r="F89" s="1038"/>
      <c r="G89" s="1038"/>
      <c r="H89" s="1038"/>
      <c r="I89" s="1038"/>
      <c r="J89" s="1038"/>
      <c r="K89" s="1038"/>
      <c r="L89" s="1038"/>
      <c r="M89" s="1038"/>
      <c r="N89" s="1038"/>
      <c r="O89" s="1038"/>
      <c r="AX89" s="6"/>
    </row>
    <row r="90" spans="3:50" x14ac:dyDescent="0.35">
      <c r="C90" s="6"/>
      <c r="D90" s="1038"/>
      <c r="E90" s="1038"/>
      <c r="F90" s="1038"/>
      <c r="G90" s="1038"/>
      <c r="H90" s="1038"/>
      <c r="I90" s="1038"/>
      <c r="J90" s="1038"/>
      <c r="K90" s="1038"/>
      <c r="L90" s="1038"/>
      <c r="M90" s="1038"/>
      <c r="N90" s="1038"/>
      <c r="O90" s="1038"/>
      <c r="AX90" s="6"/>
    </row>
    <row r="91" spans="3:50" x14ac:dyDescent="0.35">
      <c r="C91" s="6"/>
      <c r="D91" s="1038"/>
      <c r="E91" s="1038"/>
      <c r="F91" s="1038"/>
      <c r="G91" s="1038"/>
      <c r="H91" s="1038"/>
      <c r="I91" s="1038"/>
      <c r="J91" s="1038"/>
      <c r="K91" s="1038"/>
      <c r="L91" s="1038"/>
      <c r="M91" s="1038"/>
      <c r="N91" s="1038"/>
      <c r="O91" s="1038"/>
      <c r="AX91" s="6"/>
    </row>
    <row r="92" spans="3:50" x14ac:dyDescent="0.35">
      <c r="C92" s="6"/>
      <c r="D92" s="1038"/>
      <c r="E92" s="1038"/>
      <c r="F92" s="1038"/>
      <c r="G92" s="1038"/>
      <c r="H92" s="1038"/>
      <c r="I92" s="1038"/>
      <c r="J92" s="1038"/>
      <c r="K92" s="1038"/>
      <c r="L92" s="1038"/>
      <c r="M92" s="1038"/>
      <c r="N92" s="1038"/>
      <c r="O92" s="1038"/>
      <c r="AX92" s="6"/>
    </row>
    <row r="93" spans="3:50" x14ac:dyDescent="0.35">
      <c r="C93" s="6"/>
      <c r="D93" s="1038"/>
      <c r="E93" s="1038"/>
      <c r="F93" s="1038"/>
      <c r="G93" s="1038"/>
      <c r="H93" s="1038"/>
      <c r="I93" s="1038"/>
      <c r="J93" s="1038"/>
      <c r="K93" s="1038"/>
      <c r="L93" s="1038"/>
      <c r="M93" s="1038"/>
      <c r="N93" s="1038"/>
      <c r="O93" s="1038"/>
      <c r="AX93" s="6"/>
    </row>
    <row r="94" spans="3:50" x14ac:dyDescent="0.35">
      <c r="C94" s="6"/>
      <c r="AX94" s="6"/>
    </row>
    <row r="95" spans="3:50" x14ac:dyDescent="0.35">
      <c r="C95" s="6"/>
      <c r="AX95" s="6"/>
    </row>
    <row r="96" spans="3:50" x14ac:dyDescent="0.35">
      <c r="C96" s="216" t="s">
        <v>5647</v>
      </c>
      <c r="AX96" s="6"/>
    </row>
    <row r="97" spans="2:50" x14ac:dyDescent="0.35">
      <c r="AX97" s="6"/>
    </row>
    <row r="98" spans="2:50" x14ac:dyDescent="0.35">
      <c r="B98" s="645"/>
      <c r="C98" t="s">
        <v>5648</v>
      </c>
      <c r="S98" t="b">
        <f ca="1">S15=1</f>
        <v>0</v>
      </c>
      <c r="W98" s="351" t="str">
        <f ca="1">IF(S98,IF(AND(LEN('Ch8'!W239)&gt;0,'Ch8'!W239&lt;=64),"Met", "Not Met"),"N/A")</f>
        <v>N/A</v>
      </c>
      <c r="AX98" s="6"/>
    </row>
    <row r="99" spans="2:50" x14ac:dyDescent="0.35">
      <c r="AX99" s="6"/>
    </row>
    <row r="100" spans="2:50" x14ac:dyDescent="0.35">
      <c r="AX100" s="6"/>
    </row>
    <row r="101" spans="2:50" x14ac:dyDescent="0.35">
      <c r="C101" s="216" t="s">
        <v>5649</v>
      </c>
      <c r="AX101" s="6"/>
    </row>
    <row r="102" spans="2:50" x14ac:dyDescent="0.35">
      <c r="AX102" s="6"/>
    </row>
    <row r="103" spans="2:50" x14ac:dyDescent="0.35">
      <c r="B103" s="645"/>
      <c r="C103" t="s">
        <v>5695</v>
      </c>
      <c r="AX103" s="6"/>
    </row>
    <row r="104" spans="2:50" x14ac:dyDescent="0.35">
      <c r="AX104" s="6"/>
    </row>
    <row r="105" spans="2:50" x14ac:dyDescent="0.35">
      <c r="C105" t="s">
        <v>5696</v>
      </c>
      <c r="S105" t="b">
        <f ca="1">S15=2</f>
        <v>1</v>
      </c>
      <c r="W105" s="351" t="str">
        <f ca="1">IF(S105,IF('Ch8'!O112&gt;3,"Met", "Not Met"),"N/A")</f>
        <v>Met</v>
      </c>
      <c r="AX105" s="6"/>
    </row>
    <row r="106" spans="2:50" x14ac:dyDescent="0.35">
      <c r="AX106" s="6"/>
    </row>
    <row r="107" spans="2:50" x14ac:dyDescent="0.35">
      <c r="AX107" s="6"/>
    </row>
    <row r="108" spans="2:50" x14ac:dyDescent="0.35">
      <c r="C108" s="216" t="s">
        <v>5697</v>
      </c>
      <c r="AX108" s="6"/>
    </row>
    <row r="109" spans="2:50" x14ac:dyDescent="0.35">
      <c r="W109" s="6" t="s">
        <v>5701</v>
      </c>
      <c r="AX109" s="6"/>
    </row>
    <row r="110" spans="2:50" x14ac:dyDescent="0.35">
      <c r="C110" t="s">
        <v>5698</v>
      </c>
      <c r="P110" t="b">
        <v>1</v>
      </c>
      <c r="Q110" t="b">
        <v>1</v>
      </c>
      <c r="R110" t="b">
        <v>0</v>
      </c>
      <c r="S110" t="b">
        <v>1</v>
      </c>
      <c r="T110" t="b">
        <v>0</v>
      </c>
      <c r="W110" s="17"/>
      <c r="X110" s="36"/>
      <c r="AC110" t="b">
        <f>OR(AD110,AE110)</f>
        <v>0</v>
      </c>
      <c r="AD110" t="b">
        <f>T110</f>
        <v>0</v>
      </c>
      <c r="AE110" t="b">
        <f>AND(R110,NOT(W110))</f>
        <v>0</v>
      </c>
      <c r="AL110" t="s">
        <v>5731</v>
      </c>
      <c r="AP110" t="str">
        <f>"des"&amp;AL110</f>
        <v>desWaterSenseClothesWasher</v>
      </c>
      <c r="AQ110" t="str">
        <f>IF(LEN(W110)=0,"",W110)</f>
        <v/>
      </c>
      <c r="AR110" t="str">
        <f>"dnt"&amp;AL110</f>
        <v>dntWaterSenseClothesWasher</v>
      </c>
      <c r="AS110" t="str">
        <f>IF(LEN(X110)=0,"",X110)</f>
        <v/>
      </c>
      <c r="AX110" s="6"/>
    </row>
    <row r="111" spans="2:50" x14ac:dyDescent="0.35">
      <c r="AX111" s="6"/>
    </row>
    <row r="112" spans="2:50" x14ac:dyDescent="0.35">
      <c r="C112" s="104" t="s">
        <v>5699</v>
      </c>
      <c r="D112" s="104"/>
      <c r="E112" s="104"/>
      <c r="F112" s="104"/>
      <c r="G112" s="104"/>
      <c r="H112" s="104"/>
      <c r="I112" s="104"/>
      <c r="J112" s="104"/>
      <c r="K112" s="104"/>
      <c r="L112" s="104"/>
      <c r="M112" s="104"/>
      <c r="N112" s="104"/>
      <c r="O112" s="666"/>
      <c r="S112" t="b">
        <f ca="1">AND(S15=2,NOT(W110=TRUE))</f>
        <v>1</v>
      </c>
      <c r="W112" s="351" t="str">
        <f ca="1">IF(S112,IF('Ch8'!O56=18,"Met", "Not Met"),"N/A")</f>
        <v>Not Met</v>
      </c>
      <c r="AX112" s="6"/>
    </row>
    <row r="113" spans="3:50" x14ac:dyDescent="0.35">
      <c r="AX113" s="6"/>
    </row>
    <row r="114" spans="3:50" x14ac:dyDescent="0.35">
      <c r="W114" s="6" t="s">
        <v>5701</v>
      </c>
      <c r="AX114" s="6"/>
    </row>
    <row r="115" spans="3:50" x14ac:dyDescent="0.35">
      <c r="C115" t="s">
        <v>5700</v>
      </c>
      <c r="P115" t="b">
        <v>1</v>
      </c>
      <c r="Q115" t="b">
        <v>1</v>
      </c>
      <c r="R115" t="b">
        <v>0</v>
      </c>
      <c r="S115" t="b">
        <v>1</v>
      </c>
      <c r="T115" t="b">
        <v>0</v>
      </c>
      <c r="W115" s="17"/>
      <c r="X115" s="36"/>
      <c r="AC115" t="b">
        <f>OR(AD115,AE115)</f>
        <v>0</v>
      </c>
      <c r="AD115" t="b">
        <f>T115</f>
        <v>0</v>
      </c>
      <c r="AE115" t="b">
        <f>AND(R115,NOT(W115))</f>
        <v>0</v>
      </c>
      <c r="AL115" t="s">
        <v>5730</v>
      </c>
      <c r="AP115" t="str">
        <f>"des"&amp;AL115</f>
        <v>desWaterSenseDishwasher</v>
      </c>
      <c r="AQ115" t="str">
        <f>IF(LEN(W115)=0,"",W115)</f>
        <v/>
      </c>
      <c r="AR115" t="str">
        <f>"dnt"&amp;AL115</f>
        <v>dntWaterSenseDishwasher</v>
      </c>
      <c r="AS115" t="str">
        <f>IF(LEN(X115)=0,"",X115)</f>
        <v/>
      </c>
      <c r="AX115" s="6"/>
    </row>
    <row r="116" spans="3:50" x14ac:dyDescent="0.35">
      <c r="AX116" s="6"/>
    </row>
    <row r="117" spans="3:50" x14ac:dyDescent="0.35">
      <c r="C117" t="s">
        <v>5712</v>
      </c>
      <c r="S117" t="b">
        <f ca="1">AND(S15=2,NOT(W115=TRUE))</f>
        <v>1</v>
      </c>
      <c r="W117" s="351" t="str">
        <f ca="1">IF(S117,IF('Ch8'!O55&gt;0,"Met", "Not Met"),"N/A")</f>
        <v>Met</v>
      </c>
      <c r="AX117" s="6"/>
    </row>
    <row r="118" spans="3:50" x14ac:dyDescent="0.35">
      <c r="AX118" s="6"/>
    </row>
    <row r="119" spans="3:50" x14ac:dyDescent="0.35">
      <c r="AX119" s="6"/>
    </row>
    <row r="120" spans="3:50" x14ac:dyDescent="0.35">
      <c r="C120" s="216" t="s">
        <v>5702</v>
      </c>
      <c r="AX120" s="6"/>
    </row>
    <row r="121" spans="3:50" x14ac:dyDescent="0.35">
      <c r="AX121" s="6"/>
    </row>
    <row r="122" spans="3:50" x14ac:dyDescent="0.35">
      <c r="C122" s="1038" t="s">
        <v>5703</v>
      </c>
      <c r="D122" s="1038"/>
      <c r="E122" s="1038"/>
      <c r="F122" s="1038"/>
      <c r="G122" s="1038"/>
      <c r="H122" s="1038"/>
      <c r="I122" s="1038"/>
      <c r="J122" s="1038"/>
      <c r="K122" s="1038"/>
      <c r="L122" s="1038"/>
      <c r="M122" s="1038"/>
      <c r="N122" s="1038"/>
      <c r="O122" s="1038"/>
      <c r="AX122" s="6"/>
    </row>
    <row r="123" spans="3:50" x14ac:dyDescent="0.35">
      <c r="C123" s="1038"/>
      <c r="D123" s="1038"/>
      <c r="E123" s="1038"/>
      <c r="F123" s="1038"/>
      <c r="G123" s="1038"/>
      <c r="H123" s="1038"/>
      <c r="I123" s="1038"/>
      <c r="J123" s="1038"/>
      <c r="K123" s="1038"/>
      <c r="L123" s="1038"/>
      <c r="M123" s="1038"/>
      <c r="N123" s="1038"/>
      <c r="O123" s="1038"/>
      <c r="AX123" s="6"/>
    </row>
    <row r="124" spans="3:50" x14ac:dyDescent="0.35">
      <c r="AX124" s="6"/>
    </row>
    <row r="125" spans="3:50" x14ac:dyDescent="0.35">
      <c r="C125" t="s">
        <v>5704</v>
      </c>
      <c r="S125" t="b">
        <f ca="1">S15=2</f>
        <v>1</v>
      </c>
      <c r="W125" s="351" t="str">
        <f ca="1">IF(S125,IF('Ch8'!O20&gt;8,"Met", "Not Met"),"N/A")</f>
        <v>Not Met</v>
      </c>
      <c r="AX125" s="6"/>
    </row>
    <row r="126" spans="3:50" x14ac:dyDescent="0.35">
      <c r="AX126" s="6"/>
    </row>
    <row r="127" spans="3:50" x14ac:dyDescent="0.35">
      <c r="AX127" s="6"/>
    </row>
    <row r="128" spans="3:50" x14ac:dyDescent="0.35">
      <c r="C128" s="216" t="s">
        <v>5705</v>
      </c>
      <c r="AX128" s="6"/>
    </row>
    <row r="129" spans="3:50" x14ac:dyDescent="0.35">
      <c r="AX129" s="6"/>
    </row>
    <row r="130" spans="3:50" x14ac:dyDescent="0.35">
      <c r="C130" t="s">
        <v>5706</v>
      </c>
      <c r="S130" t="b">
        <f ca="1">AND(S15=2,(AY19=INDEX(INDIRECT("ddSingleOrMulti"),2)))</f>
        <v>0</v>
      </c>
      <c r="W130" s="351" t="str">
        <f ca="1">IF(S130,IF(OR(W132=TRUE,W136="Met",W143="Met"),"Met", "Not Met"),"N/A")</f>
        <v>N/A</v>
      </c>
      <c r="AX130" s="6"/>
    </row>
    <row r="131" spans="3:50" x14ac:dyDescent="0.35">
      <c r="AX131" s="6"/>
    </row>
    <row r="132" spans="3:50" x14ac:dyDescent="0.35">
      <c r="C132" s="104" t="s">
        <v>5707</v>
      </c>
      <c r="D132" s="104"/>
      <c r="E132" s="104"/>
      <c r="F132" s="104"/>
      <c r="G132" s="104"/>
      <c r="H132" s="104"/>
      <c r="I132" s="104"/>
      <c r="J132" s="104"/>
      <c r="K132" s="104"/>
      <c r="L132" s="104"/>
      <c r="M132" s="104"/>
      <c r="N132" s="104"/>
      <c r="O132" s="666"/>
      <c r="P132" t="b">
        <v>1</v>
      </c>
      <c r="Q132" t="b">
        <v>1</v>
      </c>
      <c r="R132" t="b">
        <v>0</v>
      </c>
      <c r="S132" t="b">
        <v>1</v>
      </c>
      <c r="T132" t="b">
        <v>0</v>
      </c>
      <c r="W132" s="17"/>
      <c r="X132" s="36"/>
      <c r="AC132" t="b">
        <f>OR(AD132,AE132)</f>
        <v>0</v>
      </c>
      <c r="AD132" t="b">
        <f>T132</f>
        <v>0</v>
      </c>
      <c r="AE132" t="b">
        <f>AND(R132,NOT(W132))</f>
        <v>0</v>
      </c>
      <c r="AL132" t="s">
        <v>5729</v>
      </c>
      <c r="AP132" t="str">
        <f>"des"&amp;AL132</f>
        <v>desWaterSenseOptionA</v>
      </c>
      <c r="AQ132" t="str">
        <f>IF(LEN(W132)=0,"",W132)</f>
        <v/>
      </c>
      <c r="AR132" t="str">
        <f>"dnt"&amp;AL132</f>
        <v>dntWaterSenseOptionA</v>
      </c>
      <c r="AS132" t="str">
        <f>IF(LEN(X132)=0,"",X132)</f>
        <v/>
      </c>
      <c r="AX132" s="6"/>
    </row>
    <row r="133" spans="3:50" x14ac:dyDescent="0.35">
      <c r="AX133" s="6"/>
    </row>
    <row r="134" spans="3:50" x14ac:dyDescent="0.35">
      <c r="C134" t="s">
        <v>5708</v>
      </c>
      <c r="AX134" s="6"/>
    </row>
    <row r="135" spans="3:50" x14ac:dyDescent="0.35">
      <c r="AX135" s="6"/>
    </row>
    <row r="136" spans="3:50" x14ac:dyDescent="0.35">
      <c r="C136" s="104" t="s">
        <v>5709</v>
      </c>
      <c r="D136" s="104"/>
      <c r="E136" s="104"/>
      <c r="F136" s="104"/>
      <c r="G136" s="104"/>
      <c r="H136" s="104"/>
      <c r="I136" s="104"/>
      <c r="J136" s="104"/>
      <c r="K136" s="104"/>
      <c r="L136" s="104"/>
      <c r="M136" s="104"/>
      <c r="N136" s="104"/>
      <c r="O136" s="666"/>
      <c r="S136" t="b">
        <f ca="1">S130</f>
        <v>0</v>
      </c>
      <c r="W136" s="351" t="str">
        <f ca="1">IF(S136,IF('Ch8'!O92&gt;0,"Met", "Not Met"),"N/A")</f>
        <v>N/A</v>
      </c>
    </row>
    <row r="138" spans="3:50" x14ac:dyDescent="0.35">
      <c r="C138" s="760" t="s">
        <v>5710</v>
      </c>
      <c r="D138" s="760"/>
      <c r="E138" s="760"/>
      <c r="F138" s="760"/>
      <c r="G138" s="760"/>
      <c r="H138" s="760"/>
      <c r="I138" s="760"/>
      <c r="J138" s="760"/>
      <c r="K138" s="760"/>
      <c r="L138" s="760"/>
      <c r="M138" s="760"/>
      <c r="N138" s="760"/>
      <c r="O138" s="760"/>
    </row>
    <row r="139" spans="3:50" x14ac:dyDescent="0.35">
      <c r="C139" s="760"/>
      <c r="D139" s="760"/>
      <c r="E139" s="760"/>
      <c r="F139" s="760"/>
      <c r="G139" s="760"/>
      <c r="H139" s="760"/>
      <c r="I139" s="760"/>
      <c r="J139" s="760"/>
      <c r="K139" s="760"/>
      <c r="L139" s="760"/>
      <c r="M139" s="760"/>
      <c r="N139" s="760"/>
      <c r="O139" s="760"/>
    </row>
    <row r="140" spans="3:50" x14ac:dyDescent="0.35">
      <c r="C140" s="760"/>
      <c r="D140" s="760"/>
      <c r="E140" s="760"/>
      <c r="F140" s="760"/>
      <c r="G140" s="760"/>
      <c r="H140" s="760"/>
      <c r="I140" s="760"/>
      <c r="J140" s="760"/>
      <c r="K140" s="760"/>
      <c r="L140" s="760"/>
      <c r="M140" s="760"/>
      <c r="N140" s="760"/>
      <c r="O140" s="760"/>
    </row>
    <row r="141" spans="3:50" x14ac:dyDescent="0.35">
      <c r="C141" s="760"/>
      <c r="D141" s="760"/>
      <c r="E141" s="760"/>
      <c r="F141" s="760"/>
      <c r="G141" s="760"/>
      <c r="H141" s="760"/>
      <c r="I141" s="760"/>
      <c r="J141" s="760"/>
      <c r="K141" s="760"/>
      <c r="L141" s="760"/>
      <c r="M141" s="760"/>
      <c r="N141" s="760"/>
      <c r="O141" s="760"/>
    </row>
    <row r="143" spans="3:50" x14ac:dyDescent="0.35">
      <c r="C143" t="s">
        <v>5711</v>
      </c>
      <c r="S143" t="b">
        <f ca="1">S130</f>
        <v>0</v>
      </c>
      <c r="W143" s="351" t="str">
        <f ca="1">IF(S143,IF('Ch8'!O20=9,"Met", "Not Met"),"N/A")</f>
        <v>N/A</v>
      </c>
    </row>
  </sheetData>
  <sheetProtection algorithmName="SHA-512" hashValue="Z1mbZ2QYdg4ozSsajvoXDsIJ4dSenJBxCzWuXL3YzCLyT1iIDRk61xkQkJmVSYekZwwEecXR1YFXjNt6Pk+amA==" saltValue="26BKsI8ZlHZ6XhM2CfnpOA==" spinCount="100000" sheet="1" objects="1" scenarios="1" selectLockedCells="1"/>
  <mergeCells count="16">
    <mergeCell ref="W1:W3"/>
    <mergeCell ref="B10:E11"/>
    <mergeCell ref="C20:M21"/>
    <mergeCell ref="C24:M26"/>
    <mergeCell ref="C28:M29"/>
    <mergeCell ref="C122:O123"/>
    <mergeCell ref="C138:O141"/>
    <mergeCell ref="G10:O11"/>
    <mergeCell ref="X20:X21"/>
    <mergeCell ref="X24:X26"/>
    <mergeCell ref="X28:X29"/>
    <mergeCell ref="C81:O82"/>
    <mergeCell ref="D66:O67"/>
    <mergeCell ref="D68:O70"/>
    <mergeCell ref="D78:J78"/>
    <mergeCell ref="D89:O93"/>
  </mergeCells>
  <phoneticPr fontId="89" type="noConversion"/>
  <conditionalFormatting sqref="W18">
    <cfRule type="expression" dxfId="3074" priority="57">
      <formula>OR($T$18 = TRUE, AND($W$18 = TRUE, $S$18 = FALSE))</formula>
    </cfRule>
    <cfRule type="expression" dxfId="3073" priority="58">
      <formula>$S$18 = FALSE</formula>
    </cfRule>
    <cfRule type="expression" dxfId="3072" priority="59">
      <formula>AND(IF($R$18,$W$18,TRUE),LEN(TRIM($W$18))&gt;0)</formula>
    </cfRule>
    <cfRule type="expression" dxfId="3071" priority="60">
      <formula>AND($R$18,$S$18)</formula>
    </cfRule>
  </conditionalFormatting>
  <conditionalFormatting sqref="W19">
    <cfRule type="expression" dxfId="3070" priority="53">
      <formula>OR($T$19 = TRUE, AND($W$19 = TRUE, $S$19 = FALSE))</formula>
    </cfRule>
    <cfRule type="expression" dxfId="3069" priority="54">
      <formula>$S$19 = FALSE</formula>
    </cfRule>
    <cfRule type="expression" dxfId="3068" priority="55">
      <formula>AND(IF($R$19,$W$19,TRUE),LEN(TRIM($W$19))&gt;0)</formula>
    </cfRule>
    <cfRule type="expression" dxfId="3067" priority="56">
      <formula>AND($R$19,$S$19)</formula>
    </cfRule>
  </conditionalFormatting>
  <conditionalFormatting sqref="W20">
    <cfRule type="expression" dxfId="3066" priority="49">
      <formula>OR($T$20 = TRUE, AND($W$20 = TRUE, $S$20 = FALSE))</formula>
    </cfRule>
    <cfRule type="expression" dxfId="3065" priority="50">
      <formula>$S$20 = FALSE</formula>
    </cfRule>
    <cfRule type="expression" dxfId="3064" priority="51">
      <formula>AND(IF($R$20,$W$20,TRUE),LEN(TRIM($W$20))&gt;0)</formula>
    </cfRule>
    <cfRule type="expression" dxfId="3063" priority="52">
      <formula>AND($R$20,$S$20)</formula>
    </cfRule>
  </conditionalFormatting>
  <conditionalFormatting sqref="W22">
    <cfRule type="expression" dxfId="3062" priority="45">
      <formula>OR($T$22 = TRUE, AND($W$22 = TRUE, $S$22 = FALSE))</formula>
    </cfRule>
    <cfRule type="expression" dxfId="3061" priority="46">
      <formula>$S$22 = FALSE</formula>
    </cfRule>
    <cfRule type="expression" dxfId="3060" priority="47">
      <formula>AND(IF($R$22,$W$22,TRUE),LEN(TRIM($W$22))&gt;0)</formula>
    </cfRule>
    <cfRule type="expression" dxfId="3059" priority="48">
      <formula>AND($R$22,$S$22)</formula>
    </cfRule>
  </conditionalFormatting>
  <conditionalFormatting sqref="W23">
    <cfRule type="expression" dxfId="3058" priority="41">
      <formula>OR($T$23 = TRUE, AND($W$23 = TRUE, $S$23 = FALSE))</formula>
    </cfRule>
    <cfRule type="expression" dxfId="3057" priority="42">
      <formula>$S$23 = FALSE</formula>
    </cfRule>
    <cfRule type="expression" dxfId="3056" priority="43">
      <formula>AND(IF($R$23,$W$23,TRUE),LEN(TRIM($W$23))&gt;0)</formula>
    </cfRule>
    <cfRule type="expression" dxfId="3055" priority="44">
      <formula>AND($R$23,$S$23)</formula>
    </cfRule>
  </conditionalFormatting>
  <conditionalFormatting sqref="W24">
    <cfRule type="expression" dxfId="3054" priority="37">
      <formula>OR($T$24 = TRUE, AND($W$24 = TRUE, $S$24 = FALSE))</formula>
    </cfRule>
    <cfRule type="expression" dxfId="3053" priority="38">
      <formula>$S$24 = FALSE</formula>
    </cfRule>
    <cfRule type="expression" dxfId="3052" priority="39">
      <formula>AND(IF($R$24,$W$24,TRUE),LEN(TRIM($W$24))&gt;0)</formula>
    </cfRule>
    <cfRule type="expression" dxfId="3051" priority="40">
      <formula>AND($R$24,$S$24)</formula>
    </cfRule>
  </conditionalFormatting>
  <conditionalFormatting sqref="W27">
    <cfRule type="expression" dxfId="3050" priority="33">
      <formula>OR($T$27 = TRUE, AND($W$27 = TRUE, $S$27 = FALSE))</formula>
    </cfRule>
    <cfRule type="expression" dxfId="3049" priority="34">
      <formula>$S$27 = FALSE</formula>
    </cfRule>
    <cfRule type="expression" dxfId="3048" priority="35">
      <formula>AND(IF($R$27,$W$27,TRUE),LEN(TRIM($W$27))&gt;0)</formula>
    </cfRule>
    <cfRule type="expression" dxfId="3047" priority="36">
      <formula>AND($R$27,$S$27)</formula>
    </cfRule>
  </conditionalFormatting>
  <conditionalFormatting sqref="W28">
    <cfRule type="expression" dxfId="3046" priority="29">
      <formula>OR($T$28 = TRUE, AND($W$28 = TRUE, $S$28 = FALSE))</formula>
    </cfRule>
    <cfRule type="expression" dxfId="3045" priority="30">
      <formula>$S$28 = FALSE</formula>
    </cfRule>
    <cfRule type="expression" dxfId="3044" priority="31">
      <formula>AND(IF($R$28,$W$28,TRUE),LEN(TRIM($W$28))&gt;0)</formula>
    </cfRule>
    <cfRule type="expression" dxfId="3043" priority="32">
      <formula>AND($R$28,$S$28)</formula>
    </cfRule>
  </conditionalFormatting>
  <conditionalFormatting sqref="W34">
    <cfRule type="expression" dxfId="3042" priority="25">
      <formula>OR($T$34 = TRUE, AND($W$34 = TRUE, $S$34 = FALSE))</formula>
    </cfRule>
    <cfRule type="expression" dxfId="3041" priority="26">
      <formula>$S$34 = FALSE</formula>
    </cfRule>
    <cfRule type="expression" dxfId="3040" priority="27">
      <formula>AND(IF($R$34,$W$34,TRUE),LEN(TRIM($W$34))&gt;0)</formula>
    </cfRule>
    <cfRule type="expression" dxfId="3039" priority="28">
      <formula>AND($R$34,$S$34)</formula>
    </cfRule>
  </conditionalFormatting>
  <conditionalFormatting sqref="W41">
    <cfRule type="expression" dxfId="3038" priority="21">
      <formula>OR($T$41 = TRUE, AND($W$41 = TRUE, $S$41 = FALSE))</formula>
    </cfRule>
    <cfRule type="expression" dxfId="3037" priority="22">
      <formula>$S$41 = FALSE</formula>
    </cfRule>
    <cfRule type="expression" dxfId="3036" priority="23">
      <formula>AND(IF($R$41,$W$41,TRUE),LEN(TRIM($W$41))&gt;0)</formula>
    </cfRule>
    <cfRule type="expression" dxfId="3035" priority="24">
      <formula>AND($R$41,$S$41)</formula>
    </cfRule>
  </conditionalFormatting>
  <conditionalFormatting sqref="W48">
    <cfRule type="expression" dxfId="3034" priority="17">
      <formula>OR($T$48 = TRUE, AND($W$48 = TRUE, $S$48 = FALSE))</formula>
    </cfRule>
    <cfRule type="expression" dxfId="3033" priority="18">
      <formula>$S$48 = FALSE</formula>
    </cfRule>
    <cfRule type="expression" dxfId="3032" priority="19">
      <formula>AND(IF($R$48,$W$48,TRUE),LEN(TRIM($W$48))&gt;0)</formula>
    </cfRule>
    <cfRule type="expression" dxfId="3031" priority="20">
      <formula>AND($R$48,$S$48)</formula>
    </cfRule>
  </conditionalFormatting>
  <conditionalFormatting sqref="W55">
    <cfRule type="expression" dxfId="3030" priority="13">
      <formula>OR($T$55 = TRUE, AND($W$55 = TRUE, $S$55 = FALSE))</formula>
    </cfRule>
    <cfRule type="expression" dxfId="3029" priority="14">
      <formula>$S$55 = FALSE</formula>
    </cfRule>
    <cfRule type="expression" dxfId="3028" priority="15">
      <formula>AND(IF($R$55,$W$55,TRUE),LEN(TRIM($W$55))&gt;0)</formula>
    </cfRule>
    <cfRule type="expression" dxfId="3027" priority="16">
      <formula>AND($R$55,$S$55)</formula>
    </cfRule>
  </conditionalFormatting>
  <conditionalFormatting sqref="W110">
    <cfRule type="expression" dxfId="3026" priority="9">
      <formula>OR($T$110 = TRUE, AND($W$110 = TRUE, $S$110 = FALSE))</formula>
    </cfRule>
    <cfRule type="expression" dxfId="3025" priority="10">
      <formula>$S$110 = FALSE</formula>
    </cfRule>
    <cfRule type="expression" dxfId="3024" priority="11">
      <formula>AND(IF($R$110,$W$110,TRUE),LEN(TRIM($W$110))&gt;0)</formula>
    </cfRule>
    <cfRule type="expression" dxfId="3023" priority="12">
      <formula>AND($R$110,$S$110)</formula>
    </cfRule>
  </conditionalFormatting>
  <conditionalFormatting sqref="W115">
    <cfRule type="expression" dxfId="3022" priority="5">
      <formula>OR($T$115 = TRUE, AND($W$115 = TRUE, $S$115 = FALSE))</formula>
    </cfRule>
    <cfRule type="expression" dxfId="3021" priority="6">
      <formula>$S$115 = FALSE</formula>
    </cfRule>
    <cfRule type="expression" dxfId="3020" priority="7">
      <formula>AND(IF($R$115,$W$115,TRUE),LEN(TRIM($W$115))&gt;0)</formula>
    </cfRule>
    <cfRule type="expression" dxfId="3019" priority="8">
      <formula>AND($R$115,$S$115)</formula>
    </cfRule>
  </conditionalFormatting>
  <conditionalFormatting sqref="W132">
    <cfRule type="expression" dxfId="3018" priority="1">
      <formula>OR($T$132 = TRUE, AND($W$132 = TRUE, $S$132 = FALSE))</formula>
    </cfRule>
    <cfRule type="expression" dxfId="3017" priority="2">
      <formula>$S$132 = FALSE</formula>
    </cfRule>
    <cfRule type="expression" dxfId="3016" priority="3">
      <formula>AND(IF($R$132,$W$132,TRUE),LEN(TRIM($W$132))&gt;0)</formula>
    </cfRule>
    <cfRule type="expression" dxfId="3015" priority="4">
      <formula>AND($R$132,$S$132)</formula>
    </cfRule>
  </conditionalFormatting>
  <conditionalFormatting sqref="X1">
    <cfRule type="expression" dxfId="3014" priority="77">
      <formula>startError</formula>
    </cfRule>
  </conditionalFormatting>
  <conditionalFormatting sqref="X2">
    <cfRule type="expression" dxfId="3013" priority="80">
      <formula>$AG$3</formula>
    </cfRule>
  </conditionalFormatting>
  <conditionalFormatting sqref="X3">
    <cfRule type="expression" dxfId="3012" priority="81">
      <formula>$AI$3</formula>
    </cfRule>
  </conditionalFormatting>
  <dataValidations count="1">
    <dataValidation type="list" allowBlank="1" showDropDown="1" showInputMessage="1" showErrorMessage="1" error="Use Checkbox" prompt="Use Checkbox" sqref="W27:W28 W22:W24 W18:W20 W41 W34 W48 W55 W115 W110 W132" xr:uid="{96ACB2A9-CDB9-4239-BA5D-8BA9F0963AC8}">
      <formula1>TorF</formula1>
    </dataValidation>
  </dataValidations>
  <hyperlinks>
    <hyperlink ref="D78" r:id="rId1" xr:uid="{751D73D3-DACE-4314-8151-94BEB74FA214}"/>
    <hyperlink ref="D88" r:id="rId2" xr:uid="{7F41A31F-2C01-40A7-A8F5-5646B728D5AC}"/>
  </hyperlinks>
  <pageMargins left="0.7" right="0.7" top="0.75" bottom="0.75" header="0.3" footer="0.3"/>
  <pageSetup scale="44" fitToHeight="0" orientation="portrait" r:id="rId3"/>
  <rowBreaks count="1" manualBreakCount="1">
    <brk id="9" max="23" man="1"/>
  </rowBreaks>
  <drawing r:id="rId4"/>
  <legacyDrawing r:id="rId5"/>
  <mc:AlternateContent xmlns:mc="http://schemas.openxmlformats.org/markup-compatibility/2006">
    <mc:Choice Requires="x14">
      <controls>
        <mc:AlternateContent xmlns:mc="http://schemas.openxmlformats.org/markup-compatibility/2006">
          <mc:Choice Requires="x14">
            <control shapeId="218133" r:id="rId6" name="Check Box 21">
              <controlPr locked="0" defaultSize="0" autoFill="0" autoLine="0" autoPict="0">
                <anchor moveWithCells="1">
                  <from>
                    <xdr:col>22</xdr:col>
                    <xdr:colOff>0</xdr:colOff>
                    <xdr:row>17</xdr:row>
                    <xdr:rowOff>0</xdr:rowOff>
                  </from>
                  <to>
                    <xdr:col>22</xdr:col>
                    <xdr:colOff>184150</xdr:colOff>
                    <xdr:row>17</xdr:row>
                    <xdr:rowOff>184150</xdr:rowOff>
                  </to>
                </anchor>
              </controlPr>
            </control>
          </mc:Choice>
        </mc:AlternateContent>
        <mc:AlternateContent xmlns:mc="http://schemas.openxmlformats.org/markup-compatibility/2006">
          <mc:Choice Requires="x14">
            <control shapeId="218134" r:id="rId7" name="Check Box 22">
              <controlPr locked="0" defaultSize="0" autoFill="0" autoLine="0" autoPict="0">
                <anchor moveWithCells="1">
                  <from>
                    <xdr:col>22</xdr:col>
                    <xdr:colOff>0</xdr:colOff>
                    <xdr:row>18</xdr:row>
                    <xdr:rowOff>0</xdr:rowOff>
                  </from>
                  <to>
                    <xdr:col>22</xdr:col>
                    <xdr:colOff>184150</xdr:colOff>
                    <xdr:row>18</xdr:row>
                    <xdr:rowOff>184150</xdr:rowOff>
                  </to>
                </anchor>
              </controlPr>
            </control>
          </mc:Choice>
        </mc:AlternateContent>
        <mc:AlternateContent xmlns:mc="http://schemas.openxmlformats.org/markup-compatibility/2006">
          <mc:Choice Requires="x14">
            <control shapeId="218135" r:id="rId8" name="Check Box 23">
              <controlPr locked="0" defaultSize="0" autoFill="0" autoLine="0" autoPict="0">
                <anchor moveWithCells="1">
                  <from>
                    <xdr:col>22</xdr:col>
                    <xdr:colOff>0</xdr:colOff>
                    <xdr:row>19</xdr:row>
                    <xdr:rowOff>0</xdr:rowOff>
                  </from>
                  <to>
                    <xdr:col>22</xdr:col>
                    <xdr:colOff>184150</xdr:colOff>
                    <xdr:row>19</xdr:row>
                    <xdr:rowOff>184150</xdr:rowOff>
                  </to>
                </anchor>
              </controlPr>
            </control>
          </mc:Choice>
        </mc:AlternateContent>
        <mc:AlternateContent xmlns:mc="http://schemas.openxmlformats.org/markup-compatibility/2006">
          <mc:Choice Requires="x14">
            <control shapeId="218136" r:id="rId9" name="Check Box 24">
              <controlPr locked="0" defaultSize="0" autoFill="0" autoLine="0" autoPict="0">
                <anchor moveWithCells="1">
                  <from>
                    <xdr:col>22</xdr:col>
                    <xdr:colOff>0</xdr:colOff>
                    <xdr:row>21</xdr:row>
                    <xdr:rowOff>0</xdr:rowOff>
                  </from>
                  <to>
                    <xdr:col>22</xdr:col>
                    <xdr:colOff>184150</xdr:colOff>
                    <xdr:row>21</xdr:row>
                    <xdr:rowOff>184150</xdr:rowOff>
                  </to>
                </anchor>
              </controlPr>
            </control>
          </mc:Choice>
        </mc:AlternateContent>
        <mc:AlternateContent xmlns:mc="http://schemas.openxmlformats.org/markup-compatibility/2006">
          <mc:Choice Requires="x14">
            <control shapeId="218137" r:id="rId10" name="Check Box 25">
              <controlPr locked="0" defaultSize="0" autoFill="0" autoLine="0" autoPict="0">
                <anchor moveWithCells="1">
                  <from>
                    <xdr:col>22</xdr:col>
                    <xdr:colOff>0</xdr:colOff>
                    <xdr:row>22</xdr:row>
                    <xdr:rowOff>0</xdr:rowOff>
                  </from>
                  <to>
                    <xdr:col>22</xdr:col>
                    <xdr:colOff>184150</xdr:colOff>
                    <xdr:row>22</xdr:row>
                    <xdr:rowOff>184150</xdr:rowOff>
                  </to>
                </anchor>
              </controlPr>
            </control>
          </mc:Choice>
        </mc:AlternateContent>
        <mc:AlternateContent xmlns:mc="http://schemas.openxmlformats.org/markup-compatibility/2006">
          <mc:Choice Requires="x14">
            <control shapeId="218138" r:id="rId11" name="Check Box 26">
              <controlPr locked="0" defaultSize="0" autoFill="0" autoLine="0" autoPict="0">
                <anchor moveWithCells="1">
                  <from>
                    <xdr:col>22</xdr:col>
                    <xdr:colOff>0</xdr:colOff>
                    <xdr:row>23</xdr:row>
                    <xdr:rowOff>0</xdr:rowOff>
                  </from>
                  <to>
                    <xdr:col>22</xdr:col>
                    <xdr:colOff>184150</xdr:colOff>
                    <xdr:row>23</xdr:row>
                    <xdr:rowOff>184150</xdr:rowOff>
                  </to>
                </anchor>
              </controlPr>
            </control>
          </mc:Choice>
        </mc:AlternateContent>
        <mc:AlternateContent xmlns:mc="http://schemas.openxmlformats.org/markup-compatibility/2006">
          <mc:Choice Requires="x14">
            <control shapeId="218139" r:id="rId12" name="Check Box 27">
              <controlPr locked="0" defaultSize="0" autoFill="0" autoLine="0" autoPict="0">
                <anchor moveWithCells="1">
                  <from>
                    <xdr:col>22</xdr:col>
                    <xdr:colOff>0</xdr:colOff>
                    <xdr:row>26</xdr:row>
                    <xdr:rowOff>0</xdr:rowOff>
                  </from>
                  <to>
                    <xdr:col>22</xdr:col>
                    <xdr:colOff>184150</xdr:colOff>
                    <xdr:row>26</xdr:row>
                    <xdr:rowOff>184150</xdr:rowOff>
                  </to>
                </anchor>
              </controlPr>
            </control>
          </mc:Choice>
        </mc:AlternateContent>
        <mc:AlternateContent xmlns:mc="http://schemas.openxmlformats.org/markup-compatibility/2006">
          <mc:Choice Requires="x14">
            <control shapeId="218140" r:id="rId13" name="Check Box 28">
              <controlPr locked="0" defaultSize="0" autoFill="0" autoLine="0" autoPict="0">
                <anchor moveWithCells="1">
                  <from>
                    <xdr:col>22</xdr:col>
                    <xdr:colOff>0</xdr:colOff>
                    <xdr:row>27</xdr:row>
                    <xdr:rowOff>0</xdr:rowOff>
                  </from>
                  <to>
                    <xdr:col>22</xdr:col>
                    <xdr:colOff>184150</xdr:colOff>
                    <xdr:row>27</xdr:row>
                    <xdr:rowOff>184150</xdr:rowOff>
                  </to>
                </anchor>
              </controlPr>
            </control>
          </mc:Choice>
        </mc:AlternateContent>
        <mc:AlternateContent xmlns:mc="http://schemas.openxmlformats.org/markup-compatibility/2006">
          <mc:Choice Requires="x14">
            <control shapeId="218143" r:id="rId14" name="Check Box 31">
              <controlPr locked="0" defaultSize="0" autoFill="0" autoLine="0" autoPict="0">
                <anchor moveWithCells="1">
                  <from>
                    <xdr:col>22</xdr:col>
                    <xdr:colOff>0</xdr:colOff>
                    <xdr:row>33</xdr:row>
                    <xdr:rowOff>0</xdr:rowOff>
                  </from>
                  <to>
                    <xdr:col>22</xdr:col>
                    <xdr:colOff>184150</xdr:colOff>
                    <xdr:row>33</xdr:row>
                    <xdr:rowOff>184150</xdr:rowOff>
                  </to>
                </anchor>
              </controlPr>
            </control>
          </mc:Choice>
        </mc:AlternateContent>
        <mc:AlternateContent xmlns:mc="http://schemas.openxmlformats.org/markup-compatibility/2006">
          <mc:Choice Requires="x14">
            <control shapeId="218145" r:id="rId15" name="Check Box 33">
              <controlPr locked="0" defaultSize="0" autoFill="0" autoLine="0" autoPict="0">
                <anchor moveWithCells="1">
                  <from>
                    <xdr:col>22</xdr:col>
                    <xdr:colOff>0</xdr:colOff>
                    <xdr:row>40</xdr:row>
                    <xdr:rowOff>0</xdr:rowOff>
                  </from>
                  <to>
                    <xdr:col>22</xdr:col>
                    <xdr:colOff>184150</xdr:colOff>
                    <xdr:row>40</xdr:row>
                    <xdr:rowOff>184150</xdr:rowOff>
                  </to>
                </anchor>
              </controlPr>
            </control>
          </mc:Choice>
        </mc:AlternateContent>
        <mc:AlternateContent xmlns:mc="http://schemas.openxmlformats.org/markup-compatibility/2006">
          <mc:Choice Requires="x14">
            <control shapeId="218147" r:id="rId16" name="Check Box 35">
              <controlPr locked="0" defaultSize="0" autoFill="0" autoLine="0" autoPict="0">
                <anchor moveWithCells="1">
                  <from>
                    <xdr:col>22</xdr:col>
                    <xdr:colOff>0</xdr:colOff>
                    <xdr:row>47</xdr:row>
                    <xdr:rowOff>0</xdr:rowOff>
                  </from>
                  <to>
                    <xdr:col>22</xdr:col>
                    <xdr:colOff>184150</xdr:colOff>
                    <xdr:row>47</xdr:row>
                    <xdr:rowOff>184150</xdr:rowOff>
                  </to>
                </anchor>
              </controlPr>
            </control>
          </mc:Choice>
        </mc:AlternateContent>
        <mc:AlternateContent xmlns:mc="http://schemas.openxmlformats.org/markup-compatibility/2006">
          <mc:Choice Requires="x14">
            <control shapeId="218149" r:id="rId17" name="Check Box 37">
              <controlPr locked="0" defaultSize="0" autoFill="0" autoLine="0" autoPict="0">
                <anchor moveWithCells="1">
                  <from>
                    <xdr:col>22</xdr:col>
                    <xdr:colOff>0</xdr:colOff>
                    <xdr:row>54</xdr:row>
                    <xdr:rowOff>0</xdr:rowOff>
                  </from>
                  <to>
                    <xdr:col>22</xdr:col>
                    <xdr:colOff>184150</xdr:colOff>
                    <xdr:row>54</xdr:row>
                    <xdr:rowOff>184150</xdr:rowOff>
                  </to>
                </anchor>
              </controlPr>
            </control>
          </mc:Choice>
        </mc:AlternateContent>
        <mc:AlternateContent xmlns:mc="http://schemas.openxmlformats.org/markup-compatibility/2006">
          <mc:Choice Requires="x14">
            <control shapeId="218151" r:id="rId18" name="Check Box 39">
              <controlPr locked="0" defaultSize="0" autoFill="0" autoLine="0" autoPict="0">
                <anchor moveWithCells="1">
                  <from>
                    <xdr:col>22</xdr:col>
                    <xdr:colOff>0</xdr:colOff>
                    <xdr:row>109</xdr:row>
                    <xdr:rowOff>0</xdr:rowOff>
                  </from>
                  <to>
                    <xdr:col>22</xdr:col>
                    <xdr:colOff>184150</xdr:colOff>
                    <xdr:row>109</xdr:row>
                    <xdr:rowOff>184150</xdr:rowOff>
                  </to>
                </anchor>
              </controlPr>
            </control>
          </mc:Choice>
        </mc:AlternateContent>
        <mc:AlternateContent xmlns:mc="http://schemas.openxmlformats.org/markup-compatibility/2006">
          <mc:Choice Requires="x14">
            <control shapeId="218152" r:id="rId19" name="Check Box 40">
              <controlPr locked="0" defaultSize="0" autoFill="0" autoLine="0" autoPict="0">
                <anchor moveWithCells="1">
                  <from>
                    <xdr:col>22</xdr:col>
                    <xdr:colOff>0</xdr:colOff>
                    <xdr:row>114</xdr:row>
                    <xdr:rowOff>0</xdr:rowOff>
                  </from>
                  <to>
                    <xdr:col>22</xdr:col>
                    <xdr:colOff>184150</xdr:colOff>
                    <xdr:row>114</xdr:row>
                    <xdr:rowOff>184150</xdr:rowOff>
                  </to>
                </anchor>
              </controlPr>
            </control>
          </mc:Choice>
        </mc:AlternateContent>
        <mc:AlternateContent xmlns:mc="http://schemas.openxmlformats.org/markup-compatibility/2006">
          <mc:Choice Requires="x14">
            <control shapeId="218154" r:id="rId20" name="Check Box 42">
              <controlPr locked="0" defaultSize="0" autoFill="0" autoLine="0" autoPict="0">
                <anchor moveWithCells="1">
                  <from>
                    <xdr:col>22</xdr:col>
                    <xdr:colOff>0</xdr:colOff>
                    <xdr:row>131</xdr:row>
                    <xdr:rowOff>0</xdr:rowOff>
                  </from>
                  <to>
                    <xdr:col>22</xdr:col>
                    <xdr:colOff>184150</xdr:colOff>
                    <xdr:row>131</xdr:row>
                    <xdr:rowOff>184150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337C8-70EF-4AC8-BBB4-7F9DC0553908}">
  <sheetPr codeName="Sheet45"/>
  <dimension ref="A1:N178"/>
  <sheetViews>
    <sheetView showGridLines="0" workbookViewId="0">
      <selection activeCell="S48" sqref="S48"/>
    </sheetView>
  </sheetViews>
  <sheetFormatPr defaultRowHeight="14.5" x14ac:dyDescent="0.35"/>
  <cols>
    <col min="1" max="1" width="5.1796875" customWidth="1"/>
    <col min="2" max="2" width="130.7265625" customWidth="1"/>
    <col min="3" max="3" width="10.54296875" hidden="1" customWidth="1"/>
    <col min="4" max="4" width="184.26953125" hidden="1" customWidth="1"/>
    <col min="5" max="14" width="9.1796875" hidden="1" customWidth="1"/>
  </cols>
  <sheetData>
    <row r="1" spans="2:4" ht="15" customHeight="1" x14ac:dyDescent="0.35">
      <c r="B1" s="681" t="s">
        <v>5854</v>
      </c>
    </row>
    <row r="2" spans="2:4" x14ac:dyDescent="0.35">
      <c r="B2" s="216"/>
    </row>
    <row r="3" spans="2:4" ht="15" customHeight="1" x14ac:dyDescent="0.35">
      <c r="B3" s="1023" t="s">
        <v>6062</v>
      </c>
    </row>
    <row r="4" spans="2:4" x14ac:dyDescent="0.35">
      <c r="B4" s="857"/>
    </row>
    <row r="5" spans="2:4" x14ac:dyDescent="0.35">
      <c r="B5" s="857"/>
    </row>
    <row r="6" spans="2:4" x14ac:dyDescent="0.35">
      <c r="B6" s="857"/>
    </row>
    <row r="7" spans="2:4" x14ac:dyDescent="0.35">
      <c r="B7" s="857"/>
    </row>
    <row r="8" spans="2:4" x14ac:dyDescent="0.35">
      <c r="B8" s="857"/>
    </row>
    <row r="9" spans="2:4" x14ac:dyDescent="0.35">
      <c r="B9" s="857"/>
    </row>
    <row r="10" spans="2:4" x14ac:dyDescent="0.35">
      <c r="B10" s="857"/>
    </row>
    <row r="11" spans="2:4" x14ac:dyDescent="0.35">
      <c r="B11" s="857"/>
    </row>
    <row r="12" spans="2:4" x14ac:dyDescent="0.35">
      <c r="B12" s="857"/>
    </row>
    <row r="13" spans="2:4" x14ac:dyDescent="0.35">
      <c r="B13" s="857"/>
    </row>
    <row r="14" spans="2:4" ht="21" x14ac:dyDescent="0.35">
      <c r="B14" s="857"/>
      <c r="D14" s="701" t="s">
        <v>5990</v>
      </c>
    </row>
    <row r="15" spans="2:4" x14ac:dyDescent="0.35">
      <c r="B15" s="216"/>
    </row>
    <row r="16" spans="2:4" x14ac:dyDescent="0.35">
      <c r="B16" s="682" t="s">
        <v>5855</v>
      </c>
      <c r="D16" s="706"/>
    </row>
    <row r="17" spans="1:7" x14ac:dyDescent="0.35">
      <c r="A17" s="709" t="str">
        <f ca="1">IF(C17,"🗹","☐")</f>
        <v>🗹</v>
      </c>
      <c r="B17" s="683" t="s">
        <v>5856</v>
      </c>
      <c r="C17" t="b">
        <f ca="1">OR(E17:N17)</f>
        <v>1</v>
      </c>
      <c r="D17" s="702" t="s">
        <v>5991</v>
      </c>
      <c r="E17" t="b">
        <f>SUM('Ch5'!O70:O88)&gt;0</f>
        <v>1</v>
      </c>
      <c r="F17" t="b">
        <f>'Ch5'!O188&gt;0</f>
        <v>1</v>
      </c>
      <c r="G17" t="b">
        <f ca="1">IFERROR(MATCH('Ch5'!W195,INDIRECT('Ch5'!U195)),0)=2</f>
        <v>0</v>
      </c>
    </row>
    <row r="18" spans="1:7" x14ac:dyDescent="0.35">
      <c r="B18" s="683" t="s">
        <v>5857</v>
      </c>
      <c r="D18" s="707"/>
    </row>
    <row r="19" spans="1:7" ht="15.5" x14ac:dyDescent="0.35">
      <c r="A19" s="684"/>
      <c r="B19" s="683" t="s">
        <v>6059</v>
      </c>
      <c r="D19" s="707"/>
    </row>
    <row r="20" spans="1:7" x14ac:dyDescent="0.35">
      <c r="A20" s="709" t="str">
        <f t="shared" ref="A20:A21" si="0">IF(C20,"🗹","☐")</f>
        <v>☐</v>
      </c>
      <c r="B20" s="683" t="s">
        <v>5858</v>
      </c>
      <c r="C20" t="b">
        <f>OR(E20:N20)</f>
        <v>0</v>
      </c>
      <c r="D20" s="707" t="s">
        <v>5992</v>
      </c>
      <c r="E20" t="b">
        <f>'Ch7'!O664&gt;0</f>
        <v>0</v>
      </c>
    </row>
    <row r="21" spans="1:7" x14ac:dyDescent="0.35">
      <c r="A21" s="709" t="str">
        <f t="shared" ca="1" si="0"/>
        <v>🗹</v>
      </c>
      <c r="B21" s="683" t="s">
        <v>6060</v>
      </c>
      <c r="C21" t="b">
        <f ca="1">OR(E21:N21)</f>
        <v>1</v>
      </c>
      <c r="D21" s="707" t="s">
        <v>5993</v>
      </c>
      <c r="E21" t="b">
        <f ca="1">NOT('Design Summ.'!D25="None")</f>
        <v>1</v>
      </c>
    </row>
    <row r="22" spans="1:7" x14ac:dyDescent="0.35">
      <c r="B22" s="683" t="s">
        <v>5859</v>
      </c>
      <c r="D22" s="707"/>
    </row>
    <row r="23" spans="1:7" x14ac:dyDescent="0.35">
      <c r="A23" s="709" t="str">
        <f t="shared" ref="A23:A35" ca="1" si="1">IF(C23,"🗹","☐")</f>
        <v>☐</v>
      </c>
      <c r="B23" s="683" t="s">
        <v>5860</v>
      </c>
      <c r="C23" t="b">
        <f t="shared" ref="C23:C35" ca="1" si="2">OR(E23:N23)</f>
        <v>0</v>
      </c>
      <c r="D23" s="707" t="s">
        <v>5994</v>
      </c>
      <c r="E23" t="b">
        <f ca="1">NOT('Badges (Design)'!D6="Not Earned")</f>
        <v>0</v>
      </c>
    </row>
    <row r="24" spans="1:7" x14ac:dyDescent="0.35">
      <c r="A24" s="709" t="str">
        <f t="shared" si="1"/>
        <v>☐</v>
      </c>
      <c r="B24" s="683" t="s">
        <v>5861</v>
      </c>
      <c r="C24" t="b">
        <f t="shared" si="2"/>
        <v>0</v>
      </c>
      <c r="D24" s="707" t="s">
        <v>5995</v>
      </c>
      <c r="E24" t="b">
        <f>SUM('Ch9'!O342:O364)&gt;0</f>
        <v>0</v>
      </c>
    </row>
    <row r="25" spans="1:7" x14ac:dyDescent="0.35">
      <c r="A25" s="709" t="str">
        <f t="shared" ca="1" si="1"/>
        <v>☐</v>
      </c>
      <c r="B25" s="683" t="s">
        <v>5862</v>
      </c>
      <c r="C25" t="b">
        <f t="shared" ca="1" si="2"/>
        <v>0</v>
      </c>
      <c r="D25" s="707" t="s">
        <v>5996</v>
      </c>
      <c r="E25" t="b">
        <f ca="1">SUM('Ch6'!O400:O470)&gt;0</f>
        <v>0</v>
      </c>
    </row>
    <row r="26" spans="1:7" x14ac:dyDescent="0.35">
      <c r="A26" s="709" t="str">
        <f t="shared" ca="1" si="1"/>
        <v>☐</v>
      </c>
      <c r="B26" s="683" t="s">
        <v>5863</v>
      </c>
      <c r="C26" t="b">
        <f t="shared" ca="1" si="2"/>
        <v>0</v>
      </c>
      <c r="D26" s="707" t="s">
        <v>5997</v>
      </c>
      <c r="E26" t="b">
        <f ca="1">SUM('Ch5'!O20:O57)&gt;0</f>
        <v>0</v>
      </c>
    </row>
    <row r="27" spans="1:7" x14ac:dyDescent="0.35">
      <c r="A27" s="709" t="str">
        <f t="shared" ca="1" si="1"/>
        <v>☐</v>
      </c>
      <c r="B27" s="683" t="s">
        <v>5864</v>
      </c>
      <c r="C27" t="b">
        <f t="shared" ca="1" si="2"/>
        <v>0</v>
      </c>
      <c r="D27" s="707" t="s">
        <v>5998</v>
      </c>
      <c r="E27" t="b">
        <f ca="1">'Ch6'!O379&gt;0</f>
        <v>0</v>
      </c>
      <c r="F27" t="b">
        <f ca="1">'Ch6'!O388&gt;0</f>
        <v>0</v>
      </c>
    </row>
    <row r="28" spans="1:7" x14ac:dyDescent="0.35">
      <c r="A28" s="709" t="str">
        <f t="shared" si="1"/>
        <v>☐</v>
      </c>
      <c r="B28" s="683" t="s">
        <v>5865</v>
      </c>
      <c r="C28" t="b">
        <f t="shared" si="2"/>
        <v>0</v>
      </c>
      <c r="D28" s="707" t="s">
        <v>5999</v>
      </c>
      <c r="E28" t="b">
        <f>LEFT('Badges (Design)'!G10,16)="Expected to Meet"</f>
        <v>0</v>
      </c>
    </row>
    <row r="29" spans="1:7" x14ac:dyDescent="0.35">
      <c r="A29" s="709" t="str">
        <f t="shared" ca="1" si="1"/>
        <v>🗹</v>
      </c>
      <c r="B29" s="683" t="s">
        <v>5866</v>
      </c>
      <c r="C29" t="b">
        <f t="shared" ca="1" si="2"/>
        <v>1</v>
      </c>
      <c r="D29" s="707" t="s">
        <v>6000</v>
      </c>
      <c r="E29" t="b">
        <f ca="1">SUM('Ch9'!O181:O325)&gt;0</f>
        <v>1</v>
      </c>
    </row>
    <row r="30" spans="1:7" x14ac:dyDescent="0.35">
      <c r="A30" s="709" t="str">
        <f t="shared" ca="1" si="1"/>
        <v>☐</v>
      </c>
      <c r="B30" s="683" t="s">
        <v>5867</v>
      </c>
      <c r="C30" t="b">
        <f t="shared" ca="1" si="2"/>
        <v>0</v>
      </c>
      <c r="D30" s="707" t="s">
        <v>6001</v>
      </c>
      <c r="E30" t="b">
        <f ca="1">SUM('Ch7'!O672:O685)&gt;0</f>
        <v>0</v>
      </c>
      <c r="F30" t="b">
        <f ca="1">SUM('Ch7'!O710:O724)&gt;0</f>
        <v>0</v>
      </c>
    </row>
    <row r="31" spans="1:7" x14ac:dyDescent="0.35">
      <c r="A31" s="709" t="str">
        <f t="shared" ca="1" si="1"/>
        <v>☐</v>
      </c>
      <c r="B31" s="683" t="s">
        <v>5868</v>
      </c>
      <c r="C31" t="b">
        <f t="shared" ca="1" si="2"/>
        <v>0</v>
      </c>
      <c r="D31" s="707" t="s">
        <v>6002</v>
      </c>
      <c r="E31" t="b">
        <f ca="1">'Ch6'!O546&gt;0</f>
        <v>0</v>
      </c>
      <c r="F31" t="b">
        <f ca="1">NOT('Badges (Design)'!D3="Not Earned")</f>
        <v>0</v>
      </c>
    </row>
    <row r="32" spans="1:7" x14ac:dyDescent="0.35">
      <c r="A32" s="709" t="str">
        <f t="shared" si="1"/>
        <v>🗹</v>
      </c>
      <c r="B32" s="683" t="s">
        <v>5869</v>
      </c>
      <c r="C32" t="b">
        <f t="shared" si="2"/>
        <v>1</v>
      </c>
      <c r="D32" s="707" t="s">
        <v>6003</v>
      </c>
      <c r="E32" t="b">
        <f>'Ch5'!O14&gt;0</f>
        <v>1</v>
      </c>
    </row>
    <row r="33" spans="1:6" x14ac:dyDescent="0.35">
      <c r="A33" s="709" t="str">
        <f t="shared" si="1"/>
        <v>☐</v>
      </c>
      <c r="B33" s="683" t="s">
        <v>5870</v>
      </c>
      <c r="C33" t="b">
        <f t="shared" si="2"/>
        <v>0</v>
      </c>
      <c r="D33" s="707" t="s">
        <v>5340</v>
      </c>
      <c r="E33" t="b">
        <f>'Ch6'!O503&gt;0</f>
        <v>0</v>
      </c>
    </row>
    <row r="34" spans="1:6" x14ac:dyDescent="0.35">
      <c r="A34" s="709" t="str">
        <f t="shared" si="1"/>
        <v>☐</v>
      </c>
      <c r="B34" s="683" t="s">
        <v>5871</v>
      </c>
      <c r="C34" t="b">
        <f t="shared" si="2"/>
        <v>0</v>
      </c>
      <c r="D34" s="707" t="s">
        <v>6004</v>
      </c>
      <c r="E34" t="b">
        <f>'Ch6'!O278&gt;0</f>
        <v>0</v>
      </c>
    </row>
    <row r="35" spans="1:6" x14ac:dyDescent="0.35">
      <c r="A35" s="709" t="str">
        <f t="shared" si="1"/>
        <v>☐</v>
      </c>
      <c r="B35" s="679" t="s">
        <v>5872</v>
      </c>
      <c r="C35" t="b">
        <f t="shared" si="2"/>
        <v>0</v>
      </c>
      <c r="D35" s="707" t="s">
        <v>6005</v>
      </c>
      <c r="E35" s="366" t="b">
        <f>AND('Ch8'!W239&lt;=70,LEN('Ch8'!W239)&gt;0)</f>
        <v>0</v>
      </c>
    </row>
    <row r="37" spans="1:6" x14ac:dyDescent="0.35">
      <c r="B37" s="682" t="s">
        <v>5873</v>
      </c>
      <c r="D37" s="706"/>
    </row>
    <row r="38" spans="1:6" x14ac:dyDescent="0.35">
      <c r="A38" s="709" t="str">
        <f t="shared" ref="A38:A43" ca="1" si="3">IF(C38,"🗹","☐")</f>
        <v>☐</v>
      </c>
      <c r="B38" s="685" t="s">
        <v>5874</v>
      </c>
      <c r="C38" t="b">
        <f t="shared" ref="C38:C43" ca="1" si="4">OR(E38:N38)</f>
        <v>0</v>
      </c>
      <c r="D38" s="707" t="s">
        <v>5997</v>
      </c>
      <c r="E38" t="b">
        <f ca="1">SUM('Ch5'!O20:O57)&gt;0</f>
        <v>0</v>
      </c>
    </row>
    <row r="39" spans="1:6" x14ac:dyDescent="0.35">
      <c r="A39" s="709" t="str">
        <f t="shared" si="3"/>
        <v>🗹</v>
      </c>
      <c r="B39" s="683" t="s">
        <v>5875</v>
      </c>
      <c r="C39" t="b">
        <f t="shared" si="4"/>
        <v>1</v>
      </c>
      <c r="D39" s="707" t="s">
        <v>6003</v>
      </c>
      <c r="E39" t="b">
        <f>'Ch5'!O14&gt;0</f>
        <v>1</v>
      </c>
    </row>
    <row r="40" spans="1:6" x14ac:dyDescent="0.35">
      <c r="A40" s="709" t="str">
        <f t="shared" ca="1" si="3"/>
        <v>☐</v>
      </c>
      <c r="B40" s="683" t="s">
        <v>5876</v>
      </c>
      <c r="C40" t="b">
        <f t="shared" ca="1" si="4"/>
        <v>0</v>
      </c>
      <c r="D40" s="707" t="s">
        <v>6006</v>
      </c>
      <c r="E40" t="b">
        <f ca="1">IFERROR(MATCH('Ch5'!W195,INDIRECT('Ch5'!U195)),0)=2</f>
        <v>0</v>
      </c>
    </row>
    <row r="41" spans="1:6" x14ac:dyDescent="0.35">
      <c r="A41" s="709" t="str">
        <f t="shared" ca="1" si="3"/>
        <v>☐</v>
      </c>
      <c r="B41" s="683" t="s">
        <v>5877</v>
      </c>
      <c r="C41" t="b">
        <f t="shared" ca="1" si="4"/>
        <v>0</v>
      </c>
      <c r="D41" s="707" t="s">
        <v>6006</v>
      </c>
      <c r="E41" t="b">
        <f ca="1">IFERROR(MATCH('Ch5'!W195,INDIRECT('Ch5'!U195)),0)=2</f>
        <v>0</v>
      </c>
    </row>
    <row r="42" spans="1:6" x14ac:dyDescent="0.35">
      <c r="A42" s="709" t="str">
        <f t="shared" ca="1" si="3"/>
        <v>🗹</v>
      </c>
      <c r="B42" s="683" t="s">
        <v>5878</v>
      </c>
      <c r="C42" t="b">
        <f t="shared" ca="1" si="4"/>
        <v>1</v>
      </c>
      <c r="D42" s="707" t="s">
        <v>6007</v>
      </c>
      <c r="E42" t="b">
        <f ca="1">SUM('Ch5'!O115:O145)&gt;0</f>
        <v>1</v>
      </c>
    </row>
    <row r="43" spans="1:6" x14ac:dyDescent="0.35">
      <c r="A43" s="709" t="str">
        <f t="shared" si="3"/>
        <v>🗹</v>
      </c>
      <c r="B43" s="686" t="s">
        <v>5879</v>
      </c>
      <c r="C43" t="b">
        <f t="shared" si="4"/>
        <v>1</v>
      </c>
      <c r="D43" s="703" t="s">
        <v>6008</v>
      </c>
      <c r="E43" t="b">
        <f>'Ch5'!O188&gt;0</f>
        <v>1</v>
      </c>
    </row>
    <row r="44" spans="1:6" x14ac:dyDescent="0.35">
      <c r="B44" s="683" t="s">
        <v>5880</v>
      </c>
      <c r="D44" s="707"/>
    </row>
    <row r="45" spans="1:6" x14ac:dyDescent="0.35">
      <c r="A45" s="709" t="str">
        <f>IF(C45,"🗹","☐")</f>
        <v>☐</v>
      </c>
      <c r="B45" s="679" t="s">
        <v>5881</v>
      </c>
      <c r="C45" t="b">
        <f>OR(E45:N45)</f>
        <v>0</v>
      </c>
      <c r="D45" s="707" t="s">
        <v>6009</v>
      </c>
      <c r="E45" t="b">
        <f>'Ch5'!W19=TRUE</f>
        <v>0</v>
      </c>
    </row>
    <row r="47" spans="1:6" x14ac:dyDescent="0.35">
      <c r="B47" s="682" t="s">
        <v>5882</v>
      </c>
      <c r="D47" s="706"/>
    </row>
    <row r="48" spans="1:6" x14ac:dyDescent="0.35">
      <c r="A48" s="709" t="str">
        <f t="shared" ref="A48:A49" ca="1" si="5">IF(C48,"🗹","☐")</f>
        <v>☐</v>
      </c>
      <c r="B48" s="687" t="s">
        <v>5883</v>
      </c>
      <c r="C48" t="b">
        <f t="shared" ref="C48:C49" ca="1" si="6">OR(E48:N48)</f>
        <v>0</v>
      </c>
      <c r="D48" s="703" t="s">
        <v>6010</v>
      </c>
      <c r="E48" t="b">
        <f ca="1">'Ch5'!O201&gt;0</f>
        <v>0</v>
      </c>
      <c r="F48" t="b">
        <f>SUM('Ch6'!O274:O315)&gt;0</f>
        <v>0</v>
      </c>
    </row>
    <row r="49" spans="1:6" x14ac:dyDescent="0.35">
      <c r="A49" s="709" t="str">
        <f t="shared" si="5"/>
        <v>☐</v>
      </c>
      <c r="B49" s="686" t="s">
        <v>5884</v>
      </c>
      <c r="C49" t="b">
        <f t="shared" si="6"/>
        <v>0</v>
      </c>
      <c r="D49" s="707" t="s">
        <v>6011</v>
      </c>
      <c r="E49" s="366" t="b">
        <f>'Ch6'!O293&gt;0</f>
        <v>0</v>
      </c>
    </row>
    <row r="50" spans="1:6" x14ac:dyDescent="0.35">
      <c r="B50" s="686" t="s">
        <v>5885</v>
      </c>
      <c r="D50" s="707"/>
    </row>
    <row r="51" spans="1:6" x14ac:dyDescent="0.35">
      <c r="B51" s="686" t="s">
        <v>5886</v>
      </c>
      <c r="D51" s="707"/>
    </row>
    <row r="52" spans="1:6" x14ac:dyDescent="0.35">
      <c r="A52" s="709" t="str">
        <f ca="1">IF(C52,"🗹","☐")</f>
        <v>🗹</v>
      </c>
      <c r="B52" s="686" t="s">
        <v>5887</v>
      </c>
      <c r="C52" t="b">
        <f ca="1">OR(E52:N52)</f>
        <v>1</v>
      </c>
      <c r="D52" s="707" t="s">
        <v>6012</v>
      </c>
      <c r="E52" t="b">
        <f ca="1">SUM('Ch5'!O115:O145)&gt;0</f>
        <v>1</v>
      </c>
      <c r="F52" t="b">
        <f>SUM('Ch5'!O69:O88)&gt;0</f>
        <v>1</v>
      </c>
    </row>
    <row r="53" spans="1:6" x14ac:dyDescent="0.35">
      <c r="B53" s="686" t="s">
        <v>5888</v>
      </c>
      <c r="D53" s="707"/>
    </row>
    <row r="54" spans="1:6" x14ac:dyDescent="0.35">
      <c r="A54" s="709" t="str">
        <f t="shared" ref="A54:A55" si="7">IF(C54,"🗹","☐")</f>
        <v>🗹</v>
      </c>
      <c r="B54" s="686" t="s">
        <v>5889</v>
      </c>
      <c r="C54" t="b">
        <f>OR(E54:N54)</f>
        <v>1</v>
      </c>
      <c r="D54" s="703" t="s">
        <v>6013</v>
      </c>
      <c r="E54" t="b">
        <f>SUM('Ch5'!O221:O247)&gt;0</f>
        <v>1</v>
      </c>
    </row>
    <row r="55" spans="1:6" x14ac:dyDescent="0.35">
      <c r="A55" s="709" t="str">
        <f t="shared" si="7"/>
        <v>🗹</v>
      </c>
      <c r="B55" s="688" t="s">
        <v>5890</v>
      </c>
      <c r="C55" t="b">
        <f>OR(E55:N55)</f>
        <v>1</v>
      </c>
      <c r="D55" s="703" t="s">
        <v>6013</v>
      </c>
      <c r="E55" t="b">
        <f>SUM('Ch5'!O221:O247)&gt;0</f>
        <v>1</v>
      </c>
    </row>
    <row r="57" spans="1:6" x14ac:dyDescent="0.35">
      <c r="B57" s="682" t="s">
        <v>5891</v>
      </c>
      <c r="D57" s="706"/>
    </row>
    <row r="58" spans="1:6" x14ac:dyDescent="0.35">
      <c r="B58" s="689" t="s">
        <v>5892</v>
      </c>
      <c r="D58" s="707"/>
    </row>
    <row r="59" spans="1:6" x14ac:dyDescent="0.35">
      <c r="A59" s="709" t="str">
        <f>IF(C59,"🗹","☐")</f>
        <v>☐</v>
      </c>
      <c r="B59" s="683" t="s">
        <v>5893</v>
      </c>
      <c r="C59" t="b">
        <f>OR(E59:N59)</f>
        <v>0</v>
      </c>
      <c r="D59" s="707" t="s">
        <v>6014</v>
      </c>
      <c r="E59" t="b">
        <f>'Ch6'!O472&gt;0</f>
        <v>0</v>
      </c>
    </row>
    <row r="60" spans="1:6" x14ac:dyDescent="0.35">
      <c r="B60" s="683" t="s">
        <v>5894</v>
      </c>
      <c r="D60" s="707"/>
    </row>
    <row r="61" spans="1:6" x14ac:dyDescent="0.35">
      <c r="B61" s="690" t="s">
        <v>5895</v>
      </c>
      <c r="D61" s="707"/>
    </row>
    <row r="62" spans="1:6" x14ac:dyDescent="0.35">
      <c r="A62" s="709" t="str">
        <f t="shared" ref="A62:A66" ca="1" si="8">IF(C62,"🗹","☐")</f>
        <v>☐</v>
      </c>
      <c r="B62" s="683" t="s">
        <v>5896</v>
      </c>
      <c r="C62" t="b">
        <f ca="1">OR(E62:N62)</f>
        <v>0</v>
      </c>
      <c r="D62" s="707" t="s">
        <v>6015</v>
      </c>
      <c r="E62" t="b">
        <f ca="1">'Ch6'!O388&gt;0</f>
        <v>0</v>
      </c>
    </row>
    <row r="63" spans="1:6" x14ac:dyDescent="0.35">
      <c r="A63" s="709" t="str">
        <f t="shared" ca="1" si="8"/>
        <v>☐</v>
      </c>
      <c r="B63" s="683" t="s">
        <v>5897</v>
      </c>
      <c r="C63" t="b">
        <f ca="1">OR(E63:N63)</f>
        <v>0</v>
      </c>
      <c r="D63" s="707" t="s">
        <v>6016</v>
      </c>
      <c r="E63" t="b">
        <f ca="1">'Ch6'!O356&gt;0</f>
        <v>0</v>
      </c>
      <c r="F63" t="b">
        <f ca="1">SUM('Ch6'!O400:O470)&gt;0</f>
        <v>0</v>
      </c>
    </row>
    <row r="64" spans="1:6" x14ac:dyDescent="0.35">
      <c r="A64" s="709" t="str">
        <f t="shared" ca="1" si="8"/>
        <v>🗹</v>
      </c>
      <c r="B64" s="683" t="s">
        <v>5898</v>
      </c>
      <c r="C64" t="b">
        <f ca="1">OR(E64:N64)</f>
        <v>1</v>
      </c>
      <c r="D64" s="703" t="s">
        <v>6017</v>
      </c>
      <c r="E64" t="b">
        <f ca="1">SUM('Ch9'!O69:O167)&gt;0</f>
        <v>1</v>
      </c>
    </row>
    <row r="65" spans="1:5" x14ac:dyDescent="0.35">
      <c r="A65" s="709" t="str">
        <f t="shared" si="8"/>
        <v>☐</v>
      </c>
      <c r="B65" s="683" t="s">
        <v>5899</v>
      </c>
      <c r="C65" t="b">
        <f>OR(E65:N65)</f>
        <v>0</v>
      </c>
      <c r="D65" s="707" t="s">
        <v>6018</v>
      </c>
      <c r="E65" t="b">
        <f>'Ch6'!O302&gt;0</f>
        <v>0</v>
      </c>
    </row>
    <row r="66" spans="1:5" x14ac:dyDescent="0.35">
      <c r="A66" s="709" t="str">
        <f t="shared" ca="1" si="8"/>
        <v>☐</v>
      </c>
      <c r="B66" s="683" t="s">
        <v>5900</v>
      </c>
      <c r="C66" t="b">
        <f ca="1">OR(E66:N66)</f>
        <v>0</v>
      </c>
      <c r="D66" s="707" t="s">
        <v>5996</v>
      </c>
      <c r="E66" t="b">
        <f ca="1">SUM('Ch6'!O400:O470)&gt;0</f>
        <v>0</v>
      </c>
    </row>
    <row r="67" spans="1:5" x14ac:dyDescent="0.35">
      <c r="B67" s="683" t="s">
        <v>5901</v>
      </c>
      <c r="D67" s="707"/>
    </row>
    <row r="68" spans="1:5" x14ac:dyDescent="0.35">
      <c r="A68" s="709" t="str">
        <f>IF(C68,"🗹","☐")</f>
        <v>☐</v>
      </c>
      <c r="B68" s="683" t="s">
        <v>5902</v>
      </c>
      <c r="C68" t="b">
        <f>OR(E68:N68)</f>
        <v>0</v>
      </c>
      <c r="D68" s="707" t="s">
        <v>6019</v>
      </c>
      <c r="E68" t="b">
        <f>'Ch6'!O265&gt;0</f>
        <v>0</v>
      </c>
    </row>
    <row r="69" spans="1:5" ht="14.5" customHeight="1" x14ac:dyDescent="0.35">
      <c r="B69" s="686" t="s">
        <v>5903</v>
      </c>
      <c r="D69" s="707"/>
    </row>
    <row r="70" spans="1:5" x14ac:dyDescent="0.35">
      <c r="A70" s="709" t="str">
        <f>IF(C70,"🗹","☐")</f>
        <v>🗹</v>
      </c>
      <c r="B70" s="679" t="s">
        <v>5904</v>
      </c>
      <c r="C70" t="b">
        <f>OR(E70:N70)</f>
        <v>1</v>
      </c>
      <c r="D70" s="707" t="s">
        <v>6020</v>
      </c>
      <c r="E70" t="b">
        <f>SUM('Ch6'!O335:O355)&gt;0</f>
        <v>1</v>
      </c>
    </row>
    <row r="72" spans="1:5" x14ac:dyDescent="0.35">
      <c r="B72" s="682" t="s">
        <v>5905</v>
      </c>
      <c r="D72" s="706"/>
    </row>
    <row r="73" spans="1:5" x14ac:dyDescent="0.35">
      <c r="A73" s="709" t="str">
        <f ca="1">IF(C73,"🗹","☐")</f>
        <v>☐</v>
      </c>
      <c r="B73" s="691" t="s">
        <v>5906</v>
      </c>
      <c r="C73" t="b">
        <f ca="1">OR(E73:N73)</f>
        <v>0</v>
      </c>
      <c r="D73" s="707" t="s">
        <v>6021</v>
      </c>
      <c r="E73" t="b">
        <f ca="1">SUM('Ch6'!O400:O470)&gt;0</f>
        <v>0</v>
      </c>
    </row>
    <row r="75" spans="1:5" x14ac:dyDescent="0.35">
      <c r="B75" s="682" t="s">
        <v>5907</v>
      </c>
      <c r="D75" s="706"/>
    </row>
    <row r="76" spans="1:5" x14ac:dyDescent="0.35">
      <c r="B76" s="692" t="s">
        <v>5908</v>
      </c>
      <c r="D76" s="707"/>
    </row>
    <row r="77" spans="1:5" x14ac:dyDescent="0.35">
      <c r="B77" s="683" t="s">
        <v>5909</v>
      </c>
      <c r="D77" s="707"/>
    </row>
    <row r="78" spans="1:5" x14ac:dyDescent="0.35">
      <c r="A78" s="709" t="str">
        <f t="shared" ref="A78:A79" ca="1" si="9">IF(C78,"🗹","☐")</f>
        <v>🗹</v>
      </c>
      <c r="B78" s="683" t="s">
        <v>5910</v>
      </c>
      <c r="C78" t="b">
        <f ca="1">OR(E78:N78)</f>
        <v>1</v>
      </c>
      <c r="D78" s="707" t="s">
        <v>6022</v>
      </c>
      <c r="E78" t="b">
        <f ca="1">NOT(Ch7Level="None")</f>
        <v>1</v>
      </c>
    </row>
    <row r="79" spans="1:5" x14ac:dyDescent="0.35">
      <c r="A79" s="709" t="str">
        <f t="shared" ca="1" si="9"/>
        <v>🗹</v>
      </c>
      <c r="B79" s="683" t="s">
        <v>5911</v>
      </c>
      <c r="C79" t="b">
        <f ca="1">OR(E79:N79)</f>
        <v>1</v>
      </c>
      <c r="D79" s="707" t="s">
        <v>6022</v>
      </c>
      <c r="E79" t="b">
        <f ca="1">NOT(Ch7Level="None")</f>
        <v>1</v>
      </c>
    </row>
    <row r="80" spans="1:5" x14ac:dyDescent="0.35">
      <c r="B80" s="683" t="s">
        <v>5912</v>
      </c>
      <c r="D80" s="707"/>
    </row>
    <row r="81" spans="1:7" x14ac:dyDescent="0.35">
      <c r="B81" s="690" t="s">
        <v>5913</v>
      </c>
      <c r="D81" s="707"/>
    </row>
    <row r="82" spans="1:7" x14ac:dyDescent="0.35">
      <c r="A82" s="709" t="str">
        <f ca="1">IF(C82,"🗹","☐")</f>
        <v>🗹</v>
      </c>
      <c r="B82" s="683" t="s">
        <v>5914</v>
      </c>
      <c r="C82" t="b">
        <f ca="1">OR(E82:N82)</f>
        <v>1</v>
      </c>
      <c r="D82" s="707" t="s">
        <v>6023</v>
      </c>
      <c r="E82" t="b">
        <f>'Ch7'!W68=TRUE</f>
        <v>1</v>
      </c>
      <c r="F82" t="b">
        <f ca="1">SUM('Ch7'!O269:O352)&gt;0</f>
        <v>1</v>
      </c>
      <c r="G82" t="b">
        <f>SUM('Ch7'!O590:O608)&gt;0</f>
        <v>0</v>
      </c>
    </row>
    <row r="83" spans="1:7" x14ac:dyDescent="0.35">
      <c r="B83" s="683" t="s">
        <v>5915</v>
      </c>
      <c r="D83" s="707"/>
    </row>
    <row r="84" spans="1:7" x14ac:dyDescent="0.35">
      <c r="B84" s="683" t="s">
        <v>5916</v>
      </c>
      <c r="D84" s="707"/>
    </row>
    <row r="85" spans="1:7" x14ac:dyDescent="0.35">
      <c r="A85" s="709" t="str">
        <f t="shared" ref="A85:A89" ca="1" si="10">IF(C85,"🗹","☐")</f>
        <v>🗹</v>
      </c>
      <c r="B85" s="683" t="s">
        <v>5917</v>
      </c>
      <c r="C85" t="b">
        <f t="shared" ref="C85:C89" ca="1" si="11">OR(E85:N85)</f>
        <v>1</v>
      </c>
      <c r="D85" s="707" t="s">
        <v>6024</v>
      </c>
      <c r="E85" t="b">
        <f ca="1">SUM('Ch7'!O454:O458)&gt;0</f>
        <v>1</v>
      </c>
    </row>
    <row r="86" spans="1:7" x14ac:dyDescent="0.35">
      <c r="A86" s="709" t="str">
        <f t="shared" ca="1" si="10"/>
        <v>☐</v>
      </c>
      <c r="B86" s="683" t="s">
        <v>5918</v>
      </c>
      <c r="C86" t="b">
        <f t="shared" ca="1" si="11"/>
        <v>0</v>
      </c>
      <c r="D86" s="707" t="s">
        <v>1007</v>
      </c>
      <c r="E86" t="b">
        <f ca="1">SUM('Ch7'!O553:O585)&gt;0</f>
        <v>0</v>
      </c>
    </row>
    <row r="87" spans="1:7" x14ac:dyDescent="0.35">
      <c r="A87" s="709" t="str">
        <f t="shared" ca="1" si="10"/>
        <v>☐</v>
      </c>
      <c r="B87" s="683" t="s">
        <v>5919</v>
      </c>
      <c r="C87" t="b">
        <f t="shared" ca="1" si="11"/>
        <v>0</v>
      </c>
      <c r="D87" s="707" t="s">
        <v>6025</v>
      </c>
      <c r="E87" t="b">
        <f ca="1">SUM('Ch7'!O554:O577)&gt;0</f>
        <v>0</v>
      </c>
      <c r="F87" t="b">
        <f>'Ch7'!O664&gt;0</f>
        <v>0</v>
      </c>
    </row>
    <row r="88" spans="1:7" x14ac:dyDescent="0.35">
      <c r="A88" s="709" t="str">
        <f t="shared" ca="1" si="10"/>
        <v>☐</v>
      </c>
      <c r="B88" s="683" t="s">
        <v>5920</v>
      </c>
      <c r="C88" t="b">
        <f t="shared" ca="1" si="11"/>
        <v>0</v>
      </c>
      <c r="D88" s="707" t="s">
        <v>6063</v>
      </c>
      <c r="E88" t="b">
        <f ca="1">SUM('Ch7'!O489:O539)&gt;0</f>
        <v>0</v>
      </c>
    </row>
    <row r="89" spans="1:7" x14ac:dyDescent="0.35">
      <c r="A89" s="709" t="str">
        <f t="shared" ca="1" si="10"/>
        <v>🗹</v>
      </c>
      <c r="B89" s="683" t="s">
        <v>5921</v>
      </c>
      <c r="C89" t="b">
        <f t="shared" ca="1" si="11"/>
        <v>1</v>
      </c>
      <c r="D89" s="707" t="s">
        <v>6026</v>
      </c>
      <c r="E89" t="b">
        <f ca="1">SUM('Ch7'!O269:O352)&gt;0</f>
        <v>1</v>
      </c>
    </row>
    <row r="90" spans="1:7" x14ac:dyDescent="0.35">
      <c r="B90" s="683" t="s">
        <v>5922</v>
      </c>
      <c r="D90" s="707"/>
    </row>
    <row r="91" spans="1:7" x14ac:dyDescent="0.35">
      <c r="A91" s="709" t="str">
        <f ca="1">IF(C91,"🗹","☐")</f>
        <v>🗹</v>
      </c>
      <c r="B91" s="683" t="s">
        <v>5923</v>
      </c>
      <c r="C91" t="b">
        <f ca="1">OR(E91:N91)</f>
        <v>1</v>
      </c>
      <c r="D91" s="707" t="s">
        <v>6027</v>
      </c>
      <c r="E91" t="b">
        <f ca="1">SUM('Ch7'!O374:O422)&gt;0</f>
        <v>1</v>
      </c>
    </row>
    <row r="92" spans="1:7" x14ac:dyDescent="0.35">
      <c r="B92" s="690" t="s">
        <v>5924</v>
      </c>
      <c r="D92" s="707"/>
    </row>
    <row r="93" spans="1:7" x14ac:dyDescent="0.35">
      <c r="A93" s="709" t="str">
        <f t="shared" ref="A93:A96" si="12">IF(C93,"🗹","☐")</f>
        <v>☐</v>
      </c>
      <c r="B93" s="683" t="s">
        <v>5925</v>
      </c>
      <c r="C93" t="b">
        <f t="shared" ref="C93:C96" si="13">OR(E93:N93)</f>
        <v>0</v>
      </c>
      <c r="D93" s="707" t="s">
        <v>5992</v>
      </c>
      <c r="E93" t="b">
        <f>'Ch7'!O664&gt;0</f>
        <v>0</v>
      </c>
    </row>
    <row r="94" spans="1:7" x14ac:dyDescent="0.35">
      <c r="A94" s="709" t="str">
        <f t="shared" ca="1" si="12"/>
        <v>☐</v>
      </c>
      <c r="B94" s="683" t="s">
        <v>5926</v>
      </c>
      <c r="C94" t="b">
        <f t="shared" ca="1" si="13"/>
        <v>0</v>
      </c>
      <c r="D94" s="707" t="s">
        <v>6028</v>
      </c>
      <c r="E94" t="b">
        <f ca="1">SUM('Ch7'!O756:O762)&gt;0</f>
        <v>0</v>
      </c>
    </row>
    <row r="95" spans="1:7" x14ac:dyDescent="0.35">
      <c r="A95" s="709" t="str">
        <f t="shared" si="12"/>
        <v>☐</v>
      </c>
      <c r="B95" s="683" t="s">
        <v>5927</v>
      </c>
      <c r="C95" t="b">
        <f t="shared" si="13"/>
        <v>0</v>
      </c>
      <c r="D95" s="707" t="s">
        <v>6029</v>
      </c>
      <c r="E95" t="b">
        <f>'Ch10'!O213&gt;0</f>
        <v>0</v>
      </c>
    </row>
    <row r="96" spans="1:7" x14ac:dyDescent="0.35">
      <c r="A96" s="709" t="str">
        <f t="shared" ca="1" si="12"/>
        <v>☐</v>
      </c>
      <c r="B96" s="679" t="s">
        <v>5928</v>
      </c>
      <c r="C96" t="b">
        <f t="shared" ca="1" si="13"/>
        <v>0</v>
      </c>
      <c r="D96" s="707" t="s">
        <v>6030</v>
      </c>
      <c r="E96" t="b">
        <f ca="1">'Ch7'!O659&gt;0</f>
        <v>0</v>
      </c>
    </row>
    <row r="98" spans="1:5" x14ac:dyDescent="0.35">
      <c r="B98" s="682" t="s">
        <v>5929</v>
      </c>
      <c r="D98" s="706"/>
    </row>
    <row r="99" spans="1:5" x14ac:dyDescent="0.35">
      <c r="A99" s="709" t="str">
        <f ca="1">IF(C99,"🗹","☐")</f>
        <v>☐</v>
      </c>
      <c r="B99" s="680" t="s">
        <v>5930</v>
      </c>
      <c r="C99" t="b">
        <f ca="1">OR(E99:N99)</f>
        <v>0</v>
      </c>
      <c r="D99" s="703" t="s">
        <v>6031</v>
      </c>
      <c r="E99" t="b">
        <f ca="1">SUM('Ch7'!O710:O724)&gt;0</f>
        <v>0</v>
      </c>
    </row>
    <row r="101" spans="1:5" x14ac:dyDescent="0.35">
      <c r="B101" s="710" t="s">
        <v>6070</v>
      </c>
    </row>
    <row r="102" spans="1:5" x14ac:dyDescent="0.35">
      <c r="B102" s="711" t="s">
        <v>6071</v>
      </c>
    </row>
    <row r="103" spans="1:5" x14ac:dyDescent="0.35">
      <c r="B103" s="712" t="s">
        <v>6072</v>
      </c>
    </row>
    <row r="104" spans="1:5" x14ac:dyDescent="0.35">
      <c r="A104" s="709" t="str">
        <f>IF(C104,"🗹","☐")</f>
        <v>☐</v>
      </c>
      <c r="B104" s="713" t="s">
        <v>6073</v>
      </c>
      <c r="C104" t="b">
        <f>OR(E104:N104)</f>
        <v>0</v>
      </c>
      <c r="D104" s="715" t="s">
        <v>6080</v>
      </c>
      <c r="E104" t="b">
        <f>AND(IFERROR(OR('Badges (Design)'!W55,'Badges (Design)'!W54),FALSE),LEN('Badges (Design)'!W15)&gt;0,LEN('Badges (Design)'!W16)&gt;0,LEN('Badges (Design)'!W17)&gt;0,LEN('Badges (Design)'!W21)&gt;0,LEN('Badges (Design)'!W22)&gt;0,LEN('Badges (Design)'!W23)&gt;0,LEN('Badges (Design)'!X18)&gt;0,LEN('Badges (Design)'!X24)&gt;0,LEN('Badges (Design)'!X27)&gt;0,LEN('Badges (Design)'!X28)&gt;0,LEN('Badges (Design)'!X29)&gt;0)</f>
        <v>0</v>
      </c>
    </row>
    <row r="105" spans="1:5" x14ac:dyDescent="0.35">
      <c r="B105" s="713" t="s">
        <v>6074</v>
      </c>
    </row>
    <row r="106" spans="1:5" x14ac:dyDescent="0.35">
      <c r="B106" s="713" t="s">
        <v>6075</v>
      </c>
    </row>
    <row r="107" spans="1:5" x14ac:dyDescent="0.35">
      <c r="B107" s="712" t="s">
        <v>6076</v>
      </c>
    </row>
    <row r="108" spans="1:5" x14ac:dyDescent="0.35">
      <c r="A108" s="709" t="str">
        <f>IF(C108,"🗹","☐")</f>
        <v>☐</v>
      </c>
      <c r="B108" s="713" t="s">
        <v>6077</v>
      </c>
      <c r="C108" t="b">
        <f>OR(E108:N108)</f>
        <v>0</v>
      </c>
      <c r="D108" s="715" t="s">
        <v>6080</v>
      </c>
      <c r="E108" t="b">
        <f>AND(IFERROR(OR('Badges (Design)'!W55,'Badges (Design)'!W54),FALSE),LEN('Badges (Design)'!W15)&gt;0,LEN('Badges (Design)'!W16)&gt;0,LEN('Badges (Design)'!W17)&gt;0,LEN('Badges (Design)'!W21)&gt;0,LEN('Badges (Design)'!W22)&gt;0,LEN('Badges (Design)'!W23)&gt;0,LEN('Badges (Design)'!X18)&gt;0,LEN('Badges (Design)'!X24)&gt;0,LEN('Badges (Design)'!X27)&gt;0,LEN('Badges (Design)'!X28)&gt;0,LEN('Badges (Design)'!X29)&gt;0)</f>
        <v>0</v>
      </c>
    </row>
    <row r="109" spans="1:5" x14ac:dyDescent="0.35">
      <c r="B109" s="713" t="s">
        <v>6078</v>
      </c>
    </row>
    <row r="110" spans="1:5" x14ac:dyDescent="0.35">
      <c r="B110" s="713" t="s">
        <v>6079</v>
      </c>
    </row>
    <row r="111" spans="1:5" x14ac:dyDescent="0.35">
      <c r="B111" s="714" t="s">
        <v>6075</v>
      </c>
    </row>
    <row r="113" spans="1:7" x14ac:dyDescent="0.35">
      <c r="B113" s="682" t="s">
        <v>5931</v>
      </c>
      <c r="D113" s="706"/>
    </row>
    <row r="114" spans="1:7" x14ac:dyDescent="0.35">
      <c r="B114" s="692" t="s">
        <v>5932</v>
      </c>
      <c r="D114" s="707"/>
    </row>
    <row r="115" spans="1:7" x14ac:dyDescent="0.35">
      <c r="B115" s="683" t="s">
        <v>5909</v>
      </c>
      <c r="D115" s="707"/>
    </row>
    <row r="116" spans="1:7" x14ac:dyDescent="0.35">
      <c r="A116" s="709" t="str">
        <f t="shared" ref="A116:A120" ca="1" si="14">IF(C116,"🗹","☐")</f>
        <v>🗹</v>
      </c>
      <c r="B116" s="683" t="s">
        <v>5933</v>
      </c>
      <c r="C116" t="b">
        <f t="shared" ref="C116:C120" ca="1" si="15">OR(E116:N116)</f>
        <v>1</v>
      </c>
      <c r="D116" s="707" t="s">
        <v>6032</v>
      </c>
      <c r="E116" t="b">
        <f ca="1">NOT(Ch8Level="None")</f>
        <v>1</v>
      </c>
    </row>
    <row r="117" spans="1:7" x14ac:dyDescent="0.35">
      <c r="A117" s="709" t="str">
        <f t="shared" ca="1" si="14"/>
        <v>🗹</v>
      </c>
      <c r="B117" s="683" t="s">
        <v>5934</v>
      </c>
      <c r="C117" t="b">
        <f t="shared" ca="1" si="15"/>
        <v>1</v>
      </c>
      <c r="D117" s="707" t="s">
        <v>6032</v>
      </c>
      <c r="E117" t="b">
        <f ca="1">NOT(Ch8Level="None")</f>
        <v>1</v>
      </c>
    </row>
    <row r="118" spans="1:7" x14ac:dyDescent="0.35">
      <c r="A118" s="709" t="str">
        <f t="shared" ca="1" si="14"/>
        <v>🗹</v>
      </c>
      <c r="B118" s="683" t="s">
        <v>5935</v>
      </c>
      <c r="C118" t="b">
        <f t="shared" ca="1" si="15"/>
        <v>1</v>
      </c>
      <c r="D118" s="707" t="s">
        <v>6032</v>
      </c>
      <c r="E118" t="b">
        <f ca="1">NOT(Ch8Level="None")</f>
        <v>1</v>
      </c>
    </row>
    <row r="119" spans="1:7" x14ac:dyDescent="0.35">
      <c r="A119" s="709" t="str">
        <f t="shared" ca="1" si="14"/>
        <v>🗹</v>
      </c>
      <c r="B119" s="683" t="s">
        <v>5936</v>
      </c>
      <c r="C119" t="b">
        <f t="shared" ca="1" si="15"/>
        <v>1</v>
      </c>
      <c r="D119" s="707" t="s">
        <v>6032</v>
      </c>
      <c r="E119" t="b">
        <f ca="1">NOT(Ch8Level="None")</f>
        <v>1</v>
      </c>
    </row>
    <row r="120" spans="1:7" x14ac:dyDescent="0.35">
      <c r="A120" s="709" t="str">
        <f t="shared" ca="1" si="14"/>
        <v>🗹</v>
      </c>
      <c r="B120" s="683" t="s">
        <v>5937</v>
      </c>
      <c r="C120" t="b">
        <f t="shared" ca="1" si="15"/>
        <v>1</v>
      </c>
      <c r="D120" s="707" t="s">
        <v>6032</v>
      </c>
      <c r="E120" t="b">
        <f ca="1">NOT(Ch8Level="None")</f>
        <v>1</v>
      </c>
    </row>
    <row r="121" spans="1:7" x14ac:dyDescent="0.35">
      <c r="B121" s="683" t="s">
        <v>5938</v>
      </c>
      <c r="D121" s="707"/>
    </row>
    <row r="122" spans="1:7" x14ac:dyDescent="0.35">
      <c r="B122" s="690" t="s">
        <v>5939</v>
      </c>
      <c r="D122" s="707"/>
    </row>
    <row r="123" spans="1:7" x14ac:dyDescent="0.35">
      <c r="A123" s="709" t="str">
        <f t="shared" ref="A123:A130" ca="1" si="16">IF(C123,"🗹","☐")</f>
        <v>☐</v>
      </c>
      <c r="B123" s="683" t="s">
        <v>5940</v>
      </c>
      <c r="C123" t="b">
        <f t="shared" ref="C123:C130" ca="1" si="17">OR(E123:N123)</f>
        <v>0</v>
      </c>
      <c r="D123" s="708" t="s">
        <v>6033</v>
      </c>
      <c r="E123" t="b">
        <f ca="1">SUM('Ch8'!O162:O171)&gt;0</f>
        <v>0</v>
      </c>
    </row>
    <row r="124" spans="1:7" x14ac:dyDescent="0.35">
      <c r="A124" s="709" t="str">
        <f t="shared" ca="1" si="16"/>
        <v>☐</v>
      </c>
      <c r="B124" s="683" t="s">
        <v>5941</v>
      </c>
      <c r="C124" t="b">
        <f t="shared" ca="1" si="17"/>
        <v>0</v>
      </c>
      <c r="D124" s="702" t="s">
        <v>6034</v>
      </c>
      <c r="E124" t="b">
        <f ca="1">SUM('Ch8'!O148:O152)&gt;0</f>
        <v>0</v>
      </c>
      <c r="F124" t="b">
        <f ca="1">'Ch8'!O156&gt;0</f>
        <v>0</v>
      </c>
    </row>
    <row r="125" spans="1:7" x14ac:dyDescent="0.35">
      <c r="A125" s="709" t="str">
        <f t="shared" ca="1" si="16"/>
        <v>🗹</v>
      </c>
      <c r="B125" s="683" t="s">
        <v>5942</v>
      </c>
      <c r="C125" t="b">
        <f t="shared" ca="1" si="17"/>
        <v>1</v>
      </c>
      <c r="D125" s="702" t="s">
        <v>6035</v>
      </c>
      <c r="E125" t="b">
        <f ca="1">'Ch5'!O150&gt;0</f>
        <v>0</v>
      </c>
      <c r="F125" t="b">
        <f ca="1">'Ch5'!O161&gt;0</f>
        <v>0</v>
      </c>
      <c r="G125" t="b">
        <f ca="1">'Ch5'!O163&gt;0</f>
        <v>1</v>
      </c>
    </row>
    <row r="126" spans="1:7" x14ac:dyDescent="0.35">
      <c r="A126" s="709" t="str">
        <f t="shared" ca="1" si="16"/>
        <v>🗹</v>
      </c>
      <c r="B126" s="683" t="s">
        <v>5943</v>
      </c>
      <c r="C126" t="b">
        <f t="shared" ca="1" si="17"/>
        <v>1</v>
      </c>
      <c r="D126" s="708" t="s">
        <v>6036</v>
      </c>
      <c r="E126" t="b">
        <f ca="1">SUM('Ch8'!O53:O61)&gt;0</f>
        <v>1</v>
      </c>
    </row>
    <row r="127" spans="1:7" x14ac:dyDescent="0.35">
      <c r="A127" s="709" t="str">
        <f t="shared" ca="1" si="16"/>
        <v>☐</v>
      </c>
      <c r="B127" s="683" t="s">
        <v>5944</v>
      </c>
      <c r="C127" t="b">
        <f t="shared" ca="1" si="17"/>
        <v>0</v>
      </c>
      <c r="D127" s="708" t="s">
        <v>6037</v>
      </c>
      <c r="E127" t="b">
        <f ca="1">'Ch8'!O223&gt;0</f>
        <v>0</v>
      </c>
    </row>
    <row r="128" spans="1:7" x14ac:dyDescent="0.35">
      <c r="A128" s="709" t="str">
        <f t="shared" ca="1" si="16"/>
        <v>☐</v>
      </c>
      <c r="B128" s="683" t="s">
        <v>5945</v>
      </c>
      <c r="C128" t="b">
        <f t="shared" ca="1" si="17"/>
        <v>0</v>
      </c>
      <c r="D128" s="702" t="s">
        <v>6038</v>
      </c>
      <c r="E128" t="b">
        <f ca="1">'Ch8'!O117&gt;0</f>
        <v>0</v>
      </c>
    </row>
    <row r="129" spans="1:6" x14ac:dyDescent="0.35">
      <c r="A129" s="709" t="str">
        <f t="shared" ca="1" si="16"/>
        <v>☐</v>
      </c>
      <c r="B129" s="683" t="s">
        <v>5946</v>
      </c>
      <c r="C129" t="b">
        <f t="shared" ca="1" si="17"/>
        <v>0</v>
      </c>
      <c r="D129" s="702" t="s">
        <v>6039</v>
      </c>
      <c r="E129" t="b">
        <f ca="1">'Ch8'!O233&gt;0</f>
        <v>0</v>
      </c>
    </row>
    <row r="130" spans="1:6" x14ac:dyDescent="0.35">
      <c r="A130" s="709" t="str">
        <f t="shared" ca="1" si="16"/>
        <v>☐</v>
      </c>
      <c r="B130" s="683" t="s">
        <v>5947</v>
      </c>
      <c r="C130" t="b">
        <f t="shared" ca="1" si="17"/>
        <v>0</v>
      </c>
      <c r="D130" s="702" t="s">
        <v>6040</v>
      </c>
      <c r="E130" t="b">
        <f ca="1">'Ch8'!O213&gt;0</f>
        <v>0</v>
      </c>
      <c r="F130" t="b">
        <f ca="1">SUM('Ch8'!O173:O191)&gt;0</f>
        <v>0</v>
      </c>
    </row>
    <row r="131" spans="1:6" x14ac:dyDescent="0.35">
      <c r="B131" s="690" t="s">
        <v>5948</v>
      </c>
      <c r="D131" s="707"/>
    </row>
    <row r="132" spans="1:6" x14ac:dyDescent="0.35">
      <c r="B132" s="683" t="s">
        <v>5949</v>
      </c>
      <c r="D132" s="707"/>
    </row>
    <row r="133" spans="1:6" x14ac:dyDescent="0.35">
      <c r="A133" s="709" t="str">
        <f ca="1">IF(C133,"🗹","☐")</f>
        <v>☐</v>
      </c>
      <c r="B133" s="683" t="s">
        <v>5928</v>
      </c>
      <c r="C133" t="b">
        <f ca="1">OR(E133:N133)</f>
        <v>0</v>
      </c>
      <c r="D133" s="702" t="s">
        <v>6041</v>
      </c>
      <c r="E133" t="b">
        <f ca="1">SUM('Ch8'!O62:O78)&gt;0</f>
        <v>0</v>
      </c>
    </row>
    <row r="134" spans="1:6" x14ac:dyDescent="0.35">
      <c r="B134" s="679" t="s">
        <v>5950</v>
      </c>
    </row>
    <row r="136" spans="1:6" x14ac:dyDescent="0.35">
      <c r="B136" s="682" t="s">
        <v>5951</v>
      </c>
      <c r="D136" s="706"/>
    </row>
    <row r="137" spans="1:6" x14ac:dyDescent="0.35">
      <c r="B137" s="693" t="s">
        <v>5952</v>
      </c>
      <c r="D137" s="707"/>
    </row>
    <row r="138" spans="1:6" x14ac:dyDescent="0.35">
      <c r="B138" s="694" t="s">
        <v>5953</v>
      </c>
      <c r="D138" s="707"/>
    </row>
    <row r="139" spans="1:6" x14ac:dyDescent="0.35">
      <c r="A139" s="709" t="str">
        <f t="shared" ref="A139:A140" si="18">IF(C139,"🗹","☐")</f>
        <v>☐</v>
      </c>
      <c r="B139" s="694" t="s">
        <v>5954</v>
      </c>
      <c r="C139" t="b">
        <f t="shared" ref="C139:C140" si="19">OR(E139:N139)</f>
        <v>0</v>
      </c>
      <c r="D139" s="704" t="s">
        <v>6004</v>
      </c>
      <c r="E139" t="b">
        <f>'Ch6'!O278&gt;0</f>
        <v>0</v>
      </c>
    </row>
    <row r="140" spans="1:6" x14ac:dyDescent="0.35">
      <c r="A140" s="709" t="str">
        <f t="shared" si="18"/>
        <v>☐</v>
      </c>
      <c r="B140" s="694" t="s">
        <v>5955</v>
      </c>
      <c r="C140" t="b">
        <f t="shared" si="19"/>
        <v>0</v>
      </c>
      <c r="D140" s="703" t="s">
        <v>6042</v>
      </c>
      <c r="E140" t="b">
        <f>'Ch10'!W111=TRUE</f>
        <v>0</v>
      </c>
    </row>
    <row r="141" spans="1:6" x14ac:dyDescent="0.35">
      <c r="B141" s="694" t="s">
        <v>5956</v>
      </c>
      <c r="D141" s="707"/>
    </row>
    <row r="142" spans="1:6" x14ac:dyDescent="0.35">
      <c r="B142" s="694" t="s">
        <v>5957</v>
      </c>
      <c r="D142" s="707"/>
    </row>
    <row r="143" spans="1:6" x14ac:dyDescent="0.35">
      <c r="A143" s="709" t="str">
        <f t="shared" ref="A143:A144" si="20">IF(C143,"🗹","☐")</f>
        <v>☐</v>
      </c>
      <c r="B143" s="694" t="s">
        <v>5958</v>
      </c>
      <c r="C143" t="b">
        <f t="shared" ref="C143:C144" si="21">OR(E143:N143)</f>
        <v>0</v>
      </c>
      <c r="D143" s="704" t="s">
        <v>6004</v>
      </c>
      <c r="E143" t="b">
        <f>'Ch6'!O278&gt;0</f>
        <v>0</v>
      </c>
    </row>
    <row r="144" spans="1:6" x14ac:dyDescent="0.35">
      <c r="A144" s="709" t="str">
        <f t="shared" si="20"/>
        <v>🗹</v>
      </c>
      <c r="B144" s="694" t="s">
        <v>5959</v>
      </c>
      <c r="C144" t="b">
        <f t="shared" si="21"/>
        <v>1</v>
      </c>
      <c r="D144" s="703" t="s">
        <v>6043</v>
      </c>
      <c r="E144" t="b">
        <f>SUM('Ch6'!O363:O375)&gt;0</f>
        <v>1</v>
      </c>
    </row>
    <row r="145" spans="1:7" x14ac:dyDescent="0.35">
      <c r="B145" s="695" t="s">
        <v>5960</v>
      </c>
      <c r="D145" s="705"/>
    </row>
    <row r="146" spans="1:7" x14ac:dyDescent="0.35">
      <c r="A146" s="709" t="str">
        <f t="shared" ref="A146:A147" si="22">IF(C146,"🗹","☐")</f>
        <v>🗹</v>
      </c>
      <c r="B146" s="694" t="s">
        <v>5961</v>
      </c>
      <c r="C146" t="b">
        <f t="shared" ref="C146:C147" si="23">OR(E146:N146)</f>
        <v>1</v>
      </c>
      <c r="D146" s="704" t="s">
        <v>6044</v>
      </c>
      <c r="E146" t="b">
        <f>'Ch6'!W275=TRUE</f>
        <v>1</v>
      </c>
    </row>
    <row r="147" spans="1:7" x14ac:dyDescent="0.35">
      <c r="A147" s="709" t="str">
        <f t="shared" si="22"/>
        <v>☐</v>
      </c>
      <c r="B147" s="696" t="s">
        <v>5962</v>
      </c>
      <c r="C147" t="b">
        <f t="shared" si="23"/>
        <v>0</v>
      </c>
      <c r="D147" s="704" t="s">
        <v>6004</v>
      </c>
      <c r="E147" t="b">
        <f>'Ch6'!O278&gt;0</f>
        <v>0</v>
      </c>
    </row>
    <row r="149" spans="1:7" x14ac:dyDescent="0.35">
      <c r="B149" s="697" t="s">
        <v>5963</v>
      </c>
      <c r="D149" s="706"/>
    </row>
    <row r="150" spans="1:7" x14ac:dyDescent="0.35">
      <c r="B150" s="692" t="s">
        <v>5964</v>
      </c>
      <c r="D150" s="707"/>
    </row>
    <row r="151" spans="1:7" x14ac:dyDescent="0.35">
      <c r="B151" s="683" t="s">
        <v>5965</v>
      </c>
      <c r="D151" s="707"/>
    </row>
    <row r="152" spans="1:7" x14ac:dyDescent="0.35">
      <c r="B152" s="683" t="s">
        <v>5966</v>
      </c>
      <c r="D152" s="707"/>
    </row>
    <row r="153" spans="1:7" x14ac:dyDescent="0.35">
      <c r="B153" s="683" t="s">
        <v>5967</v>
      </c>
      <c r="D153" s="707"/>
    </row>
    <row r="154" spans="1:7" x14ac:dyDescent="0.35">
      <c r="B154" s="690" t="s">
        <v>5968</v>
      </c>
      <c r="D154" s="707"/>
    </row>
    <row r="155" spans="1:7" x14ac:dyDescent="0.35">
      <c r="A155" s="709" t="str">
        <f t="shared" ref="A155:A159" ca="1" si="24">IF(C155,"🗹","☐")</f>
        <v>☐</v>
      </c>
      <c r="B155" s="683" t="s">
        <v>5969</v>
      </c>
      <c r="C155" t="b">
        <f t="shared" ref="C155:C159" ca="1" si="25">OR(E155:N155)</f>
        <v>0</v>
      </c>
      <c r="D155" s="708" t="s">
        <v>6045</v>
      </c>
      <c r="E155" t="b">
        <f ca="1">'Ch9'!O377&gt;0</f>
        <v>0</v>
      </c>
    </row>
    <row r="156" spans="1:7" x14ac:dyDescent="0.35">
      <c r="A156" s="709" t="str">
        <f t="shared" ca="1" si="24"/>
        <v>☐</v>
      </c>
      <c r="B156" s="698" t="s">
        <v>5970</v>
      </c>
      <c r="C156" t="b">
        <f t="shared" ca="1" si="25"/>
        <v>0</v>
      </c>
      <c r="D156" s="702" t="s">
        <v>6046</v>
      </c>
      <c r="E156" t="b">
        <f ca="1">SUM('Ch5'!O20:O57)&gt;0</f>
        <v>0</v>
      </c>
      <c r="F156" t="b">
        <f>SUM('Ch5'!O262:O275)&gt;0</f>
        <v>0</v>
      </c>
      <c r="G156" t="b">
        <f ca="1">SUM('Ch5'!O319:O327)&gt;0</f>
        <v>0</v>
      </c>
    </row>
    <row r="157" spans="1:7" x14ac:dyDescent="0.35">
      <c r="A157" s="709" t="str">
        <f t="shared" ca="1" si="24"/>
        <v>☐</v>
      </c>
      <c r="B157" s="683" t="s">
        <v>5971</v>
      </c>
      <c r="C157" t="b">
        <f t="shared" ca="1" si="25"/>
        <v>0</v>
      </c>
      <c r="D157" s="702" t="s">
        <v>6047</v>
      </c>
      <c r="E157" t="b">
        <f ca="1">'Ch6'!O318&gt;0</f>
        <v>0</v>
      </c>
      <c r="F157" t="b">
        <f>SUM('Ch5'!O262:O275)&gt;0</f>
        <v>0</v>
      </c>
      <c r="G157" t="b">
        <f ca="1">SUM('Ch5'!O284:O293)&gt;0</f>
        <v>0</v>
      </c>
    </row>
    <row r="158" spans="1:7" x14ac:dyDescent="0.35">
      <c r="A158" s="709" t="str">
        <f t="shared" si="24"/>
        <v>🗹</v>
      </c>
      <c r="B158" s="683" t="s">
        <v>5915</v>
      </c>
      <c r="C158" t="b">
        <f t="shared" si="25"/>
        <v>1</v>
      </c>
      <c r="D158" s="707" t="s">
        <v>6048</v>
      </c>
      <c r="E158" t="b">
        <f>SUM('Ch7'!O591:O596)&gt;0</f>
        <v>0</v>
      </c>
      <c r="F158" t="b">
        <f>'Ch7'!O610&gt;0</f>
        <v>1</v>
      </c>
    </row>
    <row r="159" spans="1:7" x14ac:dyDescent="0.35">
      <c r="A159" s="709" t="str">
        <f t="shared" ca="1" si="24"/>
        <v>☐</v>
      </c>
      <c r="B159" s="683" t="s">
        <v>5972</v>
      </c>
      <c r="C159" t="b">
        <f t="shared" ca="1" si="25"/>
        <v>0</v>
      </c>
      <c r="D159" s="702" t="s">
        <v>6049</v>
      </c>
      <c r="E159" t="b">
        <f ca="1">SUM('Ch7'!O235:O268)&gt;0</f>
        <v>0</v>
      </c>
      <c r="F159" t="b">
        <f ca="1">'Ch7'!O487&gt;0</f>
        <v>0</v>
      </c>
      <c r="G159" t="b">
        <f>'Ch7'!O578&gt;0</f>
        <v>0</v>
      </c>
    </row>
    <row r="160" spans="1:7" x14ac:dyDescent="0.35">
      <c r="B160" s="683" t="s">
        <v>5973</v>
      </c>
      <c r="D160" s="707"/>
    </row>
    <row r="161" spans="1:6" x14ac:dyDescent="0.35">
      <c r="A161" s="709" t="str">
        <f t="shared" ref="A161:A169" si="26">IF(C161,"🗹","☐")</f>
        <v>☐</v>
      </c>
      <c r="B161" s="683" t="s">
        <v>5974</v>
      </c>
      <c r="C161" t="b">
        <f t="shared" ref="C161:C169" si="27">OR(E161:N161)</f>
        <v>0</v>
      </c>
      <c r="D161" s="702" t="s">
        <v>6050</v>
      </c>
      <c r="E161" t="b">
        <f>'Ch9'!O366&gt;0</f>
        <v>0</v>
      </c>
      <c r="F161" t="b">
        <f>'Ch9'!O336&gt;0</f>
        <v>0</v>
      </c>
    </row>
    <row r="162" spans="1:6" x14ac:dyDescent="0.35">
      <c r="A162" s="709" t="str">
        <f t="shared" ca="1" si="26"/>
        <v>☐</v>
      </c>
      <c r="B162" s="683" t="s">
        <v>5975</v>
      </c>
      <c r="C162" t="b">
        <f t="shared" ca="1" si="27"/>
        <v>0</v>
      </c>
      <c r="D162" s="702" t="s">
        <v>6051</v>
      </c>
      <c r="E162" t="b">
        <f ca="1">'Ch5'!O326&gt;0</f>
        <v>0</v>
      </c>
      <c r="F162" t="b">
        <f>'Ch7'!O561&gt;0</f>
        <v>0</v>
      </c>
    </row>
    <row r="163" spans="1:6" x14ac:dyDescent="0.35">
      <c r="A163" s="709" t="str">
        <f t="shared" ca="1" si="26"/>
        <v>🗹</v>
      </c>
      <c r="B163" s="683" t="s">
        <v>5976</v>
      </c>
      <c r="C163" t="b">
        <f t="shared" ca="1" si="27"/>
        <v>1</v>
      </c>
      <c r="D163" s="702" t="s">
        <v>6052</v>
      </c>
      <c r="E163" t="b">
        <f ca="1">'Ch6'!O519&gt;0</f>
        <v>1</v>
      </c>
    </row>
    <row r="164" spans="1:6" x14ac:dyDescent="0.35">
      <c r="A164" s="709" t="str">
        <f t="shared" si="26"/>
        <v>☐</v>
      </c>
      <c r="B164" s="683" t="s">
        <v>5977</v>
      </c>
      <c r="C164" t="b">
        <f t="shared" si="27"/>
        <v>0</v>
      </c>
      <c r="D164" s="702" t="s">
        <v>6053</v>
      </c>
      <c r="E164" t="b">
        <f>'Ch9'!O373&gt;0</f>
        <v>0</v>
      </c>
    </row>
    <row r="165" spans="1:6" x14ac:dyDescent="0.35">
      <c r="A165" s="709" t="str">
        <f t="shared" ca="1" si="26"/>
        <v>🗹</v>
      </c>
      <c r="B165" s="683" t="s">
        <v>5978</v>
      </c>
      <c r="C165" t="b">
        <f t="shared" ca="1" si="27"/>
        <v>1</v>
      </c>
      <c r="D165" s="702" t="s">
        <v>6054</v>
      </c>
      <c r="E165" t="b">
        <f ca="1">SUM('Ch9'!O182:O237)&gt;0</f>
        <v>1</v>
      </c>
    </row>
    <row r="166" spans="1:6" x14ac:dyDescent="0.35">
      <c r="A166" s="709" t="str">
        <f t="shared" ca="1" si="26"/>
        <v>🗹</v>
      </c>
      <c r="B166" s="683" t="s">
        <v>5919</v>
      </c>
      <c r="C166" t="b">
        <f t="shared" ca="1" si="27"/>
        <v>1</v>
      </c>
      <c r="D166" s="702" t="s">
        <v>6055</v>
      </c>
      <c r="E166" t="b">
        <f>LEN('Ch6'!W542)&gt;0</f>
        <v>1</v>
      </c>
      <c r="F166" t="b">
        <f ca="1">SUM('Ch7'!O555:O577)&gt;0</f>
        <v>0</v>
      </c>
    </row>
    <row r="167" spans="1:6" x14ac:dyDescent="0.35">
      <c r="A167" s="709" t="str">
        <f t="shared" ca="1" si="26"/>
        <v>☐</v>
      </c>
      <c r="B167" s="683" t="s">
        <v>5979</v>
      </c>
      <c r="C167" t="b">
        <f t="shared" ca="1" si="27"/>
        <v>0</v>
      </c>
      <c r="D167" s="702" t="s">
        <v>6056</v>
      </c>
      <c r="E167" t="b">
        <f ca="1">SUM('Ch5'!O319:O327)&gt;0</f>
        <v>0</v>
      </c>
    </row>
    <row r="168" spans="1:6" x14ac:dyDescent="0.35">
      <c r="A168" s="709" t="str">
        <f t="shared" si="26"/>
        <v>☐</v>
      </c>
      <c r="B168" s="683" t="s">
        <v>5980</v>
      </c>
      <c r="C168" t="b">
        <f t="shared" si="27"/>
        <v>0</v>
      </c>
      <c r="D168" s="702" t="s">
        <v>5992</v>
      </c>
      <c r="E168" t="b">
        <f>'Ch7'!O664&gt;0</f>
        <v>0</v>
      </c>
    </row>
    <row r="169" spans="1:6" x14ac:dyDescent="0.35">
      <c r="A169" s="709" t="str">
        <f t="shared" ca="1" si="26"/>
        <v>☐</v>
      </c>
      <c r="B169" s="683" t="s">
        <v>5981</v>
      </c>
      <c r="C169" t="b">
        <f t="shared" ca="1" si="27"/>
        <v>0</v>
      </c>
      <c r="D169" s="702" t="s">
        <v>6057</v>
      </c>
      <c r="E169" t="b">
        <f ca="1">SUM('Ch8'!O194:O206)&gt;0</f>
        <v>0</v>
      </c>
    </row>
    <row r="170" spans="1:6" x14ac:dyDescent="0.35">
      <c r="B170" s="690" t="s">
        <v>5982</v>
      </c>
      <c r="D170" s="707"/>
    </row>
    <row r="171" spans="1:6" x14ac:dyDescent="0.35">
      <c r="A171" s="709" t="str">
        <f>IF(C171,"🗹","☐")</f>
        <v>🗹</v>
      </c>
      <c r="B171" s="683" t="s">
        <v>5983</v>
      </c>
      <c r="C171" t="b">
        <f>OR(E171:N171)</f>
        <v>1</v>
      </c>
      <c r="D171" s="702" t="s">
        <v>6058</v>
      </c>
      <c r="E171" t="b">
        <f>'Ch10'!O60&gt;0</f>
        <v>1</v>
      </c>
      <c r="F171" t="b">
        <f>'Ch10'!O177&gt;0</f>
        <v>0</v>
      </c>
    </row>
    <row r="172" spans="1:6" x14ac:dyDescent="0.35">
      <c r="B172" s="688" t="s">
        <v>5984</v>
      </c>
      <c r="D172" s="707"/>
    </row>
    <row r="173" spans="1:6" x14ac:dyDescent="0.35">
      <c r="B173" s="699"/>
    </row>
    <row r="174" spans="1:6" x14ac:dyDescent="0.35">
      <c r="B174" s="682" t="s">
        <v>5985</v>
      </c>
      <c r="D174" s="706"/>
    </row>
    <row r="175" spans="1:6" ht="13.4" customHeight="1" x14ac:dyDescent="0.35">
      <c r="B175" s="700" t="s">
        <v>5986</v>
      </c>
      <c r="D175" s="707"/>
    </row>
    <row r="176" spans="1:6" ht="15.65" customHeight="1" x14ac:dyDescent="0.35">
      <c r="B176" s="686" t="s">
        <v>5987</v>
      </c>
      <c r="D176" s="707"/>
    </row>
    <row r="177" spans="1:5" x14ac:dyDescent="0.35">
      <c r="B177" s="686" t="s">
        <v>5988</v>
      </c>
      <c r="D177" s="707"/>
    </row>
    <row r="178" spans="1:5" x14ac:dyDescent="0.35">
      <c r="A178" s="709" t="str">
        <f ca="1">IF(C178,"🗹","☐")</f>
        <v>🗹</v>
      </c>
      <c r="B178" s="688" t="s">
        <v>5989</v>
      </c>
      <c r="C178" t="b">
        <f ca="1">OR(E178:N178)</f>
        <v>1</v>
      </c>
      <c r="D178" s="707" t="s">
        <v>5993</v>
      </c>
      <c r="E178" t="b">
        <f ca="1">NOT(Points!R22="None")</f>
        <v>1</v>
      </c>
    </row>
  </sheetData>
  <sheetProtection algorithmName="SHA-512" hashValue="1FvfvF+QXgAo/w9AWb5rbpIVvRRYZG/dixnTVxUqRPDWG/fzYrFKMicdzja+BwJThQUlXBxnW3KNKV1VftYYdw==" saltValue="7qkVpTL04nk+yfDW7++2hA==" spinCount="100000" sheet="1" objects="1" scenarios="1" selectLockedCells="1"/>
  <mergeCells count="1">
    <mergeCell ref="B3:B1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tabColor theme="1"/>
    <pageSetUpPr fitToPage="1"/>
  </sheetPr>
  <dimension ref="A2:HU14"/>
  <sheetViews>
    <sheetView topLeftCell="EK1" zoomScaleNormal="100" workbookViewId="0"/>
  </sheetViews>
  <sheetFormatPr defaultRowHeight="14.5" x14ac:dyDescent="0.35"/>
  <cols>
    <col min="1" max="1" width="6.26953125" hidden="1" customWidth="1"/>
    <col min="2" max="2" width="10.54296875" hidden="1" customWidth="1"/>
    <col min="3" max="3" width="16.54296875" hidden="1" customWidth="1"/>
    <col min="4" max="4" width="20.453125" hidden="1" customWidth="1"/>
    <col min="5" max="5" width="15.7265625" hidden="1" customWidth="1"/>
    <col min="6" max="6" width="14" hidden="1" customWidth="1"/>
    <col min="7" max="7" width="25.81640625" hidden="1" customWidth="1"/>
    <col min="8" max="10" width="24.54296875" hidden="1" customWidth="1"/>
    <col min="11" max="11" width="13.26953125" hidden="1" customWidth="1"/>
    <col min="12" max="12" width="9.453125" hidden="1" customWidth="1"/>
    <col min="13" max="15" width="24.54296875" hidden="1" customWidth="1"/>
    <col min="16" max="16" width="9.26953125" hidden="1" customWidth="1"/>
    <col min="17" max="17" width="13.7265625" hidden="1" customWidth="1"/>
    <col min="18" max="18" width="20.26953125" hidden="1" customWidth="1"/>
    <col min="19" max="19" width="7.453125" hidden="1" customWidth="1"/>
    <col min="20" max="20" width="17.7265625" hidden="1" customWidth="1"/>
    <col min="21" max="21" width="18.81640625" hidden="1" customWidth="1"/>
    <col min="22" max="22" width="14.453125" hidden="1" customWidth="1"/>
    <col min="23" max="23" width="12.54296875" hidden="1" customWidth="1"/>
    <col min="24" max="24" width="18.1796875" hidden="1" customWidth="1"/>
    <col min="25" max="25" width="8.26953125" hidden="1" customWidth="1"/>
    <col min="26" max="26" width="9.54296875" hidden="1" customWidth="1"/>
    <col min="27" max="27" width="14" hidden="1" customWidth="1"/>
    <col min="28" max="28" width="15.26953125" hidden="1" customWidth="1"/>
    <col min="29" max="29" width="18.1796875" hidden="1" customWidth="1"/>
    <col min="30" max="30" width="12.26953125" hidden="1" customWidth="1"/>
    <col min="31" max="34" width="10.26953125" hidden="1" customWidth="1"/>
    <col min="35" max="35" width="9.7265625" hidden="1" customWidth="1"/>
    <col min="36" max="37" width="10.26953125" hidden="1" customWidth="1"/>
    <col min="38" max="38" width="8.26953125" hidden="1" customWidth="1"/>
    <col min="39" max="39" width="9.26953125" hidden="1" customWidth="1"/>
    <col min="40" max="41" width="10.26953125" hidden="1" customWidth="1"/>
    <col min="42" max="42" width="12.7265625" hidden="1" customWidth="1"/>
    <col min="43" max="48" width="19.453125" hidden="1" customWidth="1"/>
    <col min="49" max="50" width="14.453125" hidden="1" customWidth="1"/>
    <col min="51" max="51" width="18" hidden="1" customWidth="1"/>
    <col min="52" max="52" width="14.453125" hidden="1" customWidth="1"/>
    <col min="53" max="53" width="10.26953125" hidden="1" customWidth="1"/>
    <col min="54" max="54" width="12.26953125" hidden="1" customWidth="1"/>
    <col min="55" max="55" width="15.26953125" hidden="1" customWidth="1"/>
    <col min="56" max="57" width="11.26953125" hidden="1" customWidth="1"/>
    <col min="58" max="58" width="13.453125" hidden="1" customWidth="1"/>
    <col min="59" max="66" width="13.81640625" hidden="1" customWidth="1"/>
    <col min="67" max="70" width="21.453125" hidden="1" customWidth="1"/>
    <col min="71" max="71" width="11.7265625" hidden="1" customWidth="1"/>
    <col min="72" max="72" width="11.1796875" hidden="1" customWidth="1"/>
    <col min="73" max="73" width="14.54296875" hidden="1" customWidth="1"/>
    <col min="74" max="74" width="15.54296875" hidden="1" customWidth="1"/>
    <col min="75" max="76" width="14.7265625" hidden="1" customWidth="1"/>
    <col min="77" max="80" width="18.7265625" hidden="1" customWidth="1"/>
    <col min="81" max="81" width="8.26953125" hidden="1" customWidth="1"/>
    <col min="82" max="82" width="10.26953125" hidden="1" customWidth="1"/>
    <col min="83" max="83" width="8.26953125" hidden="1" customWidth="1"/>
    <col min="84" max="84" width="19.453125" hidden="1" customWidth="1"/>
    <col min="85" max="85" width="11" hidden="1" customWidth="1"/>
    <col min="86" max="86" width="10.7265625" hidden="1" customWidth="1"/>
    <col min="87" max="87" width="16.81640625" hidden="1" customWidth="1"/>
    <col min="88" max="88" width="21.81640625" hidden="1" customWidth="1"/>
    <col min="89" max="90" width="12.26953125" hidden="1" customWidth="1"/>
    <col min="91" max="91" width="21.7265625" hidden="1" customWidth="1"/>
    <col min="92" max="92" width="14.453125" hidden="1" customWidth="1"/>
    <col min="93" max="93" width="14.54296875" hidden="1" customWidth="1"/>
    <col min="94" max="94" width="14.26953125" hidden="1" customWidth="1"/>
    <col min="95" max="96" width="14.54296875" hidden="1" customWidth="1"/>
    <col min="97" max="97" width="14.1796875" hidden="1" customWidth="1"/>
    <col min="98" max="98" width="14.453125" hidden="1" customWidth="1"/>
    <col min="99" max="99" width="14.54296875" hidden="1" customWidth="1"/>
    <col min="100" max="101" width="14" hidden="1" customWidth="1"/>
    <col min="102" max="102" width="14.453125" hidden="1" customWidth="1"/>
    <col min="103" max="103" width="14" hidden="1" customWidth="1"/>
    <col min="104" max="104" width="15.1796875" hidden="1" customWidth="1"/>
    <col min="105" max="105" width="12.26953125" hidden="1" customWidth="1"/>
    <col min="106" max="106" width="15.453125" hidden="1" customWidth="1"/>
    <col min="107" max="107" width="22.453125" hidden="1" customWidth="1"/>
    <col min="108" max="108" width="14.453125" hidden="1" customWidth="1"/>
    <col min="109" max="109" width="12.26953125" hidden="1" customWidth="1"/>
    <col min="110" max="110" width="14.453125" hidden="1" customWidth="1"/>
    <col min="111" max="112" width="12.26953125" hidden="1" customWidth="1"/>
    <col min="113" max="114" width="10.26953125" hidden="1" customWidth="1"/>
    <col min="115" max="116" width="12.26953125" hidden="1" customWidth="1"/>
    <col min="117" max="117" width="10.26953125" hidden="1" customWidth="1"/>
    <col min="118" max="118" width="12.26953125" hidden="1" customWidth="1"/>
    <col min="119" max="120" width="14.453125" hidden="1" customWidth="1"/>
    <col min="121" max="122" width="12.26953125" hidden="1" customWidth="1"/>
    <col min="123" max="123" width="10.26953125" hidden="1" customWidth="1"/>
    <col min="124" max="124" width="9.26953125" hidden="1" customWidth="1"/>
    <col min="125" max="125" width="17" hidden="1" customWidth="1"/>
    <col min="126" max="126" width="8.26953125" hidden="1" customWidth="1"/>
    <col min="127" max="127" width="10.26953125" hidden="1" customWidth="1"/>
    <col min="128" max="128" width="16.453125" hidden="1" customWidth="1"/>
    <col min="129" max="129" width="10.26953125" hidden="1" customWidth="1"/>
    <col min="130" max="130" width="10.54296875" hidden="1" customWidth="1"/>
    <col min="131" max="131" width="11.26953125" hidden="1" customWidth="1"/>
    <col min="132" max="132" width="11.453125" hidden="1" customWidth="1"/>
    <col min="133" max="134" width="10.26953125" hidden="1" customWidth="1"/>
    <col min="135" max="135" width="12.26953125" hidden="1" customWidth="1"/>
    <col min="136" max="136" width="14.453125" hidden="1" customWidth="1"/>
    <col min="137" max="138" width="10.26953125" hidden="1" customWidth="1"/>
    <col min="139" max="139" width="15.7265625" hidden="1" customWidth="1"/>
    <col min="140" max="140" width="10.26953125" hidden="1" customWidth="1"/>
    <col min="141" max="141" width="10.26953125" bestFit="1" customWidth="1"/>
    <col min="142" max="142" width="11.26953125" bestFit="1" customWidth="1"/>
    <col min="143" max="143" width="15.7265625" bestFit="1" customWidth="1"/>
    <col min="144" max="144" width="8.26953125" bestFit="1" customWidth="1"/>
    <col min="145" max="146" width="12.26953125" bestFit="1" customWidth="1"/>
    <col min="147" max="148" width="10.26953125" bestFit="1" customWidth="1"/>
    <col min="149" max="154" width="12.26953125" bestFit="1" customWidth="1"/>
    <col min="155" max="155" width="12.453125" bestFit="1" customWidth="1"/>
    <col min="156" max="156" width="10.26953125" bestFit="1" customWidth="1"/>
    <col min="157" max="157" width="10.26953125" customWidth="1"/>
    <col min="158" max="158" width="10.453125" bestFit="1" customWidth="1"/>
    <col min="159" max="159" width="10.1796875" bestFit="1" customWidth="1"/>
    <col min="160" max="160" width="10.453125" bestFit="1" customWidth="1"/>
    <col min="161" max="161" width="10.7265625" bestFit="1" customWidth="1"/>
    <col min="162" max="162" width="11.26953125" bestFit="1" customWidth="1"/>
    <col min="163" max="163" width="10.26953125" bestFit="1" customWidth="1"/>
    <col min="164" max="164" width="16.1796875" bestFit="1" customWidth="1"/>
    <col min="165" max="166" width="8.26953125" bestFit="1" customWidth="1"/>
    <col min="167" max="167" width="12.453125" bestFit="1" customWidth="1"/>
    <col min="168" max="168" width="8.26953125" customWidth="1"/>
    <col min="169" max="169" width="11.81640625" bestFit="1" customWidth="1"/>
    <col min="170" max="173" width="13.453125" bestFit="1" customWidth="1"/>
    <col min="174" max="182" width="15.453125" bestFit="1" customWidth="1"/>
    <col min="183" max="185" width="16.453125" bestFit="1" customWidth="1"/>
    <col min="186" max="196" width="13.453125" bestFit="1" customWidth="1"/>
    <col min="197" max="199" width="14.453125" bestFit="1" customWidth="1"/>
    <col min="200" max="200" width="11.26953125" bestFit="1" customWidth="1"/>
    <col min="201" max="202" width="12.26953125" bestFit="1" customWidth="1"/>
    <col min="203" max="205" width="14.453125" bestFit="1" customWidth="1"/>
    <col min="206" max="206" width="12.26953125" bestFit="1" customWidth="1"/>
    <col min="207" max="217" width="13.453125" bestFit="1" customWidth="1"/>
    <col min="218" max="218" width="13.453125" customWidth="1"/>
    <col min="219" max="219" width="13.453125" bestFit="1" customWidth="1"/>
    <col min="220" max="220" width="11.26953125" bestFit="1" customWidth="1"/>
    <col min="221" max="222" width="13.453125" bestFit="1" customWidth="1"/>
    <col min="223" max="225" width="15.453125" bestFit="1" customWidth="1"/>
    <col min="226" max="229" width="13.453125" bestFit="1" customWidth="1"/>
  </cols>
  <sheetData>
    <row r="2" spans="1:229" x14ac:dyDescent="0.35">
      <c r="A2" t="s">
        <v>90</v>
      </c>
      <c r="B2" t="s">
        <v>190</v>
      </c>
      <c r="AD2" t="s">
        <v>283</v>
      </c>
      <c r="AP2" t="s">
        <v>2984</v>
      </c>
      <c r="CF2" t="s">
        <v>2988</v>
      </c>
      <c r="DU2" t="s">
        <v>3543</v>
      </c>
      <c r="EO2" t="s">
        <v>3654</v>
      </c>
      <c r="FK2" t="s">
        <v>5627</v>
      </c>
      <c r="FM2" t="s">
        <v>4810</v>
      </c>
    </row>
    <row r="4" spans="1:229" x14ac:dyDescent="0.35">
      <c r="A4" t="s">
        <v>232</v>
      </c>
      <c r="B4" s="1" t="s">
        <v>262</v>
      </c>
      <c r="C4" s="1" t="s">
        <v>5604</v>
      </c>
      <c r="D4" s="1" t="s">
        <v>5770</v>
      </c>
      <c r="E4" t="str">
        <f>'Overview (Design)'!E18</f>
        <v>ddSingleOrMulti</v>
      </c>
      <c r="F4" t="str">
        <f>'Overview (Design)'!E20</f>
        <v>ddCommercial</v>
      </c>
      <c r="G4" t="str">
        <f>'Overview (Design)'!E32</f>
        <v>ddFoundation</v>
      </c>
      <c r="H4" t="str">
        <f>'Overview (Design)'!E34</f>
        <v>ddHeat1</v>
      </c>
      <c r="I4" t="str">
        <f>'Overview (Design)'!E35</f>
        <v>ddHeat2</v>
      </c>
      <c r="J4" t="str">
        <f>'Overview (Design)'!E36</f>
        <v>ddHeat3</v>
      </c>
      <c r="K4" t="str">
        <f>'Overview (Design)'!E37</f>
        <v>ddFuel</v>
      </c>
      <c r="L4" t="str">
        <f>'Overview (Design)'!E38</f>
        <v>ddHDucts</v>
      </c>
      <c r="M4" t="str">
        <f>'Overview (Design)'!E39</f>
        <v>ddCool1</v>
      </c>
      <c r="N4" t="str">
        <f>'Overview (Design)'!E40</f>
        <v>ddCool2</v>
      </c>
      <c r="O4" t="str">
        <f>'Overview (Design)'!E41</f>
        <v>ddCool3</v>
      </c>
      <c r="P4" t="str">
        <f>'Overview (Design)'!E42</f>
        <v>ddCDucts</v>
      </c>
      <c r="Q4" t="str">
        <f>'Overview (Design)'!E48</f>
        <v>ddRenewable</v>
      </c>
      <c r="R4" t="str">
        <f>'Overview (Design)'!E49</f>
        <v>ddTEInsulation</v>
      </c>
      <c r="S4" t="str">
        <f>'Overview (Design)'!E50</f>
        <v>ddAttic</v>
      </c>
      <c r="T4" t="str">
        <f>'Overview (Design)'!E51</f>
        <v>ddAttachedGarage</v>
      </c>
      <c r="U4" t="str">
        <f>'Overview (Design)'!E52</f>
        <v>ddRecessedLighting</v>
      </c>
      <c r="V4" t="str">
        <f>'Overview (Design)'!E55</f>
        <v>ddPassiveSolar</v>
      </c>
      <c r="W4" t="str">
        <f>'Overview (Design)'!E56</f>
        <v>ddMassWalls</v>
      </c>
      <c r="X4" t="str">
        <f>'Overview (Design)'!E57</f>
        <v>ddRadiantHydronic</v>
      </c>
      <c r="Y4" t="str">
        <f>'Overview (Design)'!E58</f>
        <v>ddTLWH</v>
      </c>
      <c r="Z4" t="str">
        <f>'Overview (Design)'!E59</f>
        <v>ddCToilet</v>
      </c>
      <c r="AA4" t="str">
        <f>'Overview (Design)'!E61</f>
        <v>ddEnergyCode</v>
      </c>
      <c r="AB4" s="1" t="s">
        <v>189</v>
      </c>
      <c r="AC4" s="1" t="s">
        <v>4844</v>
      </c>
      <c r="AD4" t="str">
        <f>'Ch5'!U38</f>
        <v>dd501_2_4_1</v>
      </c>
      <c r="AE4" t="str">
        <f>'Ch5'!U46</f>
        <v>dd501_2_6</v>
      </c>
      <c r="AF4" t="str">
        <f>'Ch5'!U94</f>
        <v>dd503_2_3</v>
      </c>
      <c r="AG4" t="str">
        <f>'Ch5'!U129</f>
        <v>dd503_4_3</v>
      </c>
      <c r="AH4" t="str">
        <f>'Ch5'!U136</f>
        <v>dd503_4_4</v>
      </c>
      <c r="AI4" t="str">
        <f>'Ch5'!U148</f>
        <v>dd503_5</v>
      </c>
      <c r="AJ4" t="str">
        <f>'Ch5'!U150</f>
        <v>dd503_5_1</v>
      </c>
      <c r="AK4" t="str">
        <f>'Ch5'!U166</f>
        <v>dd503_5_6</v>
      </c>
      <c r="AL4" t="str">
        <f>'Ch5'!U195</f>
        <v>dd503_7</v>
      </c>
      <c r="AM4" t="str">
        <f>'Ch5'!U202</f>
        <v>dd503_8</v>
      </c>
      <c r="AN4" t="str">
        <f>'Ch5'!U258</f>
        <v>dd505_1_3</v>
      </c>
      <c r="AO4" t="str">
        <f>'Ch5'!U276</f>
        <v>dd505_3</v>
      </c>
      <c r="AP4" t="str">
        <f>'Ch6'!U58</f>
        <v>dd601_6</v>
      </c>
      <c r="AQ4" t="str">
        <f>'Ch6'!U65</f>
        <v>dd601_7_a</v>
      </c>
      <c r="AR4" t="str">
        <f>'Ch6'!U66</f>
        <v>dd601_7_b</v>
      </c>
      <c r="AS4" t="str">
        <f>'Ch6'!U67</f>
        <v>dd601_7_c</v>
      </c>
      <c r="AT4" t="str">
        <f>'Ch6'!U71</f>
        <v>dd601_7_d</v>
      </c>
      <c r="AU4" t="str">
        <f>'Ch6'!U73</f>
        <v>dd601_7_e</v>
      </c>
      <c r="AV4" t="str">
        <f>'Ch6'!U93</f>
        <v>dd602_1_1_1</v>
      </c>
      <c r="AW4" t="str">
        <f>'Ch6'!U113</f>
        <v>dd602_1_4_1_2</v>
      </c>
      <c r="AX4" t="str">
        <f>'Ch6'!U119</f>
        <v>dd602_1_4_2_2</v>
      </c>
      <c r="AY4" t="str">
        <f>'Ch6'!U122</f>
        <v>dd602_1_5</v>
      </c>
      <c r="AZ4" t="str">
        <f>'Ch6'!U146</f>
        <v>dd602_1_7_1_2</v>
      </c>
      <c r="BA4" t="str">
        <f>'Ch6'!U157</f>
        <v>dd602_1_8</v>
      </c>
      <c r="BB4" t="str">
        <f>'Ch6'!U183</f>
        <v>dd602_1_9_5</v>
      </c>
      <c r="BC4" t="str">
        <f>'Ch6'!U193</f>
        <v>dd602_1_10</v>
      </c>
      <c r="BD4" t="str">
        <f>'Ch6'!U205</f>
        <v>dd602_1_11</v>
      </c>
      <c r="BE4" t="str">
        <f>'Ch6'!U210</f>
        <v>dd602_1_13</v>
      </c>
      <c r="BF4" t="str">
        <f>'Ch6'!U216</f>
        <v>dd602_1_14_1</v>
      </c>
      <c r="BG4" t="str">
        <f>'Ch6'!U319</f>
        <v>dd606_1_a</v>
      </c>
      <c r="BH4" t="str">
        <f>'Ch6'!U320</f>
        <v>dd606_1_b</v>
      </c>
      <c r="BI4" t="str">
        <f>'Ch6'!U321</f>
        <v>dd606_1_c</v>
      </c>
      <c r="BJ4" t="str">
        <f>'Ch6'!U322</f>
        <v>dd606_1_d</v>
      </c>
      <c r="BK4" t="str">
        <f>'Ch6'!U323</f>
        <v>dd606_1_e</v>
      </c>
      <c r="BL4" t="str">
        <f>'Ch6'!U324</f>
        <v>dd606_1_f</v>
      </c>
      <c r="BM4" t="str">
        <f>'Ch6'!U325</f>
        <v>dd606_1_g</v>
      </c>
      <c r="BN4" t="str">
        <f>'Ch6'!U326</f>
        <v>dd606_1_h</v>
      </c>
      <c r="BO4" t="str">
        <f>'Ch6'!U350</f>
        <v>dd606_2_1a</v>
      </c>
      <c r="BP4" t="str">
        <f>'Ch6'!U351</f>
        <v>dd606_2_1b</v>
      </c>
      <c r="BQ4" t="str">
        <f>'Ch6'!U353</f>
        <v>dd606_2_2a</v>
      </c>
      <c r="BR4" t="str">
        <f>'Ch6'!U354</f>
        <v>dd606_2_2b</v>
      </c>
      <c r="BS4" t="str">
        <f>'Ch6'!U356</f>
        <v>dd606_3</v>
      </c>
      <c r="BT4" t="str">
        <f>'Ch6'!U379</f>
        <v>dd608_1</v>
      </c>
      <c r="BU4" t="str">
        <f>'Ch6'!U390</f>
        <v>dd609_1_1</v>
      </c>
      <c r="BV4" t="str">
        <f>'Ch6'!U392</f>
        <v>dd609_1_2</v>
      </c>
      <c r="BW4" t="str">
        <f>'Ch6'!U434</f>
        <v>dd610_1_2_1a</v>
      </c>
      <c r="BX4" t="str">
        <f>'Ch6'!U441</f>
        <v>dd610_1_2_1b</v>
      </c>
      <c r="BY4" t="str">
        <f>'Ch6'!U447</f>
        <v>dd610_1_2_2a</v>
      </c>
      <c r="BZ4" t="str">
        <f>'Ch6'!U454</f>
        <v>dd610_1_2_2b</v>
      </c>
      <c r="CA4" t="str">
        <f>'Ch6'!U460</f>
        <v>dd610_1_2_2c</v>
      </c>
      <c r="CB4" t="str">
        <f>'Ch6'!U466</f>
        <v>dd610_1_2_2_f</v>
      </c>
      <c r="CC4" t="str">
        <f>'Ch6'!U495</f>
        <v>dd612_1</v>
      </c>
      <c r="CD4" t="str">
        <f>'Ch6'!U542</f>
        <v>dd612_3_9</v>
      </c>
      <c r="CE4" t="str">
        <f>'Ch6'!U546</f>
        <v>dd613_1</v>
      </c>
      <c r="CF4" t="str">
        <f>'Ch7'!U12</f>
        <v>dd701_1</v>
      </c>
      <c r="CG4" t="str">
        <f>'Ch7'!U14</f>
        <v>dd701_1_</v>
      </c>
      <c r="CH4" t="str">
        <f>'Ch7'!U28</f>
        <v>dd701_1_4</v>
      </c>
      <c r="CI4" t="s">
        <v>5664</v>
      </c>
      <c r="CJ4" t="s">
        <v>5665</v>
      </c>
      <c r="CK4" t="str">
        <f>'Ch7'!U44</f>
        <v>dd701_1_6_2</v>
      </c>
      <c r="CL4" t="str">
        <f>'Ch7'!U47</f>
        <v>dd701_1_6_4</v>
      </c>
      <c r="CM4" t="str">
        <f>'Ch7'!U71</f>
        <v>dd701_4_1_2</v>
      </c>
      <c r="CN4" t="str">
        <f>'Ch7'!U88</f>
        <v>dd701_4_3_1_a</v>
      </c>
      <c r="CO4" t="str">
        <f>'Ch7'!U89</f>
        <v>dd701_4_3_1_b</v>
      </c>
      <c r="CP4" t="str">
        <f>'Ch7'!U90</f>
        <v>dd701_4_3_1_c</v>
      </c>
      <c r="CQ4" t="str">
        <f>'Ch7'!U91</f>
        <v>dd701_4_3_1_d</v>
      </c>
      <c r="CR4" t="str">
        <f>'Ch7'!U92</f>
        <v>dd701_4_3_1_e</v>
      </c>
      <c r="CS4" t="str">
        <f>'Ch7'!U93</f>
        <v>dd701_4_3_1_f</v>
      </c>
      <c r="CT4" t="str">
        <f>'Ch7'!U94</f>
        <v>dd701_4_3_1_g</v>
      </c>
      <c r="CU4" t="str">
        <f>'Ch7'!U95</f>
        <v>dd701_4_3_1_h</v>
      </c>
      <c r="CV4" t="str">
        <f>'Ch7'!U96</f>
        <v>dd701_4_3_1_i</v>
      </c>
      <c r="CW4" t="str">
        <f>'Ch7'!U97</f>
        <v>dd701_4_3_1_j</v>
      </c>
      <c r="CX4" t="str">
        <f>'Ch7'!U98</f>
        <v>dd701_4_3_1_k</v>
      </c>
      <c r="CY4" t="str">
        <f>'Ch7'!U99</f>
        <v>dd701_4_3_1_l</v>
      </c>
      <c r="CZ4" t="str">
        <f>'Ch7'!U100</f>
        <v>dd701_4_3_1_m</v>
      </c>
      <c r="DA4" t="str">
        <f>'Ch7'!U160</f>
        <v>dd701_4_3_5</v>
      </c>
      <c r="DB4" t="str">
        <f>'Ch7'!U214</f>
        <v>dd703_1_3</v>
      </c>
      <c r="DC4" t="str">
        <f>'Ch7'!U236</f>
        <v>dd703_2_5_1</v>
      </c>
      <c r="DD4" t="str">
        <f>'Ch7'!U244</f>
        <v>dd703_2_5_1_1</v>
      </c>
      <c r="DE4" t="str">
        <f>'Ch7'!U252</f>
        <v>dd703_2_5_2</v>
      </c>
      <c r="DF4" t="str">
        <f>'Ch7'!U260</f>
        <v>dd703_2_5_2_1</v>
      </c>
      <c r="DG4" t="str">
        <f>'Ch7'!U271</f>
        <v>dd703_3_0_1</v>
      </c>
      <c r="DH4" t="str">
        <f>'Ch7'!U278</f>
        <v>dd703_3_0_2</v>
      </c>
      <c r="DI4" t="str">
        <f>'Ch7'!U364</f>
        <v>dd703_4_4</v>
      </c>
      <c r="DJ4" t="str">
        <f>'Ch7'!U375</f>
        <v>dd703_5_1</v>
      </c>
      <c r="DK4" t="str">
        <f>'Ch7'!U381</f>
        <v>dd703_5_1_1</v>
      </c>
      <c r="DL4" t="str">
        <f>'Ch7'!U400</f>
        <v>dd703_5_1_2</v>
      </c>
      <c r="DM4" t="str">
        <f>'Ch7'!U429</f>
        <v>dd703_5_5</v>
      </c>
      <c r="DN4" t="str">
        <f>'Ch7'!U557</f>
        <v>dd705_2_1_1</v>
      </c>
      <c r="DO4" t="str">
        <f>'Ch7'!U564</f>
        <v>dd705_2_1_3_1</v>
      </c>
      <c r="DP4" t="str">
        <f>'Ch7'!U568</f>
        <v>dd705_2_1_3_2</v>
      </c>
      <c r="DQ4" t="str">
        <f>'Ch7'!U573</f>
        <v>dd705_2_1_4</v>
      </c>
      <c r="DR4" t="str">
        <f>'Ch7'!U637</f>
        <v>dd705_6_2_3</v>
      </c>
      <c r="DS4" t="str">
        <f>'Ch7'!U679</f>
        <v>dd706_2_2</v>
      </c>
      <c r="DT4" t="str">
        <f>'Ch7'!U752</f>
        <v>dd706_13</v>
      </c>
      <c r="DU4" t="str">
        <f>'Ch8'!U13</f>
        <v>dd801_1</v>
      </c>
      <c r="DV4" t="str">
        <f>'Ch8'!U21</f>
        <v>dd802_1</v>
      </c>
      <c r="DW4" t="str">
        <f>'Ch8'!U56</f>
        <v>dd802_2_2</v>
      </c>
      <c r="DX4" t="str">
        <f>'Ch8'!U80</f>
        <v>dd802_4_1</v>
      </c>
      <c r="DY4" t="str">
        <f>'Ch8'!U92</f>
        <v>dd802_4_2</v>
      </c>
      <c r="DZ4" t="str">
        <f>'Ch8'!U97</f>
        <v>dd802_4_3</v>
      </c>
      <c r="EA4" t="str">
        <f>'Ch8'!U100</f>
        <v>dd802_5_1a</v>
      </c>
      <c r="EB4" t="str">
        <f>'Ch8'!U102</f>
        <v>dd802_5_1b</v>
      </c>
      <c r="EC4" t="str">
        <f>'Ch8'!U112</f>
        <v>dd802_5_2</v>
      </c>
      <c r="ED4" t="str">
        <f>'Ch8'!U117</f>
        <v>dd802_5_3</v>
      </c>
      <c r="EE4" t="str">
        <f>'Ch8'!U124</f>
        <v>dd802_5_4_2</v>
      </c>
      <c r="EF4" t="str">
        <f>'Ch8'!U134</f>
        <v>dd802_5_4_4_a</v>
      </c>
      <c r="EG4" t="str">
        <f>'Ch8'!U143</f>
        <v>dd802_6_1</v>
      </c>
      <c r="EH4" t="str">
        <f>'Ch8'!U175</f>
        <v>dd802_7_1</v>
      </c>
      <c r="EI4" t="str">
        <f>'Ch8'!U189</f>
        <v>dd802_7_2_1</v>
      </c>
      <c r="EJ4" t="str">
        <f>'Ch8'!U195</f>
        <v>dd802_9_1</v>
      </c>
      <c r="EK4" t="str">
        <f>'Ch8'!U203</f>
        <v>dd802_9_2</v>
      </c>
      <c r="EL4" t="str">
        <f>'Ch8'!U208</f>
        <v>dd802_10_1</v>
      </c>
      <c r="EM4" t="str">
        <f>'Ch8'!U217</f>
        <v>dd803_1_1</v>
      </c>
      <c r="EN4" t="str">
        <f>'Ch8'!U223</f>
        <v>dd803_3</v>
      </c>
      <c r="EO4" t="str">
        <f>'Ch9'!U23</f>
        <v>dd901_1_3_1</v>
      </c>
      <c r="EP4" t="str">
        <f>'Ch9'!U26</f>
        <v>dd901_1_3_2</v>
      </c>
      <c r="EQ4" t="str">
        <f>'Ch9'!U29</f>
        <v>dd901_1_4</v>
      </c>
      <c r="ER4" t="str">
        <f>'Ch9'!U37</f>
        <v>dd901_1_6</v>
      </c>
      <c r="ES4" t="str">
        <f>'Ch9'!U43</f>
        <v>dd901_2_1_1_m</v>
      </c>
      <c r="ET4" t="str">
        <f>'Ch9'!U46</f>
        <v>dd901_2_1_2_m</v>
      </c>
      <c r="EU4" t="str">
        <f>'Ch9'!U48</f>
        <v>dd901_2_1_3_m</v>
      </c>
      <c r="EV4" t="str">
        <f>'Ch9'!U51</f>
        <v>dd901_2_1_4_m</v>
      </c>
      <c r="EW4" t="str">
        <f>'Ch9'!U53</f>
        <v>dd901_2_1_5_m</v>
      </c>
      <c r="EX4" t="str">
        <f>'Ch9'!U58</f>
        <v>dd901_3_1_a_m</v>
      </c>
      <c r="EY4" t="str">
        <f>'Ch9'!U60</f>
        <v>dd901_3_1_b_m</v>
      </c>
      <c r="EZ4" t="str">
        <f>'Ch9'!U72</f>
        <v>dd901_4_1</v>
      </c>
      <c r="FA4" t="str">
        <f>'Ch9'!U77</f>
        <v>dd901_4_a</v>
      </c>
      <c r="FB4" t="str">
        <f>'Ch9'!U78</f>
        <v>dd901_4_b</v>
      </c>
      <c r="FC4" t="str">
        <f>'Ch9'!U79</f>
        <v>dd901_4_c</v>
      </c>
      <c r="FD4" t="str">
        <f>'Ch9'!U80</f>
        <v>dd901_4_d</v>
      </c>
      <c r="FE4" t="str">
        <f>'Ch9'!U168</f>
        <v>dd901_13</v>
      </c>
      <c r="FF4" t="str">
        <f>'Ch9'!U188</f>
        <v>dd902_1_2</v>
      </c>
      <c r="FG4" t="str">
        <f>'Ch9'!U219</f>
        <v>dd902_2_1</v>
      </c>
      <c r="FH4" t="str">
        <f>'Ch9'!U238</f>
        <v>dd902_3</v>
      </c>
      <c r="FI4" t="str">
        <f>'Ch9'!U328</f>
        <v>dd903_1</v>
      </c>
      <c r="FJ4" t="str">
        <f>'Ch9'!U332</f>
        <v>dd903_2</v>
      </c>
      <c r="FK4" t="str">
        <f>'WaterSense (Design)'!U14</f>
        <v>dd801_1</v>
      </c>
      <c r="FM4" t="e">
        <f>#REF!</f>
        <v>#REF!</v>
      </c>
      <c r="FN4" t="e">
        <f>#REF!</f>
        <v>#REF!</v>
      </c>
      <c r="FO4" t="e">
        <f>#REF!</f>
        <v>#REF!</v>
      </c>
      <c r="FP4" t="e">
        <f>#REF!</f>
        <v>#REF!</v>
      </c>
      <c r="FQ4" t="e">
        <f>#REF!</f>
        <v>#REF!</v>
      </c>
      <c r="FR4" t="e">
        <f>#REF!</f>
        <v>#REF!</v>
      </c>
      <c r="FS4" t="e">
        <f>#REF!</f>
        <v>#REF!</v>
      </c>
      <c r="FT4" t="e">
        <f>#REF!</f>
        <v>#REF!</v>
      </c>
      <c r="FU4" t="e">
        <f>#REF!</f>
        <v>#REF!</v>
      </c>
      <c r="FV4" t="e">
        <f>#REF!</f>
        <v>#REF!</v>
      </c>
      <c r="FW4" t="e">
        <f>#REF!</f>
        <v>#REF!</v>
      </c>
      <c r="FX4" t="e">
        <f>#REF!</f>
        <v>#REF!</v>
      </c>
      <c r="FY4" t="e">
        <f>#REF!</f>
        <v>#REF!</v>
      </c>
      <c r="FZ4" t="e">
        <f>#REF!</f>
        <v>#REF!</v>
      </c>
      <c r="GA4" t="e">
        <f>#REF!</f>
        <v>#REF!</v>
      </c>
      <c r="GB4" t="e">
        <f>#REF!</f>
        <v>#REF!</v>
      </c>
      <c r="GC4" t="e">
        <f>#REF!</f>
        <v>#REF!</v>
      </c>
      <c r="GD4" t="e">
        <f>#REF!</f>
        <v>#REF!</v>
      </c>
      <c r="GE4" t="e">
        <f>#REF!</f>
        <v>#REF!</v>
      </c>
      <c r="GF4" t="e">
        <f>#REF!</f>
        <v>#REF!</v>
      </c>
      <c r="GG4" t="e">
        <f>#REF!</f>
        <v>#REF!</v>
      </c>
      <c r="GH4" t="e">
        <f>#REF!</f>
        <v>#REF!</v>
      </c>
      <c r="GI4" t="e">
        <f>#REF!</f>
        <v>#REF!</v>
      </c>
      <c r="GJ4" t="e">
        <f>#REF!</f>
        <v>#REF!</v>
      </c>
      <c r="GK4" t="e">
        <f>#REF!</f>
        <v>#REF!</v>
      </c>
      <c r="GL4" t="e">
        <f>#REF!</f>
        <v>#REF!</v>
      </c>
      <c r="GM4" t="e">
        <f>#REF!</f>
        <v>#REF!</v>
      </c>
      <c r="GN4" t="e">
        <f>#REF!</f>
        <v>#REF!</v>
      </c>
      <c r="GO4" t="e">
        <f>#REF!</f>
        <v>#REF!</v>
      </c>
      <c r="GP4" t="e">
        <f>#REF!</f>
        <v>#REF!</v>
      </c>
      <c r="GQ4" t="e">
        <f>#REF!</f>
        <v>#REF!</v>
      </c>
      <c r="GR4" t="e">
        <f>#REF!</f>
        <v>#REF!</v>
      </c>
      <c r="GS4" t="e">
        <f>#REF!</f>
        <v>#REF!</v>
      </c>
      <c r="GT4" t="e">
        <f>#REF!</f>
        <v>#REF!</v>
      </c>
      <c r="GU4" t="e">
        <f>#REF!</f>
        <v>#REF!</v>
      </c>
      <c r="GV4" t="e">
        <f>#REF!</f>
        <v>#REF!</v>
      </c>
      <c r="GW4" t="e">
        <f>#REF!</f>
        <v>#REF!</v>
      </c>
      <c r="GX4" t="e">
        <f>#REF!</f>
        <v>#REF!</v>
      </c>
      <c r="GY4" t="e">
        <f>#REF!</f>
        <v>#REF!</v>
      </c>
      <c r="GZ4" t="e">
        <f>#REF!</f>
        <v>#REF!</v>
      </c>
      <c r="HA4" t="e">
        <f>#REF!</f>
        <v>#REF!</v>
      </c>
      <c r="HB4" t="e">
        <f>#REF!</f>
        <v>#REF!</v>
      </c>
      <c r="HC4" t="e">
        <f>#REF!</f>
        <v>#REF!</v>
      </c>
      <c r="HD4" t="e">
        <f>#REF!</f>
        <v>#REF!</v>
      </c>
      <c r="HE4" t="e">
        <f>#REF!</f>
        <v>#REF!</v>
      </c>
      <c r="HF4" t="e">
        <f>#REF!</f>
        <v>#REF!</v>
      </c>
      <c r="HG4" t="e">
        <f>#REF!</f>
        <v>#REF!</v>
      </c>
      <c r="HH4" t="e">
        <f>#REF!</f>
        <v>#REF!</v>
      </c>
      <c r="HI4" t="e">
        <f>#REF!</f>
        <v>#REF!</v>
      </c>
      <c r="HJ4" t="e">
        <f>#REF!</f>
        <v>#REF!</v>
      </c>
      <c r="HK4" t="e">
        <f>#REF!</f>
        <v>#REF!</v>
      </c>
      <c r="HL4" t="e">
        <f>#REF!</f>
        <v>#REF!</v>
      </c>
      <c r="HM4" t="e">
        <f>#REF!</f>
        <v>#REF!</v>
      </c>
      <c r="HN4" t="e">
        <f>#REF!</f>
        <v>#REF!</v>
      </c>
      <c r="HO4" t="e">
        <f>#REF!</f>
        <v>#REF!</v>
      </c>
      <c r="HP4" t="e">
        <f>#REF!</f>
        <v>#REF!</v>
      </c>
      <c r="HQ4" t="e">
        <f>#REF!</f>
        <v>#REF!</v>
      </c>
      <c r="HR4" t="e">
        <f>#REF!</f>
        <v>#REF!</v>
      </c>
      <c r="HS4" t="e">
        <f>#REF!</f>
        <v>#REF!</v>
      </c>
      <c r="HT4" t="e">
        <f>#REF!</f>
        <v>#REF!</v>
      </c>
      <c r="HU4" t="e">
        <f>#REF!</f>
        <v>#REF!</v>
      </c>
    </row>
    <row r="5" spans="1:229" x14ac:dyDescent="0.35">
      <c r="B5" t="b">
        <v>1</v>
      </c>
      <c r="C5" t="s">
        <v>3038</v>
      </c>
      <c r="D5" t="s">
        <v>5771</v>
      </c>
      <c r="E5" s="4" t="s">
        <v>191</v>
      </c>
      <c r="F5" t="s">
        <v>225</v>
      </c>
      <c r="G5" s="4" t="s">
        <v>192</v>
      </c>
      <c r="H5" s="4" t="s">
        <v>200</v>
      </c>
      <c r="I5" s="4" t="s">
        <v>200</v>
      </c>
      <c r="J5" s="4" t="s">
        <v>200</v>
      </c>
      <c r="K5" s="4" t="s">
        <v>205</v>
      </c>
      <c r="L5" s="4" t="s">
        <v>3409</v>
      </c>
      <c r="M5" s="4" t="s">
        <v>202</v>
      </c>
      <c r="N5" s="4" t="s">
        <v>202</v>
      </c>
      <c r="O5" s="4" t="s">
        <v>202</v>
      </c>
      <c r="P5" s="4" t="s">
        <v>3409</v>
      </c>
      <c r="Q5" s="4" t="s">
        <v>210</v>
      </c>
      <c r="R5" s="4" t="s">
        <v>215</v>
      </c>
      <c r="S5" s="4" t="s">
        <v>210</v>
      </c>
      <c r="T5" s="4" t="s">
        <v>225</v>
      </c>
      <c r="U5" s="4" t="s">
        <v>225</v>
      </c>
      <c r="V5" s="4" t="s">
        <v>225</v>
      </c>
      <c r="W5" s="4" t="s">
        <v>225</v>
      </c>
      <c r="X5" s="4" t="s">
        <v>225</v>
      </c>
      <c r="Y5" s="4" t="s">
        <v>225</v>
      </c>
      <c r="Z5" s="4" t="s">
        <v>225</v>
      </c>
      <c r="AA5" s="4" t="s">
        <v>227</v>
      </c>
      <c r="AB5" s="4" t="s">
        <v>4818</v>
      </c>
      <c r="AC5" s="4" t="s">
        <v>4818</v>
      </c>
      <c r="AD5" t="s">
        <v>121</v>
      </c>
      <c r="AE5" t="s">
        <v>121</v>
      </c>
      <c r="AF5" t="s">
        <v>121</v>
      </c>
      <c r="AG5" t="s">
        <v>121</v>
      </c>
      <c r="AH5" t="s">
        <v>121</v>
      </c>
      <c r="AI5" t="s">
        <v>762</v>
      </c>
      <c r="AJ5" t="s">
        <v>121</v>
      </c>
      <c r="AK5" t="s">
        <v>121</v>
      </c>
      <c r="AL5" s="71" t="s">
        <v>256</v>
      </c>
      <c r="AM5" t="s">
        <v>2965</v>
      </c>
      <c r="AN5" t="s">
        <v>121</v>
      </c>
      <c r="AO5" s="12" t="s">
        <v>256</v>
      </c>
      <c r="AP5" t="s">
        <v>2985</v>
      </c>
      <c r="AQ5" t="s">
        <v>3511</v>
      </c>
      <c r="AR5" t="s">
        <v>3511</v>
      </c>
      <c r="AS5" t="s">
        <v>3511</v>
      </c>
      <c r="AT5" t="s">
        <v>3511</v>
      </c>
      <c r="AU5" t="s">
        <v>3511</v>
      </c>
      <c r="AV5" t="s">
        <v>3038</v>
      </c>
      <c r="AW5" t="s">
        <v>3038</v>
      </c>
      <c r="AX5" t="s">
        <v>3038</v>
      </c>
      <c r="AY5" t="s">
        <v>3043</v>
      </c>
      <c r="AZ5" t="s">
        <v>3038</v>
      </c>
      <c r="BA5" t="s">
        <v>3038</v>
      </c>
      <c r="BB5" t="s">
        <v>121</v>
      </c>
      <c r="BC5" t="s">
        <v>3047</v>
      </c>
      <c r="BD5" t="s">
        <v>3038</v>
      </c>
      <c r="BE5" t="s">
        <v>3038</v>
      </c>
      <c r="BF5" t="s">
        <v>3038</v>
      </c>
      <c r="BG5" t="s">
        <v>3076</v>
      </c>
      <c r="BH5" t="s">
        <v>3076</v>
      </c>
      <c r="BI5" t="s">
        <v>3076</v>
      </c>
      <c r="BJ5" t="s">
        <v>3076</v>
      </c>
      <c r="BK5" t="s">
        <v>3076</v>
      </c>
      <c r="BL5" t="s">
        <v>3076</v>
      </c>
      <c r="BM5" t="s">
        <v>3076</v>
      </c>
      <c r="BN5" t="s">
        <v>3076</v>
      </c>
      <c r="BO5" t="s">
        <v>3505</v>
      </c>
      <c r="BP5" t="s">
        <v>3505</v>
      </c>
      <c r="BQ5" t="s">
        <v>3505</v>
      </c>
      <c r="BR5" t="s">
        <v>3505</v>
      </c>
      <c r="BS5" t="s">
        <v>3081</v>
      </c>
      <c r="BT5" t="s">
        <v>3086</v>
      </c>
      <c r="BU5" t="s">
        <v>3092</v>
      </c>
      <c r="BV5" t="s">
        <v>3092</v>
      </c>
      <c r="BW5" t="s">
        <v>3108</v>
      </c>
      <c r="BX5" t="s">
        <v>3108</v>
      </c>
      <c r="BY5" t="s">
        <v>3114</v>
      </c>
      <c r="BZ5" t="s">
        <v>3114</v>
      </c>
      <c r="CA5" t="s">
        <v>3114</v>
      </c>
      <c r="CB5" t="s">
        <v>3114</v>
      </c>
      <c r="CC5" s="71" t="s">
        <v>3124</v>
      </c>
      <c r="CD5" s="71" t="s">
        <v>4202</v>
      </c>
      <c r="CE5" s="12" t="s">
        <v>4216</v>
      </c>
      <c r="CF5" t="s">
        <v>2989</v>
      </c>
      <c r="CG5" t="s">
        <v>5600</v>
      </c>
      <c r="CH5" t="s">
        <v>2993</v>
      </c>
      <c r="CI5" t="s">
        <v>5666</v>
      </c>
      <c r="CJ5" t="s">
        <v>5668</v>
      </c>
      <c r="CK5" t="s">
        <v>3038</v>
      </c>
      <c r="CL5" t="s">
        <v>3038</v>
      </c>
      <c r="CM5" t="s">
        <v>3038</v>
      </c>
      <c r="CN5" t="s">
        <v>3038</v>
      </c>
      <c r="CO5" t="s">
        <v>3038</v>
      </c>
      <c r="CP5" t="s">
        <v>3038</v>
      </c>
      <c r="CQ5" t="s">
        <v>3038</v>
      </c>
      <c r="CR5" t="s">
        <v>3038</v>
      </c>
      <c r="CS5" t="s">
        <v>3038</v>
      </c>
      <c r="CT5" t="s">
        <v>3038</v>
      </c>
      <c r="CU5" t="s">
        <v>3038</v>
      </c>
      <c r="CV5" t="s">
        <v>3038</v>
      </c>
      <c r="CW5" t="s">
        <v>3038</v>
      </c>
      <c r="CX5" t="s">
        <v>3038</v>
      </c>
      <c r="CY5" t="s">
        <v>3038</v>
      </c>
      <c r="CZ5" t="s">
        <v>3038</v>
      </c>
      <c r="DA5" t="s">
        <v>3038</v>
      </c>
      <c r="DB5" t="s">
        <v>5794</v>
      </c>
      <c r="DC5" t="s">
        <v>3038</v>
      </c>
      <c r="DD5" t="s">
        <v>3038</v>
      </c>
      <c r="DE5" t="s">
        <v>121</v>
      </c>
      <c r="DF5" t="s">
        <v>3038</v>
      </c>
      <c r="DG5" t="s">
        <v>225</v>
      </c>
      <c r="DH5" t="s">
        <v>225</v>
      </c>
      <c r="DI5" s="71" t="s">
        <v>256</v>
      </c>
      <c r="DJ5" s="12" t="s">
        <v>205</v>
      </c>
      <c r="DK5" s="12" t="s">
        <v>121</v>
      </c>
      <c r="DL5" s="12" t="s">
        <v>121</v>
      </c>
      <c r="DM5" t="s">
        <v>121</v>
      </c>
      <c r="DN5" s="71" t="s">
        <v>256</v>
      </c>
      <c r="DO5" t="s">
        <v>121</v>
      </c>
      <c r="DP5" t="s">
        <v>121</v>
      </c>
      <c r="DQ5" s="71" t="s">
        <v>256</v>
      </c>
      <c r="DR5" s="71" t="s">
        <v>256</v>
      </c>
      <c r="DS5" t="s">
        <v>121</v>
      </c>
      <c r="DT5" s="12" t="s">
        <v>256</v>
      </c>
      <c r="DU5" t="s">
        <v>2989</v>
      </c>
      <c r="DV5" s="12" t="s">
        <v>256</v>
      </c>
      <c r="DW5" s="12" t="s">
        <v>258</v>
      </c>
      <c r="DX5" t="s">
        <v>3588</v>
      </c>
      <c r="DY5" t="s">
        <v>121</v>
      </c>
      <c r="DZ5" t="s">
        <v>3592</v>
      </c>
      <c r="EA5" t="s">
        <v>3596</v>
      </c>
      <c r="EB5" s="12" t="s">
        <v>256</v>
      </c>
      <c r="EC5" s="12" t="s">
        <v>256</v>
      </c>
      <c r="ED5" t="s">
        <v>3596</v>
      </c>
      <c r="EE5" t="s">
        <v>3596</v>
      </c>
      <c r="EF5" t="s">
        <v>3600</v>
      </c>
      <c r="EG5" t="s">
        <v>3038</v>
      </c>
      <c r="EH5" s="12" t="s">
        <v>256</v>
      </c>
      <c r="EI5" t="s">
        <v>3608</v>
      </c>
      <c r="EJ5" s="12" t="s">
        <v>256</v>
      </c>
      <c r="EK5" s="12" t="s">
        <v>256</v>
      </c>
      <c r="EL5" t="s">
        <v>3038</v>
      </c>
      <c r="EM5" t="s">
        <v>3608</v>
      </c>
      <c r="EN5" s="12" t="s">
        <v>256</v>
      </c>
      <c r="EO5" t="s">
        <v>121</v>
      </c>
      <c r="EP5" t="s">
        <v>121</v>
      </c>
      <c r="EQ5" t="s">
        <v>3038</v>
      </c>
      <c r="ER5" s="12" t="s">
        <v>256</v>
      </c>
      <c r="ES5" t="s">
        <v>3038</v>
      </c>
      <c r="ET5" t="s">
        <v>3038</v>
      </c>
      <c r="EU5" t="s">
        <v>3038</v>
      </c>
      <c r="EV5" t="s">
        <v>3038</v>
      </c>
      <c r="EW5" t="s">
        <v>3038</v>
      </c>
      <c r="EX5" t="s">
        <v>3038</v>
      </c>
      <c r="EY5" t="s">
        <v>3038</v>
      </c>
      <c r="EZ5" t="s">
        <v>3038</v>
      </c>
      <c r="FA5" s="71" t="s">
        <v>258</v>
      </c>
      <c r="FB5" s="71" t="s">
        <v>258</v>
      </c>
      <c r="FC5" s="71" t="s">
        <v>258</v>
      </c>
      <c r="FD5" s="71" t="s">
        <v>258</v>
      </c>
      <c r="FE5" t="s">
        <v>3038</v>
      </c>
      <c r="FF5" t="s">
        <v>3038</v>
      </c>
      <c r="FG5" s="12" t="s">
        <v>256</v>
      </c>
      <c r="FH5" s="12" t="s">
        <v>4532</v>
      </c>
      <c r="FI5" s="12" t="s">
        <v>256</v>
      </c>
      <c r="FJ5" s="12" t="s">
        <v>256</v>
      </c>
      <c r="FK5" s="12" t="s">
        <v>5638</v>
      </c>
      <c r="FL5" s="12"/>
      <c r="FM5" t="s">
        <v>4811</v>
      </c>
      <c r="FN5" t="s">
        <v>3038</v>
      </c>
      <c r="FO5" t="s">
        <v>3038</v>
      </c>
      <c r="FP5" t="s">
        <v>3038</v>
      </c>
      <c r="FQ5" t="s">
        <v>3038</v>
      </c>
      <c r="FR5" t="s">
        <v>3038</v>
      </c>
      <c r="FS5" t="s">
        <v>3038</v>
      </c>
      <c r="FT5" t="s">
        <v>3038</v>
      </c>
      <c r="FU5" t="s">
        <v>3038</v>
      </c>
      <c r="FV5" t="s">
        <v>3038</v>
      </c>
      <c r="FW5" t="s">
        <v>3038</v>
      </c>
      <c r="FX5" t="s">
        <v>3038</v>
      </c>
      <c r="FY5" t="s">
        <v>3038</v>
      </c>
      <c r="FZ5" t="s">
        <v>3038</v>
      </c>
      <c r="GA5" t="s">
        <v>3038</v>
      </c>
      <c r="GB5" t="s">
        <v>3038</v>
      </c>
      <c r="GC5" t="s">
        <v>3038</v>
      </c>
      <c r="GD5" t="s">
        <v>3038</v>
      </c>
      <c r="GE5" t="s">
        <v>3038</v>
      </c>
      <c r="GF5" t="s">
        <v>3038</v>
      </c>
      <c r="GG5" t="s">
        <v>3038</v>
      </c>
      <c r="GH5" t="s">
        <v>3038</v>
      </c>
      <c r="GI5" t="s">
        <v>3038</v>
      </c>
      <c r="GJ5" t="s">
        <v>3038</v>
      </c>
      <c r="GK5" t="s">
        <v>3038</v>
      </c>
      <c r="GL5" t="s">
        <v>3038</v>
      </c>
      <c r="GM5" t="s">
        <v>3038</v>
      </c>
      <c r="GN5" t="s">
        <v>3038</v>
      </c>
      <c r="GO5" t="s">
        <v>3038</v>
      </c>
      <c r="GP5" t="s">
        <v>3038</v>
      </c>
      <c r="GQ5" t="s">
        <v>3038</v>
      </c>
      <c r="GR5" t="s">
        <v>3038</v>
      </c>
      <c r="GS5" t="s">
        <v>3038</v>
      </c>
      <c r="GT5" t="s">
        <v>3038</v>
      </c>
      <c r="GU5" t="s">
        <v>3038</v>
      </c>
      <c r="GV5" t="s">
        <v>3038</v>
      </c>
      <c r="GW5" t="s">
        <v>3038</v>
      </c>
      <c r="GX5" s="12" t="s">
        <v>256</v>
      </c>
      <c r="GY5" t="s">
        <v>3038</v>
      </c>
      <c r="GZ5" t="s">
        <v>3038</v>
      </c>
      <c r="HA5" t="s">
        <v>3038</v>
      </c>
      <c r="HB5" t="s">
        <v>3038</v>
      </c>
      <c r="HC5" t="s">
        <v>3038</v>
      </c>
      <c r="HD5" t="s">
        <v>3038</v>
      </c>
      <c r="HE5" t="s">
        <v>3038</v>
      </c>
      <c r="HF5" t="s">
        <v>3038</v>
      </c>
      <c r="HG5" t="s">
        <v>3038</v>
      </c>
      <c r="HH5" t="s">
        <v>3038</v>
      </c>
      <c r="HI5" t="s">
        <v>3038</v>
      </c>
      <c r="HJ5" t="s">
        <v>3038</v>
      </c>
      <c r="HK5" s="12" t="s">
        <v>256</v>
      </c>
      <c r="HL5" t="s">
        <v>3038</v>
      </c>
      <c r="HM5" t="s">
        <v>3038</v>
      </c>
      <c r="HN5" t="s">
        <v>3038</v>
      </c>
      <c r="HO5" t="s">
        <v>3038</v>
      </c>
      <c r="HP5" t="s">
        <v>3038</v>
      </c>
      <c r="HQ5" t="s">
        <v>3038</v>
      </c>
      <c r="HR5" t="s">
        <v>3038</v>
      </c>
      <c r="HS5" t="s">
        <v>3038</v>
      </c>
      <c r="HT5" t="s">
        <v>3038</v>
      </c>
      <c r="HU5" t="s">
        <v>3038</v>
      </c>
    </row>
    <row r="6" spans="1:229" x14ac:dyDescent="0.35">
      <c r="B6" t="b">
        <v>0</v>
      </c>
      <c r="C6" t="s">
        <v>3039</v>
      </c>
      <c r="D6" t="s">
        <v>5772</v>
      </c>
      <c r="E6" s="4" t="s">
        <v>362</v>
      </c>
      <c r="F6" t="s">
        <v>226</v>
      </c>
      <c r="G6" s="4" t="s">
        <v>193</v>
      </c>
      <c r="H6" s="4" t="s">
        <v>201</v>
      </c>
      <c r="I6" s="4" t="s">
        <v>201</v>
      </c>
      <c r="J6" s="4" t="s">
        <v>201</v>
      </c>
      <c r="K6" s="4" t="s">
        <v>206</v>
      </c>
      <c r="L6" s="4" t="s">
        <v>3410</v>
      </c>
      <c r="M6" s="4" t="s">
        <v>5792</v>
      </c>
      <c r="N6" s="4" t="s">
        <v>5792</v>
      </c>
      <c r="O6" s="4" t="s">
        <v>5792</v>
      </c>
      <c r="P6" s="4" t="s">
        <v>3410</v>
      </c>
      <c r="Q6" s="4" t="s">
        <v>211</v>
      </c>
      <c r="R6" s="4" t="s">
        <v>216</v>
      </c>
      <c r="S6" s="4" t="s">
        <v>223</v>
      </c>
      <c r="T6" s="4" t="s">
        <v>226</v>
      </c>
      <c r="U6" s="4" t="s">
        <v>226</v>
      </c>
      <c r="V6" s="4" t="s">
        <v>226</v>
      </c>
      <c r="W6" s="4" t="s">
        <v>226</v>
      </c>
      <c r="X6" s="4" t="s">
        <v>226</v>
      </c>
      <c r="Y6" s="4" t="s">
        <v>226</v>
      </c>
      <c r="Z6" s="4" t="s">
        <v>226</v>
      </c>
      <c r="AA6" s="4" t="s">
        <v>228</v>
      </c>
      <c r="AB6" s="4" t="s">
        <v>230</v>
      </c>
      <c r="AC6" s="4" t="s">
        <v>230</v>
      </c>
      <c r="AD6" t="s">
        <v>122</v>
      </c>
      <c r="AE6" t="s">
        <v>122</v>
      </c>
      <c r="AF6" t="s">
        <v>122</v>
      </c>
      <c r="AG6" t="s">
        <v>122</v>
      </c>
      <c r="AH6" t="s">
        <v>122</v>
      </c>
      <c r="AI6" t="s">
        <v>763</v>
      </c>
      <c r="AJ6" t="s">
        <v>122</v>
      </c>
      <c r="AK6" t="s">
        <v>122</v>
      </c>
      <c r="AL6" s="71" t="s">
        <v>258</v>
      </c>
      <c r="AM6" t="s">
        <v>2966</v>
      </c>
      <c r="AN6" t="s">
        <v>122</v>
      </c>
      <c r="AO6" s="12" t="s">
        <v>258</v>
      </c>
      <c r="AP6" t="s">
        <v>2986</v>
      </c>
      <c r="AQ6" t="s">
        <v>3512</v>
      </c>
      <c r="AR6" t="s">
        <v>3512</v>
      </c>
      <c r="AS6" t="s">
        <v>3512</v>
      </c>
      <c r="AT6" t="s">
        <v>3512</v>
      </c>
      <c r="AU6" t="s">
        <v>3512</v>
      </c>
      <c r="AV6" t="s">
        <v>3039</v>
      </c>
      <c r="AW6" t="s">
        <v>3039</v>
      </c>
      <c r="AX6" t="s">
        <v>3039</v>
      </c>
      <c r="AY6" t="s">
        <v>3044</v>
      </c>
      <c r="AZ6" t="s">
        <v>3039</v>
      </c>
      <c r="BA6" t="s">
        <v>3039</v>
      </c>
      <c r="BB6" t="s">
        <v>122</v>
      </c>
      <c r="BC6" t="s">
        <v>3048</v>
      </c>
      <c r="BD6" t="s">
        <v>3039</v>
      </c>
      <c r="BE6" t="s">
        <v>3039</v>
      </c>
      <c r="BF6" t="s">
        <v>3039</v>
      </c>
      <c r="BG6" t="s">
        <v>3077</v>
      </c>
      <c r="BH6" t="s">
        <v>3077</v>
      </c>
      <c r="BI6" t="s">
        <v>3077</v>
      </c>
      <c r="BJ6" t="s">
        <v>3077</v>
      </c>
      <c r="BK6" t="s">
        <v>3077</v>
      </c>
      <c r="BL6" t="s">
        <v>3077</v>
      </c>
      <c r="BM6" t="s">
        <v>3077</v>
      </c>
      <c r="BN6" t="s">
        <v>3077</v>
      </c>
      <c r="BO6" t="s">
        <v>3506</v>
      </c>
      <c r="BP6" t="s">
        <v>3506</v>
      </c>
      <c r="BQ6" t="s">
        <v>3506</v>
      </c>
      <c r="BR6" t="s">
        <v>3506</v>
      </c>
      <c r="BS6" t="s">
        <v>3082</v>
      </c>
      <c r="BT6" t="s">
        <v>3087</v>
      </c>
      <c r="BU6" t="s">
        <v>3093</v>
      </c>
      <c r="BV6" t="s">
        <v>3093</v>
      </c>
      <c r="BW6" t="s">
        <v>3109</v>
      </c>
      <c r="BX6" t="s">
        <v>3109</v>
      </c>
      <c r="BY6" t="s">
        <v>3115</v>
      </c>
      <c r="BZ6" t="s">
        <v>3115</v>
      </c>
      <c r="CA6" t="s">
        <v>3115</v>
      </c>
      <c r="CB6" t="s">
        <v>3115</v>
      </c>
      <c r="CC6" s="71" t="s">
        <v>3125</v>
      </c>
      <c r="CD6" s="71" t="s">
        <v>4203</v>
      </c>
      <c r="CE6" s="12" t="s">
        <v>4217</v>
      </c>
      <c r="CF6" t="s">
        <v>2990</v>
      </c>
      <c r="CG6" t="s">
        <v>5597</v>
      </c>
      <c r="CH6" t="s">
        <v>2994</v>
      </c>
      <c r="CI6" t="s">
        <v>5670</v>
      </c>
      <c r="CJ6" t="s">
        <v>5671</v>
      </c>
      <c r="CK6" t="s">
        <v>3039</v>
      </c>
      <c r="CL6" t="s">
        <v>3039</v>
      </c>
      <c r="CM6" t="s">
        <v>3039</v>
      </c>
      <c r="CN6" t="s">
        <v>3039</v>
      </c>
      <c r="CO6" t="s">
        <v>3039</v>
      </c>
      <c r="CP6" t="s">
        <v>3039</v>
      </c>
      <c r="CQ6" t="s">
        <v>3039</v>
      </c>
      <c r="CR6" t="s">
        <v>3039</v>
      </c>
      <c r="CS6" t="s">
        <v>3039</v>
      </c>
      <c r="CT6" t="s">
        <v>3039</v>
      </c>
      <c r="CU6" t="s">
        <v>3039</v>
      </c>
      <c r="CV6" t="s">
        <v>3039</v>
      </c>
      <c r="CW6" t="s">
        <v>3039</v>
      </c>
      <c r="CX6" t="s">
        <v>3039</v>
      </c>
      <c r="CY6" t="s">
        <v>3039</v>
      </c>
      <c r="CZ6" t="s">
        <v>3039</v>
      </c>
      <c r="DA6" t="s">
        <v>3039</v>
      </c>
      <c r="DB6" t="s">
        <v>5795</v>
      </c>
      <c r="DC6" t="s">
        <v>3039</v>
      </c>
      <c r="DD6" t="s">
        <v>3039</v>
      </c>
      <c r="DE6" t="s">
        <v>122</v>
      </c>
      <c r="DF6" t="s">
        <v>3039</v>
      </c>
      <c r="DG6" t="s">
        <v>226</v>
      </c>
      <c r="DH6" t="s">
        <v>226</v>
      </c>
      <c r="DI6" s="71" t="s">
        <v>258</v>
      </c>
      <c r="DJ6" s="12" t="s">
        <v>4833</v>
      </c>
      <c r="DK6" s="12" t="s">
        <v>122</v>
      </c>
      <c r="DL6" s="12" t="s">
        <v>122</v>
      </c>
      <c r="DM6" t="s">
        <v>122</v>
      </c>
      <c r="DN6" s="71" t="s">
        <v>258</v>
      </c>
      <c r="DO6" t="s">
        <v>122</v>
      </c>
      <c r="DP6" t="s">
        <v>122</v>
      </c>
      <c r="DQ6" s="71" t="s">
        <v>258</v>
      </c>
      <c r="DR6" s="71" t="s">
        <v>258</v>
      </c>
      <c r="DS6" t="s">
        <v>122</v>
      </c>
      <c r="DT6" s="12" t="s">
        <v>258</v>
      </c>
      <c r="DU6" t="s">
        <v>2990</v>
      </c>
      <c r="DV6" s="12" t="s">
        <v>258</v>
      </c>
      <c r="DW6" s="12" t="s">
        <v>260</v>
      </c>
      <c r="DX6" t="s">
        <v>3589</v>
      </c>
      <c r="DY6" t="s">
        <v>122</v>
      </c>
      <c r="DZ6" t="s">
        <v>3593</v>
      </c>
      <c r="EA6" t="s">
        <v>3597</v>
      </c>
      <c r="EB6" s="12" t="s">
        <v>258</v>
      </c>
      <c r="EC6" s="12" t="s">
        <v>258</v>
      </c>
      <c r="ED6" t="s">
        <v>3597</v>
      </c>
      <c r="EE6" t="s">
        <v>3597</v>
      </c>
      <c r="EF6" t="s">
        <v>3601</v>
      </c>
      <c r="EG6" t="s">
        <v>3039</v>
      </c>
      <c r="EH6" s="12" t="s">
        <v>3603</v>
      </c>
      <c r="EI6" t="s">
        <v>3609</v>
      </c>
      <c r="EJ6" s="12" t="s">
        <v>258</v>
      </c>
      <c r="EK6" s="12" t="s">
        <v>258</v>
      </c>
      <c r="EL6" t="s">
        <v>3039</v>
      </c>
      <c r="EM6" t="s">
        <v>3609</v>
      </c>
      <c r="EN6" s="12" t="s">
        <v>258</v>
      </c>
      <c r="EO6" t="s">
        <v>122</v>
      </c>
      <c r="EP6" t="s">
        <v>122</v>
      </c>
      <c r="EQ6" t="s">
        <v>3039</v>
      </c>
      <c r="ER6" s="12" t="s">
        <v>258</v>
      </c>
      <c r="ES6" t="s">
        <v>3039</v>
      </c>
      <c r="ET6" t="s">
        <v>3039</v>
      </c>
      <c r="EU6" t="s">
        <v>3039</v>
      </c>
      <c r="EV6" t="s">
        <v>3039</v>
      </c>
      <c r="EW6" t="s">
        <v>3039</v>
      </c>
      <c r="EX6" t="s">
        <v>3039</v>
      </c>
      <c r="EY6" t="s">
        <v>3039</v>
      </c>
      <c r="EZ6" t="s">
        <v>3039</v>
      </c>
      <c r="FA6" s="71" t="s">
        <v>260</v>
      </c>
      <c r="FB6" s="71" t="s">
        <v>260</v>
      </c>
      <c r="FC6" s="71" t="s">
        <v>260</v>
      </c>
      <c r="FD6" s="71" t="s">
        <v>260</v>
      </c>
      <c r="FE6" t="s">
        <v>3039</v>
      </c>
      <c r="FF6" t="s">
        <v>3039</v>
      </c>
      <c r="FG6" s="12" t="s">
        <v>258</v>
      </c>
      <c r="FH6" s="12" t="s">
        <v>4868</v>
      </c>
      <c r="FI6" s="12" t="s">
        <v>258</v>
      </c>
      <c r="FJ6" s="12" t="s">
        <v>258</v>
      </c>
      <c r="FK6" s="12" t="s">
        <v>5639</v>
      </c>
      <c r="FL6" s="12"/>
      <c r="FM6" t="s">
        <v>4812</v>
      </c>
      <c r="FN6" t="s">
        <v>3039</v>
      </c>
      <c r="FO6" t="s">
        <v>3039</v>
      </c>
      <c r="FP6" t="s">
        <v>3039</v>
      </c>
      <c r="FQ6" t="s">
        <v>3039</v>
      </c>
      <c r="FR6" t="s">
        <v>3039</v>
      </c>
      <c r="FS6" t="s">
        <v>3039</v>
      </c>
      <c r="FT6" t="s">
        <v>3039</v>
      </c>
      <c r="FU6" t="s">
        <v>3039</v>
      </c>
      <c r="FV6" t="s">
        <v>3039</v>
      </c>
      <c r="FW6" t="s">
        <v>3039</v>
      </c>
      <c r="FX6" t="s">
        <v>3039</v>
      </c>
      <c r="FY6" t="s">
        <v>3039</v>
      </c>
      <c r="FZ6" t="s">
        <v>3039</v>
      </c>
      <c r="GA6" t="s">
        <v>3039</v>
      </c>
      <c r="GB6" t="s">
        <v>3039</v>
      </c>
      <c r="GC6" t="s">
        <v>3039</v>
      </c>
      <c r="GD6" t="s">
        <v>3039</v>
      </c>
      <c r="GE6" t="s">
        <v>3039</v>
      </c>
      <c r="GF6" t="s">
        <v>3039</v>
      </c>
      <c r="GG6" t="s">
        <v>3039</v>
      </c>
      <c r="GH6" t="s">
        <v>3039</v>
      </c>
      <c r="GI6" t="s">
        <v>3039</v>
      </c>
      <c r="GJ6" t="s">
        <v>3039</v>
      </c>
      <c r="GK6" t="s">
        <v>3039</v>
      </c>
      <c r="GL6" t="s">
        <v>3039</v>
      </c>
      <c r="GM6" t="s">
        <v>3039</v>
      </c>
      <c r="GN6" t="s">
        <v>3039</v>
      </c>
      <c r="GO6" t="s">
        <v>3039</v>
      </c>
      <c r="GP6" t="s">
        <v>3039</v>
      </c>
      <c r="GQ6" t="s">
        <v>3039</v>
      </c>
      <c r="GR6" t="s">
        <v>3039</v>
      </c>
      <c r="GS6" t="s">
        <v>3039</v>
      </c>
      <c r="GT6" t="s">
        <v>3039</v>
      </c>
      <c r="GU6" t="s">
        <v>3039</v>
      </c>
      <c r="GV6" t="s">
        <v>3039</v>
      </c>
      <c r="GW6" t="s">
        <v>3039</v>
      </c>
      <c r="GX6" s="12" t="s">
        <v>258</v>
      </c>
      <c r="GY6" t="s">
        <v>3039</v>
      </c>
      <c r="GZ6" t="s">
        <v>3039</v>
      </c>
      <c r="HA6" t="s">
        <v>3039</v>
      </c>
      <c r="HB6" t="s">
        <v>3039</v>
      </c>
      <c r="HC6" t="s">
        <v>3039</v>
      </c>
      <c r="HD6" t="s">
        <v>3039</v>
      </c>
      <c r="HE6" t="s">
        <v>3039</v>
      </c>
      <c r="HF6" t="s">
        <v>3039</v>
      </c>
      <c r="HG6" t="s">
        <v>3039</v>
      </c>
      <c r="HH6" t="s">
        <v>3039</v>
      </c>
      <c r="HI6" t="s">
        <v>3039</v>
      </c>
      <c r="HJ6" t="s">
        <v>3039</v>
      </c>
      <c r="HK6" s="12" t="s">
        <v>258</v>
      </c>
      <c r="HL6" t="s">
        <v>3039</v>
      </c>
      <c r="HM6" t="s">
        <v>3039</v>
      </c>
      <c r="HN6" t="s">
        <v>3039</v>
      </c>
      <c r="HO6" t="s">
        <v>3039</v>
      </c>
      <c r="HP6" t="s">
        <v>3039</v>
      </c>
      <c r="HQ6" t="s">
        <v>3039</v>
      </c>
      <c r="HR6" t="s">
        <v>3039</v>
      </c>
      <c r="HS6" t="s">
        <v>3039</v>
      </c>
      <c r="HT6" t="s">
        <v>3039</v>
      </c>
      <c r="HU6" t="s">
        <v>3039</v>
      </c>
    </row>
    <row r="7" spans="1:229" x14ac:dyDescent="0.35">
      <c r="C7" t="s">
        <v>3040</v>
      </c>
      <c r="D7" t="s">
        <v>5773</v>
      </c>
      <c r="G7" s="4" t="s">
        <v>194</v>
      </c>
      <c r="H7" s="4" t="s">
        <v>202</v>
      </c>
      <c r="I7" s="4" t="s">
        <v>202</v>
      </c>
      <c r="J7" s="4" t="s">
        <v>202</v>
      </c>
      <c r="K7" s="4" t="s">
        <v>207</v>
      </c>
      <c r="L7" s="4" t="s">
        <v>3411</v>
      </c>
      <c r="M7" s="4" t="s">
        <v>204</v>
      </c>
      <c r="N7" s="4" t="s">
        <v>204</v>
      </c>
      <c r="O7" s="4" t="s">
        <v>204</v>
      </c>
      <c r="P7" s="4" t="s">
        <v>3411</v>
      </c>
      <c r="Q7" s="4" t="s">
        <v>212</v>
      </c>
      <c r="R7" s="4" t="s">
        <v>217</v>
      </c>
      <c r="S7" s="4" t="s">
        <v>224</v>
      </c>
      <c r="AA7" s="4" t="s">
        <v>229</v>
      </c>
      <c r="AB7" s="4" t="s">
        <v>231</v>
      </c>
      <c r="AC7" s="4" t="s">
        <v>231</v>
      </c>
      <c r="AE7" t="s">
        <v>123</v>
      </c>
      <c r="AF7" t="s">
        <v>123</v>
      </c>
      <c r="AG7" t="s">
        <v>123</v>
      </c>
      <c r="AH7" t="s">
        <v>123</v>
      </c>
      <c r="AI7" t="s">
        <v>764</v>
      </c>
      <c r="AJ7" t="s">
        <v>123</v>
      </c>
      <c r="AK7" t="s">
        <v>123</v>
      </c>
      <c r="AM7" t="s">
        <v>2967</v>
      </c>
      <c r="AN7" t="s">
        <v>123</v>
      </c>
      <c r="AO7" s="12" t="s">
        <v>260</v>
      </c>
      <c r="AP7" t="s">
        <v>2987</v>
      </c>
      <c r="AQ7" t="s">
        <v>3513</v>
      </c>
      <c r="AR7" t="s">
        <v>3513</v>
      </c>
      <c r="AS7" t="s">
        <v>3513</v>
      </c>
      <c r="AT7" t="s">
        <v>3513</v>
      </c>
      <c r="AU7" t="s">
        <v>3513</v>
      </c>
      <c r="AV7" t="s">
        <v>3040</v>
      </c>
      <c r="AW7" t="s">
        <v>3040</v>
      </c>
      <c r="AX7" t="s">
        <v>3040</v>
      </c>
      <c r="AY7" t="s">
        <v>3045</v>
      </c>
      <c r="AZ7" t="s">
        <v>3040</v>
      </c>
      <c r="BA7" t="s">
        <v>3040</v>
      </c>
      <c r="BC7" t="s">
        <v>3049</v>
      </c>
      <c r="BD7" t="s">
        <v>3040</v>
      </c>
      <c r="BE7" t="s">
        <v>3040</v>
      </c>
      <c r="BF7" t="s">
        <v>3040</v>
      </c>
      <c r="BO7" t="s">
        <v>3507</v>
      </c>
      <c r="BP7" t="s">
        <v>3507</v>
      </c>
      <c r="BQ7" t="s">
        <v>3507</v>
      </c>
      <c r="BR7" t="s">
        <v>3507</v>
      </c>
      <c r="BS7" t="s">
        <v>3083</v>
      </c>
      <c r="BT7" t="s">
        <v>3088</v>
      </c>
      <c r="BU7" t="s">
        <v>3094</v>
      </c>
      <c r="BV7" t="s">
        <v>3094</v>
      </c>
      <c r="BW7" t="s">
        <v>3110</v>
      </c>
      <c r="BX7" t="s">
        <v>3110</v>
      </c>
      <c r="CC7" s="71" t="s">
        <v>3126</v>
      </c>
      <c r="CD7" s="71" t="s">
        <v>4204</v>
      </c>
      <c r="CE7" s="12" t="s">
        <v>4218</v>
      </c>
      <c r="CF7" t="s">
        <v>4850</v>
      </c>
      <c r="CG7" t="s">
        <v>5598</v>
      </c>
      <c r="CI7" t="s">
        <v>4112</v>
      </c>
      <c r="CJ7" t="s">
        <v>5669</v>
      </c>
      <c r="CK7" t="s">
        <v>3040</v>
      </c>
      <c r="CL7" t="s">
        <v>3040</v>
      </c>
      <c r="CM7" t="s">
        <v>3383</v>
      </c>
      <c r="CN7" t="s">
        <v>3040</v>
      </c>
      <c r="CO7" t="s">
        <v>3040</v>
      </c>
      <c r="CP7" t="s">
        <v>3040</v>
      </c>
      <c r="CQ7" t="s">
        <v>3040</v>
      </c>
      <c r="CR7" t="s">
        <v>3040</v>
      </c>
      <c r="CS7" t="s">
        <v>3040</v>
      </c>
      <c r="CT7" t="s">
        <v>3040</v>
      </c>
      <c r="CU7" t="s">
        <v>3040</v>
      </c>
      <c r="CV7" t="s">
        <v>3040</v>
      </c>
      <c r="CW7" t="s">
        <v>3040</v>
      </c>
      <c r="CX7" t="s">
        <v>3040</v>
      </c>
      <c r="CY7" t="s">
        <v>3040</v>
      </c>
      <c r="CZ7" t="s">
        <v>3040</v>
      </c>
      <c r="DA7" t="s">
        <v>3040</v>
      </c>
      <c r="DC7" t="s">
        <v>5122</v>
      </c>
      <c r="DD7" t="s">
        <v>3040</v>
      </c>
      <c r="DE7" t="s">
        <v>123</v>
      </c>
      <c r="DF7" t="s">
        <v>3040</v>
      </c>
      <c r="DI7" s="71" t="s">
        <v>260</v>
      </c>
      <c r="DJ7" s="12" t="s">
        <v>207</v>
      </c>
      <c r="DK7" s="12" t="s">
        <v>123</v>
      </c>
      <c r="DL7" s="12" t="s">
        <v>123</v>
      </c>
      <c r="DV7" s="12" t="s">
        <v>260</v>
      </c>
      <c r="DX7" t="s">
        <v>3590</v>
      </c>
      <c r="DZ7" t="s">
        <v>3594</v>
      </c>
      <c r="EA7" t="s">
        <v>3598</v>
      </c>
      <c r="EB7" s="12" t="s">
        <v>260</v>
      </c>
      <c r="ED7" t="s">
        <v>3598</v>
      </c>
      <c r="EE7" t="s">
        <v>3598</v>
      </c>
      <c r="EF7" t="s">
        <v>3602</v>
      </c>
      <c r="EG7" t="s">
        <v>3040</v>
      </c>
      <c r="EH7" s="12" t="s">
        <v>3604</v>
      </c>
      <c r="EI7" t="s">
        <v>3610</v>
      </c>
      <c r="EL7" t="s">
        <v>3040</v>
      </c>
      <c r="EM7" t="s">
        <v>3614</v>
      </c>
      <c r="EQ7" t="s">
        <v>3040</v>
      </c>
      <c r="ES7" t="s">
        <v>3040</v>
      </c>
      <c r="ET7" t="s">
        <v>3040</v>
      </c>
      <c r="EU7" t="s">
        <v>3040</v>
      </c>
      <c r="EV7" t="s">
        <v>3040</v>
      </c>
      <c r="EW7" t="s">
        <v>3040</v>
      </c>
      <c r="EX7" t="s">
        <v>3040</v>
      </c>
      <c r="EY7" t="s">
        <v>3040</v>
      </c>
      <c r="EZ7" t="s">
        <v>3040</v>
      </c>
      <c r="FA7" s="71" t="s">
        <v>269</v>
      </c>
      <c r="FB7" s="71" t="s">
        <v>269</v>
      </c>
      <c r="FC7" s="71" t="s">
        <v>269</v>
      </c>
      <c r="FD7" s="71" t="s">
        <v>269</v>
      </c>
      <c r="FE7" t="s">
        <v>3967</v>
      </c>
      <c r="FF7" t="s">
        <v>3040</v>
      </c>
      <c r="FG7" s="71" t="s">
        <v>260</v>
      </c>
      <c r="FH7" s="12" t="s">
        <v>4501</v>
      </c>
      <c r="FN7" t="s">
        <v>3040</v>
      </c>
      <c r="FO7" t="s">
        <v>3040</v>
      </c>
      <c r="FP7" t="s">
        <v>3040</v>
      </c>
      <c r="FQ7" t="s">
        <v>3040</v>
      </c>
      <c r="FR7" t="s">
        <v>3040</v>
      </c>
      <c r="FS7" t="s">
        <v>3040</v>
      </c>
      <c r="FT7" t="s">
        <v>3040</v>
      </c>
      <c r="FU7" t="s">
        <v>3040</v>
      </c>
      <c r="FV7" t="s">
        <v>3040</v>
      </c>
      <c r="FW7" t="s">
        <v>3040</v>
      </c>
      <c r="FX7" t="s">
        <v>3040</v>
      </c>
      <c r="FY7" t="s">
        <v>3040</v>
      </c>
      <c r="FZ7" t="s">
        <v>3040</v>
      </c>
      <c r="GA7" t="s">
        <v>3040</v>
      </c>
      <c r="GB7" t="s">
        <v>3040</v>
      </c>
      <c r="GC7" t="s">
        <v>3040</v>
      </c>
      <c r="GD7" t="s">
        <v>3040</v>
      </c>
      <c r="GE7" t="s">
        <v>3040</v>
      </c>
      <c r="GF7" t="s">
        <v>3040</v>
      </c>
      <c r="GG7" t="s">
        <v>3040</v>
      </c>
      <c r="GH7" t="s">
        <v>3040</v>
      </c>
      <c r="GI7" t="s">
        <v>3040</v>
      </c>
      <c r="GJ7" t="s">
        <v>3040</v>
      </c>
      <c r="GK7" t="s">
        <v>3040</v>
      </c>
      <c r="GL7" t="s">
        <v>3040</v>
      </c>
      <c r="GM7" t="s">
        <v>3040</v>
      </c>
      <c r="GN7" t="s">
        <v>3040</v>
      </c>
      <c r="GO7" t="s">
        <v>3040</v>
      </c>
      <c r="GP7" t="s">
        <v>3040</v>
      </c>
      <c r="GQ7" t="s">
        <v>3040</v>
      </c>
      <c r="GR7" t="s">
        <v>3040</v>
      </c>
      <c r="GS7" t="s">
        <v>3040</v>
      </c>
      <c r="GT7" t="s">
        <v>3040</v>
      </c>
      <c r="GU7" t="s">
        <v>3040</v>
      </c>
      <c r="GV7" t="s">
        <v>3040</v>
      </c>
      <c r="GW7" t="s">
        <v>3040</v>
      </c>
      <c r="GX7" s="12" t="s">
        <v>260</v>
      </c>
      <c r="GY7" t="s">
        <v>3040</v>
      </c>
      <c r="GZ7" t="s">
        <v>3040</v>
      </c>
      <c r="HA7" t="s">
        <v>3040</v>
      </c>
      <c r="HB7" t="s">
        <v>3040</v>
      </c>
      <c r="HC7" t="s">
        <v>3040</v>
      </c>
      <c r="HD7" t="s">
        <v>3040</v>
      </c>
      <c r="HE7" t="s">
        <v>3040</v>
      </c>
      <c r="HF7" t="s">
        <v>3040</v>
      </c>
      <c r="HG7" t="s">
        <v>3040</v>
      </c>
      <c r="HH7" t="s">
        <v>3040</v>
      </c>
      <c r="HI7" t="s">
        <v>3040</v>
      </c>
      <c r="HJ7" t="s">
        <v>3040</v>
      </c>
      <c r="HK7" s="12"/>
      <c r="HL7" t="s">
        <v>3040</v>
      </c>
      <c r="HM7" t="s">
        <v>3040</v>
      </c>
      <c r="HN7" t="s">
        <v>3040</v>
      </c>
      <c r="HO7" t="s">
        <v>3040</v>
      </c>
      <c r="HP7" t="s">
        <v>3040</v>
      </c>
      <c r="HQ7" t="s">
        <v>3040</v>
      </c>
      <c r="HR7" t="s">
        <v>3040</v>
      </c>
      <c r="HS7" t="s">
        <v>3040</v>
      </c>
      <c r="HT7" t="s">
        <v>3040</v>
      </c>
      <c r="HU7" t="s">
        <v>3040</v>
      </c>
    </row>
    <row r="8" spans="1:229" x14ac:dyDescent="0.35">
      <c r="G8" s="4" t="s">
        <v>195</v>
      </c>
      <c r="H8" s="4" t="s">
        <v>203</v>
      </c>
      <c r="I8" s="4" t="s">
        <v>203</v>
      </c>
      <c r="J8" s="4" t="s">
        <v>203</v>
      </c>
      <c r="K8" s="4" t="s">
        <v>208</v>
      </c>
      <c r="L8" s="4"/>
      <c r="M8" s="4" t="s">
        <v>3412</v>
      </c>
      <c r="N8" s="4" t="s">
        <v>3412</v>
      </c>
      <c r="O8" s="4" t="s">
        <v>3412</v>
      </c>
      <c r="P8" s="4"/>
      <c r="Q8" s="4" t="s">
        <v>213</v>
      </c>
      <c r="R8" s="4" t="s">
        <v>218</v>
      </c>
      <c r="S8" s="4" t="s">
        <v>199</v>
      </c>
      <c r="AA8" s="4" t="s">
        <v>4107</v>
      </c>
      <c r="AB8" s="4" t="s">
        <v>4108</v>
      </c>
      <c r="AC8" s="4" t="s">
        <v>4108</v>
      </c>
      <c r="AJ8" t="s">
        <v>401</v>
      </c>
      <c r="AK8" t="s">
        <v>401</v>
      </c>
      <c r="AM8" t="s">
        <v>2968</v>
      </c>
      <c r="AO8" s="12" t="s">
        <v>269</v>
      </c>
      <c r="AY8" t="s">
        <v>3046</v>
      </c>
      <c r="BO8" t="s">
        <v>4177</v>
      </c>
      <c r="BP8" t="s">
        <v>4177</v>
      </c>
      <c r="BQ8" t="s">
        <v>4177</v>
      </c>
      <c r="BR8" t="s">
        <v>4177</v>
      </c>
      <c r="BU8" t="s">
        <v>3095</v>
      </c>
      <c r="BV8" t="s">
        <v>3095</v>
      </c>
      <c r="BW8" t="s">
        <v>3111</v>
      </c>
      <c r="BX8" t="s">
        <v>3111</v>
      </c>
      <c r="CC8" s="71" t="s">
        <v>3127</v>
      </c>
      <c r="CD8" s="71" t="s">
        <v>4205</v>
      </c>
      <c r="CE8" s="12" t="s">
        <v>4219</v>
      </c>
      <c r="CF8" t="s">
        <v>2991</v>
      </c>
      <c r="CG8" t="s">
        <v>5599</v>
      </c>
      <c r="CI8" t="s">
        <v>5667</v>
      </c>
      <c r="CM8" t="s">
        <v>3384</v>
      </c>
      <c r="DI8" t="s">
        <v>5235</v>
      </c>
      <c r="DK8" s="12" t="s">
        <v>401</v>
      </c>
      <c r="DL8" s="12" t="s">
        <v>401</v>
      </c>
      <c r="DV8" s="12" t="s">
        <v>269</v>
      </c>
      <c r="DX8" t="s">
        <v>3591</v>
      </c>
      <c r="EB8" s="12" t="s">
        <v>269</v>
      </c>
      <c r="EH8" s="12" t="s">
        <v>3605</v>
      </c>
      <c r="EM8" t="s">
        <v>3613</v>
      </c>
      <c r="FA8" s="71" t="s">
        <v>275</v>
      </c>
      <c r="FB8" s="71" t="s">
        <v>275</v>
      </c>
      <c r="FC8" s="71" t="s">
        <v>275</v>
      </c>
      <c r="FD8" s="71" t="s">
        <v>275</v>
      </c>
      <c r="FG8" s="71" t="s">
        <v>269</v>
      </c>
      <c r="FH8" t="s">
        <v>3040</v>
      </c>
    </row>
    <row r="9" spans="1:229" x14ac:dyDescent="0.35">
      <c r="G9" s="4" t="s">
        <v>196</v>
      </c>
      <c r="H9" s="4" t="s">
        <v>204</v>
      </c>
      <c r="I9" s="4" t="s">
        <v>204</v>
      </c>
      <c r="J9" s="4" t="s">
        <v>204</v>
      </c>
      <c r="K9" s="4" t="s">
        <v>209</v>
      </c>
      <c r="L9" s="4"/>
      <c r="M9" s="4" t="s">
        <v>199</v>
      </c>
      <c r="N9" s="4" t="s">
        <v>199</v>
      </c>
      <c r="O9" s="4" t="s">
        <v>199</v>
      </c>
      <c r="P9" s="4"/>
      <c r="Q9" s="4" t="s">
        <v>214</v>
      </c>
      <c r="R9" s="4" t="s">
        <v>219</v>
      </c>
      <c r="AA9" s="4" t="s">
        <v>4112</v>
      </c>
      <c r="AB9" s="4" t="s">
        <v>4113</v>
      </c>
      <c r="AC9" s="4" t="s">
        <v>4113</v>
      </c>
      <c r="AM9" t="s">
        <v>2969</v>
      </c>
      <c r="AO9" s="12" t="s">
        <v>275</v>
      </c>
      <c r="BO9" t="s">
        <v>3508</v>
      </c>
      <c r="BP9" t="s">
        <v>3508</v>
      </c>
      <c r="BQ9" t="s">
        <v>3508</v>
      </c>
      <c r="BR9" t="s">
        <v>3508</v>
      </c>
      <c r="BU9" t="s">
        <v>3102</v>
      </c>
      <c r="BV9" t="s">
        <v>3096</v>
      </c>
      <c r="BW9" t="s">
        <v>3112</v>
      </c>
      <c r="BX9" t="s">
        <v>3112</v>
      </c>
      <c r="CC9" s="71" t="s">
        <v>3128</v>
      </c>
      <c r="CD9" s="71" t="s">
        <v>4206</v>
      </c>
      <c r="CE9" s="12" t="s">
        <v>4220</v>
      </c>
      <c r="CF9" t="s">
        <v>4222</v>
      </c>
      <c r="CG9" t="s">
        <v>199</v>
      </c>
      <c r="DK9" s="12" t="s">
        <v>539</v>
      </c>
      <c r="DL9" s="12" t="s">
        <v>539</v>
      </c>
      <c r="DV9" s="12" t="s">
        <v>3544</v>
      </c>
      <c r="EB9" s="12" t="s">
        <v>275</v>
      </c>
      <c r="EH9" s="12" t="s">
        <v>3606</v>
      </c>
      <c r="FA9" s="71" t="s">
        <v>277</v>
      </c>
      <c r="FB9" s="71" t="s">
        <v>277</v>
      </c>
      <c r="FC9" s="71" t="s">
        <v>277</v>
      </c>
      <c r="FD9" s="71" t="s">
        <v>277</v>
      </c>
      <c r="FG9" s="71" t="s">
        <v>275</v>
      </c>
    </row>
    <row r="10" spans="1:229" x14ac:dyDescent="0.35">
      <c r="G10" s="4" t="s">
        <v>197</v>
      </c>
      <c r="H10" s="4" t="s">
        <v>3412</v>
      </c>
      <c r="I10" s="4" t="s">
        <v>3412</v>
      </c>
      <c r="J10" s="4" t="s">
        <v>3412</v>
      </c>
      <c r="K10" s="4" t="s">
        <v>199</v>
      </c>
      <c r="L10" s="4"/>
      <c r="M10" s="4" t="s">
        <v>210</v>
      </c>
      <c r="N10" s="4" t="s">
        <v>210</v>
      </c>
      <c r="O10" s="4" t="s">
        <v>210</v>
      </c>
      <c r="P10" s="4"/>
      <c r="Q10" s="4" t="s">
        <v>199</v>
      </c>
      <c r="R10" s="4" t="s">
        <v>220</v>
      </c>
      <c r="AA10" s="4" t="s">
        <v>199</v>
      </c>
      <c r="AB10" s="4" t="s">
        <v>199</v>
      </c>
      <c r="AC10" s="4" t="s">
        <v>4840</v>
      </c>
      <c r="AM10" s="71" t="s">
        <v>765</v>
      </c>
      <c r="BO10" t="s">
        <v>3509</v>
      </c>
      <c r="BP10" t="s">
        <v>3509</v>
      </c>
      <c r="BQ10" t="s">
        <v>3509</v>
      </c>
      <c r="BR10" t="s">
        <v>3509</v>
      </c>
      <c r="BV10" t="s">
        <v>3097</v>
      </c>
      <c r="CC10" s="71" t="s">
        <v>3129</v>
      </c>
      <c r="CE10" s="12" t="s">
        <v>4221</v>
      </c>
      <c r="DV10" s="12" t="s">
        <v>275</v>
      </c>
    </row>
    <row r="11" spans="1:229" x14ac:dyDescent="0.35">
      <c r="G11" s="4" t="s">
        <v>198</v>
      </c>
      <c r="H11" s="4" t="s">
        <v>199</v>
      </c>
      <c r="I11" s="4" t="s">
        <v>199</v>
      </c>
      <c r="J11" s="4" t="s">
        <v>199</v>
      </c>
      <c r="N11" s="4"/>
      <c r="O11" s="4"/>
      <c r="P11" s="4"/>
      <c r="R11" s="4" t="s">
        <v>221</v>
      </c>
      <c r="AC11" s="4" t="s">
        <v>4841</v>
      </c>
      <c r="BO11" t="s">
        <v>3510</v>
      </c>
      <c r="BP11" t="s">
        <v>3510</v>
      </c>
      <c r="BQ11" t="s">
        <v>3510</v>
      </c>
      <c r="BR11" t="s">
        <v>3510</v>
      </c>
      <c r="BV11" t="s">
        <v>3098</v>
      </c>
      <c r="CC11" s="71" t="s">
        <v>3130</v>
      </c>
    </row>
    <row r="12" spans="1:229" x14ac:dyDescent="0.35">
      <c r="G12" s="4" t="s">
        <v>199</v>
      </c>
      <c r="H12" s="4" t="s">
        <v>210</v>
      </c>
      <c r="I12" s="4" t="s">
        <v>210</v>
      </c>
      <c r="J12" s="4" t="s">
        <v>210</v>
      </c>
      <c r="R12" s="4" t="s">
        <v>222</v>
      </c>
      <c r="AC12" s="4" t="s">
        <v>4842</v>
      </c>
      <c r="BO12" t="s">
        <v>199</v>
      </c>
      <c r="BP12" t="s">
        <v>199</v>
      </c>
      <c r="BQ12" t="s">
        <v>199</v>
      </c>
      <c r="BR12" t="s">
        <v>199</v>
      </c>
      <c r="BV12" t="s">
        <v>3099</v>
      </c>
      <c r="CC12" s="71" t="s">
        <v>3131</v>
      </c>
    </row>
    <row r="13" spans="1:229" x14ac:dyDescent="0.35">
      <c r="R13" s="4" t="s">
        <v>199</v>
      </c>
      <c r="AC13" s="4" t="s">
        <v>4843</v>
      </c>
      <c r="BV13" t="s">
        <v>3100</v>
      </c>
      <c r="CC13" s="71" t="s">
        <v>3132</v>
      </c>
    </row>
    <row r="14" spans="1:229" x14ac:dyDescent="0.35">
      <c r="AC14" s="4" t="s">
        <v>199</v>
      </c>
      <c r="BV14" t="s">
        <v>3101</v>
      </c>
      <c r="CC14" s="71" t="s">
        <v>3133</v>
      </c>
    </row>
  </sheetData>
  <sheetProtection algorithmName="SHA-512" hashValue="Wo3rIoZCAKoSr0h0SR/LjTaPqtxanxA5A8QqbAtTnAG0F4Ib/5swMH/9T1zU8RNf2COVzfmTJ2kGdLU2dS+5Zg==" saltValue="P3LK2NP39fEFkxfZ826ahQ==" spinCount="100000" sheet="1" objects="1" scenarios="1" selectLockedCells="1" selectUnlockedCells="1"/>
  <pageMargins left="0.7" right="0.7" top="0.75" bottom="0.75" header="0.3" footer="0.3"/>
  <pageSetup scale="10"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theme="1"/>
    <pageSetUpPr fitToPage="1"/>
  </sheetPr>
  <dimension ref="A3:AC23"/>
  <sheetViews>
    <sheetView topLeftCell="AD1" zoomScaleNormal="100" workbookViewId="0"/>
  </sheetViews>
  <sheetFormatPr defaultRowHeight="14.5" x14ac:dyDescent="0.35"/>
  <cols>
    <col min="1" max="1" width="12.26953125" hidden="1" customWidth="1"/>
    <col min="2" max="2" width="8.26953125" hidden="1" customWidth="1"/>
    <col min="3" max="3" width="11.54296875" hidden="1" customWidth="1"/>
    <col min="4" max="4" width="6" hidden="1" customWidth="1"/>
    <col min="5" max="5" width="5.1796875" hidden="1" customWidth="1"/>
    <col min="6" max="6" width="8.26953125" hidden="1" customWidth="1"/>
    <col min="7" max="7" width="12.81640625" hidden="1" customWidth="1"/>
    <col min="8" max="8" width="7.26953125" hidden="1" customWidth="1"/>
    <col min="9" max="9" width="8.81640625" hidden="1" customWidth="1"/>
    <col min="10" max="12" width="5.54296875" hidden="1" customWidth="1"/>
    <col min="13" max="13" width="8.26953125" hidden="1" customWidth="1"/>
    <col min="14" max="14" width="5.453125" hidden="1" customWidth="1"/>
    <col min="15" max="15" width="9.7265625" hidden="1" customWidth="1"/>
    <col min="16" max="16" width="9.54296875" hidden="1" customWidth="1"/>
    <col min="17" max="17" width="10" hidden="1" customWidth="1"/>
    <col min="18" max="18" width="5.81640625" hidden="1" customWidth="1"/>
    <col min="19" max="19" width="15.26953125" hidden="1" customWidth="1"/>
    <col min="20" max="20" width="12.81640625" hidden="1" customWidth="1"/>
    <col min="21" max="21" width="13.26953125" hidden="1" customWidth="1"/>
    <col min="22" max="22" width="5.54296875" hidden="1" customWidth="1"/>
    <col min="23" max="23" width="12.81640625" hidden="1" customWidth="1"/>
    <col min="24" max="24" width="9.453125" hidden="1" customWidth="1"/>
    <col min="25" max="25" width="7.1796875" hidden="1" customWidth="1"/>
    <col min="26" max="26" width="14" hidden="1" customWidth="1"/>
    <col min="27" max="27" width="9.26953125" hidden="1" customWidth="1"/>
    <col min="28" max="28" width="14.453125" hidden="1" customWidth="1"/>
    <col min="29" max="29" width="5.81640625" hidden="1" customWidth="1"/>
  </cols>
  <sheetData>
    <row r="3" spans="1:29" x14ac:dyDescent="0.35">
      <c r="A3" t="s">
        <v>285</v>
      </c>
      <c r="B3" t="b">
        <f>OR('Overview (Design)'!G14="",'Overview (Design)'!G15="",'Overview (Design)'!G18="",AND('Overview (Design)'!G18=INDEX(ddSingleOrMulti,2),OR('Overview (Design)'!G19="",'Overview (Design)'!G23="")),'Overview (Design)'!G25="",'Overview (Design)'!G26="",'Overview (Design)'!G27="",AND('Overview (Design)'!G28="",'Overview (Design)'!P11="Tropical"),'Overview (Design)'!G32="",'Overview (Design)'!G34="",'Overview (Design)'!G38="",'Overview (Design)'!G39="",'Overview (Design)'!G42="",'Overview (Design)'!G44="",'Overview (Design)'!G46="",'Overview (Design)'!G50="",'Overview (Design)'!L11="!!")</f>
        <v>0</v>
      </c>
    </row>
    <row r="4" spans="1:29" x14ac:dyDescent="0.35">
      <c r="A4" t="s">
        <v>311</v>
      </c>
      <c r="B4" t="b">
        <f>OR('Overview (Verification)'!P14="",'Overview (Verification)'!P15="",'Overview (Verification)'!P18="",'Overview (Verification)'!P25="",'Overview (Verification)'!P26="",'Overview (Verification)'!P27="",AND('Overview (Verification)'!P28="",'Overview (Verification)'!Y11="Tropical"),'Overview (Verification)'!P32="",'Overview (Verification)'!P34="",'Overview (Verification)'!P38="",'Overview (Verification)'!P39="",'Overview (Verification)'!P42="",'Overview (Verification)'!P44="",'Overview (Verification)'!P46="",'Overview (Verification)'!P50="")</f>
        <v>1</v>
      </c>
    </row>
    <row r="9" spans="1:29" x14ac:dyDescent="0.35">
      <c r="M9" t="s">
        <v>4243</v>
      </c>
      <c r="N9">
        <f ca="1">IFERROR(MATCH('Ch7'!W12,INDIRECT('Ch7'!U12),0),0)</f>
        <v>2</v>
      </c>
      <c r="X9" t="s">
        <v>5741</v>
      </c>
      <c r="Y9">
        <f ca="1">IFERROR(MATCH('Verification Report'!W882,INDIRECT('Ch7'!U12),0),0)</f>
        <v>0</v>
      </c>
    </row>
    <row r="10" spans="1:29" x14ac:dyDescent="0.35">
      <c r="G10" s="6" t="s">
        <v>322</v>
      </c>
      <c r="H10" t="s">
        <v>294</v>
      </c>
      <c r="M10" t="s">
        <v>4064</v>
      </c>
      <c r="N10">
        <f ca="1">IF(OR(Ch7Path=1,Ch7Path=3),4,IF('Ch7'!W28=INDEX(INDIRECT('Ch7'!U28),2),2,IF('Ch7'!W28=INDEX(INDIRECT('Ch7'!U28),1),1,3)))</f>
        <v>3</v>
      </c>
      <c r="S10" s="6" t="s">
        <v>321</v>
      </c>
      <c r="T10" t="str">
        <f>IF(LEN('Verification Report'!L1)=0,"None Chosen",'Verification Report'!L1)</f>
        <v>None Chosen</v>
      </c>
      <c r="X10" t="s">
        <v>2996</v>
      </c>
      <c r="Y10" s="1">
        <f ca="1">IF(OR(Y9=1,Y9=3),4,IF('Verification Report'!W898=INDEX(INDIRECT('Ch7'!U28),2),2,IF('Verification Report'!W898=INDEX(INDIRECT('Ch7'!U28),1),1,3)))</f>
        <v>3</v>
      </c>
    </row>
    <row r="11" spans="1:29" x14ac:dyDescent="0.35">
      <c r="M11" t="s">
        <v>5240</v>
      </c>
      <c r="N11">
        <f ca="1">'Ch8'!S14</f>
        <v>2</v>
      </c>
      <c r="X11" t="s">
        <v>5240</v>
      </c>
      <c r="Y11">
        <f ca="1">'Verification Report'!S1643</f>
        <v>0</v>
      </c>
    </row>
    <row r="12" spans="1:29" x14ac:dyDescent="0.35">
      <c r="C12" t="s">
        <v>295</v>
      </c>
      <c r="G12" t="s">
        <v>308</v>
      </c>
      <c r="M12" t="s">
        <v>4065</v>
      </c>
      <c r="N12">
        <f ca="1">IF(N11=2,IF('Ch8'!$O$131&gt;0,4,2),IFERROR(MATCH('Ch8'!$M$237,'Ch8'!$R$240:$R$243,0),0))</f>
        <v>2</v>
      </c>
      <c r="S12" t="s">
        <v>309</v>
      </c>
      <c r="X12" t="s">
        <v>3599</v>
      </c>
      <c r="Y12">
        <f ca="1">IF(Y11=2,IF('Verification Report'!O1760&gt;0,4,2),IFERROR(MATCH('Verification Report'!M1866,'Verification Report'!R1869:R1872,0),0))</f>
        <v>0</v>
      </c>
    </row>
    <row r="14" spans="1:29" x14ac:dyDescent="0.35">
      <c r="C14" t="s">
        <v>292</v>
      </c>
      <c r="D14" t="s">
        <v>293</v>
      </c>
      <c r="E14" t="s">
        <v>294</v>
      </c>
      <c r="F14" t="s">
        <v>290</v>
      </c>
      <c r="H14" t="s">
        <v>296</v>
      </c>
      <c r="J14" t="s">
        <v>297</v>
      </c>
      <c r="K14" t="s">
        <v>297</v>
      </c>
      <c r="L14" t="s">
        <v>297</v>
      </c>
      <c r="M14" t="s">
        <v>297</v>
      </c>
      <c r="N14" t="s">
        <v>298</v>
      </c>
      <c r="P14" t="s">
        <v>299</v>
      </c>
      <c r="T14" t="s">
        <v>296</v>
      </c>
      <c r="V14" t="s">
        <v>297</v>
      </c>
      <c r="Y14" t="s">
        <v>298</v>
      </c>
      <c r="AA14" t="s">
        <v>323</v>
      </c>
    </row>
    <row r="15" spans="1:29" x14ac:dyDescent="0.35">
      <c r="A15">
        <v>5</v>
      </c>
      <c r="B15" t="s">
        <v>300</v>
      </c>
      <c r="C15">
        <v>50</v>
      </c>
      <c r="D15">
        <v>64</v>
      </c>
      <c r="E15">
        <v>93</v>
      </c>
      <c r="F15">
        <v>121</v>
      </c>
      <c r="G15" s="6" t="str">
        <f t="shared" ref="G15:G20" si="0">"Ch"&amp;$A15&amp;"Points"</f>
        <v>Ch5Points</v>
      </c>
      <c r="H15" s="1">
        <f ca="1">ROUNDDOWN(SUM('Ch5'!O:O),0)</f>
        <v>57</v>
      </c>
      <c r="I15" s="6" t="str">
        <f t="shared" ref="I15:I20" si="1">"Ch"&amp;$A15&amp;"Add"</f>
        <v>Ch5Add</v>
      </c>
      <c r="J15">
        <f t="shared" ref="J15:M20" ca="1" si="2">$H15-C15</f>
        <v>7</v>
      </c>
      <c r="K15">
        <f t="shared" ca="1" si="2"/>
        <v>-7</v>
      </c>
      <c r="L15">
        <f t="shared" ca="1" si="2"/>
        <v>-36</v>
      </c>
      <c r="M15">
        <f t="shared" ca="1" si="2"/>
        <v>-64</v>
      </c>
      <c r="N15">
        <f ca="1">IFERROR(MATCH(H15,C15:F15,1),0)</f>
        <v>1</v>
      </c>
      <c r="O15" s="6" t="str">
        <f t="shared" ref="O15:O20" si="3">"Ch"&amp;$A15&amp;"NLev"</f>
        <v>Ch5NLev</v>
      </c>
      <c r="P15">
        <f t="shared" ref="P15:P20" ca="1" si="4">IF(N15=4,0,INDEX(C15:F15,N15+1)-H15)</f>
        <v>7</v>
      </c>
      <c r="Q15" s="6" t="str">
        <f t="shared" ref="Q15:Q20" si="5">"Ch"&amp;$A15&amp;"Level"</f>
        <v>Ch5Level</v>
      </c>
      <c r="R15" t="str">
        <f t="shared" ref="R15:R22" ca="1" si="6">IFERROR(INDEX($C$14:$F$14,N15),"None")</f>
        <v>Bronze</v>
      </c>
      <c r="S15" s="6" t="str">
        <f t="shared" ref="S15:S20" si="7">"Ch"&amp;$A15&amp;"PointsFinal"</f>
        <v>Ch5PointsFinal</v>
      </c>
      <c r="T15" s="1">
        <f ca="1">ROUNDDOWN(SUMIFS('Verification Report'!O:O,'Verification Report'!A:A, 5),0)</f>
        <v>0</v>
      </c>
      <c r="U15" s="6" t="str">
        <f t="shared" ref="U15:U20" si="8">"Ch"&amp;$A15&amp;"AddFinal"</f>
        <v>Ch5AddFinal</v>
      </c>
      <c r="V15">
        <f t="shared" ref="V15:V20" ca="1" si="9">MAX(IFERROR(T15-INDEX(C15:F15,MAX(1,MIN(Y$15:Y$20))),0),0)</f>
        <v>0</v>
      </c>
      <c r="W15" s="6" t="str">
        <f t="shared" ref="W15:W20" si="10">"Ch"&amp;$A15&amp;"AddGoal"</f>
        <v>Ch5AddGoal</v>
      </c>
      <c r="X15">
        <f t="shared" ref="X15:X20" ca="1" si="11">MAX(IFERROR($T15-INDEX($C15:$F15,MATCH(verGoalLevel,$C$14:$F$14,0)),0),0)</f>
        <v>0</v>
      </c>
      <c r="Y15">
        <f ca="1">IFERROR(MATCH(T15,C15:F15,1),0)</f>
        <v>0</v>
      </c>
      <c r="Z15" s="6" t="str">
        <f t="shared" ref="Z15:Z20" si="12">"Ch"&amp;$A15&amp;"GLevFinal"</f>
        <v>Ch5GLevFinal</v>
      </c>
      <c r="AA15">
        <f t="shared" ref="AA15:AA20" ca="1" si="13">MAX(IFERROR(INDEX($C15:$F15,MATCH(verGoalLevel,$C$14:$F$14,0))-$T15,0),0)</f>
        <v>0</v>
      </c>
      <c r="AB15" s="6" t="str">
        <f t="shared" ref="AB15:AB20" si="14">"Ch"&amp;$A15&amp;"LevelFinal"</f>
        <v>Ch5LevelFinal</v>
      </c>
      <c r="AC15" t="str">
        <f t="shared" ref="AC15:AC22" ca="1" si="15">IFERROR(INDEX($C$14:$F$14,Y15),"None")</f>
        <v>None</v>
      </c>
    </row>
    <row r="16" spans="1:29" x14ac:dyDescent="0.35">
      <c r="A16">
        <v>6</v>
      </c>
      <c r="B16" t="s">
        <v>301</v>
      </c>
      <c r="C16">
        <v>43</v>
      </c>
      <c r="D16">
        <v>59</v>
      </c>
      <c r="E16">
        <v>89</v>
      </c>
      <c r="F16">
        <v>119</v>
      </c>
      <c r="G16" s="6" t="str">
        <f t="shared" si="0"/>
        <v>Ch6Points</v>
      </c>
      <c r="H16">
        <f ca="1">SUM('Ch6'!O:O)</f>
        <v>54</v>
      </c>
      <c r="I16" s="6" t="str">
        <f t="shared" si="1"/>
        <v>Ch6Add</v>
      </c>
      <c r="J16">
        <f t="shared" ca="1" si="2"/>
        <v>11</v>
      </c>
      <c r="K16">
        <f t="shared" ca="1" si="2"/>
        <v>-5</v>
      </c>
      <c r="L16">
        <f t="shared" ca="1" si="2"/>
        <v>-35</v>
      </c>
      <c r="M16">
        <f t="shared" ca="1" si="2"/>
        <v>-65</v>
      </c>
      <c r="N16">
        <f ca="1">IFERROR(MATCH(H16,C16:F16,1),0)</f>
        <v>1</v>
      </c>
      <c r="O16" s="6" t="str">
        <f t="shared" si="3"/>
        <v>Ch6NLev</v>
      </c>
      <c r="P16">
        <f t="shared" ca="1" si="4"/>
        <v>5</v>
      </c>
      <c r="Q16" s="6" t="str">
        <f t="shared" si="5"/>
        <v>Ch6Level</v>
      </c>
      <c r="R16" t="str">
        <f t="shared" ca="1" si="6"/>
        <v>Bronze</v>
      </c>
      <c r="S16" s="6" t="str">
        <f t="shared" si="7"/>
        <v>Ch6PointsFinal</v>
      </c>
      <c r="T16">
        <f ca="1">SUMIFS('Verification Report'!O:O,'Verification Report'!A:A, 6)</f>
        <v>0</v>
      </c>
      <c r="U16" s="6" t="str">
        <f t="shared" si="8"/>
        <v>Ch6AddFinal</v>
      </c>
      <c r="V16">
        <f t="shared" ca="1" si="9"/>
        <v>0</v>
      </c>
      <c r="W16" s="6" t="str">
        <f t="shared" si="10"/>
        <v>Ch6AddGoal</v>
      </c>
      <c r="X16">
        <f t="shared" ca="1" si="11"/>
        <v>0</v>
      </c>
      <c r="Y16">
        <f ca="1">IFERROR(MATCH(T16,C16:F16,1),0)</f>
        <v>0</v>
      </c>
      <c r="Z16" s="6" t="str">
        <f t="shared" si="12"/>
        <v>Ch6GLevFinal</v>
      </c>
      <c r="AA16">
        <f t="shared" ca="1" si="13"/>
        <v>0</v>
      </c>
      <c r="AB16" s="6" t="str">
        <f t="shared" si="14"/>
        <v>Ch6LevelFinal</v>
      </c>
      <c r="AC16" t="str">
        <f t="shared" ca="1" si="15"/>
        <v>None</v>
      </c>
    </row>
    <row r="17" spans="1:29" x14ac:dyDescent="0.35">
      <c r="A17">
        <v>7</v>
      </c>
      <c r="B17" t="s">
        <v>302</v>
      </c>
      <c r="C17">
        <v>30</v>
      </c>
      <c r="D17">
        <v>45</v>
      </c>
      <c r="E17">
        <v>60</v>
      </c>
      <c r="F17">
        <v>70</v>
      </c>
      <c r="G17" s="6" t="str">
        <f t="shared" si="0"/>
        <v>Ch7Points</v>
      </c>
      <c r="H17">
        <f ca="1">SUM('Ch7'!O:O)</f>
        <v>60</v>
      </c>
      <c r="I17" s="6" t="str">
        <f t="shared" si="1"/>
        <v>Ch7Add</v>
      </c>
      <c r="J17">
        <f t="shared" ca="1" si="2"/>
        <v>30</v>
      </c>
      <c r="K17">
        <f t="shared" ca="1" si="2"/>
        <v>15</v>
      </c>
      <c r="L17">
        <f t="shared" ca="1" si="2"/>
        <v>0</v>
      </c>
      <c r="M17">
        <f t="shared" ca="1" si="2"/>
        <v>-10</v>
      </c>
      <c r="N17" s="1">
        <f ca="1">MIN(IFERROR(MATCH(H17,$C17:$F17,1),0),N10)</f>
        <v>3</v>
      </c>
      <c r="O17" s="6" t="str">
        <f t="shared" si="3"/>
        <v>Ch7NLev</v>
      </c>
      <c r="P17">
        <f t="shared" ca="1" si="4"/>
        <v>10</v>
      </c>
      <c r="Q17" s="6" t="str">
        <f t="shared" si="5"/>
        <v>Ch7Level</v>
      </c>
      <c r="R17" t="str">
        <f t="shared" ca="1" si="6"/>
        <v>Gold</v>
      </c>
      <c r="S17" s="6" t="str">
        <f t="shared" si="7"/>
        <v>Ch7PointsFinal</v>
      </c>
      <c r="T17">
        <f ca="1">SUMIFS('Verification Report'!O:O,'Verification Report'!A:A, 7)</f>
        <v>0</v>
      </c>
      <c r="U17" s="6" t="str">
        <f t="shared" si="8"/>
        <v>Ch7AddFinal</v>
      </c>
      <c r="V17">
        <f t="shared" ca="1" si="9"/>
        <v>0</v>
      </c>
      <c r="W17" s="6" t="str">
        <f t="shared" si="10"/>
        <v>Ch7AddGoal</v>
      </c>
      <c r="X17">
        <f t="shared" ca="1" si="11"/>
        <v>0</v>
      </c>
      <c r="Y17" s="1">
        <f ca="1">MIN(IFERROR(MATCH(T17,$C17:$F17,1),0),Y10)</f>
        <v>0</v>
      </c>
      <c r="Z17" s="6" t="str">
        <f t="shared" si="12"/>
        <v>Ch7GLevFinal</v>
      </c>
      <c r="AA17">
        <f t="shared" ca="1" si="13"/>
        <v>0</v>
      </c>
      <c r="AB17" s="6" t="str">
        <f t="shared" si="14"/>
        <v>Ch7LevelFinal</v>
      </c>
      <c r="AC17" t="str">
        <f t="shared" ca="1" si="15"/>
        <v>None</v>
      </c>
    </row>
    <row r="18" spans="1:29" x14ac:dyDescent="0.35">
      <c r="A18">
        <v>8</v>
      </c>
      <c r="B18" t="s">
        <v>303</v>
      </c>
      <c r="C18">
        <v>25</v>
      </c>
      <c r="D18">
        <v>39</v>
      </c>
      <c r="E18">
        <v>67</v>
      </c>
      <c r="F18">
        <v>92</v>
      </c>
      <c r="G18" s="6" t="str">
        <f t="shared" si="0"/>
        <v>Ch8Points</v>
      </c>
      <c r="H18">
        <f ca="1">SUM('Ch8'!O:O)</f>
        <v>42</v>
      </c>
      <c r="I18" s="6" t="str">
        <f t="shared" si="1"/>
        <v>Ch8Add</v>
      </c>
      <c r="J18">
        <f t="shared" ca="1" si="2"/>
        <v>17</v>
      </c>
      <c r="K18">
        <f t="shared" ca="1" si="2"/>
        <v>3</v>
      </c>
      <c r="L18">
        <f t="shared" ca="1" si="2"/>
        <v>-25</v>
      </c>
      <c r="M18">
        <f t="shared" ca="1" si="2"/>
        <v>-50</v>
      </c>
      <c r="N18" s="1">
        <f ca="1">IF(N11=2,MIN(IFERROR(MATCH(H18,$C18:$F18,1),0),N12),N12)</f>
        <v>2</v>
      </c>
      <c r="O18" s="6" t="str">
        <f t="shared" si="3"/>
        <v>Ch8NLev</v>
      </c>
      <c r="P18" s="1">
        <f ca="1">IF(OR(N18=4,N11=1),0,INDEX(C18:F18,N18+1)-H18)</f>
        <v>25</v>
      </c>
      <c r="Q18" s="6" t="str">
        <f t="shared" si="5"/>
        <v>Ch8Level</v>
      </c>
      <c r="R18" t="str">
        <f t="shared" ca="1" si="6"/>
        <v>Silver</v>
      </c>
      <c r="S18" s="6" t="str">
        <f t="shared" si="7"/>
        <v>Ch8PointsFinal</v>
      </c>
      <c r="T18">
        <f ca="1">SUMIFS('Verification Report'!O:O,'Verification Report'!A:A, 8)</f>
        <v>0</v>
      </c>
      <c r="U18" s="6" t="str">
        <f t="shared" si="8"/>
        <v>Ch8AddFinal</v>
      </c>
      <c r="V18">
        <f t="shared" ca="1" si="9"/>
        <v>0</v>
      </c>
      <c r="W18" s="6" t="str">
        <f t="shared" si="10"/>
        <v>Ch8AddGoal</v>
      </c>
      <c r="X18">
        <f t="shared" ca="1" si="11"/>
        <v>0</v>
      </c>
      <c r="Y18" s="1">
        <f ca="1">IF(Y11=2,MIN(IFERROR(MATCH(T18,$C18:$F18,1),0),Y12),Y12)</f>
        <v>0</v>
      </c>
      <c r="Z18" s="6" t="str">
        <f t="shared" si="12"/>
        <v>Ch8GLevFinal</v>
      </c>
      <c r="AA18">
        <f t="shared" ca="1" si="13"/>
        <v>0</v>
      </c>
      <c r="AB18" s="6" t="str">
        <f t="shared" si="14"/>
        <v>Ch8LevelFinal</v>
      </c>
      <c r="AC18" t="str">
        <f t="shared" ca="1" si="15"/>
        <v>None</v>
      </c>
    </row>
    <row r="19" spans="1:29" x14ac:dyDescent="0.35">
      <c r="A19">
        <v>9</v>
      </c>
      <c r="B19" t="s">
        <v>304</v>
      </c>
      <c r="C19">
        <v>25</v>
      </c>
      <c r="D19">
        <v>42</v>
      </c>
      <c r="E19">
        <v>69</v>
      </c>
      <c r="F19">
        <v>97</v>
      </c>
      <c r="G19" s="6" t="str">
        <f t="shared" si="0"/>
        <v>Ch9Points</v>
      </c>
      <c r="H19">
        <f ca="1">SUM('Ch9'!O:O)</f>
        <v>31</v>
      </c>
      <c r="I19" s="6" t="str">
        <f t="shared" si="1"/>
        <v>Ch9Add</v>
      </c>
      <c r="J19">
        <f t="shared" ca="1" si="2"/>
        <v>6</v>
      </c>
      <c r="K19">
        <f t="shared" ca="1" si="2"/>
        <v>-11</v>
      </c>
      <c r="L19">
        <f t="shared" ca="1" si="2"/>
        <v>-38</v>
      </c>
      <c r="M19">
        <f t="shared" ca="1" si="2"/>
        <v>-66</v>
      </c>
      <c r="N19">
        <f ca="1">IFERROR(MATCH(H19,C19:F19,1),0)</f>
        <v>1</v>
      </c>
      <c r="O19" s="6" t="str">
        <f t="shared" si="3"/>
        <v>Ch9NLev</v>
      </c>
      <c r="P19">
        <f t="shared" ca="1" si="4"/>
        <v>11</v>
      </c>
      <c r="Q19" s="6" t="str">
        <f t="shared" si="5"/>
        <v>Ch9Level</v>
      </c>
      <c r="R19" t="str">
        <f t="shared" ca="1" si="6"/>
        <v>Bronze</v>
      </c>
      <c r="S19" s="6" t="str">
        <f t="shared" si="7"/>
        <v>Ch9PointsFinal</v>
      </c>
      <c r="T19">
        <f ca="1">SUMIFS('Verification Report'!O:O,'Verification Report'!A:A, 9)</f>
        <v>0</v>
      </c>
      <c r="U19" s="6" t="str">
        <f t="shared" si="8"/>
        <v>Ch9AddFinal</v>
      </c>
      <c r="V19">
        <f t="shared" ca="1" si="9"/>
        <v>0</v>
      </c>
      <c r="W19" s="6" t="str">
        <f t="shared" si="10"/>
        <v>Ch9AddGoal</v>
      </c>
      <c r="X19">
        <f t="shared" ca="1" si="11"/>
        <v>0</v>
      </c>
      <c r="Y19">
        <f ca="1">IFERROR(MATCH(T19,C19:F19,1),0)</f>
        <v>0</v>
      </c>
      <c r="Z19" s="6" t="str">
        <f t="shared" si="12"/>
        <v>Ch9GLevFinal</v>
      </c>
      <c r="AA19">
        <f t="shared" ca="1" si="13"/>
        <v>0</v>
      </c>
      <c r="AB19" s="6" t="str">
        <f t="shared" si="14"/>
        <v>Ch9LevelFinal</v>
      </c>
      <c r="AC19" t="str">
        <f t="shared" ca="1" si="15"/>
        <v>None</v>
      </c>
    </row>
    <row r="20" spans="1:29" x14ac:dyDescent="0.35">
      <c r="A20">
        <v>10</v>
      </c>
      <c r="B20" t="s">
        <v>305</v>
      </c>
      <c r="C20">
        <v>8</v>
      </c>
      <c r="D20">
        <v>10</v>
      </c>
      <c r="E20">
        <v>11</v>
      </c>
      <c r="F20">
        <v>12</v>
      </c>
      <c r="G20" s="6" t="str">
        <f t="shared" si="0"/>
        <v>Ch10Points</v>
      </c>
      <c r="H20">
        <f>SUM('Ch10'!O:O)</f>
        <v>14</v>
      </c>
      <c r="I20" s="6" t="str">
        <f t="shared" si="1"/>
        <v>Ch10Add</v>
      </c>
      <c r="J20">
        <f t="shared" si="2"/>
        <v>6</v>
      </c>
      <c r="K20">
        <f t="shared" si="2"/>
        <v>4</v>
      </c>
      <c r="L20">
        <f t="shared" si="2"/>
        <v>3</v>
      </c>
      <c r="M20">
        <f t="shared" si="2"/>
        <v>2</v>
      </c>
      <c r="N20">
        <f>IFERROR(MATCH(H20,C20:F20,1),0)</f>
        <v>4</v>
      </c>
      <c r="O20" s="6" t="str">
        <f t="shared" si="3"/>
        <v>Ch10NLev</v>
      </c>
      <c r="P20">
        <f t="shared" si="4"/>
        <v>0</v>
      </c>
      <c r="Q20" s="6" t="str">
        <f t="shared" si="5"/>
        <v>Ch10Level</v>
      </c>
      <c r="R20" t="str">
        <f t="shared" si="6"/>
        <v>Emerald</v>
      </c>
      <c r="S20" s="6" t="str">
        <f t="shared" si="7"/>
        <v>Ch10PointsFinal</v>
      </c>
      <c r="T20">
        <f>SUMIFS('Verification Report'!O:O,'Verification Report'!A:A, 10)</f>
        <v>2</v>
      </c>
      <c r="U20" s="6" t="str">
        <f t="shared" si="8"/>
        <v>Ch10AddFinal</v>
      </c>
      <c r="V20">
        <f t="shared" ca="1" si="9"/>
        <v>0</v>
      </c>
      <c r="W20" s="6" t="str">
        <f t="shared" si="10"/>
        <v>Ch10AddGoal</v>
      </c>
      <c r="X20">
        <f t="shared" si="11"/>
        <v>0</v>
      </c>
      <c r="Y20">
        <f>IFERROR(MATCH(T20,C20:F20,1),0)</f>
        <v>0</v>
      </c>
      <c r="Z20" s="6" t="str">
        <f t="shared" si="12"/>
        <v>Ch10GLevFinal</v>
      </c>
      <c r="AA20">
        <f t="shared" si="13"/>
        <v>0</v>
      </c>
      <c r="AB20" s="6" t="str">
        <f t="shared" si="14"/>
        <v>Ch10LevelFinal</v>
      </c>
      <c r="AC20" t="str">
        <f t="shared" si="15"/>
        <v>None</v>
      </c>
    </row>
    <row r="21" spans="1:29" x14ac:dyDescent="0.35">
      <c r="A21">
        <f>'Overview (Design)'!$G$25</f>
        <v>2644</v>
      </c>
      <c r="B21" t="s">
        <v>364</v>
      </c>
      <c r="C21">
        <f>50+MAX(0,ROUNDDOWN(($A21-4000)/100,0))</f>
        <v>50</v>
      </c>
      <c r="D21">
        <f>75+MAX(0,ROUNDDOWN(($A21-4000)/100,0))</f>
        <v>75</v>
      </c>
      <c r="E21">
        <f>100+MAX(0,ROUNDDOWN(($A21-4000)/100,0))</f>
        <v>100</v>
      </c>
      <c r="F21">
        <f>100+MAX(0,ROUNDDOWN(($A21-4000)/100,0))</f>
        <v>100</v>
      </c>
      <c r="J21">
        <f ca="1">SUM(J15:J20)</f>
        <v>77</v>
      </c>
      <c r="K21">
        <f ca="1">SUM(K15:K20)</f>
        <v>-1</v>
      </c>
      <c r="L21">
        <f ca="1">SUM(L15:L20)</f>
        <v>-131</v>
      </c>
      <c r="M21">
        <f ca="1">SUM(M15:M20)</f>
        <v>-253</v>
      </c>
      <c r="N21">
        <f ca="1">IF(M21&gt;=F21,4,IF(L21&gt;=E21,3,IF(K21&gt;=D21,2,IF(J21&gt;=C21,1,0))))</f>
        <v>1</v>
      </c>
      <c r="R21" t="str">
        <f t="shared" ca="1" si="6"/>
        <v>Bronze</v>
      </c>
      <c r="V21">
        <f ca="1">SUM(V15:V20)</f>
        <v>0</v>
      </c>
      <c r="Y21">
        <f ca="1">IFERROR(MATCH(V21,C22:F22,1),MAX(0,MIN(Y15:Y20)-1))</f>
        <v>0</v>
      </c>
      <c r="AC21" t="str">
        <f t="shared" ca="1" si="15"/>
        <v>None</v>
      </c>
    </row>
    <row r="22" spans="1:29" x14ac:dyDescent="0.35">
      <c r="A22">
        <f>IF(LEN('Overview (Verification)'!$P$25)=0,0,'Overview (Verification)'!$P$25)</f>
        <v>0</v>
      </c>
      <c r="B22" t="s">
        <v>365</v>
      </c>
      <c r="C22">
        <f>50+MAX(0,ROUNDDOWN(($A22-4000)/100,0))</f>
        <v>50</v>
      </c>
      <c r="D22">
        <f>75+MAX(0,ROUNDDOWN(($A22-4000)/100,0))</f>
        <v>75</v>
      </c>
      <c r="E22">
        <f>100+MAX(0,ROUNDDOWN(($A22-4000)/100,0))</f>
        <v>100</v>
      </c>
      <c r="F22">
        <f>100+MAX(0,ROUNDDOWN(($A22-4000)/100,0))</f>
        <v>100</v>
      </c>
      <c r="N22">
        <f ca="1">MIN(N15:N21)</f>
        <v>1</v>
      </c>
      <c r="R22" t="str">
        <f t="shared" ca="1" si="6"/>
        <v>Bronze</v>
      </c>
      <c r="Y22">
        <f ca="1">MIN(Y15:Y21)</f>
        <v>0</v>
      </c>
      <c r="AC22" t="str">
        <f t="shared" ca="1" si="15"/>
        <v>None</v>
      </c>
    </row>
    <row r="23" spans="1:29" x14ac:dyDescent="0.35">
      <c r="C23">
        <v>231</v>
      </c>
      <c r="D23">
        <v>334</v>
      </c>
      <c r="E23">
        <v>489</v>
      </c>
      <c r="F23">
        <v>611</v>
      </c>
    </row>
  </sheetData>
  <sheetProtection algorithmName="SHA-512" hashValue="MC6ZlCaKVvCpd1smehov1GhBlZKTfdmSkNw+EJMM4gE2qRP4xyoqSUPU6I1B0UpsvhWdEXU1eChj7tWe9sa/8A==" saltValue="G1n0pnMx3BK+cO+mRf+dgw==" spinCount="100000" sheet="1" objects="1" scenarios="1" selectLockedCells="1" selectUnlockedCells="1"/>
  <pageMargins left="0.7" right="0.7" top="0.75" bottom="0.75" header="0.3" footer="0.3"/>
  <pageSetup scale="3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1"/>
    <pageSetUpPr fitToPage="1"/>
  </sheetPr>
  <dimension ref="A1:AN38"/>
  <sheetViews>
    <sheetView topLeftCell="V1" zoomScaleNormal="100" workbookViewId="0"/>
  </sheetViews>
  <sheetFormatPr defaultRowHeight="14.5" x14ac:dyDescent="0.35"/>
  <cols>
    <col min="1" max="1" width="0" hidden="1" customWidth="1"/>
    <col min="2" max="2" width="8.26953125" hidden="1" customWidth="1"/>
    <col min="3" max="3" width="3.54296875" hidden="1" customWidth="1"/>
    <col min="4" max="11" width="3" hidden="1" customWidth="1"/>
    <col min="12" max="12" width="0" hidden="1" customWidth="1"/>
    <col min="13" max="13" width="7.26953125" hidden="1" customWidth="1"/>
    <col min="14" max="21" width="4.7265625" hidden="1" customWidth="1"/>
  </cols>
  <sheetData>
    <row r="1" spans="1:40" x14ac:dyDescent="0.35">
      <c r="B1" t="s">
        <v>890</v>
      </c>
      <c r="M1" t="s">
        <v>897</v>
      </c>
    </row>
    <row r="3" spans="1:40" x14ac:dyDescent="0.35">
      <c r="B3" s="216" t="s">
        <v>355</v>
      </c>
    </row>
    <row r="5" spans="1:40" x14ac:dyDescent="0.35">
      <c r="B5" t="s">
        <v>3535</v>
      </c>
      <c r="C5">
        <f>'Overview (Design)'!N15</f>
        <v>4</v>
      </c>
      <c r="M5" t="s">
        <v>3535</v>
      </c>
      <c r="N5">
        <f>'Overview (Design)'!N15</f>
        <v>4</v>
      </c>
      <c r="O5" s="279"/>
    </row>
    <row r="6" spans="1:40" x14ac:dyDescent="0.35">
      <c r="B6" t="s">
        <v>3536</v>
      </c>
      <c r="C6" t="str">
        <f>'Overview (Design)'!Q15</f>
        <v xml:space="preserve"> </v>
      </c>
      <c r="M6" t="s">
        <v>3762</v>
      </c>
      <c r="N6" s="279">
        <f>MAX('Ch7'!W105,'Ch7'!W623)</f>
        <v>3</v>
      </c>
      <c r="O6" s="279">
        <f>MAX('Ch7'!W108,'Ch7'!W625)</f>
        <v>0</v>
      </c>
      <c r="X6" s="755" t="s">
        <v>5149</v>
      </c>
      <c r="Y6" s="755"/>
      <c r="Z6" s="755"/>
      <c r="AA6" s="755"/>
      <c r="AB6" s="755"/>
      <c r="AC6" s="755"/>
      <c r="AD6" s="755"/>
      <c r="AE6" s="755"/>
      <c r="AF6" s="755"/>
      <c r="AG6" s="755"/>
      <c r="AH6" s="755"/>
      <c r="AI6" s="755"/>
      <c r="AJ6" s="755"/>
      <c r="AK6" s="755"/>
      <c r="AL6" s="755"/>
      <c r="AM6" s="755"/>
      <c r="AN6" s="755"/>
    </row>
    <row r="7" spans="1:40" x14ac:dyDescent="0.35">
      <c r="B7" t="s">
        <v>3537</v>
      </c>
      <c r="C7">
        <f>'Ch7'!W222</f>
        <v>0</v>
      </c>
      <c r="D7" s="215"/>
      <c r="M7" t="s">
        <v>3763</v>
      </c>
      <c r="N7">
        <f>IF(N6&lt;=1,1,IF(N6&lt;=2,2,IF(N6&lt;=3,3,IF(N6&lt;=4,4,0))))</f>
        <v>3</v>
      </c>
      <c r="O7">
        <f>IF(O6&lt;=0.13,1,IF(O6&lt;=0.18,2,IF(O6&lt;=0.23,3,IF(O6&lt;=0.28,4,0))))</f>
        <v>1</v>
      </c>
      <c r="X7" s="755"/>
      <c r="Y7" s="755"/>
      <c r="Z7" s="755"/>
      <c r="AA7" s="755"/>
      <c r="AB7" s="755"/>
      <c r="AC7" s="755"/>
      <c r="AD7" s="755"/>
      <c r="AE7" s="755"/>
      <c r="AF7" s="755"/>
      <c r="AG7" s="755"/>
      <c r="AH7" s="755"/>
      <c r="AI7" s="755"/>
      <c r="AJ7" s="755"/>
      <c r="AK7" s="755"/>
      <c r="AL7" s="755"/>
      <c r="AM7" s="755"/>
      <c r="AN7" s="755"/>
    </row>
    <row r="8" spans="1:40" x14ac:dyDescent="0.35">
      <c r="X8" s="755"/>
      <c r="Y8" s="755"/>
      <c r="Z8" s="755"/>
      <c r="AA8" s="755"/>
      <c r="AB8" s="755"/>
      <c r="AC8" s="755"/>
      <c r="AD8" s="755"/>
      <c r="AE8" s="755"/>
      <c r="AF8" s="755"/>
      <c r="AG8" s="755"/>
      <c r="AH8" s="755"/>
      <c r="AI8" s="755"/>
      <c r="AJ8" s="755"/>
      <c r="AK8" s="755"/>
      <c r="AL8" s="755"/>
      <c r="AM8" s="755"/>
      <c r="AN8" s="755"/>
    </row>
    <row r="9" spans="1:40" x14ac:dyDescent="0.35">
      <c r="C9" t="s">
        <v>3534</v>
      </c>
      <c r="D9">
        <v>1</v>
      </c>
      <c r="E9">
        <v>2</v>
      </c>
      <c r="F9">
        <v>3</v>
      </c>
      <c r="G9">
        <v>4</v>
      </c>
      <c r="H9">
        <v>5</v>
      </c>
      <c r="I9">
        <v>6</v>
      </c>
      <c r="J9">
        <v>7</v>
      </c>
      <c r="K9">
        <v>8</v>
      </c>
      <c r="N9">
        <v>1</v>
      </c>
      <c r="O9">
        <v>2</v>
      </c>
      <c r="P9">
        <v>3</v>
      </c>
      <c r="Q9">
        <v>4</v>
      </c>
      <c r="R9">
        <v>5</v>
      </c>
      <c r="S9">
        <v>6</v>
      </c>
      <c r="T9">
        <v>7</v>
      </c>
      <c r="U9">
        <v>8</v>
      </c>
      <c r="X9" s="755"/>
      <c r="Y9" s="755"/>
      <c r="Z9" s="755"/>
      <c r="AA9" s="755"/>
      <c r="AB9" s="755"/>
      <c r="AC9" s="755"/>
      <c r="AD9" s="755"/>
      <c r="AE9" s="755"/>
      <c r="AF9" s="755"/>
      <c r="AG9" s="755"/>
      <c r="AH9" s="755"/>
      <c r="AI9" s="755"/>
      <c r="AJ9" s="755"/>
      <c r="AK9" s="755"/>
      <c r="AL9" s="755"/>
      <c r="AM9" s="755"/>
      <c r="AN9" s="755"/>
    </row>
    <row r="10" spans="1:40" x14ac:dyDescent="0.35">
      <c r="A10">
        <v>1</v>
      </c>
      <c r="B10" s="215">
        <v>0</v>
      </c>
      <c r="C10">
        <v>0</v>
      </c>
      <c r="D10">
        <v>0</v>
      </c>
      <c r="E10">
        <v>0</v>
      </c>
      <c r="F10">
        <v>0</v>
      </c>
      <c r="G10">
        <v>0</v>
      </c>
      <c r="H10">
        <v>0</v>
      </c>
      <c r="I10">
        <v>0</v>
      </c>
      <c r="J10">
        <v>0</v>
      </c>
      <c r="K10">
        <v>0</v>
      </c>
      <c r="M10">
        <v>1</v>
      </c>
      <c r="N10">
        <v>4</v>
      </c>
      <c r="O10">
        <v>7</v>
      </c>
      <c r="P10">
        <v>5</v>
      </c>
      <c r="Q10">
        <v>7</v>
      </c>
      <c r="R10">
        <v>7</v>
      </c>
      <c r="S10">
        <v>10</v>
      </c>
      <c r="T10">
        <v>15</v>
      </c>
      <c r="U10">
        <v>11</v>
      </c>
    </row>
    <row r="11" spans="1:40" x14ac:dyDescent="0.35">
      <c r="A11">
        <v>2</v>
      </c>
      <c r="B11" s="215">
        <v>0.05</v>
      </c>
      <c r="C11">
        <v>1</v>
      </c>
      <c r="D11">
        <v>2</v>
      </c>
      <c r="E11">
        <v>3</v>
      </c>
      <c r="F11">
        <v>3</v>
      </c>
      <c r="G11">
        <v>3</v>
      </c>
      <c r="H11">
        <v>3</v>
      </c>
      <c r="I11">
        <v>3</v>
      </c>
      <c r="J11">
        <v>3</v>
      </c>
      <c r="K11">
        <v>3</v>
      </c>
      <c r="M11">
        <v>2</v>
      </c>
      <c r="N11">
        <v>3</v>
      </c>
      <c r="O11">
        <v>5</v>
      </c>
      <c r="P11">
        <v>3</v>
      </c>
      <c r="Q11">
        <v>4</v>
      </c>
      <c r="R11">
        <v>4</v>
      </c>
      <c r="S11">
        <v>6</v>
      </c>
      <c r="T11">
        <v>8</v>
      </c>
      <c r="U11">
        <v>7</v>
      </c>
    </row>
    <row r="12" spans="1:40" x14ac:dyDescent="0.35">
      <c r="A12">
        <v>3</v>
      </c>
      <c r="B12" s="215">
        <v>0.1</v>
      </c>
      <c r="C12">
        <v>1</v>
      </c>
      <c r="D12">
        <v>3</v>
      </c>
      <c r="E12">
        <v>6</v>
      </c>
      <c r="F12">
        <v>5</v>
      </c>
      <c r="G12">
        <v>6</v>
      </c>
      <c r="H12">
        <v>6</v>
      </c>
      <c r="I12">
        <v>6</v>
      </c>
      <c r="J12">
        <v>5</v>
      </c>
      <c r="K12">
        <v>7</v>
      </c>
      <c r="M12">
        <v>3</v>
      </c>
      <c r="N12">
        <v>2</v>
      </c>
      <c r="O12">
        <v>4</v>
      </c>
      <c r="X12" s="755" t="s">
        <v>5148</v>
      </c>
      <c r="Y12" s="755"/>
      <c r="Z12" s="755"/>
      <c r="AA12" s="755"/>
      <c r="AB12" s="755"/>
      <c r="AC12" s="755"/>
      <c r="AD12" s="755"/>
      <c r="AE12" s="755"/>
      <c r="AF12" s="755"/>
      <c r="AG12" s="755"/>
      <c r="AH12" s="755"/>
      <c r="AI12" s="755"/>
      <c r="AJ12" s="755"/>
      <c r="AK12" s="755"/>
      <c r="AL12" s="755"/>
      <c r="AM12" s="755"/>
      <c r="AN12" s="755"/>
    </row>
    <row r="13" spans="1:40" x14ac:dyDescent="0.35">
      <c r="A13">
        <v>4</v>
      </c>
      <c r="B13" s="215">
        <v>0.15</v>
      </c>
      <c r="C13">
        <v>2</v>
      </c>
      <c r="D13">
        <v>5</v>
      </c>
      <c r="E13">
        <v>9</v>
      </c>
      <c r="F13">
        <v>8</v>
      </c>
      <c r="G13">
        <v>9</v>
      </c>
      <c r="H13">
        <v>9</v>
      </c>
      <c r="I13">
        <v>9</v>
      </c>
      <c r="J13">
        <v>8</v>
      </c>
      <c r="K13">
        <v>10</v>
      </c>
      <c r="M13">
        <v>4</v>
      </c>
      <c r="N13">
        <v>1</v>
      </c>
      <c r="O13">
        <v>2</v>
      </c>
      <c r="X13" s="755"/>
      <c r="Y13" s="755"/>
      <c r="Z13" s="755"/>
      <c r="AA13" s="755"/>
      <c r="AB13" s="755"/>
      <c r="AC13" s="755"/>
      <c r="AD13" s="755"/>
      <c r="AE13" s="755"/>
      <c r="AF13" s="755"/>
      <c r="AG13" s="755"/>
      <c r="AH13" s="755"/>
      <c r="AI13" s="755"/>
      <c r="AJ13" s="755"/>
      <c r="AK13" s="755"/>
      <c r="AL13" s="755"/>
      <c r="AM13" s="755"/>
      <c r="AN13" s="755"/>
    </row>
    <row r="14" spans="1:40" x14ac:dyDescent="0.35">
      <c r="A14">
        <v>5</v>
      </c>
      <c r="B14" s="215">
        <v>0.2</v>
      </c>
      <c r="C14">
        <v>3</v>
      </c>
      <c r="D14">
        <v>6</v>
      </c>
      <c r="E14">
        <v>12</v>
      </c>
      <c r="F14">
        <v>10</v>
      </c>
      <c r="G14">
        <v>12</v>
      </c>
      <c r="H14">
        <v>12</v>
      </c>
      <c r="I14">
        <v>12</v>
      </c>
      <c r="J14">
        <v>11</v>
      </c>
      <c r="K14">
        <v>13</v>
      </c>
      <c r="X14" s="755"/>
      <c r="Y14" s="755"/>
      <c r="Z14" s="755"/>
      <c r="AA14" s="755"/>
      <c r="AB14" s="755"/>
      <c r="AC14" s="755"/>
      <c r="AD14" s="755"/>
      <c r="AE14" s="755"/>
      <c r="AF14" s="755"/>
      <c r="AG14" s="755"/>
      <c r="AH14" s="755"/>
      <c r="AI14" s="755"/>
      <c r="AJ14" s="755"/>
      <c r="AK14" s="755"/>
      <c r="AL14" s="755"/>
      <c r="AM14" s="755"/>
      <c r="AN14" s="755"/>
    </row>
    <row r="15" spans="1:40" x14ac:dyDescent="0.35">
      <c r="A15">
        <v>6</v>
      </c>
      <c r="B15" s="215">
        <v>0.25</v>
      </c>
      <c r="C15">
        <v>4</v>
      </c>
      <c r="D15">
        <v>8</v>
      </c>
      <c r="E15">
        <v>15</v>
      </c>
      <c r="F15">
        <v>13</v>
      </c>
      <c r="G15">
        <v>16</v>
      </c>
      <c r="H15">
        <v>14</v>
      </c>
      <c r="I15">
        <v>15</v>
      </c>
      <c r="J15">
        <v>14</v>
      </c>
      <c r="K15">
        <v>17</v>
      </c>
      <c r="X15" s="755"/>
      <c r="Y15" s="755"/>
      <c r="Z15" s="755"/>
      <c r="AA15" s="755"/>
      <c r="AB15" s="755"/>
      <c r="AC15" s="755"/>
      <c r="AD15" s="755"/>
      <c r="AE15" s="755"/>
      <c r="AF15" s="755"/>
      <c r="AG15" s="755"/>
      <c r="AH15" s="755"/>
      <c r="AI15" s="755"/>
      <c r="AJ15" s="755"/>
      <c r="AK15" s="755"/>
      <c r="AL15" s="755"/>
      <c r="AM15" s="755"/>
      <c r="AN15" s="755"/>
    </row>
    <row r="16" spans="1:40" x14ac:dyDescent="0.35">
      <c r="A16">
        <v>7</v>
      </c>
      <c r="B16" s="215">
        <v>0.3</v>
      </c>
      <c r="C16">
        <v>5</v>
      </c>
      <c r="D16">
        <v>10</v>
      </c>
      <c r="E16">
        <v>18</v>
      </c>
      <c r="F16">
        <v>16</v>
      </c>
      <c r="G16">
        <v>19</v>
      </c>
      <c r="H16">
        <v>17</v>
      </c>
      <c r="I16">
        <v>18</v>
      </c>
      <c r="J16">
        <v>16</v>
      </c>
      <c r="K16">
        <v>20</v>
      </c>
    </row>
    <row r="17" spans="1:21" x14ac:dyDescent="0.35">
      <c r="A17">
        <v>8</v>
      </c>
      <c r="B17" s="215">
        <v>0.35</v>
      </c>
      <c r="C17">
        <v>5</v>
      </c>
      <c r="D17">
        <v>11</v>
      </c>
      <c r="E17">
        <v>21</v>
      </c>
      <c r="F17">
        <v>18</v>
      </c>
      <c r="G17">
        <v>22</v>
      </c>
      <c r="H17">
        <v>20</v>
      </c>
      <c r="I17">
        <v>21</v>
      </c>
      <c r="J17">
        <v>19</v>
      </c>
      <c r="K17">
        <v>23</v>
      </c>
    </row>
    <row r="19" spans="1:21" x14ac:dyDescent="0.35">
      <c r="B19" t="s">
        <v>3538</v>
      </c>
      <c r="C19">
        <f>IF(C6="Tropical",INDEX(C10:C17,MATCH(C7,B10:B17,1)),INDEX(D10:K17,MATCH(C7,B10:B17,1),MATCH(C5,D9:K9,1)))</f>
        <v>0</v>
      </c>
      <c r="M19" t="s">
        <v>3538</v>
      </c>
      <c r="N19">
        <f>IF(N6=0,0,IFERROR(INDEX($N$10:$U$13,N7,$N$5),0))</f>
        <v>0</v>
      </c>
      <c r="O19">
        <f>IF(O6=0,0,IFERROR(INDEX($N$10:$U$13,O7,$N$5),0))</f>
        <v>0</v>
      </c>
    </row>
    <row r="22" spans="1:21" x14ac:dyDescent="0.35">
      <c r="B22" s="216" t="s">
        <v>3539</v>
      </c>
    </row>
    <row r="24" spans="1:21" x14ac:dyDescent="0.35">
      <c r="B24" t="s">
        <v>3535</v>
      </c>
      <c r="C24" t="str">
        <f>'Overview (Verification)'!W15</f>
        <v>!!</v>
      </c>
      <c r="M24" t="s">
        <v>3535</v>
      </c>
      <c r="N24" t="str">
        <f>'Overview (Verification)'!W15</f>
        <v>!!</v>
      </c>
    </row>
    <row r="25" spans="1:21" x14ac:dyDescent="0.35">
      <c r="B25" t="s">
        <v>3536</v>
      </c>
      <c r="C25" t="str">
        <f>'Overview (Verification)'!Z15</f>
        <v>!!</v>
      </c>
      <c r="M25" t="s">
        <v>3762</v>
      </c>
      <c r="N25" s="279">
        <f>MAX('Verification Report'!W975,'Verification Report'!W1493)</f>
        <v>0</v>
      </c>
      <c r="O25" s="279">
        <f>MAX('Verification Report'!W978,'Verification Report'!W1495)</f>
        <v>0</v>
      </c>
    </row>
    <row r="26" spans="1:21" x14ac:dyDescent="0.35">
      <c r="B26" t="s">
        <v>3537</v>
      </c>
      <c r="C26">
        <f>'Verification Report'!W1092</f>
        <v>0</v>
      </c>
      <c r="D26" s="215"/>
      <c r="M26" t="s">
        <v>3763</v>
      </c>
      <c r="N26">
        <f>IF(N25&lt;=1,1,IF(N25&lt;=2,2,IF(N25&lt;=3,3,IF(N25&lt;=4,4,0))))</f>
        <v>1</v>
      </c>
      <c r="O26">
        <f>IF(O25&lt;=0.13,1,IF(O25&lt;=0.18,2,IF(O25&lt;=0.23,3,IF(O25&lt;=0.28,4,0))))</f>
        <v>1</v>
      </c>
    </row>
    <row r="28" spans="1:21" x14ac:dyDescent="0.35">
      <c r="C28" t="s">
        <v>3534</v>
      </c>
      <c r="D28">
        <v>1</v>
      </c>
      <c r="E28">
        <v>2</v>
      </c>
      <c r="F28">
        <v>3</v>
      </c>
      <c r="G28">
        <v>4</v>
      </c>
      <c r="H28">
        <v>5</v>
      </c>
      <c r="I28">
        <v>6</v>
      </c>
      <c r="J28">
        <v>7</v>
      </c>
      <c r="K28">
        <v>8</v>
      </c>
      <c r="N28">
        <v>1</v>
      </c>
      <c r="O28">
        <v>2</v>
      </c>
      <c r="P28">
        <v>3</v>
      </c>
      <c r="Q28">
        <v>4</v>
      </c>
      <c r="R28">
        <v>5</v>
      </c>
      <c r="S28">
        <v>6</v>
      </c>
      <c r="T28">
        <v>7</v>
      </c>
      <c r="U28">
        <v>8</v>
      </c>
    </row>
    <row r="29" spans="1:21" x14ac:dyDescent="0.35">
      <c r="A29">
        <v>1</v>
      </c>
      <c r="B29" s="215">
        <v>0</v>
      </c>
      <c r="C29">
        <v>0</v>
      </c>
      <c r="D29">
        <v>0</v>
      </c>
      <c r="E29">
        <v>0</v>
      </c>
      <c r="F29">
        <v>0</v>
      </c>
      <c r="G29">
        <v>0</v>
      </c>
      <c r="H29">
        <v>0</v>
      </c>
      <c r="I29">
        <v>0</v>
      </c>
      <c r="J29">
        <v>0</v>
      </c>
      <c r="K29">
        <v>0</v>
      </c>
      <c r="M29">
        <v>1</v>
      </c>
      <c r="N29">
        <v>4</v>
      </c>
      <c r="O29">
        <v>7</v>
      </c>
      <c r="P29">
        <v>5</v>
      </c>
      <c r="Q29">
        <v>7</v>
      </c>
      <c r="R29">
        <v>7</v>
      </c>
      <c r="S29">
        <v>10</v>
      </c>
      <c r="T29">
        <v>15</v>
      </c>
      <c r="U29">
        <v>11</v>
      </c>
    </row>
    <row r="30" spans="1:21" x14ac:dyDescent="0.35">
      <c r="A30">
        <v>2</v>
      </c>
      <c r="B30" s="215">
        <v>0.05</v>
      </c>
      <c r="C30">
        <v>1</v>
      </c>
      <c r="D30">
        <v>2</v>
      </c>
      <c r="E30">
        <v>3</v>
      </c>
      <c r="F30">
        <v>3</v>
      </c>
      <c r="G30">
        <v>3</v>
      </c>
      <c r="H30">
        <v>3</v>
      </c>
      <c r="I30">
        <v>3</v>
      </c>
      <c r="J30">
        <v>3</v>
      </c>
      <c r="K30">
        <v>3</v>
      </c>
      <c r="M30">
        <v>2</v>
      </c>
      <c r="N30">
        <v>3</v>
      </c>
      <c r="O30">
        <v>5</v>
      </c>
      <c r="P30">
        <v>3</v>
      </c>
      <c r="Q30">
        <v>4</v>
      </c>
      <c r="R30">
        <v>4</v>
      </c>
      <c r="S30">
        <v>6</v>
      </c>
      <c r="T30">
        <v>8</v>
      </c>
      <c r="U30">
        <v>7</v>
      </c>
    </row>
    <row r="31" spans="1:21" x14ac:dyDescent="0.35">
      <c r="A31">
        <v>3</v>
      </c>
      <c r="B31" s="215">
        <v>0.1</v>
      </c>
      <c r="C31">
        <v>1</v>
      </c>
      <c r="D31">
        <v>3</v>
      </c>
      <c r="E31">
        <v>6</v>
      </c>
      <c r="F31">
        <v>5</v>
      </c>
      <c r="G31">
        <v>6</v>
      </c>
      <c r="H31">
        <v>6</v>
      </c>
      <c r="I31">
        <v>6</v>
      </c>
      <c r="J31">
        <v>5</v>
      </c>
      <c r="K31">
        <v>7</v>
      </c>
      <c r="M31">
        <v>3</v>
      </c>
      <c r="N31">
        <v>2</v>
      </c>
      <c r="O31">
        <v>4</v>
      </c>
    </row>
    <row r="32" spans="1:21" x14ac:dyDescent="0.35">
      <c r="A32">
        <v>4</v>
      </c>
      <c r="B32" s="215">
        <v>0.15</v>
      </c>
      <c r="C32">
        <v>2</v>
      </c>
      <c r="D32">
        <v>5</v>
      </c>
      <c r="E32">
        <v>9</v>
      </c>
      <c r="F32">
        <v>8</v>
      </c>
      <c r="G32">
        <v>9</v>
      </c>
      <c r="H32">
        <v>9</v>
      </c>
      <c r="I32">
        <v>9</v>
      </c>
      <c r="J32">
        <v>8</v>
      </c>
      <c r="K32">
        <v>10</v>
      </c>
      <c r="M32">
        <v>4</v>
      </c>
      <c r="N32">
        <v>1</v>
      </c>
      <c r="O32">
        <v>2</v>
      </c>
    </row>
    <row r="33" spans="1:15" x14ac:dyDescent="0.35">
      <c r="A33">
        <v>5</v>
      </c>
      <c r="B33" s="215">
        <v>0.2</v>
      </c>
      <c r="C33">
        <v>3</v>
      </c>
      <c r="D33">
        <v>6</v>
      </c>
      <c r="E33">
        <v>12</v>
      </c>
      <c r="F33">
        <v>10</v>
      </c>
      <c r="G33">
        <v>12</v>
      </c>
      <c r="H33">
        <v>12</v>
      </c>
      <c r="I33">
        <v>12</v>
      </c>
      <c r="J33">
        <v>11</v>
      </c>
      <c r="K33">
        <v>13</v>
      </c>
    </row>
    <row r="34" spans="1:15" x14ac:dyDescent="0.35">
      <c r="A34">
        <v>6</v>
      </c>
      <c r="B34" s="215">
        <v>0.25</v>
      </c>
      <c r="C34">
        <v>4</v>
      </c>
      <c r="D34">
        <v>8</v>
      </c>
      <c r="E34">
        <v>15</v>
      </c>
      <c r="F34">
        <v>13</v>
      </c>
      <c r="G34">
        <v>16</v>
      </c>
      <c r="H34">
        <v>14</v>
      </c>
      <c r="I34">
        <v>15</v>
      </c>
      <c r="J34">
        <v>14</v>
      </c>
      <c r="K34">
        <v>17</v>
      </c>
    </row>
    <row r="35" spans="1:15" x14ac:dyDescent="0.35">
      <c r="A35">
        <v>7</v>
      </c>
      <c r="B35" s="215">
        <v>0.3</v>
      </c>
      <c r="C35">
        <v>5</v>
      </c>
      <c r="D35">
        <v>10</v>
      </c>
      <c r="E35">
        <v>18</v>
      </c>
      <c r="F35">
        <v>16</v>
      </c>
      <c r="G35">
        <v>19</v>
      </c>
      <c r="H35">
        <v>17</v>
      </c>
      <c r="I35">
        <v>18</v>
      </c>
      <c r="J35">
        <v>16</v>
      </c>
      <c r="K35">
        <v>20</v>
      </c>
    </row>
    <row r="36" spans="1:15" x14ac:dyDescent="0.35">
      <c r="A36">
        <v>8</v>
      </c>
      <c r="B36" s="215">
        <v>0.35</v>
      </c>
      <c r="C36">
        <v>5</v>
      </c>
      <c r="D36">
        <v>11</v>
      </c>
      <c r="E36">
        <v>21</v>
      </c>
      <c r="F36">
        <v>18</v>
      </c>
      <c r="G36">
        <v>22</v>
      </c>
      <c r="H36">
        <v>20</v>
      </c>
      <c r="I36">
        <v>21</v>
      </c>
      <c r="J36">
        <v>19</v>
      </c>
      <c r="K36">
        <v>23</v>
      </c>
    </row>
    <row r="38" spans="1:15" x14ac:dyDescent="0.35">
      <c r="B38" t="s">
        <v>3538</v>
      </c>
      <c r="C38" t="e">
        <f>IF(C25="Tropical",INDEX(C29:C36,MATCH(C26,B29:B36,1)),INDEX(D29:K36,MATCH(C26,B29:B36,1),MATCH(C24,D28:K28,1)))</f>
        <v>#N/A</v>
      </c>
      <c r="M38" t="s">
        <v>3538</v>
      </c>
      <c r="N38">
        <f>IF(N25=0,0,IFERROR(INDEX($N$29:$U$32,N26,$N$24),0))</f>
        <v>0</v>
      </c>
      <c r="O38">
        <f>IF(O25=0,0,IFERROR(INDEX($N$29:$U$32,O26,$N$24),0))</f>
        <v>0</v>
      </c>
    </row>
  </sheetData>
  <sheetProtection algorithmName="SHA-512" hashValue="xVODtl4+RxOpqlvtkubrh/mhWh7GoxnUHai8Dmf8X5kD2kcaQ/jQVzM/Z5Q4t70zBEfUZ2z1ZNfN2TXZV22brA==" saltValue="jyJrbR6QKbzYr0jUDeFJbQ==" spinCount="100000" sheet="1" objects="1" scenarios="1" selectLockedCells="1" selectUnlockedCells="1"/>
  <mergeCells count="2">
    <mergeCell ref="X12:AN15"/>
    <mergeCell ref="X6:AN9"/>
  </mergeCells>
  <pageMargins left="0.7" right="0.7" top="0.75" bottom="0.75" header="0.3" footer="0.3"/>
  <pageSetup scale="33"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pageSetUpPr fitToPage="1"/>
  </sheetPr>
  <dimension ref="A1:Z64"/>
  <sheetViews>
    <sheetView showGridLines="0" zoomScaleNormal="100" workbookViewId="0">
      <pane ySplit="6" topLeftCell="A7" activePane="bottomLeft" state="frozen"/>
      <selection activeCell="S48" sqref="S48"/>
      <selection pane="bottomLeft" activeCell="S48" sqref="S48"/>
    </sheetView>
  </sheetViews>
  <sheetFormatPr defaultColWidth="9.1796875" defaultRowHeight="14.5" x14ac:dyDescent="0.35"/>
  <cols>
    <col min="5" max="13" width="9.1796875" customWidth="1"/>
    <col min="14" max="14" width="16.81640625" hidden="1" customWidth="1"/>
    <col min="15" max="15" width="17.453125" hidden="1" customWidth="1"/>
  </cols>
  <sheetData>
    <row r="1" spans="1:26" x14ac:dyDescent="0.35">
      <c r="A1" s="963"/>
      <c r="B1" s="963"/>
      <c r="C1" s="963"/>
      <c r="D1" s="1087" t="s">
        <v>4873</v>
      </c>
      <c r="E1" s="963"/>
      <c r="F1" s="963"/>
      <c r="G1" s="963"/>
      <c r="H1" s="963"/>
      <c r="I1" s="963"/>
      <c r="J1" s="963"/>
      <c r="K1" s="963"/>
      <c r="L1" s="963"/>
      <c r="M1" s="963"/>
      <c r="N1" s="963"/>
      <c r="O1" s="963"/>
      <c r="P1" s="963"/>
      <c r="Q1" s="963"/>
      <c r="R1" s="963"/>
      <c r="S1" s="963"/>
      <c r="T1" s="963"/>
      <c r="U1" s="963"/>
      <c r="V1" s="963"/>
      <c r="W1" s="963"/>
      <c r="X1" s="963"/>
      <c r="Y1" s="1088"/>
    </row>
    <row r="2" spans="1:26" x14ac:dyDescent="0.35">
      <c r="A2" s="834"/>
      <c r="B2" s="834"/>
      <c r="C2" s="834"/>
      <c r="D2" s="1089"/>
      <c r="E2" s="834"/>
      <c r="F2" s="834"/>
      <c r="G2" s="834"/>
      <c r="H2" s="834"/>
      <c r="I2" s="834"/>
      <c r="J2" s="834"/>
      <c r="K2" s="834"/>
      <c r="L2" s="834"/>
      <c r="M2" s="834"/>
      <c r="N2" s="834"/>
      <c r="O2" s="834"/>
      <c r="P2" s="834"/>
      <c r="Q2" s="834"/>
      <c r="R2" s="834"/>
      <c r="S2" s="834"/>
      <c r="T2" s="834"/>
      <c r="U2" s="834"/>
      <c r="V2" s="834"/>
      <c r="W2" s="834"/>
      <c r="X2" s="834"/>
      <c r="Y2" s="1090"/>
    </row>
    <row r="3" spans="1:26" ht="15" customHeight="1" x14ac:dyDescent="0.35">
      <c r="A3" s="834"/>
      <c r="B3" s="834"/>
      <c r="C3" s="834"/>
      <c r="D3" s="1091"/>
      <c r="E3" s="835"/>
      <c r="F3" s="835"/>
      <c r="G3" s="835"/>
      <c r="H3" s="835"/>
      <c r="I3" s="835"/>
      <c r="J3" s="835"/>
      <c r="K3" s="835"/>
      <c r="L3" s="835"/>
      <c r="M3" s="835"/>
      <c r="N3" s="835"/>
      <c r="O3" s="835"/>
      <c r="P3" s="835"/>
      <c r="Q3" s="835"/>
      <c r="R3" s="835"/>
      <c r="S3" s="835"/>
      <c r="T3" s="835"/>
      <c r="U3" s="835"/>
      <c r="V3" s="835"/>
      <c r="W3" s="835"/>
      <c r="X3" s="835"/>
      <c r="Y3" s="1092"/>
    </row>
    <row r="4" spans="1:26" x14ac:dyDescent="0.35">
      <c r="A4" s="834"/>
      <c r="B4" s="834"/>
      <c r="C4" s="834"/>
      <c r="D4" s="1075" t="s">
        <v>358</v>
      </c>
      <c r="E4" s="1076"/>
      <c r="F4" s="1076"/>
      <c r="G4" s="1076"/>
      <c r="H4" s="1076"/>
      <c r="I4" s="1076"/>
      <c r="J4" s="1076"/>
      <c r="K4" s="1076"/>
      <c r="L4" s="1076"/>
      <c r="M4" s="1077"/>
      <c r="P4" s="1081" t="s">
        <v>4066</v>
      </c>
      <c r="Q4" s="1082"/>
      <c r="R4" s="1082"/>
      <c r="S4" s="1082"/>
      <c r="T4" s="1082"/>
      <c r="U4" s="1082"/>
      <c r="V4" s="1082"/>
      <c r="W4" s="1082"/>
      <c r="X4" s="1082"/>
      <c r="Y4" s="1083"/>
    </row>
    <row r="5" spans="1:26" x14ac:dyDescent="0.35">
      <c r="A5" s="834"/>
      <c r="B5" s="834"/>
      <c r="C5" s="834"/>
      <c r="D5" s="1078"/>
      <c r="E5" s="1079"/>
      <c r="F5" s="1079"/>
      <c r="G5" s="1079"/>
      <c r="H5" s="1079"/>
      <c r="I5" s="1079"/>
      <c r="J5" s="1079"/>
      <c r="K5" s="1079"/>
      <c r="L5" s="1079"/>
      <c r="M5" s="1080"/>
      <c r="P5" s="1084"/>
      <c r="Q5" s="1085"/>
      <c r="R5" s="1085"/>
      <c r="S5" s="1085"/>
      <c r="T5" s="1085"/>
      <c r="U5" s="1085"/>
      <c r="V5" s="1085"/>
      <c r="W5" s="1085"/>
      <c r="X5" s="1085"/>
      <c r="Y5" s="1086"/>
    </row>
    <row r="6" spans="1:26" ht="18.5" x14ac:dyDescent="0.45">
      <c r="A6" s="11" t="s">
        <v>3951</v>
      </c>
      <c r="B6" s="11"/>
      <c r="C6" s="11"/>
      <c r="D6" s="11"/>
      <c r="E6" s="1048" t="s">
        <v>355</v>
      </c>
      <c r="F6" s="1049"/>
      <c r="G6" s="1049"/>
      <c r="H6" s="1050"/>
      <c r="I6" s="29" t="s">
        <v>357</v>
      </c>
      <c r="J6" s="1048" t="s">
        <v>356</v>
      </c>
      <c r="K6" s="1049"/>
      <c r="L6" s="1049"/>
      <c r="M6" s="1050"/>
      <c r="N6" t="s">
        <v>247</v>
      </c>
      <c r="O6" t="s">
        <v>247</v>
      </c>
      <c r="P6" s="11" t="s">
        <v>315</v>
      </c>
      <c r="Q6" s="11"/>
      <c r="R6" s="11"/>
      <c r="S6" s="11"/>
      <c r="T6" s="11"/>
      <c r="U6" s="11"/>
      <c r="V6" s="11"/>
      <c r="W6" s="11"/>
      <c r="X6" s="11"/>
      <c r="Y6" s="11"/>
    </row>
    <row r="7" spans="1:26" x14ac:dyDescent="0.35">
      <c r="N7" t="s">
        <v>233</v>
      </c>
      <c r="O7" t="s">
        <v>234</v>
      </c>
    </row>
    <row r="8" spans="1:26" x14ac:dyDescent="0.35">
      <c r="A8" s="771" t="s">
        <v>3838</v>
      </c>
      <c r="B8" s="771"/>
      <c r="C8" s="771"/>
      <c r="D8" s="771"/>
      <c r="E8" s="2"/>
      <c r="F8" s="2"/>
      <c r="G8" s="2"/>
      <c r="H8" s="2"/>
      <c r="J8" s="1074"/>
      <c r="K8" s="1074"/>
      <c r="O8" s="2" t="s">
        <v>4096</v>
      </c>
      <c r="P8" s="1028" t="str">
        <f>IF(LEN(J8)&gt;0,J8,"")</f>
        <v/>
      </c>
      <c r="Q8" s="1030"/>
      <c r="R8" s="717" t="s">
        <v>5810</v>
      </c>
    </row>
    <row r="10" spans="1:26" x14ac:dyDescent="0.35">
      <c r="A10" s="771" t="s">
        <v>124</v>
      </c>
      <c r="B10" s="771"/>
      <c r="C10" s="771"/>
      <c r="D10" s="771"/>
      <c r="E10" s="1051" t="str">
        <f>IF(LEN('Overview (Design)'!G10)=0,"",'Overview (Design)'!G10)</f>
        <v>ABC Builder</v>
      </c>
      <c r="F10" s="1052"/>
      <c r="G10" s="1052"/>
      <c r="H10" s="1053"/>
      <c r="I10" s="28"/>
      <c r="J10" s="784"/>
      <c r="K10" s="784"/>
      <c r="L10" s="784"/>
      <c r="M10" s="784"/>
      <c r="N10" s="2"/>
      <c r="O10" s="2" t="s">
        <v>325</v>
      </c>
      <c r="P10" s="1045" t="str">
        <f t="shared" ref="P10:P16" si="0">IF(LEN(IF(I10,E10,J10))=0,"",IF(I10,E10,J10))</f>
        <v/>
      </c>
      <c r="Q10" s="1045"/>
      <c r="R10" s="1045"/>
      <c r="S10" s="1045"/>
      <c r="U10" s="777" t="s">
        <v>3617</v>
      </c>
      <c r="V10" s="778"/>
      <c r="W10" s="379"/>
      <c r="X10" s="216"/>
      <c r="Y10" s="216"/>
    </row>
    <row r="11" spans="1:26" x14ac:dyDescent="0.35">
      <c r="A11" s="771" t="s">
        <v>125</v>
      </c>
      <c r="B11" s="771"/>
      <c r="C11" s="771"/>
      <c r="D11" s="771"/>
      <c r="E11" s="1051" t="str">
        <f>IF(LEN('Overview (Design)'!G11)=0,"",'Overview (Design)'!G11)</f>
        <v>123 Example Drive</v>
      </c>
      <c r="F11" s="1052"/>
      <c r="G11" s="1052"/>
      <c r="H11" s="1053"/>
      <c r="I11" s="28"/>
      <c r="J11" s="784"/>
      <c r="K11" s="784"/>
      <c r="L11" s="784"/>
      <c r="M11" s="784"/>
      <c r="N11" s="2"/>
      <c r="O11" s="2" t="s">
        <v>326</v>
      </c>
      <c r="P11" s="1045" t="str">
        <f t="shared" si="0"/>
        <v/>
      </c>
      <c r="Q11" s="1045" t="str">
        <f t="shared" ref="Q11:S15" si="1">IF(LEN(IF(J11,F11,K11))=0,"",IF(J11,F11,K11))</f>
        <v/>
      </c>
      <c r="R11" s="1045" t="str">
        <f t="shared" si="1"/>
        <v/>
      </c>
      <c r="S11" s="1045" t="str">
        <f t="shared" si="1"/>
        <v/>
      </c>
      <c r="U11" s="392" t="str">
        <f>W15</f>
        <v>!!</v>
      </c>
      <c r="V11" s="393" t="str">
        <f>X15</f>
        <v>!!</v>
      </c>
      <c r="W11" s="393" t="str">
        <f>Y15</f>
        <v>!!</v>
      </c>
      <c r="X11" s="393"/>
      <c r="Y11" s="394" t="str">
        <f>Z15</f>
        <v>!!</v>
      </c>
    </row>
    <row r="12" spans="1:26" x14ac:dyDescent="0.35">
      <c r="A12" s="771" t="s">
        <v>130</v>
      </c>
      <c r="B12" s="771"/>
      <c r="C12" s="771"/>
      <c r="D12" s="771"/>
      <c r="E12" s="1051" t="str">
        <f>IF(LEN('Overview (Design)'!G12)=0,"",'Overview (Design)'!G12)</f>
        <v>Lot 1A</v>
      </c>
      <c r="F12" s="1052"/>
      <c r="G12" s="1052"/>
      <c r="H12" s="1053"/>
      <c r="I12" s="28"/>
      <c r="J12" s="784"/>
      <c r="K12" s="784"/>
      <c r="L12" s="784"/>
      <c r="M12" s="784"/>
      <c r="N12" s="2"/>
      <c r="O12" s="2" t="s">
        <v>327</v>
      </c>
      <c r="P12" s="1045" t="str">
        <f t="shared" si="0"/>
        <v/>
      </c>
      <c r="Q12" s="1045" t="str">
        <f t="shared" si="1"/>
        <v/>
      </c>
      <c r="R12" s="1045" t="str">
        <f t="shared" si="1"/>
        <v/>
      </c>
      <c r="S12" s="1045" t="str">
        <f t="shared" si="1"/>
        <v/>
      </c>
    </row>
    <row r="13" spans="1:26" x14ac:dyDescent="0.35">
      <c r="A13" s="771" t="s">
        <v>126</v>
      </c>
      <c r="B13" s="771"/>
      <c r="C13" s="771"/>
      <c r="D13" s="771"/>
      <c r="E13" s="1051" t="str">
        <f>IF(LEN('Overview (Design)'!G13)=0,"",'Overview (Design)'!G13)</f>
        <v>Durham</v>
      </c>
      <c r="F13" s="1052"/>
      <c r="G13" s="1052"/>
      <c r="H13" s="1053"/>
      <c r="I13" s="28"/>
      <c r="J13" s="784"/>
      <c r="K13" s="784"/>
      <c r="L13" s="784"/>
      <c r="M13" s="784"/>
      <c r="N13" s="2"/>
      <c r="O13" s="2" t="s">
        <v>328</v>
      </c>
      <c r="P13" s="1045" t="str">
        <f t="shared" si="0"/>
        <v/>
      </c>
      <c r="Q13" s="1045" t="str">
        <f t="shared" si="1"/>
        <v/>
      </c>
      <c r="R13" s="1045" t="str">
        <f t="shared" si="1"/>
        <v/>
      </c>
      <c r="S13" s="1045" t="str">
        <f t="shared" si="1"/>
        <v/>
      </c>
      <c r="T13" s="717" t="s">
        <v>5810</v>
      </c>
    </row>
    <row r="14" spans="1:26" x14ac:dyDescent="0.35">
      <c r="A14" s="771" t="s">
        <v>128</v>
      </c>
      <c r="B14" s="771"/>
      <c r="C14" s="771"/>
      <c r="D14" s="771"/>
      <c r="E14" s="1051" t="str">
        <f>IF(LEN('Overview (Design)'!G14)=0,"",'Overview (Design)'!G14)</f>
        <v>North Carolina</v>
      </c>
      <c r="F14" s="1052"/>
      <c r="G14" s="1052"/>
      <c r="H14" s="1053"/>
      <c r="I14" s="28"/>
      <c r="J14" s="784"/>
      <c r="K14" s="784"/>
      <c r="L14" s="784"/>
      <c r="M14" s="784"/>
      <c r="N14" s="5" t="s">
        <v>175</v>
      </c>
      <c r="O14" s="2" t="s">
        <v>329</v>
      </c>
      <c r="P14" s="1046" t="str">
        <f t="shared" si="0"/>
        <v/>
      </c>
      <c r="Q14" s="1046" t="str">
        <f t="shared" si="1"/>
        <v/>
      </c>
      <c r="R14" s="1046" t="str">
        <f t="shared" si="1"/>
        <v/>
      </c>
      <c r="S14" s="1046" t="str">
        <f t="shared" si="1"/>
        <v/>
      </c>
      <c r="T14" s="723" t="s">
        <v>2</v>
      </c>
      <c r="U14" s="723" t="s">
        <v>4</v>
      </c>
      <c r="V14" s="360" t="str">
        <f>Geography!D1</f>
        <v>Radon</v>
      </c>
      <c r="W14" s="723" t="str">
        <f>Geography!E1</f>
        <v>Climate</v>
      </c>
      <c r="X14" s="721" t="str">
        <f>Geography!F1</f>
        <v>Moist</v>
      </c>
      <c r="Y14" s="721" t="str">
        <f>Geography!G1</f>
        <v>WarmHumid</v>
      </c>
      <c r="Z14" s="721" t="str">
        <f>Geography!H1</f>
        <v>Tropical</v>
      </c>
    </row>
    <row r="15" spans="1:26" x14ac:dyDescent="0.35">
      <c r="A15" s="771" t="s">
        <v>127</v>
      </c>
      <c r="B15" s="771"/>
      <c r="C15" s="771"/>
      <c r="D15" s="771"/>
      <c r="E15" s="1051" t="str">
        <f>IF(LEN('Overview (Design)'!G15)=0,"",'Overview (Design)'!G15)</f>
        <v xml:space="preserve">Chatham  </v>
      </c>
      <c r="F15" s="1052"/>
      <c r="G15" s="1052"/>
      <c r="H15" s="1053"/>
      <c r="I15" s="28"/>
      <c r="J15" s="784"/>
      <c r="K15" s="784"/>
      <c r="L15" s="784"/>
      <c r="M15" s="784"/>
      <c r="N15" s="5" t="s">
        <v>176</v>
      </c>
      <c r="O15" s="2" t="s">
        <v>330</v>
      </c>
      <c r="P15" s="1046" t="str">
        <f t="shared" si="0"/>
        <v/>
      </c>
      <c r="Q15" s="1046" t="str">
        <f t="shared" si="1"/>
        <v/>
      </c>
      <c r="R15" s="1046" t="str">
        <f t="shared" si="1"/>
        <v/>
      </c>
      <c r="S15" s="1046" t="str">
        <f t="shared" si="1"/>
        <v/>
      </c>
      <c r="T15" s="724" t="str">
        <f>P14</f>
        <v/>
      </c>
      <c r="U15" s="724" t="str">
        <f>P15</f>
        <v/>
      </c>
      <c r="V15" s="360" t="str">
        <f>IFERROR(DGET(dbState,V14,$T$14:$U$15),"!!")</f>
        <v>!!</v>
      </c>
      <c r="W15" s="723" t="str">
        <f>IFERROR(DGET(dbState,W14,$T$14:$U$15),"!!")</f>
        <v>!!</v>
      </c>
      <c r="X15" s="721" t="str">
        <f>IFERROR(DGET(dbState,X14,$T$14:$U$15),"!!")</f>
        <v>!!</v>
      </c>
      <c r="Y15" s="721" t="str">
        <f>IFERROR(DGET(dbState,Y14,$T$14:$U$15),"!!")</f>
        <v>!!</v>
      </c>
      <c r="Z15" s="721" t="str">
        <f>IFERROR(DGET(dbState,Z14,$T$14:$U$15),"!!")</f>
        <v>!!</v>
      </c>
    </row>
    <row r="16" spans="1:26" x14ac:dyDescent="0.35">
      <c r="A16" s="771" t="s">
        <v>129</v>
      </c>
      <c r="B16" s="771"/>
      <c r="C16" s="771"/>
      <c r="D16" s="771"/>
      <c r="E16" s="1051" t="str">
        <f>IF(LEN('Overview (Design)'!G16)=0,"",'Overview (Design)'!G16)</f>
        <v>27703</v>
      </c>
      <c r="F16" s="1052"/>
      <c r="G16" s="1052"/>
      <c r="H16" s="1053"/>
      <c r="I16" s="28"/>
      <c r="J16" s="443" t="s">
        <v>6107</v>
      </c>
      <c r="K16" s="2"/>
      <c r="L16" s="2"/>
      <c r="M16" s="2"/>
      <c r="N16" s="2"/>
      <c r="O16" s="2" t="s">
        <v>331</v>
      </c>
      <c r="P16" s="25" t="str">
        <f t="shared" si="0"/>
        <v/>
      </c>
      <c r="Q16" s="717" t="s">
        <v>5810</v>
      </c>
      <c r="R16" s="2"/>
      <c r="S16" s="2"/>
    </row>
    <row r="17" spans="1:25" x14ac:dyDescent="0.35">
      <c r="A17" s="771"/>
      <c r="B17" s="771"/>
      <c r="C17" s="771"/>
      <c r="D17" s="771"/>
      <c r="E17" s="2"/>
      <c r="F17" s="2"/>
      <c r="G17" s="2"/>
      <c r="H17" s="2"/>
      <c r="I17" s="6"/>
      <c r="J17" s="2"/>
      <c r="K17" s="2"/>
      <c r="L17" s="2"/>
      <c r="M17" s="2"/>
      <c r="N17" s="2"/>
      <c r="O17" s="2"/>
      <c r="P17" s="2"/>
      <c r="Q17" s="2"/>
      <c r="R17" s="2"/>
      <c r="S17" s="2"/>
    </row>
    <row r="18" spans="1:25" x14ac:dyDescent="0.35">
      <c r="A18" s="771" t="s">
        <v>360</v>
      </c>
      <c r="B18" s="771"/>
      <c r="C18" s="771"/>
      <c r="D18" s="771"/>
      <c r="E18" s="1051" t="str">
        <f>IF(LEN('Overview (Design)'!G18)=0,"",'Overview (Design)'!G18)</f>
        <v>Single-Family</v>
      </c>
      <c r="F18" s="1052"/>
      <c r="G18" s="1052"/>
      <c r="H18" s="1053"/>
      <c r="I18" s="28" t="b">
        <v>1</v>
      </c>
      <c r="J18" s="1055"/>
      <c r="K18" s="1055"/>
      <c r="L18" s="2"/>
      <c r="M18" s="2"/>
      <c r="N18" s="2" t="s">
        <v>177</v>
      </c>
      <c r="O18" s="2" t="s">
        <v>332</v>
      </c>
      <c r="P18" s="1056" t="str">
        <f>IF(LEN(IF(I18,E18,J18))=0,"",IF(I18,E18,J18))</f>
        <v>Single-Family</v>
      </c>
      <c r="Q18" s="1057" t="str">
        <f>IF(LEN(IF(J18,F18,K18))=0,"",IF(J18,F18,K18))</f>
        <v/>
      </c>
      <c r="R18" s="2"/>
      <c r="S18" s="2"/>
    </row>
    <row r="19" spans="1:25" x14ac:dyDescent="0.35">
      <c r="A19" s="1058" t="s">
        <v>156</v>
      </c>
      <c r="B19" s="1059"/>
      <c r="C19" s="1059"/>
      <c r="D19" s="1060"/>
      <c r="E19" s="1051" t="str">
        <f>IF(LEN('Overview (Design)'!G19)=0,"",'Overview (Design)'!G19)</f>
        <v/>
      </c>
      <c r="F19" s="1052"/>
      <c r="G19" s="1052"/>
      <c r="H19" s="1053"/>
      <c r="I19" s="28"/>
      <c r="J19" s="7"/>
      <c r="L19" s="2"/>
      <c r="M19" s="2"/>
      <c r="N19" s="2"/>
      <c r="O19" s="2" t="s">
        <v>333</v>
      </c>
      <c r="P19" s="25" t="str">
        <f>IF(LEN(IF(I19,E19,J19))=0,"",IF(I19,E19,J19))</f>
        <v/>
      </c>
      <c r="Q19" s="2"/>
      <c r="R19" s="2"/>
      <c r="S19" s="2"/>
    </row>
    <row r="20" spans="1:25" ht="15" customHeight="1" x14ac:dyDescent="0.35">
      <c r="A20" s="795" t="s">
        <v>4836</v>
      </c>
      <c r="B20" s="796"/>
      <c r="C20" s="796"/>
      <c r="D20" s="796"/>
      <c r="E20" s="1051" t="str">
        <f>IF(LEN('Overview (Design)'!G20)=0,"",'Overview (Design)'!G20)</f>
        <v/>
      </c>
      <c r="F20" s="1052"/>
      <c r="G20" s="1052"/>
      <c r="H20" s="1053"/>
      <c r="I20" s="28"/>
      <c r="J20" s="7"/>
      <c r="N20" t="s">
        <v>4838</v>
      </c>
      <c r="O20" s="2" t="s">
        <v>4839</v>
      </c>
      <c r="P20" s="25" t="str">
        <f>IF(LEN(IF(I20,E20,J20))=0,"",IF(I20,E20,J20))</f>
        <v/>
      </c>
    </row>
    <row r="21" spans="1:25" x14ac:dyDescent="0.35">
      <c r="A21" s="796"/>
      <c r="B21" s="796"/>
      <c r="C21" s="796"/>
      <c r="D21" s="796"/>
    </row>
    <row r="22" spans="1:25" x14ac:dyDescent="0.35">
      <c r="A22" s="796"/>
      <c r="B22" s="796"/>
      <c r="C22" s="796"/>
      <c r="D22" s="796"/>
    </row>
    <row r="23" spans="1:25" x14ac:dyDescent="0.35">
      <c r="A23" s="1058" t="s">
        <v>157</v>
      </c>
      <c r="B23" s="1059"/>
      <c r="C23" s="1059"/>
      <c r="D23" s="1060"/>
      <c r="E23" s="1051" t="str">
        <f>IF(LEN('Overview (Design)'!G23)=0,"",'Overview (Design)'!G23)</f>
        <v/>
      </c>
      <c r="F23" s="1052"/>
      <c r="G23" s="1052"/>
      <c r="H23" s="1053"/>
      <c r="I23" s="28"/>
      <c r="J23" s="784"/>
      <c r="K23" s="784"/>
      <c r="L23" s="784"/>
      <c r="M23" s="784"/>
      <c r="N23" s="2"/>
      <c r="O23" s="2" t="s">
        <v>334</v>
      </c>
      <c r="P23" s="1045" t="str">
        <f>IF(LEN(IF(I23,E23,J23))=0,"",IF(I23,E23,J23))</f>
        <v/>
      </c>
      <c r="Q23" s="1045" t="str">
        <f>IF(LEN(IF(J23,F23,K23))=0,"",IF(J23,F23,K23))</f>
        <v/>
      </c>
      <c r="R23" s="1045" t="str">
        <f>IF(LEN(IF(K23,G23,L23))=0,"",IF(K23,G23,L23))</f>
        <v/>
      </c>
      <c r="S23" s="1045" t="str">
        <f>IF(LEN(IF(L23,H23,M23))=0,"",IF(L23,H23,M23))</f>
        <v/>
      </c>
    </row>
    <row r="24" spans="1:25" x14ac:dyDescent="0.35">
      <c r="A24" s="810"/>
      <c r="B24" s="810"/>
      <c r="C24" s="810"/>
      <c r="D24" s="810"/>
      <c r="E24" s="2"/>
      <c r="F24" s="2"/>
      <c r="G24" s="2"/>
      <c r="H24" s="2"/>
      <c r="N24" s="2"/>
      <c r="O24" s="2"/>
    </row>
    <row r="25" spans="1:25" ht="15" customHeight="1" x14ac:dyDescent="0.35">
      <c r="A25" s="771" t="s">
        <v>131</v>
      </c>
      <c r="B25" s="771"/>
      <c r="C25" s="771"/>
      <c r="D25" s="771"/>
      <c r="E25" s="1051">
        <f>IF(LEN('Overview (Design)'!G25)=0,"",'Overview (Design)'!G25)</f>
        <v>2644</v>
      </c>
      <c r="F25" s="1052"/>
      <c r="G25" s="1052"/>
      <c r="H25" s="1053"/>
      <c r="I25" s="28"/>
      <c r="J25" s="7"/>
      <c r="K25" s="3" t="s">
        <v>146</v>
      </c>
      <c r="L25" s="6"/>
      <c r="M25" s="6"/>
      <c r="N25" s="2"/>
      <c r="O25" s="2" t="s">
        <v>335</v>
      </c>
      <c r="P25" s="26" t="str">
        <f>IF(LEN(IF(I25,E25,J25))=0,"",IF(I25,E25,J25))</f>
        <v/>
      </c>
      <c r="Q25" s="3" t="s">
        <v>146</v>
      </c>
      <c r="R25" s="1067" t="s">
        <v>361</v>
      </c>
      <c r="S25" s="1067"/>
      <c r="T25" s="1067"/>
      <c r="U25" s="1067"/>
      <c r="V25" s="1067"/>
      <c r="W25" s="1067"/>
      <c r="X25" s="2"/>
      <c r="Y25" s="2"/>
    </row>
    <row r="26" spans="1:25" x14ac:dyDescent="0.35">
      <c r="A26" s="771" t="s">
        <v>132</v>
      </c>
      <c r="B26" s="771"/>
      <c r="C26" s="771"/>
      <c r="D26" s="771"/>
      <c r="E26" s="1051">
        <f>IF(LEN('Overview (Design)'!G26)=0,"",'Overview (Design)'!G26)</f>
        <v>2644</v>
      </c>
      <c r="F26" s="1052"/>
      <c r="G26" s="1052"/>
      <c r="H26" s="1053"/>
      <c r="I26" s="28"/>
      <c r="J26" s="7"/>
      <c r="K26" s="3" t="s">
        <v>147</v>
      </c>
      <c r="L26" s="6"/>
      <c r="M26" s="6"/>
      <c r="N26" s="2"/>
      <c r="O26" s="2" t="s">
        <v>336</v>
      </c>
      <c r="P26" s="25" t="str">
        <f>IF(LEN(IF(I26,E26,J26))=0,"",IF(I26,E26,J26))</f>
        <v/>
      </c>
      <c r="Q26" s="3" t="s">
        <v>147</v>
      </c>
      <c r="R26" s="1067"/>
      <c r="S26" s="1067"/>
      <c r="T26" s="1067"/>
      <c r="U26" s="1067"/>
      <c r="V26" s="1067"/>
      <c r="W26" s="1067"/>
    </row>
    <row r="27" spans="1:25" x14ac:dyDescent="0.35">
      <c r="A27" s="771" t="s">
        <v>3519</v>
      </c>
      <c r="B27" s="771"/>
      <c r="C27" s="771"/>
      <c r="D27" s="771"/>
      <c r="E27" s="1051">
        <f>IF(LEN('Overview (Design)'!G27)=0,"",'Overview (Design)'!G27)</f>
        <v>2</v>
      </c>
      <c r="F27" s="1052"/>
      <c r="G27" s="1052"/>
      <c r="H27" s="1053"/>
      <c r="I27" s="28"/>
      <c r="J27" s="7"/>
      <c r="K27" s="3"/>
      <c r="L27" s="6"/>
      <c r="M27" s="6"/>
      <c r="N27" s="2"/>
      <c r="O27" s="2" t="s">
        <v>3809</v>
      </c>
      <c r="P27" s="25" t="str">
        <f>IF(LEN(IF(I27,E27,J27))=0,"",IF(I27,E27,J27))</f>
        <v/>
      </c>
      <c r="Q27" s="3"/>
      <c r="R27" s="174"/>
      <c r="S27" s="174"/>
      <c r="T27" s="174"/>
      <c r="U27" s="174"/>
      <c r="V27" s="174"/>
      <c r="W27" s="174"/>
    </row>
    <row r="28" spans="1:25" x14ac:dyDescent="0.35">
      <c r="A28" s="771" t="s">
        <v>5660</v>
      </c>
      <c r="B28" s="771"/>
      <c r="C28" s="771"/>
      <c r="D28" s="1044"/>
      <c r="E28" s="1051" t="str">
        <f>IF(LEN('Overview (Design)'!G28)=0,"",'Overview (Design)'!G28)</f>
        <v/>
      </c>
      <c r="F28" s="1052"/>
      <c r="G28" s="1052"/>
      <c r="H28" s="1053"/>
      <c r="I28" s="28"/>
      <c r="J28" s="7"/>
      <c r="K28" s="3" t="s">
        <v>5662</v>
      </c>
      <c r="L28" s="6"/>
      <c r="M28" s="6"/>
      <c r="N28" s="2"/>
      <c r="O28" s="2" t="s">
        <v>5663</v>
      </c>
      <c r="P28" s="25" t="str">
        <f>IF(LEN(IF(I28,E28,J28))=0,"",IF(I28,E28,J28))</f>
        <v/>
      </c>
      <c r="Q28" s="3" t="s">
        <v>5662</v>
      </c>
      <c r="R28" s="174"/>
      <c r="S28" s="174"/>
      <c r="T28" s="174"/>
      <c r="U28" s="174"/>
      <c r="V28" s="174"/>
      <c r="W28" s="174"/>
    </row>
    <row r="29" spans="1:25" x14ac:dyDescent="0.35">
      <c r="A29" s="809"/>
      <c r="B29" s="809"/>
      <c r="C29" s="809"/>
      <c r="D29" s="809"/>
      <c r="E29" s="2"/>
      <c r="F29" s="2"/>
      <c r="G29" s="2"/>
      <c r="H29" s="2"/>
      <c r="N29" s="2"/>
      <c r="O29" s="2"/>
    </row>
    <row r="30" spans="1:25" x14ac:dyDescent="0.35">
      <c r="A30" s="771" t="s">
        <v>133</v>
      </c>
      <c r="B30" s="771"/>
      <c r="C30" s="771"/>
      <c r="D30" s="771"/>
      <c r="E30" s="1068" t="str">
        <f>IF(LEN('Overview (Design)'!G30)=0,"",'Overview (Design)'!G30)</f>
        <v/>
      </c>
      <c r="F30" s="1069"/>
      <c r="G30" s="1069"/>
      <c r="H30" s="1070"/>
      <c r="I30" s="28"/>
      <c r="J30" s="1054"/>
      <c r="K30" s="1054"/>
      <c r="L30" s="1054"/>
      <c r="M30" s="1054"/>
      <c r="N30" s="2"/>
      <c r="O30" s="2" t="s">
        <v>337</v>
      </c>
      <c r="P30" s="1061" t="str">
        <f t="shared" ref="P30:P52" si="2">IF(LEN(IF(I30,E30,J30))=0,"",IF(I30,E30,J30))</f>
        <v/>
      </c>
      <c r="Q30" s="1062" t="str">
        <f t="shared" ref="Q30:S31" si="3">IF(LEN(IF(J30,F30,K30))=0,"",IF(J30,F30,K30))</f>
        <v/>
      </c>
      <c r="R30" s="1062" t="str">
        <f t="shared" si="3"/>
        <v/>
      </c>
      <c r="S30" s="1063" t="str">
        <f t="shared" si="3"/>
        <v/>
      </c>
    </row>
    <row r="31" spans="1:25" x14ac:dyDescent="0.35">
      <c r="A31" s="379"/>
      <c r="B31" s="379"/>
      <c r="C31" s="379"/>
      <c r="D31" s="379"/>
      <c r="E31" s="1071"/>
      <c r="F31" s="1072"/>
      <c r="G31" s="1072"/>
      <c r="H31" s="1073"/>
      <c r="J31" s="1054"/>
      <c r="K31" s="1054"/>
      <c r="L31" s="1054"/>
      <c r="M31" s="1054"/>
      <c r="N31" s="2"/>
      <c r="O31" s="2"/>
      <c r="P31" s="1064" t="str">
        <f t="shared" si="2"/>
        <v/>
      </c>
      <c r="Q31" s="1065" t="str">
        <f t="shared" si="3"/>
        <v/>
      </c>
      <c r="R31" s="1065" t="str">
        <f t="shared" si="3"/>
        <v/>
      </c>
      <c r="S31" s="1066" t="str">
        <f t="shared" si="3"/>
        <v/>
      </c>
    </row>
    <row r="32" spans="1:25" x14ac:dyDescent="0.35">
      <c r="A32" s="771" t="s">
        <v>134</v>
      </c>
      <c r="B32" s="771"/>
      <c r="C32" s="771"/>
      <c r="D32" s="1044"/>
      <c r="E32" s="1051" t="str">
        <f>IF(LEN('Overview (Design)'!G32)=0,"",'Overview (Design)'!G32)</f>
        <v>Conditioned crawlspace</v>
      </c>
      <c r="F32" s="1052"/>
      <c r="G32" s="1052"/>
      <c r="H32" s="1053"/>
      <c r="I32" s="28"/>
      <c r="J32" s="784"/>
      <c r="K32" s="784"/>
      <c r="L32" s="784"/>
      <c r="M32" s="784"/>
      <c r="N32" s="2" t="s">
        <v>178</v>
      </c>
      <c r="O32" s="2" t="s">
        <v>338</v>
      </c>
      <c r="P32" s="1046" t="str">
        <f t="shared" si="2"/>
        <v/>
      </c>
      <c r="Q32" s="1046" t="str">
        <f>IF(LEN(IF(J32,F32,K32))=0,"",IF(J32,F32,K32))</f>
        <v/>
      </c>
      <c r="R32" s="1046" t="str">
        <f>IF(LEN(IF(K32,G32,L32))=0,"",IF(K32,G32,L32))</f>
        <v/>
      </c>
      <c r="S32" s="1046" t="str">
        <f>IF(LEN(IF(L32,H32,M32))=0,"",IF(L32,H32,M32))</f>
        <v/>
      </c>
    </row>
    <row r="33" spans="1:25" x14ac:dyDescent="0.35">
      <c r="A33" s="216"/>
      <c r="B33" s="216"/>
      <c r="C33" s="216"/>
      <c r="D33" s="216"/>
      <c r="E33" s="287"/>
      <c r="F33" s="288"/>
      <c r="G33" s="288"/>
      <c r="H33" s="289"/>
      <c r="T33" s="1043" t="s">
        <v>366</v>
      </c>
      <c r="U33" s="1043"/>
      <c r="V33" s="1043"/>
      <c r="W33" s="1043"/>
      <c r="X33" s="1043"/>
      <c r="Y33" s="1043"/>
    </row>
    <row r="34" spans="1:25" x14ac:dyDescent="0.35">
      <c r="A34" s="771" t="s">
        <v>3385</v>
      </c>
      <c r="B34" s="771"/>
      <c r="C34" s="771"/>
      <c r="D34" s="1044"/>
      <c r="E34" s="1051" t="str">
        <f>IF(LEN('Overview (Design)'!G34)=0,"",'Overview (Design)'!G34)</f>
        <v>Furnace</v>
      </c>
      <c r="F34" s="1052"/>
      <c r="G34" s="1052"/>
      <c r="H34" s="1053"/>
      <c r="I34" s="28"/>
      <c r="J34" s="784"/>
      <c r="K34" s="784"/>
      <c r="L34" s="784"/>
      <c r="N34" s="2" t="s">
        <v>3389</v>
      </c>
      <c r="O34" s="2" t="s">
        <v>339</v>
      </c>
      <c r="P34" s="1046" t="str">
        <f t="shared" si="2"/>
        <v/>
      </c>
      <c r="Q34" s="1046" t="str">
        <f t="shared" ref="Q34:R36" si="4">IF(LEN(IF(J34,F34,K34))=0,"",IF(J34,F34,K34))</f>
        <v/>
      </c>
      <c r="R34" s="1046" t="str">
        <f t="shared" si="4"/>
        <v/>
      </c>
      <c r="T34" s="1047"/>
      <c r="U34" s="1047"/>
      <c r="V34" s="1047"/>
      <c r="W34" s="1047"/>
      <c r="X34" s="1047"/>
      <c r="Y34" s="1047"/>
    </row>
    <row r="35" spans="1:25" x14ac:dyDescent="0.35">
      <c r="A35" s="771" t="s">
        <v>3392</v>
      </c>
      <c r="B35" s="771"/>
      <c r="C35" s="771"/>
      <c r="D35" s="1044"/>
      <c r="E35" s="1051" t="str">
        <f>IF(LEN('Overview (Design)'!G35)=0,"",'Overview (Design)'!G35)</f>
        <v/>
      </c>
      <c r="F35" s="1052"/>
      <c r="G35" s="1052"/>
      <c r="H35" s="1053"/>
      <c r="I35" s="28"/>
      <c r="J35" s="784"/>
      <c r="K35" s="784"/>
      <c r="L35" s="784"/>
      <c r="N35" s="2" t="s">
        <v>3390</v>
      </c>
      <c r="O35" s="2" t="s">
        <v>340</v>
      </c>
      <c r="P35" s="1045" t="str">
        <f t="shared" si="2"/>
        <v/>
      </c>
      <c r="Q35" s="1045" t="str">
        <f t="shared" si="4"/>
        <v/>
      </c>
      <c r="R35" s="1045" t="str">
        <f t="shared" si="4"/>
        <v/>
      </c>
      <c r="T35" s="1047"/>
      <c r="U35" s="1047"/>
      <c r="V35" s="1047"/>
      <c r="W35" s="1047"/>
      <c r="X35" s="1047"/>
      <c r="Y35" s="1047"/>
    </row>
    <row r="36" spans="1:25" x14ac:dyDescent="0.35">
      <c r="A36" s="771" t="s">
        <v>3393</v>
      </c>
      <c r="B36" s="771"/>
      <c r="C36" s="771"/>
      <c r="D36" s="1044"/>
      <c r="E36" s="1051" t="str">
        <f>IF(LEN('Overview (Design)'!G36)=0,"",'Overview (Design)'!G36)</f>
        <v/>
      </c>
      <c r="F36" s="1052"/>
      <c r="G36" s="1052"/>
      <c r="H36" s="1053"/>
      <c r="I36" s="28"/>
      <c r="J36" s="784"/>
      <c r="K36" s="784"/>
      <c r="L36" s="784"/>
      <c r="N36" s="2" t="s">
        <v>3391</v>
      </c>
      <c r="O36" s="2" t="s">
        <v>341</v>
      </c>
      <c r="P36" s="1045" t="str">
        <f t="shared" si="2"/>
        <v/>
      </c>
      <c r="Q36" s="1045" t="str">
        <f t="shared" si="4"/>
        <v/>
      </c>
      <c r="R36" s="1045" t="str">
        <f t="shared" si="4"/>
        <v/>
      </c>
      <c r="T36" s="1047"/>
      <c r="U36" s="1047"/>
      <c r="V36" s="1047"/>
      <c r="W36" s="1047"/>
      <c r="X36" s="1047"/>
      <c r="Y36" s="1047"/>
    </row>
    <row r="37" spans="1:25" x14ac:dyDescent="0.35">
      <c r="A37" s="771" t="s">
        <v>4111</v>
      </c>
      <c r="B37" s="771"/>
      <c r="C37" s="771"/>
      <c r="D37" s="771"/>
      <c r="E37" s="1051" t="str">
        <f>IF(LEN('Overview (Design)'!G37)=0,"",'Overview (Design)'!G37)</f>
        <v/>
      </c>
      <c r="F37" s="1052"/>
      <c r="G37" s="1052"/>
      <c r="H37" s="1053"/>
      <c r="I37" s="28"/>
      <c r="J37" s="784"/>
      <c r="K37" s="784"/>
      <c r="L37" s="784"/>
      <c r="N37" s="2" t="s">
        <v>179</v>
      </c>
      <c r="O37" s="2" t="s">
        <v>342</v>
      </c>
      <c r="P37" s="1045" t="str">
        <f t="shared" si="2"/>
        <v/>
      </c>
      <c r="Q37" s="1045" t="str">
        <f t="shared" ref="Q37:Q42" si="5">IF(LEN(IF(J37,F37,K37))=0,"",IF(J37,F37,K37))</f>
        <v/>
      </c>
      <c r="T37" s="1047"/>
      <c r="U37" s="1047"/>
      <c r="V37" s="1047"/>
      <c r="W37" s="1047"/>
      <c r="X37" s="1047"/>
      <c r="Y37" s="1047"/>
    </row>
    <row r="38" spans="1:25" x14ac:dyDescent="0.35">
      <c r="A38" s="771" t="s">
        <v>3403</v>
      </c>
      <c r="B38" s="771"/>
      <c r="C38" s="771"/>
      <c r="D38" s="1044"/>
      <c r="E38" s="1051" t="str">
        <f>IF(LEN('Overview (Design)'!G38)=0,"",'Overview (Design)'!G38)</f>
        <v>Ducted</v>
      </c>
      <c r="F38" s="1052"/>
      <c r="G38" s="1052"/>
      <c r="H38" s="1053"/>
      <c r="I38" s="28"/>
      <c r="J38" s="784"/>
      <c r="K38" s="784"/>
      <c r="L38" s="784"/>
      <c r="N38" s="2" t="s">
        <v>3404</v>
      </c>
      <c r="O38" s="2" t="s">
        <v>3810</v>
      </c>
      <c r="P38" s="1045" t="str">
        <f t="shared" ref="P38:P47" si="6">IF(LEN(IF(I38,E38,J38))=0,"",IF(I38,E38,J38))</f>
        <v/>
      </c>
      <c r="Q38" s="1045" t="str">
        <f t="shared" si="5"/>
        <v/>
      </c>
    </row>
    <row r="39" spans="1:25" x14ac:dyDescent="0.35">
      <c r="A39" s="771" t="s">
        <v>3394</v>
      </c>
      <c r="B39" s="771"/>
      <c r="C39" s="771"/>
      <c r="D39" s="1044"/>
      <c r="E39" s="1051" t="str">
        <f>IF(LEN('Overview (Design)'!G39)=0,"",'Overview (Design)'!G39)</f>
        <v>Electric Air Conditiner</v>
      </c>
      <c r="F39" s="1052"/>
      <c r="G39" s="1052"/>
      <c r="H39" s="1053"/>
      <c r="I39" s="28"/>
      <c r="J39" s="784"/>
      <c r="K39" s="784"/>
      <c r="L39" s="784"/>
      <c r="N39" s="2" t="s">
        <v>3397</v>
      </c>
      <c r="O39" s="2" t="s">
        <v>3811</v>
      </c>
      <c r="P39" s="1045" t="str">
        <f t="shared" si="6"/>
        <v/>
      </c>
      <c r="Q39" s="1045" t="str">
        <f t="shared" si="5"/>
        <v/>
      </c>
      <c r="T39" s="1047"/>
      <c r="U39" s="1047"/>
      <c r="V39" s="1047"/>
      <c r="W39" s="1047"/>
      <c r="X39" s="1047"/>
      <c r="Y39" s="1047"/>
    </row>
    <row r="40" spans="1:25" x14ac:dyDescent="0.35">
      <c r="A40" s="771" t="s">
        <v>3395</v>
      </c>
      <c r="B40" s="771"/>
      <c r="C40" s="771"/>
      <c r="D40" s="1044"/>
      <c r="E40" s="1051" t="str">
        <f>IF(LEN('Overview (Design)'!G40)=0,"",'Overview (Design)'!G40)</f>
        <v/>
      </c>
      <c r="F40" s="1052"/>
      <c r="G40" s="1052"/>
      <c r="H40" s="1053"/>
      <c r="I40" s="28"/>
      <c r="J40" s="784"/>
      <c r="K40" s="784"/>
      <c r="L40" s="784"/>
      <c r="N40" s="2" t="s">
        <v>3399</v>
      </c>
      <c r="O40" s="2" t="s">
        <v>3812</v>
      </c>
      <c r="P40" s="1045" t="str">
        <f t="shared" si="6"/>
        <v/>
      </c>
      <c r="Q40" s="1045" t="str">
        <f t="shared" si="5"/>
        <v/>
      </c>
      <c r="T40" s="1047"/>
      <c r="U40" s="1047"/>
      <c r="V40" s="1047"/>
      <c r="W40" s="1047"/>
      <c r="X40" s="1047"/>
      <c r="Y40" s="1047"/>
    </row>
    <row r="41" spans="1:25" x14ac:dyDescent="0.35">
      <c r="A41" s="771" t="s">
        <v>3396</v>
      </c>
      <c r="B41" s="771"/>
      <c r="C41" s="771"/>
      <c r="D41" s="1044"/>
      <c r="E41" s="1051" t="str">
        <f>IF(LEN('Overview (Design)'!G41)=0,"",'Overview (Design)'!G41)</f>
        <v/>
      </c>
      <c r="F41" s="1052"/>
      <c r="G41" s="1052"/>
      <c r="H41" s="1053"/>
      <c r="I41" s="28"/>
      <c r="J41" s="784"/>
      <c r="K41" s="784"/>
      <c r="L41" s="784"/>
      <c r="N41" s="2" t="s">
        <v>3401</v>
      </c>
      <c r="O41" s="2" t="s">
        <v>3813</v>
      </c>
      <c r="P41" s="1045" t="str">
        <f t="shared" si="6"/>
        <v/>
      </c>
      <c r="Q41" s="1045" t="str">
        <f t="shared" si="5"/>
        <v/>
      </c>
      <c r="T41" s="1047"/>
      <c r="U41" s="1047"/>
      <c r="V41" s="1047"/>
      <c r="W41" s="1047"/>
      <c r="X41" s="1047"/>
      <c r="Y41" s="1047"/>
    </row>
    <row r="42" spans="1:25" x14ac:dyDescent="0.35">
      <c r="A42" s="771" t="s">
        <v>3406</v>
      </c>
      <c r="B42" s="771"/>
      <c r="C42" s="771"/>
      <c r="D42" s="1044"/>
      <c r="E42" s="1051" t="str">
        <f>IF(LEN('Overview (Design)'!G42)=0,"",'Overview (Design)'!G42)</f>
        <v>Ducted</v>
      </c>
      <c r="F42" s="1052"/>
      <c r="G42" s="1052"/>
      <c r="H42" s="1053"/>
      <c r="I42" s="28"/>
      <c r="J42" s="784"/>
      <c r="K42" s="784"/>
      <c r="N42" s="2" t="s">
        <v>3407</v>
      </c>
      <c r="O42" s="2" t="s">
        <v>3814</v>
      </c>
      <c r="P42" s="1045" t="str">
        <f t="shared" si="6"/>
        <v/>
      </c>
      <c r="Q42" s="1045" t="str">
        <f t="shared" si="5"/>
        <v/>
      </c>
    </row>
    <row r="43" spans="1:25" x14ac:dyDescent="0.35">
      <c r="A43" s="216"/>
      <c r="B43" s="216"/>
      <c r="C43" s="216"/>
      <c r="D43" s="216"/>
    </row>
    <row r="44" spans="1:25" x14ac:dyDescent="0.35">
      <c r="A44" s="771" t="s">
        <v>3524</v>
      </c>
      <c r="B44" s="771"/>
      <c r="C44" s="771"/>
      <c r="D44" s="1044"/>
      <c r="E44" s="1051">
        <f>IF(LEN('Overview (Design)'!G44)=0,"",'Overview (Design)'!G44)</f>
        <v>0.22</v>
      </c>
      <c r="F44" s="1052"/>
      <c r="G44" s="1052"/>
      <c r="H44" s="1053"/>
      <c r="I44" s="28"/>
      <c r="J44" s="7"/>
      <c r="O44" s="2" t="s">
        <v>3815</v>
      </c>
      <c r="P44" s="25" t="str">
        <f t="shared" si="6"/>
        <v/>
      </c>
    </row>
    <row r="45" spans="1:25" x14ac:dyDescent="0.35">
      <c r="A45" s="771" t="s">
        <v>3520</v>
      </c>
      <c r="B45" s="771"/>
      <c r="C45" s="771"/>
      <c r="D45" s="1044"/>
      <c r="E45" s="1051" t="str">
        <f>IF(LEN('Overview (Design)'!G45)=0,"",'Overview (Design)'!G45)</f>
        <v/>
      </c>
      <c r="F45" s="1052"/>
      <c r="G45" s="1052"/>
      <c r="H45" s="1053"/>
      <c r="I45" s="28"/>
      <c r="J45" s="7"/>
      <c r="O45" s="2" t="s">
        <v>3816</v>
      </c>
      <c r="P45" s="25" t="str">
        <f t="shared" si="6"/>
        <v/>
      </c>
    </row>
    <row r="46" spans="1:25" x14ac:dyDescent="0.35">
      <c r="A46" s="771" t="s">
        <v>3525</v>
      </c>
      <c r="B46" s="771"/>
      <c r="C46" s="771"/>
      <c r="D46" s="1044"/>
      <c r="E46" s="1051">
        <f>IF(LEN('Overview (Design)'!G46)=0,"",'Overview (Design)'!G46)</f>
        <v>0.32</v>
      </c>
      <c r="F46" s="1052"/>
      <c r="G46" s="1052"/>
      <c r="H46" s="1053"/>
      <c r="I46" s="28"/>
      <c r="J46" s="7"/>
      <c r="O46" s="2" t="s">
        <v>3817</v>
      </c>
      <c r="P46" s="25" t="str">
        <f t="shared" si="6"/>
        <v/>
      </c>
    </row>
    <row r="47" spans="1:25" x14ac:dyDescent="0.35">
      <c r="A47" s="771" t="s">
        <v>3521</v>
      </c>
      <c r="B47" s="771"/>
      <c r="C47" s="771"/>
      <c r="D47" s="1044"/>
      <c r="E47" s="1051" t="str">
        <f>IF(LEN('Overview (Design)'!G47)=0,"",'Overview (Design)'!G47)</f>
        <v/>
      </c>
      <c r="F47" s="1052"/>
      <c r="G47" s="1052"/>
      <c r="H47" s="1053"/>
      <c r="I47" s="28"/>
      <c r="J47" s="7"/>
      <c r="O47" s="2" t="s">
        <v>3818</v>
      </c>
      <c r="P47" s="25" t="str">
        <f t="shared" si="6"/>
        <v/>
      </c>
      <c r="T47" s="1043" t="s">
        <v>366</v>
      </c>
      <c r="U47" s="1043"/>
      <c r="V47" s="1043"/>
      <c r="W47" s="1043"/>
      <c r="X47" s="1043"/>
      <c r="Y47" s="1043"/>
    </row>
    <row r="48" spans="1:25" x14ac:dyDescent="0.35">
      <c r="A48" s="771" t="s">
        <v>135</v>
      </c>
      <c r="B48" s="771"/>
      <c r="C48" s="771"/>
      <c r="D48" s="771"/>
      <c r="E48" s="1051" t="str">
        <f>IF(LEN('Overview (Design)'!G48)=0,"",'Overview (Design)'!G48)</f>
        <v/>
      </c>
      <c r="F48" s="1052"/>
      <c r="G48" s="1052"/>
      <c r="H48" s="1053"/>
      <c r="I48" s="28"/>
      <c r="J48" s="784"/>
      <c r="K48" s="784"/>
      <c r="N48" s="2" t="s">
        <v>180</v>
      </c>
      <c r="O48" s="2" t="s">
        <v>343</v>
      </c>
      <c r="P48" s="1045" t="str">
        <f t="shared" si="2"/>
        <v/>
      </c>
      <c r="Q48" s="1045" t="str">
        <f>IF(LEN(IF(J48,F48,K48))=0,"",IF(J48,F48,K48))</f>
        <v/>
      </c>
      <c r="T48" s="1047"/>
      <c r="U48" s="1047"/>
      <c r="V48" s="1047"/>
      <c r="W48" s="1047"/>
      <c r="X48" s="1047"/>
      <c r="Y48" s="1047"/>
    </row>
    <row r="49" spans="1:25" x14ac:dyDescent="0.35">
      <c r="A49" s="771" t="s">
        <v>136</v>
      </c>
      <c r="B49" s="771"/>
      <c r="C49" s="771"/>
      <c r="D49" s="771"/>
      <c r="E49" s="1051" t="str">
        <f>IF(LEN('Overview (Design)'!G49)=0,"",'Overview (Design)'!G49)</f>
        <v/>
      </c>
      <c r="F49" s="1052"/>
      <c r="G49" s="1052"/>
      <c r="H49" s="1053"/>
      <c r="I49" s="28"/>
      <c r="J49" s="784"/>
      <c r="K49" s="784"/>
      <c r="L49" s="784"/>
      <c r="N49" s="2" t="s">
        <v>181</v>
      </c>
      <c r="O49" s="2" t="s">
        <v>344</v>
      </c>
      <c r="P49" s="1045" t="str">
        <f t="shared" si="2"/>
        <v/>
      </c>
      <c r="Q49" s="1045" t="str">
        <f>IF(LEN(IF(J49,F49,K49))=0,"",IF(J49,F49,K49))</f>
        <v/>
      </c>
      <c r="R49" s="1045" t="str">
        <f>IF(LEN(IF(K49,G49,L49))=0,"",IF(K49,G49,L49))</f>
        <v/>
      </c>
      <c r="T49" s="1047"/>
      <c r="U49" s="1047"/>
      <c r="V49" s="1047"/>
      <c r="W49" s="1047"/>
      <c r="X49" s="1047"/>
      <c r="Y49" s="1047"/>
    </row>
    <row r="50" spans="1:25" x14ac:dyDescent="0.35">
      <c r="A50" s="771" t="s">
        <v>137</v>
      </c>
      <c r="B50" s="771"/>
      <c r="C50" s="771"/>
      <c r="D50" s="771"/>
      <c r="E50" s="1051" t="str">
        <f>IF(LEN('Overview (Design)'!G50)=0,"",'Overview (Design)'!G50)</f>
        <v>Vented</v>
      </c>
      <c r="F50" s="1052"/>
      <c r="G50" s="1052"/>
      <c r="H50" s="1053"/>
      <c r="I50" s="28"/>
      <c r="J50" s="784"/>
      <c r="K50" s="784"/>
      <c r="N50" s="2" t="s">
        <v>182</v>
      </c>
      <c r="O50" s="2" t="s">
        <v>345</v>
      </c>
      <c r="P50" s="1046" t="str">
        <f t="shared" si="2"/>
        <v/>
      </c>
      <c r="Q50" s="1046" t="str">
        <f>IF(LEN(IF(J50,F50,K50))=0,"",IF(J50,F50,K50))</f>
        <v/>
      </c>
    </row>
    <row r="51" spans="1:25" x14ac:dyDescent="0.35">
      <c r="A51" s="771" t="s">
        <v>138</v>
      </c>
      <c r="B51" s="771"/>
      <c r="C51" s="771"/>
      <c r="D51" s="771"/>
      <c r="E51" s="1051" t="str">
        <f>IF(LEN('Overview (Design)'!G51)=0,"",'Overview (Design)'!G51)</f>
        <v>Yes</v>
      </c>
      <c r="F51" s="1052"/>
      <c r="G51" s="1052"/>
      <c r="H51" s="1053"/>
      <c r="I51" s="28"/>
      <c r="J51" s="7"/>
      <c r="N51" s="2" t="s">
        <v>183</v>
      </c>
      <c r="O51" s="2" t="s">
        <v>346</v>
      </c>
      <c r="P51" s="25" t="str">
        <f t="shared" si="2"/>
        <v/>
      </c>
    </row>
    <row r="52" spans="1:25" x14ac:dyDescent="0.35">
      <c r="A52" s="771" t="s">
        <v>139</v>
      </c>
      <c r="B52" s="771"/>
      <c r="C52" s="771"/>
      <c r="D52" s="771"/>
      <c r="E52" s="1051" t="str">
        <f>IF(LEN('Overview (Design)'!G52)=0,"",'Overview (Design)'!G52)</f>
        <v/>
      </c>
      <c r="F52" s="1052"/>
      <c r="G52" s="1052"/>
      <c r="H52" s="1053"/>
      <c r="I52" s="28"/>
      <c r="J52" s="7"/>
      <c r="N52" s="2" t="s">
        <v>184</v>
      </c>
      <c r="O52" s="2" t="s">
        <v>347</v>
      </c>
      <c r="P52" s="25" t="str">
        <f t="shared" si="2"/>
        <v/>
      </c>
    </row>
    <row r="53" spans="1:25" x14ac:dyDescent="0.35">
      <c r="A53" s="810"/>
      <c r="B53" s="810"/>
      <c r="C53" s="810"/>
      <c r="D53" s="810"/>
      <c r="E53" s="2"/>
      <c r="F53" s="2"/>
      <c r="G53" s="2"/>
      <c r="H53" s="2"/>
      <c r="J53" s="2"/>
      <c r="N53" s="2"/>
      <c r="O53" s="2"/>
      <c r="P53" s="2"/>
    </row>
    <row r="54" spans="1:25" x14ac:dyDescent="0.35">
      <c r="A54" s="771" t="s">
        <v>140</v>
      </c>
      <c r="B54" s="771"/>
      <c r="C54" s="771"/>
      <c r="D54" s="216"/>
      <c r="E54" s="2"/>
      <c r="F54" s="2"/>
      <c r="G54" s="2"/>
      <c r="H54" s="2"/>
      <c r="J54" s="2"/>
      <c r="N54" s="2"/>
      <c r="O54" s="2"/>
      <c r="P54" s="2"/>
    </row>
    <row r="55" spans="1:25" x14ac:dyDescent="0.35">
      <c r="A55" s="771" t="s">
        <v>141</v>
      </c>
      <c r="B55" s="771"/>
      <c r="C55" s="771"/>
      <c r="D55" s="771"/>
      <c r="E55" s="1051" t="str">
        <f>IF(LEN('Overview (Design)'!G55)=0,"",'Overview (Design)'!G55)</f>
        <v/>
      </c>
      <c r="F55" s="1052"/>
      <c r="G55" s="1052"/>
      <c r="H55" s="1053"/>
      <c r="I55" s="28"/>
      <c r="J55" s="442"/>
      <c r="N55" s="2" t="s">
        <v>185</v>
      </c>
      <c r="O55" s="2" t="s">
        <v>348</v>
      </c>
      <c r="P55" s="27" t="str">
        <f>IF(LEN(IF(I55,E55,J55))=0,"",IF(I55,E55,J55))</f>
        <v/>
      </c>
    </row>
    <row r="56" spans="1:25" x14ac:dyDescent="0.35">
      <c r="A56" s="771" t="s">
        <v>142</v>
      </c>
      <c r="B56" s="771"/>
      <c r="C56" s="771"/>
      <c r="D56" s="771"/>
      <c r="E56" s="1051" t="str">
        <f>IF(LEN('Overview (Design)'!G56)=0,"",'Overview (Design)'!G56)</f>
        <v/>
      </c>
      <c r="F56" s="1052"/>
      <c r="G56" s="1052"/>
      <c r="H56" s="1053"/>
      <c r="I56" s="28"/>
      <c r="J56" s="7"/>
      <c r="N56" s="2" t="s">
        <v>186</v>
      </c>
      <c r="O56" s="2" t="s">
        <v>349</v>
      </c>
      <c r="P56" s="25" t="str">
        <f>IF(LEN(IF(I56,E56,J56))=0,"",IF(I56,E56,J56))</f>
        <v/>
      </c>
    </row>
    <row r="57" spans="1:25" x14ac:dyDescent="0.35">
      <c r="A57" s="771" t="s">
        <v>143</v>
      </c>
      <c r="B57" s="771"/>
      <c r="C57" s="771"/>
      <c r="D57" s="771"/>
      <c r="E57" s="1051" t="str">
        <f>IF(LEN('Overview (Design)'!G57)=0,"",'Overview (Design)'!G57)</f>
        <v/>
      </c>
      <c r="F57" s="1052"/>
      <c r="G57" s="1052"/>
      <c r="H57" s="1053"/>
      <c r="I57" s="28"/>
      <c r="J57" s="7"/>
      <c r="N57" s="2" t="s">
        <v>187</v>
      </c>
      <c r="O57" s="2" t="s">
        <v>350</v>
      </c>
      <c r="P57" s="25" t="str">
        <f>IF(LEN(IF(I57,E57,J57))=0,"",IF(I57,E57,J57))</f>
        <v/>
      </c>
    </row>
    <row r="58" spans="1:25" x14ac:dyDescent="0.35">
      <c r="A58" s="811" t="s">
        <v>235</v>
      </c>
      <c r="B58" s="811"/>
      <c r="C58" s="811"/>
      <c r="D58" s="811"/>
      <c r="E58" s="1051" t="str">
        <f>IF(LEN('Overview (Design)'!G58)=0,"",'Overview (Design)'!G58)</f>
        <v/>
      </c>
      <c r="F58" s="1052"/>
      <c r="G58" s="1052"/>
      <c r="H58" s="1053"/>
      <c r="I58" s="28"/>
      <c r="J58" s="7"/>
      <c r="N58" s="2" t="s">
        <v>239</v>
      </c>
      <c r="O58" s="2" t="s">
        <v>351</v>
      </c>
      <c r="P58" s="25" t="str">
        <f>IF(LEN(IF(I58,E58,J58))=0,"",IF(I58,E58,J58))</f>
        <v/>
      </c>
    </row>
    <row r="59" spans="1:25" ht="14.5" customHeight="1" x14ac:dyDescent="0.35">
      <c r="A59" s="812" t="s">
        <v>236</v>
      </c>
      <c r="B59" s="812"/>
      <c r="C59" s="812"/>
      <c r="D59" s="812"/>
      <c r="E59" s="1051" t="str">
        <f>IF(LEN('Overview (Design)'!G59)=0,"",'Overview (Design)'!G59)</f>
        <v/>
      </c>
      <c r="F59" s="1052"/>
      <c r="G59" s="1052"/>
      <c r="H59" s="1053"/>
      <c r="I59" s="28"/>
      <c r="J59" s="7"/>
      <c r="N59" s="2" t="s">
        <v>240</v>
      </c>
      <c r="O59" s="2" t="s">
        <v>352</v>
      </c>
      <c r="P59" s="25" t="str">
        <f>IF(LEN(IF(I59,E59,J59))=0,"",IF(I59,E59,J59))</f>
        <v/>
      </c>
    </row>
    <row r="60" spans="1:25" x14ac:dyDescent="0.35">
      <c r="A60" s="809"/>
      <c r="B60" s="809"/>
      <c r="C60" s="809"/>
      <c r="D60" s="809"/>
      <c r="E60" s="2"/>
      <c r="F60" s="2"/>
      <c r="G60" s="2"/>
      <c r="H60" s="2"/>
      <c r="J60" s="2"/>
      <c r="N60" s="2"/>
      <c r="O60" s="2"/>
      <c r="P60" s="2"/>
      <c r="T60" s="1043" t="s">
        <v>366</v>
      </c>
      <c r="U60" s="1043"/>
      <c r="V60" s="1043"/>
      <c r="W60" s="1043"/>
      <c r="X60" s="1043"/>
      <c r="Y60" s="1043"/>
    </row>
    <row r="61" spans="1:25" x14ac:dyDescent="0.35">
      <c r="A61" s="771" t="s">
        <v>144</v>
      </c>
      <c r="B61" s="771"/>
      <c r="C61" s="771"/>
      <c r="D61" s="771"/>
      <c r="E61" s="1051" t="str">
        <f>IF(LEN('Overview (Design)'!G61)=0,"",'Overview (Design)'!G61)</f>
        <v/>
      </c>
      <c r="F61" s="1052"/>
      <c r="G61" s="1052"/>
      <c r="H61" s="1053"/>
      <c r="I61" s="28"/>
      <c r="J61" s="784"/>
      <c r="K61" s="784"/>
      <c r="N61" s="2" t="s">
        <v>188</v>
      </c>
      <c r="O61" s="2" t="s">
        <v>353</v>
      </c>
      <c r="P61" s="1045" t="str">
        <f>IF(LEN(IF(I61,E61,J61))=0,"",IF(I61,E61,J61))</f>
        <v/>
      </c>
      <c r="Q61" s="1045" t="str">
        <f>IF(LEN(IF(J61,F61,K61))=0,"",IF(J61,F61,K61))</f>
        <v/>
      </c>
      <c r="T61" s="1047"/>
      <c r="U61" s="1047"/>
      <c r="V61" s="1047"/>
      <c r="W61" s="1047"/>
      <c r="X61" s="1047"/>
      <c r="Y61" s="1047"/>
    </row>
    <row r="62" spans="1:25" x14ac:dyDescent="0.35">
      <c r="A62" s="771" t="s">
        <v>145</v>
      </c>
      <c r="B62" s="771"/>
      <c r="C62" s="771"/>
      <c r="D62" s="771"/>
      <c r="E62" s="1051" t="str">
        <f>IF(LEN('Overview (Design)'!G62)=0,"",'Overview (Design)'!G62)</f>
        <v/>
      </c>
      <c r="F62" s="1052"/>
      <c r="G62" s="1052"/>
      <c r="H62" s="1053"/>
      <c r="I62" s="28"/>
      <c r="J62" s="784"/>
      <c r="K62" s="784"/>
      <c r="N62" s="2" t="str">
        <f>IF($P$18=INDEX(ddSingleOrMulti,2),"ddBuildingCodeMF","ddBuildingCode")</f>
        <v>ddBuildingCode</v>
      </c>
      <c r="O62" s="2" t="s">
        <v>354</v>
      </c>
      <c r="P62" s="1045" t="str">
        <f>IF(LEN(IF(I62,E62,J62))=0,"",IF(I62,E62,J62))</f>
        <v/>
      </c>
      <c r="Q62" s="1045" t="str">
        <f>IF(LEN(IF(J62,F62,K62))=0,"",IF(J62,F62,K62))</f>
        <v/>
      </c>
      <c r="T62" s="1047"/>
      <c r="U62" s="1047"/>
      <c r="V62" s="1047"/>
      <c r="W62" s="1047"/>
      <c r="X62" s="1047"/>
      <c r="Y62" s="1047"/>
    </row>
    <row r="63" spans="1:25" x14ac:dyDescent="0.35">
      <c r="A63" s="379"/>
      <c r="B63" s="379"/>
      <c r="C63" s="379"/>
      <c r="D63" s="379"/>
      <c r="E63" s="2"/>
      <c r="F63" s="2"/>
      <c r="G63" s="2"/>
      <c r="H63" s="2"/>
    </row>
    <row r="64" spans="1:25" ht="18.5" x14ac:dyDescent="0.45">
      <c r="A64" s="11"/>
      <c r="B64" s="11"/>
      <c r="C64" s="11"/>
      <c r="D64" s="11"/>
      <c r="E64" s="11"/>
      <c r="F64" s="11"/>
      <c r="G64" s="11"/>
      <c r="H64" s="11"/>
      <c r="I64" s="11"/>
      <c r="J64" s="11"/>
      <c r="K64" s="11"/>
      <c r="L64" s="11"/>
      <c r="M64" s="11"/>
      <c r="N64" s="11"/>
      <c r="O64" s="11"/>
      <c r="P64" s="11"/>
      <c r="Q64" s="11"/>
      <c r="R64" s="11"/>
      <c r="S64" s="11"/>
      <c r="T64" s="11"/>
      <c r="U64" s="11"/>
      <c r="V64" s="11"/>
      <c r="W64" s="11"/>
      <c r="X64" s="11"/>
      <c r="Y64" s="11"/>
    </row>
  </sheetData>
  <sheetProtection algorithmName="SHA-512" hashValue="pzs8GgDmTaSHr/eNt1nJsHZQ5t0isnMTpW6j/LSh/geNTUryQ2vwSB5438LaCaL5u/hfnNidkWJbAdTt7tNHoA==" saltValue="o9IA+eDbeLHIyb1ndGmqcQ==" spinCount="100000" sheet="1" objects="1" scenarios="1" selectLockedCells="1" autoFilter="0"/>
  <mergeCells count="163">
    <mergeCell ref="E28:H28"/>
    <mergeCell ref="A28:D28"/>
    <mergeCell ref="T60:Y60"/>
    <mergeCell ref="A51:D51"/>
    <mergeCell ref="A52:D52"/>
    <mergeCell ref="U10:V10"/>
    <mergeCell ref="A1:C5"/>
    <mergeCell ref="D4:M5"/>
    <mergeCell ref="P4:Y5"/>
    <mergeCell ref="D1:Y3"/>
    <mergeCell ref="A57:D57"/>
    <mergeCell ref="A58:D58"/>
    <mergeCell ref="A59:D59"/>
    <mergeCell ref="A60:D60"/>
    <mergeCell ref="E58:H58"/>
    <mergeCell ref="E59:H59"/>
    <mergeCell ref="E57:H57"/>
    <mergeCell ref="A36:D36"/>
    <mergeCell ref="P36:R36"/>
    <mergeCell ref="A37:D37"/>
    <mergeCell ref="P37:Q37"/>
    <mergeCell ref="T39:Y39"/>
    <mergeCell ref="T40:Y40"/>
    <mergeCell ref="T41:Y41"/>
    <mergeCell ref="T35:Y35"/>
    <mergeCell ref="P48:Q48"/>
    <mergeCell ref="T36:Y36"/>
    <mergeCell ref="T37:Y37"/>
    <mergeCell ref="T48:Y48"/>
    <mergeCell ref="T49:Y49"/>
    <mergeCell ref="P38:Q38"/>
    <mergeCell ref="P39:Q39"/>
    <mergeCell ref="J37:L37"/>
    <mergeCell ref="J38:L38"/>
    <mergeCell ref="J39:L39"/>
    <mergeCell ref="T47:Y47"/>
    <mergeCell ref="J48:K48"/>
    <mergeCell ref="A55:D55"/>
    <mergeCell ref="A56:D56"/>
    <mergeCell ref="E55:H55"/>
    <mergeCell ref="E56:H56"/>
    <mergeCell ref="P40:Q40"/>
    <mergeCell ref="E51:H51"/>
    <mergeCell ref="E52:H52"/>
    <mergeCell ref="J49:L49"/>
    <mergeCell ref="J50:K50"/>
    <mergeCell ref="E49:H49"/>
    <mergeCell ref="E47:H47"/>
    <mergeCell ref="P50:Q50"/>
    <mergeCell ref="E50:H50"/>
    <mergeCell ref="E40:H40"/>
    <mergeCell ref="E41:H41"/>
    <mergeCell ref="E42:H42"/>
    <mergeCell ref="E44:H44"/>
    <mergeCell ref="E45:H45"/>
    <mergeCell ref="E48:H48"/>
    <mergeCell ref="E46:H46"/>
    <mergeCell ref="A53:D53"/>
    <mergeCell ref="A40:D40"/>
    <mergeCell ref="A41:D41"/>
    <mergeCell ref="A42:D42"/>
    <mergeCell ref="T61:Y61"/>
    <mergeCell ref="A61:D61"/>
    <mergeCell ref="P61:Q61"/>
    <mergeCell ref="E61:H61"/>
    <mergeCell ref="J61:K61"/>
    <mergeCell ref="A62:D62"/>
    <mergeCell ref="P62:Q62"/>
    <mergeCell ref="E62:H62"/>
    <mergeCell ref="J62:K62"/>
    <mergeCell ref="T62:Y62"/>
    <mergeCell ref="A44:D44"/>
    <mergeCell ref="A45:D45"/>
    <mergeCell ref="A8:D8"/>
    <mergeCell ref="J8:K8"/>
    <mergeCell ref="P8:Q8"/>
    <mergeCell ref="E38:H38"/>
    <mergeCell ref="E39:H39"/>
    <mergeCell ref="E36:H36"/>
    <mergeCell ref="E37:H37"/>
    <mergeCell ref="E35:H35"/>
    <mergeCell ref="A38:D38"/>
    <mergeCell ref="A39:D39"/>
    <mergeCell ref="J40:L40"/>
    <mergeCell ref="J41:L41"/>
    <mergeCell ref="J42:K42"/>
    <mergeCell ref="P41:Q41"/>
    <mergeCell ref="P42:Q42"/>
    <mergeCell ref="P13:S13"/>
    <mergeCell ref="E11:H11"/>
    <mergeCell ref="A20:D22"/>
    <mergeCell ref="J23:M23"/>
    <mergeCell ref="J34:L34"/>
    <mergeCell ref="E20:H20"/>
    <mergeCell ref="A10:D10"/>
    <mergeCell ref="A48:D48"/>
    <mergeCell ref="A46:D46"/>
    <mergeCell ref="A47:D47"/>
    <mergeCell ref="A19:D19"/>
    <mergeCell ref="A23:D23"/>
    <mergeCell ref="P23:S23"/>
    <mergeCell ref="A54:C54"/>
    <mergeCell ref="A49:D49"/>
    <mergeCell ref="P49:R49"/>
    <mergeCell ref="A50:D50"/>
    <mergeCell ref="A25:D25"/>
    <mergeCell ref="A26:D26"/>
    <mergeCell ref="A29:D29"/>
    <mergeCell ref="A30:D30"/>
    <mergeCell ref="E25:H25"/>
    <mergeCell ref="A32:D32"/>
    <mergeCell ref="P32:S32"/>
    <mergeCell ref="J32:M32"/>
    <mergeCell ref="E26:H26"/>
    <mergeCell ref="A27:D27"/>
    <mergeCell ref="P30:S31"/>
    <mergeCell ref="R25:W26"/>
    <mergeCell ref="E27:H27"/>
    <mergeCell ref="E30:H31"/>
    <mergeCell ref="P10:S10"/>
    <mergeCell ref="E10:H10"/>
    <mergeCell ref="A24:D24"/>
    <mergeCell ref="A14:D14"/>
    <mergeCell ref="P14:S14"/>
    <mergeCell ref="A15:D15"/>
    <mergeCell ref="P15:S15"/>
    <mergeCell ref="A16:D16"/>
    <mergeCell ref="A17:D17"/>
    <mergeCell ref="E14:H14"/>
    <mergeCell ref="E15:H15"/>
    <mergeCell ref="E16:H16"/>
    <mergeCell ref="A18:D18"/>
    <mergeCell ref="P18:Q18"/>
    <mergeCell ref="J12:M12"/>
    <mergeCell ref="A11:D11"/>
    <mergeCell ref="P11:S11"/>
    <mergeCell ref="A12:D12"/>
    <mergeCell ref="P12:S12"/>
    <mergeCell ref="A13:D13"/>
    <mergeCell ref="T33:Y33"/>
    <mergeCell ref="J36:L36"/>
    <mergeCell ref="A35:D35"/>
    <mergeCell ref="P35:R35"/>
    <mergeCell ref="J35:L35"/>
    <mergeCell ref="A34:D34"/>
    <mergeCell ref="P34:R34"/>
    <mergeCell ref="T34:Y34"/>
    <mergeCell ref="E6:H6"/>
    <mergeCell ref="J6:M6"/>
    <mergeCell ref="J10:M10"/>
    <mergeCell ref="J11:M11"/>
    <mergeCell ref="E32:H32"/>
    <mergeCell ref="E34:H34"/>
    <mergeCell ref="E12:H12"/>
    <mergeCell ref="E13:H13"/>
    <mergeCell ref="J30:M31"/>
    <mergeCell ref="J13:M13"/>
    <mergeCell ref="J14:M14"/>
    <mergeCell ref="J15:M15"/>
    <mergeCell ref="E18:H18"/>
    <mergeCell ref="E19:H19"/>
    <mergeCell ref="E23:H23"/>
    <mergeCell ref="J18:K18"/>
  </mergeCells>
  <conditionalFormatting sqref="I10">
    <cfRule type="expression" dxfId="3011" priority="100">
      <formula>LEN(TRIM($I$10))&gt;0</formula>
    </cfRule>
  </conditionalFormatting>
  <conditionalFormatting sqref="I11">
    <cfRule type="expression" dxfId="3010" priority="99">
      <formula>LEN(TRIM($I$11))&gt;0</formula>
    </cfRule>
  </conditionalFormatting>
  <conditionalFormatting sqref="I12">
    <cfRule type="expression" dxfId="3009" priority="98">
      <formula>LEN(TRIM($I$12))&gt;0</formula>
    </cfRule>
  </conditionalFormatting>
  <conditionalFormatting sqref="I13">
    <cfRule type="expression" dxfId="3008" priority="97">
      <formula>LEN(TRIM($I$13))&gt;0</formula>
    </cfRule>
  </conditionalFormatting>
  <conditionalFormatting sqref="I14">
    <cfRule type="expression" dxfId="3007" priority="96">
      <formula>LEN(TRIM($I$14))&gt;0</formula>
    </cfRule>
  </conditionalFormatting>
  <conditionalFormatting sqref="I15">
    <cfRule type="expression" dxfId="3006" priority="95">
      <formula>LEN(TRIM($I$15))&gt;0</formula>
    </cfRule>
  </conditionalFormatting>
  <conditionalFormatting sqref="I16">
    <cfRule type="expression" dxfId="3005" priority="94">
      <formula>LEN(TRIM($I$16))&gt;0</formula>
    </cfRule>
  </conditionalFormatting>
  <conditionalFormatting sqref="I18">
    <cfRule type="expression" dxfId="3004" priority="93">
      <formula>LEN(TRIM($I$18))&gt;0</formula>
    </cfRule>
  </conditionalFormatting>
  <conditionalFormatting sqref="I19">
    <cfRule type="expression" dxfId="3003" priority="92">
      <formula>LEN(TRIM($I$19))&gt;0</formula>
    </cfRule>
  </conditionalFormatting>
  <conditionalFormatting sqref="I20">
    <cfRule type="expression" dxfId="3002" priority="5">
      <formula>LEN(TRIM($I$20))&gt;0</formula>
    </cfRule>
  </conditionalFormatting>
  <conditionalFormatting sqref="I23">
    <cfRule type="expression" dxfId="3001" priority="91">
      <formula>LEN(TRIM($I$23))&gt;0</formula>
    </cfRule>
  </conditionalFormatting>
  <conditionalFormatting sqref="I25">
    <cfRule type="expression" dxfId="3000" priority="90">
      <formula>LEN(TRIM($I$25))&gt;0</formula>
    </cfRule>
  </conditionalFormatting>
  <conditionalFormatting sqref="I26">
    <cfRule type="expression" dxfId="2999" priority="89">
      <formula>LEN(TRIM($I$26))&gt;0</formula>
    </cfRule>
  </conditionalFormatting>
  <conditionalFormatting sqref="I27">
    <cfRule type="expression" dxfId="2998" priority="68">
      <formula>LEN(TRIM($I$27))&gt;0</formula>
    </cfRule>
  </conditionalFormatting>
  <conditionalFormatting sqref="I28">
    <cfRule type="expression" dxfId="2997" priority="3">
      <formula>LEN(TRIM($I$28))&gt;0</formula>
    </cfRule>
  </conditionalFormatting>
  <conditionalFormatting sqref="I30">
    <cfRule type="expression" dxfId="2996" priority="88">
      <formula>LEN(TRIM($I$30))&gt;0</formula>
    </cfRule>
  </conditionalFormatting>
  <conditionalFormatting sqref="I32">
    <cfRule type="expression" dxfId="2995" priority="86">
      <formula>LEN(TRIM($I$32))&gt;0</formula>
    </cfRule>
  </conditionalFormatting>
  <conditionalFormatting sqref="I34">
    <cfRule type="expression" dxfId="2994" priority="85">
      <formula>LEN(TRIM($I$34))&gt;0</formula>
    </cfRule>
  </conditionalFormatting>
  <conditionalFormatting sqref="I35">
    <cfRule type="expression" dxfId="2993" priority="84">
      <formula>LEN(TRIM($I$35))&gt;0</formula>
    </cfRule>
  </conditionalFormatting>
  <conditionalFormatting sqref="I36">
    <cfRule type="expression" dxfId="2992" priority="83">
      <formula>LEN(TRIM($I$36))&gt;0</formula>
    </cfRule>
  </conditionalFormatting>
  <conditionalFormatting sqref="I37">
    <cfRule type="expression" dxfId="2991" priority="82">
      <formula>LEN(TRIM($I$37))&gt;0</formula>
    </cfRule>
  </conditionalFormatting>
  <conditionalFormatting sqref="I38">
    <cfRule type="expression" dxfId="2990" priority="67">
      <formula>LEN(TRIM($I$38))&gt;0</formula>
    </cfRule>
  </conditionalFormatting>
  <conditionalFormatting sqref="I39">
    <cfRule type="expression" dxfId="2989" priority="66">
      <formula>LEN(TRIM($I$39))&gt;0</formula>
    </cfRule>
  </conditionalFormatting>
  <conditionalFormatting sqref="I40">
    <cfRule type="expression" dxfId="2988" priority="65">
      <formula>LEN(TRIM($I$40))&gt;0</formula>
    </cfRule>
  </conditionalFormatting>
  <conditionalFormatting sqref="I41">
    <cfRule type="expression" dxfId="2987" priority="64">
      <formula>LEN(TRIM($I$41))&gt;0</formula>
    </cfRule>
  </conditionalFormatting>
  <conditionalFormatting sqref="I42">
    <cfRule type="expression" dxfId="2986" priority="63">
      <formula>LEN(TRIM($I$42))&gt;0</formula>
    </cfRule>
  </conditionalFormatting>
  <conditionalFormatting sqref="I44">
    <cfRule type="expression" dxfId="2985" priority="61">
      <formula>LEN(TRIM($I$44))&gt;0</formula>
    </cfRule>
  </conditionalFormatting>
  <conditionalFormatting sqref="I45">
    <cfRule type="expression" dxfId="2984" priority="60">
      <formula>LEN(TRIM($I$45))&gt;0</formula>
    </cfRule>
  </conditionalFormatting>
  <conditionalFormatting sqref="I46">
    <cfRule type="expression" dxfId="2983" priority="59">
      <formula>LEN(TRIM($I$46))&gt;0</formula>
    </cfRule>
  </conditionalFormatting>
  <conditionalFormatting sqref="I47">
    <cfRule type="expression" dxfId="2982" priority="58">
      <formula>LEN(TRIM($I$47))&gt;0</formula>
    </cfRule>
  </conditionalFormatting>
  <conditionalFormatting sqref="I48">
    <cfRule type="expression" dxfId="2981" priority="81">
      <formula>LEN(TRIM($I$48))&gt;0</formula>
    </cfRule>
  </conditionalFormatting>
  <conditionalFormatting sqref="I49">
    <cfRule type="expression" dxfId="2980" priority="80">
      <formula>LEN(TRIM($I$49))&gt;0</formula>
    </cfRule>
  </conditionalFormatting>
  <conditionalFormatting sqref="I50">
    <cfRule type="expression" dxfId="2979" priority="79">
      <formula>LEN(TRIM($I$50))&gt;0</formula>
    </cfRule>
  </conditionalFormatting>
  <conditionalFormatting sqref="I51">
    <cfRule type="expression" dxfId="2978" priority="78">
      <formula>LEN(TRIM($I$51))&gt;0</formula>
    </cfRule>
  </conditionalFormatting>
  <conditionalFormatting sqref="I52">
    <cfRule type="expression" dxfId="2977" priority="77">
      <formula>LEN(TRIM($I$52))&gt;0</formula>
    </cfRule>
  </conditionalFormatting>
  <conditionalFormatting sqref="I55">
    <cfRule type="expression" dxfId="2976" priority="76">
      <formula>LEN(TRIM($I$55))&gt;0</formula>
    </cfRule>
  </conditionalFormatting>
  <conditionalFormatting sqref="I56">
    <cfRule type="expression" dxfId="2975" priority="75">
      <formula>LEN(TRIM($I$56))&gt;0</formula>
    </cfRule>
  </conditionalFormatting>
  <conditionalFormatting sqref="I57">
    <cfRule type="expression" dxfId="2974" priority="73">
      <formula>LEN(TRIM($I$57))&gt;0</formula>
    </cfRule>
  </conditionalFormatting>
  <conditionalFormatting sqref="I58">
    <cfRule type="expression" dxfId="2973" priority="72">
      <formula>LEN(TRIM($I$58))&gt;0</formula>
    </cfRule>
  </conditionalFormatting>
  <conditionalFormatting sqref="I59">
    <cfRule type="expression" dxfId="2972" priority="71">
      <formula>LEN(TRIM($I$59))&gt;0</formula>
    </cfRule>
  </conditionalFormatting>
  <conditionalFormatting sqref="I61">
    <cfRule type="expression" dxfId="2971" priority="70">
      <formula>LEN(TRIM($I$61))&gt;0</formula>
    </cfRule>
  </conditionalFormatting>
  <conditionalFormatting sqref="I62">
    <cfRule type="expression" dxfId="2970" priority="69">
      <formula>LEN(TRIM($I$62))&gt;0</formula>
    </cfRule>
  </conditionalFormatting>
  <conditionalFormatting sqref="J8 J23 J30 J38:J42 J44:J47 J55:J59 J61:K62 J34:L41 J48:L52 J10:M16 J18:M18 J32:M32 L19:M19 T34:Y36 T39:Y41">
    <cfRule type="notContainsBlanks" dxfId="2969" priority="13">
      <formula>LEN(TRIM(J8))&gt;0</formula>
    </cfRule>
  </conditionalFormatting>
  <conditionalFormatting sqref="J19:J20">
    <cfRule type="notContainsBlanks" dxfId="2968" priority="6">
      <formula>LEN(TRIM(J19))&gt;0</formula>
    </cfRule>
    <cfRule type="expression" dxfId="2967" priority="7">
      <formula>I19</formula>
    </cfRule>
  </conditionalFormatting>
  <conditionalFormatting sqref="J25:J28">
    <cfRule type="notContainsBlanks" dxfId="2966" priority="1">
      <formula>LEN(TRIM(J25))&gt;0</formula>
    </cfRule>
    <cfRule type="expression" dxfId="2965" priority="2">
      <formula>I25</formula>
    </cfRule>
  </conditionalFormatting>
  <conditionalFormatting sqref="J30 J44:J47 J55:J59 J61:K62 J34:L41 J48:L52 J10:M16 J18:M18 J23:M23 J32:M32 L19:M19">
    <cfRule type="expression" dxfId="2964" priority="104">
      <formula>I10</formula>
    </cfRule>
  </conditionalFormatting>
  <conditionalFormatting sqref="J38:J42">
    <cfRule type="expression" dxfId="2963" priority="38">
      <formula>I38</formula>
    </cfRule>
  </conditionalFormatting>
  <conditionalFormatting sqref="J8:K8">
    <cfRule type="expression" dxfId="2962" priority="11">
      <formula>AND(dstBatch=TRUE,LEN($J$8)&gt;0)</formula>
    </cfRule>
    <cfRule type="expression" dxfId="2961" priority="105">
      <formula>dstBatch</formula>
    </cfRule>
  </conditionalFormatting>
  <conditionalFormatting sqref="P4:Y5">
    <cfRule type="expression" dxfId="2960" priority="101">
      <formula>startError</formula>
    </cfRule>
  </conditionalFormatting>
  <conditionalFormatting sqref="Q16">
    <cfRule type="expression" dxfId="2959" priority="14">
      <formula>dstBatch=TRUE</formula>
    </cfRule>
  </conditionalFormatting>
  <conditionalFormatting sqref="R8">
    <cfRule type="expression" dxfId="2958" priority="31">
      <formula>dstBatch=TRUE</formula>
    </cfRule>
  </conditionalFormatting>
  <conditionalFormatting sqref="T13">
    <cfRule type="expression" dxfId="2957" priority="15">
      <formula>dstBatch=TRUE</formula>
    </cfRule>
  </conditionalFormatting>
  <conditionalFormatting sqref="T34:T62">
    <cfRule type="expression" dxfId="2956" priority="16" stopIfTrue="1">
      <formula>OR(AND(E34="Other",I34),J34="Other")</formula>
    </cfRule>
    <cfRule type="expression" dxfId="2955" priority="17">
      <formula>TRUE</formula>
    </cfRule>
  </conditionalFormatting>
  <conditionalFormatting sqref="T37:Y37">
    <cfRule type="notContainsBlanks" dxfId="2954" priority="30">
      <formula>LEN(TRIM(T37))&gt;0</formula>
    </cfRule>
  </conditionalFormatting>
  <conditionalFormatting sqref="T48:Y62">
    <cfRule type="notContainsBlanks" dxfId="2953" priority="18">
      <formula>LEN(TRIM(T48))&gt;0</formula>
    </cfRule>
  </conditionalFormatting>
  <dataValidations xWindow="570" yWindow="734" count="26">
    <dataValidation type="whole" allowBlank="1" showInputMessage="1" showErrorMessage="1" error="Must enter a whole number." sqref="P19:P20 J19" xr:uid="{00000000-0002-0000-0E00-000000000000}">
      <formula1>0</formula1>
      <formula2>100000000000</formula2>
    </dataValidation>
    <dataValidation type="list" allowBlank="1" showInputMessage="1" showErrorMessage="1" error="Please use the dropdown." sqref="P55 J55" xr:uid="{00000000-0002-0000-0E00-000001000000}">
      <formula1>INDIRECT($N$55)</formula1>
    </dataValidation>
    <dataValidation type="list" allowBlank="1" showInputMessage="1" showErrorMessage="1" error="Please use the dropdown." sqref="J62:K62 P62:Q62" xr:uid="{00000000-0002-0000-0E00-000002000000}">
      <formula1>INDIRECT($N$62)</formula1>
    </dataValidation>
    <dataValidation type="list" allowBlank="1" showInputMessage="1" showErrorMessage="1" error="Please use the dropdown." sqref="P61:Q61 J61:K61" xr:uid="{00000000-0002-0000-0E00-000003000000}">
      <formula1>INDIRECT($N$61)</formula1>
    </dataValidation>
    <dataValidation type="list" allowBlank="1" showInputMessage="1" showErrorMessage="1" error="Please use the dropdown." sqref="P59 J59" xr:uid="{00000000-0002-0000-0E00-000004000000}">
      <formula1>INDIRECT($N$59)</formula1>
    </dataValidation>
    <dataValidation type="list" allowBlank="1" showInputMessage="1" showErrorMessage="1" error="Please use the dropdown." sqref="P58 J58" xr:uid="{00000000-0002-0000-0E00-000005000000}">
      <formula1>INDIRECT($N$58)</formula1>
    </dataValidation>
    <dataValidation type="list" allowBlank="1" showInputMessage="1" showErrorMessage="1" error="Please use the dropdown." sqref="P57 J57" xr:uid="{00000000-0002-0000-0E00-000006000000}">
      <formula1>INDIRECT($N$57)</formula1>
    </dataValidation>
    <dataValidation type="list" allowBlank="1" showInputMessage="1" showErrorMessage="1" error="Please use the dropdown." sqref="P56 J56" xr:uid="{00000000-0002-0000-0E00-000008000000}">
      <formula1>INDIRECT($N$56)</formula1>
    </dataValidation>
    <dataValidation type="list" allowBlank="1" showInputMessage="1" showErrorMessage="1" error="Please use the dropdown." sqref="P52 J52" xr:uid="{00000000-0002-0000-0E00-000009000000}">
      <formula1>INDIRECT($N$52)</formula1>
    </dataValidation>
    <dataValidation type="list" allowBlank="1" showInputMessage="1" showErrorMessage="1" error="Please use the dropdown." sqref="P51 J51" xr:uid="{00000000-0002-0000-0E00-00000A000000}">
      <formula1>INDIRECT($N$51)</formula1>
    </dataValidation>
    <dataValidation type="list" allowBlank="1" showInputMessage="1" showErrorMessage="1" error="Please use the dropdown." sqref="P50:Q50 J50:K50" xr:uid="{00000000-0002-0000-0E00-00000B000000}">
      <formula1>INDIRECT($N$50)</formula1>
    </dataValidation>
    <dataValidation type="list" allowBlank="1" showInputMessage="1" showErrorMessage="1" error="Please use the dropdown." sqref="P49:R49 J49:L49" xr:uid="{00000000-0002-0000-0E00-00000C000000}">
      <formula1>INDIRECT($N$49)</formula1>
    </dataValidation>
    <dataValidation type="list" allowBlank="1" showInputMessage="1" showErrorMessage="1" error="Please use the dropdown." sqref="P48:Q48 J48:K48" xr:uid="{00000000-0002-0000-0E00-00000D000000}">
      <formula1>INDIRECT($N$48)</formula1>
    </dataValidation>
    <dataValidation type="list" allowBlank="1" showInputMessage="1" showErrorMessage="1" error="Please use the dropdown." sqref="P44:P47 P37:Q42" xr:uid="{00000000-0002-0000-0E00-00000E000000}">
      <formula1>INDIRECT($N$37)</formula1>
    </dataValidation>
    <dataValidation type="list" allowBlank="1" showInputMessage="1" showErrorMessage="1" error="Please use the dropdown." sqref="P36:R36 J36:L36" xr:uid="{00000000-0002-0000-0E00-00000F000000}">
      <formula1>INDIRECT($N$36)</formula1>
    </dataValidation>
    <dataValidation type="list" allowBlank="1" showInputMessage="1" showErrorMessage="1" error="Please use the dropdown." sqref="P35:R35 J35:L35" xr:uid="{00000000-0002-0000-0E00-000010000000}">
      <formula1>INDIRECT($N$35)</formula1>
    </dataValidation>
    <dataValidation type="list" allowBlank="1" showInputMessage="1" showErrorMessage="1" error="Please use the dropdown." sqref="P34:R34 J34:L34" xr:uid="{00000000-0002-0000-0E00-000011000000}">
      <formula1>INDIRECT($N$34)</formula1>
    </dataValidation>
    <dataValidation type="list" allowBlank="1" showInputMessage="1" showErrorMessage="1" error="Please use the dropdown." sqref="J32:M32 P32:S32" xr:uid="{00000000-0002-0000-0E00-000012000000}">
      <formula1>INDIRECT($N$32)</formula1>
    </dataValidation>
    <dataValidation type="list" allowBlank="1" showInputMessage="1" showErrorMessage="1" error="Please use the dropdown." sqref="P18:Q18 J18:K18" xr:uid="{00000000-0002-0000-0E00-000013000000}">
      <formula1>INDIRECT($N$18)</formula1>
    </dataValidation>
    <dataValidation type="list" allowBlank="1" showDropDown="1" showInputMessage="1" showErrorMessage="1" error="Use Checkbox" prompt="Use Checkbox" sqref="I34:I42 I18:I20 I30 I10:I16 I32 I44:I52 I61:I62 I55:I59 I23 I25:I28" xr:uid="{00000000-0002-0000-0E00-000014000000}">
      <formula1>TorF</formula1>
    </dataValidation>
    <dataValidation type="list" allowBlank="1" showInputMessage="1" showErrorMessage="1" error="Please use the dropdown." sqref="J37:L41 J42:K42" xr:uid="{00000000-0002-0000-0E00-000015000000}">
      <formula1>INDIRECT(N37)</formula1>
    </dataValidation>
    <dataValidation type="decimal" allowBlank="1" showInputMessage="1" showErrorMessage="1" error="Enter a decimal between 0 and 1." prompt="Enter the U-value." sqref="J46:J47" xr:uid="{00000000-0002-0000-0E00-000016000000}">
      <formula1>0</formula1>
      <formula2>1</formula2>
    </dataValidation>
    <dataValidation type="decimal" allowBlank="1" showInputMessage="1" showErrorMessage="1" error="Enter a decimal between 0 and 1." prompt="Enter the SHGC value." sqref="J44:J45" xr:uid="{00000000-0002-0000-0E00-000017000000}">
      <formula1>0</formula1>
      <formula2>1</formula2>
    </dataValidation>
    <dataValidation type="whole" allowBlank="1" showInputMessage="1" showErrorMessage="1" error="Enter a whole number between 1 and 1000." prompt="Enter the number of stories above grade." sqref="J27" xr:uid="{00000000-0002-0000-0E00-000018000000}">
      <formula1>1</formula1>
      <formula2>1000</formula2>
    </dataValidation>
    <dataValidation type="list" allowBlank="1" showInputMessage="1" showErrorMessage="1" error="Choose from the list" sqref="J20" xr:uid="{7FCEBF27-50E7-4027-B3F6-08103D8734E7}">
      <formula1>INDIRECT(N20)</formula1>
    </dataValidation>
    <dataValidation type="whole" allowBlank="1" showInputMessage="1" showErrorMessage="1" error="Enter a whole number." prompt="Enter the number of feet above sea level." sqref="J28" xr:uid="{6E2819C8-D614-43E0-826A-243FDD764AF2}">
      <formula1>1</formula1>
      <formula2>100000</formula2>
    </dataValidation>
  </dataValidations>
  <pageMargins left="0.7" right="0.7" top="0.75" bottom="0.75" header="0.3" footer="0.3"/>
  <pageSetup scale="42"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92" r:id="rId4" name="Check Box 44">
              <controlPr locked="0" defaultSize="0" autoFill="0" autoLine="0" autoPict="0">
                <anchor moveWithCells="1">
                  <from>
                    <xdr:col>8</xdr:col>
                    <xdr:colOff>0</xdr:colOff>
                    <xdr:row>9</xdr:row>
                    <xdr:rowOff>0</xdr:rowOff>
                  </from>
                  <to>
                    <xdr:col>8</xdr:col>
                    <xdr:colOff>184150</xdr:colOff>
                    <xdr:row>9</xdr:row>
                    <xdr:rowOff>184150</xdr:rowOff>
                  </to>
                </anchor>
              </controlPr>
            </control>
          </mc:Choice>
        </mc:AlternateContent>
        <mc:AlternateContent xmlns:mc="http://schemas.openxmlformats.org/markup-compatibility/2006">
          <mc:Choice Requires="x14">
            <control shapeId="27693" r:id="rId5" name="Check Box 45">
              <controlPr locked="0" defaultSize="0" autoFill="0" autoLine="0" autoPict="0">
                <anchor moveWithCells="1">
                  <from>
                    <xdr:col>8</xdr:col>
                    <xdr:colOff>0</xdr:colOff>
                    <xdr:row>10</xdr:row>
                    <xdr:rowOff>0</xdr:rowOff>
                  </from>
                  <to>
                    <xdr:col>8</xdr:col>
                    <xdr:colOff>184150</xdr:colOff>
                    <xdr:row>10</xdr:row>
                    <xdr:rowOff>184150</xdr:rowOff>
                  </to>
                </anchor>
              </controlPr>
            </control>
          </mc:Choice>
        </mc:AlternateContent>
        <mc:AlternateContent xmlns:mc="http://schemas.openxmlformats.org/markup-compatibility/2006">
          <mc:Choice Requires="x14">
            <control shapeId="27694" r:id="rId6" name="Check Box 46">
              <controlPr locked="0" defaultSize="0" autoFill="0" autoLine="0" autoPict="0">
                <anchor moveWithCells="1">
                  <from>
                    <xdr:col>8</xdr:col>
                    <xdr:colOff>0</xdr:colOff>
                    <xdr:row>11</xdr:row>
                    <xdr:rowOff>0</xdr:rowOff>
                  </from>
                  <to>
                    <xdr:col>8</xdr:col>
                    <xdr:colOff>184150</xdr:colOff>
                    <xdr:row>11</xdr:row>
                    <xdr:rowOff>184150</xdr:rowOff>
                  </to>
                </anchor>
              </controlPr>
            </control>
          </mc:Choice>
        </mc:AlternateContent>
        <mc:AlternateContent xmlns:mc="http://schemas.openxmlformats.org/markup-compatibility/2006">
          <mc:Choice Requires="x14">
            <control shapeId="27695" r:id="rId7" name="Check Box 47">
              <controlPr locked="0" defaultSize="0" autoFill="0" autoLine="0" autoPict="0">
                <anchor moveWithCells="1">
                  <from>
                    <xdr:col>8</xdr:col>
                    <xdr:colOff>0</xdr:colOff>
                    <xdr:row>12</xdr:row>
                    <xdr:rowOff>0</xdr:rowOff>
                  </from>
                  <to>
                    <xdr:col>8</xdr:col>
                    <xdr:colOff>184150</xdr:colOff>
                    <xdr:row>12</xdr:row>
                    <xdr:rowOff>184150</xdr:rowOff>
                  </to>
                </anchor>
              </controlPr>
            </control>
          </mc:Choice>
        </mc:AlternateContent>
        <mc:AlternateContent xmlns:mc="http://schemas.openxmlformats.org/markup-compatibility/2006">
          <mc:Choice Requires="x14">
            <control shapeId="27696" r:id="rId8" name="Check Box 48">
              <controlPr locked="0" defaultSize="0" autoFill="0" autoLine="0" autoPict="0">
                <anchor moveWithCells="1">
                  <from>
                    <xdr:col>8</xdr:col>
                    <xdr:colOff>0</xdr:colOff>
                    <xdr:row>13</xdr:row>
                    <xdr:rowOff>0</xdr:rowOff>
                  </from>
                  <to>
                    <xdr:col>8</xdr:col>
                    <xdr:colOff>184150</xdr:colOff>
                    <xdr:row>13</xdr:row>
                    <xdr:rowOff>184150</xdr:rowOff>
                  </to>
                </anchor>
              </controlPr>
            </control>
          </mc:Choice>
        </mc:AlternateContent>
        <mc:AlternateContent xmlns:mc="http://schemas.openxmlformats.org/markup-compatibility/2006">
          <mc:Choice Requires="x14">
            <control shapeId="27697" r:id="rId9" name="Check Box 49">
              <controlPr locked="0" defaultSize="0" autoFill="0" autoLine="0" autoPict="0">
                <anchor moveWithCells="1">
                  <from>
                    <xdr:col>8</xdr:col>
                    <xdr:colOff>0</xdr:colOff>
                    <xdr:row>14</xdr:row>
                    <xdr:rowOff>0</xdr:rowOff>
                  </from>
                  <to>
                    <xdr:col>8</xdr:col>
                    <xdr:colOff>184150</xdr:colOff>
                    <xdr:row>14</xdr:row>
                    <xdr:rowOff>184150</xdr:rowOff>
                  </to>
                </anchor>
              </controlPr>
            </control>
          </mc:Choice>
        </mc:AlternateContent>
        <mc:AlternateContent xmlns:mc="http://schemas.openxmlformats.org/markup-compatibility/2006">
          <mc:Choice Requires="x14">
            <control shapeId="27698" r:id="rId10" name="Check Box 50">
              <controlPr locked="0" defaultSize="0" autoFill="0" autoLine="0" autoPict="0">
                <anchor moveWithCells="1">
                  <from>
                    <xdr:col>8</xdr:col>
                    <xdr:colOff>0</xdr:colOff>
                    <xdr:row>15</xdr:row>
                    <xdr:rowOff>0</xdr:rowOff>
                  </from>
                  <to>
                    <xdr:col>8</xdr:col>
                    <xdr:colOff>184150</xdr:colOff>
                    <xdr:row>15</xdr:row>
                    <xdr:rowOff>184150</xdr:rowOff>
                  </to>
                </anchor>
              </controlPr>
            </control>
          </mc:Choice>
        </mc:AlternateContent>
        <mc:AlternateContent xmlns:mc="http://schemas.openxmlformats.org/markup-compatibility/2006">
          <mc:Choice Requires="x14">
            <control shapeId="27699" r:id="rId11" name="Check Box 51">
              <controlPr locked="0" defaultSize="0" autoFill="0" autoLine="0" autoPict="0">
                <anchor moveWithCells="1">
                  <from>
                    <xdr:col>8</xdr:col>
                    <xdr:colOff>0</xdr:colOff>
                    <xdr:row>17</xdr:row>
                    <xdr:rowOff>0</xdr:rowOff>
                  </from>
                  <to>
                    <xdr:col>8</xdr:col>
                    <xdr:colOff>184150</xdr:colOff>
                    <xdr:row>17</xdr:row>
                    <xdr:rowOff>184150</xdr:rowOff>
                  </to>
                </anchor>
              </controlPr>
            </control>
          </mc:Choice>
        </mc:AlternateContent>
        <mc:AlternateContent xmlns:mc="http://schemas.openxmlformats.org/markup-compatibility/2006">
          <mc:Choice Requires="x14">
            <control shapeId="27700" r:id="rId12" name="Check Box 52">
              <controlPr locked="0" defaultSize="0" autoFill="0" autoLine="0" autoPict="0">
                <anchor moveWithCells="1">
                  <from>
                    <xdr:col>8</xdr:col>
                    <xdr:colOff>0</xdr:colOff>
                    <xdr:row>18</xdr:row>
                    <xdr:rowOff>0</xdr:rowOff>
                  </from>
                  <to>
                    <xdr:col>8</xdr:col>
                    <xdr:colOff>184150</xdr:colOff>
                    <xdr:row>18</xdr:row>
                    <xdr:rowOff>184150</xdr:rowOff>
                  </to>
                </anchor>
              </controlPr>
            </control>
          </mc:Choice>
        </mc:AlternateContent>
        <mc:AlternateContent xmlns:mc="http://schemas.openxmlformats.org/markup-compatibility/2006">
          <mc:Choice Requires="x14">
            <control shapeId="27701" r:id="rId13" name="Check Box 53">
              <controlPr locked="0" defaultSize="0" autoFill="0" autoLine="0" autoPict="0">
                <anchor moveWithCells="1">
                  <from>
                    <xdr:col>8</xdr:col>
                    <xdr:colOff>0</xdr:colOff>
                    <xdr:row>22</xdr:row>
                    <xdr:rowOff>0</xdr:rowOff>
                  </from>
                  <to>
                    <xdr:col>8</xdr:col>
                    <xdr:colOff>184150</xdr:colOff>
                    <xdr:row>22</xdr:row>
                    <xdr:rowOff>184150</xdr:rowOff>
                  </to>
                </anchor>
              </controlPr>
            </control>
          </mc:Choice>
        </mc:AlternateContent>
        <mc:AlternateContent xmlns:mc="http://schemas.openxmlformats.org/markup-compatibility/2006">
          <mc:Choice Requires="x14">
            <control shapeId="27702" r:id="rId14" name="Check Box 54">
              <controlPr locked="0" defaultSize="0" autoFill="0" autoLine="0" autoPict="0">
                <anchor moveWithCells="1">
                  <from>
                    <xdr:col>8</xdr:col>
                    <xdr:colOff>0</xdr:colOff>
                    <xdr:row>24</xdr:row>
                    <xdr:rowOff>0</xdr:rowOff>
                  </from>
                  <to>
                    <xdr:col>8</xdr:col>
                    <xdr:colOff>184150</xdr:colOff>
                    <xdr:row>24</xdr:row>
                    <xdr:rowOff>184150</xdr:rowOff>
                  </to>
                </anchor>
              </controlPr>
            </control>
          </mc:Choice>
        </mc:AlternateContent>
        <mc:AlternateContent xmlns:mc="http://schemas.openxmlformats.org/markup-compatibility/2006">
          <mc:Choice Requires="x14">
            <control shapeId="27703" r:id="rId15" name="Check Box 55">
              <controlPr locked="0" defaultSize="0" autoFill="0" autoLine="0" autoPict="0">
                <anchor moveWithCells="1">
                  <from>
                    <xdr:col>8</xdr:col>
                    <xdr:colOff>0</xdr:colOff>
                    <xdr:row>25</xdr:row>
                    <xdr:rowOff>0</xdr:rowOff>
                  </from>
                  <to>
                    <xdr:col>8</xdr:col>
                    <xdr:colOff>184150</xdr:colOff>
                    <xdr:row>25</xdr:row>
                    <xdr:rowOff>184150</xdr:rowOff>
                  </to>
                </anchor>
              </controlPr>
            </control>
          </mc:Choice>
        </mc:AlternateContent>
        <mc:AlternateContent xmlns:mc="http://schemas.openxmlformats.org/markup-compatibility/2006">
          <mc:Choice Requires="x14">
            <control shapeId="27704" r:id="rId16" name="Check Box 56">
              <controlPr locked="0" defaultSize="0" autoFill="0" autoLine="0" autoPict="0">
                <anchor moveWithCells="1">
                  <from>
                    <xdr:col>8</xdr:col>
                    <xdr:colOff>0</xdr:colOff>
                    <xdr:row>29</xdr:row>
                    <xdr:rowOff>0</xdr:rowOff>
                  </from>
                  <to>
                    <xdr:col>8</xdr:col>
                    <xdr:colOff>184150</xdr:colOff>
                    <xdr:row>29</xdr:row>
                    <xdr:rowOff>184150</xdr:rowOff>
                  </to>
                </anchor>
              </controlPr>
            </control>
          </mc:Choice>
        </mc:AlternateContent>
        <mc:AlternateContent xmlns:mc="http://schemas.openxmlformats.org/markup-compatibility/2006">
          <mc:Choice Requires="x14">
            <control shapeId="27706" r:id="rId17" name="Check Box 58">
              <controlPr locked="0" defaultSize="0" autoFill="0" autoLine="0" autoPict="0">
                <anchor moveWithCells="1">
                  <from>
                    <xdr:col>8</xdr:col>
                    <xdr:colOff>0</xdr:colOff>
                    <xdr:row>31</xdr:row>
                    <xdr:rowOff>0</xdr:rowOff>
                  </from>
                  <to>
                    <xdr:col>8</xdr:col>
                    <xdr:colOff>184150</xdr:colOff>
                    <xdr:row>31</xdr:row>
                    <xdr:rowOff>184150</xdr:rowOff>
                  </to>
                </anchor>
              </controlPr>
            </control>
          </mc:Choice>
        </mc:AlternateContent>
        <mc:AlternateContent xmlns:mc="http://schemas.openxmlformats.org/markup-compatibility/2006">
          <mc:Choice Requires="x14">
            <control shapeId="27707" r:id="rId18" name="Check Box 59">
              <controlPr locked="0" defaultSize="0" autoFill="0" autoLine="0" autoPict="0">
                <anchor moveWithCells="1">
                  <from>
                    <xdr:col>8</xdr:col>
                    <xdr:colOff>0</xdr:colOff>
                    <xdr:row>33</xdr:row>
                    <xdr:rowOff>0</xdr:rowOff>
                  </from>
                  <to>
                    <xdr:col>8</xdr:col>
                    <xdr:colOff>184150</xdr:colOff>
                    <xdr:row>33</xdr:row>
                    <xdr:rowOff>184150</xdr:rowOff>
                  </to>
                </anchor>
              </controlPr>
            </control>
          </mc:Choice>
        </mc:AlternateContent>
        <mc:AlternateContent xmlns:mc="http://schemas.openxmlformats.org/markup-compatibility/2006">
          <mc:Choice Requires="x14">
            <control shapeId="27708" r:id="rId19" name="Check Box 60">
              <controlPr locked="0" defaultSize="0" autoFill="0" autoLine="0" autoPict="0">
                <anchor moveWithCells="1">
                  <from>
                    <xdr:col>8</xdr:col>
                    <xdr:colOff>0</xdr:colOff>
                    <xdr:row>34</xdr:row>
                    <xdr:rowOff>0</xdr:rowOff>
                  </from>
                  <to>
                    <xdr:col>8</xdr:col>
                    <xdr:colOff>184150</xdr:colOff>
                    <xdr:row>34</xdr:row>
                    <xdr:rowOff>184150</xdr:rowOff>
                  </to>
                </anchor>
              </controlPr>
            </control>
          </mc:Choice>
        </mc:AlternateContent>
        <mc:AlternateContent xmlns:mc="http://schemas.openxmlformats.org/markup-compatibility/2006">
          <mc:Choice Requires="x14">
            <control shapeId="27709" r:id="rId20" name="Check Box 61">
              <controlPr locked="0" defaultSize="0" autoFill="0" autoLine="0" autoPict="0">
                <anchor moveWithCells="1">
                  <from>
                    <xdr:col>8</xdr:col>
                    <xdr:colOff>0</xdr:colOff>
                    <xdr:row>35</xdr:row>
                    <xdr:rowOff>0</xdr:rowOff>
                  </from>
                  <to>
                    <xdr:col>8</xdr:col>
                    <xdr:colOff>184150</xdr:colOff>
                    <xdr:row>35</xdr:row>
                    <xdr:rowOff>184150</xdr:rowOff>
                  </to>
                </anchor>
              </controlPr>
            </control>
          </mc:Choice>
        </mc:AlternateContent>
        <mc:AlternateContent xmlns:mc="http://schemas.openxmlformats.org/markup-compatibility/2006">
          <mc:Choice Requires="x14">
            <control shapeId="27710" r:id="rId21" name="Check Box 62">
              <controlPr locked="0" defaultSize="0" autoFill="0" autoLine="0" autoPict="0">
                <anchor moveWithCells="1">
                  <from>
                    <xdr:col>8</xdr:col>
                    <xdr:colOff>0</xdr:colOff>
                    <xdr:row>36</xdr:row>
                    <xdr:rowOff>0</xdr:rowOff>
                  </from>
                  <to>
                    <xdr:col>8</xdr:col>
                    <xdr:colOff>184150</xdr:colOff>
                    <xdr:row>36</xdr:row>
                    <xdr:rowOff>184150</xdr:rowOff>
                  </to>
                </anchor>
              </controlPr>
            </control>
          </mc:Choice>
        </mc:AlternateContent>
        <mc:AlternateContent xmlns:mc="http://schemas.openxmlformats.org/markup-compatibility/2006">
          <mc:Choice Requires="x14">
            <control shapeId="27711" r:id="rId22" name="Check Box 63">
              <controlPr locked="0" defaultSize="0" autoFill="0" autoLine="0" autoPict="0">
                <anchor moveWithCells="1">
                  <from>
                    <xdr:col>8</xdr:col>
                    <xdr:colOff>0</xdr:colOff>
                    <xdr:row>47</xdr:row>
                    <xdr:rowOff>0</xdr:rowOff>
                  </from>
                  <to>
                    <xdr:col>8</xdr:col>
                    <xdr:colOff>184150</xdr:colOff>
                    <xdr:row>47</xdr:row>
                    <xdr:rowOff>184150</xdr:rowOff>
                  </to>
                </anchor>
              </controlPr>
            </control>
          </mc:Choice>
        </mc:AlternateContent>
        <mc:AlternateContent xmlns:mc="http://schemas.openxmlformats.org/markup-compatibility/2006">
          <mc:Choice Requires="x14">
            <control shapeId="27712" r:id="rId23" name="Check Box 64">
              <controlPr locked="0" defaultSize="0" autoFill="0" autoLine="0" autoPict="0">
                <anchor moveWithCells="1">
                  <from>
                    <xdr:col>8</xdr:col>
                    <xdr:colOff>0</xdr:colOff>
                    <xdr:row>48</xdr:row>
                    <xdr:rowOff>0</xdr:rowOff>
                  </from>
                  <to>
                    <xdr:col>8</xdr:col>
                    <xdr:colOff>184150</xdr:colOff>
                    <xdr:row>48</xdr:row>
                    <xdr:rowOff>184150</xdr:rowOff>
                  </to>
                </anchor>
              </controlPr>
            </control>
          </mc:Choice>
        </mc:AlternateContent>
        <mc:AlternateContent xmlns:mc="http://schemas.openxmlformats.org/markup-compatibility/2006">
          <mc:Choice Requires="x14">
            <control shapeId="27713" r:id="rId24" name="Check Box 65">
              <controlPr locked="0" defaultSize="0" autoFill="0" autoLine="0" autoPict="0">
                <anchor moveWithCells="1">
                  <from>
                    <xdr:col>8</xdr:col>
                    <xdr:colOff>0</xdr:colOff>
                    <xdr:row>49</xdr:row>
                    <xdr:rowOff>0</xdr:rowOff>
                  </from>
                  <to>
                    <xdr:col>8</xdr:col>
                    <xdr:colOff>184150</xdr:colOff>
                    <xdr:row>49</xdr:row>
                    <xdr:rowOff>184150</xdr:rowOff>
                  </to>
                </anchor>
              </controlPr>
            </control>
          </mc:Choice>
        </mc:AlternateContent>
        <mc:AlternateContent xmlns:mc="http://schemas.openxmlformats.org/markup-compatibility/2006">
          <mc:Choice Requires="x14">
            <control shapeId="27714" r:id="rId25" name="Check Box 66">
              <controlPr locked="0" defaultSize="0" autoFill="0" autoLine="0" autoPict="0">
                <anchor moveWithCells="1">
                  <from>
                    <xdr:col>8</xdr:col>
                    <xdr:colOff>0</xdr:colOff>
                    <xdr:row>50</xdr:row>
                    <xdr:rowOff>0</xdr:rowOff>
                  </from>
                  <to>
                    <xdr:col>8</xdr:col>
                    <xdr:colOff>184150</xdr:colOff>
                    <xdr:row>50</xdr:row>
                    <xdr:rowOff>184150</xdr:rowOff>
                  </to>
                </anchor>
              </controlPr>
            </control>
          </mc:Choice>
        </mc:AlternateContent>
        <mc:AlternateContent xmlns:mc="http://schemas.openxmlformats.org/markup-compatibility/2006">
          <mc:Choice Requires="x14">
            <control shapeId="27715" r:id="rId26" name="Check Box 67">
              <controlPr locked="0" defaultSize="0" autoFill="0" autoLine="0" autoPict="0">
                <anchor moveWithCells="1">
                  <from>
                    <xdr:col>8</xdr:col>
                    <xdr:colOff>0</xdr:colOff>
                    <xdr:row>51</xdr:row>
                    <xdr:rowOff>0</xdr:rowOff>
                  </from>
                  <to>
                    <xdr:col>8</xdr:col>
                    <xdr:colOff>184150</xdr:colOff>
                    <xdr:row>51</xdr:row>
                    <xdr:rowOff>184150</xdr:rowOff>
                  </to>
                </anchor>
              </controlPr>
            </control>
          </mc:Choice>
        </mc:AlternateContent>
        <mc:AlternateContent xmlns:mc="http://schemas.openxmlformats.org/markup-compatibility/2006">
          <mc:Choice Requires="x14">
            <control shapeId="27716" r:id="rId27" name="Check Box 68">
              <controlPr locked="0" defaultSize="0" autoFill="0" autoLine="0" autoPict="0">
                <anchor moveWithCells="1">
                  <from>
                    <xdr:col>8</xdr:col>
                    <xdr:colOff>0</xdr:colOff>
                    <xdr:row>54</xdr:row>
                    <xdr:rowOff>0</xdr:rowOff>
                  </from>
                  <to>
                    <xdr:col>8</xdr:col>
                    <xdr:colOff>184150</xdr:colOff>
                    <xdr:row>54</xdr:row>
                    <xdr:rowOff>184150</xdr:rowOff>
                  </to>
                </anchor>
              </controlPr>
            </control>
          </mc:Choice>
        </mc:AlternateContent>
        <mc:AlternateContent xmlns:mc="http://schemas.openxmlformats.org/markup-compatibility/2006">
          <mc:Choice Requires="x14">
            <control shapeId="27717" r:id="rId28" name="Check Box 69">
              <controlPr locked="0" defaultSize="0" autoFill="0" autoLine="0" autoPict="0">
                <anchor moveWithCells="1">
                  <from>
                    <xdr:col>8</xdr:col>
                    <xdr:colOff>0</xdr:colOff>
                    <xdr:row>55</xdr:row>
                    <xdr:rowOff>0</xdr:rowOff>
                  </from>
                  <to>
                    <xdr:col>8</xdr:col>
                    <xdr:colOff>184150</xdr:colOff>
                    <xdr:row>55</xdr:row>
                    <xdr:rowOff>184150</xdr:rowOff>
                  </to>
                </anchor>
              </controlPr>
            </control>
          </mc:Choice>
        </mc:AlternateContent>
        <mc:AlternateContent xmlns:mc="http://schemas.openxmlformats.org/markup-compatibility/2006">
          <mc:Choice Requires="x14">
            <control shapeId="27719" r:id="rId29" name="Check Box 71">
              <controlPr locked="0" defaultSize="0" autoFill="0" autoLine="0" autoPict="0">
                <anchor moveWithCells="1">
                  <from>
                    <xdr:col>8</xdr:col>
                    <xdr:colOff>0</xdr:colOff>
                    <xdr:row>56</xdr:row>
                    <xdr:rowOff>0</xdr:rowOff>
                  </from>
                  <to>
                    <xdr:col>8</xdr:col>
                    <xdr:colOff>184150</xdr:colOff>
                    <xdr:row>56</xdr:row>
                    <xdr:rowOff>184150</xdr:rowOff>
                  </to>
                </anchor>
              </controlPr>
            </control>
          </mc:Choice>
        </mc:AlternateContent>
        <mc:AlternateContent xmlns:mc="http://schemas.openxmlformats.org/markup-compatibility/2006">
          <mc:Choice Requires="x14">
            <control shapeId="27720" r:id="rId30" name="Check Box 72">
              <controlPr locked="0" defaultSize="0" autoFill="0" autoLine="0" autoPict="0">
                <anchor moveWithCells="1">
                  <from>
                    <xdr:col>8</xdr:col>
                    <xdr:colOff>0</xdr:colOff>
                    <xdr:row>57</xdr:row>
                    <xdr:rowOff>0</xdr:rowOff>
                  </from>
                  <to>
                    <xdr:col>8</xdr:col>
                    <xdr:colOff>184150</xdr:colOff>
                    <xdr:row>57</xdr:row>
                    <xdr:rowOff>184150</xdr:rowOff>
                  </to>
                </anchor>
              </controlPr>
            </control>
          </mc:Choice>
        </mc:AlternateContent>
        <mc:AlternateContent xmlns:mc="http://schemas.openxmlformats.org/markup-compatibility/2006">
          <mc:Choice Requires="x14">
            <control shapeId="27721" r:id="rId31" name="Check Box 73">
              <controlPr locked="0" defaultSize="0" autoFill="0" autoLine="0" autoPict="0">
                <anchor moveWithCells="1">
                  <from>
                    <xdr:col>8</xdr:col>
                    <xdr:colOff>0</xdr:colOff>
                    <xdr:row>58</xdr:row>
                    <xdr:rowOff>0</xdr:rowOff>
                  </from>
                  <to>
                    <xdr:col>8</xdr:col>
                    <xdr:colOff>184150</xdr:colOff>
                    <xdr:row>59</xdr:row>
                    <xdr:rowOff>0</xdr:rowOff>
                  </to>
                </anchor>
              </controlPr>
            </control>
          </mc:Choice>
        </mc:AlternateContent>
        <mc:AlternateContent xmlns:mc="http://schemas.openxmlformats.org/markup-compatibility/2006">
          <mc:Choice Requires="x14">
            <control shapeId="27722" r:id="rId32" name="Check Box 74">
              <controlPr locked="0" defaultSize="0" autoFill="0" autoLine="0" autoPict="0">
                <anchor moveWithCells="1">
                  <from>
                    <xdr:col>8</xdr:col>
                    <xdr:colOff>0</xdr:colOff>
                    <xdr:row>60</xdr:row>
                    <xdr:rowOff>0</xdr:rowOff>
                  </from>
                  <to>
                    <xdr:col>8</xdr:col>
                    <xdr:colOff>184150</xdr:colOff>
                    <xdr:row>60</xdr:row>
                    <xdr:rowOff>184150</xdr:rowOff>
                  </to>
                </anchor>
              </controlPr>
            </control>
          </mc:Choice>
        </mc:AlternateContent>
        <mc:AlternateContent xmlns:mc="http://schemas.openxmlformats.org/markup-compatibility/2006">
          <mc:Choice Requires="x14">
            <control shapeId="27723" r:id="rId33" name="Check Box 75">
              <controlPr locked="0" defaultSize="0" autoFill="0" autoLine="0" autoPict="0">
                <anchor moveWithCells="1">
                  <from>
                    <xdr:col>8</xdr:col>
                    <xdr:colOff>0</xdr:colOff>
                    <xdr:row>61</xdr:row>
                    <xdr:rowOff>0</xdr:rowOff>
                  </from>
                  <to>
                    <xdr:col>8</xdr:col>
                    <xdr:colOff>184150</xdr:colOff>
                    <xdr:row>61</xdr:row>
                    <xdr:rowOff>184150</xdr:rowOff>
                  </to>
                </anchor>
              </controlPr>
            </control>
          </mc:Choice>
        </mc:AlternateContent>
        <mc:AlternateContent xmlns:mc="http://schemas.openxmlformats.org/markup-compatibility/2006">
          <mc:Choice Requires="x14">
            <control shapeId="27725" r:id="rId34" name="Check Box 77">
              <controlPr locked="0" defaultSize="0" autoFill="0" autoLine="0" autoPict="0">
                <anchor moveWithCells="1">
                  <from>
                    <xdr:col>8</xdr:col>
                    <xdr:colOff>0</xdr:colOff>
                    <xdr:row>26</xdr:row>
                    <xdr:rowOff>0</xdr:rowOff>
                  </from>
                  <to>
                    <xdr:col>8</xdr:col>
                    <xdr:colOff>184150</xdr:colOff>
                    <xdr:row>26</xdr:row>
                    <xdr:rowOff>184150</xdr:rowOff>
                  </to>
                </anchor>
              </controlPr>
            </control>
          </mc:Choice>
        </mc:AlternateContent>
        <mc:AlternateContent xmlns:mc="http://schemas.openxmlformats.org/markup-compatibility/2006">
          <mc:Choice Requires="x14">
            <control shapeId="27727" r:id="rId35" name="Check Box 79">
              <controlPr locked="0" defaultSize="0" autoFill="0" autoLine="0" autoPict="0">
                <anchor moveWithCells="1">
                  <from>
                    <xdr:col>8</xdr:col>
                    <xdr:colOff>0</xdr:colOff>
                    <xdr:row>37</xdr:row>
                    <xdr:rowOff>0</xdr:rowOff>
                  </from>
                  <to>
                    <xdr:col>8</xdr:col>
                    <xdr:colOff>184150</xdr:colOff>
                    <xdr:row>37</xdr:row>
                    <xdr:rowOff>184150</xdr:rowOff>
                  </to>
                </anchor>
              </controlPr>
            </control>
          </mc:Choice>
        </mc:AlternateContent>
        <mc:AlternateContent xmlns:mc="http://schemas.openxmlformats.org/markup-compatibility/2006">
          <mc:Choice Requires="x14">
            <control shapeId="27728" r:id="rId36" name="Check Box 80">
              <controlPr locked="0" defaultSize="0" autoFill="0" autoLine="0" autoPict="0">
                <anchor moveWithCells="1">
                  <from>
                    <xdr:col>8</xdr:col>
                    <xdr:colOff>0</xdr:colOff>
                    <xdr:row>38</xdr:row>
                    <xdr:rowOff>0</xdr:rowOff>
                  </from>
                  <to>
                    <xdr:col>8</xdr:col>
                    <xdr:colOff>184150</xdr:colOff>
                    <xdr:row>38</xdr:row>
                    <xdr:rowOff>184150</xdr:rowOff>
                  </to>
                </anchor>
              </controlPr>
            </control>
          </mc:Choice>
        </mc:AlternateContent>
        <mc:AlternateContent xmlns:mc="http://schemas.openxmlformats.org/markup-compatibility/2006">
          <mc:Choice Requires="x14">
            <control shapeId="27729" r:id="rId37" name="Check Box 81">
              <controlPr locked="0" defaultSize="0" autoFill="0" autoLine="0" autoPict="0">
                <anchor moveWithCells="1">
                  <from>
                    <xdr:col>8</xdr:col>
                    <xdr:colOff>0</xdr:colOff>
                    <xdr:row>39</xdr:row>
                    <xdr:rowOff>0</xdr:rowOff>
                  </from>
                  <to>
                    <xdr:col>8</xdr:col>
                    <xdr:colOff>184150</xdr:colOff>
                    <xdr:row>39</xdr:row>
                    <xdr:rowOff>184150</xdr:rowOff>
                  </to>
                </anchor>
              </controlPr>
            </control>
          </mc:Choice>
        </mc:AlternateContent>
        <mc:AlternateContent xmlns:mc="http://schemas.openxmlformats.org/markup-compatibility/2006">
          <mc:Choice Requires="x14">
            <control shapeId="27730" r:id="rId38" name="Check Box 82">
              <controlPr locked="0" defaultSize="0" autoFill="0" autoLine="0" autoPict="0">
                <anchor moveWithCells="1">
                  <from>
                    <xdr:col>8</xdr:col>
                    <xdr:colOff>0</xdr:colOff>
                    <xdr:row>40</xdr:row>
                    <xdr:rowOff>0</xdr:rowOff>
                  </from>
                  <to>
                    <xdr:col>8</xdr:col>
                    <xdr:colOff>184150</xdr:colOff>
                    <xdr:row>40</xdr:row>
                    <xdr:rowOff>184150</xdr:rowOff>
                  </to>
                </anchor>
              </controlPr>
            </control>
          </mc:Choice>
        </mc:AlternateContent>
        <mc:AlternateContent xmlns:mc="http://schemas.openxmlformats.org/markup-compatibility/2006">
          <mc:Choice Requires="x14">
            <control shapeId="27731" r:id="rId39" name="Check Box 83">
              <controlPr locked="0" defaultSize="0" autoFill="0" autoLine="0" autoPict="0">
                <anchor moveWithCells="1">
                  <from>
                    <xdr:col>8</xdr:col>
                    <xdr:colOff>0</xdr:colOff>
                    <xdr:row>41</xdr:row>
                    <xdr:rowOff>0</xdr:rowOff>
                  </from>
                  <to>
                    <xdr:col>8</xdr:col>
                    <xdr:colOff>184150</xdr:colOff>
                    <xdr:row>41</xdr:row>
                    <xdr:rowOff>184150</xdr:rowOff>
                  </to>
                </anchor>
              </controlPr>
            </control>
          </mc:Choice>
        </mc:AlternateContent>
        <mc:AlternateContent xmlns:mc="http://schemas.openxmlformats.org/markup-compatibility/2006">
          <mc:Choice Requires="x14">
            <control shapeId="27733" r:id="rId40" name="Check Box 85">
              <controlPr locked="0" defaultSize="0" autoFill="0" autoLine="0" autoPict="0">
                <anchor moveWithCells="1">
                  <from>
                    <xdr:col>8</xdr:col>
                    <xdr:colOff>0</xdr:colOff>
                    <xdr:row>43</xdr:row>
                    <xdr:rowOff>0</xdr:rowOff>
                  </from>
                  <to>
                    <xdr:col>8</xdr:col>
                    <xdr:colOff>184150</xdr:colOff>
                    <xdr:row>43</xdr:row>
                    <xdr:rowOff>184150</xdr:rowOff>
                  </to>
                </anchor>
              </controlPr>
            </control>
          </mc:Choice>
        </mc:AlternateContent>
        <mc:AlternateContent xmlns:mc="http://schemas.openxmlformats.org/markup-compatibility/2006">
          <mc:Choice Requires="x14">
            <control shapeId="27734" r:id="rId41" name="Check Box 86">
              <controlPr locked="0" defaultSize="0" autoFill="0" autoLine="0" autoPict="0">
                <anchor moveWithCells="1">
                  <from>
                    <xdr:col>8</xdr:col>
                    <xdr:colOff>0</xdr:colOff>
                    <xdr:row>44</xdr:row>
                    <xdr:rowOff>0</xdr:rowOff>
                  </from>
                  <to>
                    <xdr:col>8</xdr:col>
                    <xdr:colOff>184150</xdr:colOff>
                    <xdr:row>44</xdr:row>
                    <xdr:rowOff>184150</xdr:rowOff>
                  </to>
                </anchor>
              </controlPr>
            </control>
          </mc:Choice>
        </mc:AlternateContent>
        <mc:AlternateContent xmlns:mc="http://schemas.openxmlformats.org/markup-compatibility/2006">
          <mc:Choice Requires="x14">
            <control shapeId="27735" r:id="rId42" name="Check Box 87">
              <controlPr locked="0" defaultSize="0" autoFill="0" autoLine="0" autoPict="0">
                <anchor moveWithCells="1">
                  <from>
                    <xdr:col>8</xdr:col>
                    <xdr:colOff>0</xdr:colOff>
                    <xdr:row>45</xdr:row>
                    <xdr:rowOff>0</xdr:rowOff>
                  </from>
                  <to>
                    <xdr:col>8</xdr:col>
                    <xdr:colOff>184150</xdr:colOff>
                    <xdr:row>45</xdr:row>
                    <xdr:rowOff>184150</xdr:rowOff>
                  </to>
                </anchor>
              </controlPr>
            </control>
          </mc:Choice>
        </mc:AlternateContent>
        <mc:AlternateContent xmlns:mc="http://schemas.openxmlformats.org/markup-compatibility/2006">
          <mc:Choice Requires="x14">
            <control shapeId="27736" r:id="rId43" name="Check Box 88">
              <controlPr locked="0" defaultSize="0" autoFill="0" autoLine="0" autoPict="0">
                <anchor moveWithCells="1">
                  <from>
                    <xdr:col>8</xdr:col>
                    <xdr:colOff>0</xdr:colOff>
                    <xdr:row>46</xdr:row>
                    <xdr:rowOff>0</xdr:rowOff>
                  </from>
                  <to>
                    <xdr:col>8</xdr:col>
                    <xdr:colOff>184150</xdr:colOff>
                    <xdr:row>46</xdr:row>
                    <xdr:rowOff>184150</xdr:rowOff>
                  </to>
                </anchor>
              </controlPr>
            </control>
          </mc:Choice>
        </mc:AlternateContent>
        <mc:AlternateContent xmlns:mc="http://schemas.openxmlformats.org/markup-compatibility/2006">
          <mc:Choice Requires="x14">
            <control shapeId="27738" r:id="rId44" name="Check Box 90">
              <controlPr locked="0" defaultSize="0" autoFill="0" autoLine="0" autoPict="0">
                <anchor moveWithCells="1">
                  <from>
                    <xdr:col>8</xdr:col>
                    <xdr:colOff>0</xdr:colOff>
                    <xdr:row>19</xdr:row>
                    <xdr:rowOff>0</xdr:rowOff>
                  </from>
                  <to>
                    <xdr:col>8</xdr:col>
                    <xdr:colOff>184150</xdr:colOff>
                    <xdr:row>19</xdr:row>
                    <xdr:rowOff>184150</xdr:rowOff>
                  </to>
                </anchor>
              </controlPr>
            </control>
          </mc:Choice>
        </mc:AlternateContent>
        <mc:AlternateContent xmlns:mc="http://schemas.openxmlformats.org/markup-compatibility/2006">
          <mc:Choice Requires="x14">
            <control shapeId="27740" r:id="rId45" name="Check Box 92">
              <controlPr locked="0" defaultSize="0" autoFill="0" autoLine="0" autoPict="0">
                <anchor moveWithCells="1">
                  <from>
                    <xdr:col>8</xdr:col>
                    <xdr:colOff>0</xdr:colOff>
                    <xdr:row>27</xdr:row>
                    <xdr:rowOff>0</xdr:rowOff>
                  </from>
                  <to>
                    <xdr:col>8</xdr:col>
                    <xdr:colOff>184150</xdr:colOff>
                    <xdr:row>27</xdr:row>
                    <xdr:rowOff>184150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341" id="{31A7DF45-F348-433F-99A6-7A5E293585E0}">
            <xm:f>IF($P$18=Dropdowns!#REF!,TRUE,FALSE)</xm:f>
            <x14:dxf>
              <font>
                <color theme="1"/>
              </font>
            </x14:dxf>
          </x14:cfRule>
          <xm:sqref>A19:D23</xm:sqref>
        </x14:conditionalFormatting>
        <x14:conditionalFormatting xmlns:xm="http://schemas.microsoft.com/office/excel/2006/main">
          <x14:cfRule type="expression" priority="12343" id="{294FD1A7-26E7-438F-9BCA-B17EC9906DAF}">
            <xm:f>NOT(P18=Dropdowns!#REF!)</xm:f>
            <x14:dxf>
              <fill>
                <patternFill patternType="darkGrid">
                  <bgColor theme="0"/>
                </patternFill>
              </fill>
            </x14:dxf>
          </x14:cfRule>
          <xm:sqref>J19</xm:sqref>
        </x14:conditionalFormatting>
        <x14:conditionalFormatting xmlns:xm="http://schemas.microsoft.com/office/excel/2006/main">
          <x14:cfRule type="expression" priority="12345" id="{189944D4-7F07-42C7-94ED-4FA4E2C009B3}">
            <xm:f>NOT(P18=Dropdowns!#REF!)</xm:f>
            <x14:dxf>
              <fill>
                <patternFill patternType="darkGrid">
                  <bgColor theme="0"/>
                </patternFill>
              </fill>
            </x14:dxf>
          </x14:cfRule>
          <xm:sqref>J20</xm:sqref>
        </x14:conditionalFormatting>
        <x14:conditionalFormatting xmlns:xm="http://schemas.microsoft.com/office/excel/2006/main">
          <x14:cfRule type="expression" priority="12344" id="{F110A43A-96E7-4A7F-B35C-777AE8CDA7A9}">
            <xm:f>NOT(P18=Dropdowns!#REF!)</xm:f>
            <x14:dxf>
              <fill>
                <patternFill patternType="darkGrid">
                  <bgColor theme="0"/>
                </patternFill>
              </fill>
            </x14:dxf>
          </x14:cfRule>
          <xm:sqref>J23</xm:sqref>
        </x14:conditionalFormatting>
      </x14:conditionalFormattings>
    </ext>
    <ext xmlns:x14="http://schemas.microsoft.com/office/spreadsheetml/2009/9/main" uri="{CCE6A557-97BC-4b89-ADB6-D9C93CAAB3DF}">
      <x14:dataValidations xmlns:xm="http://schemas.microsoft.com/office/excel/2006/main" xWindow="570" yWindow="734" count="3">
        <x14:dataValidation type="list" allowBlank="1" showInputMessage="1" showErrorMessage="1" xr:uid="{00000000-0002-0000-0E00-000019000000}">
          <x14:formula1>
            <xm:f>OFFSET(Geography!$C$2,MATCH($P$14,Geography!$A$2:$A$3255,0)-1,0,COUNTIF(Geography!$A$2:$A$3255,$P$14),1)</xm:f>
          </x14:formula1>
          <xm:sqref>P15</xm:sqref>
        </x14:dataValidation>
        <x14:dataValidation type="list" allowBlank="1" showInputMessage="1" showErrorMessage="1" xr:uid="{00000000-0002-0000-0E00-00001B000000}">
          <x14:formula1>
            <xm:f>OFFSET(Geography!$C$2,MATCH($J$14,Geography!$A$2:$A$3255,0)-1,0,COUNTIF(Geography!$A$2:$A$3255,$J$14),1)</xm:f>
          </x14:formula1>
          <xm:sqref>J15:M15</xm:sqref>
        </x14:dataValidation>
        <x14:dataValidation type="list" allowBlank="1" showInputMessage="1" showErrorMessage="1" xr:uid="{00000000-0002-0000-0E00-00001A000000}">
          <x14:formula1>
            <xm:f>Geography!$J$2:$J$58</xm:f>
          </x14:formula1>
          <xm:sqref>P14 J14:M14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3ABBE-9860-4534-9F1C-89BFA42BB29E}">
  <sheetPr codeName="Sheet39" filterMode="1">
    <pageSetUpPr fitToPage="1"/>
  </sheetPr>
  <dimension ref="A1:I2468"/>
  <sheetViews>
    <sheetView showGridLines="0" zoomScaleNormal="100" workbookViewId="0">
      <pane ySplit="6" topLeftCell="A7" activePane="bottomLeft" state="frozen"/>
      <selection activeCell="E90" sqref="E90"/>
      <selection pane="bottomLeft"/>
    </sheetView>
  </sheetViews>
  <sheetFormatPr defaultRowHeight="14.5" x14ac:dyDescent="0.35"/>
  <cols>
    <col min="1" max="1" width="10.453125" customWidth="1"/>
    <col min="2" max="3" width="3.81640625" customWidth="1"/>
    <col min="4" max="4" width="71.7265625" customWidth="1"/>
    <col min="6" max="6" width="21.1796875" customWidth="1"/>
    <col min="7" max="7" width="9.1796875" style="366" customWidth="1"/>
    <col min="8" max="8" width="62.54296875" style="399" customWidth="1"/>
    <col min="9" max="9" width="9.1796875" customWidth="1"/>
  </cols>
  <sheetData>
    <row r="1" spans="1:9" x14ac:dyDescent="0.35">
      <c r="D1" s="1094" t="s">
        <v>4105</v>
      </c>
    </row>
    <row r="2" spans="1:9" ht="15" customHeight="1" x14ac:dyDescent="0.35">
      <c r="D2" s="1095"/>
    </row>
    <row r="3" spans="1:9" ht="15" customHeight="1" x14ac:dyDescent="0.35">
      <c r="D3" s="1095"/>
      <c r="G3" s="753"/>
      <c r="H3" s="399" t="s">
        <v>5651</v>
      </c>
    </row>
    <row r="4" spans="1:9" x14ac:dyDescent="0.35">
      <c r="D4" s="1096" t="s">
        <v>4104</v>
      </c>
      <c r="G4" s="753"/>
      <c r="H4" s="399" t="s">
        <v>5652</v>
      </c>
      <c r="I4" t="s">
        <v>5650</v>
      </c>
    </row>
    <row r="5" spans="1:9" x14ac:dyDescent="0.35">
      <c r="D5" s="1096"/>
      <c r="G5" s="753" t="s">
        <v>3973</v>
      </c>
      <c r="H5" s="399" t="s">
        <v>253</v>
      </c>
    </row>
    <row r="6" spans="1:9" ht="29.25" customHeight="1" x14ac:dyDescent="0.35">
      <c r="A6" s="451" t="s">
        <v>248</v>
      </c>
      <c r="B6" s="451"/>
      <c r="C6" s="596"/>
      <c r="D6" s="22" t="s">
        <v>310</v>
      </c>
      <c r="E6" s="588" t="s">
        <v>320</v>
      </c>
      <c r="F6" s="22" t="s">
        <v>252</v>
      </c>
      <c r="G6" s="366" t="s">
        <v>4090</v>
      </c>
      <c r="H6" s="174" t="s">
        <v>5100</v>
      </c>
    </row>
    <row r="7" spans="1:9" ht="18.5" hidden="1" x14ac:dyDescent="0.45">
      <c r="A7" s="14" t="s">
        <v>6087</v>
      </c>
      <c r="B7" s="14"/>
      <c r="C7" s="14"/>
      <c r="D7" s="584"/>
      <c r="E7" s="16"/>
      <c r="F7" s="521"/>
      <c r="G7" t="s">
        <v>247</v>
      </c>
    </row>
    <row r="8" spans="1:9" ht="15" hidden="1" customHeight="1" x14ac:dyDescent="0.35">
      <c r="A8" s="47" t="s">
        <v>254</v>
      </c>
      <c r="B8" s="47"/>
      <c r="C8" s="47"/>
      <c r="D8" s="838" t="s">
        <v>4114</v>
      </c>
      <c r="E8" s="41"/>
      <c r="G8" t="s">
        <v>247</v>
      </c>
    </row>
    <row r="9" spans="1:9" hidden="1" x14ac:dyDescent="0.35">
      <c r="A9" s="47"/>
      <c r="B9" s="47"/>
      <c r="C9" s="47"/>
      <c r="D9" s="838"/>
      <c r="E9" s="41"/>
      <c r="G9" t="s">
        <v>247</v>
      </c>
    </row>
    <row r="10" spans="1:9" hidden="1" x14ac:dyDescent="0.35">
      <c r="A10" s="47"/>
      <c r="B10" s="47"/>
      <c r="C10" s="47"/>
      <c r="D10" s="838"/>
      <c r="E10" s="41"/>
      <c r="G10" t="s">
        <v>247</v>
      </c>
    </row>
    <row r="11" spans="1:9" ht="18.5" hidden="1" x14ac:dyDescent="0.35">
      <c r="A11" s="48" t="s">
        <v>736</v>
      </c>
      <c r="B11" s="48"/>
      <c r="C11" s="48"/>
      <c r="D11" s="44"/>
      <c r="E11" s="34"/>
      <c r="G11" t="s">
        <v>247</v>
      </c>
    </row>
    <row r="12" spans="1:9" x14ac:dyDescent="0.35">
      <c r="A12" s="47" t="s">
        <v>255</v>
      </c>
      <c r="B12" s="47"/>
      <c r="C12" s="47"/>
      <c r="D12" s="578" t="s">
        <v>4896</v>
      </c>
      <c r="E12" s="542">
        <f>'Verification Report'!O13</f>
        <v>0</v>
      </c>
      <c r="G12" s="366" t="str">
        <f>IF(E12&gt;0,"P","")</f>
        <v/>
      </c>
    </row>
    <row r="13" spans="1:9" hidden="1" x14ac:dyDescent="0.35">
      <c r="A13" s="47"/>
      <c r="B13" s="100" t="s">
        <v>256</v>
      </c>
      <c r="C13" s="100"/>
      <c r="D13" s="579" t="s">
        <v>4897</v>
      </c>
      <c r="E13" s="542"/>
      <c r="F13" s="400" t="str">
        <f>IF(LEN('Verification Report'!W14)=0,"",'Verification Report'!W14)</f>
        <v/>
      </c>
      <c r="G13" t="s">
        <v>247</v>
      </c>
    </row>
    <row r="14" spans="1:9" x14ac:dyDescent="0.35">
      <c r="A14" s="47"/>
      <c r="B14" s="468" t="s">
        <v>258</v>
      </c>
      <c r="C14" s="47"/>
      <c r="D14" s="175" t="s">
        <v>4898</v>
      </c>
      <c r="E14" s="542"/>
      <c r="G14" s="727" t="str">
        <f>IF(COUNTIF(G15:G17,"P")&gt;0,"P","")</f>
        <v/>
      </c>
      <c r="H14" s="1097" t="s">
        <v>5055</v>
      </c>
      <c r="I14" s="350"/>
    </row>
    <row r="15" spans="1:9" x14ac:dyDescent="0.35">
      <c r="A15" s="47"/>
      <c r="C15" s="100" t="s">
        <v>121</v>
      </c>
      <c r="D15" s="228" t="s">
        <v>257</v>
      </c>
      <c r="E15" s="542"/>
      <c r="F15" s="400" t="str">
        <f>IF(LEN('Verification Report'!W16)=0,"",'Verification Report'!W16)</f>
        <v/>
      </c>
      <c r="G15" s="366" t="str">
        <f>IF(AND(LEN(F15)&gt;0,NOT(F15=FALSE)),"P","")</f>
        <v/>
      </c>
      <c r="H15" s="1098"/>
    </row>
    <row r="16" spans="1:9" x14ac:dyDescent="0.35">
      <c r="A16" s="47"/>
      <c r="C16" s="135" t="s">
        <v>122</v>
      </c>
      <c r="D16" s="228" t="s">
        <v>259</v>
      </c>
      <c r="E16" s="542"/>
      <c r="F16" s="400" t="str">
        <f>IF(LEN('Verification Report'!W17)=0,"",'Verification Report'!W17)</f>
        <v/>
      </c>
      <c r="G16" s="366" t="str">
        <f>IF(AND(LEN(F16)&gt;0,NOT(F16=FALSE)),"P","")</f>
        <v/>
      </c>
    </row>
    <row r="17" spans="1:9" ht="15" thickBot="1" x14ac:dyDescent="0.4">
      <c r="A17" s="52"/>
      <c r="B17" s="55"/>
      <c r="C17" s="63" t="s">
        <v>123</v>
      </c>
      <c r="D17" s="229" t="s">
        <v>261</v>
      </c>
      <c r="E17" s="543"/>
      <c r="F17" s="400" t="str">
        <f>IF(LEN('Verification Report'!W18)=0,"",'Verification Report'!W18)</f>
        <v/>
      </c>
      <c r="G17" s="366" t="str">
        <f>IF(AND(LEN(F17)&gt;0,NOT(F17=FALSE)),"P","")</f>
        <v/>
      </c>
    </row>
    <row r="18" spans="1:9" ht="15.75" customHeight="1" thickTop="1" x14ac:dyDescent="0.35">
      <c r="A18" s="47" t="s">
        <v>264</v>
      </c>
      <c r="B18" s="47"/>
      <c r="C18" s="47"/>
      <c r="D18" s="838" t="s">
        <v>265</v>
      </c>
      <c r="E18" s="41"/>
      <c r="G18" s="727" t="str">
        <f>IF(COUNTIF(G24,"P")&gt;0,"P","")</f>
        <v/>
      </c>
    </row>
    <row r="19" spans="1:9" x14ac:dyDescent="0.35">
      <c r="A19" s="47"/>
      <c r="B19" s="47"/>
      <c r="C19" s="47"/>
      <c r="D19" s="838"/>
      <c r="E19" s="41"/>
      <c r="G19" s="366" t="str">
        <f>G18</f>
        <v/>
      </c>
    </row>
    <row r="20" spans="1:9" ht="15" hidden="1" customHeight="1" x14ac:dyDescent="0.35">
      <c r="A20" s="47"/>
      <c r="B20" s="47" t="s">
        <v>256</v>
      </c>
      <c r="C20" s="47"/>
      <c r="D20" s="848" t="s">
        <v>266</v>
      </c>
      <c r="E20" s="542">
        <f>'Verification Report'!O21</f>
        <v>0</v>
      </c>
      <c r="F20" s="400" t="str">
        <f>IF(LEN('Verification Report'!W21)=0,"",'Verification Report'!W21)</f>
        <v/>
      </c>
      <c r="G20" t="s">
        <v>247</v>
      </c>
    </row>
    <row r="21" spans="1:9" hidden="1" x14ac:dyDescent="0.35">
      <c r="A21" s="47"/>
      <c r="B21" s="100"/>
      <c r="C21" s="100"/>
      <c r="D21" s="821"/>
      <c r="E21" s="598"/>
      <c r="G21" t="s">
        <v>247</v>
      </c>
    </row>
    <row r="22" spans="1:9" ht="15" hidden="1" customHeight="1" x14ac:dyDescent="0.35">
      <c r="A22" s="47"/>
      <c r="B22" s="47" t="s">
        <v>258</v>
      </c>
      <c r="C22" s="47"/>
      <c r="D22" s="814" t="s">
        <v>267</v>
      </c>
      <c r="E22" s="542">
        <f>'Verification Report'!O23</f>
        <v>0</v>
      </c>
      <c r="F22" s="400" t="str">
        <f>IF(LEN('Verification Report'!W23)=0,"",'Verification Report'!W23)</f>
        <v/>
      </c>
      <c r="G22" t="s">
        <v>247</v>
      </c>
    </row>
    <row r="23" spans="1:9" hidden="1" x14ac:dyDescent="0.35">
      <c r="A23" s="47"/>
      <c r="B23" s="100"/>
      <c r="C23" s="100"/>
      <c r="D23" s="815"/>
      <c r="E23" s="598"/>
      <c r="G23" t="s">
        <v>247</v>
      </c>
    </row>
    <row r="24" spans="1:9" ht="15" customHeight="1" x14ac:dyDescent="0.35">
      <c r="A24" s="47"/>
      <c r="B24" s="47" t="s">
        <v>260</v>
      </c>
      <c r="C24" s="47"/>
      <c r="D24" s="848" t="s">
        <v>268</v>
      </c>
      <c r="E24" s="542">
        <f>'Verification Report'!O25</f>
        <v>0</v>
      </c>
      <c r="F24" s="400" t="str">
        <f>IF(LEN('Verification Report'!W25)=0,"",'Verification Report'!W25)</f>
        <v/>
      </c>
      <c r="G24" s="366" t="str">
        <f>IF(E24&gt;0,"P","")</f>
        <v/>
      </c>
      <c r="H24" s="611" t="s">
        <v>5056</v>
      </c>
      <c r="I24" s="350"/>
    </row>
    <row r="25" spans="1:9" ht="15" thickBot="1" x14ac:dyDescent="0.4">
      <c r="A25" s="47"/>
      <c r="B25" s="100"/>
      <c r="C25" s="100"/>
      <c r="D25" s="821"/>
      <c r="E25" s="598"/>
      <c r="G25" s="366" t="str">
        <f>G24</f>
        <v/>
      </c>
    </row>
    <row r="26" spans="1:9" ht="15" hidden="1" customHeight="1" x14ac:dyDescent="0.35">
      <c r="A26" s="47"/>
      <c r="B26" s="47" t="s">
        <v>269</v>
      </c>
      <c r="C26" s="47"/>
      <c r="D26" s="814" t="s">
        <v>270</v>
      </c>
      <c r="E26" s="542">
        <f>'Verification Report'!O27</f>
        <v>0</v>
      </c>
      <c r="F26" s="400" t="str">
        <f>IF(LEN('Verification Report'!W27)=0,"",'Verification Report'!W27)</f>
        <v/>
      </c>
      <c r="G26" t="s">
        <v>247</v>
      </c>
    </row>
    <row r="27" spans="1:9" ht="15" hidden="1" thickBot="1" x14ac:dyDescent="0.4">
      <c r="A27" s="47"/>
      <c r="B27" s="47"/>
      <c r="C27" s="47"/>
      <c r="D27" s="814"/>
      <c r="E27" s="542"/>
      <c r="G27" t="s">
        <v>247</v>
      </c>
    </row>
    <row r="28" spans="1:9" ht="15" hidden="1" thickBot="1" x14ac:dyDescent="0.4">
      <c r="A28" s="47"/>
      <c r="B28" s="47"/>
      <c r="C28" s="47"/>
      <c r="D28" s="814"/>
      <c r="E28" s="542"/>
      <c r="G28" t="s">
        <v>247</v>
      </c>
    </row>
    <row r="29" spans="1:9" ht="15" hidden="1" thickBot="1" x14ac:dyDescent="0.4">
      <c r="A29" s="47"/>
      <c r="B29" s="47"/>
      <c r="C29" s="47"/>
      <c r="D29" s="814"/>
      <c r="E29" s="542"/>
      <c r="G29" t="s">
        <v>247</v>
      </c>
    </row>
    <row r="30" spans="1:9" ht="15" hidden="1" customHeight="1" x14ac:dyDescent="0.35">
      <c r="A30" s="47"/>
      <c r="B30" s="47"/>
      <c r="C30" s="47"/>
      <c r="D30" s="90" t="s">
        <v>271</v>
      </c>
      <c r="E30" s="542"/>
      <c r="G30" t="s">
        <v>247</v>
      </c>
    </row>
    <row r="31" spans="1:9" ht="15" hidden="1" thickBot="1" x14ac:dyDescent="0.4">
      <c r="A31" s="47"/>
      <c r="B31" s="47"/>
      <c r="C31" s="47"/>
      <c r="D31" s="90" t="s">
        <v>272</v>
      </c>
      <c r="E31" s="542"/>
      <c r="G31" t="s">
        <v>247</v>
      </c>
    </row>
    <row r="32" spans="1:9" ht="15" hidden="1" thickBot="1" x14ac:dyDescent="0.4">
      <c r="A32" s="47"/>
      <c r="B32" s="47"/>
      <c r="C32" s="47"/>
      <c r="D32" s="90" t="s">
        <v>273</v>
      </c>
      <c r="E32" s="542"/>
      <c r="G32" t="s">
        <v>247</v>
      </c>
    </row>
    <row r="33" spans="1:7" ht="15" hidden="1" thickBot="1" x14ac:dyDescent="0.4">
      <c r="A33" s="47"/>
      <c r="B33" s="47"/>
      <c r="C33" s="47"/>
      <c r="D33" s="90" t="s">
        <v>274</v>
      </c>
      <c r="E33" s="542"/>
      <c r="G33" t="s">
        <v>247</v>
      </c>
    </row>
    <row r="34" spans="1:7" ht="15" hidden="1" thickBot="1" x14ac:dyDescent="0.4">
      <c r="A34" s="47"/>
      <c r="B34" s="100"/>
      <c r="C34" s="100"/>
      <c r="D34" s="284" t="s">
        <v>284</v>
      </c>
      <c r="E34" s="542"/>
      <c r="G34" t="s">
        <v>247</v>
      </c>
    </row>
    <row r="35" spans="1:7" ht="15" hidden="1" customHeight="1" x14ac:dyDescent="0.35">
      <c r="D35" s="866" t="s">
        <v>4115</v>
      </c>
      <c r="G35" t="s">
        <v>247</v>
      </c>
    </row>
    <row r="36" spans="1:7" ht="15" hidden="1" thickBot="1" x14ac:dyDescent="0.4">
      <c r="D36" s="848"/>
      <c r="E36" s="600">
        <f ca="1">'Verification Report'!O37</f>
        <v>0</v>
      </c>
      <c r="F36" s="400" t="str">
        <f>IF(LEN('Verification Report'!W37)=0,"",'Verification Report'!W37)</f>
        <v/>
      </c>
      <c r="G36" t="s">
        <v>247</v>
      </c>
    </row>
    <row r="37" spans="1:7" ht="15" hidden="1" thickBot="1" x14ac:dyDescent="0.4">
      <c r="D37" s="848"/>
      <c r="E37" s="600"/>
      <c r="G37" t="s">
        <v>247</v>
      </c>
    </row>
    <row r="38" spans="1:7" ht="15" hidden="1" thickBot="1" x14ac:dyDescent="0.4">
      <c r="D38" s="848"/>
      <c r="E38" s="600"/>
      <c r="G38" t="s">
        <v>247</v>
      </c>
    </row>
    <row r="39" spans="1:7" ht="15" hidden="1" thickBot="1" x14ac:dyDescent="0.4">
      <c r="C39" s="467" t="s">
        <v>121</v>
      </c>
      <c r="D39" s="577" t="s">
        <v>4116</v>
      </c>
      <c r="G39" t="s">
        <v>247</v>
      </c>
    </row>
    <row r="40" spans="1:7" ht="15" hidden="1" thickBot="1" x14ac:dyDescent="0.4">
      <c r="B40" s="104"/>
      <c r="C40" s="472" t="s">
        <v>122</v>
      </c>
      <c r="D40" s="477" t="s">
        <v>4117</v>
      </c>
      <c r="G40" t="s">
        <v>247</v>
      </c>
    </row>
    <row r="41" spans="1:7" ht="15" hidden="1" customHeight="1" x14ac:dyDescent="0.35">
      <c r="A41" s="47"/>
      <c r="B41" s="47" t="s">
        <v>275</v>
      </c>
      <c r="C41" s="47"/>
      <c r="D41" s="814" t="s">
        <v>276</v>
      </c>
      <c r="E41" s="599">
        <f>'Verification Report'!O42</f>
        <v>0</v>
      </c>
      <c r="F41" s="400" t="str">
        <f>IF(LEN('Verification Report'!W42)=0,"",'Verification Report'!W42)</f>
        <v/>
      </c>
      <c r="G41" t="s">
        <v>247</v>
      </c>
    </row>
    <row r="42" spans="1:7" ht="15" hidden="1" thickBot="1" x14ac:dyDescent="0.4">
      <c r="A42" s="47"/>
      <c r="B42" s="47"/>
      <c r="C42" s="47"/>
      <c r="D42" s="814"/>
      <c r="E42" s="542"/>
      <c r="G42" t="s">
        <v>247</v>
      </c>
    </row>
    <row r="43" spans="1:7" ht="15" hidden="1" thickBot="1" x14ac:dyDescent="0.4">
      <c r="A43" s="47"/>
      <c r="B43" s="100"/>
      <c r="C43" s="100"/>
      <c r="D43" s="815"/>
      <c r="E43" s="598"/>
      <c r="G43" t="s">
        <v>247</v>
      </c>
    </row>
    <row r="44" spans="1:7" ht="15" hidden="1" customHeight="1" x14ac:dyDescent="0.35">
      <c r="A44" s="47"/>
      <c r="B44" s="47" t="s">
        <v>277</v>
      </c>
      <c r="C44" s="47"/>
      <c r="D44" s="814" t="s">
        <v>278</v>
      </c>
      <c r="E44" s="600">
        <f ca="1">'Verification Report'!O45</f>
        <v>0</v>
      </c>
      <c r="F44" s="400" t="str">
        <f>IF(LEN('Verification Report'!W45)=0,"",'Verification Report'!W45)</f>
        <v/>
      </c>
      <c r="G44" t="s">
        <v>247</v>
      </c>
    </row>
    <row r="45" spans="1:7" ht="15" hidden="1" thickBot="1" x14ac:dyDescent="0.4">
      <c r="A45" s="47"/>
      <c r="B45" s="47"/>
      <c r="C45" s="47"/>
      <c r="D45" s="814"/>
      <c r="E45" s="600"/>
      <c r="G45" t="s">
        <v>247</v>
      </c>
    </row>
    <row r="46" spans="1:7" ht="15" hidden="1" thickBot="1" x14ac:dyDescent="0.4">
      <c r="A46" s="47"/>
      <c r="B46" s="47"/>
      <c r="C46" s="47" t="s">
        <v>121</v>
      </c>
      <c r="D46" s="90" t="s">
        <v>279</v>
      </c>
      <c r="E46" s="41"/>
      <c r="G46" t="s">
        <v>247</v>
      </c>
    </row>
    <row r="47" spans="1:7" ht="15" hidden="1" thickBot="1" x14ac:dyDescent="0.4">
      <c r="A47" s="47"/>
      <c r="B47" s="47"/>
      <c r="C47" s="47" t="s">
        <v>122</v>
      </c>
      <c r="D47" s="90" t="s">
        <v>280</v>
      </c>
      <c r="E47" s="41"/>
      <c r="G47" t="s">
        <v>247</v>
      </c>
    </row>
    <row r="48" spans="1:7" ht="15" hidden="1" thickBot="1" x14ac:dyDescent="0.4">
      <c r="A48" s="47"/>
      <c r="B48" s="47"/>
      <c r="C48" s="49" t="s">
        <v>123</v>
      </c>
      <c r="D48" s="90" t="s">
        <v>281</v>
      </c>
      <c r="E48" s="41"/>
      <c r="G48" t="s">
        <v>247</v>
      </c>
    </row>
    <row r="49" spans="1:7" ht="15" hidden="1" customHeight="1" x14ac:dyDescent="0.35">
      <c r="C49" s="49" t="s">
        <v>401</v>
      </c>
      <c r="D49" s="825" t="s">
        <v>4118</v>
      </c>
      <c r="E49" s="41">
        <f ca="1">'Verification Report'!O50</f>
        <v>0</v>
      </c>
      <c r="F49" s="400" t="str">
        <f>IF(LEN('Verification Report'!W50)=0,"",'Verification Report'!W50)</f>
        <v/>
      </c>
      <c r="G49" t="s">
        <v>247</v>
      </c>
    </row>
    <row r="50" spans="1:7" ht="15" hidden="1" thickBot="1" x14ac:dyDescent="0.4">
      <c r="D50" s="825"/>
      <c r="E50" s="41"/>
      <c r="G50" t="s">
        <v>247</v>
      </c>
    </row>
    <row r="51" spans="1:7" ht="15" hidden="1" customHeight="1" x14ac:dyDescent="0.35">
      <c r="B51" s="468" t="s">
        <v>383</v>
      </c>
      <c r="C51" s="471"/>
      <c r="D51" s="828" t="s">
        <v>4120</v>
      </c>
      <c r="E51" s="552">
        <f>'Verification Report'!O52</f>
        <v>0</v>
      </c>
      <c r="F51" s="400" t="str">
        <f>IF(LEN('Verification Report'!W52)=0,"",'Verification Report'!W52)</f>
        <v/>
      </c>
      <c r="G51" t="s">
        <v>247</v>
      </c>
    </row>
    <row r="52" spans="1:7" ht="15" hidden="1" thickBot="1" x14ac:dyDescent="0.4">
      <c r="B52" s="467"/>
      <c r="C52" s="467"/>
      <c r="D52" s="825"/>
      <c r="E52" s="41"/>
      <c r="G52" t="s">
        <v>247</v>
      </c>
    </row>
    <row r="53" spans="1:7" ht="15" hidden="1" thickBot="1" x14ac:dyDescent="0.4">
      <c r="B53" s="472"/>
      <c r="C53" s="472"/>
      <c r="D53" s="284" t="s">
        <v>4123</v>
      </c>
      <c r="E53" s="546"/>
      <c r="G53" t="s">
        <v>247</v>
      </c>
    </row>
    <row r="54" spans="1:7" ht="15" hidden="1" thickBot="1" x14ac:dyDescent="0.4">
      <c r="B54" s="468" t="s">
        <v>428</v>
      </c>
      <c r="C54" s="471"/>
      <c r="D54" s="573" t="s">
        <v>4121</v>
      </c>
      <c r="E54" s="547">
        <f>'Verification Report'!O55</f>
        <v>0</v>
      </c>
      <c r="F54" s="400" t="str">
        <f>IF(LEN('Verification Report'!W55)=0,"",'Verification Report'!W55)</f>
        <v/>
      </c>
      <c r="G54" t="s">
        <v>247</v>
      </c>
    </row>
    <row r="55" spans="1:7" ht="15" hidden="1" thickBot="1" x14ac:dyDescent="0.4">
      <c r="B55" s="47"/>
      <c r="C55" s="467"/>
      <c r="D55" s="218" t="s">
        <v>4122</v>
      </c>
      <c r="E55" s="546"/>
      <c r="G55" t="s">
        <v>247</v>
      </c>
    </row>
    <row r="56" spans="1:7" ht="19" hidden="1" thickBot="1" x14ac:dyDescent="0.4">
      <c r="A56" s="35" t="s">
        <v>367</v>
      </c>
      <c r="B56" s="35"/>
      <c r="C56" s="35"/>
      <c r="D56" s="150"/>
      <c r="E56" s="544"/>
      <c r="G56" t="s">
        <v>247</v>
      </c>
    </row>
    <row r="57" spans="1:7" ht="15" hidden="1" customHeight="1" x14ac:dyDescent="0.35">
      <c r="A57" s="31">
        <v>502.1</v>
      </c>
      <c r="B57" s="50"/>
      <c r="C57" s="50"/>
      <c r="D57" s="838" t="s">
        <v>369</v>
      </c>
      <c r="E57" s="41">
        <f>'Verification Report'!O58</f>
        <v>0</v>
      </c>
      <c r="F57" s="400" t="str">
        <f>IF(LEN('Verification Report'!W58)=0,"",'Verification Report'!W58)</f>
        <v/>
      </c>
      <c r="G57" t="s">
        <v>247</v>
      </c>
    </row>
    <row r="58" spans="1:7" ht="15" hidden="1" thickBot="1" x14ac:dyDescent="0.4">
      <c r="A58" s="50"/>
      <c r="B58" s="50"/>
      <c r="C58" s="50"/>
      <c r="D58" s="838"/>
      <c r="E58" s="41"/>
      <c r="G58" t="s">
        <v>247</v>
      </c>
    </row>
    <row r="59" spans="1:7" ht="15" hidden="1" thickBot="1" x14ac:dyDescent="0.4">
      <c r="A59" s="50"/>
      <c r="B59" s="50"/>
      <c r="C59" s="50"/>
      <c r="D59" s="838"/>
      <c r="E59" s="41"/>
      <c r="G59" t="s">
        <v>247</v>
      </c>
    </row>
    <row r="60" spans="1:7" ht="15" hidden="1" thickBot="1" x14ac:dyDescent="0.4">
      <c r="A60" s="50"/>
      <c r="B60" s="50"/>
      <c r="C60" s="50"/>
      <c r="D60" s="838"/>
      <c r="E60" s="41"/>
      <c r="G60" t="s">
        <v>247</v>
      </c>
    </row>
    <row r="61" spans="1:7" ht="19" hidden="1" thickBot="1" x14ac:dyDescent="0.4">
      <c r="A61" s="35" t="s">
        <v>371</v>
      </c>
      <c r="B61" s="48"/>
      <c r="C61" s="48"/>
      <c r="D61" s="44"/>
      <c r="E61" s="544"/>
      <c r="G61" t="s">
        <v>247</v>
      </c>
    </row>
    <row r="62" spans="1:7" ht="15" hidden="1" customHeight="1" x14ac:dyDescent="0.35">
      <c r="A62" s="402" t="s">
        <v>372</v>
      </c>
      <c r="B62" s="50"/>
      <c r="C62" s="50"/>
      <c r="D62" s="838" t="s">
        <v>373</v>
      </c>
      <c r="E62" s="41"/>
      <c r="G62" t="s">
        <v>247</v>
      </c>
    </row>
    <row r="63" spans="1:7" ht="15" hidden="1" thickBot="1" x14ac:dyDescent="0.4">
      <c r="A63" s="50"/>
      <c r="B63" s="50"/>
      <c r="C63" s="50"/>
      <c r="D63" s="838"/>
      <c r="E63" s="41"/>
      <c r="G63" t="s">
        <v>247</v>
      </c>
    </row>
    <row r="64" spans="1:7" ht="15" hidden="1" thickBot="1" x14ac:dyDescent="0.4">
      <c r="A64" s="50"/>
      <c r="B64" s="50"/>
      <c r="C64" s="50"/>
      <c r="D64" s="838"/>
      <c r="E64" s="41"/>
      <c r="G64" t="s">
        <v>247</v>
      </c>
    </row>
    <row r="65" spans="1:8" ht="15" hidden="1" thickBot="1" x14ac:dyDescent="0.4">
      <c r="A65" s="50"/>
      <c r="B65" s="50"/>
      <c r="C65" s="50"/>
      <c r="D65" s="838"/>
      <c r="E65" s="41"/>
      <c r="G65" t="s">
        <v>247</v>
      </c>
    </row>
    <row r="66" spans="1:8" ht="15" hidden="1" thickBot="1" x14ac:dyDescent="0.4">
      <c r="A66" s="57"/>
      <c r="B66" s="57"/>
      <c r="C66" s="57"/>
      <c r="D66" s="275" t="s">
        <v>374</v>
      </c>
      <c r="E66" s="72"/>
      <c r="G66" t="s">
        <v>247</v>
      </c>
    </row>
    <row r="67" spans="1:8" ht="15" hidden="1" customHeight="1" thickTop="1" x14ac:dyDescent="0.35">
      <c r="A67" s="31">
        <v>503.1</v>
      </c>
      <c r="B67" s="172"/>
      <c r="C67" s="172"/>
      <c r="D67" s="172" t="s">
        <v>376</v>
      </c>
      <c r="E67" s="545"/>
      <c r="G67" t="s">
        <v>247</v>
      </c>
      <c r="H67" s="266"/>
    </row>
    <row r="68" spans="1:8" ht="15" hidden="1" customHeight="1" x14ac:dyDescent="0.35">
      <c r="A68" s="50"/>
      <c r="B68" s="47" t="s">
        <v>256</v>
      </c>
      <c r="C68" s="50"/>
      <c r="D68" s="821" t="s">
        <v>377</v>
      </c>
      <c r="E68" s="546">
        <f>'Verification Report'!O69</f>
        <v>0</v>
      </c>
      <c r="F68" s="400" t="str">
        <f>IF(LEN('Verification Report'!W69)=0,"",'Verification Report'!W69)</f>
        <v/>
      </c>
      <c r="G68" t="s">
        <v>247</v>
      </c>
      <c r="H68" s="266"/>
    </row>
    <row r="69" spans="1:8" ht="15" hidden="1" thickBot="1" x14ac:dyDescent="0.4">
      <c r="A69" s="50"/>
      <c r="B69" s="100"/>
      <c r="C69" s="103"/>
      <c r="D69" s="821"/>
      <c r="E69" s="546"/>
      <c r="G69" t="s">
        <v>247</v>
      </c>
      <c r="H69" s="266"/>
    </row>
    <row r="70" spans="1:8" ht="15" hidden="1" customHeight="1" x14ac:dyDescent="0.35">
      <c r="A70" s="50"/>
      <c r="B70" s="47" t="s">
        <v>258</v>
      </c>
      <c r="C70" s="50"/>
      <c r="D70" s="814" t="s">
        <v>378</v>
      </c>
      <c r="E70" s="41">
        <f>'Verification Report'!O71</f>
        <v>0</v>
      </c>
      <c r="F70" s="400" t="str">
        <f>IF(LEN('Verification Report'!W71)=0,"",'Verification Report'!W71)</f>
        <v/>
      </c>
      <c r="G70" t="s">
        <v>247</v>
      </c>
    </row>
    <row r="71" spans="1:8" ht="15" hidden="1" thickBot="1" x14ac:dyDescent="0.4">
      <c r="A71" s="50"/>
      <c r="B71" s="100"/>
      <c r="C71" s="103"/>
      <c r="D71" s="815"/>
      <c r="E71" s="546"/>
      <c r="G71" t="s">
        <v>247</v>
      </c>
    </row>
    <row r="72" spans="1:8" ht="15" hidden="1" customHeight="1" x14ac:dyDescent="0.35">
      <c r="A72" s="50"/>
      <c r="B72" s="47" t="s">
        <v>260</v>
      </c>
      <c r="C72" s="50"/>
      <c r="D72" s="814" t="s">
        <v>379</v>
      </c>
      <c r="E72" s="41">
        <f>'Verification Report'!O73</f>
        <v>0</v>
      </c>
      <c r="F72" s="400" t="str">
        <f>IF(LEN('Verification Report'!W73)=0,"",'Verification Report'!W73)</f>
        <v/>
      </c>
      <c r="G72" t="s">
        <v>247</v>
      </c>
    </row>
    <row r="73" spans="1:8" ht="15" hidden="1" thickBot="1" x14ac:dyDescent="0.4">
      <c r="A73" s="50"/>
      <c r="B73" s="100"/>
      <c r="C73" s="103"/>
      <c r="D73" s="815"/>
      <c r="E73" s="546"/>
      <c r="G73" t="s">
        <v>247</v>
      </c>
    </row>
    <row r="74" spans="1:8" ht="15" hidden="1" customHeight="1" x14ac:dyDescent="0.35">
      <c r="A74" s="50"/>
      <c r="B74" s="47" t="s">
        <v>269</v>
      </c>
      <c r="C74" s="50"/>
      <c r="D74" s="820" t="s">
        <v>380</v>
      </c>
      <c r="E74" s="552">
        <f>'Verification Report'!O75</f>
        <v>0</v>
      </c>
      <c r="F74" s="400" t="str">
        <f>IF(LEN('Verification Report'!W75)=0,"",'Verification Report'!W75)</f>
        <v/>
      </c>
      <c r="G74" t="s">
        <v>247</v>
      </c>
    </row>
    <row r="75" spans="1:8" ht="15" hidden="1" thickBot="1" x14ac:dyDescent="0.4">
      <c r="A75" s="50"/>
      <c r="B75" s="100"/>
      <c r="C75" s="103"/>
      <c r="D75" s="821"/>
      <c r="E75" s="546"/>
      <c r="G75" t="s">
        <v>247</v>
      </c>
    </row>
    <row r="76" spans="1:8" ht="15" hidden="1" customHeight="1" x14ac:dyDescent="0.35">
      <c r="A76" s="50"/>
      <c r="B76" s="468" t="s">
        <v>275</v>
      </c>
      <c r="C76" s="587"/>
      <c r="D76" s="820" t="s">
        <v>381</v>
      </c>
      <c r="E76" s="552">
        <f>'Verification Report'!O77</f>
        <v>0</v>
      </c>
      <c r="F76" s="400" t="str">
        <f>IF(LEN('Verification Report'!W77)=0,"",'Verification Report'!W77)</f>
        <v/>
      </c>
      <c r="G76" t="s">
        <v>247</v>
      </c>
    </row>
    <row r="77" spans="1:8" ht="15" hidden="1" thickBot="1" x14ac:dyDescent="0.4">
      <c r="A77" s="50"/>
      <c r="B77" s="100"/>
      <c r="C77" s="103"/>
      <c r="D77" s="821"/>
      <c r="E77" s="546"/>
      <c r="G77" t="s">
        <v>247</v>
      </c>
    </row>
    <row r="78" spans="1:8" ht="15" hidden="1" customHeight="1" x14ac:dyDescent="0.35">
      <c r="A78" s="50"/>
      <c r="B78" s="47" t="s">
        <v>277</v>
      </c>
      <c r="C78" s="50"/>
      <c r="D78" s="814" t="s">
        <v>382</v>
      </c>
      <c r="E78" s="41">
        <f>'Verification Report'!O79</f>
        <v>0</v>
      </c>
      <c r="F78" s="400" t="str">
        <f>IF(LEN('Verification Report'!W79)=0,"",'Verification Report'!W79)</f>
        <v/>
      </c>
      <c r="G78" t="s">
        <v>247</v>
      </c>
    </row>
    <row r="79" spans="1:8" ht="15" hidden="1" thickBot="1" x14ac:dyDescent="0.4">
      <c r="A79" s="50"/>
      <c r="B79" s="100"/>
      <c r="C79" s="103"/>
      <c r="D79" s="815"/>
      <c r="E79" s="546"/>
      <c r="G79" t="s">
        <v>247</v>
      </c>
    </row>
    <row r="80" spans="1:8" ht="15" hidden="1" customHeight="1" x14ac:dyDescent="0.35">
      <c r="A80" s="50"/>
      <c r="B80" s="47" t="s">
        <v>383</v>
      </c>
      <c r="C80" s="50"/>
      <c r="D80" s="814" t="s">
        <v>384</v>
      </c>
      <c r="E80" s="41">
        <f>'Verification Report'!O81</f>
        <v>0</v>
      </c>
      <c r="F80" s="400" t="str">
        <f>IF(LEN('Verification Report'!W81)=0,"",'Verification Report'!W81)</f>
        <v/>
      </c>
      <c r="G80" t="s">
        <v>247</v>
      </c>
    </row>
    <row r="81" spans="1:9" ht="15" hidden="1" thickBot="1" x14ac:dyDescent="0.4">
      <c r="A81" s="50"/>
      <c r="B81" s="50"/>
      <c r="C81" s="50"/>
      <c r="D81" s="814"/>
      <c r="E81" s="41"/>
      <c r="G81" t="s">
        <v>247</v>
      </c>
    </row>
    <row r="82" spans="1:9" ht="15" hidden="1" customHeight="1" x14ac:dyDescent="0.35">
      <c r="B82" s="468" t="s">
        <v>428</v>
      </c>
      <c r="C82" s="471"/>
      <c r="D82" s="828" t="s">
        <v>4124</v>
      </c>
      <c r="E82" s="552">
        <f>'Verification Report'!O83</f>
        <v>0</v>
      </c>
      <c r="F82" s="400" t="str">
        <f>IF(LEN('Verification Report'!W83)=0,"",'Verification Report'!W83)</f>
        <v/>
      </c>
      <c r="G82" t="s">
        <v>247</v>
      </c>
    </row>
    <row r="83" spans="1:9" ht="15" hidden="1" thickBot="1" x14ac:dyDescent="0.4">
      <c r="B83" s="467"/>
      <c r="C83" s="467"/>
      <c r="D83" s="825"/>
      <c r="E83" s="41"/>
      <c r="G83" t="s">
        <v>247</v>
      </c>
    </row>
    <row r="84" spans="1:9" ht="15" hidden="1" thickBot="1" x14ac:dyDescent="0.4">
      <c r="B84" s="467"/>
      <c r="C84" s="467"/>
      <c r="D84" s="825"/>
      <c r="E84" s="41"/>
      <c r="G84" t="s">
        <v>247</v>
      </c>
    </row>
    <row r="85" spans="1:9" ht="15" hidden="1" thickBot="1" x14ac:dyDescent="0.4">
      <c r="B85" s="467"/>
      <c r="C85" s="467"/>
      <c r="D85" s="825"/>
      <c r="E85" s="41"/>
      <c r="G85" t="s">
        <v>247</v>
      </c>
    </row>
    <row r="86" spans="1:9" ht="15" hidden="1" thickBot="1" x14ac:dyDescent="0.4">
      <c r="A86" s="55"/>
      <c r="B86" s="473"/>
      <c r="C86" s="473"/>
      <c r="D86" s="826"/>
      <c r="E86" s="72"/>
      <c r="G86" t="s">
        <v>247</v>
      </c>
    </row>
    <row r="87" spans="1:9" ht="15" customHeight="1" thickTop="1" x14ac:dyDescent="0.35">
      <c r="A87" s="31">
        <v>503.2</v>
      </c>
      <c r="B87" s="50"/>
      <c r="C87" s="50"/>
      <c r="D87" s="274" t="s">
        <v>386</v>
      </c>
      <c r="E87" s="41"/>
      <c r="G87" s="727" t="str">
        <f>IF(COUNTIF(G88:G97,"P")&gt;0,"P","")</f>
        <v/>
      </c>
    </row>
    <row r="88" spans="1:9" x14ac:dyDescent="0.35">
      <c r="A88" s="31"/>
      <c r="B88" s="50"/>
      <c r="C88" s="50"/>
      <c r="D88" s="218" t="s">
        <v>3379</v>
      </c>
      <c r="E88" s="41"/>
      <c r="F88" s="400" t="str">
        <f>IF(LEN('Verification Report'!W89)=0,"",'Verification Report'!W89)</f>
        <v/>
      </c>
      <c r="G88" s="366" t="str">
        <f>IF(AND(LEN(F88)&gt;0,NOT(F88=FALSE)),"P","")</f>
        <v/>
      </c>
      <c r="H88" s="611" t="s">
        <v>5057</v>
      </c>
      <c r="I88" s="350"/>
    </row>
    <row r="89" spans="1:9" hidden="1" x14ac:dyDescent="0.35">
      <c r="A89" s="50"/>
      <c r="B89" s="100" t="s">
        <v>256</v>
      </c>
      <c r="C89" s="103"/>
      <c r="D89" s="228" t="s">
        <v>387</v>
      </c>
      <c r="E89" s="546">
        <f>'Verification Report'!O90</f>
        <v>0</v>
      </c>
      <c r="F89" s="400" t="str">
        <f>IF(LEN('Verification Report'!W90)=0,"",'Verification Report'!W90)</f>
        <v/>
      </c>
      <c r="G89" t="s">
        <v>247</v>
      </c>
    </row>
    <row r="90" spans="1:9" ht="15" hidden="1" customHeight="1" x14ac:dyDescent="0.35">
      <c r="A90" s="50"/>
      <c r="B90" s="47" t="s">
        <v>258</v>
      </c>
      <c r="C90" s="50"/>
      <c r="D90" s="814" t="s">
        <v>388</v>
      </c>
      <c r="E90" s="41">
        <f>'Verification Report'!O91</f>
        <v>0</v>
      </c>
      <c r="F90" s="400" t="str">
        <f>IF(LEN('Verification Report'!W91)=0,"",'Verification Report'!W91)</f>
        <v/>
      </c>
      <c r="G90" t="s">
        <v>247</v>
      </c>
    </row>
    <row r="91" spans="1:9" hidden="1" x14ac:dyDescent="0.35">
      <c r="A91" s="50"/>
      <c r="B91" s="103"/>
      <c r="C91" s="103"/>
      <c r="D91" s="815"/>
      <c r="E91" s="546"/>
      <c r="G91" t="s">
        <v>247</v>
      </c>
    </row>
    <row r="92" spans="1:9" ht="15" hidden="1" customHeight="1" x14ac:dyDescent="0.35">
      <c r="A92" s="50"/>
      <c r="B92" s="47" t="s">
        <v>260</v>
      </c>
      <c r="C92" s="50"/>
      <c r="D92" s="814" t="s">
        <v>389</v>
      </c>
      <c r="E92" s="41">
        <f ca="1">'Verification Report'!O93</f>
        <v>0</v>
      </c>
      <c r="F92" s="400" t="str">
        <f>IF(LEN('Verification Report'!W93)=0,"",'Verification Report'!W93)</f>
        <v/>
      </c>
      <c r="G92" t="s">
        <v>247</v>
      </c>
    </row>
    <row r="93" spans="1:9" hidden="1" x14ac:dyDescent="0.35">
      <c r="A93" s="50"/>
      <c r="B93" s="50"/>
      <c r="C93" s="50"/>
      <c r="D93" s="814"/>
      <c r="E93" s="41"/>
      <c r="G93" t="s">
        <v>247</v>
      </c>
    </row>
    <row r="94" spans="1:9" hidden="1" x14ac:dyDescent="0.35">
      <c r="A94" s="50"/>
      <c r="B94" s="50"/>
      <c r="C94" s="47" t="s">
        <v>121</v>
      </c>
      <c r="D94" s="90" t="s">
        <v>766</v>
      </c>
      <c r="E94" s="41"/>
      <c r="G94" t="s">
        <v>247</v>
      </c>
    </row>
    <row r="95" spans="1:9" hidden="1" x14ac:dyDescent="0.35">
      <c r="A95" s="50"/>
      <c r="B95" s="50"/>
      <c r="C95" s="47" t="s">
        <v>122</v>
      </c>
      <c r="D95" s="90" t="s">
        <v>390</v>
      </c>
      <c r="E95" s="41"/>
      <c r="G95" t="s">
        <v>247</v>
      </c>
    </row>
    <row r="96" spans="1:9" hidden="1" x14ac:dyDescent="0.35">
      <c r="A96" s="50"/>
      <c r="B96" s="103"/>
      <c r="C96" s="105" t="s">
        <v>123</v>
      </c>
      <c r="D96" s="228" t="s">
        <v>391</v>
      </c>
      <c r="E96" s="546"/>
      <c r="G96" t="s">
        <v>247</v>
      </c>
    </row>
    <row r="97" spans="1:9" ht="15" customHeight="1" x14ac:dyDescent="0.35">
      <c r="A97" s="50"/>
      <c r="B97" s="47" t="s">
        <v>269</v>
      </c>
      <c r="C97" s="50"/>
      <c r="D97" s="814" t="s">
        <v>392</v>
      </c>
      <c r="E97" s="41">
        <f>'Verification Report'!O98</f>
        <v>0</v>
      </c>
      <c r="F97" s="400" t="str">
        <f>IF(LEN('Verification Report'!W98)=0,"",'Verification Report'!W98)</f>
        <v/>
      </c>
      <c r="G97" s="366" t="str">
        <f>IF(E97&gt;0,"P","")</f>
        <v/>
      </c>
      <c r="H97" s="611" t="s">
        <v>5058</v>
      </c>
      <c r="I97" s="350"/>
    </row>
    <row r="98" spans="1:9" ht="15" thickBot="1" x14ac:dyDescent="0.4">
      <c r="A98" s="50"/>
      <c r="B98" s="103"/>
      <c r="C98" s="103"/>
      <c r="D98" s="815"/>
      <c r="E98" s="546"/>
      <c r="G98" s="366" t="str">
        <f>G97</f>
        <v/>
      </c>
    </row>
    <row r="99" spans="1:9" ht="15" hidden="1" thickBot="1" x14ac:dyDescent="0.4">
      <c r="A99" s="57"/>
      <c r="B99" s="52" t="s">
        <v>275</v>
      </c>
      <c r="C99" s="57"/>
      <c r="D99" s="229" t="s">
        <v>393</v>
      </c>
      <c r="E99" s="72">
        <f>'Verification Report'!O100</f>
        <v>0</v>
      </c>
      <c r="F99" s="400" t="str">
        <f>IF(LEN('Verification Report'!W100)=0,"",'Verification Report'!W100)</f>
        <v/>
      </c>
      <c r="G99" t="s">
        <v>247</v>
      </c>
    </row>
    <row r="100" spans="1:9" ht="15.75" hidden="1" customHeight="1" thickTop="1" x14ac:dyDescent="0.35">
      <c r="A100" s="60">
        <v>503.3</v>
      </c>
      <c r="B100" s="61"/>
      <c r="C100" s="61"/>
      <c r="D100" s="837" t="s">
        <v>395</v>
      </c>
      <c r="E100" s="545"/>
      <c r="G100" t="s">
        <v>247</v>
      </c>
    </row>
    <row r="101" spans="1:9" ht="15" hidden="1" thickBot="1" x14ac:dyDescent="0.4">
      <c r="A101" s="50"/>
      <c r="B101" s="50"/>
      <c r="C101" s="50"/>
      <c r="D101" s="838"/>
      <c r="E101" s="41"/>
      <c r="G101" t="s">
        <v>247</v>
      </c>
    </row>
    <row r="102" spans="1:9" ht="15" hidden="1" thickBot="1" x14ac:dyDescent="0.4">
      <c r="A102" s="50"/>
      <c r="B102" s="50"/>
      <c r="C102" s="50"/>
      <c r="D102" s="218" t="s">
        <v>767</v>
      </c>
      <c r="E102" s="41"/>
      <c r="G102" t="s">
        <v>247</v>
      </c>
    </row>
    <row r="103" spans="1:9" ht="15" hidden="1" customHeight="1" x14ac:dyDescent="0.35">
      <c r="A103" s="50"/>
      <c r="B103" s="47" t="s">
        <v>256</v>
      </c>
      <c r="C103" s="50"/>
      <c r="D103" s="814" t="s">
        <v>396</v>
      </c>
      <c r="E103" s="41">
        <f>'Verification Report'!O104</f>
        <v>0</v>
      </c>
      <c r="F103" s="400" t="str">
        <f>IF(LEN('Verification Report'!W104)=0,"",'Verification Report'!W104)</f>
        <v/>
      </c>
      <c r="G103" t="s">
        <v>247</v>
      </c>
    </row>
    <row r="104" spans="1:9" ht="15" hidden="1" thickBot="1" x14ac:dyDescent="0.4">
      <c r="A104" s="50"/>
      <c r="B104" s="100"/>
      <c r="C104" s="103"/>
      <c r="D104" s="815"/>
      <c r="E104" s="546"/>
      <c r="G104" t="s">
        <v>247</v>
      </c>
    </row>
    <row r="105" spans="1:9" ht="15" hidden="1" customHeight="1" x14ac:dyDescent="0.35">
      <c r="A105" s="50"/>
      <c r="B105" s="47" t="s">
        <v>258</v>
      </c>
      <c r="C105" s="50"/>
      <c r="D105" s="814" t="s">
        <v>397</v>
      </c>
      <c r="E105" s="552">
        <f>'Verification Report'!O106</f>
        <v>0</v>
      </c>
      <c r="G105" t="s">
        <v>247</v>
      </c>
    </row>
    <row r="106" spans="1:9" ht="15" hidden="1" thickBot="1" x14ac:dyDescent="0.4">
      <c r="A106" s="50"/>
      <c r="B106" s="50"/>
      <c r="C106" s="50"/>
      <c r="D106" s="814"/>
      <c r="E106" s="41"/>
      <c r="G106" t="s">
        <v>247</v>
      </c>
    </row>
    <row r="107" spans="1:9" ht="15" hidden="1" thickBot="1" x14ac:dyDescent="0.4">
      <c r="A107" s="50"/>
      <c r="B107" s="50"/>
      <c r="C107" s="47" t="s">
        <v>121</v>
      </c>
      <c r="D107" s="90" t="s">
        <v>398</v>
      </c>
      <c r="E107" s="41"/>
      <c r="F107" s="400" t="str">
        <f>IF(LEN('Verification Report'!W108)=0,"",'Verification Report'!W108)</f>
        <v/>
      </c>
      <c r="G107" t="s">
        <v>247</v>
      </c>
    </row>
    <row r="108" spans="1:9" ht="15" hidden="1" customHeight="1" x14ac:dyDescent="0.35">
      <c r="A108" s="50"/>
      <c r="B108" s="50"/>
      <c r="C108" s="47" t="s">
        <v>122</v>
      </c>
      <c r="D108" s="814" t="s">
        <v>399</v>
      </c>
      <c r="E108" s="41"/>
      <c r="F108" s="400" t="str">
        <f>IF(LEN('Verification Report'!W109)=0,"",'Verification Report'!W109)</f>
        <v/>
      </c>
      <c r="G108" t="s">
        <v>247</v>
      </c>
    </row>
    <row r="109" spans="1:9" ht="15" hidden="1" thickBot="1" x14ac:dyDescent="0.4">
      <c r="A109" s="50"/>
      <c r="B109" s="50"/>
      <c r="C109" s="50"/>
      <c r="D109" s="814"/>
      <c r="E109" s="41"/>
      <c r="G109" t="s">
        <v>247</v>
      </c>
    </row>
    <row r="110" spans="1:9" ht="15" hidden="1" thickBot="1" x14ac:dyDescent="0.4">
      <c r="A110" s="50"/>
      <c r="B110" s="50"/>
      <c r="C110" s="49" t="s">
        <v>123</v>
      </c>
      <c r="D110" s="90" t="s">
        <v>400</v>
      </c>
      <c r="E110" s="41"/>
      <c r="F110" s="400" t="str">
        <f>IF(LEN('Verification Report'!W111)=0,"",'Verification Report'!W111)</f>
        <v/>
      </c>
      <c r="G110" t="s">
        <v>247</v>
      </c>
    </row>
    <row r="111" spans="1:9" ht="15" hidden="1" thickBot="1" x14ac:dyDescent="0.4">
      <c r="A111" s="50"/>
      <c r="B111" s="103"/>
      <c r="C111" s="105" t="s">
        <v>401</v>
      </c>
      <c r="D111" s="228" t="s">
        <v>402</v>
      </c>
      <c r="E111" s="546"/>
      <c r="F111" s="400" t="str">
        <f>IF(LEN('Verification Report'!W112)=0,"",'Verification Report'!W112)</f>
        <v/>
      </c>
      <c r="G111" t="s">
        <v>247</v>
      </c>
    </row>
    <row r="112" spans="1:9" ht="15" hidden="1" thickBot="1" x14ac:dyDescent="0.4">
      <c r="A112" s="57"/>
      <c r="B112" s="52" t="s">
        <v>260</v>
      </c>
      <c r="C112" s="57"/>
      <c r="D112" s="229" t="s">
        <v>403</v>
      </c>
      <c r="E112" s="72">
        <f>'Verification Report'!O113</f>
        <v>0</v>
      </c>
      <c r="F112" s="400" t="str">
        <f>IF(LEN('Verification Report'!W113)=0,"",'Verification Report'!W113)</f>
        <v/>
      </c>
      <c r="G112" t="s">
        <v>247</v>
      </c>
    </row>
    <row r="113" spans="1:7" ht="15.75" customHeight="1" thickTop="1" x14ac:dyDescent="0.35">
      <c r="A113" s="31">
        <v>503.4</v>
      </c>
      <c r="B113" s="50"/>
      <c r="C113" s="50"/>
      <c r="D113" s="837" t="s">
        <v>405</v>
      </c>
      <c r="E113" s="41"/>
      <c r="G113" s="727" t="str">
        <f>IF(COUNTIF(G141,"P")&gt;0,"P","")</f>
        <v/>
      </c>
    </row>
    <row r="114" spans="1:7" x14ac:dyDescent="0.35">
      <c r="A114" s="50"/>
      <c r="B114" s="50"/>
      <c r="C114" s="50"/>
      <c r="D114" s="838"/>
      <c r="E114" s="41"/>
      <c r="G114" s="366" t="str">
        <f>G113</f>
        <v/>
      </c>
    </row>
    <row r="115" spans="1:7" x14ac:dyDescent="0.35">
      <c r="A115" s="50"/>
      <c r="B115" s="50"/>
      <c r="C115" s="50"/>
      <c r="D115" s="838"/>
      <c r="E115" s="41"/>
      <c r="G115" s="366" t="str">
        <f>G114</f>
        <v/>
      </c>
    </row>
    <row r="116" spans="1:7" x14ac:dyDescent="0.35">
      <c r="A116" s="50"/>
      <c r="B116" s="50"/>
      <c r="C116" s="50"/>
      <c r="D116" s="838"/>
      <c r="E116" s="41"/>
      <c r="G116" s="366" t="str">
        <f>G115</f>
        <v/>
      </c>
    </row>
    <row r="117" spans="1:7" ht="15" hidden="1" customHeight="1" x14ac:dyDescent="0.35">
      <c r="A117" s="50"/>
      <c r="B117" s="50"/>
      <c r="C117" s="50"/>
      <c r="D117" s="855" t="s">
        <v>2964</v>
      </c>
      <c r="E117" s="41"/>
      <c r="G117" t="s">
        <v>247</v>
      </c>
    </row>
    <row r="118" spans="1:7" hidden="1" x14ac:dyDescent="0.35">
      <c r="A118" s="50"/>
      <c r="B118" s="50"/>
      <c r="C118" s="50"/>
      <c r="D118" s="855"/>
      <c r="E118" s="41"/>
      <c r="G118" t="s">
        <v>247</v>
      </c>
    </row>
    <row r="119" spans="1:7" hidden="1" x14ac:dyDescent="0.35">
      <c r="A119" s="50"/>
      <c r="B119" s="50"/>
      <c r="C119" s="50"/>
      <c r="D119" s="855"/>
      <c r="E119" s="41"/>
      <c r="G119" t="s">
        <v>247</v>
      </c>
    </row>
    <row r="120" spans="1:7" ht="15" hidden="1" customHeight="1" x14ac:dyDescent="0.35">
      <c r="A120" s="50"/>
      <c r="B120" s="47" t="s">
        <v>256</v>
      </c>
      <c r="C120" s="50"/>
      <c r="D120" s="814" t="s">
        <v>406</v>
      </c>
      <c r="E120" s="41">
        <f>'Verification Report'!O121</f>
        <v>0</v>
      </c>
      <c r="F120" s="400" t="str">
        <f>IF(LEN('Verification Report'!W121)=0,"",'Verification Report'!W121)</f>
        <v/>
      </c>
      <c r="G120" t="s">
        <v>247</v>
      </c>
    </row>
    <row r="121" spans="1:7" hidden="1" x14ac:dyDescent="0.35">
      <c r="A121" s="50"/>
      <c r="B121" s="47"/>
      <c r="C121" s="50"/>
      <c r="D121" s="814"/>
      <c r="E121" s="41"/>
      <c r="G121" t="s">
        <v>247</v>
      </c>
    </row>
    <row r="122" spans="1:7" hidden="1" x14ac:dyDescent="0.35">
      <c r="A122" s="50"/>
      <c r="B122" s="103"/>
      <c r="C122" s="103"/>
      <c r="D122" s="815"/>
      <c r="E122" s="546"/>
      <c r="G122" t="s">
        <v>247</v>
      </c>
    </row>
    <row r="123" spans="1:7" ht="15" hidden="1" customHeight="1" x14ac:dyDescent="0.35">
      <c r="A123" s="50"/>
      <c r="B123" s="47" t="s">
        <v>258</v>
      </c>
      <c r="C123" s="50"/>
      <c r="D123" s="814" t="s">
        <v>407</v>
      </c>
      <c r="E123" s="41">
        <f>'Verification Report'!O124</f>
        <v>0</v>
      </c>
      <c r="F123" s="400" t="str">
        <f>IF(LEN('Verification Report'!W124)=0,"",'Verification Report'!W124)</f>
        <v/>
      </c>
      <c r="G123" t="s">
        <v>247</v>
      </c>
    </row>
    <row r="124" spans="1:7" hidden="1" x14ac:dyDescent="0.35">
      <c r="A124" s="50"/>
      <c r="B124" s="50"/>
      <c r="C124" s="50"/>
      <c r="D124" s="814"/>
      <c r="E124" s="41"/>
      <c r="G124" t="s">
        <v>247</v>
      </c>
    </row>
    <row r="125" spans="1:7" hidden="1" x14ac:dyDescent="0.35">
      <c r="A125" s="50"/>
      <c r="B125" s="50"/>
      <c r="C125" s="50"/>
      <c r="D125" s="814"/>
      <c r="E125" s="41"/>
      <c r="G125" t="s">
        <v>247</v>
      </c>
    </row>
    <row r="126" spans="1:7" hidden="1" x14ac:dyDescent="0.35">
      <c r="A126" s="50"/>
      <c r="B126" s="103"/>
      <c r="C126" s="103"/>
      <c r="D126" s="815"/>
      <c r="E126" s="546"/>
      <c r="G126" t="s">
        <v>247</v>
      </c>
    </row>
    <row r="127" spans="1:7" ht="15" hidden="1" customHeight="1" x14ac:dyDescent="0.35">
      <c r="A127" s="50"/>
      <c r="B127" s="47" t="s">
        <v>260</v>
      </c>
      <c r="C127" s="50"/>
      <c r="D127" s="814" t="s">
        <v>408</v>
      </c>
      <c r="E127" s="41">
        <f ca="1">'Verification Report'!O128</f>
        <v>0</v>
      </c>
      <c r="F127" s="400" t="str">
        <f>IF(LEN('Verification Report'!W128)=0,"",'Verification Report'!W128)</f>
        <v/>
      </c>
      <c r="G127" t="s">
        <v>247</v>
      </c>
    </row>
    <row r="128" spans="1:7" hidden="1" x14ac:dyDescent="0.35">
      <c r="A128" s="50"/>
      <c r="B128" s="50"/>
      <c r="C128" s="50"/>
      <c r="D128" s="814"/>
      <c r="E128" s="41"/>
      <c r="G128" t="s">
        <v>247</v>
      </c>
    </row>
    <row r="129" spans="1:9" hidden="1" x14ac:dyDescent="0.35">
      <c r="A129" s="50"/>
      <c r="B129" s="50"/>
      <c r="C129" s="50"/>
      <c r="D129" s="814"/>
      <c r="E129" s="41"/>
      <c r="G129" t="s">
        <v>247</v>
      </c>
    </row>
    <row r="130" spans="1:9" hidden="1" x14ac:dyDescent="0.35">
      <c r="A130" s="50"/>
      <c r="B130" s="50"/>
      <c r="C130" s="50"/>
      <c r="D130" s="814"/>
      <c r="E130" s="41"/>
      <c r="G130" t="s">
        <v>247</v>
      </c>
    </row>
    <row r="131" spans="1:9" hidden="1" x14ac:dyDescent="0.35">
      <c r="A131" s="50"/>
      <c r="B131" s="50"/>
      <c r="C131" s="47" t="s">
        <v>121</v>
      </c>
      <c r="D131" s="90" t="s">
        <v>409</v>
      </c>
      <c r="E131" s="41"/>
      <c r="G131" t="s">
        <v>247</v>
      </c>
    </row>
    <row r="132" spans="1:9" hidden="1" x14ac:dyDescent="0.35">
      <c r="A132" s="50"/>
      <c r="B132" s="50"/>
      <c r="C132" s="47" t="s">
        <v>122</v>
      </c>
      <c r="D132" s="90" t="s">
        <v>410</v>
      </c>
      <c r="E132" s="41"/>
      <c r="G132" t="s">
        <v>247</v>
      </c>
    </row>
    <row r="133" spans="1:9" hidden="1" x14ac:dyDescent="0.35">
      <c r="A133" s="50"/>
      <c r="B133" s="103"/>
      <c r="C133" s="105" t="s">
        <v>123</v>
      </c>
      <c r="D133" s="228" t="s">
        <v>411</v>
      </c>
      <c r="E133" s="546"/>
      <c r="G133" t="s">
        <v>247</v>
      </c>
    </row>
    <row r="134" spans="1:9" ht="15" hidden="1" customHeight="1" x14ac:dyDescent="0.35">
      <c r="A134" s="50"/>
      <c r="B134" s="47" t="s">
        <v>269</v>
      </c>
      <c r="C134" s="49"/>
      <c r="D134" s="814" t="s">
        <v>412</v>
      </c>
      <c r="E134" s="41">
        <f ca="1">'Verification Report'!O135</f>
        <v>0</v>
      </c>
      <c r="F134" s="400" t="str">
        <f>IF(LEN('Verification Report'!W135)=0,"",'Verification Report'!W135)</f>
        <v/>
      </c>
      <c r="G134" t="s">
        <v>247</v>
      </c>
    </row>
    <row r="135" spans="1:9" hidden="1" x14ac:dyDescent="0.35">
      <c r="A135" s="50"/>
      <c r="B135" s="50"/>
      <c r="C135" s="50"/>
      <c r="D135" s="814"/>
      <c r="E135" s="41"/>
      <c r="G135" t="s">
        <v>247</v>
      </c>
    </row>
    <row r="136" spans="1:9" hidden="1" x14ac:dyDescent="0.35">
      <c r="A136" s="50"/>
      <c r="B136" s="50"/>
      <c r="C136" s="47" t="s">
        <v>121</v>
      </c>
      <c r="D136" s="90" t="s">
        <v>4125</v>
      </c>
      <c r="E136" s="41"/>
      <c r="G136" t="s">
        <v>247</v>
      </c>
    </row>
    <row r="137" spans="1:9" hidden="1" x14ac:dyDescent="0.35">
      <c r="A137" s="50"/>
      <c r="B137" s="50"/>
      <c r="C137" s="47" t="s">
        <v>122</v>
      </c>
      <c r="D137" s="90" t="s">
        <v>4126</v>
      </c>
      <c r="E137" s="41"/>
      <c r="G137" t="s">
        <v>247</v>
      </c>
    </row>
    <row r="138" spans="1:9" hidden="1" x14ac:dyDescent="0.35">
      <c r="A138" s="50"/>
      <c r="B138" s="50"/>
      <c r="C138" s="49" t="s">
        <v>123</v>
      </c>
      <c r="D138" s="90" t="s">
        <v>4127</v>
      </c>
      <c r="E138" s="41"/>
      <c r="G138" t="s">
        <v>247</v>
      </c>
    </row>
    <row r="139" spans="1:9" ht="15" hidden="1" customHeight="1" x14ac:dyDescent="0.35">
      <c r="D139" s="848" t="s">
        <v>4128</v>
      </c>
      <c r="E139" s="41">
        <f ca="1">'Verification Report'!O140</f>
        <v>0</v>
      </c>
      <c r="F139" s="400" t="str">
        <f>IF(LEN('Verification Report'!W140)=0,"",'Verification Report'!W140)</f>
        <v/>
      </c>
      <c r="G139" t="s">
        <v>247</v>
      </c>
    </row>
    <row r="140" spans="1:9" hidden="1" x14ac:dyDescent="0.35">
      <c r="B140" s="104"/>
      <c r="C140" s="104"/>
      <c r="D140" s="821"/>
      <c r="E140" s="546"/>
      <c r="G140" t="s">
        <v>247</v>
      </c>
    </row>
    <row r="141" spans="1:9" ht="15" customHeight="1" x14ac:dyDescent="0.35">
      <c r="B141" s="47" t="s">
        <v>275</v>
      </c>
      <c r="C141" s="467"/>
      <c r="D141" s="825" t="s">
        <v>4129</v>
      </c>
      <c r="E141" s="41">
        <f>'Verification Report'!O142</f>
        <v>0</v>
      </c>
      <c r="F141" s="400" t="str">
        <f>IF(LEN('Verification Report'!W142)=0,"",'Verification Report'!W142)</f>
        <v/>
      </c>
      <c r="G141" s="366" t="str">
        <f>IF(E141&gt;0,"P","")</f>
        <v/>
      </c>
      <c r="H141" s="1093" t="s">
        <v>5059</v>
      </c>
      <c r="I141" s="350"/>
    </row>
    <row r="142" spans="1:9" x14ac:dyDescent="0.35">
      <c r="B142" s="467"/>
      <c r="C142" s="467"/>
      <c r="D142" s="825"/>
      <c r="E142" s="41"/>
      <c r="G142" s="366" t="str">
        <f>G141</f>
        <v/>
      </c>
      <c r="H142" s="978"/>
    </row>
    <row r="143" spans="1:9" ht="15" thickBot="1" x14ac:dyDescent="0.4">
      <c r="B143" s="473"/>
      <c r="C143" s="473"/>
      <c r="D143" s="826"/>
      <c r="E143" s="72"/>
      <c r="G143" s="366" t="str">
        <f>G142</f>
        <v/>
      </c>
    </row>
    <row r="144" spans="1:9" ht="15.75" customHeight="1" thickTop="1" x14ac:dyDescent="0.35">
      <c r="A144" s="31">
        <v>503.5</v>
      </c>
      <c r="B144" s="50"/>
      <c r="C144" s="50"/>
      <c r="D144" s="838" t="s">
        <v>414</v>
      </c>
      <c r="G144" s="727" t="str">
        <f ca="1">IF(COUNTIF(G154:G177,"P")&gt;0,"P","")</f>
        <v/>
      </c>
    </row>
    <row r="145" spans="1:9" x14ac:dyDescent="0.35">
      <c r="A145" s="50"/>
      <c r="B145" s="50"/>
      <c r="C145" s="50"/>
      <c r="D145" s="838"/>
      <c r="G145" s="366" t="str">
        <f ca="1">G144</f>
        <v/>
      </c>
    </row>
    <row r="146" spans="1:9" ht="15" hidden="1" customHeight="1" x14ac:dyDescent="0.35">
      <c r="A146" s="50"/>
      <c r="B146" s="50"/>
      <c r="C146" s="50"/>
      <c r="D146" s="855" t="s">
        <v>4130</v>
      </c>
      <c r="F146" s="400" t="str">
        <f>IF(LEN('Verification Report'!W147)=0,"",'Verification Report'!W147)</f>
        <v/>
      </c>
      <c r="G146" t="s">
        <v>247</v>
      </c>
    </row>
    <row r="147" spans="1:9" hidden="1" x14ac:dyDescent="0.35">
      <c r="A147" s="50"/>
      <c r="B147" s="50"/>
      <c r="C147" s="50"/>
      <c r="D147" s="855"/>
      <c r="G147" t="s">
        <v>247</v>
      </c>
    </row>
    <row r="148" spans="1:9" ht="15" hidden="1" customHeight="1" x14ac:dyDescent="0.35">
      <c r="A148" s="50"/>
      <c r="B148" s="47" t="s">
        <v>256</v>
      </c>
      <c r="C148" s="50"/>
      <c r="D148" s="814" t="s">
        <v>415</v>
      </c>
      <c r="E148" s="41">
        <f ca="1">'Verification Report'!O149</f>
        <v>0</v>
      </c>
      <c r="F148" s="400" t="str">
        <f>IF(LEN('Verification Report'!W149)=0,"",'Verification Report'!W149)</f>
        <v/>
      </c>
      <c r="G148" t="s">
        <v>247</v>
      </c>
    </row>
    <row r="149" spans="1:9" hidden="1" x14ac:dyDescent="0.35">
      <c r="A149" s="50"/>
      <c r="B149" s="47"/>
      <c r="C149" s="50"/>
      <c r="D149" s="814"/>
      <c r="E149" s="41"/>
      <c r="G149" t="s">
        <v>247</v>
      </c>
    </row>
    <row r="150" spans="1:9" hidden="1" x14ac:dyDescent="0.35">
      <c r="A150" s="50"/>
      <c r="B150" s="50"/>
      <c r="C150" s="47" t="s">
        <v>121</v>
      </c>
      <c r="D150" s="90" t="s">
        <v>416</v>
      </c>
      <c r="E150" s="41"/>
      <c r="G150" t="s">
        <v>247</v>
      </c>
    </row>
    <row r="151" spans="1:9" hidden="1" x14ac:dyDescent="0.35">
      <c r="A151" s="50"/>
      <c r="B151" s="50"/>
      <c r="C151" s="47" t="s">
        <v>122</v>
      </c>
      <c r="D151" s="90" t="s">
        <v>417</v>
      </c>
      <c r="E151" s="41"/>
      <c r="G151" t="s">
        <v>247</v>
      </c>
    </row>
    <row r="152" spans="1:9" hidden="1" x14ac:dyDescent="0.35">
      <c r="A152" s="50"/>
      <c r="B152" s="50"/>
      <c r="C152" s="49" t="s">
        <v>123</v>
      </c>
      <c r="D152" s="90" t="s">
        <v>418</v>
      </c>
      <c r="E152" s="41"/>
      <c r="G152" t="s">
        <v>247</v>
      </c>
    </row>
    <row r="153" spans="1:9" hidden="1" x14ac:dyDescent="0.35">
      <c r="A153" s="50"/>
      <c r="B153" s="103"/>
      <c r="C153" s="105" t="s">
        <v>401</v>
      </c>
      <c r="D153" s="228" t="s">
        <v>419</v>
      </c>
      <c r="E153" s="546"/>
      <c r="G153" t="s">
        <v>247</v>
      </c>
    </row>
    <row r="154" spans="1:9" ht="15" customHeight="1" x14ac:dyDescent="0.35">
      <c r="A154" s="50"/>
      <c r="B154" s="47" t="s">
        <v>258</v>
      </c>
      <c r="C154" s="50"/>
      <c r="D154" s="814" t="s">
        <v>420</v>
      </c>
      <c r="E154" s="41">
        <f ca="1">'Verification Report'!O155</f>
        <v>0</v>
      </c>
      <c r="F154" s="400" t="str">
        <f>IF(LEN('Verification Report'!W155)=0,"",'Verification Report'!W155)</f>
        <v/>
      </c>
      <c r="G154" s="366" t="str">
        <f ca="1">IF(E154&gt;0,"P","")</f>
        <v/>
      </c>
      <c r="H154" s="1093" t="s">
        <v>5060</v>
      </c>
      <c r="I154" s="350"/>
    </row>
    <row r="155" spans="1:9" x14ac:dyDescent="0.35">
      <c r="A155" s="50"/>
      <c r="B155" s="103"/>
      <c r="C155" s="103"/>
      <c r="D155" s="815"/>
      <c r="E155" s="546"/>
      <c r="G155" s="366" t="str">
        <f ca="1">G154</f>
        <v/>
      </c>
      <c r="H155" s="978"/>
    </row>
    <row r="156" spans="1:9" ht="15" customHeight="1" x14ac:dyDescent="0.35">
      <c r="A156" s="50"/>
      <c r="B156" s="47" t="s">
        <v>260</v>
      </c>
      <c r="C156" s="50"/>
      <c r="D156" s="814" t="s">
        <v>4131</v>
      </c>
      <c r="E156" s="41">
        <f ca="1">'Verification Report'!O157</f>
        <v>0</v>
      </c>
      <c r="F156" s="400" t="str">
        <f>IF(LEN('Verification Report'!W157)=0,"",'Verification Report'!W157)</f>
        <v/>
      </c>
      <c r="G156" s="366" t="str">
        <f ca="1">IF(E156&gt;0,"P","")</f>
        <v/>
      </c>
      <c r="H156" s="611" t="s">
        <v>5061</v>
      </c>
      <c r="I156" s="350"/>
    </row>
    <row r="157" spans="1:9" x14ac:dyDescent="0.35">
      <c r="A157" s="50"/>
      <c r="B157" s="47"/>
      <c r="C157" s="50"/>
      <c r="D157" s="814"/>
      <c r="E157" s="41"/>
      <c r="G157" s="366" t="str">
        <f ca="1">G156</f>
        <v/>
      </c>
    </row>
    <row r="158" spans="1:9" x14ac:dyDescent="0.35">
      <c r="A158" s="50"/>
      <c r="B158" s="103"/>
      <c r="C158" s="103"/>
      <c r="D158" s="815"/>
      <c r="E158" s="546"/>
      <c r="G158" s="366" t="str">
        <f ca="1">G157</f>
        <v/>
      </c>
    </row>
    <row r="159" spans="1:9" ht="15" customHeight="1" x14ac:dyDescent="0.35">
      <c r="A159" s="50"/>
      <c r="B159" s="47" t="s">
        <v>269</v>
      </c>
      <c r="C159" s="50"/>
      <c r="D159" s="814" t="s">
        <v>4132</v>
      </c>
      <c r="E159" s="41">
        <f ca="1">'Verification Report'!O160</f>
        <v>0</v>
      </c>
      <c r="F159" s="400" t="str">
        <f>IF(LEN('Verification Report'!W160)=0,"",'Verification Report'!W160)</f>
        <v/>
      </c>
      <c r="G159" s="366" t="str">
        <f ca="1">IF(E159&gt;0,"P","")</f>
        <v/>
      </c>
      <c r="H159" s="611" t="s">
        <v>5061</v>
      </c>
      <c r="I159" s="350"/>
    </row>
    <row r="160" spans="1:9" x14ac:dyDescent="0.35">
      <c r="A160" s="50"/>
      <c r="B160" s="103"/>
      <c r="C160" s="103"/>
      <c r="D160" s="815"/>
      <c r="E160" s="546"/>
      <c r="G160" s="366" t="str">
        <f ca="1">G159</f>
        <v/>
      </c>
    </row>
    <row r="161" spans="1:9" ht="15" customHeight="1" x14ac:dyDescent="0.35">
      <c r="B161" s="468" t="s">
        <v>275</v>
      </c>
      <c r="C161" s="120"/>
      <c r="D161" s="820" t="s">
        <v>4133</v>
      </c>
      <c r="E161" s="552">
        <f ca="1">'Verification Report'!O162</f>
        <v>0</v>
      </c>
      <c r="F161" s="400" t="str">
        <f>IF(LEN('Verification Report'!W162)=0,"",'Verification Report'!W162)</f>
        <v/>
      </c>
      <c r="G161" s="366" t="str">
        <f ca="1">IF(E161&gt;0,"P","")</f>
        <v/>
      </c>
      <c r="H161" s="611" t="s">
        <v>5062</v>
      </c>
      <c r="I161" s="350"/>
    </row>
    <row r="162" spans="1:9" x14ac:dyDescent="0.35">
      <c r="D162" s="848"/>
      <c r="E162" s="41"/>
      <c r="G162" s="366" t="str">
        <f ca="1">G161</f>
        <v/>
      </c>
    </row>
    <row r="163" spans="1:9" x14ac:dyDescent="0.35">
      <c r="B163" s="104"/>
      <c r="C163" s="104"/>
      <c r="D163" s="821"/>
      <c r="E163" s="546"/>
      <c r="G163" s="366" t="str">
        <f ca="1">G162</f>
        <v/>
      </c>
    </row>
    <row r="164" spans="1:9" x14ac:dyDescent="0.35">
      <c r="A164" s="50"/>
      <c r="B164" s="47" t="s">
        <v>277</v>
      </c>
      <c r="C164" s="50"/>
      <c r="D164" s="90" t="s">
        <v>421</v>
      </c>
      <c r="E164" s="41">
        <f ca="1">'Verification Report'!O165</f>
        <v>0</v>
      </c>
      <c r="F164" s="400" t="str">
        <f>IF(LEN('Verification Report'!W165)=0,"",'Verification Report'!W165)</f>
        <v/>
      </c>
      <c r="G164" s="366" t="str">
        <f ca="1">IF(E164&gt;0,"P","")</f>
        <v/>
      </c>
      <c r="H164" s="611" t="s">
        <v>5062</v>
      </c>
      <c r="I164" s="350"/>
    </row>
    <row r="165" spans="1:9" x14ac:dyDescent="0.35">
      <c r="A165" s="50"/>
      <c r="B165" s="50"/>
      <c r="C165" s="47" t="s">
        <v>121</v>
      </c>
      <c r="D165" s="90" t="s">
        <v>422</v>
      </c>
      <c r="E165" s="41"/>
      <c r="G165" s="366" t="str">
        <f ca="1">G164</f>
        <v/>
      </c>
    </row>
    <row r="166" spans="1:9" x14ac:dyDescent="0.35">
      <c r="A166" s="50"/>
      <c r="B166" s="50"/>
      <c r="C166" s="47" t="s">
        <v>122</v>
      </c>
      <c r="D166" s="90" t="s">
        <v>423</v>
      </c>
      <c r="E166" s="41"/>
      <c r="G166" s="366" t="str">
        <f ca="1">G165</f>
        <v/>
      </c>
    </row>
    <row r="167" spans="1:9" x14ac:dyDescent="0.35">
      <c r="A167" s="50"/>
      <c r="B167" s="50"/>
      <c r="C167" s="49" t="s">
        <v>123</v>
      </c>
      <c r="D167" s="90" t="s">
        <v>424</v>
      </c>
      <c r="E167" s="41"/>
      <c r="G167" s="366" t="str">
        <f ca="1">G166</f>
        <v/>
      </c>
    </row>
    <row r="168" spans="1:9" x14ac:dyDescent="0.35">
      <c r="A168" s="50"/>
      <c r="B168" s="103"/>
      <c r="C168" s="105" t="s">
        <v>401</v>
      </c>
      <c r="D168" s="228" t="s">
        <v>425</v>
      </c>
      <c r="E168" s="546"/>
      <c r="G168" s="366" t="str">
        <f ca="1">G167</f>
        <v/>
      </c>
    </row>
    <row r="169" spans="1:9" ht="15" customHeight="1" x14ac:dyDescent="0.35">
      <c r="A169" s="50"/>
      <c r="B169" s="100" t="s">
        <v>383</v>
      </c>
      <c r="C169" s="103"/>
      <c r="D169" s="228" t="s">
        <v>426</v>
      </c>
      <c r="E169" s="546">
        <f ca="1">'Verification Report'!O170</f>
        <v>0</v>
      </c>
      <c r="F169" s="400" t="str">
        <f>IF(LEN('Verification Report'!W170)=0,"",'Verification Report'!W170)</f>
        <v/>
      </c>
      <c r="G169" s="366" t="str">
        <f ca="1">IF(E169&gt;0,"P","")</f>
        <v/>
      </c>
      <c r="H169" s="611" t="s">
        <v>5063</v>
      </c>
      <c r="I169" s="350"/>
    </row>
    <row r="170" spans="1:9" ht="15" customHeight="1" x14ac:dyDescent="0.35">
      <c r="A170" s="50"/>
      <c r="B170" s="47" t="s">
        <v>428</v>
      </c>
      <c r="C170" s="50"/>
      <c r="D170" s="814" t="s">
        <v>427</v>
      </c>
      <c r="E170" s="41">
        <f ca="1">'Verification Report'!O171</f>
        <v>0</v>
      </c>
      <c r="F170" s="400" t="str">
        <f>IF(LEN('Verification Report'!W171)=0,"",'Verification Report'!W171)</f>
        <v/>
      </c>
      <c r="G170" s="366" t="str">
        <f ca="1">IF(E170&gt;0,"P","")</f>
        <v/>
      </c>
      <c r="H170" s="611" t="s">
        <v>5064</v>
      </c>
      <c r="I170" s="350"/>
    </row>
    <row r="171" spans="1:9" x14ac:dyDescent="0.35">
      <c r="A171" s="50"/>
      <c r="B171" s="50"/>
      <c r="C171" s="50"/>
      <c r="D171" s="814"/>
      <c r="E171" s="41"/>
      <c r="G171" s="366" t="str">
        <f ca="1">G170</f>
        <v/>
      </c>
    </row>
    <row r="172" spans="1:9" x14ac:dyDescent="0.35">
      <c r="A172" s="50"/>
      <c r="B172" s="50"/>
      <c r="C172" s="50"/>
      <c r="D172" s="814"/>
      <c r="E172" s="41"/>
      <c r="G172" s="366" t="str">
        <f ca="1">G171</f>
        <v/>
      </c>
    </row>
    <row r="173" spans="1:9" x14ac:dyDescent="0.35">
      <c r="A173" s="50"/>
      <c r="B173" s="50"/>
      <c r="C173" s="50"/>
      <c r="D173" s="814"/>
      <c r="E173" s="41"/>
      <c r="G173" s="366" t="str">
        <f ca="1">G172</f>
        <v/>
      </c>
    </row>
    <row r="174" spans="1:9" x14ac:dyDescent="0.35">
      <c r="A174" s="50"/>
      <c r="B174" s="103"/>
      <c r="C174" s="103"/>
      <c r="D174" s="815"/>
      <c r="E174" s="546"/>
      <c r="G174" s="366" t="str">
        <f ca="1">G173</f>
        <v/>
      </c>
    </row>
    <row r="175" spans="1:9" ht="15" customHeight="1" x14ac:dyDescent="0.35">
      <c r="A175" s="50"/>
      <c r="B175" s="47" t="s">
        <v>430</v>
      </c>
      <c r="C175" s="50"/>
      <c r="D175" s="814" t="s">
        <v>429</v>
      </c>
      <c r="E175" s="41">
        <f ca="1">'Verification Report'!O176</f>
        <v>0</v>
      </c>
      <c r="F175" s="400" t="str">
        <f>IF(LEN('Verification Report'!W176)=0,"",'Verification Report'!W176)</f>
        <v/>
      </c>
      <c r="G175" s="366" t="str">
        <f ca="1">IF(E175&gt;0,"P","")</f>
        <v/>
      </c>
      <c r="H175" s="611" t="s">
        <v>5065</v>
      </c>
      <c r="I175" s="350"/>
    </row>
    <row r="176" spans="1:9" x14ac:dyDescent="0.35">
      <c r="A176" s="50"/>
      <c r="B176" s="103"/>
      <c r="C176" s="103"/>
      <c r="D176" s="815"/>
      <c r="E176" s="546"/>
      <c r="G176" s="366" t="str">
        <f ca="1">G175</f>
        <v/>
      </c>
    </row>
    <row r="177" spans="1:9" ht="15" customHeight="1" x14ac:dyDescent="0.35">
      <c r="A177" s="50"/>
      <c r="B177" s="47" t="s">
        <v>432</v>
      </c>
      <c r="C177" s="50"/>
      <c r="D177" s="814" t="s">
        <v>431</v>
      </c>
      <c r="E177" s="552">
        <f>'Verification Report'!O178</f>
        <v>0</v>
      </c>
      <c r="F177" s="400" t="str">
        <f>IF(LEN('Verification Report'!W178)=0,"",'Verification Report'!W178)</f>
        <v/>
      </c>
      <c r="G177" s="366" t="str">
        <f>IF(E177&gt;0,"P","")</f>
        <v/>
      </c>
      <c r="H177" s="611" t="s">
        <v>5066</v>
      </c>
      <c r="I177" s="350"/>
    </row>
    <row r="178" spans="1:9" x14ac:dyDescent="0.35">
      <c r="A178" s="50"/>
      <c r="B178" s="50"/>
      <c r="C178" s="50"/>
      <c r="D178" s="814"/>
      <c r="E178" s="41"/>
      <c r="G178" s="366" t="str">
        <f>G177</f>
        <v/>
      </c>
    </row>
    <row r="179" spans="1:9" ht="15" thickBot="1" x14ac:dyDescent="0.4">
      <c r="A179" s="50"/>
      <c r="B179" s="103"/>
      <c r="C179" s="103"/>
      <c r="D179" s="815"/>
      <c r="E179" s="546"/>
      <c r="G179" s="366" t="str">
        <f>G178</f>
        <v/>
      </c>
    </row>
    <row r="180" spans="1:9" ht="15" hidden="1" customHeight="1" x14ac:dyDescent="0.35">
      <c r="A180" s="50"/>
      <c r="B180" s="47" t="s">
        <v>434</v>
      </c>
      <c r="C180" s="50"/>
      <c r="D180" s="814" t="s">
        <v>433</v>
      </c>
      <c r="E180" s="41">
        <f>'Verification Report'!O181</f>
        <v>0</v>
      </c>
      <c r="F180" s="400" t="str">
        <f>IF(LEN('Verification Report'!W181)=0,"",'Verification Report'!W181)</f>
        <v/>
      </c>
      <c r="G180" t="s">
        <v>247</v>
      </c>
    </row>
    <row r="181" spans="1:9" ht="15" hidden="1" thickBot="1" x14ac:dyDescent="0.4">
      <c r="A181" s="50"/>
      <c r="B181" s="103"/>
      <c r="C181" s="103"/>
      <c r="D181" s="815"/>
      <c r="E181" s="546"/>
      <c r="G181" t="s">
        <v>247</v>
      </c>
    </row>
    <row r="182" spans="1:9" ht="15" hidden="1" customHeight="1" x14ac:dyDescent="0.35">
      <c r="A182" s="50"/>
      <c r="B182" s="47" t="s">
        <v>436</v>
      </c>
      <c r="C182" s="50"/>
      <c r="D182" s="814" t="s">
        <v>435</v>
      </c>
      <c r="E182" s="41">
        <f>'Verification Report'!O183</f>
        <v>0</v>
      </c>
      <c r="F182" s="400" t="str">
        <f>IF(LEN('Verification Report'!W183)=0,"",'Verification Report'!W183)</f>
        <v/>
      </c>
      <c r="G182" t="s">
        <v>247</v>
      </c>
    </row>
    <row r="183" spans="1:9" ht="15" hidden="1" thickBot="1" x14ac:dyDescent="0.4">
      <c r="A183" s="50"/>
      <c r="B183" s="103"/>
      <c r="C183" s="103"/>
      <c r="D183" s="815"/>
      <c r="E183" s="546"/>
      <c r="G183" t="s">
        <v>247</v>
      </c>
    </row>
    <row r="184" spans="1:9" ht="15" hidden="1" customHeight="1" x14ac:dyDescent="0.35">
      <c r="A184" s="50"/>
      <c r="B184" s="47" t="s">
        <v>3294</v>
      </c>
      <c r="C184" s="50"/>
      <c r="D184" s="814" t="s">
        <v>437</v>
      </c>
      <c r="E184" s="41">
        <f>'Verification Report'!O185</f>
        <v>0</v>
      </c>
      <c r="F184" s="400" t="str">
        <f>IF(LEN('Verification Report'!W185)=0,"",'Verification Report'!W185)</f>
        <v/>
      </c>
      <c r="G184" t="s">
        <v>247</v>
      </c>
    </row>
    <row r="185" spans="1:9" ht="15" hidden="1" thickBot="1" x14ac:dyDescent="0.4">
      <c r="A185" s="57"/>
      <c r="B185" s="57"/>
      <c r="C185" s="57"/>
      <c r="D185" s="839"/>
      <c r="E185" s="72"/>
      <c r="G185" t="s">
        <v>247</v>
      </c>
    </row>
    <row r="186" spans="1:9" ht="15.75" customHeight="1" thickTop="1" x14ac:dyDescent="0.35">
      <c r="A186" s="31">
        <v>503.6</v>
      </c>
      <c r="B186" s="50"/>
      <c r="C186" s="50"/>
      <c r="D186" s="838" t="s">
        <v>439</v>
      </c>
      <c r="E186" s="545">
        <f>'Verification Report'!O187</f>
        <v>0</v>
      </c>
      <c r="G186" s="366" t="str">
        <f>IF(E186&gt;0,"P","")</f>
        <v/>
      </c>
      <c r="H186" s="611" t="s">
        <v>5067</v>
      </c>
      <c r="I186" s="350"/>
    </row>
    <row r="187" spans="1:9" x14ac:dyDescent="0.35">
      <c r="A187" s="50"/>
      <c r="B187" s="50"/>
      <c r="C187" s="50"/>
      <c r="D187" s="838"/>
      <c r="E187" s="41"/>
      <c r="G187" s="366" t="str">
        <f>G186</f>
        <v/>
      </c>
      <c r="H187"/>
    </row>
    <row r="188" spans="1:9" x14ac:dyDescent="0.35">
      <c r="A188" s="50"/>
      <c r="B188" s="100" t="s">
        <v>256</v>
      </c>
      <c r="C188" s="103"/>
      <c r="D188" s="228" t="s">
        <v>440</v>
      </c>
      <c r="E188" s="546"/>
      <c r="F188" s="400" t="str">
        <f>IF(LEN('Verification Report'!W189)=0,"",'Verification Report'!W189)</f>
        <v/>
      </c>
      <c r="G188" s="366" t="str">
        <f>IF(AND(LEN(F188)&gt;0,NOT(F188=FALSE)),"P","")</f>
        <v/>
      </c>
    </row>
    <row r="189" spans="1:9" x14ac:dyDescent="0.35">
      <c r="A189" s="50"/>
      <c r="B189" s="100" t="s">
        <v>258</v>
      </c>
      <c r="C189" s="103"/>
      <c r="D189" s="228" t="s">
        <v>441</v>
      </c>
      <c r="E189" s="546"/>
      <c r="F189" s="400" t="str">
        <f>IF(LEN('Verification Report'!W190)=0,"",'Verification Report'!W190)</f>
        <v/>
      </c>
      <c r="G189" s="366" t="str">
        <f>IF(AND(LEN(F189)&gt;0,NOT(F189=FALSE)),"P","")</f>
        <v/>
      </c>
    </row>
    <row r="190" spans="1:9" ht="15" customHeight="1" x14ac:dyDescent="0.35">
      <c r="A190" s="50"/>
      <c r="B190" s="47" t="s">
        <v>260</v>
      </c>
      <c r="C190" s="50"/>
      <c r="D190" s="814" t="s">
        <v>442</v>
      </c>
      <c r="E190" s="41"/>
      <c r="F190" s="400" t="str">
        <f>IF(LEN('Verification Report'!W191)=0,"",'Verification Report'!W191)</f>
        <v/>
      </c>
      <c r="G190" s="366" t="str">
        <f>IF(AND(LEN(F190)&gt;0,NOT(F190=FALSE)),"P","")</f>
        <v/>
      </c>
    </row>
    <row r="191" spans="1:9" x14ac:dyDescent="0.35">
      <c r="A191" s="50"/>
      <c r="B191" s="103"/>
      <c r="C191" s="103"/>
      <c r="D191" s="815"/>
      <c r="E191" s="546"/>
      <c r="G191" s="366" t="str">
        <f>G190</f>
        <v/>
      </c>
    </row>
    <row r="192" spans="1:9" ht="15" thickBot="1" x14ac:dyDescent="0.4">
      <c r="A192" s="57"/>
      <c r="B192" s="52" t="s">
        <v>269</v>
      </c>
      <c r="C192" s="57"/>
      <c r="D192" s="229" t="s">
        <v>443</v>
      </c>
      <c r="E192" s="72"/>
      <c r="F192" s="400" t="str">
        <f>IF(LEN('Verification Report'!W193)=0,"",'Verification Report'!W193)</f>
        <v/>
      </c>
      <c r="G192" s="366" t="str">
        <f>IF(AND(LEN(F192)&gt;0,NOT(F192=FALSE)),"P","")</f>
        <v/>
      </c>
    </row>
    <row r="193" spans="1:9" ht="15.75" customHeight="1" thickTop="1" x14ac:dyDescent="0.35">
      <c r="A193" s="31">
        <v>503.7</v>
      </c>
      <c r="B193" s="50"/>
      <c r="C193" s="50"/>
      <c r="D193" s="838" t="s">
        <v>445</v>
      </c>
      <c r="E193" s="41"/>
      <c r="G193" s="727" t="str">
        <f>IF(COUNTIF(G195:G197,"P")&gt;0,"P","")</f>
        <v/>
      </c>
      <c r="H193" s="1093" t="s">
        <v>5068</v>
      </c>
      <c r="I193" s="350"/>
    </row>
    <row r="194" spans="1:9" x14ac:dyDescent="0.35">
      <c r="A194" s="50"/>
      <c r="B194" s="50"/>
      <c r="C194" s="50"/>
      <c r="D194" s="838"/>
      <c r="E194" s="41"/>
      <c r="G194" s="366" t="str">
        <f>G193</f>
        <v/>
      </c>
      <c r="H194" s="978"/>
    </row>
    <row r="195" spans="1:9" ht="15" customHeight="1" x14ac:dyDescent="0.35">
      <c r="A195" s="50"/>
      <c r="B195" s="47" t="s">
        <v>256</v>
      </c>
      <c r="C195" s="50"/>
      <c r="D195" s="814" t="s">
        <v>446</v>
      </c>
      <c r="E195" s="41">
        <f>'Verification Report'!O196</f>
        <v>0</v>
      </c>
      <c r="F195" s="400" t="str">
        <f>IF(LEN('Verification Report'!W196)=0,"",'Verification Report'!W196)</f>
        <v/>
      </c>
      <c r="G195" s="366" t="str">
        <f>IF(E195&gt;0,"P","")</f>
        <v/>
      </c>
    </row>
    <row r="196" spans="1:9" x14ac:dyDescent="0.35">
      <c r="A196" s="50"/>
      <c r="B196" s="100"/>
      <c r="C196" s="103"/>
      <c r="D196" s="815"/>
      <c r="E196" s="546"/>
      <c r="G196" s="366" t="str">
        <f>G195</f>
        <v/>
      </c>
    </row>
    <row r="197" spans="1:9" ht="15" customHeight="1" x14ac:dyDescent="0.35">
      <c r="A197" s="50"/>
      <c r="B197" s="47" t="s">
        <v>258</v>
      </c>
      <c r="C197" s="50"/>
      <c r="D197" s="814" t="s">
        <v>447</v>
      </c>
      <c r="E197" s="41">
        <f>'Verification Report'!O198</f>
        <v>0</v>
      </c>
      <c r="F197" s="400" t="str">
        <f>IF(LEN('Verification Report'!W198)=0,"",'Verification Report'!W198)</f>
        <v/>
      </c>
      <c r="G197" s="366" t="str">
        <f>IF(E197&gt;0,"P","")</f>
        <v/>
      </c>
    </row>
    <row r="198" spans="1:9" ht="15" thickBot="1" x14ac:dyDescent="0.4">
      <c r="A198" s="57"/>
      <c r="B198" s="57"/>
      <c r="C198" s="57"/>
      <c r="D198" s="839"/>
      <c r="E198" s="72"/>
      <c r="G198" s="366" t="str">
        <f>G197</f>
        <v/>
      </c>
    </row>
    <row r="199" spans="1:9" ht="15.75" hidden="1" customHeight="1" thickTop="1" x14ac:dyDescent="0.35">
      <c r="A199" s="31">
        <v>503.8</v>
      </c>
      <c r="B199" s="50"/>
      <c r="C199" s="50"/>
      <c r="D199" s="838" t="s">
        <v>449</v>
      </c>
      <c r="E199" s="545">
        <f ca="1">'Verification Report'!O200</f>
        <v>0</v>
      </c>
      <c r="G199" t="s">
        <v>247</v>
      </c>
    </row>
    <row r="200" spans="1:9" ht="15" hidden="1" thickTop="1" x14ac:dyDescent="0.35">
      <c r="A200" s="50"/>
      <c r="B200" s="50"/>
      <c r="C200" s="50"/>
      <c r="D200" s="838"/>
      <c r="E200" s="41"/>
      <c r="F200" s="400" t="str">
        <f>IF(LEN('Verification Report'!W201)=0,"",'Verification Report'!W201)</f>
        <v/>
      </c>
      <c r="G200" t="s">
        <v>247</v>
      </c>
    </row>
    <row r="201" spans="1:9" ht="15" hidden="1" thickTop="1" x14ac:dyDescent="0.35">
      <c r="A201" s="50"/>
      <c r="B201" s="50"/>
      <c r="C201" s="50"/>
      <c r="D201" s="838"/>
      <c r="E201" s="41"/>
      <c r="G201" t="s">
        <v>247</v>
      </c>
    </row>
    <row r="202" spans="1:9" ht="15" hidden="1" customHeight="1" x14ac:dyDescent="0.35">
      <c r="A202" s="50"/>
      <c r="B202" s="50"/>
      <c r="C202" s="50"/>
      <c r="D202" s="814" t="s">
        <v>450</v>
      </c>
      <c r="E202" s="41"/>
      <c r="G202" t="s">
        <v>247</v>
      </c>
    </row>
    <row r="203" spans="1:9" ht="15" hidden="1" thickTop="1" x14ac:dyDescent="0.35">
      <c r="A203" s="50"/>
      <c r="B203" s="50"/>
      <c r="C203" s="50"/>
      <c r="D203" s="814"/>
      <c r="E203" s="41"/>
      <c r="G203" t="s">
        <v>247</v>
      </c>
    </row>
    <row r="204" spans="1:9" ht="19" hidden="1" thickTop="1" x14ac:dyDescent="0.35">
      <c r="A204" s="48" t="s">
        <v>452</v>
      </c>
      <c r="B204" s="48"/>
      <c r="C204" s="48"/>
      <c r="D204" s="44"/>
      <c r="E204" s="544"/>
      <c r="G204" t="s">
        <v>247</v>
      </c>
    </row>
    <row r="205" spans="1:9" ht="15" hidden="1" customHeight="1" x14ac:dyDescent="0.35">
      <c r="A205" s="47" t="s">
        <v>451</v>
      </c>
      <c r="B205" s="50"/>
      <c r="C205" s="50"/>
      <c r="D205" s="838" t="s">
        <v>453</v>
      </c>
      <c r="E205" s="41"/>
      <c r="G205" t="s">
        <v>247</v>
      </c>
    </row>
    <row r="206" spans="1:9" ht="15.5" hidden="1" thickTop="1" thickBot="1" x14ac:dyDescent="0.4">
      <c r="A206" s="57"/>
      <c r="B206" s="57"/>
      <c r="C206" s="57"/>
      <c r="D206" s="849"/>
      <c r="E206" s="72"/>
      <c r="G206" t="s">
        <v>247</v>
      </c>
    </row>
    <row r="207" spans="1:9" ht="15.75" hidden="1" customHeight="1" thickTop="1" x14ac:dyDescent="0.35">
      <c r="A207" s="66" t="s">
        <v>454</v>
      </c>
      <c r="B207" s="61"/>
      <c r="C207" s="61"/>
      <c r="D207" s="837" t="s">
        <v>455</v>
      </c>
      <c r="E207" s="545">
        <f>'Verification Report'!O208</f>
        <v>0</v>
      </c>
      <c r="F207" s="400" t="str">
        <f>IF(LEN('Verification Report'!W208)=0,"",'Verification Report'!W208)</f>
        <v/>
      </c>
      <c r="G207" t="s">
        <v>247</v>
      </c>
    </row>
    <row r="208" spans="1:9" ht="15" hidden="1" thickTop="1" x14ac:dyDescent="0.35">
      <c r="A208" s="50"/>
      <c r="B208" s="50"/>
      <c r="C208" s="50"/>
      <c r="D208" s="838"/>
      <c r="E208" s="41"/>
      <c r="G208" t="s">
        <v>247</v>
      </c>
    </row>
    <row r="209" spans="1:9" ht="15" hidden="1" thickTop="1" x14ac:dyDescent="0.35">
      <c r="A209" s="50"/>
      <c r="B209" s="50"/>
      <c r="C209" s="50"/>
      <c r="D209" s="838"/>
      <c r="E209" s="41"/>
      <c r="G209" t="s">
        <v>247</v>
      </c>
    </row>
    <row r="210" spans="1:9" ht="15" hidden="1" thickTop="1" x14ac:dyDescent="0.35">
      <c r="A210" s="50"/>
      <c r="B210" s="50"/>
      <c r="C210" s="50"/>
      <c r="D210" s="838"/>
      <c r="E210" s="41"/>
      <c r="G210" t="s">
        <v>247</v>
      </c>
    </row>
    <row r="211" spans="1:9" ht="15.5" hidden="1" thickTop="1" thickBot="1" x14ac:dyDescent="0.4">
      <c r="A211" s="57"/>
      <c r="B211" s="57"/>
      <c r="C211" s="57"/>
      <c r="D211" s="180" t="s">
        <v>768</v>
      </c>
      <c r="E211" s="72"/>
      <c r="G211" t="s">
        <v>247</v>
      </c>
    </row>
    <row r="212" spans="1:9" ht="15.75" customHeight="1" thickTop="1" x14ac:dyDescent="0.35">
      <c r="A212" s="47" t="s">
        <v>456</v>
      </c>
      <c r="B212" s="50"/>
      <c r="C212" s="50"/>
      <c r="D212" s="838" t="s">
        <v>457</v>
      </c>
      <c r="E212" s="41"/>
      <c r="G212" s="727" t="str">
        <f>IF(COUNTIF(G214:H214,"P")&gt;0,"P","")</f>
        <v/>
      </c>
    </row>
    <row r="213" spans="1:9" x14ac:dyDescent="0.35">
      <c r="A213" s="50"/>
      <c r="B213" s="50"/>
      <c r="C213" s="50"/>
      <c r="D213" s="838"/>
      <c r="E213" s="41"/>
      <c r="G213" s="366" t="str">
        <f>G212</f>
        <v/>
      </c>
      <c r="H213" s="611" t="s">
        <v>5069</v>
      </c>
      <c r="I213" s="350"/>
    </row>
    <row r="214" spans="1:9" x14ac:dyDescent="0.35">
      <c r="A214" s="50"/>
      <c r="B214" s="100" t="s">
        <v>256</v>
      </c>
      <c r="C214" s="103"/>
      <c r="D214" s="228" t="s">
        <v>458</v>
      </c>
      <c r="E214" s="546">
        <f>'Verification Report'!O215</f>
        <v>0</v>
      </c>
      <c r="F214" s="400" t="str">
        <f>IF(LEN('Verification Report'!W215)=0,"",'Verification Report'!W215)</f>
        <v/>
      </c>
      <c r="G214" s="366" t="str">
        <f>IF(E214&gt;0,"P","")</f>
        <v/>
      </c>
      <c r="H214"/>
    </row>
    <row r="215" spans="1:9" ht="15" hidden="1" customHeight="1" x14ac:dyDescent="0.35">
      <c r="A215" s="50"/>
      <c r="B215" s="47" t="s">
        <v>258</v>
      </c>
      <c r="C215" s="50"/>
      <c r="D215" s="814" t="s">
        <v>459</v>
      </c>
      <c r="E215" s="41">
        <f>'Verification Report'!O216</f>
        <v>0</v>
      </c>
      <c r="F215" s="400" t="str">
        <f>IF(LEN('Verification Report'!W216)=0,"",'Verification Report'!W216)</f>
        <v/>
      </c>
      <c r="G215" t="s">
        <v>247</v>
      </c>
    </row>
    <row r="216" spans="1:9" hidden="1" x14ac:dyDescent="0.35">
      <c r="A216" s="50"/>
      <c r="B216" s="100"/>
      <c r="C216" s="103"/>
      <c r="D216" s="815"/>
      <c r="E216" s="546"/>
      <c r="G216" t="s">
        <v>247</v>
      </c>
    </row>
    <row r="217" spans="1:9" ht="15" hidden="1" customHeight="1" x14ac:dyDescent="0.35">
      <c r="A217" s="50"/>
      <c r="B217" s="47" t="s">
        <v>260</v>
      </c>
      <c r="C217" s="50"/>
      <c r="D217" s="814" t="s">
        <v>460</v>
      </c>
      <c r="E217" s="41">
        <f>'Verification Report'!O218</f>
        <v>0</v>
      </c>
      <c r="F217" s="400" t="str">
        <f>IF(LEN('Verification Report'!W218)=0,"",'Verification Report'!W218)</f>
        <v/>
      </c>
      <c r="G217" t="s">
        <v>247</v>
      </c>
    </row>
    <row r="218" spans="1:9" ht="15" hidden="1" thickBot="1" x14ac:dyDescent="0.4">
      <c r="A218" s="57"/>
      <c r="B218" s="57"/>
      <c r="C218" s="57"/>
      <c r="D218" s="839"/>
      <c r="E218" s="72"/>
      <c r="G218" t="s">
        <v>247</v>
      </c>
    </row>
    <row r="219" spans="1:9" ht="15.75" customHeight="1" x14ac:dyDescent="0.35">
      <c r="A219" s="47" t="s">
        <v>461</v>
      </c>
      <c r="B219" s="50"/>
      <c r="C219" s="50"/>
      <c r="D219" s="838" t="s">
        <v>462</v>
      </c>
      <c r="E219" s="41"/>
      <c r="G219" s="727" t="str">
        <f>IF(COUNTIF(G222:H227,"P")&gt;0,"P","")</f>
        <v/>
      </c>
    </row>
    <row r="220" spans="1:9" x14ac:dyDescent="0.35">
      <c r="A220" s="50"/>
      <c r="B220" s="50"/>
      <c r="C220" s="50"/>
      <c r="D220" s="838"/>
      <c r="E220" s="41"/>
      <c r="G220" s="366" t="str">
        <f>G219</f>
        <v/>
      </c>
    </row>
    <row r="221" spans="1:9" x14ac:dyDescent="0.35">
      <c r="A221" s="50"/>
      <c r="B221" s="50"/>
      <c r="C221" s="50"/>
      <c r="D221" s="838"/>
      <c r="E221" s="41"/>
      <c r="G221" s="366" t="str">
        <f>G220</f>
        <v/>
      </c>
    </row>
    <row r="222" spans="1:9" ht="15" customHeight="1" x14ac:dyDescent="0.35">
      <c r="A222" s="50"/>
      <c r="B222" s="47" t="s">
        <v>256</v>
      </c>
      <c r="C222" s="50"/>
      <c r="D222" s="814" t="s">
        <v>463</v>
      </c>
      <c r="E222" s="41">
        <f>'Verification Report'!O223</f>
        <v>0</v>
      </c>
      <c r="F222" s="400" t="str">
        <f>IF(LEN('Verification Report'!W223)=0,"",'Verification Report'!W223)</f>
        <v/>
      </c>
      <c r="G222" s="366" t="str">
        <f>IF(E222&gt;0,"P","")</f>
        <v/>
      </c>
      <c r="H222" s="611" t="s">
        <v>5070</v>
      </c>
      <c r="I222" s="350"/>
    </row>
    <row r="223" spans="1:9" x14ac:dyDescent="0.35">
      <c r="A223" s="50"/>
      <c r="B223" s="100"/>
      <c r="C223" s="103"/>
      <c r="D223" s="815"/>
      <c r="E223" s="546"/>
      <c r="G223" s="366" t="str">
        <f>G222</f>
        <v/>
      </c>
    </row>
    <row r="224" spans="1:9" x14ac:dyDescent="0.35">
      <c r="A224" s="50"/>
      <c r="B224" s="100" t="s">
        <v>258</v>
      </c>
      <c r="C224" s="103"/>
      <c r="D224" s="228" t="s">
        <v>464</v>
      </c>
      <c r="E224" s="546">
        <f>'Verification Report'!O225</f>
        <v>0</v>
      </c>
      <c r="F224" s="400" t="str">
        <f>IF(LEN('Verification Report'!W225)=0,"",'Verification Report'!W225)</f>
        <v/>
      </c>
      <c r="G224" s="366" t="str">
        <f>IF(E224&gt;0,"P","")</f>
        <v/>
      </c>
      <c r="H224" s="611" t="s">
        <v>5070</v>
      </c>
      <c r="I224" s="350"/>
    </row>
    <row r="225" spans="1:9" ht="15" customHeight="1" x14ac:dyDescent="0.35">
      <c r="A225" s="50"/>
      <c r="B225" s="47" t="s">
        <v>260</v>
      </c>
      <c r="C225" s="50"/>
      <c r="D225" s="814" t="s">
        <v>465</v>
      </c>
      <c r="E225" s="41">
        <f>'Verification Report'!O226</f>
        <v>0</v>
      </c>
      <c r="F225" s="400" t="str">
        <f>IF(LEN('Verification Report'!W226)=0,"",'Verification Report'!W226)</f>
        <v/>
      </c>
      <c r="G225" s="366" t="str">
        <f>IF(E225&gt;0,"P","")</f>
        <v/>
      </c>
      <c r="H225" s="1093" t="s">
        <v>5071</v>
      </c>
      <c r="I225" s="350"/>
    </row>
    <row r="226" spans="1:9" x14ac:dyDescent="0.35">
      <c r="A226" s="50"/>
      <c r="B226" s="103"/>
      <c r="C226" s="103"/>
      <c r="D226" s="815"/>
      <c r="E226" s="546"/>
      <c r="G226" s="366" t="str">
        <f>G225</f>
        <v/>
      </c>
      <c r="H226" s="978"/>
    </row>
    <row r="227" spans="1:9" ht="15" customHeight="1" x14ac:dyDescent="0.35">
      <c r="A227" s="50"/>
      <c r="B227" s="47" t="s">
        <v>269</v>
      </c>
      <c r="C227" s="50"/>
      <c r="D227" s="814" t="s">
        <v>466</v>
      </c>
      <c r="E227" s="41">
        <f>'Verification Report'!O228</f>
        <v>0</v>
      </c>
      <c r="F227" s="400" t="str">
        <f>IF(LEN('Verification Report'!W228)=0,"",'Verification Report'!W228)</f>
        <v/>
      </c>
      <c r="G227" s="366" t="str">
        <f>IF(E227&gt;0,"P","")</f>
        <v/>
      </c>
      <c r="H227" s="611" t="s">
        <v>5072</v>
      </c>
      <c r="I227" s="350"/>
    </row>
    <row r="228" spans="1:9" x14ac:dyDescent="0.35">
      <c r="A228" s="50"/>
      <c r="B228" s="103"/>
      <c r="C228" s="103"/>
      <c r="D228" s="815"/>
      <c r="E228" s="546"/>
      <c r="G228" s="366" t="str">
        <f>G227</f>
        <v/>
      </c>
    </row>
    <row r="229" spans="1:9" ht="15" hidden="1" customHeight="1" x14ac:dyDescent="0.35">
      <c r="A229" s="50"/>
      <c r="B229" s="47" t="s">
        <v>275</v>
      </c>
      <c r="C229" s="50"/>
      <c r="D229" s="814" t="s">
        <v>467</v>
      </c>
      <c r="E229" s="41">
        <f>'Verification Report'!O230</f>
        <v>0</v>
      </c>
      <c r="F229" s="400" t="str">
        <f>IF(LEN('Verification Report'!W230)=0,"",'Verification Report'!W230)</f>
        <v/>
      </c>
      <c r="G229" t="s">
        <v>247</v>
      </c>
    </row>
    <row r="230" spans="1:9" hidden="1" x14ac:dyDescent="0.35">
      <c r="A230" s="50"/>
      <c r="B230" s="50"/>
      <c r="C230" s="50"/>
      <c r="D230" s="814"/>
      <c r="E230" s="41"/>
      <c r="G230" t="s">
        <v>247</v>
      </c>
    </row>
    <row r="231" spans="1:9" hidden="1" x14ac:dyDescent="0.35">
      <c r="A231" s="50"/>
      <c r="B231" s="50"/>
      <c r="C231" s="50"/>
      <c r="D231" s="814"/>
      <c r="E231" s="41"/>
      <c r="G231" t="s">
        <v>247</v>
      </c>
    </row>
    <row r="232" spans="1:9" hidden="1" x14ac:dyDescent="0.35">
      <c r="A232" s="50"/>
      <c r="B232" s="103"/>
      <c r="C232" s="103"/>
      <c r="D232" s="815"/>
      <c r="E232" s="546"/>
      <c r="G232" t="s">
        <v>247</v>
      </c>
    </row>
    <row r="233" spans="1:9" ht="15" hidden="1" customHeight="1" x14ac:dyDescent="0.35">
      <c r="A233" s="50"/>
      <c r="B233" s="47" t="s">
        <v>277</v>
      </c>
      <c r="C233" s="50"/>
      <c r="D233" s="814" t="s">
        <v>468</v>
      </c>
      <c r="E233" s="41">
        <f>'Verification Report'!O234</f>
        <v>0</v>
      </c>
      <c r="F233" s="400" t="str">
        <f>IF(LEN('Verification Report'!W234)=0,"",'Verification Report'!W234)</f>
        <v/>
      </c>
      <c r="G233" t="s">
        <v>247</v>
      </c>
    </row>
    <row r="234" spans="1:9" hidden="1" x14ac:dyDescent="0.35">
      <c r="A234" s="50"/>
      <c r="B234" s="50"/>
      <c r="C234" s="50"/>
      <c r="D234" s="814"/>
      <c r="E234" s="41"/>
      <c r="G234" t="s">
        <v>247</v>
      </c>
    </row>
    <row r="235" spans="1:9" hidden="1" x14ac:dyDescent="0.35">
      <c r="A235" s="50"/>
      <c r="B235" s="103"/>
      <c r="C235" s="103"/>
      <c r="D235" s="815"/>
      <c r="E235" s="546"/>
      <c r="G235" t="s">
        <v>247</v>
      </c>
    </row>
    <row r="236" spans="1:9" hidden="1" x14ac:dyDescent="0.35">
      <c r="A236" s="50"/>
      <c r="B236" s="100" t="s">
        <v>383</v>
      </c>
      <c r="C236" s="103"/>
      <c r="D236" s="228" t="s">
        <v>469</v>
      </c>
      <c r="E236" s="546">
        <f>'Verification Report'!O237</f>
        <v>0</v>
      </c>
      <c r="F236" s="400" t="str">
        <f>IF(LEN('Verification Report'!W237)=0,"",'Verification Report'!W237)</f>
        <v/>
      </c>
      <c r="G236" t="s">
        <v>247</v>
      </c>
    </row>
    <row r="237" spans="1:9" hidden="1" x14ac:dyDescent="0.35">
      <c r="A237" s="50"/>
      <c r="B237" s="47" t="s">
        <v>428</v>
      </c>
      <c r="C237" s="50"/>
      <c r="D237" s="266" t="s">
        <v>2977</v>
      </c>
      <c r="E237" s="41">
        <f>'Verification Report'!O238</f>
        <v>0</v>
      </c>
      <c r="G237" t="s">
        <v>247</v>
      </c>
    </row>
    <row r="238" spans="1:9" hidden="1" x14ac:dyDescent="0.35">
      <c r="A238" s="50"/>
      <c r="B238" s="50"/>
      <c r="C238" s="50"/>
      <c r="D238" s="266" t="s">
        <v>2983</v>
      </c>
      <c r="E238" s="41"/>
      <c r="F238" s="400" t="str">
        <f>IF(LEN('Verification Report'!W239)=0,"",'Verification Report'!W239)</f>
        <v/>
      </c>
      <c r="G238" t="s">
        <v>247</v>
      </c>
    </row>
    <row r="239" spans="1:9" hidden="1" x14ac:dyDescent="0.35">
      <c r="A239" s="50"/>
      <c r="B239" s="50"/>
      <c r="C239" s="50"/>
      <c r="D239" s="266" t="s">
        <v>2982</v>
      </c>
      <c r="E239" s="41"/>
      <c r="F239" s="400" t="str">
        <f>IF(LEN('Verification Report'!W240)=0,"",'Verification Report'!W240)</f>
        <v/>
      </c>
      <c r="G239" t="s">
        <v>247</v>
      </c>
    </row>
    <row r="240" spans="1:9" hidden="1" x14ac:dyDescent="0.35">
      <c r="A240" s="50"/>
      <c r="B240" s="50"/>
      <c r="C240" s="50"/>
      <c r="D240" s="266" t="s">
        <v>2981</v>
      </c>
      <c r="E240" s="41"/>
      <c r="F240" s="400" t="str">
        <f>IF(LEN('Verification Report'!W241)=0,"",'Verification Report'!W241)</f>
        <v/>
      </c>
      <c r="G240" t="s">
        <v>247</v>
      </c>
    </row>
    <row r="241" spans="1:9" hidden="1" x14ac:dyDescent="0.35">
      <c r="A241" s="50"/>
      <c r="B241" s="50"/>
      <c r="C241" s="50"/>
      <c r="D241" s="266" t="s">
        <v>2980</v>
      </c>
      <c r="E241" s="41"/>
      <c r="F241" s="400" t="str">
        <f>IF(LEN('Verification Report'!W242)=0,"",'Verification Report'!W242)</f>
        <v/>
      </c>
      <c r="G241" t="s">
        <v>247</v>
      </c>
    </row>
    <row r="242" spans="1:9" hidden="1" x14ac:dyDescent="0.35">
      <c r="A242" s="50"/>
      <c r="B242" s="50"/>
      <c r="C242" s="50"/>
      <c r="D242" s="266" t="s">
        <v>2979</v>
      </c>
      <c r="E242" s="41"/>
      <c r="F242" s="400" t="str">
        <f>IF(LEN('Verification Report'!W243)=0,"",'Verification Report'!W243)</f>
        <v/>
      </c>
      <c r="G242" t="s">
        <v>247</v>
      </c>
    </row>
    <row r="243" spans="1:9" hidden="1" x14ac:dyDescent="0.35">
      <c r="A243" s="50"/>
      <c r="B243" s="50"/>
      <c r="C243" s="50"/>
      <c r="D243" s="266" t="s">
        <v>2978</v>
      </c>
      <c r="E243" s="41"/>
      <c r="F243" s="400" t="str">
        <f>IF(LEN('Verification Report'!W244)=0,"",'Verification Report'!W244)</f>
        <v/>
      </c>
      <c r="G243" t="s">
        <v>247</v>
      </c>
    </row>
    <row r="244" spans="1:9" hidden="1" x14ac:dyDescent="0.35">
      <c r="A244" s="50"/>
      <c r="B244" s="103"/>
      <c r="C244" s="103"/>
      <c r="D244" s="284" t="s">
        <v>2976</v>
      </c>
      <c r="E244" s="546"/>
      <c r="G244" t="s">
        <v>247</v>
      </c>
    </row>
    <row r="245" spans="1:9" hidden="1" x14ac:dyDescent="0.35">
      <c r="A245" s="50"/>
      <c r="B245" s="47" t="s">
        <v>430</v>
      </c>
      <c r="C245" s="50"/>
      <c r="D245" s="90" t="s">
        <v>470</v>
      </c>
      <c r="E245" s="41">
        <f>'Verification Report'!O246</f>
        <v>0</v>
      </c>
      <c r="F245" s="400" t="str">
        <f>IF(LEN('Verification Report'!W246)=0,"",'Verification Report'!W246)</f>
        <v/>
      </c>
      <c r="G245" t="s">
        <v>247</v>
      </c>
    </row>
    <row r="246" spans="1:9" ht="18.5" hidden="1" x14ac:dyDescent="0.35">
      <c r="A246" s="35" t="s">
        <v>472</v>
      </c>
      <c r="B246" s="35"/>
      <c r="C246" s="35"/>
      <c r="D246" s="44"/>
      <c r="E246" s="544"/>
      <c r="G246" t="s">
        <v>247</v>
      </c>
    </row>
    <row r="247" spans="1:9" ht="15" hidden="1" customHeight="1" x14ac:dyDescent="0.35">
      <c r="A247" s="47" t="s">
        <v>3983</v>
      </c>
      <c r="B247" s="50"/>
      <c r="C247" s="50"/>
      <c r="D247" s="838" t="s">
        <v>473</v>
      </c>
      <c r="E247" s="41"/>
      <c r="G247" t="s">
        <v>247</v>
      </c>
    </row>
    <row r="248" spans="1:9" hidden="1" x14ac:dyDescent="0.35">
      <c r="A248" s="50"/>
      <c r="B248" s="50"/>
      <c r="C248" s="50"/>
      <c r="D248" s="838"/>
      <c r="E248" s="41"/>
      <c r="G248" t="s">
        <v>247</v>
      </c>
    </row>
    <row r="249" spans="1:9" ht="15" hidden="1" thickBot="1" x14ac:dyDescent="0.4">
      <c r="A249" s="57"/>
      <c r="B249" s="57"/>
      <c r="C249" s="57"/>
      <c r="D249" s="849"/>
      <c r="E249" s="72"/>
      <c r="G249" t="s">
        <v>247</v>
      </c>
    </row>
    <row r="250" spans="1:9" ht="15.75" customHeight="1" x14ac:dyDescent="0.35">
      <c r="A250" s="47" t="s">
        <v>474</v>
      </c>
      <c r="B250" s="50"/>
      <c r="C250" s="50"/>
      <c r="D250" s="838" t="s">
        <v>475</v>
      </c>
      <c r="E250" s="41"/>
      <c r="G250" s="727" t="str">
        <f ca="1">IF(COUNTIF(G252:H256,"P")&gt;0,"P","")</f>
        <v/>
      </c>
    </row>
    <row r="251" spans="1:9" x14ac:dyDescent="0.35">
      <c r="A251" s="50"/>
      <c r="B251" s="50"/>
      <c r="C251" s="50"/>
      <c r="D251" s="838"/>
      <c r="E251" s="41"/>
      <c r="G251" s="366" t="str">
        <f ca="1">G250</f>
        <v/>
      </c>
    </row>
    <row r="252" spans="1:9" ht="15" customHeight="1" x14ac:dyDescent="0.35">
      <c r="A252" s="50"/>
      <c r="B252" s="47" t="s">
        <v>256</v>
      </c>
      <c r="C252" s="50"/>
      <c r="D252" s="814" t="s">
        <v>476</v>
      </c>
      <c r="E252" s="41">
        <f>'Verification Report'!O253</f>
        <v>0</v>
      </c>
      <c r="F252" s="400" t="str">
        <f>IF(LEN('Verification Report'!W253)=0,"",'Verification Report'!W253)</f>
        <v/>
      </c>
      <c r="G252" s="366" t="str">
        <f>IF(E252&gt;0,"P","")</f>
        <v/>
      </c>
      <c r="H252" s="611" t="s">
        <v>5073</v>
      </c>
      <c r="I252" s="350"/>
    </row>
    <row r="253" spans="1:9" x14ac:dyDescent="0.35">
      <c r="A253" s="50"/>
      <c r="B253" s="100"/>
      <c r="C253" s="103"/>
      <c r="D253" s="815"/>
      <c r="E253" s="546"/>
      <c r="G253" s="366" t="str">
        <f>G252</f>
        <v/>
      </c>
    </row>
    <row r="254" spans="1:9" ht="15" hidden="1" customHeight="1" x14ac:dyDescent="0.35">
      <c r="A254" s="50"/>
      <c r="B254" s="468" t="s">
        <v>258</v>
      </c>
      <c r="C254" s="587"/>
      <c r="D254" s="820" t="s">
        <v>477</v>
      </c>
      <c r="E254" s="552">
        <f ca="1">'Verification Report'!O255</f>
        <v>0</v>
      </c>
      <c r="F254" s="400" t="str">
        <f>IF(LEN('Verification Report'!W255)=0,"",'Verification Report'!W255)</f>
        <v/>
      </c>
      <c r="G254" t="s">
        <v>247</v>
      </c>
    </row>
    <row r="255" spans="1:9" hidden="1" x14ac:dyDescent="0.35">
      <c r="B255" s="104"/>
      <c r="C255" s="104"/>
      <c r="D255" s="821"/>
      <c r="E255" s="546"/>
      <c r="G255" t="s">
        <v>247</v>
      </c>
    </row>
    <row r="256" spans="1:9" x14ac:dyDescent="0.35">
      <c r="A256" s="50"/>
      <c r="B256" s="47" t="s">
        <v>260</v>
      </c>
      <c r="C256" s="50"/>
      <c r="D256" s="90" t="s">
        <v>478</v>
      </c>
      <c r="E256" s="41">
        <f ca="1">'Verification Report'!O257</f>
        <v>0</v>
      </c>
      <c r="F256" s="400" t="str">
        <f>IF(LEN('Verification Report'!W257)=0,"",'Verification Report'!W257)</f>
        <v/>
      </c>
      <c r="G256" s="366" t="str">
        <f ca="1">IF(E256&gt;0,"P","")</f>
        <v/>
      </c>
      <c r="H256" s="611" t="s">
        <v>5074</v>
      </c>
      <c r="I256" s="350"/>
    </row>
    <row r="257" spans="1:9" x14ac:dyDescent="0.35">
      <c r="A257" s="46"/>
      <c r="B257" s="50"/>
      <c r="C257" s="47" t="s">
        <v>121</v>
      </c>
      <c r="D257" s="90" t="s">
        <v>479</v>
      </c>
      <c r="E257" s="41"/>
      <c r="G257" s="366" t="str">
        <f ca="1">G256</f>
        <v/>
      </c>
    </row>
    <row r="258" spans="1:9" x14ac:dyDescent="0.35">
      <c r="A258" s="46"/>
      <c r="B258" s="50"/>
      <c r="C258" s="47" t="s">
        <v>122</v>
      </c>
      <c r="D258" s="90" t="s">
        <v>480</v>
      </c>
      <c r="E258" s="41"/>
      <c r="G258" s="366" t="str">
        <f ca="1">G257</f>
        <v/>
      </c>
    </row>
    <row r="259" spans="1:9" ht="15" thickBot="1" x14ac:dyDescent="0.4">
      <c r="A259" s="67"/>
      <c r="B259" s="57"/>
      <c r="C259" s="63" t="s">
        <v>123</v>
      </c>
      <c r="D259" s="229" t="s">
        <v>391</v>
      </c>
      <c r="E259" s="72"/>
      <c r="G259" s="366" t="str">
        <f ca="1">G258</f>
        <v/>
      </c>
    </row>
    <row r="260" spans="1:9" ht="15" thickTop="1" x14ac:dyDescent="0.35">
      <c r="A260" s="47" t="s">
        <v>482</v>
      </c>
      <c r="B260" s="50"/>
      <c r="C260" s="50"/>
      <c r="D260" s="95" t="s">
        <v>483</v>
      </c>
      <c r="E260" s="41"/>
      <c r="G260" s="727" t="str">
        <f>IF(COUNTIF(G261:H271,"P")&gt;0,"P","")</f>
        <v/>
      </c>
    </row>
    <row r="261" spans="1:9" ht="15" customHeight="1" x14ac:dyDescent="0.35">
      <c r="A261" s="50"/>
      <c r="B261" s="47" t="s">
        <v>256</v>
      </c>
      <c r="C261" s="50"/>
      <c r="D261" s="814" t="s">
        <v>484</v>
      </c>
      <c r="E261" s="41">
        <f>'Verification Report'!O262</f>
        <v>0</v>
      </c>
      <c r="G261" s="366" t="str">
        <f>IF(E261&gt;0,"P","")</f>
        <v/>
      </c>
    </row>
    <row r="262" spans="1:9" x14ac:dyDescent="0.35">
      <c r="A262" s="50"/>
      <c r="B262" s="50"/>
      <c r="C262" s="50"/>
      <c r="D262" s="814"/>
      <c r="E262" s="41"/>
      <c r="G262" s="366" t="str">
        <f>G261</f>
        <v/>
      </c>
    </row>
    <row r="263" spans="1:9" ht="15" customHeight="1" x14ac:dyDescent="0.35">
      <c r="A263" s="46"/>
      <c r="B263" s="50"/>
      <c r="C263" s="47" t="s">
        <v>121</v>
      </c>
      <c r="D263" s="814" t="s">
        <v>485</v>
      </c>
      <c r="E263" s="41"/>
      <c r="F263" s="400" t="str">
        <f>IF(LEN('Verification Report'!W264)=0,"",'Verification Report'!W264)</f>
        <v/>
      </c>
      <c r="G263" s="366" t="str">
        <f>IF(AND(LEN(F263)&gt;0,NOT(F263=FALSE)),"P","")</f>
        <v/>
      </c>
      <c r="H263" s="611" t="s">
        <v>5075</v>
      </c>
      <c r="I263" s="350"/>
    </row>
    <row r="264" spans="1:9" x14ac:dyDescent="0.35">
      <c r="A264" s="46"/>
      <c r="B264" s="50"/>
      <c r="C264" s="50"/>
      <c r="D264" s="814"/>
      <c r="E264" s="41"/>
      <c r="G264" s="366" t="str">
        <f>G263</f>
        <v/>
      </c>
    </row>
    <row r="265" spans="1:9" x14ac:dyDescent="0.35">
      <c r="A265" s="46"/>
      <c r="B265" s="50"/>
      <c r="C265" s="50"/>
      <c r="D265" s="814"/>
      <c r="E265" s="41"/>
      <c r="G265" s="366" t="str">
        <f>G264</f>
        <v/>
      </c>
    </row>
    <row r="266" spans="1:9" ht="15" customHeight="1" x14ac:dyDescent="0.35">
      <c r="A266" s="46"/>
      <c r="B266" s="50"/>
      <c r="C266" s="47" t="s">
        <v>122</v>
      </c>
      <c r="D266" s="814" t="s">
        <v>486</v>
      </c>
      <c r="E266" s="41"/>
      <c r="F266" s="400" t="str">
        <f>IF(LEN('Verification Report'!W267)=0,"",'Verification Report'!W267)</f>
        <v/>
      </c>
      <c r="G266" s="366" t="str">
        <f>IF(AND(LEN(F266)&gt;0,NOT(F266=FALSE)),"P","")</f>
        <v/>
      </c>
      <c r="H266" s="611" t="s">
        <v>5076</v>
      </c>
      <c r="I266" s="350"/>
    </row>
    <row r="267" spans="1:9" x14ac:dyDescent="0.35">
      <c r="A267" s="46"/>
      <c r="B267" s="50"/>
      <c r="C267" s="50"/>
      <c r="D267" s="814"/>
      <c r="E267" s="41"/>
      <c r="G267" s="366" t="str">
        <f>G266</f>
        <v/>
      </c>
    </row>
    <row r="268" spans="1:9" x14ac:dyDescent="0.35">
      <c r="A268" s="46"/>
      <c r="B268" s="50"/>
      <c r="C268" s="50"/>
      <c r="D268" s="814"/>
      <c r="E268" s="41"/>
      <c r="G268" s="366" t="str">
        <f>G267</f>
        <v/>
      </c>
    </row>
    <row r="269" spans="1:9" x14ac:dyDescent="0.35">
      <c r="A269" s="46"/>
      <c r="B269" s="50"/>
      <c r="C269" s="50"/>
      <c r="D269" s="814"/>
      <c r="E269" s="41"/>
      <c r="G269" s="366" t="str">
        <f>G268</f>
        <v/>
      </c>
    </row>
    <row r="270" spans="1:9" hidden="1" x14ac:dyDescent="0.35">
      <c r="A270" s="46"/>
      <c r="B270" s="103"/>
      <c r="C270" s="105" t="s">
        <v>123</v>
      </c>
      <c r="D270" s="228" t="s">
        <v>487</v>
      </c>
      <c r="E270" s="546"/>
      <c r="F270" s="400" t="str">
        <f>IF(LEN('Verification Report'!W271)=0,"",'Verification Report'!W271)</f>
        <v/>
      </c>
      <c r="G270" t="s">
        <v>247</v>
      </c>
    </row>
    <row r="271" spans="1:9" ht="15" customHeight="1" x14ac:dyDescent="0.35">
      <c r="A271" s="50"/>
      <c r="B271" s="47" t="s">
        <v>258</v>
      </c>
      <c r="C271" s="50"/>
      <c r="D271" s="814" t="s">
        <v>488</v>
      </c>
      <c r="E271" s="41">
        <f>'Verification Report'!O272</f>
        <v>0</v>
      </c>
      <c r="F271" s="400" t="str">
        <f>IF(LEN('Verification Report'!W272)=0,"",'Verification Report'!W272)</f>
        <v/>
      </c>
      <c r="G271" s="366" t="str">
        <f>IF(E271&gt;0,"P","")</f>
        <v/>
      </c>
      <c r="H271" s="611" t="s">
        <v>5077</v>
      </c>
      <c r="I271" s="350"/>
    </row>
    <row r="272" spans="1:9" x14ac:dyDescent="0.35">
      <c r="A272" s="50"/>
      <c r="B272" s="50"/>
      <c r="C272" s="50"/>
      <c r="D272" s="814"/>
      <c r="E272" s="41"/>
      <c r="G272" s="366" t="str">
        <f>G271</f>
        <v/>
      </c>
    </row>
    <row r="273" spans="1:9" ht="15" thickBot="1" x14ac:dyDescent="0.4">
      <c r="A273" s="57"/>
      <c r="B273" s="57"/>
      <c r="C273" s="57"/>
      <c r="D273" s="839"/>
      <c r="E273" s="72"/>
      <c r="G273" s="366" t="str">
        <f>G272</f>
        <v/>
      </c>
    </row>
    <row r="274" spans="1:9" ht="15" thickTop="1" x14ac:dyDescent="0.35">
      <c r="A274" s="47" t="s">
        <v>489</v>
      </c>
      <c r="B274" s="50"/>
      <c r="C274" s="50"/>
      <c r="D274" s="95" t="s">
        <v>490</v>
      </c>
      <c r="E274" s="75">
        <f ca="1">'Verification Report'!O275</f>
        <v>0</v>
      </c>
      <c r="F274" s="2"/>
      <c r="G274" s="366" t="str">
        <f ca="1">IF(E274&gt;0,"P","")</f>
        <v/>
      </c>
      <c r="H274" s="1093" t="s">
        <v>5078</v>
      </c>
      <c r="I274" s="350"/>
    </row>
    <row r="275" spans="1:9" x14ac:dyDescent="0.35">
      <c r="A275" s="50"/>
      <c r="B275" s="100" t="s">
        <v>256</v>
      </c>
      <c r="C275" s="103"/>
      <c r="D275" s="228" t="s">
        <v>4134</v>
      </c>
      <c r="E275" s="75"/>
      <c r="F275" s="400" t="str">
        <f>IF(LEN('Verification Report'!W276)=0,"",'Verification Report'!W276)</f>
        <v/>
      </c>
      <c r="G275" s="366" t="str">
        <f ca="1">G274</f>
        <v/>
      </c>
      <c r="H275" s="978"/>
    </row>
    <row r="276" spans="1:9" x14ac:dyDescent="0.35">
      <c r="A276" s="50"/>
      <c r="B276" s="100" t="s">
        <v>258</v>
      </c>
      <c r="C276" s="103"/>
      <c r="D276" s="228" t="s">
        <v>4135</v>
      </c>
      <c r="E276" s="75"/>
      <c r="G276" s="366" t="str">
        <f ca="1">G275</f>
        <v/>
      </c>
    </row>
    <row r="277" spans="1:9" x14ac:dyDescent="0.35">
      <c r="A277" s="50"/>
      <c r="B277" s="100" t="s">
        <v>260</v>
      </c>
      <c r="C277" s="103"/>
      <c r="D277" s="228" t="s">
        <v>4136</v>
      </c>
      <c r="E277" s="75"/>
      <c r="F277" s="590"/>
      <c r="G277" s="366" t="str">
        <f ca="1">G276</f>
        <v/>
      </c>
    </row>
    <row r="278" spans="1:9" x14ac:dyDescent="0.35">
      <c r="A278" s="50"/>
      <c r="B278" s="100" t="s">
        <v>269</v>
      </c>
      <c r="C278" s="103"/>
      <c r="D278" s="228" t="s">
        <v>4137</v>
      </c>
      <c r="E278" s="75"/>
      <c r="G278" s="366" t="str">
        <f ca="1">G277</f>
        <v/>
      </c>
    </row>
    <row r="279" spans="1:9" ht="15" thickBot="1" x14ac:dyDescent="0.4">
      <c r="A279" s="57"/>
      <c r="B279" s="52" t="s">
        <v>275</v>
      </c>
      <c r="C279" s="57"/>
      <c r="D279" s="229" t="s">
        <v>4138</v>
      </c>
      <c r="E279" s="161"/>
      <c r="G279" s="366" t="str">
        <f ca="1">G278</f>
        <v/>
      </c>
    </row>
    <row r="280" spans="1:9" ht="15" thickTop="1" x14ac:dyDescent="0.35">
      <c r="A280" s="66" t="s">
        <v>491</v>
      </c>
      <c r="B280" s="61"/>
      <c r="C280" s="61"/>
      <c r="D280" s="274" t="s">
        <v>4139</v>
      </c>
      <c r="E280" s="41"/>
      <c r="G280" s="727" t="str">
        <f ca="1">IF(COUNTIF(G281,"P")&gt;0,"P","")</f>
        <v/>
      </c>
      <c r="H280" s="611" t="s">
        <v>5079</v>
      </c>
      <c r="I280" s="350"/>
    </row>
    <row r="281" spans="1:9" ht="15" thickBot="1" x14ac:dyDescent="0.4">
      <c r="A281" s="55"/>
      <c r="B281" s="52" t="s">
        <v>256</v>
      </c>
      <c r="C281" s="57"/>
      <c r="D281" s="229" t="s">
        <v>4140</v>
      </c>
      <c r="E281" s="72">
        <f ca="1">'Verification Report'!O282</f>
        <v>0</v>
      </c>
      <c r="F281" s="400" t="str">
        <f>IF(LEN('Verification Report'!W282)=0,"",'Verification Report'!W282)</f>
        <v/>
      </c>
      <c r="G281" s="366" t="str">
        <f ca="1">IF(E281&gt;0,"P","")</f>
        <v/>
      </c>
    </row>
    <row r="282" spans="1:9" ht="15.75" hidden="1" customHeight="1" thickTop="1" x14ac:dyDescent="0.35">
      <c r="A282" s="66" t="s">
        <v>492</v>
      </c>
      <c r="B282" s="61"/>
      <c r="C282" s="61"/>
      <c r="D282" s="837" t="s">
        <v>4848</v>
      </c>
      <c r="G282" t="s">
        <v>247</v>
      </c>
    </row>
    <row r="283" spans="1:9" ht="15.5" hidden="1" thickTop="1" thickBot="1" x14ac:dyDescent="0.4">
      <c r="A283" s="47"/>
      <c r="B283" s="50"/>
      <c r="C283" s="50"/>
      <c r="D283" s="838"/>
      <c r="G283" t="s">
        <v>247</v>
      </c>
    </row>
    <row r="284" spans="1:9" ht="15.5" hidden="1" thickTop="1" thickBot="1" x14ac:dyDescent="0.4">
      <c r="A284" s="50"/>
      <c r="B284" s="50"/>
      <c r="C284" s="50"/>
      <c r="D284" s="838"/>
      <c r="F284" s="2"/>
      <c r="G284" t="s">
        <v>247</v>
      </c>
    </row>
    <row r="285" spans="1:9" ht="15" hidden="1" customHeight="1" x14ac:dyDescent="0.35">
      <c r="C285" s="32" t="s">
        <v>121</v>
      </c>
      <c r="D285" s="814" t="s">
        <v>4141</v>
      </c>
      <c r="E285" s="41">
        <f ca="1">'Verification Report'!O286</f>
        <v>0</v>
      </c>
      <c r="F285" s="400" t="str">
        <f>IF(LEN('Verification Report'!W286)=0,"",'Verification Report'!W286)</f>
        <v/>
      </c>
      <c r="G285" t="s">
        <v>247</v>
      </c>
    </row>
    <row r="286" spans="1:9" ht="15.5" hidden="1" thickTop="1" thickBot="1" x14ac:dyDescent="0.4">
      <c r="C286" s="331"/>
      <c r="D286" s="815"/>
      <c r="E286" s="546"/>
      <c r="G286" t="s">
        <v>247</v>
      </c>
    </row>
    <row r="287" spans="1:9" ht="15" hidden="1" customHeight="1" x14ac:dyDescent="0.35">
      <c r="C287" s="330" t="s">
        <v>122</v>
      </c>
      <c r="D287" s="836" t="s">
        <v>4143</v>
      </c>
      <c r="E287" s="552">
        <f ca="1">'Verification Report'!O288</f>
        <v>0</v>
      </c>
      <c r="F287" s="400" t="str">
        <f>IF(LEN('Verification Report'!W288)=0,"",'Verification Report'!W288)</f>
        <v/>
      </c>
      <c r="G287" t="s">
        <v>247</v>
      </c>
    </row>
    <row r="288" spans="1:9" ht="15.5" hidden="1" thickTop="1" thickBot="1" x14ac:dyDescent="0.4">
      <c r="C288" s="32"/>
      <c r="D288" s="814"/>
      <c r="E288" s="41"/>
      <c r="G288" t="s">
        <v>247</v>
      </c>
    </row>
    <row r="289" spans="1:7" ht="15.5" hidden="1" thickTop="1" thickBot="1" x14ac:dyDescent="0.4">
      <c r="C289" s="331"/>
      <c r="D289" s="815"/>
      <c r="E289" s="546"/>
      <c r="G289" t="s">
        <v>247</v>
      </c>
    </row>
    <row r="290" spans="1:7" ht="15.5" hidden="1" thickTop="1" thickBot="1" x14ac:dyDescent="0.4">
      <c r="C290" s="332" t="s">
        <v>123</v>
      </c>
      <c r="D290" s="177" t="s">
        <v>4144</v>
      </c>
      <c r="E290" s="547">
        <f ca="1">'Verification Report'!O291</f>
        <v>0</v>
      </c>
      <c r="F290" s="400" t="str">
        <f>IF(LEN('Verification Report'!W291)=0,"",'Verification Report'!W291)</f>
        <v/>
      </c>
      <c r="G290" t="s">
        <v>247</v>
      </c>
    </row>
    <row r="291" spans="1:7" ht="15.5" hidden="1" thickTop="1" thickBot="1" x14ac:dyDescent="0.4">
      <c r="C291" s="475" t="s">
        <v>401</v>
      </c>
      <c r="D291" s="486" t="s">
        <v>4145</v>
      </c>
      <c r="E291" s="72">
        <f ca="1">'Verification Report'!O292</f>
        <v>0</v>
      </c>
      <c r="F291" s="400" t="str">
        <f>IF(LEN('Verification Report'!W292)=0,"",'Verification Report'!W292)</f>
        <v/>
      </c>
      <c r="G291" t="s">
        <v>247</v>
      </c>
    </row>
    <row r="292" spans="1:7" ht="15.75" hidden="1" customHeight="1" thickTop="1" x14ac:dyDescent="0.35">
      <c r="A292" s="66" t="s">
        <v>493</v>
      </c>
      <c r="B292" s="61"/>
      <c r="C292" s="61"/>
      <c r="D292" s="837" t="s">
        <v>4147</v>
      </c>
      <c r="E292" s="59"/>
      <c r="G292" t="s">
        <v>247</v>
      </c>
    </row>
    <row r="293" spans="1:7" ht="15.5" hidden="1" thickTop="1" thickBot="1" x14ac:dyDescent="0.4">
      <c r="A293" s="50"/>
      <c r="B293" s="50"/>
      <c r="C293" s="50"/>
      <c r="D293" s="838"/>
      <c r="E293" s="41">
        <f ca="1">'Verification Report'!O294</f>
        <v>0</v>
      </c>
      <c r="F293" s="400" t="str">
        <f>IF(LEN('Verification Report'!W294)=0,"",'Verification Report'!W294)</f>
        <v/>
      </c>
      <c r="G293" t="s">
        <v>247</v>
      </c>
    </row>
    <row r="294" spans="1:7" ht="15.5" hidden="1" thickTop="1" thickBot="1" x14ac:dyDescent="0.4">
      <c r="A294" s="50"/>
      <c r="B294" s="50"/>
      <c r="C294" s="50"/>
      <c r="D294" s="838"/>
      <c r="E294" s="41"/>
      <c r="G294" t="s">
        <v>247</v>
      </c>
    </row>
    <row r="295" spans="1:7" ht="15.5" hidden="1" thickTop="1" thickBot="1" x14ac:dyDescent="0.4">
      <c r="A295" s="50"/>
      <c r="B295" s="50"/>
      <c r="C295" s="50"/>
      <c r="D295" s="838"/>
      <c r="E295" s="41"/>
      <c r="G295" t="s">
        <v>247</v>
      </c>
    </row>
    <row r="296" spans="1:7" ht="15" hidden="1" customHeight="1" x14ac:dyDescent="0.35">
      <c r="A296" s="50"/>
      <c r="B296" s="50"/>
      <c r="C296" s="50"/>
      <c r="D296" s="814" t="s">
        <v>4148</v>
      </c>
      <c r="E296" s="41"/>
      <c r="G296" t="s">
        <v>247</v>
      </c>
    </row>
    <row r="297" spans="1:7" ht="15.5" hidden="1" thickTop="1" thickBot="1" x14ac:dyDescent="0.4">
      <c r="A297" s="50"/>
      <c r="B297" s="50"/>
      <c r="C297" s="50"/>
      <c r="D297" s="814"/>
      <c r="E297" s="41"/>
      <c r="G297" t="s">
        <v>247</v>
      </c>
    </row>
    <row r="298" spans="1:7" ht="15.5" hidden="1" thickTop="1" thickBot="1" x14ac:dyDescent="0.4">
      <c r="A298" s="50"/>
      <c r="B298" s="50"/>
      <c r="C298" s="50"/>
      <c r="D298" s="814"/>
      <c r="E298" s="41"/>
      <c r="G298" t="s">
        <v>247</v>
      </c>
    </row>
    <row r="299" spans="1:7" ht="15.5" hidden="1" thickTop="1" thickBot="1" x14ac:dyDescent="0.4">
      <c r="A299" s="50"/>
      <c r="B299" s="50"/>
      <c r="C299" s="50"/>
      <c r="D299" s="814"/>
      <c r="E299" s="41"/>
      <c r="G299" t="s">
        <v>247</v>
      </c>
    </row>
    <row r="300" spans="1:7" ht="15.5" hidden="1" thickTop="1" thickBot="1" x14ac:dyDescent="0.4">
      <c r="A300" s="50"/>
      <c r="B300" s="50"/>
      <c r="C300" s="50"/>
      <c r="D300" s="814"/>
      <c r="E300" s="41"/>
      <c r="G300" t="s">
        <v>247</v>
      </c>
    </row>
    <row r="301" spans="1:7" ht="15.5" hidden="1" thickTop="1" thickBot="1" x14ac:dyDescent="0.4">
      <c r="A301" s="50"/>
      <c r="B301" s="50"/>
      <c r="C301" s="50"/>
      <c r="D301" s="814"/>
      <c r="E301" s="41"/>
      <c r="G301" t="s">
        <v>247</v>
      </c>
    </row>
    <row r="302" spans="1:7" ht="15.5" hidden="1" thickTop="1" thickBot="1" x14ac:dyDescent="0.4">
      <c r="A302" s="50"/>
      <c r="B302" s="50"/>
      <c r="C302" s="50"/>
      <c r="D302" s="814"/>
      <c r="E302" s="41"/>
      <c r="G302" t="s">
        <v>247</v>
      </c>
    </row>
    <row r="303" spans="1:7" ht="15.5" hidden="1" thickTop="1" thickBot="1" x14ac:dyDescent="0.4">
      <c r="A303" s="57"/>
      <c r="B303" s="57"/>
      <c r="C303" s="57"/>
      <c r="D303" s="839"/>
      <c r="E303" s="72"/>
      <c r="G303" t="s">
        <v>247</v>
      </c>
    </row>
    <row r="304" spans="1:7" ht="15.75" hidden="1" customHeight="1" thickTop="1" x14ac:dyDescent="0.35">
      <c r="A304" s="107" t="s">
        <v>4150</v>
      </c>
      <c r="B304" s="107"/>
      <c r="C304" s="59"/>
      <c r="D304" s="853" t="s">
        <v>4154</v>
      </c>
      <c r="E304" s="545">
        <f ca="1">'Verification Report'!O305</f>
        <v>0</v>
      </c>
      <c r="F304" s="400" t="str">
        <f>IF(LEN('Verification Report'!W305)=0,"",'Verification Report'!W305)</f>
        <v/>
      </c>
      <c r="G304" t="s">
        <v>247</v>
      </c>
    </row>
    <row r="305" spans="1:7" ht="15.5" hidden="1" thickTop="1" thickBot="1" x14ac:dyDescent="0.4">
      <c r="A305" s="4"/>
      <c r="B305" s="4"/>
      <c r="D305" s="841"/>
      <c r="E305" s="41"/>
      <c r="G305" t="s">
        <v>247</v>
      </c>
    </row>
    <row r="306" spans="1:7" ht="15.5" hidden="1" thickTop="1" thickBot="1" x14ac:dyDescent="0.4">
      <c r="A306" s="4"/>
      <c r="B306" s="4"/>
      <c r="D306" s="841"/>
      <c r="E306" s="41"/>
      <c r="G306" t="s">
        <v>247</v>
      </c>
    </row>
    <row r="307" spans="1:7" ht="15.5" hidden="1" thickTop="1" thickBot="1" x14ac:dyDescent="0.4">
      <c r="A307" s="160"/>
      <c r="B307" s="160"/>
      <c r="C307" s="55"/>
      <c r="D307" s="854"/>
      <c r="E307" s="72"/>
      <c r="G307" t="s">
        <v>247</v>
      </c>
    </row>
    <row r="308" spans="1:7" ht="15.5" hidden="1" thickTop="1" thickBot="1" x14ac:dyDescent="0.4">
      <c r="A308" s="160" t="s">
        <v>4151</v>
      </c>
      <c r="B308" s="160"/>
      <c r="C308" s="55"/>
      <c r="D308" s="576" t="s">
        <v>4155</v>
      </c>
      <c r="E308" s="548">
        <f>'Verification Report'!O309</f>
        <v>0</v>
      </c>
      <c r="F308" s="400" t="str">
        <f>IF(LEN('Verification Report'!W309)=0,"",'Verification Report'!W309)</f>
        <v/>
      </c>
      <c r="G308" t="s">
        <v>247</v>
      </c>
    </row>
    <row r="309" spans="1:7" ht="15.75" hidden="1" customHeight="1" thickTop="1" x14ac:dyDescent="0.35">
      <c r="A309" s="4" t="s">
        <v>4152</v>
      </c>
      <c r="B309" s="4"/>
      <c r="D309" s="841" t="s">
        <v>4156</v>
      </c>
      <c r="E309" s="41"/>
      <c r="G309" t="s">
        <v>247</v>
      </c>
    </row>
    <row r="310" spans="1:7" ht="15.5" hidden="1" thickTop="1" thickBot="1" x14ac:dyDescent="0.4">
      <c r="A310" s="4"/>
      <c r="B310" s="4"/>
      <c r="D310" s="841"/>
      <c r="E310" s="41"/>
      <c r="G310" t="s">
        <v>247</v>
      </c>
    </row>
    <row r="311" spans="1:7" ht="15" hidden="1" customHeight="1" x14ac:dyDescent="0.35">
      <c r="A311" s="4"/>
      <c r="B311" s="4" t="s">
        <v>121</v>
      </c>
      <c r="D311" s="825" t="s">
        <v>4157</v>
      </c>
      <c r="E311" s="41">
        <f ca="1">'Verification Report'!O312</f>
        <v>0</v>
      </c>
      <c r="F311" s="400" t="str">
        <f>IF(LEN('Verification Report'!W312)=0,"",'Verification Report'!W312)</f>
        <v/>
      </c>
      <c r="G311" t="s">
        <v>247</v>
      </c>
    </row>
    <row r="312" spans="1:7" ht="15.5" hidden="1" thickTop="1" thickBot="1" x14ac:dyDescent="0.4">
      <c r="A312" s="4"/>
      <c r="B312" s="4"/>
      <c r="D312" s="825"/>
      <c r="E312" s="41"/>
      <c r="G312" t="s">
        <v>247</v>
      </c>
    </row>
    <row r="313" spans="1:7" ht="15.5" hidden="1" thickTop="1" thickBot="1" x14ac:dyDescent="0.4">
      <c r="A313" s="4"/>
      <c r="B313" s="133"/>
      <c r="C313" s="104"/>
      <c r="D313" s="842"/>
      <c r="E313" s="546"/>
      <c r="G313" t="s">
        <v>247</v>
      </c>
    </row>
    <row r="314" spans="1:7" ht="15.5" hidden="1" thickTop="1" thickBot="1" x14ac:dyDescent="0.4">
      <c r="A314" s="4"/>
      <c r="B314" s="163" t="s">
        <v>122</v>
      </c>
      <c r="C314" s="134"/>
      <c r="D314" s="478" t="s">
        <v>4158</v>
      </c>
      <c r="E314" s="547">
        <f ca="1">'Verification Report'!O315</f>
        <v>0</v>
      </c>
      <c r="F314" s="400" t="str">
        <f>IF(LEN('Verification Report'!W315)=0,"",'Verification Report'!W315)</f>
        <v/>
      </c>
      <c r="G314" t="s">
        <v>247</v>
      </c>
    </row>
    <row r="315" spans="1:7" ht="15" hidden="1" customHeight="1" x14ac:dyDescent="0.35">
      <c r="A315" s="4"/>
      <c r="B315" s="4" t="s">
        <v>123</v>
      </c>
      <c r="D315" s="825" t="s">
        <v>4159</v>
      </c>
      <c r="E315" s="41">
        <f ca="1">'Verification Report'!O316</f>
        <v>0</v>
      </c>
      <c r="F315" s="400" t="str">
        <f>IF(LEN('Verification Report'!W316)=0,"",'Verification Report'!W316)</f>
        <v/>
      </c>
      <c r="G315" t="s">
        <v>247</v>
      </c>
    </row>
    <row r="316" spans="1:7" ht="15.5" hidden="1" thickTop="1" thickBot="1" x14ac:dyDescent="0.4">
      <c r="A316" s="160"/>
      <c r="B316" s="160"/>
      <c r="C316" s="55"/>
      <c r="D316" s="826"/>
      <c r="E316" s="72"/>
      <c r="G316" t="s">
        <v>247</v>
      </c>
    </row>
    <row r="317" spans="1:7" ht="15.75" hidden="1" customHeight="1" thickTop="1" x14ac:dyDescent="0.35">
      <c r="A317" s="4" t="s">
        <v>4153</v>
      </c>
      <c r="B317" s="4"/>
      <c r="D317" s="841" t="s">
        <v>4163</v>
      </c>
      <c r="E317" s="41"/>
      <c r="G317" t="s">
        <v>247</v>
      </c>
    </row>
    <row r="318" spans="1:7" ht="15.5" hidden="1" thickTop="1" thickBot="1" x14ac:dyDescent="0.4">
      <c r="A318" s="4"/>
      <c r="B318" s="4"/>
      <c r="D318" s="841"/>
      <c r="E318" s="41"/>
      <c r="G318" t="s">
        <v>247</v>
      </c>
    </row>
    <row r="319" spans="1:7" ht="15.5" hidden="1" thickTop="1" thickBot="1" x14ac:dyDescent="0.4">
      <c r="A319" s="4"/>
      <c r="B319" s="4"/>
      <c r="D319" s="841"/>
      <c r="E319" s="41"/>
      <c r="G319" t="s">
        <v>247</v>
      </c>
    </row>
    <row r="320" spans="1:7" ht="15" hidden="1" customHeight="1" x14ac:dyDescent="0.35">
      <c r="A320" s="4"/>
      <c r="B320" s="4" t="s">
        <v>121</v>
      </c>
      <c r="D320" s="825" t="s">
        <v>4160</v>
      </c>
      <c r="E320" s="41">
        <f ca="1">'Verification Report'!O321</f>
        <v>0</v>
      </c>
      <c r="F320" s="400" t="str">
        <f>IF(LEN('Verification Report'!W321)=0,"",'Verification Report'!W321)</f>
        <v/>
      </c>
      <c r="G320" t="s">
        <v>247</v>
      </c>
    </row>
    <row r="321" spans="1:9" ht="15.5" hidden="1" thickTop="1" thickBot="1" x14ac:dyDescent="0.4">
      <c r="A321" s="4"/>
      <c r="B321" s="133"/>
      <c r="C321" s="104"/>
      <c r="D321" s="842"/>
      <c r="E321" s="546"/>
      <c r="G321" t="s">
        <v>247</v>
      </c>
    </row>
    <row r="322" spans="1:9" ht="15" hidden="1" customHeight="1" x14ac:dyDescent="0.35">
      <c r="A322" s="4"/>
      <c r="B322" s="118" t="s">
        <v>122</v>
      </c>
      <c r="C322" s="120"/>
      <c r="D322" s="828" t="s">
        <v>4161</v>
      </c>
      <c r="E322" s="552">
        <f ca="1">'Verification Report'!O323</f>
        <v>0</v>
      </c>
      <c r="F322" s="400" t="str">
        <f>IF(LEN('Verification Report'!W323)=0,"",'Verification Report'!W323)</f>
        <v/>
      </c>
      <c r="G322" t="s">
        <v>247</v>
      </c>
    </row>
    <row r="323" spans="1:9" ht="15.5" hidden="1" thickTop="1" thickBot="1" x14ac:dyDescent="0.4">
      <c r="A323" s="4"/>
      <c r="B323" s="133"/>
      <c r="C323" s="104"/>
      <c r="D323" s="842"/>
      <c r="E323" s="546"/>
      <c r="G323" t="s">
        <v>247</v>
      </c>
    </row>
    <row r="324" spans="1:9" ht="15" hidden="1" customHeight="1" x14ac:dyDescent="0.35">
      <c r="A324" s="4"/>
      <c r="B324" s="4" t="s">
        <v>123</v>
      </c>
      <c r="D324" s="825" t="s">
        <v>4162</v>
      </c>
      <c r="E324" s="41">
        <f ca="1">'Verification Report'!O325</f>
        <v>0</v>
      </c>
      <c r="F324" s="400" t="str">
        <f>IF(LEN('Verification Report'!W325)=0,"",'Verification Report'!W325)</f>
        <v/>
      </c>
      <c r="G324" t="s">
        <v>247</v>
      </c>
    </row>
    <row r="325" spans="1:9" ht="15.5" hidden="1" thickTop="1" thickBot="1" x14ac:dyDescent="0.4">
      <c r="A325" s="133"/>
      <c r="B325" s="133"/>
      <c r="C325" s="104"/>
      <c r="D325" s="842"/>
      <c r="E325" s="41"/>
      <c r="G325" t="s">
        <v>247</v>
      </c>
    </row>
    <row r="326" spans="1:9" ht="19.5" hidden="1" thickTop="1" thickBot="1" x14ac:dyDescent="0.5">
      <c r="A326" s="14" t="s">
        <v>498</v>
      </c>
      <c r="B326" s="14"/>
      <c r="C326" s="14"/>
      <c r="D326" s="584"/>
      <c r="E326" s="549"/>
      <c r="G326" t="s">
        <v>247</v>
      </c>
    </row>
    <row r="327" spans="1:9" ht="15" hidden="1" customHeight="1" x14ac:dyDescent="0.35">
      <c r="A327" s="38" t="s">
        <v>499</v>
      </c>
      <c r="B327" s="19"/>
      <c r="C327" s="47"/>
      <c r="D327" s="838" t="s">
        <v>500</v>
      </c>
      <c r="E327" s="41"/>
      <c r="G327" t="s">
        <v>247</v>
      </c>
    </row>
    <row r="328" spans="1:9" ht="15.5" hidden="1" thickTop="1" thickBot="1" x14ac:dyDescent="0.4">
      <c r="A328" s="30"/>
      <c r="B328" s="4"/>
      <c r="C328" s="43"/>
      <c r="D328" s="838"/>
      <c r="E328" s="41"/>
      <c r="G328" t="s">
        <v>247</v>
      </c>
    </row>
    <row r="329" spans="1:9" ht="15.5" hidden="1" thickTop="1" thickBot="1" x14ac:dyDescent="0.4">
      <c r="A329" s="30"/>
      <c r="B329" s="4"/>
      <c r="C329" s="43"/>
      <c r="D329" s="838"/>
      <c r="E329" s="41"/>
      <c r="G329" t="s">
        <v>247</v>
      </c>
    </row>
    <row r="330" spans="1:9" ht="15.75" customHeight="1" thickTop="1" x14ac:dyDescent="0.35">
      <c r="A330" s="106">
        <v>601.1</v>
      </c>
      <c r="B330" s="107"/>
      <c r="C330" s="108"/>
      <c r="D330" s="837" t="s">
        <v>4164</v>
      </c>
      <c r="E330" s="545">
        <f>'Verification Report'!O331</f>
        <v>0</v>
      </c>
      <c r="G330" s="366" t="str">
        <f>IF(E330&gt;0,"P","")</f>
        <v/>
      </c>
      <c r="H330" s="1093" t="s">
        <v>5080</v>
      </c>
      <c r="I330" s="350"/>
    </row>
    <row r="331" spans="1:9" x14ac:dyDescent="0.35">
      <c r="A331" s="30"/>
      <c r="B331" s="4"/>
      <c r="C331" s="43"/>
      <c r="D331" s="838"/>
      <c r="E331" s="41"/>
      <c r="G331" s="366" t="str">
        <f>G330</f>
        <v/>
      </c>
      <c r="H331" s="978"/>
    </row>
    <row r="332" spans="1:9" x14ac:dyDescent="0.35">
      <c r="A332" s="30"/>
      <c r="B332" s="4"/>
      <c r="C332" s="43"/>
      <c r="D332" s="838"/>
      <c r="E332" s="41"/>
      <c r="G332" s="366" t="str">
        <f>G331</f>
        <v/>
      </c>
    </row>
    <row r="333" spans="1:9" x14ac:dyDescent="0.35">
      <c r="A333" s="30"/>
      <c r="B333" s="4"/>
      <c r="C333" s="43"/>
      <c r="D333" s="838"/>
      <c r="E333" s="41"/>
      <c r="G333" s="366" t="str">
        <f>G332</f>
        <v/>
      </c>
    </row>
    <row r="334" spans="1:9" x14ac:dyDescent="0.35">
      <c r="A334" s="30"/>
      <c r="B334" s="4"/>
      <c r="C334" s="43"/>
      <c r="D334" s="838"/>
      <c r="E334" s="41"/>
      <c r="G334" s="366" t="str">
        <f>G333</f>
        <v/>
      </c>
    </row>
    <row r="335" spans="1:9" ht="15" thickBot="1" x14ac:dyDescent="0.4">
      <c r="A335" s="30"/>
      <c r="B335" s="4"/>
      <c r="C335" s="43"/>
      <c r="D335" s="838"/>
      <c r="E335" s="41"/>
      <c r="G335" s="366" t="str">
        <f>G334</f>
        <v/>
      </c>
    </row>
    <row r="336" spans="1:9" ht="15" hidden="1" thickBot="1" x14ac:dyDescent="0.4">
      <c r="A336" s="30"/>
      <c r="B336" s="129" t="s">
        <v>256</v>
      </c>
      <c r="C336" s="101"/>
      <c r="D336" s="281" t="s">
        <v>501</v>
      </c>
      <c r="E336" s="41"/>
      <c r="G336" t="s">
        <v>247</v>
      </c>
    </row>
    <row r="337" spans="1:7" ht="15" hidden="1" thickBot="1" x14ac:dyDescent="0.4">
      <c r="A337" s="30"/>
      <c r="B337" s="130" t="s">
        <v>258</v>
      </c>
      <c r="C337" s="131"/>
      <c r="D337" s="177" t="s">
        <v>502</v>
      </c>
      <c r="E337" s="41"/>
      <c r="G337" t="s">
        <v>247</v>
      </c>
    </row>
    <row r="338" spans="1:7" ht="15" hidden="1" thickBot="1" x14ac:dyDescent="0.4">
      <c r="A338" s="30"/>
      <c r="B338" s="130" t="s">
        <v>260</v>
      </c>
      <c r="C338" s="131"/>
      <c r="D338" s="177" t="s">
        <v>503</v>
      </c>
      <c r="E338" s="41"/>
      <c r="G338" t="s">
        <v>247</v>
      </c>
    </row>
    <row r="339" spans="1:7" ht="15" hidden="1" thickBot="1" x14ac:dyDescent="0.4">
      <c r="A339" s="30"/>
      <c r="B339" s="130" t="s">
        <v>269</v>
      </c>
      <c r="C339" s="131"/>
      <c r="D339" s="177" t="s">
        <v>504</v>
      </c>
      <c r="E339" s="41"/>
      <c r="G339" t="s">
        <v>247</v>
      </c>
    </row>
    <row r="340" spans="1:7" ht="15" hidden="1" thickBot="1" x14ac:dyDescent="0.4">
      <c r="A340" s="30"/>
      <c r="B340" s="130" t="s">
        <v>275</v>
      </c>
      <c r="C340" s="131"/>
      <c r="D340" s="177" t="s">
        <v>505</v>
      </c>
      <c r="E340" s="41"/>
      <c r="G340" t="s">
        <v>247</v>
      </c>
    </row>
    <row r="341" spans="1:7" ht="15" hidden="1" thickBot="1" x14ac:dyDescent="0.4">
      <c r="A341" s="30"/>
      <c r="B341" s="19" t="s">
        <v>277</v>
      </c>
      <c r="C341" s="43"/>
      <c r="D341" s="266" t="s">
        <v>506</v>
      </c>
      <c r="E341" s="41"/>
      <c r="G341" t="s">
        <v>247</v>
      </c>
    </row>
    <row r="342" spans="1:7" ht="15" hidden="1" customHeight="1" x14ac:dyDescent="0.35">
      <c r="A342" s="30"/>
      <c r="B342" s="4"/>
      <c r="C342" s="43"/>
      <c r="D342" s="838" t="s">
        <v>507</v>
      </c>
      <c r="E342" s="41"/>
      <c r="G342" t="s">
        <v>247</v>
      </c>
    </row>
    <row r="343" spans="1:7" ht="15" hidden="1" thickBot="1" x14ac:dyDescent="0.4">
      <c r="A343" s="30"/>
      <c r="B343" s="4"/>
      <c r="C343" s="43"/>
      <c r="D343" s="838"/>
      <c r="E343" s="41"/>
      <c r="G343" t="s">
        <v>247</v>
      </c>
    </row>
    <row r="344" spans="1:7" ht="15" hidden="1" customHeight="1" x14ac:dyDescent="0.35">
      <c r="A344" s="30"/>
      <c r="B344" s="4"/>
      <c r="D344" s="855" t="s">
        <v>3832</v>
      </c>
      <c r="E344" s="41"/>
      <c r="G344" t="s">
        <v>247</v>
      </c>
    </row>
    <row r="345" spans="1:7" ht="15" hidden="1" thickBot="1" x14ac:dyDescent="0.4">
      <c r="A345" s="30"/>
      <c r="B345" s="4"/>
      <c r="C345" s="128"/>
      <c r="D345" s="855"/>
      <c r="E345" s="41"/>
      <c r="G345" t="s">
        <v>247</v>
      </c>
    </row>
    <row r="346" spans="1:7" ht="15.75" hidden="1" customHeight="1" thickTop="1" x14ac:dyDescent="0.35">
      <c r="A346" s="106">
        <v>601.20000000000005</v>
      </c>
      <c r="B346" s="107"/>
      <c r="C346" s="108"/>
      <c r="D346" s="837" t="s">
        <v>508</v>
      </c>
      <c r="E346" s="545"/>
      <c r="G346" t="s">
        <v>247</v>
      </c>
    </row>
    <row r="347" spans="1:7" ht="15" hidden="1" thickBot="1" x14ac:dyDescent="0.4">
      <c r="A347" s="30"/>
      <c r="B347" s="4"/>
      <c r="C347" s="43"/>
      <c r="D347" s="838"/>
      <c r="E347" s="41"/>
      <c r="G347" t="s">
        <v>247</v>
      </c>
    </row>
    <row r="348" spans="1:7" ht="15" hidden="1" customHeight="1" x14ac:dyDescent="0.35">
      <c r="A348" s="30"/>
      <c r="B348" s="19" t="s">
        <v>256</v>
      </c>
      <c r="C348" s="43"/>
      <c r="D348" s="814" t="s">
        <v>510</v>
      </c>
      <c r="E348" s="41">
        <f>'Verification Report'!O349</f>
        <v>0</v>
      </c>
      <c r="F348" s="400" t="str">
        <f>IF(LEN('Verification Report'!W349)=0,"",'Verification Report'!W349)</f>
        <v/>
      </c>
      <c r="G348" t="s">
        <v>247</v>
      </c>
    </row>
    <row r="349" spans="1:7" ht="15" hidden="1" thickBot="1" x14ac:dyDescent="0.4">
      <c r="A349" s="30"/>
      <c r="B349" s="4"/>
      <c r="C349" s="43"/>
      <c r="D349" s="814"/>
      <c r="E349" s="41"/>
      <c r="G349" t="s">
        <v>247</v>
      </c>
    </row>
    <row r="350" spans="1:7" ht="15" hidden="1" thickBot="1" x14ac:dyDescent="0.4">
      <c r="A350" s="30"/>
      <c r="B350" s="133"/>
      <c r="C350" s="101"/>
      <c r="D350" s="815"/>
      <c r="E350" s="546"/>
      <c r="G350" t="s">
        <v>247</v>
      </c>
    </row>
    <row r="351" spans="1:7" ht="15" hidden="1" customHeight="1" x14ac:dyDescent="0.35">
      <c r="A351" s="30"/>
      <c r="B351" s="19" t="s">
        <v>258</v>
      </c>
      <c r="C351" s="43"/>
      <c r="D351" s="814" t="s">
        <v>511</v>
      </c>
      <c r="E351" s="41">
        <f>'Verification Report'!O352</f>
        <v>0</v>
      </c>
      <c r="F351" s="400" t="str">
        <f>IF(LEN('Verification Report'!W352)=0,"",'Verification Report'!W352)</f>
        <v/>
      </c>
      <c r="G351" t="s">
        <v>247</v>
      </c>
    </row>
    <row r="352" spans="1:7" ht="15" hidden="1" thickBot="1" x14ac:dyDescent="0.4">
      <c r="A352" s="30"/>
      <c r="B352" s="4"/>
      <c r="C352" s="43"/>
      <c r="D352" s="814"/>
      <c r="E352" s="41"/>
      <c r="G352" t="s">
        <v>247</v>
      </c>
    </row>
    <row r="353" spans="1:7" ht="15" hidden="1" thickBot="1" x14ac:dyDescent="0.4">
      <c r="A353" s="30"/>
      <c r="B353" s="133"/>
      <c r="C353" s="101"/>
      <c r="D353" s="815"/>
      <c r="E353" s="546"/>
      <c r="G353" t="s">
        <v>247</v>
      </c>
    </row>
    <row r="354" spans="1:7" ht="15" hidden="1" customHeight="1" thickBot="1" x14ac:dyDescent="0.4">
      <c r="A354" s="30"/>
      <c r="B354" s="19" t="s">
        <v>260</v>
      </c>
      <c r="C354" s="43"/>
      <c r="D354" s="90" t="s">
        <v>512</v>
      </c>
      <c r="E354" s="41">
        <f>'Verification Report'!O355</f>
        <v>0</v>
      </c>
      <c r="F354" s="400" t="str">
        <f>IF(LEN('Verification Report'!W355)=0,"",'Verification Report'!W355)</f>
        <v/>
      </c>
      <c r="G354" t="s">
        <v>247</v>
      </c>
    </row>
    <row r="355" spans="1:7" ht="15.75" hidden="1" customHeight="1" thickTop="1" x14ac:dyDescent="0.35">
      <c r="A355" s="106">
        <v>601.29999999999995</v>
      </c>
      <c r="B355" s="107"/>
      <c r="C355" s="108"/>
      <c r="D355" s="837" t="s">
        <v>513</v>
      </c>
      <c r="E355" s="545"/>
      <c r="G355" t="s">
        <v>247</v>
      </c>
    </row>
    <row r="356" spans="1:7" ht="15" hidden="1" thickBot="1" x14ac:dyDescent="0.4">
      <c r="A356" s="30"/>
      <c r="B356" s="4"/>
      <c r="C356" s="43"/>
      <c r="D356" s="838"/>
      <c r="E356" s="41"/>
      <c r="G356" t="s">
        <v>247</v>
      </c>
    </row>
    <row r="357" spans="1:7" ht="15" hidden="1" thickBot="1" x14ac:dyDescent="0.4">
      <c r="A357" s="30"/>
      <c r="B357" s="4"/>
      <c r="C357" s="43"/>
      <c r="D357" s="838"/>
      <c r="E357" s="41"/>
      <c r="G357" t="s">
        <v>247</v>
      </c>
    </row>
    <row r="358" spans="1:7" ht="15" hidden="1" thickBot="1" x14ac:dyDescent="0.4">
      <c r="A358" s="30"/>
      <c r="B358" s="129" t="s">
        <v>256</v>
      </c>
      <c r="C358" s="101"/>
      <c r="D358" s="228" t="s">
        <v>514</v>
      </c>
      <c r="E358" s="546">
        <f>'Verification Report'!O359</f>
        <v>0</v>
      </c>
      <c r="F358" s="400" t="str">
        <f>IF(LEN('Verification Report'!W359)=0,"",'Verification Report'!W359)</f>
        <v/>
      </c>
      <c r="G358" t="s">
        <v>247</v>
      </c>
    </row>
    <row r="359" spans="1:7" ht="15" hidden="1" thickBot="1" x14ac:dyDescent="0.4">
      <c r="A359" s="30"/>
      <c r="B359" s="130" t="s">
        <v>258</v>
      </c>
      <c r="C359" s="131"/>
      <c r="D359" s="178" t="s">
        <v>515</v>
      </c>
      <c r="E359" s="547">
        <f>'Verification Report'!O360</f>
        <v>0</v>
      </c>
      <c r="F359" s="400" t="str">
        <f>IF(LEN('Verification Report'!W360)=0,"",'Verification Report'!W360)</f>
        <v/>
      </c>
      <c r="G359" t="s">
        <v>247</v>
      </c>
    </row>
    <row r="360" spans="1:7" ht="15" hidden="1" thickBot="1" x14ac:dyDescent="0.4">
      <c r="A360" s="30"/>
      <c r="B360" s="130" t="s">
        <v>260</v>
      </c>
      <c r="C360" s="131"/>
      <c r="D360" s="178" t="s">
        <v>516</v>
      </c>
      <c r="E360" s="547">
        <f>'Verification Report'!O361</f>
        <v>0</v>
      </c>
      <c r="F360" s="400" t="str">
        <f>IF(LEN('Verification Report'!W361)=0,"",'Verification Report'!W361)</f>
        <v/>
      </c>
      <c r="G360" t="s">
        <v>247</v>
      </c>
    </row>
    <row r="361" spans="1:7" ht="15" hidden="1" thickBot="1" x14ac:dyDescent="0.4">
      <c r="A361" s="30"/>
      <c r="B361" s="130" t="s">
        <v>269</v>
      </c>
      <c r="C361" s="131"/>
      <c r="D361" s="178" t="s">
        <v>517</v>
      </c>
      <c r="E361" s="547">
        <f>'Verification Report'!O362</f>
        <v>0</v>
      </c>
      <c r="F361" s="400" t="str">
        <f>IF(LEN('Verification Report'!W362)=0,"",'Verification Report'!W362)</f>
        <v/>
      </c>
      <c r="G361" t="s">
        <v>247</v>
      </c>
    </row>
    <row r="362" spans="1:7" ht="15" hidden="1" thickBot="1" x14ac:dyDescent="0.4">
      <c r="A362" s="30"/>
      <c r="B362" s="19" t="s">
        <v>275</v>
      </c>
      <c r="C362" s="43"/>
      <c r="D362" s="90" t="s">
        <v>518</v>
      </c>
      <c r="E362" s="41">
        <f>'Verification Report'!O363</f>
        <v>0</v>
      </c>
      <c r="F362" s="400" t="str">
        <f>IF(LEN('Verification Report'!W363)=0,"",'Verification Report'!W363)</f>
        <v/>
      </c>
      <c r="G362" t="s">
        <v>247</v>
      </c>
    </row>
    <row r="363" spans="1:7" ht="15.75" hidden="1" customHeight="1" thickTop="1" x14ac:dyDescent="0.35">
      <c r="A363" s="106">
        <v>601.4</v>
      </c>
      <c r="B363" s="107"/>
      <c r="C363" s="108"/>
      <c r="D363" s="837" t="s">
        <v>519</v>
      </c>
      <c r="E363" s="545">
        <f>'Verification Report'!O364</f>
        <v>0</v>
      </c>
      <c r="F363" s="400" t="str">
        <f>IF(LEN('Verification Report'!W364)=0,"",'Verification Report'!W364)</f>
        <v/>
      </c>
      <c r="G363" t="s">
        <v>247</v>
      </c>
    </row>
    <row r="364" spans="1:7" ht="15" hidden="1" thickBot="1" x14ac:dyDescent="0.4">
      <c r="A364" s="30"/>
      <c r="B364" s="4"/>
      <c r="C364" s="43"/>
      <c r="D364" s="838"/>
      <c r="E364" s="41"/>
      <c r="G364" t="s">
        <v>247</v>
      </c>
    </row>
    <row r="365" spans="1:7" ht="15" hidden="1" thickBot="1" x14ac:dyDescent="0.4">
      <c r="A365" s="30"/>
      <c r="B365" s="4"/>
      <c r="C365" s="43"/>
      <c r="D365" s="838"/>
      <c r="E365" s="41"/>
      <c r="G365" t="s">
        <v>247</v>
      </c>
    </row>
    <row r="366" spans="1:7" ht="15.75" hidden="1" customHeight="1" thickTop="1" x14ac:dyDescent="0.35">
      <c r="A366" s="60">
        <v>601.5</v>
      </c>
      <c r="B366" s="107"/>
      <c r="C366" s="108"/>
      <c r="D366" s="837" t="s">
        <v>520</v>
      </c>
      <c r="E366" s="545"/>
      <c r="G366" t="s">
        <v>247</v>
      </c>
    </row>
    <row r="367" spans="1:7" ht="15" hidden="1" thickBot="1" x14ac:dyDescent="0.4">
      <c r="A367" s="30"/>
      <c r="B367" s="4"/>
      <c r="C367" s="43"/>
      <c r="D367" s="838"/>
      <c r="E367" s="41"/>
      <c r="G367" t="s">
        <v>247</v>
      </c>
    </row>
    <row r="368" spans="1:7" ht="15" hidden="1" thickBot="1" x14ac:dyDescent="0.4">
      <c r="A368" s="30"/>
      <c r="B368" s="4"/>
      <c r="C368" s="43"/>
      <c r="D368" s="838"/>
      <c r="E368" s="41"/>
      <c r="G368" t="s">
        <v>247</v>
      </c>
    </row>
    <row r="369" spans="1:9" ht="15" hidden="1" thickBot="1" x14ac:dyDescent="0.4">
      <c r="A369" s="30"/>
      <c r="B369" s="129" t="s">
        <v>256</v>
      </c>
      <c r="C369" s="101"/>
      <c r="D369" s="228" t="s">
        <v>522</v>
      </c>
      <c r="E369" s="546">
        <f>'Verification Report'!O370</f>
        <v>0</v>
      </c>
      <c r="F369" s="400" t="str">
        <f>IF(LEN('Verification Report'!W370)=0,"",'Verification Report'!W370)</f>
        <v/>
      </c>
      <c r="G369" t="s">
        <v>247</v>
      </c>
    </row>
    <row r="370" spans="1:9" ht="15" hidden="1" thickBot="1" x14ac:dyDescent="0.4">
      <c r="A370" s="30"/>
      <c r="B370" s="130" t="s">
        <v>258</v>
      </c>
      <c r="C370" s="131"/>
      <c r="D370" s="178" t="s">
        <v>523</v>
      </c>
      <c r="E370" s="547">
        <f>'Verification Report'!O371</f>
        <v>0</v>
      </c>
      <c r="F370" s="400" t="str">
        <f>IF(LEN('Verification Report'!W371)=0,"",'Verification Report'!W371)</f>
        <v/>
      </c>
      <c r="G370" t="s">
        <v>247</v>
      </c>
    </row>
    <row r="371" spans="1:9" ht="15" hidden="1" thickBot="1" x14ac:dyDescent="0.4">
      <c r="A371" s="30"/>
      <c r="B371" s="130" t="s">
        <v>260</v>
      </c>
      <c r="C371" s="131"/>
      <c r="D371" s="178" t="s">
        <v>524</v>
      </c>
      <c r="E371" s="547">
        <f>'Verification Report'!O372</f>
        <v>0</v>
      </c>
      <c r="F371" s="400" t="str">
        <f>IF(LEN('Verification Report'!W372)=0,"",'Verification Report'!W372)</f>
        <v/>
      </c>
      <c r="G371" t="s">
        <v>247</v>
      </c>
    </row>
    <row r="372" spans="1:9" ht="15" hidden="1" thickBot="1" x14ac:dyDescent="0.4">
      <c r="A372" s="30"/>
      <c r="B372" s="130" t="s">
        <v>269</v>
      </c>
      <c r="C372" s="131"/>
      <c r="D372" s="178" t="s">
        <v>525</v>
      </c>
      <c r="E372" s="547">
        <f>'Verification Report'!O373</f>
        <v>0</v>
      </c>
      <c r="F372" s="400" t="str">
        <f>IF(LEN('Verification Report'!W373)=0,"",'Verification Report'!W373)</f>
        <v/>
      </c>
      <c r="G372" t="s">
        <v>247</v>
      </c>
    </row>
    <row r="373" spans="1:9" ht="15" hidden="1" thickBot="1" x14ac:dyDescent="0.4">
      <c r="A373" s="30"/>
      <c r="B373" s="19" t="s">
        <v>275</v>
      </c>
      <c r="C373" s="43"/>
      <c r="D373" s="90" t="s">
        <v>526</v>
      </c>
      <c r="E373" s="41">
        <f>'Verification Report'!O374</f>
        <v>0</v>
      </c>
      <c r="F373" s="400" t="str">
        <f>IF(LEN('Verification Report'!W374)=0,"",'Verification Report'!W374)</f>
        <v/>
      </c>
      <c r="G373" t="s">
        <v>247</v>
      </c>
    </row>
    <row r="374" spans="1:9" ht="15.75" customHeight="1" thickTop="1" x14ac:dyDescent="0.35">
      <c r="A374" s="106">
        <v>601.6</v>
      </c>
      <c r="B374" s="107"/>
      <c r="C374" s="108"/>
      <c r="D374" s="837" t="s">
        <v>527</v>
      </c>
      <c r="E374" s="308">
        <f ca="1">'Verification Report'!O375</f>
        <v>0</v>
      </c>
      <c r="G374" s="366" t="str">
        <f ca="1">IF(E374&gt;0,"P","")</f>
        <v/>
      </c>
      <c r="H374" s="611" t="s">
        <v>5081</v>
      </c>
      <c r="I374" s="350"/>
    </row>
    <row r="375" spans="1:9" x14ac:dyDescent="0.35">
      <c r="A375" s="30"/>
      <c r="B375" s="4"/>
      <c r="C375" s="43"/>
      <c r="D375" s="838"/>
      <c r="E375" s="75"/>
      <c r="G375" s="366" t="str">
        <f ca="1">G374</f>
        <v/>
      </c>
    </row>
    <row r="376" spans="1:9" ht="15" thickBot="1" x14ac:dyDescent="0.4">
      <c r="A376" s="30"/>
      <c r="B376" s="4"/>
      <c r="C376" s="43"/>
      <c r="D376" s="838"/>
      <c r="E376" s="75"/>
      <c r="G376" s="366" t="str">
        <f ca="1">G375</f>
        <v/>
      </c>
    </row>
    <row r="377" spans="1:9" ht="15" hidden="1" thickBot="1" x14ac:dyDescent="0.4">
      <c r="A377" s="30"/>
      <c r="B377" s="129" t="s">
        <v>256</v>
      </c>
      <c r="C377" s="101"/>
      <c r="D377" s="228" t="s">
        <v>529</v>
      </c>
      <c r="E377" s="75"/>
      <c r="G377" t="s">
        <v>247</v>
      </c>
    </row>
    <row r="378" spans="1:9" ht="15" hidden="1" thickBot="1" x14ac:dyDescent="0.4">
      <c r="A378" s="30"/>
      <c r="B378" s="19" t="s">
        <v>258</v>
      </c>
      <c r="C378" s="43"/>
      <c r="D378" s="90" t="s">
        <v>530</v>
      </c>
      <c r="E378" s="41"/>
      <c r="G378" t="s">
        <v>247</v>
      </c>
    </row>
    <row r="379" spans="1:9" ht="15.75" hidden="1" customHeight="1" thickTop="1" x14ac:dyDescent="0.35">
      <c r="A379" s="106">
        <v>601.70000000000005</v>
      </c>
      <c r="B379" s="107"/>
      <c r="C379" s="108"/>
      <c r="D379" s="837" t="s">
        <v>531</v>
      </c>
      <c r="E379" s="545">
        <f ca="1">'Verification Report'!O380</f>
        <v>0</v>
      </c>
      <c r="G379" t="s">
        <v>247</v>
      </c>
    </row>
    <row r="380" spans="1:9" ht="15" hidden="1" thickBot="1" x14ac:dyDescent="0.4">
      <c r="A380" s="30"/>
      <c r="B380" s="4"/>
      <c r="C380" s="43"/>
      <c r="D380" s="838"/>
      <c r="E380" s="41"/>
      <c r="G380" t="s">
        <v>247</v>
      </c>
    </row>
    <row r="381" spans="1:9" ht="15" hidden="1" thickBot="1" x14ac:dyDescent="0.4">
      <c r="A381" s="30"/>
      <c r="B381" s="4"/>
      <c r="C381" s="43"/>
      <c r="D381" s="92" t="s">
        <v>542</v>
      </c>
      <c r="E381" s="41"/>
      <c r="G381" t="s">
        <v>247</v>
      </c>
    </row>
    <row r="382" spans="1:9" ht="15" hidden="1" thickBot="1" x14ac:dyDescent="0.4">
      <c r="A382" s="30"/>
      <c r="B382" s="4"/>
      <c r="C382" s="100" t="s">
        <v>121</v>
      </c>
      <c r="D382" s="228" t="s">
        <v>533</v>
      </c>
      <c r="E382" s="41"/>
      <c r="F382" s="400" t="str">
        <f>IF(LEN('Verification Report'!W383)=0,"",'Verification Report'!W383)</f>
        <v/>
      </c>
      <c r="G382" t="s">
        <v>247</v>
      </c>
    </row>
    <row r="383" spans="1:9" ht="15" hidden="1" thickBot="1" x14ac:dyDescent="0.4">
      <c r="A383" s="30"/>
      <c r="B383" s="4"/>
      <c r="C383" s="135" t="s">
        <v>122</v>
      </c>
      <c r="D383" s="178" t="s">
        <v>534</v>
      </c>
      <c r="E383" s="41"/>
      <c r="F383" s="400" t="str">
        <f>IF(LEN('Verification Report'!W384)=0,"",'Verification Report'!W384)</f>
        <v/>
      </c>
      <c r="G383" t="s">
        <v>247</v>
      </c>
    </row>
    <row r="384" spans="1:9" ht="15" hidden="1" customHeight="1" x14ac:dyDescent="0.35">
      <c r="A384" s="30"/>
      <c r="B384" s="4"/>
      <c r="C384" s="136" t="s">
        <v>123</v>
      </c>
      <c r="D384" s="897" t="s">
        <v>535</v>
      </c>
      <c r="E384" s="41"/>
      <c r="F384" s="400" t="str">
        <f>IF(LEN('Verification Report'!W385)=0,"",'Verification Report'!W385)</f>
        <v/>
      </c>
      <c r="G384" t="s">
        <v>247</v>
      </c>
    </row>
    <row r="385" spans="1:7" ht="15" hidden="1" thickBot="1" x14ac:dyDescent="0.4">
      <c r="A385" s="30"/>
      <c r="B385" s="4"/>
      <c r="C385" s="43"/>
      <c r="D385" s="898"/>
      <c r="E385" s="41"/>
      <c r="G385" t="s">
        <v>247</v>
      </c>
    </row>
    <row r="386" spans="1:7" ht="15" hidden="1" thickBot="1" x14ac:dyDescent="0.4">
      <c r="A386" s="30"/>
      <c r="B386" s="4"/>
      <c r="C386" s="43"/>
      <c r="D386" s="179" t="s">
        <v>536</v>
      </c>
      <c r="E386" s="41"/>
      <c r="G386" t="s">
        <v>247</v>
      </c>
    </row>
    <row r="387" spans="1:7" ht="15" hidden="1" thickBot="1" x14ac:dyDescent="0.4">
      <c r="A387" s="30"/>
      <c r="B387" s="4"/>
      <c r="C387" s="101"/>
      <c r="D387" s="281" t="s">
        <v>537</v>
      </c>
      <c r="E387" s="41"/>
      <c r="G387" t="s">
        <v>247</v>
      </c>
    </row>
    <row r="388" spans="1:7" ht="15" hidden="1" customHeight="1" x14ac:dyDescent="0.35">
      <c r="A388" s="30"/>
      <c r="B388" s="4"/>
      <c r="C388" s="137" t="s">
        <v>401</v>
      </c>
      <c r="D388" s="836" t="s">
        <v>538</v>
      </c>
      <c r="E388" s="41"/>
      <c r="F388" s="400" t="str">
        <f>IF(LEN('Verification Report'!W389)=0,"",'Verification Report'!W389)</f>
        <v/>
      </c>
      <c r="G388" t="s">
        <v>247</v>
      </c>
    </row>
    <row r="389" spans="1:7" ht="15" hidden="1" thickBot="1" x14ac:dyDescent="0.4">
      <c r="A389" s="30"/>
      <c r="B389" s="4"/>
      <c r="C389" s="101"/>
      <c r="D389" s="815"/>
      <c r="E389" s="41"/>
      <c r="G389" t="s">
        <v>247</v>
      </c>
    </row>
    <row r="390" spans="1:7" ht="15" hidden="1" customHeight="1" x14ac:dyDescent="0.35">
      <c r="A390" s="30"/>
      <c r="B390" s="4"/>
      <c r="C390" s="137" t="s">
        <v>539</v>
      </c>
      <c r="D390" s="836" t="s">
        <v>540</v>
      </c>
      <c r="E390" s="41"/>
      <c r="F390" s="400" t="str">
        <f>IF(LEN('Verification Report'!W391)=0,"",'Verification Report'!W391)</f>
        <v/>
      </c>
      <c r="G390" t="s">
        <v>247</v>
      </c>
    </row>
    <row r="391" spans="1:7" ht="15" hidden="1" thickBot="1" x14ac:dyDescent="0.4">
      <c r="A391" s="30"/>
      <c r="B391" s="4"/>
      <c r="C391" s="101"/>
      <c r="D391" s="815"/>
      <c r="E391" s="41"/>
      <c r="G391" t="s">
        <v>247</v>
      </c>
    </row>
    <row r="392" spans="1:7" ht="15" hidden="1" thickBot="1" x14ac:dyDescent="0.4">
      <c r="A392" s="30"/>
      <c r="B392" s="129" t="s">
        <v>256</v>
      </c>
      <c r="C392" s="43"/>
      <c r="D392" s="228" t="s">
        <v>541</v>
      </c>
      <c r="E392" s="41"/>
      <c r="G392" t="s">
        <v>247</v>
      </c>
    </row>
    <row r="393" spans="1:7" ht="15" hidden="1" customHeight="1" x14ac:dyDescent="0.35">
      <c r="A393" s="30"/>
      <c r="B393" s="19" t="s">
        <v>258</v>
      </c>
      <c r="C393" s="120"/>
      <c r="D393" s="820" t="s">
        <v>543</v>
      </c>
      <c r="E393" s="41"/>
      <c r="G393" t="s">
        <v>247</v>
      </c>
    </row>
    <row r="394" spans="1:7" ht="15" hidden="1" thickBot="1" x14ac:dyDescent="0.4">
      <c r="A394" s="30"/>
      <c r="B394" s="104"/>
      <c r="C394" s="101"/>
      <c r="D394" s="821"/>
      <c r="E394" s="41"/>
      <c r="G394" t="s">
        <v>247</v>
      </c>
    </row>
    <row r="395" spans="1:7" ht="15" hidden="1" customHeight="1" x14ac:dyDescent="0.35">
      <c r="A395" s="30"/>
      <c r="B395" s="19" t="s">
        <v>260</v>
      </c>
      <c r="C395" s="43"/>
      <c r="D395" s="848" t="s">
        <v>544</v>
      </c>
      <c r="E395" s="41"/>
      <c r="G395" t="s">
        <v>247</v>
      </c>
    </row>
    <row r="396" spans="1:7" ht="15" hidden="1" thickBot="1" x14ac:dyDescent="0.4">
      <c r="A396" s="30"/>
      <c r="B396" s="19"/>
      <c r="C396" s="43"/>
      <c r="D396" s="888"/>
      <c r="E396" s="41"/>
      <c r="G396" t="s">
        <v>247</v>
      </c>
    </row>
    <row r="397" spans="1:7" ht="15.75" hidden="1" customHeight="1" thickTop="1" x14ac:dyDescent="0.35">
      <c r="A397" s="106">
        <v>601.79999999999995</v>
      </c>
      <c r="B397" s="107"/>
      <c r="C397" s="108"/>
      <c r="D397" s="837" t="s">
        <v>545</v>
      </c>
      <c r="E397" s="545">
        <f>'Verification Report'!O398</f>
        <v>0</v>
      </c>
      <c r="F397" s="400" t="str">
        <f>IF(LEN('Verification Report'!W398)=0,"",'Verification Report'!W398)</f>
        <v/>
      </c>
      <c r="G397" t="s">
        <v>247</v>
      </c>
    </row>
    <row r="398" spans="1:7" ht="15" hidden="1" thickBot="1" x14ac:dyDescent="0.4">
      <c r="A398" s="30"/>
      <c r="B398" s="4"/>
      <c r="C398" s="43"/>
      <c r="D398" s="838"/>
      <c r="E398" s="41"/>
      <c r="G398" t="s">
        <v>247</v>
      </c>
    </row>
    <row r="399" spans="1:7" ht="15" hidden="1" thickBot="1" x14ac:dyDescent="0.4">
      <c r="A399" s="30"/>
      <c r="B399" s="4"/>
      <c r="C399" s="43"/>
      <c r="D399" s="838"/>
      <c r="E399" s="41"/>
      <c r="G399" t="s">
        <v>247</v>
      </c>
    </row>
    <row r="400" spans="1:7" ht="15" hidden="1" thickBot="1" x14ac:dyDescent="0.4">
      <c r="A400" s="30"/>
      <c r="B400" s="4"/>
      <c r="C400" s="43"/>
      <c r="D400" s="838"/>
      <c r="E400" s="41"/>
      <c r="G400" t="s">
        <v>247</v>
      </c>
    </row>
    <row r="401" spans="1:7" ht="15" hidden="1" thickBot="1" x14ac:dyDescent="0.4">
      <c r="A401" s="30"/>
      <c r="B401" s="4"/>
      <c r="C401" s="43"/>
      <c r="D401" s="838"/>
      <c r="E401" s="41"/>
      <c r="G401" t="s">
        <v>247</v>
      </c>
    </row>
    <row r="402" spans="1:7" ht="15" hidden="1" customHeight="1" x14ac:dyDescent="0.35">
      <c r="A402" s="30"/>
      <c r="B402" s="4"/>
      <c r="C402" s="43"/>
      <c r="D402" s="855" t="s">
        <v>1102</v>
      </c>
      <c r="E402" s="41"/>
      <c r="G402" t="s">
        <v>247</v>
      </c>
    </row>
    <row r="403" spans="1:7" ht="15" hidden="1" thickBot="1" x14ac:dyDescent="0.4">
      <c r="A403" s="30"/>
      <c r="B403" s="4"/>
      <c r="C403" s="43"/>
      <c r="D403" s="855"/>
      <c r="E403" s="41"/>
      <c r="G403" t="s">
        <v>247</v>
      </c>
    </row>
    <row r="404" spans="1:7" ht="15" hidden="1" thickBot="1" x14ac:dyDescent="0.4">
      <c r="A404" s="30"/>
      <c r="B404" s="4"/>
      <c r="C404" s="43"/>
      <c r="D404" s="893"/>
      <c r="E404" s="41"/>
      <c r="G404" t="s">
        <v>247</v>
      </c>
    </row>
    <row r="405" spans="1:7" ht="19" hidden="1" thickBot="1" x14ac:dyDescent="0.4">
      <c r="A405" s="35" t="s">
        <v>546</v>
      </c>
      <c r="B405" s="35"/>
      <c r="C405" s="35"/>
      <c r="D405" s="151"/>
      <c r="E405" s="544"/>
      <c r="G405" t="s">
        <v>247</v>
      </c>
    </row>
    <row r="406" spans="1:7" ht="15" hidden="1" customHeight="1" x14ac:dyDescent="0.35">
      <c r="A406" s="38" t="s">
        <v>3140</v>
      </c>
      <c r="B406" s="4"/>
      <c r="C406" s="43"/>
      <c r="D406" s="838" t="s">
        <v>547</v>
      </c>
      <c r="E406" s="41"/>
      <c r="G406" t="s">
        <v>247</v>
      </c>
    </row>
    <row r="407" spans="1:7" ht="15" hidden="1" thickBot="1" x14ac:dyDescent="0.4">
      <c r="A407" s="30"/>
      <c r="B407" s="4"/>
      <c r="C407" s="43"/>
      <c r="D407" s="838"/>
      <c r="E407" s="41"/>
      <c r="G407" t="s">
        <v>247</v>
      </c>
    </row>
    <row r="408" spans="1:7" ht="15.5" hidden="1" thickTop="1" thickBot="1" x14ac:dyDescent="0.4">
      <c r="A408" s="106">
        <v>602.1</v>
      </c>
      <c r="B408" s="107"/>
      <c r="C408" s="108"/>
      <c r="D408" s="274" t="s">
        <v>548</v>
      </c>
      <c r="E408" s="545"/>
      <c r="G408" t="s">
        <v>247</v>
      </c>
    </row>
    <row r="409" spans="1:7" ht="15.5" hidden="1" thickTop="1" thickBot="1" x14ac:dyDescent="0.4">
      <c r="A409" s="106" t="s">
        <v>549</v>
      </c>
      <c r="B409" s="107"/>
      <c r="C409" s="108"/>
      <c r="D409" s="274" t="s">
        <v>550</v>
      </c>
      <c r="E409" s="545"/>
      <c r="G409" t="s">
        <v>247</v>
      </c>
    </row>
    <row r="410" spans="1:7" ht="15" hidden="1" customHeight="1" x14ac:dyDescent="0.35">
      <c r="A410" s="30" t="s">
        <v>551</v>
      </c>
      <c r="B410" s="4"/>
      <c r="C410" s="43"/>
      <c r="D410" s="838" t="s">
        <v>4849</v>
      </c>
      <c r="E410" s="41"/>
      <c r="F410" s="400" t="str">
        <f>IF(LEN('Verification Report'!W411)=0,"",'Verification Report'!W411)</f>
        <v/>
      </c>
      <c r="G410" t="s">
        <v>247</v>
      </c>
    </row>
    <row r="411" spans="1:7" ht="15" hidden="1" thickBot="1" x14ac:dyDescent="0.4">
      <c r="A411" s="30"/>
      <c r="B411" s="4"/>
      <c r="C411" s="43"/>
      <c r="D411" s="838"/>
      <c r="E411" s="41"/>
      <c r="G411" t="s">
        <v>247</v>
      </c>
    </row>
    <row r="412" spans="1:7" ht="15" hidden="1" thickBot="1" x14ac:dyDescent="0.4">
      <c r="A412" s="138"/>
      <c r="B412" s="133"/>
      <c r="C412" s="101"/>
      <c r="D412" s="889"/>
      <c r="E412" s="41"/>
      <c r="G412" t="s">
        <v>247</v>
      </c>
    </row>
    <row r="413" spans="1:7" ht="15" hidden="1" customHeight="1" x14ac:dyDescent="0.35">
      <c r="A413" s="30" t="s">
        <v>552</v>
      </c>
      <c r="B413" s="4"/>
      <c r="C413" s="43"/>
      <c r="D413" s="838" t="s">
        <v>553</v>
      </c>
      <c r="E413" s="41">
        <f>'Verification Report'!O414</f>
        <v>0</v>
      </c>
      <c r="F413" s="400" t="str">
        <f>IF(LEN('Verification Report'!W414)=0,"",'Verification Report'!W414)</f>
        <v/>
      </c>
      <c r="G413" t="s">
        <v>247</v>
      </c>
    </row>
    <row r="414" spans="1:7" ht="15" hidden="1" thickBot="1" x14ac:dyDescent="0.4">
      <c r="A414" s="30"/>
      <c r="B414" s="4"/>
      <c r="C414" s="43"/>
      <c r="D414" s="838"/>
      <c r="E414" s="41"/>
      <c r="G414" t="s">
        <v>247</v>
      </c>
    </row>
    <row r="415" spans="1:7" ht="15.75" hidden="1" customHeight="1" thickTop="1" x14ac:dyDescent="0.35">
      <c r="A415" s="106" t="s">
        <v>3141</v>
      </c>
      <c r="B415" s="107"/>
      <c r="C415" s="108"/>
      <c r="D415" s="837" t="s">
        <v>555</v>
      </c>
      <c r="E415" s="545">
        <f>'Verification Report'!O416</f>
        <v>0</v>
      </c>
      <c r="G415" t="s">
        <v>247</v>
      </c>
    </row>
    <row r="416" spans="1:7" ht="15" hidden="1" thickBot="1" x14ac:dyDescent="0.4">
      <c r="A416" s="30"/>
      <c r="B416" s="4"/>
      <c r="C416" s="43"/>
      <c r="D416" s="838"/>
      <c r="E416" s="41"/>
      <c r="G416" t="s">
        <v>247</v>
      </c>
    </row>
    <row r="417" spans="1:7" ht="15" hidden="1" thickBot="1" x14ac:dyDescent="0.4">
      <c r="A417" s="30"/>
      <c r="B417" s="129" t="s">
        <v>256</v>
      </c>
      <c r="C417" s="101"/>
      <c r="D417" s="228" t="s">
        <v>556</v>
      </c>
      <c r="E417" s="41"/>
      <c r="F417" s="400" t="str">
        <f>IF(LEN('Verification Report'!W418)=0,"",'Verification Report'!W418)</f>
        <v/>
      </c>
      <c r="G417" t="s">
        <v>247</v>
      </c>
    </row>
    <row r="418" spans="1:7" ht="15" hidden="1" thickBot="1" x14ac:dyDescent="0.4">
      <c r="A418" s="114"/>
      <c r="B418" s="115" t="s">
        <v>258</v>
      </c>
      <c r="C418" s="53"/>
      <c r="D418" s="229" t="s">
        <v>557</v>
      </c>
      <c r="E418" s="72"/>
      <c r="F418" s="400" t="str">
        <f>IF(LEN('Verification Report'!W419)=0,"",'Verification Report'!W419)</f>
        <v/>
      </c>
      <c r="G418" t="s">
        <v>247</v>
      </c>
    </row>
    <row r="419" spans="1:7" ht="15.5" hidden="1" thickTop="1" thickBot="1" x14ac:dyDescent="0.4">
      <c r="A419" s="106" t="s">
        <v>558</v>
      </c>
      <c r="B419" s="107"/>
      <c r="C419" s="108"/>
      <c r="D419" s="274" t="s">
        <v>559</v>
      </c>
      <c r="E419" s="545"/>
      <c r="G419" t="s">
        <v>247</v>
      </c>
    </row>
    <row r="420" spans="1:7" ht="15" hidden="1" customHeight="1" x14ac:dyDescent="0.35">
      <c r="A420" s="30" t="s">
        <v>560</v>
      </c>
      <c r="B420" s="4"/>
      <c r="C420" s="43"/>
      <c r="D420" s="838" t="s">
        <v>561</v>
      </c>
      <c r="E420" s="41"/>
      <c r="F420" s="400" t="str">
        <f>IF(LEN('Verification Report'!W421)=0,"",'Verification Report'!W421)</f>
        <v/>
      </c>
      <c r="G420" t="s">
        <v>247</v>
      </c>
    </row>
    <row r="421" spans="1:7" ht="15" hidden="1" thickBot="1" x14ac:dyDescent="0.4">
      <c r="A421" s="138"/>
      <c r="B421" s="133"/>
      <c r="C421" s="101"/>
      <c r="D421" s="889"/>
      <c r="E421" s="41"/>
      <c r="G421" t="s">
        <v>247</v>
      </c>
    </row>
    <row r="422" spans="1:7" ht="15" hidden="1" customHeight="1" x14ac:dyDescent="0.35">
      <c r="A422" s="30" t="s">
        <v>562</v>
      </c>
      <c r="B422" s="4"/>
      <c r="C422" s="43"/>
      <c r="D422" s="838" t="s">
        <v>563</v>
      </c>
      <c r="E422" s="41">
        <f>'Verification Report'!O423</f>
        <v>0</v>
      </c>
      <c r="F422" s="400" t="str">
        <f>IF(LEN('Verification Report'!W423)=0,"",'Verification Report'!W423)</f>
        <v/>
      </c>
      <c r="G422" t="s">
        <v>247</v>
      </c>
    </row>
    <row r="423" spans="1:7" ht="15" hidden="1" thickBot="1" x14ac:dyDescent="0.4">
      <c r="A423" s="30"/>
      <c r="B423" s="4"/>
      <c r="C423" s="43"/>
      <c r="D423" s="838"/>
      <c r="E423" s="41"/>
      <c r="G423" t="s">
        <v>247</v>
      </c>
    </row>
    <row r="424" spans="1:7" ht="15.5" hidden="1" thickTop="1" thickBot="1" x14ac:dyDescent="0.4">
      <c r="A424" s="106" t="s">
        <v>564</v>
      </c>
      <c r="B424" s="107"/>
      <c r="C424" s="108"/>
      <c r="D424" s="274" t="s">
        <v>565</v>
      </c>
      <c r="E424" s="545"/>
      <c r="G424" t="s">
        <v>247</v>
      </c>
    </row>
    <row r="425" spans="1:7" ht="15" hidden="1" customHeight="1" x14ac:dyDescent="0.35">
      <c r="A425" s="30" t="s">
        <v>566</v>
      </c>
      <c r="B425" s="4"/>
      <c r="C425" s="43"/>
      <c r="D425" s="838" t="s">
        <v>567</v>
      </c>
      <c r="E425" s="41"/>
      <c r="G425" t="s">
        <v>247</v>
      </c>
    </row>
    <row r="426" spans="1:7" ht="15" hidden="1" thickBot="1" x14ac:dyDescent="0.4">
      <c r="A426" s="30"/>
      <c r="B426" s="4"/>
      <c r="C426" s="43"/>
      <c r="D426" s="838"/>
      <c r="E426" s="41"/>
      <c r="G426" t="s">
        <v>247</v>
      </c>
    </row>
    <row r="427" spans="1:7" ht="15" hidden="1" thickBot="1" x14ac:dyDescent="0.4">
      <c r="A427" s="30"/>
      <c r="B427" s="4"/>
      <c r="C427" s="43"/>
      <c r="D427" s="838"/>
      <c r="E427" s="41"/>
      <c r="G427" t="s">
        <v>247</v>
      </c>
    </row>
    <row r="428" spans="1:7" ht="15" hidden="1" customHeight="1" x14ac:dyDescent="0.35">
      <c r="A428" s="30"/>
      <c r="B428" s="19" t="s">
        <v>256</v>
      </c>
      <c r="C428" s="43"/>
      <c r="D428" s="814" t="s">
        <v>568</v>
      </c>
      <c r="E428" s="41">
        <f>'Verification Report'!O429</f>
        <v>0</v>
      </c>
      <c r="F428" s="400" t="str">
        <f>IF(LEN('Verification Report'!W429)=0,"",'Verification Report'!W429)</f>
        <v/>
      </c>
      <c r="G428" t="s">
        <v>247</v>
      </c>
    </row>
    <row r="429" spans="1:7" ht="15" hidden="1" thickBot="1" x14ac:dyDescent="0.4">
      <c r="A429" s="30"/>
      <c r="B429" s="133"/>
      <c r="C429" s="101"/>
      <c r="D429" s="815"/>
      <c r="E429" s="546"/>
      <c r="G429" t="s">
        <v>247</v>
      </c>
    </row>
    <row r="430" spans="1:7" ht="15" hidden="1" thickBot="1" x14ac:dyDescent="0.4">
      <c r="A430" s="138"/>
      <c r="B430" s="129" t="s">
        <v>258</v>
      </c>
      <c r="C430" s="101"/>
      <c r="D430" s="228" t="s">
        <v>569</v>
      </c>
      <c r="E430" s="41"/>
      <c r="F430" s="400" t="str">
        <f>IF(LEN('Verification Report'!W431)=0,"",'Verification Report'!W431)</f>
        <v/>
      </c>
      <c r="G430" t="s">
        <v>247</v>
      </c>
    </row>
    <row r="431" spans="1:7" ht="15" hidden="1" customHeight="1" x14ac:dyDescent="0.35">
      <c r="A431" s="30" t="s">
        <v>570</v>
      </c>
      <c r="B431" s="4"/>
      <c r="C431" s="43"/>
      <c r="D431" s="838" t="s">
        <v>571</v>
      </c>
      <c r="E431" s="75"/>
      <c r="G431" t="s">
        <v>247</v>
      </c>
    </row>
    <row r="432" spans="1:7" ht="15" hidden="1" thickBot="1" x14ac:dyDescent="0.4">
      <c r="A432" s="30"/>
      <c r="B432" s="4"/>
      <c r="C432" s="43"/>
      <c r="D432" s="838"/>
      <c r="E432" s="75"/>
      <c r="G432" t="s">
        <v>247</v>
      </c>
    </row>
    <row r="433" spans="1:7" ht="15" hidden="1" thickBot="1" x14ac:dyDescent="0.4">
      <c r="A433" s="30"/>
      <c r="B433" s="4"/>
      <c r="C433" s="43"/>
      <c r="D433" s="838"/>
      <c r="E433" s="75"/>
      <c r="G433" t="s">
        <v>247</v>
      </c>
    </row>
    <row r="434" spans="1:7" ht="15" hidden="1" customHeight="1" x14ac:dyDescent="0.35">
      <c r="A434" s="30"/>
      <c r="B434" s="19" t="s">
        <v>256</v>
      </c>
      <c r="C434" s="43"/>
      <c r="D434" s="814" t="s">
        <v>3041</v>
      </c>
      <c r="E434" s="41">
        <f>'Verification Report'!O435</f>
        <v>0</v>
      </c>
      <c r="F434" s="400" t="str">
        <f>IF(LEN('Verification Report'!W435)=0,"",'Verification Report'!W435)</f>
        <v/>
      </c>
      <c r="G434" t="s">
        <v>247</v>
      </c>
    </row>
    <row r="435" spans="1:7" ht="15" hidden="1" thickBot="1" x14ac:dyDescent="0.4">
      <c r="A435" s="30"/>
      <c r="B435" s="133"/>
      <c r="C435" s="101"/>
      <c r="D435" s="815"/>
      <c r="E435" s="546"/>
      <c r="G435" t="s">
        <v>247</v>
      </c>
    </row>
    <row r="436" spans="1:7" ht="15" hidden="1" customHeight="1" x14ac:dyDescent="0.35">
      <c r="A436" s="30"/>
      <c r="B436" s="19" t="s">
        <v>258</v>
      </c>
      <c r="C436" s="43"/>
      <c r="D436" s="814" t="s">
        <v>3042</v>
      </c>
      <c r="E436" s="41"/>
      <c r="F436" s="400" t="str">
        <f>IF(LEN('Verification Report'!W437)=0,"",'Verification Report'!W437)</f>
        <v/>
      </c>
      <c r="G436" t="s">
        <v>247</v>
      </c>
    </row>
    <row r="437" spans="1:7" ht="15" hidden="1" thickBot="1" x14ac:dyDescent="0.4">
      <c r="A437" s="30"/>
      <c r="B437" s="4"/>
      <c r="C437" s="43"/>
      <c r="D437" s="814"/>
      <c r="E437" s="41"/>
      <c r="G437" t="s">
        <v>247</v>
      </c>
    </row>
    <row r="438" spans="1:7" ht="15.5" hidden="1" thickTop="1" thickBot="1" x14ac:dyDescent="0.4">
      <c r="A438" s="106" t="s">
        <v>572</v>
      </c>
      <c r="B438" s="107"/>
      <c r="C438" s="108"/>
      <c r="D438" s="574" t="s">
        <v>573</v>
      </c>
      <c r="E438" s="545"/>
      <c r="G438" t="s">
        <v>247</v>
      </c>
    </row>
    <row r="439" spans="1:7" ht="15" hidden="1" thickBot="1" x14ac:dyDescent="0.4">
      <c r="A439" s="30"/>
      <c r="B439" s="4"/>
      <c r="C439" s="43"/>
      <c r="D439" s="276" t="s">
        <v>3033</v>
      </c>
      <c r="E439" s="41"/>
      <c r="F439" s="400" t="str">
        <f>IF(LEN('Verification Report'!W440)=0,"",'Verification Report'!W440)</f>
        <v/>
      </c>
      <c r="G439" t="s">
        <v>247</v>
      </c>
    </row>
    <row r="440" spans="1:7" ht="15" hidden="1" customHeight="1" x14ac:dyDescent="0.35">
      <c r="A440" s="30"/>
      <c r="B440" s="19" t="s">
        <v>256</v>
      </c>
      <c r="C440" s="43"/>
      <c r="D440" s="814" t="s">
        <v>574</v>
      </c>
      <c r="E440" s="41">
        <f ca="1">'Verification Report'!O441</f>
        <v>0</v>
      </c>
      <c r="F440" s="400" t="str">
        <f>IF(LEN('Verification Report'!W441)=0,"",'Verification Report'!W441)</f>
        <v/>
      </c>
      <c r="G440" t="s">
        <v>247</v>
      </c>
    </row>
    <row r="441" spans="1:7" ht="15" hidden="1" thickBot="1" x14ac:dyDescent="0.4">
      <c r="A441" s="30"/>
      <c r="B441" s="133"/>
      <c r="C441" s="101"/>
      <c r="D441" s="815"/>
      <c r="E441" s="546"/>
      <c r="G441" t="s">
        <v>247</v>
      </c>
    </row>
    <row r="442" spans="1:7" ht="15" hidden="1" customHeight="1" x14ac:dyDescent="0.35">
      <c r="A442" s="30"/>
      <c r="B442" s="19" t="s">
        <v>258</v>
      </c>
      <c r="C442" s="43"/>
      <c r="D442" s="814" t="s">
        <v>575</v>
      </c>
      <c r="E442" s="41">
        <f ca="1">'Verification Report'!O443</f>
        <v>0</v>
      </c>
      <c r="F442" s="400" t="str">
        <f>IF(LEN('Verification Report'!W443)=0,"",'Verification Report'!W443)</f>
        <v/>
      </c>
      <c r="G442" t="s">
        <v>247</v>
      </c>
    </row>
    <row r="443" spans="1:7" ht="15" hidden="1" thickBot="1" x14ac:dyDescent="0.4">
      <c r="A443" s="30"/>
      <c r="B443" s="4"/>
      <c r="C443" s="43"/>
      <c r="D443" s="814"/>
      <c r="E443" s="41"/>
      <c r="G443" t="s">
        <v>247</v>
      </c>
    </row>
    <row r="444" spans="1:7" ht="15" hidden="1" thickBot="1" x14ac:dyDescent="0.4">
      <c r="A444" s="30"/>
      <c r="B444" s="4"/>
      <c r="C444" s="43"/>
      <c r="D444" s="814"/>
      <c r="E444" s="41"/>
      <c r="G444" t="s">
        <v>247</v>
      </c>
    </row>
    <row r="445" spans="1:7" ht="15.75" hidden="1" customHeight="1" thickTop="1" x14ac:dyDescent="0.35">
      <c r="A445" s="106" t="s">
        <v>576</v>
      </c>
      <c r="B445" s="107"/>
      <c r="C445" s="108"/>
      <c r="D445" s="837" t="s">
        <v>577</v>
      </c>
      <c r="E445" s="545"/>
      <c r="G445" t="s">
        <v>247</v>
      </c>
    </row>
    <row r="446" spans="1:7" ht="15" hidden="1" thickBot="1" x14ac:dyDescent="0.4">
      <c r="A446" s="30"/>
      <c r="B446" s="4"/>
      <c r="C446" s="43"/>
      <c r="D446" s="838"/>
      <c r="E446" s="41"/>
      <c r="G446" t="s">
        <v>247</v>
      </c>
    </row>
    <row r="447" spans="1:7" ht="15" hidden="1" thickBot="1" x14ac:dyDescent="0.4">
      <c r="A447" s="30"/>
      <c r="B447" s="4"/>
      <c r="C447" s="43"/>
      <c r="D447" s="276" t="s">
        <v>3033</v>
      </c>
      <c r="E447" s="41"/>
      <c r="G447" t="s">
        <v>247</v>
      </c>
    </row>
    <row r="448" spans="1:7" ht="15" hidden="1" customHeight="1" x14ac:dyDescent="0.35">
      <c r="A448" s="30"/>
      <c r="B448" s="19" t="s">
        <v>256</v>
      </c>
      <c r="C448" s="43"/>
      <c r="D448" s="814" t="s">
        <v>578</v>
      </c>
      <c r="E448" s="41">
        <f ca="1">'Verification Report'!O449</f>
        <v>0</v>
      </c>
      <c r="F448" s="400" t="str">
        <f>IF(LEN('Verification Report'!W449)=0,"",'Verification Report'!W449)</f>
        <v/>
      </c>
      <c r="G448" t="s">
        <v>247</v>
      </c>
    </row>
    <row r="449" spans="1:7" ht="15" hidden="1" thickBot="1" x14ac:dyDescent="0.4">
      <c r="A449" s="30"/>
      <c r="B449" s="4"/>
      <c r="C449" s="43"/>
      <c r="D449" s="814"/>
      <c r="E449" s="41"/>
      <c r="G449" t="s">
        <v>247</v>
      </c>
    </row>
    <row r="450" spans="1:7" ht="15" hidden="1" thickBot="1" x14ac:dyDescent="0.4">
      <c r="A450" s="30"/>
      <c r="B450" s="4"/>
      <c r="C450" s="43"/>
      <c r="D450" s="814"/>
      <c r="E450" s="41"/>
      <c r="G450" t="s">
        <v>247</v>
      </c>
    </row>
    <row r="451" spans="1:7" ht="15" hidden="1" thickBot="1" x14ac:dyDescent="0.4">
      <c r="A451" s="30"/>
      <c r="B451" s="133"/>
      <c r="C451" s="101"/>
      <c r="D451" s="815"/>
      <c r="E451" s="546"/>
      <c r="G451" t="s">
        <v>247</v>
      </c>
    </row>
    <row r="452" spans="1:7" ht="15" hidden="1" customHeight="1" x14ac:dyDescent="0.35">
      <c r="A452" s="30"/>
      <c r="B452" s="132" t="s">
        <v>258</v>
      </c>
      <c r="C452" s="119"/>
      <c r="D452" s="836" t="s">
        <v>579</v>
      </c>
      <c r="E452" s="552">
        <f ca="1">'Verification Report'!O453</f>
        <v>0</v>
      </c>
      <c r="F452" s="400" t="str">
        <f>IF(LEN('Verification Report'!W453)=0,"",'Verification Report'!W453)</f>
        <v/>
      </c>
      <c r="G452" t="s">
        <v>247</v>
      </c>
    </row>
    <row r="453" spans="1:7" ht="15" hidden="1" thickBot="1" x14ac:dyDescent="0.4">
      <c r="A453" s="30"/>
      <c r="B453" s="4"/>
      <c r="C453" s="43"/>
      <c r="D453" s="814"/>
      <c r="E453" s="41"/>
      <c r="G453" t="s">
        <v>247</v>
      </c>
    </row>
    <row r="454" spans="1:7" ht="15" hidden="1" thickBot="1" x14ac:dyDescent="0.4">
      <c r="A454" s="30"/>
      <c r="B454" s="4"/>
      <c r="C454" s="43"/>
      <c r="D454" s="814"/>
      <c r="E454" s="41"/>
      <c r="G454" t="s">
        <v>247</v>
      </c>
    </row>
    <row r="455" spans="1:7" ht="15" hidden="1" thickBot="1" x14ac:dyDescent="0.4">
      <c r="A455" s="30"/>
      <c r="B455" s="133"/>
      <c r="C455" s="101"/>
      <c r="D455" s="815"/>
      <c r="E455" s="546"/>
      <c r="G455" t="s">
        <v>247</v>
      </c>
    </row>
    <row r="456" spans="1:7" ht="15" hidden="1" customHeight="1" x14ac:dyDescent="0.35">
      <c r="A456" s="30"/>
      <c r="B456" s="19" t="s">
        <v>260</v>
      </c>
      <c r="C456" s="43"/>
      <c r="D456" s="814" t="s">
        <v>580</v>
      </c>
      <c r="E456" s="41">
        <f ca="1">'Verification Report'!O457</f>
        <v>0</v>
      </c>
      <c r="F456" s="400" t="str">
        <f>IF(LEN('Verification Report'!W457)=0,"",'Verification Report'!W457)</f>
        <v/>
      </c>
      <c r="G456" t="s">
        <v>247</v>
      </c>
    </row>
    <row r="457" spans="1:7" ht="15" hidden="1" thickBot="1" x14ac:dyDescent="0.4">
      <c r="A457" s="30"/>
      <c r="B457" s="4"/>
      <c r="C457" s="43"/>
      <c r="D457" s="814"/>
      <c r="E457" s="41"/>
      <c r="G457" t="s">
        <v>247</v>
      </c>
    </row>
    <row r="458" spans="1:7" ht="15" hidden="1" thickBot="1" x14ac:dyDescent="0.4">
      <c r="A458" s="30"/>
      <c r="B458" s="4"/>
      <c r="C458" s="43"/>
      <c r="D458" s="814"/>
      <c r="E458" s="41"/>
      <c r="G458" t="s">
        <v>247</v>
      </c>
    </row>
    <row r="459" spans="1:7" ht="15.5" hidden="1" thickTop="1" thickBot="1" x14ac:dyDescent="0.4">
      <c r="A459" s="106" t="s">
        <v>581</v>
      </c>
      <c r="B459" s="107"/>
      <c r="C459" s="108"/>
      <c r="D459" s="274" t="s">
        <v>582</v>
      </c>
      <c r="E459" s="545"/>
      <c r="G459" t="s">
        <v>247</v>
      </c>
    </row>
    <row r="460" spans="1:7" ht="15" hidden="1" thickBot="1" x14ac:dyDescent="0.4">
      <c r="A460" s="30" t="s">
        <v>583</v>
      </c>
      <c r="B460" s="4"/>
      <c r="C460" s="43"/>
      <c r="D460" s="95" t="s">
        <v>584</v>
      </c>
      <c r="E460" s="41"/>
      <c r="G460" t="s">
        <v>247</v>
      </c>
    </row>
    <row r="461" spans="1:7" ht="15" hidden="1" customHeight="1" x14ac:dyDescent="0.35">
      <c r="A461" s="30"/>
      <c r="B461" s="19" t="s">
        <v>256</v>
      </c>
      <c r="C461" s="43"/>
      <c r="D461" s="814" t="s">
        <v>585</v>
      </c>
      <c r="E461" s="41">
        <f>'Verification Report'!O462</f>
        <v>0</v>
      </c>
      <c r="F461" s="400" t="str">
        <f>IF(LEN('Verification Report'!W462)=0,"",'Verification Report'!W462)</f>
        <v/>
      </c>
      <c r="G461" t="s">
        <v>247</v>
      </c>
    </row>
    <row r="462" spans="1:7" ht="15" hidden="1" thickBot="1" x14ac:dyDescent="0.4">
      <c r="A462" s="30"/>
      <c r="B462" s="133"/>
      <c r="C462" s="101"/>
      <c r="D462" s="815"/>
      <c r="E462" s="546"/>
      <c r="G462" t="s">
        <v>247</v>
      </c>
    </row>
    <row r="463" spans="1:7" ht="15" hidden="1" customHeight="1" x14ac:dyDescent="0.35">
      <c r="A463" s="30"/>
      <c r="B463" s="19" t="s">
        <v>258</v>
      </c>
      <c r="C463" s="43"/>
      <c r="D463" s="814" t="s">
        <v>586</v>
      </c>
      <c r="E463" s="41">
        <f>'Verification Report'!O464</f>
        <v>0</v>
      </c>
      <c r="F463" s="400" t="str">
        <f>IF(LEN('Verification Report'!W464)=0,"",'Verification Report'!W464)</f>
        <v/>
      </c>
      <c r="G463" t="s">
        <v>247</v>
      </c>
    </row>
    <row r="464" spans="1:7" ht="15" hidden="1" thickBot="1" x14ac:dyDescent="0.4">
      <c r="A464" s="30"/>
      <c r="B464" s="4"/>
      <c r="C464" s="43"/>
      <c r="D464" s="814"/>
      <c r="E464" s="41"/>
      <c r="G464" t="s">
        <v>247</v>
      </c>
    </row>
    <row r="465" spans="1:9" ht="15" hidden="1" thickBot="1" x14ac:dyDescent="0.4">
      <c r="A465" s="30"/>
      <c r="B465" s="133"/>
      <c r="C465" s="101"/>
      <c r="D465" s="284" t="s">
        <v>1104</v>
      </c>
      <c r="E465" s="546"/>
      <c r="G465" t="s">
        <v>247</v>
      </c>
    </row>
    <row r="466" spans="1:9" ht="15" hidden="1" customHeight="1" x14ac:dyDescent="0.35">
      <c r="A466" s="30"/>
      <c r="B466" s="19" t="s">
        <v>260</v>
      </c>
      <c r="C466" s="43"/>
      <c r="D466" s="814" t="s">
        <v>587</v>
      </c>
      <c r="E466" s="41">
        <f>'Verification Report'!O467</f>
        <v>0</v>
      </c>
      <c r="F466" s="400" t="str">
        <f>IF(LEN('Verification Report'!W467)=0,"",'Verification Report'!W467)</f>
        <v/>
      </c>
      <c r="G466" t="s">
        <v>247</v>
      </c>
    </row>
    <row r="467" spans="1:9" ht="15" hidden="1" thickBot="1" x14ac:dyDescent="0.4">
      <c r="A467" s="138"/>
      <c r="B467" s="133"/>
      <c r="C467" s="101"/>
      <c r="D467" s="815"/>
      <c r="E467" s="546"/>
      <c r="G467" t="s">
        <v>247</v>
      </c>
    </row>
    <row r="468" spans="1:9" ht="15" hidden="1" customHeight="1" x14ac:dyDescent="0.35">
      <c r="A468" s="117" t="s">
        <v>589</v>
      </c>
      <c r="B468" s="118"/>
      <c r="C468" s="119"/>
      <c r="D468" s="905" t="s">
        <v>590</v>
      </c>
      <c r="E468" s="552">
        <f>'Verification Report'!O469</f>
        <v>0</v>
      </c>
      <c r="F468" s="400" t="str">
        <f>IF(LEN('Verification Report'!W469)=0,"",'Verification Report'!W469)</f>
        <v/>
      </c>
      <c r="G468" t="s">
        <v>247</v>
      </c>
    </row>
    <row r="469" spans="1:9" ht="15" hidden="1" thickBot="1" x14ac:dyDescent="0.4">
      <c r="A469" s="138"/>
      <c r="B469" s="133"/>
      <c r="C469" s="101"/>
      <c r="D469" s="889"/>
      <c r="E469" s="546"/>
      <c r="G469" t="s">
        <v>247</v>
      </c>
    </row>
    <row r="470" spans="1:9" ht="15" hidden="1" customHeight="1" x14ac:dyDescent="0.35">
      <c r="A470" s="30" t="s">
        <v>592</v>
      </c>
      <c r="B470" s="4"/>
      <c r="C470" s="43"/>
      <c r="D470" s="838" t="s">
        <v>593</v>
      </c>
      <c r="E470" s="41">
        <f>'Verification Report'!O471</f>
        <v>0</v>
      </c>
      <c r="F470" s="400" t="str">
        <f>IF(LEN('Verification Report'!W471)=0,"",'Verification Report'!W471)</f>
        <v/>
      </c>
      <c r="G470" t="s">
        <v>247</v>
      </c>
    </row>
    <row r="471" spans="1:9" ht="15" hidden="1" thickBot="1" x14ac:dyDescent="0.4">
      <c r="A471" s="30"/>
      <c r="B471" s="4"/>
      <c r="C471" s="43"/>
      <c r="D471" s="838"/>
      <c r="E471" s="41"/>
      <c r="G471" t="s">
        <v>247</v>
      </c>
    </row>
    <row r="472" spans="1:9" ht="15" hidden="1" thickBot="1" x14ac:dyDescent="0.4">
      <c r="A472" s="30"/>
      <c r="B472" s="4"/>
      <c r="C472" s="43"/>
      <c r="D472" s="838"/>
      <c r="E472" s="41"/>
      <c r="G472" t="s">
        <v>247</v>
      </c>
    </row>
    <row r="473" spans="1:9" ht="15" hidden="1" thickBot="1" x14ac:dyDescent="0.4">
      <c r="A473" s="30"/>
      <c r="B473" s="4"/>
      <c r="C473" s="43"/>
      <c r="D473" s="838"/>
      <c r="E473" s="41"/>
      <c r="G473" t="s">
        <v>247</v>
      </c>
    </row>
    <row r="474" spans="1:9" ht="15.75" customHeight="1" thickTop="1" x14ac:dyDescent="0.35">
      <c r="A474" s="106" t="s">
        <v>594</v>
      </c>
      <c r="B474" s="107"/>
      <c r="C474" s="108"/>
      <c r="D474" s="837" t="s">
        <v>595</v>
      </c>
      <c r="E474" s="545"/>
      <c r="F474" s="400" t="str">
        <f>IF(LEN('Verification Report'!W475)=0,"",'Verification Report'!W475)</f>
        <v/>
      </c>
      <c r="G474" s="366" t="str">
        <f>IF(AND(LEN(F474)&gt;0,NOT(F474=FALSE)),"P","")</f>
        <v/>
      </c>
      <c r="H474" s="611" t="s">
        <v>5082</v>
      </c>
      <c r="I474" s="350"/>
    </row>
    <row r="475" spans="1:9" ht="15" thickBot="1" x14ac:dyDescent="0.4">
      <c r="A475" s="30"/>
      <c r="B475" s="4"/>
      <c r="C475" s="43"/>
      <c r="D475" s="838"/>
      <c r="E475" s="41"/>
      <c r="G475" s="366" t="str">
        <f>G474</f>
        <v/>
      </c>
    </row>
    <row r="476" spans="1:9" ht="15" hidden="1" thickBot="1" x14ac:dyDescent="0.4">
      <c r="A476" s="30"/>
      <c r="B476" s="4"/>
      <c r="C476" s="43"/>
      <c r="D476" s="531" t="s">
        <v>1104</v>
      </c>
      <c r="E476" s="41"/>
      <c r="G476" t="s">
        <v>247</v>
      </c>
    </row>
    <row r="477" spans="1:9" ht="15.75" customHeight="1" thickTop="1" x14ac:dyDescent="0.35">
      <c r="A477" s="106" t="s">
        <v>596</v>
      </c>
      <c r="B477" s="107"/>
      <c r="C477" s="108"/>
      <c r="D477" s="837" t="s">
        <v>597</v>
      </c>
      <c r="E477" s="545"/>
      <c r="G477" s="366" t="str">
        <f>IF(OR(LEN(F482)&gt;0),"P","")</f>
        <v/>
      </c>
      <c r="H477" s="611" t="s">
        <v>5083</v>
      </c>
      <c r="I477" s="350"/>
    </row>
    <row r="478" spans="1:9" x14ac:dyDescent="0.35">
      <c r="A478" s="30"/>
      <c r="B478" s="4"/>
      <c r="C478" s="43"/>
      <c r="D478" s="838"/>
      <c r="E478" s="41"/>
      <c r="G478" s="366" t="str">
        <f>G477</f>
        <v/>
      </c>
    </row>
    <row r="479" spans="1:9" x14ac:dyDescent="0.35">
      <c r="A479" s="30"/>
      <c r="B479" s="4"/>
      <c r="C479" s="43"/>
      <c r="D479" s="838"/>
      <c r="E479" s="41"/>
      <c r="G479" s="366" t="str">
        <f>G478</f>
        <v/>
      </c>
    </row>
    <row r="480" spans="1:9" x14ac:dyDescent="0.35">
      <c r="A480" s="30"/>
      <c r="B480" s="4"/>
      <c r="C480" s="43"/>
      <c r="D480" s="838"/>
      <c r="E480" s="41"/>
      <c r="G480" s="366" t="str">
        <f>G479</f>
        <v/>
      </c>
    </row>
    <row r="481" spans="1:7" ht="15" thickBot="1" x14ac:dyDescent="0.4">
      <c r="A481" s="30"/>
      <c r="B481" s="4"/>
      <c r="C481" s="43"/>
      <c r="D481" s="838"/>
      <c r="E481" s="41"/>
      <c r="G481" s="366" t="str">
        <f>G480</f>
        <v/>
      </c>
    </row>
    <row r="482" spans="1:7" ht="15" hidden="1" thickBot="1" x14ac:dyDescent="0.4">
      <c r="A482" s="30"/>
      <c r="B482" s="19" t="s">
        <v>256</v>
      </c>
      <c r="C482" s="43"/>
      <c r="D482" s="90" t="s">
        <v>598</v>
      </c>
      <c r="E482" s="41"/>
      <c r="F482" s="400" t="str">
        <f>IF(LEN('Verification Report'!W483)=0,"",'Verification Report'!W483)</f>
        <v/>
      </c>
      <c r="G482" t="s">
        <v>247</v>
      </c>
    </row>
    <row r="483" spans="1:7" ht="15" hidden="1" thickBot="1" x14ac:dyDescent="0.4">
      <c r="A483" s="30"/>
      <c r="B483" s="4"/>
      <c r="C483" s="47" t="s">
        <v>121</v>
      </c>
      <c r="D483" s="90" t="s">
        <v>599</v>
      </c>
      <c r="E483" s="41"/>
      <c r="G483" t="s">
        <v>247</v>
      </c>
    </row>
    <row r="484" spans="1:7" ht="15" hidden="1" thickBot="1" x14ac:dyDescent="0.4">
      <c r="A484" s="30"/>
      <c r="B484" s="4"/>
      <c r="C484" s="47" t="s">
        <v>122</v>
      </c>
      <c r="D484" s="90" t="s">
        <v>600</v>
      </c>
      <c r="E484" s="41"/>
      <c r="G484" t="s">
        <v>247</v>
      </c>
    </row>
    <row r="485" spans="1:7" ht="15" hidden="1" thickBot="1" x14ac:dyDescent="0.4">
      <c r="A485" s="30"/>
      <c r="B485" s="4"/>
      <c r="C485" s="49" t="s">
        <v>123</v>
      </c>
      <c r="D485" s="90" t="s">
        <v>601</v>
      </c>
      <c r="E485" s="41"/>
      <c r="G485" t="s">
        <v>247</v>
      </c>
    </row>
    <row r="486" spans="1:7" ht="15" hidden="1" customHeight="1" x14ac:dyDescent="0.35">
      <c r="A486" s="30"/>
      <c r="B486" s="4"/>
      <c r="C486" s="45" t="s">
        <v>401</v>
      </c>
      <c r="D486" s="814" t="s">
        <v>602</v>
      </c>
      <c r="E486" s="41"/>
      <c r="G486" t="s">
        <v>247</v>
      </c>
    </row>
    <row r="487" spans="1:7" ht="15" hidden="1" thickBot="1" x14ac:dyDescent="0.4">
      <c r="A487" s="30"/>
      <c r="B487" s="4"/>
      <c r="C487" s="43"/>
      <c r="D487" s="814"/>
      <c r="E487" s="41"/>
      <c r="G487" t="s">
        <v>247</v>
      </c>
    </row>
    <row r="488" spans="1:7" ht="15" hidden="1" thickBot="1" x14ac:dyDescent="0.4">
      <c r="A488" s="30"/>
      <c r="B488" s="4"/>
      <c r="C488" s="45" t="s">
        <v>539</v>
      </c>
      <c r="D488" s="90" t="s">
        <v>603</v>
      </c>
      <c r="E488" s="41"/>
      <c r="G488" t="s">
        <v>247</v>
      </c>
    </row>
    <row r="489" spans="1:7" ht="15" hidden="1" thickBot="1" x14ac:dyDescent="0.4">
      <c r="A489" s="30"/>
      <c r="B489" s="4"/>
      <c r="C489" s="49" t="s">
        <v>604</v>
      </c>
      <c r="D489" s="90" t="s">
        <v>605</v>
      </c>
      <c r="E489" s="41"/>
      <c r="G489" t="s">
        <v>247</v>
      </c>
    </row>
    <row r="490" spans="1:7" ht="15" hidden="1" thickBot="1" x14ac:dyDescent="0.4">
      <c r="A490" s="30"/>
      <c r="B490" s="4"/>
      <c r="C490" s="45" t="s">
        <v>606</v>
      </c>
      <c r="D490" s="90" t="s">
        <v>607</v>
      </c>
      <c r="E490" s="41"/>
      <c r="G490" t="s">
        <v>247</v>
      </c>
    </row>
    <row r="491" spans="1:7" ht="15" hidden="1" thickBot="1" x14ac:dyDescent="0.4">
      <c r="A491" s="30"/>
      <c r="B491" s="133"/>
      <c r="C491" s="139" t="s">
        <v>608</v>
      </c>
      <c r="D491" s="228" t="s">
        <v>609</v>
      </c>
      <c r="E491" s="41"/>
      <c r="G491" t="s">
        <v>247</v>
      </c>
    </row>
    <row r="492" spans="1:7" ht="15" hidden="1" customHeight="1" x14ac:dyDescent="0.35">
      <c r="A492" s="30"/>
      <c r="B492" s="19" t="s">
        <v>258</v>
      </c>
      <c r="C492" s="43"/>
      <c r="D492" s="814" t="s">
        <v>610</v>
      </c>
      <c r="E492" s="41">
        <f>'Verification Report'!O493</f>
        <v>0</v>
      </c>
      <c r="F492" s="400" t="str">
        <f>IF(LEN('Verification Report'!W493)=0,"",'Verification Report'!W493)</f>
        <v/>
      </c>
      <c r="G492" t="s">
        <v>247</v>
      </c>
    </row>
    <row r="493" spans="1:7" ht="15" hidden="1" thickBot="1" x14ac:dyDescent="0.4">
      <c r="A493" s="30"/>
      <c r="B493" s="4"/>
      <c r="C493" s="43"/>
      <c r="D493" s="814"/>
      <c r="E493" s="41"/>
      <c r="G493" t="s">
        <v>247</v>
      </c>
    </row>
    <row r="494" spans="1:7" ht="15" hidden="1" thickBot="1" x14ac:dyDescent="0.4">
      <c r="A494" s="30"/>
      <c r="B494" s="133"/>
      <c r="C494" s="101"/>
      <c r="D494" s="815"/>
      <c r="E494" s="546"/>
      <c r="G494" t="s">
        <v>247</v>
      </c>
    </row>
    <row r="495" spans="1:7" ht="15" hidden="1" thickBot="1" x14ac:dyDescent="0.4">
      <c r="A495" s="30"/>
      <c r="B495" s="130" t="s">
        <v>260</v>
      </c>
      <c r="C495" s="131"/>
      <c r="D495" s="178" t="s">
        <v>611</v>
      </c>
      <c r="E495" s="547">
        <f>'Verification Report'!O496</f>
        <v>0</v>
      </c>
      <c r="F495" s="400" t="str">
        <f>IF(LEN('Verification Report'!W496)=0,"",'Verification Report'!W496)</f>
        <v/>
      </c>
      <c r="G495" t="s">
        <v>247</v>
      </c>
    </row>
    <row r="496" spans="1:7" ht="15" hidden="1" customHeight="1" x14ac:dyDescent="0.35">
      <c r="A496" s="30"/>
      <c r="B496" s="132" t="s">
        <v>269</v>
      </c>
      <c r="C496" s="119"/>
      <c r="D496" s="836" t="s">
        <v>612</v>
      </c>
      <c r="E496" s="552">
        <f>'Verification Report'!O497</f>
        <v>0</v>
      </c>
      <c r="F496" s="400" t="str">
        <f>IF(LEN('Verification Report'!W497)=0,"",'Verification Report'!W497)</f>
        <v/>
      </c>
      <c r="G496" t="s">
        <v>247</v>
      </c>
    </row>
    <row r="497" spans="1:9" ht="15" hidden="1" thickBot="1" x14ac:dyDescent="0.4">
      <c r="A497" s="30"/>
      <c r="B497" s="4"/>
      <c r="C497" s="43"/>
      <c r="D497" s="814"/>
      <c r="E497" s="41"/>
      <c r="G497" t="s">
        <v>247</v>
      </c>
    </row>
    <row r="498" spans="1:9" ht="15" hidden="1" thickBot="1" x14ac:dyDescent="0.4">
      <c r="A498" s="30"/>
      <c r="B498" s="4"/>
      <c r="C498" s="43"/>
      <c r="D498" s="814"/>
      <c r="E498" s="41"/>
      <c r="G498" t="s">
        <v>247</v>
      </c>
    </row>
    <row r="499" spans="1:9" ht="15" hidden="1" thickBot="1" x14ac:dyDescent="0.4">
      <c r="A499" s="30"/>
      <c r="B499" s="133"/>
      <c r="C499" s="101"/>
      <c r="D499" s="815"/>
      <c r="E499" s="546"/>
      <c r="G499" t="s">
        <v>247</v>
      </c>
    </row>
    <row r="500" spans="1:9" ht="15" hidden="1" thickBot="1" x14ac:dyDescent="0.4">
      <c r="A500" s="30"/>
      <c r="B500" s="19" t="s">
        <v>275</v>
      </c>
      <c r="C500" s="43"/>
      <c r="D500" s="90" t="s">
        <v>613</v>
      </c>
      <c r="E500" s="41">
        <f ca="1">'Verification Report'!O501</f>
        <v>0</v>
      </c>
      <c r="F500" s="400" t="str">
        <f>IF(LEN('Verification Report'!W501)=0,"",'Verification Report'!W501)</f>
        <v/>
      </c>
      <c r="G500" t="s">
        <v>247</v>
      </c>
    </row>
    <row r="501" spans="1:9" ht="15" hidden="1" customHeight="1" x14ac:dyDescent="0.35">
      <c r="A501" s="30"/>
      <c r="B501" s="4"/>
      <c r="C501" s="47" t="s">
        <v>121</v>
      </c>
      <c r="D501" s="814" t="s">
        <v>614</v>
      </c>
      <c r="E501" s="41"/>
      <c r="G501" t="s">
        <v>247</v>
      </c>
    </row>
    <row r="502" spans="1:9" ht="15" hidden="1" thickBot="1" x14ac:dyDescent="0.4">
      <c r="A502" s="30"/>
      <c r="B502" s="4"/>
      <c r="C502" s="47"/>
      <c r="D502" s="814"/>
      <c r="E502" s="41"/>
      <c r="G502" t="s">
        <v>247</v>
      </c>
    </row>
    <row r="503" spans="1:9" ht="15" hidden="1" thickBot="1" x14ac:dyDescent="0.4">
      <c r="A503" s="30"/>
      <c r="B503" s="4"/>
      <c r="C503" s="100"/>
      <c r="D503" s="815"/>
      <c r="E503" s="41"/>
      <c r="G503" t="s">
        <v>247</v>
      </c>
    </row>
    <row r="504" spans="1:9" ht="15" hidden="1" customHeight="1" x14ac:dyDescent="0.35">
      <c r="A504" s="30"/>
      <c r="B504" s="4"/>
      <c r="C504" s="47" t="s">
        <v>122</v>
      </c>
      <c r="D504" s="814" t="s">
        <v>615</v>
      </c>
      <c r="E504" s="41"/>
      <c r="G504" t="s">
        <v>247</v>
      </c>
    </row>
    <row r="505" spans="1:9" ht="15" hidden="1" thickBot="1" x14ac:dyDescent="0.4">
      <c r="A505" s="30"/>
      <c r="B505" s="133"/>
      <c r="C505" s="101"/>
      <c r="D505" s="815"/>
      <c r="E505" s="546"/>
      <c r="G505" t="s">
        <v>247</v>
      </c>
    </row>
    <row r="506" spans="1:9" ht="15" hidden="1" customHeight="1" x14ac:dyDescent="0.35">
      <c r="A506" s="30"/>
      <c r="B506" s="132" t="s">
        <v>277</v>
      </c>
      <c r="C506" s="119"/>
      <c r="D506" s="836" t="s">
        <v>616</v>
      </c>
      <c r="E506" s="552">
        <f>'Verification Report'!O507</f>
        <v>0</v>
      </c>
      <c r="F506" s="400" t="str">
        <f>IF(LEN('Verification Report'!W507)=0,"",'Verification Report'!W507)</f>
        <v/>
      </c>
      <c r="G506" t="s">
        <v>247</v>
      </c>
    </row>
    <row r="507" spans="1:9" ht="15" hidden="1" thickBot="1" x14ac:dyDescent="0.4">
      <c r="A507" s="30"/>
      <c r="B507" s="133"/>
      <c r="C507" s="101"/>
      <c r="D507" s="815"/>
      <c r="E507" s="546"/>
      <c r="G507" t="s">
        <v>247</v>
      </c>
    </row>
    <row r="508" spans="1:9" ht="15" hidden="1" thickBot="1" x14ac:dyDescent="0.4">
      <c r="A508" s="30"/>
      <c r="B508" s="19" t="s">
        <v>383</v>
      </c>
      <c r="C508" s="43"/>
      <c r="D508" s="90" t="s">
        <v>617</v>
      </c>
      <c r="E508" s="41">
        <f>'Verification Report'!O509</f>
        <v>0</v>
      </c>
      <c r="F508" s="400" t="str">
        <f>IF(LEN('Verification Report'!W509)=0,"",'Verification Report'!W509)</f>
        <v/>
      </c>
      <c r="G508" t="s">
        <v>247</v>
      </c>
    </row>
    <row r="509" spans="1:9" ht="15.75" customHeight="1" thickTop="1" x14ac:dyDescent="0.35">
      <c r="A509" s="106" t="s">
        <v>619</v>
      </c>
      <c r="B509" s="107"/>
      <c r="C509" s="108"/>
      <c r="D509" s="837" t="s">
        <v>5584</v>
      </c>
      <c r="E509" s="545">
        <f ca="1">'Verification Report'!O510</f>
        <v>0</v>
      </c>
      <c r="G509" s="366" t="str">
        <f ca="1">IF(E509&gt;0,"P","")</f>
        <v/>
      </c>
      <c r="H509" s="1093" t="s">
        <v>5084</v>
      </c>
      <c r="I509" s="350"/>
    </row>
    <row r="510" spans="1:9" x14ac:dyDescent="0.35">
      <c r="A510" s="30"/>
      <c r="B510" s="4"/>
      <c r="C510" s="43"/>
      <c r="D510" s="838"/>
      <c r="E510" s="41"/>
      <c r="F510" s="400" t="str">
        <f>IF(LEN('Verification Report'!W511)=0,"",'Verification Report'!W511)</f>
        <v/>
      </c>
      <c r="G510" s="366" t="str">
        <f ca="1">G509</f>
        <v/>
      </c>
      <c r="H510" s="978"/>
    </row>
    <row r="511" spans="1:9" x14ac:dyDescent="0.35">
      <c r="A511" s="30"/>
      <c r="B511" s="4"/>
      <c r="C511" s="43"/>
      <c r="D511" s="838"/>
      <c r="E511" s="41"/>
      <c r="G511" s="366" t="str">
        <f ca="1">G510</f>
        <v/>
      </c>
    </row>
    <row r="512" spans="1:9" x14ac:dyDescent="0.35">
      <c r="A512" s="30"/>
      <c r="B512" s="4"/>
      <c r="C512" s="43"/>
      <c r="D512" s="838"/>
      <c r="E512" s="41"/>
      <c r="G512" s="366" t="str">
        <f ca="1">G511</f>
        <v/>
      </c>
    </row>
    <row r="513" spans="1:9" x14ac:dyDescent="0.35">
      <c r="A513" s="30"/>
      <c r="B513" s="4"/>
      <c r="C513" s="43"/>
      <c r="D513" s="838"/>
      <c r="E513" s="41"/>
      <c r="G513" s="366" t="str">
        <f ca="1">G512</f>
        <v/>
      </c>
    </row>
    <row r="514" spans="1:9" ht="15" thickBot="1" x14ac:dyDescent="0.4">
      <c r="A514" s="30"/>
      <c r="B514" s="4"/>
      <c r="C514" s="43"/>
      <c r="D514" s="838"/>
      <c r="E514" s="41"/>
      <c r="G514" s="366" t="str">
        <f ca="1">G513</f>
        <v/>
      </c>
    </row>
    <row r="515" spans="1:9" ht="15" hidden="1" thickBot="1" x14ac:dyDescent="0.4">
      <c r="A515" s="30"/>
      <c r="B515" s="4"/>
      <c r="C515" s="43"/>
      <c r="D515" s="218" t="str">
        <f>"This Project's Climate Zone: "&amp;AX333</f>
        <v xml:space="preserve">This Project's Climate Zone: </v>
      </c>
      <c r="E515" s="41"/>
      <c r="G515" t="s">
        <v>247</v>
      </c>
    </row>
    <row r="516" spans="1:9" ht="15" hidden="1" thickBot="1" x14ac:dyDescent="0.4">
      <c r="A516" s="30"/>
      <c r="B516" s="4"/>
      <c r="C516" s="47" t="s">
        <v>121</v>
      </c>
      <c r="D516" s="90" t="s">
        <v>620</v>
      </c>
      <c r="E516" s="41"/>
      <c r="G516" t="s">
        <v>247</v>
      </c>
    </row>
    <row r="517" spans="1:9" ht="15" hidden="1" thickBot="1" x14ac:dyDescent="0.4">
      <c r="A517" s="30"/>
      <c r="B517" s="4"/>
      <c r="C517" s="47" t="s">
        <v>122</v>
      </c>
      <c r="D517" s="90" t="s">
        <v>621</v>
      </c>
      <c r="E517" s="41"/>
      <c r="G517" t="s">
        <v>247</v>
      </c>
    </row>
    <row r="518" spans="1:9" ht="15" hidden="1" thickBot="1" x14ac:dyDescent="0.4">
      <c r="A518" s="30"/>
      <c r="B518" s="4"/>
      <c r="C518" s="49" t="s">
        <v>123</v>
      </c>
      <c r="D518" s="90" t="s">
        <v>622</v>
      </c>
      <c r="E518" s="41"/>
      <c r="G518" t="s">
        <v>247</v>
      </c>
    </row>
    <row r="519" spans="1:9" ht="15" hidden="1" thickBot="1" x14ac:dyDescent="0.4">
      <c r="A519" s="30"/>
      <c r="B519" s="4"/>
      <c r="C519" s="45" t="s">
        <v>401</v>
      </c>
      <c r="D519" s="90" t="s">
        <v>623</v>
      </c>
      <c r="E519" s="41"/>
      <c r="G519" t="s">
        <v>247</v>
      </c>
    </row>
    <row r="520" spans="1:9" ht="15" hidden="1" customHeight="1" x14ac:dyDescent="0.35">
      <c r="A520" s="30"/>
      <c r="B520" s="4"/>
      <c r="C520" s="45"/>
      <c r="D520" s="855" t="s">
        <v>3050</v>
      </c>
      <c r="E520" s="41"/>
      <c r="G520" t="s">
        <v>247</v>
      </c>
    </row>
    <row r="521" spans="1:9" ht="15" hidden="1" thickBot="1" x14ac:dyDescent="0.4">
      <c r="A521" s="30"/>
      <c r="B521" s="4"/>
      <c r="C521" s="45"/>
      <c r="D521" s="893"/>
      <c r="E521" s="41"/>
      <c r="G521" t="s">
        <v>247</v>
      </c>
    </row>
    <row r="522" spans="1:9" ht="15.75" hidden="1" customHeight="1" thickTop="1" x14ac:dyDescent="0.35">
      <c r="A522" s="106" t="s">
        <v>625</v>
      </c>
      <c r="B522" s="107"/>
      <c r="C522" s="108"/>
      <c r="D522" s="837" t="s">
        <v>626</v>
      </c>
      <c r="E522" s="545"/>
      <c r="F522" s="400" t="str">
        <f>IF(LEN('Verification Report'!W523)=0,"",'Verification Report'!W523)</f>
        <v/>
      </c>
      <c r="G522" t="s">
        <v>247</v>
      </c>
    </row>
    <row r="523" spans="1:9" ht="15" hidden="1" thickBot="1" x14ac:dyDescent="0.4">
      <c r="A523" s="30"/>
      <c r="B523" s="4"/>
      <c r="C523" s="43"/>
      <c r="D523" s="838"/>
      <c r="E523" s="41"/>
      <c r="G523" t="s">
        <v>247</v>
      </c>
    </row>
    <row r="524" spans="1:9" ht="15.75" customHeight="1" thickTop="1" x14ac:dyDescent="0.35">
      <c r="A524" s="106" t="s">
        <v>627</v>
      </c>
      <c r="B524" s="107"/>
      <c r="C524" s="108"/>
      <c r="D524" s="837" t="s">
        <v>628</v>
      </c>
      <c r="E524" s="545">
        <f ca="1">'Verification Report'!O525</f>
        <v>0</v>
      </c>
      <c r="F524" s="400" t="str">
        <f>IF(LEN('Verification Report'!W525)=0,"",'Verification Report'!W525)</f>
        <v/>
      </c>
      <c r="G524" s="366" t="str">
        <f ca="1">IF(E524&gt;0,"P","")</f>
        <v/>
      </c>
      <c r="H524" s="611" t="s">
        <v>5085</v>
      </c>
      <c r="I524" s="350"/>
    </row>
    <row r="525" spans="1:9" ht="15" thickBot="1" x14ac:dyDescent="0.4">
      <c r="A525" s="30"/>
      <c r="B525" s="4"/>
      <c r="C525" s="43"/>
      <c r="D525" s="838"/>
      <c r="E525" s="41"/>
      <c r="G525" s="366" t="str">
        <f ca="1">G524</f>
        <v/>
      </c>
    </row>
    <row r="526" spans="1:9" ht="15" hidden="1" thickBot="1" x14ac:dyDescent="0.4">
      <c r="A526" s="30"/>
      <c r="B526" s="4"/>
      <c r="C526" s="43"/>
      <c r="D526" s="585" t="s">
        <v>3035</v>
      </c>
      <c r="E526" s="41"/>
      <c r="G526" t="s">
        <v>247</v>
      </c>
    </row>
    <row r="527" spans="1:9" ht="15.75" hidden="1" customHeight="1" thickTop="1" x14ac:dyDescent="0.35">
      <c r="A527" s="106" t="s">
        <v>630</v>
      </c>
      <c r="B527" s="107"/>
      <c r="C527" s="108"/>
      <c r="D527" s="837" t="s">
        <v>631</v>
      </c>
      <c r="E527" s="545"/>
      <c r="F527" s="400" t="str">
        <f>IF(LEN('Verification Report'!W528)=0,"",'Verification Report'!W528)</f>
        <v/>
      </c>
      <c r="G527" t="s">
        <v>247</v>
      </c>
    </row>
    <row r="528" spans="1:9" ht="15" hidden="1" thickBot="1" x14ac:dyDescent="0.4">
      <c r="A528" s="30"/>
      <c r="B528" s="4"/>
      <c r="C528" s="43"/>
      <c r="D528" s="838"/>
      <c r="E528" s="41"/>
      <c r="G528" t="s">
        <v>247</v>
      </c>
    </row>
    <row r="529" spans="1:9" ht="15" hidden="1" thickBot="1" x14ac:dyDescent="0.4">
      <c r="A529" s="30"/>
      <c r="B529" s="4"/>
      <c r="C529" s="43"/>
      <c r="D529" s="838"/>
      <c r="E529" s="41"/>
      <c r="G529" t="s">
        <v>247</v>
      </c>
    </row>
    <row r="530" spans="1:9" ht="15" hidden="1" thickBot="1" x14ac:dyDescent="0.4">
      <c r="A530" s="30"/>
      <c r="B530" s="4"/>
      <c r="C530" s="43"/>
      <c r="D530" s="838"/>
      <c r="E530" s="41"/>
      <c r="G530" t="s">
        <v>247</v>
      </c>
    </row>
    <row r="531" spans="1:9" ht="15.75" customHeight="1" thickTop="1" x14ac:dyDescent="0.35">
      <c r="A531" s="106" t="s">
        <v>632</v>
      </c>
      <c r="B531" s="107"/>
      <c r="C531" s="108"/>
      <c r="D531" s="837" t="s">
        <v>633</v>
      </c>
      <c r="E531" s="545"/>
      <c r="G531" s="366" t="str">
        <f>IF(OR(LEN(F533)&gt;0,LEN(F535)&gt;0,LEN(F536)&gt;0),"P","")</f>
        <v/>
      </c>
      <c r="H531" s="611" t="s">
        <v>5086</v>
      </c>
      <c r="I531" s="350"/>
    </row>
    <row r="532" spans="1:9" ht="15" thickBot="1" x14ac:dyDescent="0.4">
      <c r="A532" s="30"/>
      <c r="B532" s="4"/>
      <c r="C532" s="43"/>
      <c r="D532" s="838"/>
      <c r="E532" s="41"/>
      <c r="G532" s="366" t="str">
        <f>G531</f>
        <v/>
      </c>
    </row>
    <row r="533" spans="1:9" ht="15" hidden="1" customHeight="1" x14ac:dyDescent="0.35">
      <c r="A533" s="30"/>
      <c r="B533" s="19" t="s">
        <v>256</v>
      </c>
      <c r="C533" s="43"/>
      <c r="D533" s="814" t="s">
        <v>634</v>
      </c>
      <c r="E533" s="41">
        <f>'Verification Report'!O534</f>
        <v>0</v>
      </c>
      <c r="F533" s="400" t="str">
        <f>IF(LEN('Verification Report'!W534)=0,"",'Verification Report'!W534)</f>
        <v/>
      </c>
      <c r="G533" t="s">
        <v>247</v>
      </c>
    </row>
    <row r="534" spans="1:9" ht="15" hidden="1" thickBot="1" x14ac:dyDescent="0.4">
      <c r="A534" s="30"/>
      <c r="B534" s="133"/>
      <c r="C534" s="101"/>
      <c r="D534" s="815"/>
      <c r="E534" s="546"/>
      <c r="G534" t="s">
        <v>247</v>
      </c>
    </row>
    <row r="535" spans="1:9" ht="15" hidden="1" thickBot="1" x14ac:dyDescent="0.4">
      <c r="A535" s="30"/>
      <c r="B535" s="130" t="s">
        <v>258</v>
      </c>
      <c r="C535" s="131"/>
      <c r="D535" s="178" t="s">
        <v>635</v>
      </c>
      <c r="E535" s="547">
        <f>'Verification Report'!O536</f>
        <v>0</v>
      </c>
      <c r="F535" s="400" t="str">
        <f>IF(LEN('Verification Report'!W536)=0,"",'Verification Report'!W536)</f>
        <v/>
      </c>
      <c r="G535" t="s">
        <v>247</v>
      </c>
    </row>
    <row r="536" spans="1:9" ht="15" hidden="1" thickBot="1" x14ac:dyDescent="0.4">
      <c r="A536" s="30"/>
      <c r="B536" s="115" t="s">
        <v>260</v>
      </c>
      <c r="C536" s="53"/>
      <c r="D536" s="229" t="s">
        <v>636</v>
      </c>
      <c r="E536" s="72">
        <f>'Verification Report'!O537</f>
        <v>0</v>
      </c>
      <c r="F536" s="400" t="str">
        <f>IF(LEN('Verification Report'!W537)=0,"",'Verification Report'!W537)</f>
        <v/>
      </c>
      <c r="G536" t="s">
        <v>247</v>
      </c>
    </row>
    <row r="537" spans="1:9" ht="15.75" hidden="1" customHeight="1" thickTop="1" x14ac:dyDescent="0.35">
      <c r="A537" s="106" t="s">
        <v>4165</v>
      </c>
      <c r="D537" s="884" t="s">
        <v>4166</v>
      </c>
      <c r="E537" s="41">
        <f>'Verification Report'!O538</f>
        <v>0</v>
      </c>
      <c r="F537" s="400" t="str">
        <f>IF(LEN('Verification Report'!W538)=0,"",'Verification Report'!W538)</f>
        <v/>
      </c>
      <c r="G537" t="s">
        <v>247</v>
      </c>
    </row>
    <row r="538" spans="1:9" ht="15" hidden="1" thickBot="1" x14ac:dyDescent="0.4">
      <c r="D538" s="884"/>
      <c r="E538" s="41"/>
      <c r="G538" t="s">
        <v>247</v>
      </c>
    </row>
    <row r="539" spans="1:9" ht="15" hidden="1" thickBot="1" x14ac:dyDescent="0.4">
      <c r="D539" s="531" t="s">
        <v>4167</v>
      </c>
      <c r="E539" s="72"/>
      <c r="G539" t="s">
        <v>247</v>
      </c>
    </row>
    <row r="540" spans="1:9" ht="15.75" customHeight="1" thickTop="1" x14ac:dyDescent="0.35">
      <c r="A540" s="106">
        <v>602.20000000000005</v>
      </c>
      <c r="B540" s="107"/>
      <c r="C540" s="108"/>
      <c r="D540" s="837" t="s">
        <v>637</v>
      </c>
      <c r="E540" s="545">
        <f>'Verification Report'!O541</f>
        <v>0</v>
      </c>
      <c r="G540" s="366" t="str">
        <f>IF(E540&gt;0,"P","")</f>
        <v/>
      </c>
    </row>
    <row r="541" spans="1:9" x14ac:dyDescent="0.35">
      <c r="A541" s="30"/>
      <c r="B541" s="4"/>
      <c r="C541" s="43"/>
      <c r="D541" s="838"/>
      <c r="E541" s="41"/>
      <c r="G541" s="366" t="str">
        <f>G540</f>
        <v/>
      </c>
    </row>
    <row r="542" spans="1:9" x14ac:dyDescent="0.35">
      <c r="A542" s="30"/>
      <c r="B542" s="4"/>
      <c r="C542" s="43"/>
      <c r="D542" s="838"/>
      <c r="E542" s="41"/>
      <c r="G542" s="366" t="str">
        <f>G541</f>
        <v/>
      </c>
    </row>
    <row r="543" spans="1:9" x14ac:dyDescent="0.35">
      <c r="A543" s="30"/>
      <c r="B543" s="4"/>
      <c r="C543" s="43"/>
      <c r="D543" s="838"/>
      <c r="E543" s="41"/>
      <c r="G543" s="366" t="str">
        <f>G542</f>
        <v/>
      </c>
    </row>
    <row r="544" spans="1:9" ht="15" hidden="1" customHeight="1" x14ac:dyDescent="0.35">
      <c r="A544" s="30"/>
      <c r="B544" s="19" t="s">
        <v>256</v>
      </c>
      <c r="C544" s="43"/>
      <c r="D544" s="848" t="s">
        <v>638</v>
      </c>
      <c r="E544" s="41"/>
      <c r="F544" s="400" t="str">
        <f>IF(LEN('Verification Report'!W545)=0,"",'Verification Report'!W545)</f>
        <v/>
      </c>
      <c r="G544" t="s">
        <v>247</v>
      </c>
    </row>
    <row r="545" spans="1:9" hidden="1" x14ac:dyDescent="0.35">
      <c r="A545" s="30"/>
      <c r="B545" s="129"/>
      <c r="C545" s="101"/>
      <c r="D545" s="821"/>
      <c r="E545" s="41"/>
      <c r="G545" t="s">
        <v>247</v>
      </c>
    </row>
    <row r="546" spans="1:9" ht="15" thickBot="1" x14ac:dyDescent="0.4">
      <c r="A546" s="30"/>
      <c r="B546" s="130" t="s">
        <v>258</v>
      </c>
      <c r="C546" s="131"/>
      <c r="D546" s="178" t="s">
        <v>639</v>
      </c>
      <c r="E546" s="41"/>
      <c r="F546" s="400" t="str">
        <f>IF(LEN('Verification Report'!W547)=0,"",'Verification Report'!W547)</f>
        <v/>
      </c>
      <c r="G546" s="366" t="str">
        <f>IF(AND(LEN(F546)&gt;0,NOT(F546=FALSE)),"P","")</f>
        <v/>
      </c>
      <c r="H546" s="611" t="s">
        <v>5087</v>
      </c>
      <c r="I546" s="350"/>
    </row>
    <row r="547" spans="1:9" ht="15" hidden="1" customHeight="1" x14ac:dyDescent="0.35">
      <c r="A547" s="30"/>
      <c r="B547" s="19" t="s">
        <v>260</v>
      </c>
      <c r="C547" s="43"/>
      <c r="D547" s="814" t="s">
        <v>640</v>
      </c>
      <c r="E547" s="41"/>
      <c r="F547" s="400" t="str">
        <f>IF(LEN('Verification Report'!W548)=0,"",'Verification Report'!W548)</f>
        <v/>
      </c>
      <c r="G547" t="s">
        <v>247</v>
      </c>
    </row>
    <row r="548" spans="1:9" ht="15" hidden="1" thickBot="1" x14ac:dyDescent="0.4">
      <c r="A548" s="30"/>
      <c r="B548" s="4"/>
      <c r="C548" s="43"/>
      <c r="D548" s="814"/>
      <c r="E548" s="41"/>
      <c r="G548" t="s">
        <v>247</v>
      </c>
    </row>
    <row r="549" spans="1:9" ht="15" hidden="1" thickBot="1" x14ac:dyDescent="0.4">
      <c r="A549" s="30"/>
      <c r="B549" s="4"/>
      <c r="C549" s="43"/>
      <c r="D549" s="814"/>
      <c r="E549" s="41"/>
      <c r="G549" t="s">
        <v>247</v>
      </c>
    </row>
    <row r="550" spans="1:9" ht="15.75" customHeight="1" thickTop="1" x14ac:dyDescent="0.35">
      <c r="A550" s="106">
        <v>602.29999999999995</v>
      </c>
      <c r="B550" s="107"/>
      <c r="C550" s="108"/>
      <c r="D550" s="837" t="s">
        <v>641</v>
      </c>
      <c r="E550" s="545">
        <f>'Verification Report'!O551</f>
        <v>0</v>
      </c>
      <c r="F550" s="400" t="str">
        <f>IF(LEN('Verification Report'!W551)=0,"",'Verification Report'!W551)</f>
        <v/>
      </c>
      <c r="G550" s="366" t="str">
        <f>IF(E550&gt;0,"P","")</f>
        <v/>
      </c>
    </row>
    <row r="551" spans="1:9" x14ac:dyDescent="0.35">
      <c r="A551" s="30"/>
      <c r="B551" s="4"/>
      <c r="C551" s="43"/>
      <c r="D551" s="838"/>
      <c r="E551" s="41"/>
      <c r="G551" s="366" t="str">
        <f>G550</f>
        <v/>
      </c>
      <c r="H551" s="611" t="s">
        <v>5088</v>
      </c>
      <c r="I551" s="350"/>
    </row>
    <row r="552" spans="1:9" x14ac:dyDescent="0.35">
      <c r="A552" s="30"/>
      <c r="B552" s="4"/>
      <c r="C552" s="43"/>
      <c r="D552" s="838"/>
      <c r="E552" s="41"/>
      <c r="G552" s="366" t="str">
        <f>G551</f>
        <v/>
      </c>
    </row>
    <row r="553" spans="1:9" ht="15" hidden="1" thickTop="1" x14ac:dyDescent="0.35">
      <c r="A553" s="106">
        <v>602.4</v>
      </c>
      <c r="B553" s="107"/>
      <c r="C553" s="108"/>
      <c r="D553" s="274" t="s">
        <v>642</v>
      </c>
      <c r="E553" s="545"/>
      <c r="G553" t="s">
        <v>247</v>
      </c>
    </row>
    <row r="554" spans="1:9" ht="15" customHeight="1" x14ac:dyDescent="0.35">
      <c r="A554" s="30" t="s">
        <v>643</v>
      </c>
      <c r="B554" s="4"/>
      <c r="C554" s="43"/>
      <c r="D554" s="838" t="s">
        <v>644</v>
      </c>
      <c r="E554" s="41"/>
      <c r="F554" s="400" t="str">
        <f>IF(LEN('Verification Report'!W555)=0,"",'Verification Report'!W555)</f>
        <v/>
      </c>
      <c r="G554" s="366" t="str">
        <f>IF(AND(LEN(F554)&gt;0,NOT(F554=FALSE)),"P","")</f>
        <v/>
      </c>
      <c r="H554" s="611" t="s">
        <v>5089</v>
      </c>
      <c r="I554" s="350"/>
    </row>
    <row r="555" spans="1:9" x14ac:dyDescent="0.35">
      <c r="A555" s="30"/>
      <c r="B555" s="4"/>
      <c r="C555" s="43"/>
      <c r="D555" s="838"/>
      <c r="E555" s="41"/>
      <c r="G555" s="366" t="str">
        <f>G554</f>
        <v/>
      </c>
    </row>
    <row r="556" spans="1:9" x14ac:dyDescent="0.35">
      <c r="A556" s="30"/>
      <c r="B556" s="4"/>
      <c r="C556" s="43"/>
      <c r="D556" s="838"/>
      <c r="E556" s="41"/>
      <c r="G556" s="366" t="str">
        <f>G555</f>
        <v/>
      </c>
    </row>
    <row r="557" spans="1:9" x14ac:dyDescent="0.35">
      <c r="A557" s="30"/>
      <c r="B557" s="4"/>
      <c r="C557" s="43"/>
      <c r="D557" s="838"/>
      <c r="E557" s="41"/>
      <c r="G557" s="366" t="str">
        <f>G556</f>
        <v/>
      </c>
    </row>
    <row r="558" spans="1:9" x14ac:dyDescent="0.35">
      <c r="A558" s="138"/>
      <c r="B558" s="133"/>
      <c r="C558" s="101"/>
      <c r="D558" s="889"/>
      <c r="E558" s="41"/>
      <c r="G558" s="366" t="str">
        <f>G557</f>
        <v/>
      </c>
    </row>
    <row r="559" spans="1:9" ht="15" customHeight="1" x14ac:dyDescent="0.35">
      <c r="A559" s="30" t="s">
        <v>645</v>
      </c>
      <c r="B559" s="4"/>
      <c r="C559" s="43"/>
      <c r="D559" s="838" t="s">
        <v>646</v>
      </c>
      <c r="E559" s="41">
        <f>'Verification Report'!O560</f>
        <v>0</v>
      </c>
      <c r="F559" s="400" t="str">
        <f>IF(LEN('Verification Report'!W560)=0,"",'Verification Report'!W560)</f>
        <v/>
      </c>
      <c r="G559" s="366" t="str">
        <f>IF(E559&gt;0,"P","")</f>
        <v/>
      </c>
      <c r="H559" s="611" t="s">
        <v>5089</v>
      </c>
      <c r="I559" s="350"/>
    </row>
    <row r="560" spans="1:9" x14ac:dyDescent="0.35">
      <c r="A560" s="138"/>
      <c r="B560" s="133"/>
      <c r="C560" s="101"/>
      <c r="D560" s="889"/>
      <c r="E560" s="546"/>
      <c r="G560" s="366" t="str">
        <f>G559</f>
        <v/>
      </c>
    </row>
    <row r="561" spans="1:9" ht="15" customHeight="1" thickBot="1" x14ac:dyDescent="0.4">
      <c r="A561" s="30" t="s">
        <v>647</v>
      </c>
      <c r="B561" s="4"/>
      <c r="C561" s="43"/>
      <c r="D561" s="95" t="s">
        <v>648</v>
      </c>
      <c r="E561" s="41">
        <f>'Verification Report'!O562</f>
        <v>0</v>
      </c>
      <c r="F561" s="400" t="str">
        <f>IF(LEN('Verification Report'!W562)=0,"",'Verification Report'!W562)</f>
        <v/>
      </c>
      <c r="G561" s="366" t="str">
        <f>IF(E561&gt;0,"P","")</f>
        <v/>
      </c>
      <c r="H561" s="611" t="s">
        <v>5090</v>
      </c>
      <c r="I561" s="350"/>
    </row>
    <row r="562" spans="1:9" ht="19" hidden="1" thickBot="1" x14ac:dyDescent="0.5">
      <c r="A562" s="35" t="s">
        <v>649</v>
      </c>
      <c r="B562" s="15"/>
      <c r="C562" s="42"/>
      <c r="D562" s="151"/>
      <c r="E562" s="544"/>
      <c r="G562" t="s">
        <v>247</v>
      </c>
    </row>
    <row r="563" spans="1:9" ht="15" hidden="1" customHeight="1" x14ac:dyDescent="0.35">
      <c r="A563" s="402" t="s">
        <v>3982</v>
      </c>
      <c r="B563" s="4"/>
      <c r="C563" s="43"/>
      <c r="D563" s="838" t="s">
        <v>650</v>
      </c>
      <c r="E563" s="41"/>
      <c r="G563" t="s">
        <v>247</v>
      </c>
    </row>
    <row r="564" spans="1:9" ht="15" hidden="1" thickBot="1" x14ac:dyDescent="0.4">
      <c r="A564" s="30"/>
      <c r="B564" s="4"/>
      <c r="C564" s="43"/>
      <c r="D564" s="838"/>
      <c r="E564" s="41"/>
      <c r="G564" t="s">
        <v>247</v>
      </c>
    </row>
    <row r="565" spans="1:9" ht="15.75" hidden="1" customHeight="1" thickTop="1" x14ac:dyDescent="0.35">
      <c r="A565" s="106">
        <v>603.1</v>
      </c>
      <c r="B565" s="107"/>
      <c r="C565" s="108"/>
      <c r="D565" s="837" t="s">
        <v>651</v>
      </c>
      <c r="E565" s="545">
        <f>'Verification Report'!O566</f>
        <v>0</v>
      </c>
      <c r="F565" s="400" t="str">
        <f>IF(LEN('Verification Report'!W566)=0,"",'Verification Report'!W566)</f>
        <v/>
      </c>
      <c r="G565" t="s">
        <v>247</v>
      </c>
    </row>
    <row r="566" spans="1:9" ht="15" hidden="1" thickBot="1" x14ac:dyDescent="0.4">
      <c r="A566" s="30"/>
      <c r="B566" s="4"/>
      <c r="C566" s="43"/>
      <c r="D566" s="838"/>
      <c r="E566" s="41"/>
      <c r="G566" t="s">
        <v>247</v>
      </c>
    </row>
    <row r="567" spans="1:9" ht="15" hidden="1" thickBot="1" x14ac:dyDescent="0.4">
      <c r="A567" s="30"/>
      <c r="B567" s="4"/>
      <c r="C567" s="43"/>
      <c r="D567" s="92" t="s">
        <v>652</v>
      </c>
      <c r="E567" s="41"/>
      <c r="G567" t="s">
        <v>247</v>
      </c>
    </row>
    <row r="568" spans="1:9" ht="15" hidden="1" customHeight="1" x14ac:dyDescent="0.35">
      <c r="A568" s="30"/>
      <c r="B568" s="4"/>
      <c r="C568" s="43"/>
      <c r="D568" s="893" t="s">
        <v>3054</v>
      </c>
      <c r="E568" s="41"/>
      <c r="G568" t="s">
        <v>247</v>
      </c>
    </row>
    <row r="569" spans="1:9" ht="15" hidden="1" thickBot="1" x14ac:dyDescent="0.4">
      <c r="A569" s="30"/>
      <c r="B569" s="4"/>
      <c r="C569" s="43"/>
      <c r="D569" s="894"/>
      <c r="E569" s="41"/>
      <c r="G569" t="s">
        <v>247</v>
      </c>
    </row>
    <row r="570" spans="1:9" ht="15" hidden="1" thickBot="1" x14ac:dyDescent="0.4">
      <c r="A570" s="30"/>
      <c r="B570" s="4"/>
      <c r="C570" s="43"/>
      <c r="D570" s="894"/>
      <c r="E570" s="41"/>
      <c r="G570" t="s">
        <v>247</v>
      </c>
    </row>
    <row r="571" spans="1:9" ht="15.75" hidden="1" customHeight="1" thickTop="1" x14ac:dyDescent="0.35">
      <c r="A571" s="106">
        <v>603.20000000000005</v>
      </c>
      <c r="B571" s="107"/>
      <c r="C571" s="108"/>
      <c r="D571" s="837" t="s">
        <v>653</v>
      </c>
      <c r="E571" s="545">
        <f>'Verification Report'!O572</f>
        <v>0</v>
      </c>
      <c r="F571" s="400" t="str">
        <f>IF(LEN('Verification Report'!W572)=0,"",'Verification Report'!W572)</f>
        <v/>
      </c>
      <c r="G571" t="s">
        <v>247</v>
      </c>
    </row>
    <row r="572" spans="1:9" ht="15" hidden="1" thickBot="1" x14ac:dyDescent="0.4">
      <c r="A572" s="30"/>
      <c r="B572" s="4"/>
      <c r="C572" s="43"/>
      <c r="D572" s="838"/>
      <c r="E572" s="41"/>
      <c r="G572" t="s">
        <v>247</v>
      </c>
    </row>
    <row r="573" spans="1:9" ht="15" hidden="1" thickBot="1" x14ac:dyDescent="0.4">
      <c r="A573" s="30"/>
      <c r="B573" s="4"/>
      <c r="C573" s="43"/>
      <c r="D573" s="838"/>
      <c r="E573" s="41"/>
      <c r="G573" t="s">
        <v>247</v>
      </c>
    </row>
    <row r="574" spans="1:9" ht="15" hidden="1" customHeight="1" x14ac:dyDescent="0.35">
      <c r="A574" s="30"/>
      <c r="B574" s="4"/>
      <c r="C574" s="43"/>
      <c r="D574" s="91" t="s">
        <v>3056</v>
      </c>
      <c r="E574" s="41"/>
      <c r="G574" t="s">
        <v>247</v>
      </c>
    </row>
    <row r="575" spans="1:9" ht="15" hidden="1" customHeight="1" x14ac:dyDescent="0.35">
      <c r="A575" s="30"/>
      <c r="B575" s="4"/>
      <c r="C575" s="43"/>
      <c r="D575" s="893" t="s">
        <v>3054</v>
      </c>
      <c r="E575" s="41"/>
      <c r="G575" t="s">
        <v>247</v>
      </c>
    </row>
    <row r="576" spans="1:9" ht="15" hidden="1" thickBot="1" x14ac:dyDescent="0.4">
      <c r="A576" s="30"/>
      <c r="B576" s="4"/>
      <c r="C576" s="43"/>
      <c r="D576" s="894"/>
      <c r="E576" s="41"/>
      <c r="G576" t="s">
        <v>247</v>
      </c>
    </row>
    <row r="577" spans="1:7" ht="15" hidden="1" thickBot="1" x14ac:dyDescent="0.4">
      <c r="A577" s="30"/>
      <c r="B577" s="4"/>
      <c r="C577" s="43"/>
      <c r="D577" s="894"/>
      <c r="E577" s="41"/>
      <c r="G577" t="s">
        <v>247</v>
      </c>
    </row>
    <row r="578" spans="1:7" ht="15.75" hidden="1" customHeight="1" thickTop="1" x14ac:dyDescent="0.35">
      <c r="A578" s="106">
        <v>603.29999999999995</v>
      </c>
      <c r="B578" s="107"/>
      <c r="C578" s="108"/>
      <c r="D578" s="837" t="s">
        <v>654</v>
      </c>
      <c r="E578" s="545">
        <f>'Verification Report'!O579</f>
        <v>0</v>
      </c>
      <c r="F578" s="400" t="str">
        <f>IF(LEN('Verification Report'!W579)=0,"",'Verification Report'!W579)</f>
        <v/>
      </c>
      <c r="G578" t="s">
        <v>247</v>
      </c>
    </row>
    <row r="579" spans="1:7" ht="15" hidden="1" thickBot="1" x14ac:dyDescent="0.4">
      <c r="A579" s="30"/>
      <c r="B579" s="4"/>
      <c r="C579" s="43"/>
      <c r="D579" s="838"/>
      <c r="E579" s="41"/>
      <c r="G579" t="s">
        <v>247</v>
      </c>
    </row>
    <row r="580" spans="1:7" ht="15" hidden="1" customHeight="1" x14ac:dyDescent="0.35">
      <c r="A580" s="30"/>
      <c r="B580" s="4"/>
      <c r="C580" s="43"/>
      <c r="D580" s="218" t="s">
        <v>3052</v>
      </c>
      <c r="E580" s="41"/>
      <c r="G580" t="s">
        <v>247</v>
      </c>
    </row>
    <row r="581" spans="1:7" ht="19" hidden="1" thickBot="1" x14ac:dyDescent="0.5">
      <c r="A581" s="10" t="s">
        <v>655</v>
      </c>
      <c r="B581" s="15"/>
      <c r="C581" s="42"/>
      <c r="D581" s="151"/>
      <c r="E581" s="544"/>
      <c r="G581" t="s">
        <v>247</v>
      </c>
    </row>
    <row r="582" spans="1:7" ht="15" hidden="1" customHeight="1" x14ac:dyDescent="0.35">
      <c r="A582" s="30">
        <v>604.1</v>
      </c>
      <c r="B582" s="4"/>
      <c r="C582" s="43"/>
      <c r="D582" s="838" t="s">
        <v>656</v>
      </c>
      <c r="E582" s="41">
        <f>'Verification Report'!O583</f>
        <v>0</v>
      </c>
      <c r="G582" t="s">
        <v>247</v>
      </c>
    </row>
    <row r="583" spans="1:7" ht="15" hidden="1" thickBot="1" x14ac:dyDescent="0.4">
      <c r="A583" s="30"/>
      <c r="B583" s="4"/>
      <c r="C583" s="43"/>
      <c r="D583" s="838"/>
      <c r="E583" s="41"/>
      <c r="F583" s="400" t="str">
        <f>IF(LEN('Verification Report'!W584)=0,"",'Verification Report'!W584)</f>
        <v/>
      </c>
      <c r="G583" t="s">
        <v>247</v>
      </c>
    </row>
    <row r="584" spans="1:7" ht="15" hidden="1" thickBot="1" x14ac:dyDescent="0.4">
      <c r="A584" s="30"/>
      <c r="B584" s="4"/>
      <c r="C584" s="43"/>
      <c r="D584" s="218" t="s">
        <v>3066</v>
      </c>
      <c r="E584" s="41"/>
      <c r="G584" t="s">
        <v>247</v>
      </c>
    </row>
    <row r="585" spans="1:7" ht="15" hidden="1" thickBot="1" x14ac:dyDescent="0.4">
      <c r="A585" s="30"/>
      <c r="B585" s="4"/>
      <c r="C585" s="43"/>
      <c r="D585" s="170" t="s">
        <v>3063</v>
      </c>
      <c r="E585" s="41"/>
      <c r="F585" s="400" t="str">
        <f>IF(LEN('Verification Report'!W586)=0,"",'Verification Report'!W586)</f>
        <v/>
      </c>
      <c r="G585" t="s">
        <v>247</v>
      </c>
    </row>
    <row r="586" spans="1:7" ht="15" hidden="1" customHeight="1" x14ac:dyDescent="0.35">
      <c r="A586" s="30"/>
      <c r="B586" s="4"/>
      <c r="C586" s="43"/>
      <c r="D586" s="855" t="s">
        <v>3065</v>
      </c>
      <c r="E586" s="41"/>
      <c r="G586" t="s">
        <v>247</v>
      </c>
    </row>
    <row r="587" spans="1:7" ht="15" hidden="1" thickBot="1" x14ac:dyDescent="0.4">
      <c r="A587" s="30"/>
      <c r="B587" s="4"/>
      <c r="C587" s="43"/>
      <c r="D587" s="855"/>
      <c r="E587" s="41"/>
      <c r="F587" s="400" t="str">
        <f>IF(LEN('Verification Report'!W588)=0,"",'Verification Report'!W588)</f>
        <v/>
      </c>
      <c r="G587" t="s">
        <v>247</v>
      </c>
    </row>
    <row r="588" spans="1:7" ht="15" hidden="1" thickBot="1" x14ac:dyDescent="0.4">
      <c r="A588" s="30"/>
      <c r="B588" s="4"/>
      <c r="C588" s="43"/>
      <c r="D588" s="565"/>
      <c r="E588" s="41"/>
      <c r="G588" t="s">
        <v>247</v>
      </c>
    </row>
    <row r="589" spans="1:7" ht="15" hidden="1" thickBot="1" x14ac:dyDescent="0.4">
      <c r="A589" s="30"/>
      <c r="B589" s="4"/>
      <c r="C589" s="43"/>
      <c r="D589" s="565"/>
      <c r="E589" s="41"/>
      <c r="F589" s="400" t="str">
        <f>IF(LEN('Verification Report'!W590)=0,"",'Verification Report'!W590)</f>
        <v/>
      </c>
      <c r="G589" t="s">
        <v>247</v>
      </c>
    </row>
    <row r="590" spans="1:7" ht="19" hidden="1" thickBot="1" x14ac:dyDescent="0.5">
      <c r="A590" s="10" t="s">
        <v>657</v>
      </c>
      <c r="B590" s="15"/>
      <c r="C590" s="42"/>
      <c r="D590" s="150"/>
      <c r="E590" s="544"/>
      <c r="G590" t="s">
        <v>247</v>
      </c>
    </row>
    <row r="591" spans="1:7" ht="15" hidden="1" thickBot="1" x14ac:dyDescent="0.4">
      <c r="A591" s="38" t="s">
        <v>3981</v>
      </c>
      <c r="B591" s="160"/>
      <c r="C591" s="53"/>
      <c r="D591" s="575" t="s">
        <v>4168</v>
      </c>
      <c r="E591" s="72"/>
      <c r="G591" t="s">
        <v>247</v>
      </c>
    </row>
    <row r="592" spans="1:7" ht="15.75" hidden="1" customHeight="1" thickTop="1" x14ac:dyDescent="0.35">
      <c r="A592" s="106">
        <v>605.1</v>
      </c>
      <c r="B592" s="4"/>
      <c r="C592" s="43"/>
      <c r="D592" s="884" t="s">
        <v>4169</v>
      </c>
      <c r="E592" s="41"/>
      <c r="F592" s="400" t="str">
        <f>IF(LEN('Verification Report'!W593)=0,"",'Verification Report'!W593)</f>
        <v/>
      </c>
      <c r="G592" t="s">
        <v>247</v>
      </c>
    </row>
    <row r="593" spans="1:7" ht="15" hidden="1" thickBot="1" x14ac:dyDescent="0.4">
      <c r="A593" s="38"/>
      <c r="B593" s="4"/>
      <c r="C593" s="43"/>
      <c r="D593" s="884"/>
      <c r="E593" s="41"/>
      <c r="G593" t="s">
        <v>247</v>
      </c>
    </row>
    <row r="594" spans="1:7" ht="15" hidden="1" thickBot="1" x14ac:dyDescent="0.4">
      <c r="A594" s="38"/>
      <c r="B594" s="4"/>
      <c r="C594" s="43"/>
      <c r="D594" s="884"/>
      <c r="E594" s="41"/>
      <c r="G594" t="s">
        <v>247</v>
      </c>
    </row>
    <row r="595" spans="1:7" ht="15.75" hidden="1" customHeight="1" thickTop="1" x14ac:dyDescent="0.35">
      <c r="A595" s="106">
        <v>605.20000000000005</v>
      </c>
      <c r="B595" s="107"/>
      <c r="C595" s="108"/>
      <c r="D595" s="837" t="s">
        <v>4170</v>
      </c>
      <c r="E595" s="545">
        <f>'Verification Report'!O596</f>
        <v>0</v>
      </c>
      <c r="F595" s="400" t="str">
        <f>IF(LEN('Verification Report'!W596)=0,"",'Verification Report'!W596)</f>
        <v/>
      </c>
      <c r="G595" t="s">
        <v>247</v>
      </c>
    </row>
    <row r="596" spans="1:7" ht="15" hidden="1" thickBot="1" x14ac:dyDescent="0.4">
      <c r="A596" s="30"/>
      <c r="B596" s="4"/>
      <c r="C596" s="43"/>
      <c r="D596" s="838"/>
      <c r="E596" s="41"/>
      <c r="G596" t="s">
        <v>247</v>
      </c>
    </row>
    <row r="597" spans="1:7" ht="15" hidden="1" thickBot="1" x14ac:dyDescent="0.4">
      <c r="A597" s="30"/>
      <c r="B597" s="4"/>
      <c r="C597" s="43"/>
      <c r="D597" s="838"/>
      <c r="E597" s="41"/>
      <c r="G597" t="s">
        <v>247</v>
      </c>
    </row>
    <row r="598" spans="1:7" ht="15" hidden="1" thickBot="1" x14ac:dyDescent="0.4">
      <c r="A598" s="30"/>
      <c r="B598" s="4"/>
      <c r="C598" s="43"/>
      <c r="D598" s="838"/>
      <c r="E598" s="41"/>
      <c r="G598" t="s">
        <v>247</v>
      </c>
    </row>
    <row r="599" spans="1:7" ht="15" hidden="1" thickBot="1" x14ac:dyDescent="0.4">
      <c r="A599" s="30"/>
      <c r="B599" s="4"/>
      <c r="C599" s="43"/>
      <c r="D599" s="838"/>
      <c r="E599" s="41"/>
      <c r="G599" t="s">
        <v>247</v>
      </c>
    </row>
    <row r="600" spans="1:7" ht="15" hidden="1" thickBot="1" x14ac:dyDescent="0.4">
      <c r="A600" s="30"/>
      <c r="B600" s="4"/>
      <c r="C600" s="43"/>
      <c r="D600" s="838"/>
      <c r="E600" s="41"/>
      <c r="G600" t="s">
        <v>247</v>
      </c>
    </row>
    <row r="601" spans="1:7" ht="15" hidden="1" customHeight="1" x14ac:dyDescent="0.35">
      <c r="A601" s="30"/>
      <c r="B601" s="4"/>
      <c r="C601" s="43"/>
      <c r="D601" s="814" t="s">
        <v>4174</v>
      </c>
      <c r="E601" s="41"/>
      <c r="G601" t="s">
        <v>247</v>
      </c>
    </row>
    <row r="602" spans="1:7" ht="15" hidden="1" thickBot="1" x14ac:dyDescent="0.4">
      <c r="A602" s="30"/>
      <c r="B602" s="4"/>
      <c r="C602" s="43"/>
      <c r="D602" s="814"/>
      <c r="E602" s="41"/>
      <c r="G602" t="s">
        <v>247</v>
      </c>
    </row>
    <row r="603" spans="1:7" ht="15" hidden="1" thickBot="1" x14ac:dyDescent="0.4">
      <c r="A603" s="30"/>
      <c r="B603" s="4"/>
      <c r="C603" s="43"/>
      <c r="D603" s="814"/>
      <c r="E603" s="41"/>
      <c r="G603" t="s">
        <v>247</v>
      </c>
    </row>
    <row r="604" spans="1:7" ht="15" hidden="1" thickBot="1" x14ac:dyDescent="0.4">
      <c r="A604" s="30"/>
      <c r="B604" s="4"/>
      <c r="C604" s="43"/>
      <c r="D604" s="814"/>
      <c r="E604" s="41"/>
      <c r="G604" t="s">
        <v>247</v>
      </c>
    </row>
    <row r="605" spans="1:7" ht="15" hidden="1" thickBot="1" x14ac:dyDescent="0.4">
      <c r="A605" s="30"/>
      <c r="B605" s="4"/>
      <c r="C605" s="43"/>
      <c r="D605" s="95" t="s">
        <v>658</v>
      </c>
      <c r="E605" s="41"/>
      <c r="G605" t="s">
        <v>247</v>
      </c>
    </row>
    <row r="606" spans="1:7" ht="15" hidden="1" customHeight="1" x14ac:dyDescent="0.35">
      <c r="A606" s="30"/>
      <c r="B606" s="19" t="s">
        <v>256</v>
      </c>
      <c r="C606" s="43"/>
      <c r="D606" s="814" t="s">
        <v>4175</v>
      </c>
      <c r="E606" s="41"/>
      <c r="G606" t="s">
        <v>247</v>
      </c>
    </row>
    <row r="607" spans="1:7" ht="15" hidden="1" thickBot="1" x14ac:dyDescent="0.4">
      <c r="A607" s="30"/>
      <c r="B607" s="4"/>
      <c r="C607" s="43"/>
      <c r="D607" s="814"/>
      <c r="E607" s="41"/>
      <c r="G607" t="s">
        <v>247</v>
      </c>
    </row>
    <row r="608" spans="1:7" ht="15" hidden="1" customHeight="1" x14ac:dyDescent="0.35">
      <c r="A608" s="30"/>
      <c r="B608" s="19" t="s">
        <v>258</v>
      </c>
      <c r="C608" s="43"/>
      <c r="D608" s="814" t="s">
        <v>659</v>
      </c>
      <c r="E608" s="41"/>
      <c r="F608" s="400" t="str">
        <f>IF(LEN('Verification Report'!W609)=0,"",'Verification Report'!W609)</f>
        <v/>
      </c>
      <c r="G608" t="s">
        <v>247</v>
      </c>
    </row>
    <row r="609" spans="1:7" ht="15" hidden="1" thickBot="1" x14ac:dyDescent="0.4">
      <c r="A609" s="30"/>
      <c r="B609" s="4"/>
      <c r="C609" s="43"/>
      <c r="D609" s="814"/>
      <c r="E609" s="41"/>
      <c r="G609" t="s">
        <v>247</v>
      </c>
    </row>
    <row r="610" spans="1:7" ht="15.75" hidden="1" customHeight="1" thickTop="1" x14ac:dyDescent="0.35">
      <c r="A610" s="106">
        <v>605.29999999999995</v>
      </c>
      <c r="B610" s="107"/>
      <c r="C610" s="108"/>
      <c r="D610" s="837" t="s">
        <v>4171</v>
      </c>
      <c r="E610" s="545">
        <f>'Verification Report'!O611</f>
        <v>0</v>
      </c>
      <c r="F610" s="400" t="str">
        <f>IF(LEN('Verification Report'!W611)=0,"",'Verification Report'!W611)</f>
        <v/>
      </c>
      <c r="G610" t="s">
        <v>247</v>
      </c>
    </row>
    <row r="611" spans="1:7" ht="15" hidden="1" thickBot="1" x14ac:dyDescent="0.4">
      <c r="A611" s="30"/>
      <c r="B611" s="4"/>
      <c r="C611" s="43"/>
      <c r="D611" s="838"/>
      <c r="E611" s="41"/>
      <c r="G611" t="s">
        <v>247</v>
      </c>
    </row>
    <row r="612" spans="1:7" ht="15" hidden="1" customHeight="1" x14ac:dyDescent="0.35">
      <c r="A612" s="30"/>
      <c r="B612" s="4"/>
      <c r="C612" s="47" t="s">
        <v>121</v>
      </c>
      <c r="D612" s="814" t="s">
        <v>660</v>
      </c>
      <c r="E612" s="41"/>
      <c r="G612" t="s">
        <v>247</v>
      </c>
    </row>
    <row r="613" spans="1:7" ht="15" hidden="1" thickBot="1" x14ac:dyDescent="0.4">
      <c r="A613" s="30"/>
      <c r="B613" s="4"/>
      <c r="C613" s="43"/>
      <c r="D613" s="814"/>
      <c r="E613" s="41"/>
      <c r="G613" t="s">
        <v>247</v>
      </c>
    </row>
    <row r="614" spans="1:7" ht="15" hidden="1" thickBot="1" x14ac:dyDescent="0.4">
      <c r="A614" s="30"/>
      <c r="B614" s="4"/>
      <c r="C614" s="101"/>
      <c r="D614" s="815"/>
      <c r="E614" s="41"/>
      <c r="G614" t="s">
        <v>247</v>
      </c>
    </row>
    <row r="615" spans="1:7" ht="15" hidden="1" thickBot="1" x14ac:dyDescent="0.4">
      <c r="A615" s="30"/>
      <c r="B615" s="4"/>
      <c r="C615" s="135" t="s">
        <v>122</v>
      </c>
      <c r="D615" s="178" t="s">
        <v>661</v>
      </c>
      <c r="E615" s="41"/>
      <c r="G615" t="s">
        <v>247</v>
      </c>
    </row>
    <row r="616" spans="1:7" ht="15" hidden="1" customHeight="1" x14ac:dyDescent="0.35">
      <c r="A616" s="30"/>
      <c r="B616" s="4"/>
      <c r="C616" s="49" t="s">
        <v>123</v>
      </c>
      <c r="D616" s="814" t="s">
        <v>662</v>
      </c>
      <c r="E616" s="41"/>
      <c r="G616" t="s">
        <v>247</v>
      </c>
    </row>
    <row r="617" spans="1:7" ht="15" hidden="1" thickBot="1" x14ac:dyDescent="0.4">
      <c r="A617" s="30"/>
      <c r="B617" s="4"/>
      <c r="C617" s="45"/>
      <c r="D617" s="814"/>
      <c r="E617" s="41"/>
      <c r="G617" t="s">
        <v>247</v>
      </c>
    </row>
    <row r="618" spans="1:7" ht="15" hidden="1" thickBot="1" x14ac:dyDescent="0.4">
      <c r="A618" s="30"/>
      <c r="B618" s="4"/>
      <c r="C618" s="43"/>
      <c r="D618" s="814"/>
      <c r="E618" s="41"/>
      <c r="G618" t="s">
        <v>247</v>
      </c>
    </row>
    <row r="619" spans="1:7" ht="15.75" hidden="1" customHeight="1" thickTop="1" x14ac:dyDescent="0.35">
      <c r="A619" s="106">
        <v>605.4</v>
      </c>
      <c r="B619" s="107"/>
      <c r="C619" s="108"/>
      <c r="D619" s="837" t="s">
        <v>4172</v>
      </c>
      <c r="E619" s="545">
        <f>'Verification Report'!O620</f>
        <v>0</v>
      </c>
      <c r="G619" t="s">
        <v>247</v>
      </c>
    </row>
    <row r="620" spans="1:7" ht="15" hidden="1" thickBot="1" x14ac:dyDescent="0.4">
      <c r="A620" s="30"/>
      <c r="B620" s="4"/>
      <c r="C620" s="43"/>
      <c r="D620" s="838"/>
      <c r="E620" s="41"/>
      <c r="G620" t="s">
        <v>247</v>
      </c>
    </row>
    <row r="621" spans="1:7" ht="15" hidden="1" thickBot="1" x14ac:dyDescent="0.4">
      <c r="A621" s="30"/>
      <c r="B621" s="129" t="s">
        <v>256</v>
      </c>
      <c r="C621" s="101"/>
      <c r="D621" s="228" t="s">
        <v>664</v>
      </c>
      <c r="E621" s="41"/>
      <c r="G621" t="s">
        <v>247</v>
      </c>
    </row>
    <row r="622" spans="1:7" ht="15" hidden="1" thickBot="1" x14ac:dyDescent="0.4">
      <c r="A622" s="30"/>
      <c r="B622" s="19" t="s">
        <v>258</v>
      </c>
      <c r="C622" s="43"/>
      <c r="D622" s="90" t="s">
        <v>665</v>
      </c>
      <c r="E622" s="41"/>
      <c r="G622" t="s">
        <v>247</v>
      </c>
    </row>
    <row r="623" spans="1:7" ht="15" hidden="1" thickBot="1" x14ac:dyDescent="0.4">
      <c r="A623" s="30"/>
      <c r="B623" s="4"/>
      <c r="C623" s="100" t="s">
        <v>121</v>
      </c>
      <c r="D623" s="228" t="s">
        <v>3067</v>
      </c>
      <c r="E623" s="41"/>
      <c r="F623" s="400" t="str">
        <f>IF(LEN('Verification Report'!W624)=0,"",'Verification Report'!W624)</f>
        <v/>
      </c>
      <c r="G623" t="s">
        <v>247</v>
      </c>
    </row>
    <row r="624" spans="1:7" ht="15" hidden="1" thickBot="1" x14ac:dyDescent="0.4">
      <c r="A624" s="30"/>
      <c r="B624" s="4"/>
      <c r="C624" s="135" t="s">
        <v>122</v>
      </c>
      <c r="D624" s="178" t="s">
        <v>3068</v>
      </c>
      <c r="E624" s="41"/>
      <c r="F624" s="400" t="str">
        <f>IF(LEN('Verification Report'!W625)=0,"",'Verification Report'!W625)</f>
        <v/>
      </c>
      <c r="G624" t="s">
        <v>247</v>
      </c>
    </row>
    <row r="625" spans="1:7" ht="15" hidden="1" thickBot="1" x14ac:dyDescent="0.4">
      <c r="A625" s="30"/>
      <c r="B625" s="4"/>
      <c r="C625" s="140" t="s">
        <v>123</v>
      </c>
      <c r="D625" s="178" t="s">
        <v>3069</v>
      </c>
      <c r="E625" s="41"/>
      <c r="F625" s="400" t="str">
        <f>IF(LEN('Verification Report'!W626)=0,"",'Verification Report'!W626)</f>
        <v/>
      </c>
      <c r="G625" t="s">
        <v>247</v>
      </c>
    </row>
    <row r="626" spans="1:7" ht="15" hidden="1" thickBot="1" x14ac:dyDescent="0.4">
      <c r="A626" s="30"/>
      <c r="B626" s="4"/>
      <c r="C626" s="141" t="s">
        <v>401</v>
      </c>
      <c r="D626" s="178" t="s">
        <v>3070</v>
      </c>
      <c r="E626" s="41"/>
      <c r="F626" s="400" t="str">
        <f>IF(LEN('Verification Report'!W627)=0,"",'Verification Report'!W627)</f>
        <v/>
      </c>
      <c r="G626" t="s">
        <v>247</v>
      </c>
    </row>
    <row r="627" spans="1:7" ht="15" hidden="1" thickBot="1" x14ac:dyDescent="0.4">
      <c r="A627" s="30"/>
      <c r="B627" s="4"/>
      <c r="C627" s="135" t="s">
        <v>539</v>
      </c>
      <c r="D627" s="178" t="s">
        <v>3071</v>
      </c>
      <c r="E627" s="41"/>
      <c r="F627" s="400" t="str">
        <f>IF(LEN('Verification Report'!W628)=0,"",'Verification Report'!W628)</f>
        <v/>
      </c>
      <c r="G627" t="s">
        <v>247</v>
      </c>
    </row>
    <row r="628" spans="1:7" ht="15" hidden="1" thickBot="1" x14ac:dyDescent="0.4">
      <c r="A628" s="30"/>
      <c r="B628" s="4"/>
      <c r="C628" s="135" t="s">
        <v>604</v>
      </c>
      <c r="D628" s="178" t="s">
        <v>3072</v>
      </c>
      <c r="E628" s="41"/>
      <c r="F628" s="400" t="str">
        <f>IF(LEN('Verification Report'!W629)=0,"",'Verification Report'!W629)</f>
        <v/>
      </c>
      <c r="G628" t="s">
        <v>247</v>
      </c>
    </row>
    <row r="629" spans="1:7" ht="15" hidden="1" thickBot="1" x14ac:dyDescent="0.4">
      <c r="A629" s="30"/>
      <c r="B629" s="4"/>
      <c r="C629" s="140" t="s">
        <v>606</v>
      </c>
      <c r="D629" s="178" t="s">
        <v>3073</v>
      </c>
      <c r="E629" s="41"/>
      <c r="F629" s="400" t="str">
        <f>IF(LEN('Verification Report'!W630)=0,"",'Verification Report'!W630)</f>
        <v/>
      </c>
      <c r="G629" t="s">
        <v>247</v>
      </c>
    </row>
    <row r="630" spans="1:7" ht="15" hidden="1" thickBot="1" x14ac:dyDescent="0.4">
      <c r="A630" s="30"/>
      <c r="C630" s="141" t="s">
        <v>608</v>
      </c>
      <c r="D630" s="178" t="s">
        <v>3074</v>
      </c>
      <c r="E630" s="41"/>
      <c r="F630" s="400" t="str">
        <f>IF(LEN('Verification Report'!W631)=0,"",'Verification Report'!W631)</f>
        <v/>
      </c>
      <c r="G630" t="s">
        <v>247</v>
      </c>
    </row>
    <row r="631" spans="1:7" ht="15" hidden="1" thickBot="1" x14ac:dyDescent="0.4">
      <c r="A631" s="30"/>
      <c r="C631" s="45" t="s">
        <v>843</v>
      </c>
      <c r="D631" s="90" t="s">
        <v>3074</v>
      </c>
      <c r="E631" s="41"/>
      <c r="F631" s="400" t="str">
        <f>IF(LEN('Verification Report'!W632)=0,"",'Verification Report'!W632)</f>
        <v/>
      </c>
      <c r="G631" t="s">
        <v>247</v>
      </c>
    </row>
    <row r="632" spans="1:7" ht="15" hidden="1" thickBot="1" x14ac:dyDescent="0.4">
      <c r="A632" s="30"/>
      <c r="C632" s="45"/>
      <c r="D632" s="218" t="s">
        <v>3075</v>
      </c>
      <c r="E632" s="41"/>
      <c r="G632" t="s">
        <v>247</v>
      </c>
    </row>
    <row r="633" spans="1:7" ht="19" hidden="1" thickBot="1" x14ac:dyDescent="0.5">
      <c r="A633" s="10" t="s">
        <v>666</v>
      </c>
      <c r="B633" s="15"/>
      <c r="C633" s="42"/>
      <c r="D633" s="151"/>
      <c r="E633" s="544"/>
      <c r="G633" t="s">
        <v>247</v>
      </c>
    </row>
    <row r="634" spans="1:7" ht="15" hidden="1" thickBot="1" x14ac:dyDescent="0.4">
      <c r="A634" s="38" t="s">
        <v>3980</v>
      </c>
      <c r="B634" s="4"/>
      <c r="C634" s="43"/>
      <c r="D634" s="95" t="s">
        <v>667</v>
      </c>
      <c r="E634" s="41"/>
      <c r="G634" t="s">
        <v>247</v>
      </c>
    </row>
    <row r="635" spans="1:7" ht="15.5" hidden="1" thickTop="1" thickBot="1" x14ac:dyDescent="0.4">
      <c r="A635" s="106">
        <v>606.1</v>
      </c>
      <c r="B635" s="107"/>
      <c r="C635" s="108"/>
      <c r="D635" s="274" t="s">
        <v>668</v>
      </c>
      <c r="E635" s="545">
        <f ca="1">'Verification Report'!O636</f>
        <v>0</v>
      </c>
      <c r="G635" t="s">
        <v>247</v>
      </c>
    </row>
    <row r="636" spans="1:7" ht="15" hidden="1" thickBot="1" x14ac:dyDescent="0.4">
      <c r="A636" s="30"/>
      <c r="B636" s="4"/>
      <c r="C636" s="47" t="s">
        <v>121</v>
      </c>
      <c r="D636" s="90" t="s">
        <v>669</v>
      </c>
      <c r="E636" s="41"/>
      <c r="F636" s="400" t="str">
        <f>IF(LEN('Verification Report'!W637)=0,"",'Verification Report'!W637)</f>
        <v/>
      </c>
      <c r="G636" t="s">
        <v>247</v>
      </c>
    </row>
    <row r="637" spans="1:7" ht="15" hidden="1" thickBot="1" x14ac:dyDescent="0.4">
      <c r="A637" s="30"/>
      <c r="B637" s="4"/>
      <c r="C637" s="47" t="s">
        <v>122</v>
      </c>
      <c r="D637" s="90" t="s">
        <v>670</v>
      </c>
      <c r="E637" s="41"/>
      <c r="F637" s="400" t="str">
        <f>IF(LEN('Verification Report'!W638)=0,"",'Verification Report'!W638)</f>
        <v/>
      </c>
      <c r="G637" t="s">
        <v>247</v>
      </c>
    </row>
    <row r="638" spans="1:7" ht="15" hidden="1" thickBot="1" x14ac:dyDescent="0.4">
      <c r="A638" s="30"/>
      <c r="B638" s="4"/>
      <c r="C638" s="49" t="s">
        <v>123</v>
      </c>
      <c r="D638" s="90" t="s">
        <v>671</v>
      </c>
      <c r="E638" s="41"/>
      <c r="F638" s="400" t="str">
        <f>IF(LEN('Verification Report'!W639)=0,"",'Verification Report'!W639)</f>
        <v/>
      </c>
      <c r="G638" t="s">
        <v>247</v>
      </c>
    </row>
    <row r="639" spans="1:7" ht="15" hidden="1" thickBot="1" x14ac:dyDescent="0.4">
      <c r="A639" s="30"/>
      <c r="B639" s="4"/>
      <c r="C639" s="45" t="s">
        <v>401</v>
      </c>
      <c r="D639" s="90" t="s">
        <v>672</v>
      </c>
      <c r="E639" s="41"/>
      <c r="F639" s="400" t="str">
        <f>IF(LEN('Verification Report'!W640)=0,"",'Verification Report'!W640)</f>
        <v/>
      </c>
      <c r="G639" t="s">
        <v>247</v>
      </c>
    </row>
    <row r="640" spans="1:7" ht="15" hidden="1" thickBot="1" x14ac:dyDescent="0.4">
      <c r="A640" s="30"/>
      <c r="B640" s="4"/>
      <c r="C640" s="47" t="s">
        <v>539</v>
      </c>
      <c r="D640" s="90" t="s">
        <v>673</v>
      </c>
      <c r="E640" s="41"/>
      <c r="F640" s="400" t="str">
        <f>IF(LEN('Verification Report'!W641)=0,"",'Verification Report'!W641)</f>
        <v/>
      </c>
      <c r="G640" t="s">
        <v>247</v>
      </c>
    </row>
    <row r="641" spans="1:7" ht="15" hidden="1" thickBot="1" x14ac:dyDescent="0.4">
      <c r="A641" s="30"/>
      <c r="B641" s="4"/>
      <c r="C641" s="47" t="s">
        <v>604</v>
      </c>
      <c r="D641" s="90" t="s">
        <v>674</v>
      </c>
      <c r="E641" s="41"/>
      <c r="F641" s="400" t="str">
        <f>IF(LEN('Verification Report'!W642)=0,"",'Verification Report'!W642)</f>
        <v/>
      </c>
      <c r="G641" t="s">
        <v>247</v>
      </c>
    </row>
    <row r="642" spans="1:7" ht="15" hidden="1" thickBot="1" x14ac:dyDescent="0.4">
      <c r="A642" s="30"/>
      <c r="B642" s="4"/>
      <c r="C642" s="49" t="s">
        <v>606</v>
      </c>
      <c r="D642" s="90" t="s">
        <v>675</v>
      </c>
      <c r="E642" s="41"/>
      <c r="F642" s="400" t="str">
        <f>IF(LEN('Verification Report'!W643)=0,"",'Verification Report'!W643)</f>
        <v/>
      </c>
      <c r="G642" t="s">
        <v>247</v>
      </c>
    </row>
    <row r="643" spans="1:7" ht="15" hidden="1" customHeight="1" x14ac:dyDescent="0.35">
      <c r="A643" s="30"/>
      <c r="B643" s="4"/>
      <c r="C643" s="45" t="s">
        <v>608</v>
      </c>
      <c r="D643" s="814" t="s">
        <v>676</v>
      </c>
      <c r="E643" s="41"/>
      <c r="F643" s="400" t="str">
        <f>IF(LEN('Verification Report'!W644)=0,"",'Verification Report'!W644)</f>
        <v/>
      </c>
      <c r="G643" t="s">
        <v>247</v>
      </c>
    </row>
    <row r="644" spans="1:7" ht="15" hidden="1" thickBot="1" x14ac:dyDescent="0.4">
      <c r="A644" s="30"/>
      <c r="B644" s="4"/>
      <c r="C644" s="45"/>
      <c r="D644" s="814"/>
      <c r="E644" s="41"/>
      <c r="G644" t="s">
        <v>247</v>
      </c>
    </row>
    <row r="645" spans="1:7" ht="15" hidden="1" thickBot="1" x14ac:dyDescent="0.4">
      <c r="A645" s="30"/>
      <c r="B645" s="4"/>
      <c r="C645" s="45"/>
      <c r="D645" s="218" t="s">
        <v>1105</v>
      </c>
      <c r="E645" s="41"/>
      <c r="G645" t="s">
        <v>247</v>
      </c>
    </row>
    <row r="646" spans="1:7" ht="15" hidden="1" customHeight="1" x14ac:dyDescent="0.35">
      <c r="A646" s="30"/>
      <c r="B646" s="19" t="s">
        <v>256</v>
      </c>
      <c r="C646" s="43"/>
      <c r="D646" s="814" t="s">
        <v>677</v>
      </c>
      <c r="E646" s="41"/>
      <c r="G646" t="s">
        <v>247</v>
      </c>
    </row>
    <row r="647" spans="1:7" ht="15" hidden="1" thickBot="1" x14ac:dyDescent="0.4">
      <c r="A647" s="30"/>
      <c r="B647" s="133"/>
      <c r="C647" s="101"/>
      <c r="D647" s="815"/>
      <c r="E647" s="41"/>
      <c r="G647" t="s">
        <v>247</v>
      </c>
    </row>
    <row r="648" spans="1:7" ht="15" hidden="1" customHeight="1" x14ac:dyDescent="0.35">
      <c r="A648" s="30"/>
      <c r="B648" s="132" t="s">
        <v>258</v>
      </c>
      <c r="C648" s="119"/>
      <c r="D648" s="836" t="s">
        <v>678</v>
      </c>
      <c r="E648" s="41"/>
      <c r="G648" t="s">
        <v>247</v>
      </c>
    </row>
    <row r="649" spans="1:7" ht="15" hidden="1" thickBot="1" x14ac:dyDescent="0.4">
      <c r="A649" s="30"/>
      <c r="B649" s="133"/>
      <c r="C649" s="101"/>
      <c r="D649" s="815"/>
      <c r="E649" s="41"/>
      <c r="G649" t="s">
        <v>247</v>
      </c>
    </row>
    <row r="650" spans="1:7" ht="15" hidden="1" customHeight="1" x14ac:dyDescent="0.35">
      <c r="A650" s="30"/>
      <c r="B650" s="19" t="s">
        <v>260</v>
      </c>
      <c r="C650" s="43"/>
      <c r="D650" s="814" t="s">
        <v>679</v>
      </c>
      <c r="E650" s="41"/>
      <c r="G650" t="s">
        <v>247</v>
      </c>
    </row>
    <row r="651" spans="1:7" ht="15" hidden="1" thickBot="1" x14ac:dyDescent="0.4">
      <c r="A651" s="30"/>
      <c r="B651" s="4"/>
      <c r="C651" s="43"/>
      <c r="D651" s="814"/>
      <c r="E651" s="41"/>
      <c r="G651" t="s">
        <v>247</v>
      </c>
    </row>
    <row r="652" spans="1:7" ht="15.75" hidden="1" customHeight="1" thickTop="1" x14ac:dyDescent="0.35">
      <c r="A652" s="106">
        <v>606.20000000000005</v>
      </c>
      <c r="B652" s="107"/>
      <c r="C652" s="108"/>
      <c r="D652" s="837" t="s">
        <v>4180</v>
      </c>
      <c r="E652" s="545"/>
      <c r="G652" t="s">
        <v>247</v>
      </c>
    </row>
    <row r="653" spans="1:7" ht="15" hidden="1" thickBot="1" x14ac:dyDescent="0.4">
      <c r="A653" s="30"/>
      <c r="B653" s="4"/>
      <c r="C653" s="43"/>
      <c r="D653" s="838"/>
      <c r="E653" s="41"/>
      <c r="G653" t="s">
        <v>247</v>
      </c>
    </row>
    <row r="654" spans="1:7" ht="15" hidden="1" thickBot="1" x14ac:dyDescent="0.4">
      <c r="A654" s="30"/>
      <c r="B654" s="4"/>
      <c r="C654" s="47" t="s">
        <v>121</v>
      </c>
      <c r="D654" s="90" t="s">
        <v>680</v>
      </c>
      <c r="E654" s="41"/>
      <c r="G654" t="s">
        <v>247</v>
      </c>
    </row>
    <row r="655" spans="1:7" ht="15" hidden="1" customHeight="1" x14ac:dyDescent="0.35">
      <c r="A655" s="30"/>
      <c r="B655" s="4"/>
      <c r="C655" s="47" t="s">
        <v>122</v>
      </c>
      <c r="D655" s="814" t="s">
        <v>681</v>
      </c>
      <c r="E655" s="41"/>
      <c r="G655" t="s">
        <v>247</v>
      </c>
    </row>
    <row r="656" spans="1:7" ht="15" hidden="1" thickBot="1" x14ac:dyDescent="0.4">
      <c r="A656" s="30"/>
      <c r="B656" s="4"/>
      <c r="C656" s="47"/>
      <c r="D656" s="814"/>
      <c r="E656" s="41"/>
      <c r="G656" t="s">
        <v>247</v>
      </c>
    </row>
    <row r="657" spans="1:7" ht="15" hidden="1" thickBot="1" x14ac:dyDescent="0.4">
      <c r="A657" s="30"/>
      <c r="B657" s="4"/>
      <c r="C657" s="47" t="s">
        <v>123</v>
      </c>
      <c r="D657" s="155" t="s">
        <v>682</v>
      </c>
      <c r="E657" s="41"/>
      <c r="G657" t="s">
        <v>247</v>
      </c>
    </row>
    <row r="658" spans="1:7" ht="15" hidden="1" thickBot="1" x14ac:dyDescent="0.4">
      <c r="A658" s="30"/>
      <c r="B658" s="4"/>
      <c r="C658" s="49" t="s">
        <v>401</v>
      </c>
      <c r="D658" s="155" t="s">
        <v>683</v>
      </c>
      <c r="E658" s="41"/>
      <c r="G658" t="s">
        <v>247</v>
      </c>
    </row>
    <row r="659" spans="1:7" ht="15" hidden="1" thickBot="1" x14ac:dyDescent="0.4">
      <c r="A659" s="30"/>
      <c r="B659" s="4"/>
      <c r="C659" s="45" t="s">
        <v>539</v>
      </c>
      <c r="D659" s="155" t="s">
        <v>684</v>
      </c>
      <c r="E659" s="41"/>
      <c r="G659" t="s">
        <v>247</v>
      </c>
    </row>
    <row r="660" spans="1:7" ht="15" hidden="1" thickBot="1" x14ac:dyDescent="0.4">
      <c r="A660" s="30"/>
      <c r="B660" s="4"/>
      <c r="C660" s="47" t="s">
        <v>604</v>
      </c>
      <c r="D660" s="90" t="s">
        <v>685</v>
      </c>
      <c r="E660" s="41"/>
      <c r="G660" t="s">
        <v>247</v>
      </c>
    </row>
    <row r="661" spans="1:7" ht="15" hidden="1" thickBot="1" x14ac:dyDescent="0.4">
      <c r="A661" s="30"/>
      <c r="B661" s="4"/>
      <c r="C661" s="47" t="s">
        <v>606</v>
      </c>
      <c r="D661" s="90" t="s">
        <v>686</v>
      </c>
      <c r="E661" s="41"/>
      <c r="G661" t="s">
        <v>247</v>
      </c>
    </row>
    <row r="662" spans="1:7" ht="15" hidden="1" customHeight="1" x14ac:dyDescent="0.35">
      <c r="A662" s="30"/>
      <c r="B662" s="4"/>
      <c r="C662" s="47" t="s">
        <v>608</v>
      </c>
      <c r="D662" s="887" t="s">
        <v>4176</v>
      </c>
      <c r="E662" s="41"/>
      <c r="G662" t="s">
        <v>247</v>
      </c>
    </row>
    <row r="663" spans="1:7" ht="15" hidden="1" thickBot="1" x14ac:dyDescent="0.4">
      <c r="A663" s="30"/>
      <c r="B663" s="4"/>
      <c r="C663" s="47"/>
      <c r="D663" s="887"/>
      <c r="E663" s="41"/>
      <c r="G663" t="s">
        <v>247</v>
      </c>
    </row>
    <row r="664" spans="1:7" ht="15" hidden="1" thickBot="1" x14ac:dyDescent="0.4">
      <c r="A664" s="30"/>
      <c r="B664" s="4"/>
      <c r="C664" s="47"/>
      <c r="D664" s="887"/>
      <c r="E664" s="41"/>
      <c r="G664" t="s">
        <v>247</v>
      </c>
    </row>
    <row r="665" spans="1:7" ht="15" hidden="1" thickBot="1" x14ac:dyDescent="0.4">
      <c r="A665" s="30"/>
      <c r="B665" s="4"/>
      <c r="C665" s="47"/>
      <c r="D665" s="887"/>
      <c r="E665" s="41"/>
      <c r="G665" t="s">
        <v>247</v>
      </c>
    </row>
    <row r="666" spans="1:7" ht="15" hidden="1" thickBot="1" x14ac:dyDescent="0.4">
      <c r="A666" s="30"/>
      <c r="B666" s="4"/>
      <c r="C666" s="47"/>
      <c r="D666" s="887"/>
      <c r="E666" s="41"/>
      <c r="G666" t="s">
        <v>247</v>
      </c>
    </row>
    <row r="667" spans="1:7" ht="15" hidden="1" customHeight="1" x14ac:dyDescent="0.35">
      <c r="A667" s="30"/>
      <c r="B667" s="19" t="s">
        <v>256</v>
      </c>
      <c r="C667" s="43"/>
      <c r="D667" s="814" t="s">
        <v>4178</v>
      </c>
      <c r="E667" s="41">
        <f>'Verification Report'!O668</f>
        <v>0</v>
      </c>
      <c r="F667" s="400" t="str">
        <f>IF(LEN('Verification Report'!W668)=0,"",'Verification Report'!W668)</f>
        <v/>
      </c>
      <c r="G667" t="s">
        <v>247</v>
      </c>
    </row>
    <row r="668" spans="1:7" ht="15" hidden="1" thickBot="1" x14ac:dyDescent="0.4">
      <c r="A668" s="30"/>
      <c r="B668" s="19"/>
      <c r="C668" s="43"/>
      <c r="D668" s="814"/>
      <c r="E668" s="41"/>
      <c r="F668" s="400" t="str">
        <f>IF(LEN('Verification Report'!W669)=0,"",'Verification Report'!W669)</f>
        <v/>
      </c>
      <c r="G668" t="s">
        <v>247</v>
      </c>
    </row>
    <row r="669" spans="1:7" ht="15" hidden="1" thickBot="1" x14ac:dyDescent="0.4">
      <c r="A669" s="30"/>
      <c r="B669" s="129"/>
      <c r="C669" s="101"/>
      <c r="D669" s="284" t="s">
        <v>3080</v>
      </c>
      <c r="E669" s="546"/>
      <c r="G669" t="s">
        <v>247</v>
      </c>
    </row>
    <row r="670" spans="1:7" ht="15" hidden="1" customHeight="1" x14ac:dyDescent="0.35">
      <c r="A670" s="30"/>
      <c r="B670" s="19" t="s">
        <v>258</v>
      </c>
      <c r="C670" s="43"/>
      <c r="D670" s="814" t="s">
        <v>4179</v>
      </c>
      <c r="E670" s="41">
        <f>'Verification Report'!O671</f>
        <v>0</v>
      </c>
      <c r="F670" s="400" t="str">
        <f>IF(LEN('Verification Report'!W671)=0,"",'Verification Report'!W671)</f>
        <v/>
      </c>
      <c r="G670" t="s">
        <v>247</v>
      </c>
    </row>
    <row r="671" spans="1:7" ht="15" hidden="1" thickBot="1" x14ac:dyDescent="0.4">
      <c r="A671" s="30"/>
      <c r="B671" s="4"/>
      <c r="C671" s="43"/>
      <c r="D671" s="814"/>
      <c r="E671" s="41"/>
      <c r="F671" s="400" t="str">
        <f>IF(LEN('Verification Report'!W672)=0,"",'Verification Report'!W672)</f>
        <v/>
      </c>
      <c r="G671" t="s">
        <v>247</v>
      </c>
    </row>
    <row r="672" spans="1:7" ht="15" hidden="1" thickBot="1" x14ac:dyDescent="0.4">
      <c r="A672" s="30"/>
      <c r="B672" s="4"/>
      <c r="C672" s="43"/>
      <c r="D672" s="531" t="s">
        <v>3080</v>
      </c>
      <c r="E672" s="41"/>
      <c r="G672" t="s">
        <v>247</v>
      </c>
    </row>
    <row r="673" spans="1:7" ht="15.75" hidden="1" customHeight="1" thickTop="1" x14ac:dyDescent="0.35">
      <c r="A673" s="106">
        <v>606.29999999999995</v>
      </c>
      <c r="B673" s="107"/>
      <c r="C673" s="108"/>
      <c r="D673" s="837" t="s">
        <v>687</v>
      </c>
      <c r="E673" s="545">
        <f ca="1">'Verification Report'!O674</f>
        <v>0</v>
      </c>
      <c r="F673" s="400" t="str">
        <f>IF(LEN('Verification Report'!W674)=0,"",'Verification Report'!W674)</f>
        <v/>
      </c>
      <c r="G673" t="s">
        <v>247</v>
      </c>
    </row>
    <row r="674" spans="1:7" ht="15" hidden="1" thickBot="1" x14ac:dyDescent="0.4">
      <c r="A674" s="30"/>
      <c r="B674" s="4"/>
      <c r="C674" s="43"/>
      <c r="D674" s="838"/>
      <c r="E674" s="41"/>
      <c r="G674" t="s">
        <v>247</v>
      </c>
    </row>
    <row r="675" spans="1:7" ht="15" hidden="1" thickBot="1" x14ac:dyDescent="0.4">
      <c r="A675" s="30"/>
      <c r="B675" s="4"/>
      <c r="C675" s="43"/>
      <c r="D675" s="838"/>
      <c r="E675" s="41"/>
      <c r="G675" t="s">
        <v>247</v>
      </c>
    </row>
    <row r="676" spans="1:7" ht="15" hidden="1" thickBot="1" x14ac:dyDescent="0.4">
      <c r="A676" s="30"/>
      <c r="B676" s="4"/>
      <c r="C676" s="43"/>
      <c r="D676" s="838"/>
      <c r="E676" s="41"/>
      <c r="G676" t="s">
        <v>247</v>
      </c>
    </row>
    <row r="677" spans="1:7" ht="15" hidden="1" thickBot="1" x14ac:dyDescent="0.4">
      <c r="A677" s="30"/>
      <c r="B677" s="4"/>
      <c r="C677" s="43"/>
      <c r="D677" s="92" t="s">
        <v>688</v>
      </c>
      <c r="E677" s="41"/>
      <c r="G677" t="s">
        <v>247</v>
      </c>
    </row>
    <row r="678" spans="1:7" ht="15" hidden="1" thickBot="1" x14ac:dyDescent="0.4">
      <c r="A678" s="30"/>
      <c r="B678" s="4"/>
      <c r="C678" s="43"/>
      <c r="D678" s="218" t="s">
        <v>3084</v>
      </c>
      <c r="E678" s="41"/>
      <c r="G678" t="s">
        <v>247</v>
      </c>
    </row>
    <row r="679" spans="1:7" ht="19" hidden="1" thickBot="1" x14ac:dyDescent="0.5">
      <c r="A679" s="10" t="s">
        <v>689</v>
      </c>
      <c r="B679" s="15"/>
      <c r="C679" s="42"/>
      <c r="D679" s="151"/>
      <c r="E679" s="544"/>
      <c r="G679" t="s">
        <v>247</v>
      </c>
    </row>
    <row r="680" spans="1:7" ht="15" hidden="1" customHeight="1" x14ac:dyDescent="0.35">
      <c r="A680" s="30">
        <v>607.1</v>
      </c>
      <c r="B680" s="4"/>
      <c r="C680" s="43"/>
      <c r="D680" s="838" t="s">
        <v>690</v>
      </c>
      <c r="E680" s="41"/>
      <c r="G680" t="s">
        <v>247</v>
      </c>
    </row>
    <row r="681" spans="1:7" ht="15" hidden="1" thickBot="1" x14ac:dyDescent="0.4">
      <c r="A681" s="30"/>
      <c r="B681" s="4"/>
      <c r="C681" s="43"/>
      <c r="D681" s="838"/>
      <c r="E681" s="41"/>
      <c r="G681" t="s">
        <v>247</v>
      </c>
    </row>
    <row r="682" spans="1:7" ht="15" hidden="1" customHeight="1" x14ac:dyDescent="0.35">
      <c r="A682" s="30"/>
      <c r="B682" s="19" t="s">
        <v>256</v>
      </c>
      <c r="C682" s="43"/>
      <c r="D682" s="814" t="s">
        <v>4181</v>
      </c>
      <c r="E682" s="41">
        <f>'Verification Report'!O683</f>
        <v>0</v>
      </c>
      <c r="F682" s="400" t="str">
        <f>IF(LEN('Verification Report'!W683)=0,"",'Verification Report'!W683)</f>
        <v/>
      </c>
      <c r="G682" t="s">
        <v>247</v>
      </c>
    </row>
    <row r="683" spans="1:7" ht="15" hidden="1" thickBot="1" x14ac:dyDescent="0.4">
      <c r="A683" s="30"/>
      <c r="B683" s="19"/>
      <c r="C683" s="43"/>
      <c r="D683" s="814"/>
      <c r="E683" s="41"/>
      <c r="G683" t="s">
        <v>247</v>
      </c>
    </row>
    <row r="684" spans="1:7" ht="15" hidden="1" thickBot="1" x14ac:dyDescent="0.4">
      <c r="A684" s="30"/>
      <c r="B684" s="19"/>
      <c r="C684" s="43"/>
      <c r="D684" s="814"/>
      <c r="E684" s="41"/>
      <c r="G684" t="s">
        <v>247</v>
      </c>
    </row>
    <row r="685" spans="1:7" ht="15" hidden="1" thickBot="1" x14ac:dyDescent="0.4">
      <c r="A685" s="30"/>
      <c r="B685" s="19"/>
      <c r="C685" s="43"/>
      <c r="D685" s="814"/>
      <c r="E685" s="41"/>
      <c r="G685" t="s">
        <v>247</v>
      </c>
    </row>
    <row r="686" spans="1:7" ht="15" hidden="1" thickBot="1" x14ac:dyDescent="0.4">
      <c r="A686" s="30"/>
      <c r="B686" s="129"/>
      <c r="C686" s="101"/>
      <c r="D686" s="815"/>
      <c r="E686" s="546"/>
      <c r="G686" t="s">
        <v>247</v>
      </c>
    </row>
    <row r="687" spans="1:7" ht="15" hidden="1" customHeight="1" x14ac:dyDescent="0.35">
      <c r="A687" s="30"/>
      <c r="B687" s="19" t="s">
        <v>258</v>
      </c>
      <c r="C687" s="43"/>
      <c r="D687" s="820" t="s">
        <v>4182</v>
      </c>
      <c r="E687" s="552">
        <f>'Verification Report'!O688</f>
        <v>0</v>
      </c>
      <c r="F687" s="400" t="str">
        <f>IF(LEN('Verification Report'!W688)=0,"",'Verification Report'!W688)</f>
        <v/>
      </c>
      <c r="G687" t="s">
        <v>247</v>
      </c>
    </row>
    <row r="688" spans="1:7" ht="15" hidden="1" thickBot="1" x14ac:dyDescent="0.4">
      <c r="D688" s="848"/>
      <c r="E688" s="41"/>
      <c r="G688" t="s">
        <v>247</v>
      </c>
    </row>
    <row r="689" spans="1:7" ht="15" hidden="1" thickBot="1" x14ac:dyDescent="0.4">
      <c r="D689" s="848"/>
      <c r="E689" s="41"/>
      <c r="G689" t="s">
        <v>247</v>
      </c>
    </row>
    <row r="690" spans="1:7" ht="15" hidden="1" thickBot="1" x14ac:dyDescent="0.4">
      <c r="D690" s="848"/>
      <c r="E690" s="41"/>
      <c r="G690" t="s">
        <v>247</v>
      </c>
    </row>
    <row r="691" spans="1:7" ht="15" hidden="1" thickBot="1" x14ac:dyDescent="0.4">
      <c r="D691" s="848"/>
      <c r="E691" s="41"/>
      <c r="G691" t="s">
        <v>247</v>
      </c>
    </row>
    <row r="692" spans="1:7" ht="15" hidden="1" thickBot="1" x14ac:dyDescent="0.4">
      <c r="D692" s="888"/>
      <c r="E692" s="72"/>
      <c r="G692" t="s">
        <v>247</v>
      </c>
    </row>
    <row r="693" spans="1:7" ht="15.75" hidden="1" customHeight="1" thickTop="1" x14ac:dyDescent="0.35">
      <c r="A693" s="106">
        <v>607.20000000000005</v>
      </c>
      <c r="B693" s="107"/>
      <c r="C693" s="108"/>
      <c r="D693" s="837" t="s">
        <v>691</v>
      </c>
      <c r="E693" s="545">
        <f>'Verification Report'!O694</f>
        <v>0</v>
      </c>
      <c r="F693" s="400" t="str">
        <f>IF(LEN('Verification Report'!W694)=0,"",'Verification Report'!W694)</f>
        <v/>
      </c>
      <c r="G693" t="s">
        <v>247</v>
      </c>
    </row>
    <row r="694" spans="1:7" ht="15" hidden="1" thickBot="1" x14ac:dyDescent="0.4">
      <c r="A694" s="30"/>
      <c r="B694" s="4"/>
      <c r="C694" s="43"/>
      <c r="D694" s="838"/>
      <c r="E694" s="41"/>
      <c r="G694" t="s">
        <v>247</v>
      </c>
    </row>
    <row r="695" spans="1:7" ht="19" hidden="1" thickBot="1" x14ac:dyDescent="0.5">
      <c r="A695" s="10" t="s">
        <v>692</v>
      </c>
      <c r="B695" s="15"/>
      <c r="C695" s="42"/>
      <c r="D695" s="151"/>
      <c r="E695" s="544"/>
      <c r="G695" t="s">
        <v>247</v>
      </c>
    </row>
    <row r="696" spans="1:7" ht="15" hidden="1" customHeight="1" x14ac:dyDescent="0.35">
      <c r="A696" s="30">
        <v>608.1</v>
      </c>
      <c r="B696" s="4"/>
      <c r="C696" s="43"/>
      <c r="D696" s="838" t="s">
        <v>693</v>
      </c>
      <c r="E696" s="41">
        <f ca="1">'Verification Report'!O697</f>
        <v>0</v>
      </c>
      <c r="F696" s="400" t="str">
        <f>IF(LEN('Verification Report'!W697)=0,"",'Verification Report'!W697)</f>
        <v/>
      </c>
      <c r="G696" t="s">
        <v>247</v>
      </c>
    </row>
    <row r="697" spans="1:7" ht="15" hidden="1" thickBot="1" x14ac:dyDescent="0.4">
      <c r="A697" s="30"/>
      <c r="B697" s="4"/>
      <c r="C697" s="43"/>
      <c r="D697" s="838"/>
      <c r="E697" s="41"/>
      <c r="G697" t="s">
        <v>247</v>
      </c>
    </row>
    <row r="698" spans="1:7" ht="15" hidden="1" thickBot="1" x14ac:dyDescent="0.4">
      <c r="A698" s="30"/>
      <c r="B698" s="4"/>
      <c r="C698" s="43"/>
      <c r="D698" s="838"/>
      <c r="E698" s="41"/>
      <c r="G698" t="s">
        <v>247</v>
      </c>
    </row>
    <row r="699" spans="1:7" ht="15" hidden="1" customHeight="1" x14ac:dyDescent="0.35">
      <c r="A699" s="30"/>
      <c r="B699" s="19" t="s">
        <v>256</v>
      </c>
      <c r="C699" s="43"/>
      <c r="D699" s="814" t="s">
        <v>694</v>
      </c>
      <c r="E699" s="41"/>
      <c r="G699" t="s">
        <v>247</v>
      </c>
    </row>
    <row r="700" spans="1:7" ht="15" hidden="1" thickBot="1" x14ac:dyDescent="0.4">
      <c r="A700" s="30"/>
      <c r="B700" s="19"/>
      <c r="C700" s="43"/>
      <c r="D700" s="814"/>
      <c r="E700" s="41"/>
      <c r="G700" t="s">
        <v>247</v>
      </c>
    </row>
    <row r="701" spans="1:7" ht="15" hidden="1" thickBot="1" x14ac:dyDescent="0.4">
      <c r="A701" s="30"/>
      <c r="B701" s="19" t="s">
        <v>258</v>
      </c>
      <c r="C701" s="43"/>
      <c r="D701" s="90" t="s">
        <v>695</v>
      </c>
      <c r="E701" s="41"/>
      <c r="G701" t="s">
        <v>247</v>
      </c>
    </row>
    <row r="702" spans="1:7" ht="15" hidden="1" thickBot="1" x14ac:dyDescent="0.4">
      <c r="A702" s="30"/>
      <c r="B702" s="19" t="s">
        <v>260</v>
      </c>
      <c r="C702" s="43"/>
      <c r="D702" s="90" t="s">
        <v>696</v>
      </c>
      <c r="E702" s="41"/>
      <c r="G702" t="s">
        <v>247</v>
      </c>
    </row>
    <row r="703" spans="1:7" ht="15" hidden="1" customHeight="1" x14ac:dyDescent="0.35">
      <c r="A703" s="30"/>
      <c r="B703" s="19"/>
      <c r="C703" s="43"/>
      <c r="D703" s="218" t="s">
        <v>3089</v>
      </c>
      <c r="E703" s="41"/>
      <c r="G703" t="s">
        <v>247</v>
      </c>
    </row>
    <row r="704" spans="1:7" ht="19" hidden="1" thickBot="1" x14ac:dyDescent="0.5">
      <c r="A704" s="10" t="s">
        <v>697</v>
      </c>
      <c r="B704" s="15"/>
      <c r="C704" s="42"/>
      <c r="D704" s="151"/>
      <c r="E704" s="544"/>
      <c r="G704" t="s">
        <v>247</v>
      </c>
    </row>
    <row r="705" spans="1:7" ht="15" hidden="1" customHeight="1" x14ac:dyDescent="0.35">
      <c r="A705" s="30">
        <v>609.1</v>
      </c>
      <c r="B705" s="4"/>
      <c r="C705" s="43"/>
      <c r="D705" s="838" t="s">
        <v>698</v>
      </c>
      <c r="E705" s="75">
        <f ca="1">'Verification Report'!O706</f>
        <v>0</v>
      </c>
      <c r="G705" t="s">
        <v>247</v>
      </c>
    </row>
    <row r="706" spans="1:7" ht="15" hidden="1" thickBot="1" x14ac:dyDescent="0.4">
      <c r="A706" s="30"/>
      <c r="B706" s="4"/>
      <c r="C706" s="43"/>
      <c r="D706" s="838"/>
      <c r="E706" s="75"/>
      <c r="G706" t="s">
        <v>247</v>
      </c>
    </row>
    <row r="707" spans="1:7" ht="15" hidden="1" thickBot="1" x14ac:dyDescent="0.4">
      <c r="A707" s="30"/>
      <c r="B707" s="19" t="s">
        <v>256</v>
      </c>
      <c r="C707" s="43"/>
      <c r="D707" s="146" t="s">
        <v>4876</v>
      </c>
      <c r="E707" s="75"/>
      <c r="F707" s="400" t="str">
        <f>IF(LEN('Verification Report'!W708)=0,"",'Verification Report'!W708)</f>
        <v/>
      </c>
      <c r="G707" t="s">
        <v>247</v>
      </c>
    </row>
    <row r="708" spans="1:7" ht="15" hidden="1" thickBot="1" x14ac:dyDescent="0.4">
      <c r="A708" s="30"/>
      <c r="B708" s="19"/>
      <c r="C708" s="43"/>
      <c r="D708" s="146"/>
      <c r="E708" s="75"/>
      <c r="G708" t="s">
        <v>247</v>
      </c>
    </row>
    <row r="709" spans="1:7" ht="15" hidden="1" thickBot="1" x14ac:dyDescent="0.4">
      <c r="A709" s="30"/>
      <c r="B709" s="19" t="s">
        <v>258</v>
      </c>
      <c r="C709" s="43"/>
      <c r="D709" s="146" t="s">
        <v>4877</v>
      </c>
      <c r="E709" s="75"/>
      <c r="F709" s="400" t="str">
        <f>IF(LEN('Verification Report'!W710)=0,"",'Verification Report'!W710)</f>
        <v/>
      </c>
      <c r="G709" t="s">
        <v>247</v>
      </c>
    </row>
    <row r="710" spans="1:7" ht="15" hidden="1" thickBot="1" x14ac:dyDescent="0.4">
      <c r="A710" s="30"/>
      <c r="B710" s="19"/>
      <c r="C710" s="43"/>
      <c r="D710" s="146"/>
      <c r="E710" s="75"/>
      <c r="G710" t="s">
        <v>247</v>
      </c>
    </row>
    <row r="711" spans="1:7" ht="15" hidden="1" customHeight="1" x14ac:dyDescent="0.35">
      <c r="A711" s="30"/>
      <c r="B711" s="4"/>
      <c r="C711" s="43"/>
      <c r="D711" s="895" t="s">
        <v>4875</v>
      </c>
      <c r="E711" s="41"/>
      <c r="G711" t="s">
        <v>247</v>
      </c>
    </row>
    <row r="712" spans="1:7" ht="15" hidden="1" thickBot="1" x14ac:dyDescent="0.4">
      <c r="A712" s="30"/>
      <c r="B712" s="4"/>
      <c r="C712" s="43"/>
      <c r="D712" s="895"/>
      <c r="E712" s="41"/>
      <c r="G712" t="s">
        <v>247</v>
      </c>
    </row>
    <row r="713" spans="1:7" ht="15" hidden="1" thickBot="1" x14ac:dyDescent="0.4">
      <c r="A713" s="30"/>
      <c r="B713" s="4"/>
      <c r="C713" s="43"/>
      <c r="D713" s="895"/>
      <c r="E713" s="41"/>
      <c r="G713" t="s">
        <v>247</v>
      </c>
    </row>
    <row r="714" spans="1:7" ht="15" hidden="1" customHeight="1" x14ac:dyDescent="0.35">
      <c r="A714" s="30"/>
      <c r="B714" s="4"/>
      <c r="C714" s="43"/>
      <c r="D714" s="893" t="s">
        <v>3103</v>
      </c>
      <c r="E714" s="41"/>
      <c r="G714" t="s">
        <v>247</v>
      </c>
    </row>
    <row r="715" spans="1:7" ht="15" hidden="1" thickBot="1" x14ac:dyDescent="0.4">
      <c r="A715" s="30"/>
      <c r="B715" s="4"/>
      <c r="C715" s="43"/>
      <c r="D715" s="902"/>
      <c r="E715" s="41"/>
      <c r="G715" t="s">
        <v>247</v>
      </c>
    </row>
    <row r="716" spans="1:7" ht="19" hidden="1" thickBot="1" x14ac:dyDescent="0.5">
      <c r="A716" s="10" t="s">
        <v>700</v>
      </c>
      <c r="B716" s="15"/>
      <c r="C716" s="42"/>
      <c r="D716" s="151"/>
      <c r="E716" s="544"/>
      <c r="G716" t="s">
        <v>247</v>
      </c>
    </row>
    <row r="717" spans="1:7" ht="15" hidden="1" customHeight="1" x14ac:dyDescent="0.35">
      <c r="A717" s="30">
        <v>610.1</v>
      </c>
      <c r="B717" s="4"/>
      <c r="C717" s="43"/>
      <c r="D717" s="838" t="s">
        <v>701</v>
      </c>
      <c r="E717" s="41"/>
      <c r="G717" t="s">
        <v>247</v>
      </c>
    </row>
    <row r="718" spans="1:7" ht="15" hidden="1" thickBot="1" x14ac:dyDescent="0.4">
      <c r="A718" s="30"/>
      <c r="B718" s="4"/>
      <c r="C718" s="43"/>
      <c r="D718" s="838"/>
      <c r="E718" s="41"/>
      <c r="G718" t="s">
        <v>247</v>
      </c>
    </row>
    <row r="719" spans="1:7" ht="15" hidden="1" thickBot="1" x14ac:dyDescent="0.4">
      <c r="A719" s="30"/>
      <c r="B719" s="4"/>
      <c r="C719" s="43"/>
      <c r="D719" s="838"/>
      <c r="E719" s="41"/>
      <c r="G719" t="s">
        <v>247</v>
      </c>
    </row>
    <row r="720" spans="1:7" ht="15" hidden="1" thickBot="1" x14ac:dyDescent="0.4">
      <c r="A720" s="30"/>
      <c r="B720" s="4"/>
      <c r="C720" s="43"/>
      <c r="D720" s="838"/>
      <c r="E720" s="41"/>
      <c r="G720" t="s">
        <v>247</v>
      </c>
    </row>
    <row r="721" spans="1:7" ht="15" hidden="1" thickBot="1" x14ac:dyDescent="0.4">
      <c r="A721" s="30"/>
      <c r="B721" s="4"/>
      <c r="C721" s="43"/>
      <c r="D721" s="838"/>
      <c r="E721" s="41"/>
      <c r="G721" t="s">
        <v>247</v>
      </c>
    </row>
    <row r="722" spans="1:7" ht="15" hidden="1" thickBot="1" x14ac:dyDescent="0.4">
      <c r="A722" s="30"/>
      <c r="B722" s="4"/>
      <c r="C722" s="43"/>
      <c r="D722" s="838"/>
      <c r="E722" s="41"/>
      <c r="G722" t="s">
        <v>247</v>
      </c>
    </row>
    <row r="723" spans="1:7" ht="15" hidden="1" thickBot="1" x14ac:dyDescent="0.4">
      <c r="A723" s="30"/>
      <c r="B723" s="4"/>
      <c r="C723" s="43"/>
      <c r="D723" s="284" t="s">
        <v>4890</v>
      </c>
      <c r="E723" s="41"/>
      <c r="G723" t="s">
        <v>247</v>
      </c>
    </row>
    <row r="724" spans="1:7" ht="15.75" hidden="1" customHeight="1" thickTop="1" x14ac:dyDescent="0.35">
      <c r="A724" s="106" t="s">
        <v>702</v>
      </c>
      <c r="B724" s="107"/>
      <c r="C724" s="108"/>
      <c r="D724" s="837" t="s">
        <v>703</v>
      </c>
      <c r="E724" s="545"/>
      <c r="G724" t="s">
        <v>247</v>
      </c>
    </row>
    <row r="725" spans="1:7" ht="15" hidden="1" thickBot="1" x14ac:dyDescent="0.4">
      <c r="A725" s="30"/>
      <c r="B725" s="4"/>
      <c r="C725" s="43"/>
      <c r="D725" s="838"/>
      <c r="E725" s="41"/>
      <c r="G725" t="s">
        <v>247</v>
      </c>
    </row>
    <row r="726" spans="1:7" ht="15" hidden="1" customHeight="1" x14ac:dyDescent="0.35">
      <c r="A726" s="30"/>
      <c r="B726" s="19" t="s">
        <v>256</v>
      </c>
      <c r="C726" s="43"/>
      <c r="D726" s="814" t="s">
        <v>704</v>
      </c>
      <c r="E726" s="41">
        <f>'Verification Report'!O727</f>
        <v>0</v>
      </c>
      <c r="F726" s="400" t="str">
        <f>IF(LEN('Verification Report'!W727)=0,"",'Verification Report'!W727)</f>
        <v/>
      </c>
      <c r="G726" t="s">
        <v>247</v>
      </c>
    </row>
    <row r="727" spans="1:7" ht="15" hidden="1" thickBot="1" x14ac:dyDescent="0.4">
      <c r="A727" s="30"/>
      <c r="B727" s="4"/>
      <c r="C727" s="43"/>
      <c r="D727" s="814"/>
      <c r="E727" s="41"/>
      <c r="G727" t="s">
        <v>247</v>
      </c>
    </row>
    <row r="728" spans="1:7" ht="15" hidden="1" thickBot="1" x14ac:dyDescent="0.4">
      <c r="A728" s="30"/>
      <c r="B728" s="4"/>
      <c r="C728" s="43"/>
      <c r="D728" s="814"/>
      <c r="E728" s="41"/>
      <c r="G728" t="s">
        <v>247</v>
      </c>
    </row>
    <row r="729" spans="1:7" ht="15" hidden="1" thickBot="1" x14ac:dyDescent="0.4">
      <c r="A729" s="30"/>
      <c r="B729" s="4"/>
      <c r="C729" s="47" t="s">
        <v>121</v>
      </c>
      <c r="D729" s="90" t="s">
        <v>705</v>
      </c>
      <c r="E729" s="41"/>
      <c r="G729" t="s">
        <v>247</v>
      </c>
    </row>
    <row r="730" spans="1:7" ht="15" hidden="1" thickBot="1" x14ac:dyDescent="0.4">
      <c r="A730" s="30"/>
      <c r="B730" s="4"/>
      <c r="C730" s="47" t="s">
        <v>122</v>
      </c>
      <c r="D730" s="90" t="s">
        <v>706</v>
      </c>
      <c r="E730" s="41"/>
      <c r="G730" t="s">
        <v>247</v>
      </c>
    </row>
    <row r="731" spans="1:7" ht="15" hidden="1" thickBot="1" x14ac:dyDescent="0.4">
      <c r="A731" s="30"/>
      <c r="B731" s="4"/>
      <c r="C731" s="47" t="s">
        <v>123</v>
      </c>
      <c r="D731" s="90" t="s">
        <v>707</v>
      </c>
      <c r="E731" s="41"/>
      <c r="G731" t="s">
        <v>247</v>
      </c>
    </row>
    <row r="732" spans="1:7" ht="15" hidden="1" thickBot="1" x14ac:dyDescent="0.4">
      <c r="A732" s="30"/>
      <c r="B732" s="4"/>
      <c r="C732" s="49" t="s">
        <v>401</v>
      </c>
      <c r="D732" s="90" t="s">
        <v>708</v>
      </c>
      <c r="E732" s="41"/>
      <c r="G732" t="s">
        <v>247</v>
      </c>
    </row>
    <row r="733" spans="1:7" ht="15" hidden="1" thickBot="1" x14ac:dyDescent="0.4">
      <c r="A733" s="30"/>
      <c r="B733" s="4"/>
      <c r="C733" s="45" t="s">
        <v>539</v>
      </c>
      <c r="D733" s="90" t="s">
        <v>709</v>
      </c>
      <c r="E733" s="41"/>
      <c r="G733" t="s">
        <v>247</v>
      </c>
    </row>
    <row r="734" spans="1:7" ht="15" hidden="1" thickBot="1" x14ac:dyDescent="0.4">
      <c r="A734" s="30"/>
      <c r="B734" s="133"/>
      <c r="C734" s="100" t="s">
        <v>604</v>
      </c>
      <c r="D734" s="228" t="s">
        <v>710</v>
      </c>
      <c r="E734" s="546"/>
      <c r="G734" t="s">
        <v>247</v>
      </c>
    </row>
    <row r="735" spans="1:7" ht="15" hidden="1" customHeight="1" x14ac:dyDescent="0.35">
      <c r="A735" s="30"/>
      <c r="B735" s="132" t="s">
        <v>258</v>
      </c>
      <c r="C735" s="119"/>
      <c r="D735" s="836" t="s">
        <v>711</v>
      </c>
      <c r="E735" s="552">
        <f>'Verification Report'!O736</f>
        <v>0</v>
      </c>
      <c r="F735" s="400" t="str">
        <f>IF(LEN('Verification Report'!W736)=0,"",'Verification Report'!W736)</f>
        <v/>
      </c>
      <c r="G735" t="s">
        <v>247</v>
      </c>
    </row>
    <row r="736" spans="1:7" ht="15" hidden="1" thickBot="1" x14ac:dyDescent="0.4">
      <c r="A736" s="30"/>
      <c r="B736" s="4"/>
      <c r="C736" s="43"/>
      <c r="D736" s="814"/>
      <c r="E736" s="41"/>
      <c r="G736" t="s">
        <v>247</v>
      </c>
    </row>
    <row r="737" spans="1:7" ht="15" hidden="1" thickBot="1" x14ac:dyDescent="0.4">
      <c r="A737" s="30"/>
      <c r="B737" s="4"/>
      <c r="C737" s="43"/>
      <c r="D737" s="814"/>
      <c r="E737" s="41"/>
      <c r="G737" t="s">
        <v>247</v>
      </c>
    </row>
    <row r="738" spans="1:7" ht="15" hidden="1" thickBot="1" x14ac:dyDescent="0.4">
      <c r="A738" s="30"/>
      <c r="B738" s="4"/>
      <c r="C738" s="43"/>
      <c r="D738" s="814"/>
      <c r="E738" s="41"/>
      <c r="G738" t="s">
        <v>247</v>
      </c>
    </row>
    <row r="739" spans="1:7" ht="15" hidden="1" thickBot="1" x14ac:dyDescent="0.4">
      <c r="A739" s="30"/>
      <c r="B739" s="4"/>
      <c r="C739" s="43"/>
      <c r="D739" s="814"/>
      <c r="E739" s="41"/>
      <c r="G739" t="s">
        <v>247</v>
      </c>
    </row>
    <row r="740" spans="1:7" ht="15" hidden="1" thickBot="1" x14ac:dyDescent="0.4">
      <c r="A740" s="30"/>
      <c r="B740" s="4"/>
      <c r="C740" s="43"/>
      <c r="D740" s="814"/>
      <c r="E740" s="41"/>
      <c r="G740" t="s">
        <v>247</v>
      </c>
    </row>
    <row r="741" spans="1:7" ht="15" hidden="1" thickBot="1" x14ac:dyDescent="0.4">
      <c r="A741" s="30"/>
      <c r="B741" s="4"/>
      <c r="C741" s="43"/>
      <c r="D741" s="814"/>
      <c r="E741" s="41"/>
      <c r="G741" t="s">
        <v>247</v>
      </c>
    </row>
    <row r="742" spans="1:7" ht="15" hidden="1" thickBot="1" x14ac:dyDescent="0.4">
      <c r="A742" s="30"/>
      <c r="B742" s="133"/>
      <c r="C742" s="101"/>
      <c r="D742" s="815"/>
      <c r="E742" s="546"/>
      <c r="G742" t="s">
        <v>247</v>
      </c>
    </row>
    <row r="743" spans="1:7" ht="15" hidden="1" customHeight="1" x14ac:dyDescent="0.35">
      <c r="A743" s="30"/>
      <c r="B743" s="19" t="s">
        <v>260</v>
      </c>
      <c r="C743" s="43"/>
      <c r="D743" s="814" t="s">
        <v>712</v>
      </c>
      <c r="E743" s="41">
        <f>'Verification Report'!O744</f>
        <v>0</v>
      </c>
      <c r="F743" s="400" t="str">
        <f>IF(LEN('Verification Report'!W744)=0,"",'Verification Report'!W744)</f>
        <v/>
      </c>
      <c r="G743" t="s">
        <v>247</v>
      </c>
    </row>
    <row r="744" spans="1:7" ht="15" hidden="1" thickBot="1" x14ac:dyDescent="0.4">
      <c r="A744" s="30"/>
      <c r="B744" s="4"/>
      <c r="C744" s="43"/>
      <c r="D744" s="814"/>
      <c r="E744" s="41"/>
      <c r="G744" t="s">
        <v>247</v>
      </c>
    </row>
    <row r="745" spans="1:7" ht="15.75" hidden="1" customHeight="1" thickTop="1" x14ac:dyDescent="0.35">
      <c r="A745" s="106" t="s">
        <v>713</v>
      </c>
      <c r="B745" s="107"/>
      <c r="C745" s="108"/>
      <c r="D745" s="837" t="s">
        <v>714</v>
      </c>
      <c r="E745" s="545">
        <f ca="1">'Verification Report'!O746</f>
        <v>0</v>
      </c>
      <c r="G745" t="s">
        <v>247</v>
      </c>
    </row>
    <row r="746" spans="1:7" ht="15" hidden="1" thickBot="1" x14ac:dyDescent="0.4">
      <c r="A746" s="30"/>
      <c r="B746" s="4"/>
      <c r="C746" s="43"/>
      <c r="D746" s="838"/>
      <c r="E746" s="41"/>
      <c r="G746" t="s">
        <v>247</v>
      </c>
    </row>
    <row r="747" spans="1:7" ht="15" hidden="1" thickBot="1" x14ac:dyDescent="0.4">
      <c r="A747" s="30"/>
      <c r="B747" s="4"/>
      <c r="C747" s="43"/>
      <c r="D747" s="838"/>
      <c r="E747" s="41"/>
      <c r="G747" t="s">
        <v>247</v>
      </c>
    </row>
    <row r="748" spans="1:7" ht="15" hidden="1" thickBot="1" x14ac:dyDescent="0.4">
      <c r="A748" s="138"/>
      <c r="B748" s="133"/>
      <c r="C748" s="101"/>
      <c r="D748" s="889"/>
      <c r="E748" s="546"/>
      <c r="G748" t="s">
        <v>247</v>
      </c>
    </row>
    <row r="749" spans="1:7" ht="15" hidden="1" customHeight="1" x14ac:dyDescent="0.35">
      <c r="A749" s="117" t="s">
        <v>716</v>
      </c>
      <c r="B749" s="118"/>
      <c r="C749" s="119"/>
      <c r="D749" s="905" t="s">
        <v>717</v>
      </c>
      <c r="E749" s="41"/>
      <c r="F749" s="760"/>
      <c r="G749" t="s">
        <v>247</v>
      </c>
    </row>
    <row r="750" spans="1:7" ht="15" hidden="1" thickBot="1" x14ac:dyDescent="0.4">
      <c r="A750" s="30"/>
      <c r="B750" s="4"/>
      <c r="C750" s="43"/>
      <c r="D750" s="838"/>
      <c r="E750" s="41"/>
      <c r="F750" s="760"/>
      <c r="G750" t="s">
        <v>247</v>
      </c>
    </row>
    <row r="751" spans="1:7" ht="15" hidden="1" thickBot="1" x14ac:dyDescent="0.4">
      <c r="A751" s="30"/>
      <c r="B751" s="4"/>
      <c r="C751" s="43"/>
      <c r="D751" s="838"/>
      <c r="E751" s="41"/>
      <c r="F751" s="400" t="str">
        <f>IF(LEN('Verification Report'!W752)=0,"",'Verification Report'!W752)</f>
        <v/>
      </c>
      <c r="G751" t="s">
        <v>247</v>
      </c>
    </row>
    <row r="752" spans="1:7" ht="15" hidden="1" thickBot="1" x14ac:dyDescent="0.4">
      <c r="A752" s="30"/>
      <c r="B752" s="4"/>
      <c r="C752" s="47" t="s">
        <v>121</v>
      </c>
      <c r="D752" s="90" t="s">
        <v>705</v>
      </c>
      <c r="E752" s="41"/>
      <c r="G752" t="s">
        <v>247</v>
      </c>
    </row>
    <row r="753" spans="1:7" ht="15" hidden="1" thickBot="1" x14ac:dyDescent="0.4">
      <c r="A753" s="30"/>
      <c r="B753" s="4"/>
      <c r="C753" s="47" t="s">
        <v>122</v>
      </c>
      <c r="D753" s="90" t="s">
        <v>706</v>
      </c>
      <c r="E753" s="41"/>
      <c r="G753" t="s">
        <v>247</v>
      </c>
    </row>
    <row r="754" spans="1:7" ht="15" hidden="1" thickBot="1" x14ac:dyDescent="0.4">
      <c r="A754" s="30"/>
      <c r="B754" s="4"/>
      <c r="C754" s="47" t="s">
        <v>123</v>
      </c>
      <c r="D754" s="90" t="s">
        <v>707</v>
      </c>
      <c r="E754" s="41"/>
      <c r="G754" t="s">
        <v>247</v>
      </c>
    </row>
    <row r="755" spans="1:7" ht="15" hidden="1" thickBot="1" x14ac:dyDescent="0.4">
      <c r="A755" s="30"/>
      <c r="B755" s="4"/>
      <c r="C755" s="49" t="s">
        <v>401</v>
      </c>
      <c r="D755" s="90" t="s">
        <v>708</v>
      </c>
      <c r="E755" s="41"/>
      <c r="G755" t="s">
        <v>247</v>
      </c>
    </row>
    <row r="756" spans="1:7" ht="15" hidden="1" thickBot="1" x14ac:dyDescent="0.4">
      <c r="A756" s="30"/>
      <c r="B756" s="4"/>
      <c r="C756" s="45" t="s">
        <v>539</v>
      </c>
      <c r="D756" s="90" t="s">
        <v>709</v>
      </c>
      <c r="E756" s="41"/>
      <c r="F756" s="760"/>
      <c r="G756" t="s">
        <v>247</v>
      </c>
    </row>
    <row r="757" spans="1:7" ht="15" hidden="1" thickBot="1" x14ac:dyDescent="0.4">
      <c r="A757" s="30"/>
      <c r="B757" s="4"/>
      <c r="C757" s="47" t="s">
        <v>604</v>
      </c>
      <c r="D757" s="90" t="s">
        <v>710</v>
      </c>
      <c r="E757" s="41"/>
      <c r="F757" s="760"/>
      <c r="G757" t="s">
        <v>247</v>
      </c>
    </row>
    <row r="758" spans="1:7" ht="15" hidden="1" customHeight="1" x14ac:dyDescent="0.35">
      <c r="A758" s="30"/>
      <c r="B758" s="4"/>
      <c r="D758" s="895" t="s">
        <v>718</v>
      </c>
      <c r="E758" s="41"/>
      <c r="F758" s="400" t="str">
        <f>IF(LEN('Verification Report'!W759)=0,"",'Verification Report'!W759)</f>
        <v/>
      </c>
      <c r="G758" t="s">
        <v>247</v>
      </c>
    </row>
    <row r="759" spans="1:7" ht="15" hidden="1" thickBot="1" x14ac:dyDescent="0.4">
      <c r="A759" s="30"/>
      <c r="B759" s="4"/>
      <c r="C759" s="92"/>
      <c r="D759" s="895"/>
      <c r="E759" s="41"/>
      <c r="G759" t="s">
        <v>247</v>
      </c>
    </row>
    <row r="760" spans="1:7" ht="15" hidden="1" thickBot="1" x14ac:dyDescent="0.4">
      <c r="A760" s="30"/>
      <c r="B760" s="4"/>
      <c r="C760" s="92"/>
      <c r="D760" s="895"/>
      <c r="E760" s="41"/>
      <c r="G760" t="s">
        <v>247</v>
      </c>
    </row>
    <row r="761" spans="1:7" ht="15" hidden="1" customHeight="1" x14ac:dyDescent="0.35">
      <c r="A761" s="30"/>
      <c r="B761" s="4"/>
      <c r="C761" s="92"/>
      <c r="D761" s="855" t="s">
        <v>3105</v>
      </c>
      <c r="E761" s="41"/>
      <c r="G761" t="s">
        <v>247</v>
      </c>
    </row>
    <row r="762" spans="1:7" ht="15" hidden="1" thickBot="1" x14ac:dyDescent="0.4">
      <c r="A762" s="138"/>
      <c r="B762" s="133"/>
      <c r="C762" s="142"/>
      <c r="D762" s="903"/>
      <c r="E762" s="41"/>
      <c r="G762" t="s">
        <v>247</v>
      </c>
    </row>
    <row r="763" spans="1:7" ht="15" hidden="1" customHeight="1" x14ac:dyDescent="0.35">
      <c r="A763" s="30" t="s">
        <v>719</v>
      </c>
      <c r="B763" s="4"/>
      <c r="C763" s="43"/>
      <c r="D763" s="838" t="s">
        <v>720</v>
      </c>
      <c r="E763" s="41"/>
      <c r="G763" t="s">
        <v>247</v>
      </c>
    </row>
    <row r="764" spans="1:7" ht="15" hidden="1" thickBot="1" x14ac:dyDescent="0.4">
      <c r="A764" s="30"/>
      <c r="B764" s="4"/>
      <c r="C764" s="43"/>
      <c r="D764" s="838"/>
      <c r="E764" s="41"/>
      <c r="F764" s="400" t="str">
        <f>IF(LEN('Verification Report'!W765)=0,"",'Verification Report'!W765)</f>
        <v/>
      </c>
      <c r="G764" t="s">
        <v>247</v>
      </c>
    </row>
    <row r="765" spans="1:7" ht="15" hidden="1" thickBot="1" x14ac:dyDescent="0.4">
      <c r="A765" s="30"/>
      <c r="B765" s="4"/>
      <c r="C765" s="43"/>
      <c r="D765" s="838"/>
      <c r="E765" s="41"/>
      <c r="G765" t="s">
        <v>247</v>
      </c>
    </row>
    <row r="766" spans="1:7" ht="15" hidden="1" thickBot="1" x14ac:dyDescent="0.4">
      <c r="A766" s="30"/>
      <c r="B766" s="4"/>
      <c r="C766" s="43"/>
      <c r="D766" s="838"/>
      <c r="E766" s="41"/>
      <c r="G766" t="s">
        <v>247</v>
      </c>
    </row>
    <row r="767" spans="1:7" ht="15" hidden="1" thickBot="1" x14ac:dyDescent="0.4">
      <c r="A767" s="30"/>
      <c r="B767" s="4"/>
      <c r="C767" s="43"/>
      <c r="D767" s="838"/>
      <c r="E767" s="41"/>
      <c r="G767" t="s">
        <v>247</v>
      </c>
    </row>
    <row r="768" spans="1:7" ht="15" hidden="1" thickBot="1" x14ac:dyDescent="0.4">
      <c r="A768" s="30"/>
      <c r="B768" s="4"/>
      <c r="C768" s="43"/>
      <c r="D768" s="838"/>
      <c r="E768" s="41"/>
      <c r="G768" t="s">
        <v>247</v>
      </c>
    </row>
    <row r="769" spans="1:7" ht="15" hidden="1" thickBot="1" x14ac:dyDescent="0.4">
      <c r="A769" s="30"/>
      <c r="B769" s="4"/>
      <c r="C769" s="43"/>
      <c r="D769" s="838"/>
      <c r="E769" s="41"/>
      <c r="G769" t="s">
        <v>247</v>
      </c>
    </row>
    <row r="770" spans="1:7" ht="15" hidden="1" thickBot="1" x14ac:dyDescent="0.4">
      <c r="A770" s="30"/>
      <c r="B770" s="4"/>
      <c r="C770" s="43"/>
      <c r="D770" s="838"/>
      <c r="E770" s="41"/>
      <c r="G770" t="s">
        <v>247</v>
      </c>
    </row>
    <row r="771" spans="1:7" ht="15" hidden="1" thickBot="1" x14ac:dyDescent="0.4">
      <c r="A771" s="30"/>
      <c r="B771" s="4"/>
      <c r="C771" s="43"/>
      <c r="D771" s="838"/>
      <c r="E771" s="41"/>
      <c r="F771" s="400" t="str">
        <f>IF(LEN('Verification Report'!W772)=0,"",'Verification Report'!W772)</f>
        <v/>
      </c>
      <c r="G771" t="s">
        <v>247</v>
      </c>
    </row>
    <row r="772" spans="1:7" ht="15" hidden="1" thickBot="1" x14ac:dyDescent="0.4">
      <c r="A772" s="30"/>
      <c r="B772" s="4"/>
      <c r="C772" s="47" t="s">
        <v>121</v>
      </c>
      <c r="D772" s="90" t="s">
        <v>721</v>
      </c>
      <c r="E772" s="41"/>
      <c r="G772" t="s">
        <v>247</v>
      </c>
    </row>
    <row r="773" spans="1:7" ht="15" hidden="1" thickBot="1" x14ac:dyDescent="0.4">
      <c r="A773" s="30"/>
      <c r="B773" s="4"/>
      <c r="C773" s="47" t="s">
        <v>122</v>
      </c>
      <c r="D773" s="90" t="s">
        <v>722</v>
      </c>
      <c r="E773" s="41"/>
      <c r="G773" t="s">
        <v>247</v>
      </c>
    </row>
    <row r="774" spans="1:7" ht="15" hidden="1" thickBot="1" x14ac:dyDescent="0.4">
      <c r="A774" s="30"/>
      <c r="B774" s="4"/>
      <c r="C774" s="47" t="s">
        <v>123</v>
      </c>
      <c r="D774" s="90" t="s">
        <v>723</v>
      </c>
      <c r="E774" s="41"/>
      <c r="G774" t="s">
        <v>247</v>
      </c>
    </row>
    <row r="775" spans="1:7" ht="15" hidden="1" thickBot="1" x14ac:dyDescent="0.4">
      <c r="A775" s="30"/>
      <c r="B775" s="4"/>
      <c r="C775" s="49" t="s">
        <v>401</v>
      </c>
      <c r="D775" s="90" t="s">
        <v>724</v>
      </c>
      <c r="E775" s="41"/>
      <c r="G775" t="s">
        <v>247</v>
      </c>
    </row>
    <row r="776" spans="1:7" ht="15" hidden="1" customHeight="1" x14ac:dyDescent="0.35">
      <c r="A776" s="30"/>
      <c r="B776" s="4"/>
      <c r="C776" s="43"/>
      <c r="D776" s="848" t="s">
        <v>725</v>
      </c>
      <c r="E776" s="41"/>
      <c r="G776" t="s">
        <v>247</v>
      </c>
    </row>
    <row r="777" spans="1:7" ht="15" hidden="1" thickBot="1" x14ac:dyDescent="0.4">
      <c r="A777" s="30"/>
      <c r="B777" s="4"/>
      <c r="C777" s="43"/>
      <c r="D777" s="848"/>
      <c r="E777" s="41"/>
      <c r="F777" s="400" t="str">
        <f>IF(LEN('Verification Report'!W778)=0,"",'Verification Report'!W778)</f>
        <v/>
      </c>
      <c r="G777" t="s">
        <v>247</v>
      </c>
    </row>
    <row r="778" spans="1:7" ht="15" hidden="1" thickBot="1" x14ac:dyDescent="0.4">
      <c r="A778" s="30"/>
      <c r="B778" s="4"/>
      <c r="C778" s="47" t="s">
        <v>121</v>
      </c>
      <c r="D778" s="90" t="s">
        <v>705</v>
      </c>
      <c r="E778" s="41"/>
      <c r="G778" t="s">
        <v>247</v>
      </c>
    </row>
    <row r="779" spans="1:7" ht="15" hidden="1" thickBot="1" x14ac:dyDescent="0.4">
      <c r="A779" s="30"/>
      <c r="B779" s="4"/>
      <c r="C779" s="47" t="s">
        <v>122</v>
      </c>
      <c r="D779" s="90" t="s">
        <v>706</v>
      </c>
      <c r="E779" s="41"/>
      <c r="G779" t="s">
        <v>247</v>
      </c>
    </row>
    <row r="780" spans="1:7" ht="15" hidden="1" thickBot="1" x14ac:dyDescent="0.4">
      <c r="A780" s="30"/>
      <c r="B780" s="4"/>
      <c r="C780" s="47" t="s">
        <v>123</v>
      </c>
      <c r="D780" s="90" t="s">
        <v>707</v>
      </c>
      <c r="E780" s="41"/>
      <c r="G780" t="s">
        <v>247</v>
      </c>
    </row>
    <row r="781" spans="1:7" ht="15" hidden="1" thickBot="1" x14ac:dyDescent="0.4">
      <c r="A781" s="30"/>
      <c r="B781" s="4"/>
      <c r="C781" s="49" t="s">
        <v>401</v>
      </c>
      <c r="D781" s="90" t="s">
        <v>708</v>
      </c>
      <c r="E781" s="41"/>
      <c r="G781" t="s">
        <v>247</v>
      </c>
    </row>
    <row r="782" spans="1:7" ht="15" hidden="1" thickBot="1" x14ac:dyDescent="0.4">
      <c r="A782" s="30"/>
      <c r="B782" s="4"/>
      <c r="C782" s="45" t="s">
        <v>539</v>
      </c>
      <c r="D782" s="90" t="s">
        <v>709</v>
      </c>
      <c r="E782" s="41"/>
      <c r="G782" t="s">
        <v>247</v>
      </c>
    </row>
    <row r="783" spans="1:7" ht="15" hidden="1" thickBot="1" x14ac:dyDescent="0.4">
      <c r="A783" s="30"/>
      <c r="B783" s="4"/>
      <c r="C783" s="47" t="s">
        <v>604</v>
      </c>
      <c r="D783" s="90" t="s">
        <v>710</v>
      </c>
      <c r="E783" s="41"/>
      <c r="F783" s="400" t="str">
        <f>IF(LEN('Verification Report'!W784)=0,"",'Verification Report'!W784)</f>
        <v/>
      </c>
      <c r="G783" t="s">
        <v>247</v>
      </c>
    </row>
    <row r="784" spans="1:7" ht="15" hidden="1" customHeight="1" x14ac:dyDescent="0.35">
      <c r="A784" s="30"/>
      <c r="B784" s="4"/>
      <c r="C784" s="43"/>
      <c r="D784" s="895" t="s">
        <v>726</v>
      </c>
      <c r="E784" s="41"/>
      <c r="G784" t="s">
        <v>247</v>
      </c>
    </row>
    <row r="785" spans="1:7" ht="15" hidden="1" thickBot="1" x14ac:dyDescent="0.4">
      <c r="A785" s="30"/>
      <c r="B785" s="4"/>
      <c r="C785" s="43"/>
      <c r="D785" s="895"/>
      <c r="E785" s="41"/>
      <c r="G785" t="s">
        <v>247</v>
      </c>
    </row>
    <row r="786" spans="1:7" ht="15" hidden="1" customHeight="1" x14ac:dyDescent="0.35">
      <c r="A786" s="30"/>
      <c r="B786" s="4"/>
      <c r="C786" s="43"/>
      <c r="D786" s="893" t="s">
        <v>3113</v>
      </c>
      <c r="E786" s="41"/>
      <c r="G786" t="s">
        <v>247</v>
      </c>
    </row>
    <row r="787" spans="1:7" ht="15" hidden="1" thickBot="1" x14ac:dyDescent="0.4">
      <c r="A787" s="30"/>
      <c r="B787" s="4"/>
      <c r="C787" s="43"/>
      <c r="D787" s="894"/>
      <c r="E787" s="41"/>
      <c r="G787" t="s">
        <v>247</v>
      </c>
    </row>
    <row r="788" spans="1:7" ht="19" hidden="1" thickBot="1" x14ac:dyDescent="0.5">
      <c r="A788" s="529" t="s">
        <v>4867</v>
      </c>
      <c r="B788" s="521"/>
      <c r="C788" s="530"/>
      <c r="D788" s="537"/>
      <c r="E788" s="550"/>
      <c r="G788" t="s">
        <v>247</v>
      </c>
    </row>
    <row r="789" spans="1:7" ht="15" hidden="1" customHeight="1" x14ac:dyDescent="0.35">
      <c r="A789" s="30">
        <v>611.1</v>
      </c>
      <c r="B789" s="4"/>
      <c r="C789" s="43"/>
      <c r="D789" s="838" t="s">
        <v>4187</v>
      </c>
      <c r="E789" s="41">
        <f>'Verification Report'!O790</f>
        <v>0</v>
      </c>
      <c r="G789" t="s">
        <v>247</v>
      </c>
    </row>
    <row r="790" spans="1:7" ht="15" hidden="1" thickBot="1" x14ac:dyDescent="0.4">
      <c r="A790" s="30"/>
      <c r="B790" s="4"/>
      <c r="C790" s="43"/>
      <c r="D790" s="838"/>
      <c r="E790" s="41"/>
      <c r="G790" t="s">
        <v>247</v>
      </c>
    </row>
    <row r="791" spans="1:7" ht="15" hidden="1" thickBot="1" x14ac:dyDescent="0.4">
      <c r="A791" s="30"/>
      <c r="B791" s="4"/>
      <c r="C791" s="43"/>
      <c r="D791" s="838"/>
      <c r="E791" s="41"/>
      <c r="G791" t="s">
        <v>247</v>
      </c>
    </row>
    <row r="792" spans="1:7" ht="15" hidden="1" thickBot="1" x14ac:dyDescent="0.4">
      <c r="A792" s="30"/>
      <c r="B792" s="4"/>
      <c r="C792" s="43"/>
      <c r="D792" s="838"/>
      <c r="E792" s="41"/>
      <c r="G792" t="s">
        <v>247</v>
      </c>
    </row>
    <row r="793" spans="1:7" ht="15" hidden="1" thickBot="1" x14ac:dyDescent="0.4">
      <c r="A793" s="138"/>
      <c r="B793" s="133"/>
      <c r="C793" s="101"/>
      <c r="D793" s="889"/>
      <c r="E793" s="546"/>
      <c r="G793" t="s">
        <v>247</v>
      </c>
    </row>
    <row r="794" spans="1:7" ht="15" hidden="1" customHeight="1" x14ac:dyDescent="0.35">
      <c r="A794" s="30" t="s">
        <v>4188</v>
      </c>
      <c r="B794" s="4"/>
      <c r="C794" s="43"/>
      <c r="D794" s="896" t="s">
        <v>4814</v>
      </c>
      <c r="E794" s="41"/>
      <c r="G794" t="s">
        <v>247</v>
      </c>
    </row>
    <row r="795" spans="1:7" ht="15" hidden="1" thickBot="1" x14ac:dyDescent="0.4">
      <c r="A795" s="30"/>
      <c r="B795" s="4"/>
      <c r="C795" s="43"/>
      <c r="D795" s="896"/>
      <c r="E795" s="41"/>
      <c r="F795" s="400" t="str">
        <f>IF(LEN('Verification Report'!W796)=0,"",'Verification Report'!W796)</f>
        <v/>
      </c>
      <c r="G795" t="s">
        <v>247</v>
      </c>
    </row>
    <row r="796" spans="1:7" ht="15" hidden="1" thickBot="1" x14ac:dyDescent="0.4">
      <c r="A796" s="30"/>
      <c r="B796" s="4"/>
      <c r="C796" s="43"/>
      <c r="D796" s="896"/>
      <c r="E796" s="41"/>
      <c r="G796" t="s">
        <v>247</v>
      </c>
    </row>
    <row r="797" spans="1:7" ht="15" hidden="1" thickBot="1" x14ac:dyDescent="0.4">
      <c r="A797" s="30"/>
      <c r="B797" s="4"/>
      <c r="C797" s="43"/>
      <c r="D797" s="896"/>
      <c r="E797" s="41"/>
      <c r="G797" t="s">
        <v>247</v>
      </c>
    </row>
    <row r="798" spans="1:7" ht="15" hidden="1" thickBot="1" x14ac:dyDescent="0.4">
      <c r="A798" s="30"/>
      <c r="B798" s="4"/>
      <c r="C798" s="43"/>
      <c r="D798" s="896"/>
      <c r="E798" s="41"/>
      <c r="G798" t="s">
        <v>247</v>
      </c>
    </row>
    <row r="799" spans="1:7" ht="15" hidden="1" thickBot="1" x14ac:dyDescent="0.4">
      <c r="A799" s="30"/>
      <c r="B799" s="4"/>
      <c r="C799" s="43"/>
      <c r="D799" s="896"/>
      <c r="E799" s="41"/>
      <c r="G799" t="s">
        <v>247</v>
      </c>
    </row>
    <row r="800" spans="1:7" ht="15" hidden="1" thickBot="1" x14ac:dyDescent="0.4">
      <c r="A800" s="30"/>
      <c r="B800" s="4"/>
      <c r="C800" s="43"/>
      <c r="D800" s="896"/>
      <c r="E800" s="41"/>
      <c r="G800" t="s">
        <v>247</v>
      </c>
    </row>
    <row r="801" spans="1:7" ht="15" hidden="1" thickBot="1" x14ac:dyDescent="0.4">
      <c r="A801" s="30"/>
      <c r="B801" s="4"/>
      <c r="C801" s="43"/>
      <c r="D801" s="896"/>
      <c r="E801" s="41"/>
      <c r="G801" t="s">
        <v>247</v>
      </c>
    </row>
    <row r="802" spans="1:7" ht="15" hidden="1" thickBot="1" x14ac:dyDescent="0.4">
      <c r="A802" s="30"/>
      <c r="B802" s="4"/>
      <c r="C802" s="43"/>
      <c r="D802" s="896"/>
      <c r="E802" s="41"/>
      <c r="G802" t="s">
        <v>247</v>
      </c>
    </row>
    <row r="803" spans="1:7" ht="15" hidden="1" thickBot="1" x14ac:dyDescent="0.4">
      <c r="A803" s="138"/>
      <c r="B803" s="133"/>
      <c r="C803" s="101"/>
      <c r="D803" s="284" t="s">
        <v>3137</v>
      </c>
      <c r="E803" s="41"/>
      <c r="G803" t="s">
        <v>247</v>
      </c>
    </row>
    <row r="804" spans="1:7" ht="15" hidden="1" customHeight="1" x14ac:dyDescent="0.35">
      <c r="A804" s="30" t="s">
        <v>4189</v>
      </c>
      <c r="B804" s="4"/>
      <c r="C804" s="43"/>
      <c r="D804" s="896" t="s">
        <v>4815</v>
      </c>
      <c r="E804" s="41"/>
      <c r="F804" s="760"/>
      <c r="G804" t="s">
        <v>247</v>
      </c>
    </row>
    <row r="805" spans="1:7" ht="15" hidden="1" thickBot="1" x14ac:dyDescent="0.4">
      <c r="A805" s="30"/>
      <c r="B805" s="4"/>
      <c r="C805" s="43"/>
      <c r="D805" s="896"/>
      <c r="E805" s="41"/>
      <c r="F805" s="760"/>
      <c r="G805" t="s">
        <v>247</v>
      </c>
    </row>
    <row r="806" spans="1:7" ht="15" hidden="1" thickBot="1" x14ac:dyDescent="0.4">
      <c r="A806" s="30"/>
      <c r="B806" s="4"/>
      <c r="C806" s="43"/>
      <c r="D806" s="896"/>
      <c r="E806" s="41"/>
      <c r="F806" s="400" t="str">
        <f>IF(LEN('Verification Report'!W807)=0,"",'Verification Report'!W807)</f>
        <v/>
      </c>
      <c r="G806" t="s">
        <v>247</v>
      </c>
    </row>
    <row r="807" spans="1:7" ht="15" hidden="1" thickBot="1" x14ac:dyDescent="0.4">
      <c r="A807" s="30"/>
      <c r="B807" s="4"/>
      <c r="C807" s="43"/>
      <c r="D807" s="896"/>
      <c r="E807" s="41"/>
      <c r="G807" t="s">
        <v>247</v>
      </c>
    </row>
    <row r="808" spans="1:7" ht="15" hidden="1" thickBot="1" x14ac:dyDescent="0.4">
      <c r="A808" s="30"/>
      <c r="B808" s="4"/>
      <c r="C808" s="43"/>
      <c r="D808" s="896"/>
      <c r="E808" s="41"/>
      <c r="G808" t="s">
        <v>247</v>
      </c>
    </row>
    <row r="809" spans="1:7" ht="15" hidden="1" thickBot="1" x14ac:dyDescent="0.4">
      <c r="A809" s="30"/>
      <c r="B809" s="4"/>
      <c r="C809" s="43"/>
      <c r="D809" s="896"/>
      <c r="E809" s="41"/>
      <c r="G809" t="s">
        <v>247</v>
      </c>
    </row>
    <row r="810" spans="1:7" ht="15" hidden="1" thickBot="1" x14ac:dyDescent="0.4">
      <c r="A810" s="55"/>
      <c r="B810" s="55"/>
      <c r="C810" s="55"/>
      <c r="D810" s="180" t="s">
        <v>3137</v>
      </c>
      <c r="E810" s="72"/>
      <c r="G810" t="s">
        <v>247</v>
      </c>
    </row>
    <row r="811" spans="1:7" ht="19" hidden="1" thickBot="1" x14ac:dyDescent="0.5">
      <c r="A811" s="10" t="s">
        <v>4183</v>
      </c>
      <c r="B811" s="15"/>
      <c r="C811" s="42"/>
      <c r="D811" s="151"/>
      <c r="E811" s="544"/>
      <c r="G811" t="s">
        <v>247</v>
      </c>
    </row>
    <row r="812" spans="1:7" ht="15" hidden="1" customHeight="1" x14ac:dyDescent="0.35">
      <c r="A812" s="30">
        <v>612.1</v>
      </c>
      <c r="B812" s="4"/>
      <c r="C812" s="43"/>
      <c r="D812" s="838" t="s">
        <v>4184</v>
      </c>
      <c r="E812" s="41">
        <f ca="1">'Verification Report'!O813</f>
        <v>0</v>
      </c>
      <c r="F812" s="400" t="str">
        <f>IF(LEN('Verification Report'!W813)=0,"",'Verification Report'!W813)</f>
        <v/>
      </c>
      <c r="G812" t="s">
        <v>247</v>
      </c>
    </row>
    <row r="813" spans="1:7" ht="15" hidden="1" thickBot="1" x14ac:dyDescent="0.4">
      <c r="A813" s="30"/>
      <c r="B813" s="4"/>
      <c r="C813" s="43"/>
      <c r="D813" s="838"/>
      <c r="E813" s="41"/>
      <c r="G813" t="s">
        <v>247</v>
      </c>
    </row>
    <row r="814" spans="1:7" ht="15" hidden="1" thickBot="1" x14ac:dyDescent="0.4">
      <c r="A814" s="30"/>
      <c r="B814" s="4"/>
      <c r="C814" s="43"/>
      <c r="D814" s="838"/>
      <c r="E814" s="41"/>
      <c r="G814" t="s">
        <v>247</v>
      </c>
    </row>
    <row r="815" spans="1:7" ht="15" hidden="1" thickBot="1" x14ac:dyDescent="0.4">
      <c r="A815" s="30"/>
      <c r="B815" s="4"/>
      <c r="C815" s="43"/>
      <c r="D815" s="838"/>
      <c r="E815" s="41"/>
      <c r="G815" t="s">
        <v>247</v>
      </c>
    </row>
    <row r="816" spans="1:7" ht="15" hidden="1" thickBot="1" x14ac:dyDescent="0.4">
      <c r="A816" s="30"/>
      <c r="B816" s="4"/>
      <c r="C816" s="43"/>
      <c r="D816" s="838"/>
      <c r="E816" s="41"/>
      <c r="G816" t="s">
        <v>247</v>
      </c>
    </row>
    <row r="817" spans="1:7" ht="15" hidden="1" thickBot="1" x14ac:dyDescent="0.4">
      <c r="A817" s="30"/>
      <c r="B817" s="4"/>
      <c r="C817" s="43"/>
      <c r="D817" s="158" t="s">
        <v>727</v>
      </c>
      <c r="E817" s="41"/>
      <c r="G817" t="s">
        <v>247</v>
      </c>
    </row>
    <row r="818" spans="1:7" ht="15" hidden="1" customHeight="1" x14ac:dyDescent="0.35">
      <c r="A818" s="30"/>
      <c r="B818" s="4"/>
      <c r="C818" s="43"/>
      <c r="D818" s="855" t="s">
        <v>4855</v>
      </c>
      <c r="E818" s="41"/>
      <c r="G818" t="s">
        <v>247</v>
      </c>
    </row>
    <row r="819" spans="1:7" ht="15" hidden="1" thickBot="1" x14ac:dyDescent="0.4">
      <c r="A819" s="30"/>
      <c r="B819" s="4"/>
      <c r="C819" s="43"/>
      <c r="D819" s="893"/>
      <c r="E819" s="41"/>
      <c r="G819" t="s">
        <v>247</v>
      </c>
    </row>
    <row r="820" spans="1:7" ht="15.75" hidden="1" customHeight="1" thickTop="1" x14ac:dyDescent="0.35">
      <c r="A820" s="106">
        <v>612.20000000000005</v>
      </c>
      <c r="B820" s="107"/>
      <c r="C820" s="108"/>
      <c r="D820" s="837" t="s">
        <v>4193</v>
      </c>
      <c r="E820" s="545">
        <f>'Verification Report'!O821</f>
        <v>0</v>
      </c>
      <c r="G820" t="s">
        <v>247</v>
      </c>
    </row>
    <row r="821" spans="1:7" ht="15" hidden="1" thickBot="1" x14ac:dyDescent="0.4">
      <c r="A821" s="30"/>
      <c r="B821" s="4"/>
      <c r="C821" s="43"/>
      <c r="D821" s="838"/>
      <c r="E821" s="41"/>
      <c r="G821" t="s">
        <v>247</v>
      </c>
    </row>
    <row r="822" spans="1:7" ht="15" hidden="1" thickBot="1" x14ac:dyDescent="0.4">
      <c r="A822" s="30"/>
      <c r="B822" s="4"/>
      <c r="C822" s="43"/>
      <c r="D822" s="838"/>
      <c r="E822" s="41"/>
      <c r="G822" t="s">
        <v>247</v>
      </c>
    </row>
    <row r="823" spans="1:7" ht="15" hidden="1" thickBot="1" x14ac:dyDescent="0.4">
      <c r="A823" s="30"/>
      <c r="B823" s="129" t="s">
        <v>256</v>
      </c>
      <c r="C823" s="101"/>
      <c r="D823" s="477" t="s">
        <v>4194</v>
      </c>
      <c r="E823" s="41"/>
      <c r="F823" s="400" t="str">
        <f>IF(LEN('Verification Report'!W824)=0,"",'Verification Report'!W824)</f>
        <v/>
      </c>
      <c r="G823" t="s">
        <v>247</v>
      </c>
    </row>
    <row r="824" spans="1:7" ht="15" hidden="1" customHeight="1" x14ac:dyDescent="0.35">
      <c r="A824" s="30"/>
      <c r="B824" s="132" t="s">
        <v>258</v>
      </c>
      <c r="C824" s="119"/>
      <c r="D824" s="828" t="s">
        <v>4195</v>
      </c>
      <c r="E824" s="41"/>
      <c r="F824" s="400" t="str">
        <f>IF(LEN('Verification Report'!W825)=0,"",'Verification Report'!W825)</f>
        <v/>
      </c>
      <c r="G824" t="s">
        <v>247</v>
      </c>
    </row>
    <row r="825" spans="1:7" ht="15" hidden="1" thickBot="1" x14ac:dyDescent="0.4">
      <c r="B825" s="104"/>
      <c r="C825" s="104"/>
      <c r="D825" s="842"/>
      <c r="G825" t="s">
        <v>247</v>
      </c>
    </row>
    <row r="826" spans="1:7" ht="15" hidden="1" customHeight="1" x14ac:dyDescent="0.35">
      <c r="A826" s="30"/>
      <c r="B826" s="132" t="s">
        <v>260</v>
      </c>
      <c r="C826" s="119"/>
      <c r="D826" s="828" t="s">
        <v>4196</v>
      </c>
      <c r="E826" s="41"/>
      <c r="F826" s="400" t="str">
        <f>IF(LEN('Verification Report'!W827)=0,"",'Verification Report'!W827)</f>
        <v/>
      </c>
      <c r="G826" t="s">
        <v>247</v>
      </c>
    </row>
    <row r="827" spans="1:7" ht="15" hidden="1" thickBot="1" x14ac:dyDescent="0.4">
      <c r="B827" s="104"/>
      <c r="C827" s="104"/>
      <c r="D827" s="842"/>
      <c r="G827" t="s">
        <v>247</v>
      </c>
    </row>
    <row r="828" spans="1:7" ht="15" hidden="1" customHeight="1" x14ac:dyDescent="0.35">
      <c r="A828" s="30"/>
      <c r="B828" s="132" t="s">
        <v>269</v>
      </c>
      <c r="C828" s="119"/>
      <c r="D828" s="828" t="s">
        <v>4197</v>
      </c>
      <c r="E828" s="41"/>
      <c r="F828" s="400" t="str">
        <f>IF(LEN('Verification Report'!W829)=0,"",'Verification Report'!W829)</f>
        <v/>
      </c>
      <c r="G828" t="s">
        <v>247</v>
      </c>
    </row>
    <row r="829" spans="1:7" ht="15" hidden="1" thickBot="1" x14ac:dyDescent="0.4">
      <c r="B829" s="104"/>
      <c r="C829" s="104"/>
      <c r="D829" s="842"/>
      <c r="G829" t="s">
        <v>247</v>
      </c>
    </row>
    <row r="830" spans="1:7" ht="15" hidden="1" customHeight="1" x14ac:dyDescent="0.35">
      <c r="A830" s="30"/>
      <c r="B830" s="132" t="s">
        <v>275</v>
      </c>
      <c r="C830" s="119"/>
      <c r="D830" s="828" t="s">
        <v>4198</v>
      </c>
      <c r="E830" s="41"/>
      <c r="F830" s="400" t="str">
        <f>IF(LEN('Verification Report'!W831)=0,"",'Verification Report'!W831)</f>
        <v/>
      </c>
      <c r="G830" t="s">
        <v>247</v>
      </c>
    </row>
    <row r="831" spans="1:7" ht="15" hidden="1" thickBot="1" x14ac:dyDescent="0.4">
      <c r="B831" s="104"/>
      <c r="C831" s="104"/>
      <c r="D831" s="842"/>
      <c r="G831" t="s">
        <v>247</v>
      </c>
    </row>
    <row r="832" spans="1:7" ht="15" hidden="1" customHeight="1" x14ac:dyDescent="0.35">
      <c r="A832" s="30"/>
      <c r="B832" s="132" t="s">
        <v>277</v>
      </c>
      <c r="C832" s="119"/>
      <c r="D832" s="828" t="s">
        <v>4199</v>
      </c>
      <c r="E832" s="41"/>
      <c r="F832" s="400" t="str">
        <f>IF(LEN('Verification Report'!W833)=0,"",'Verification Report'!W833)</f>
        <v/>
      </c>
      <c r="G832" t="s">
        <v>247</v>
      </c>
    </row>
    <row r="833" spans="1:9" ht="15" hidden="1" thickBot="1" x14ac:dyDescent="0.4">
      <c r="B833" s="104"/>
      <c r="C833" s="104"/>
      <c r="D833" s="842"/>
      <c r="G833" t="s">
        <v>247</v>
      </c>
    </row>
    <row r="834" spans="1:9" ht="15" hidden="1" customHeight="1" x14ac:dyDescent="0.35">
      <c r="A834" s="30"/>
      <c r="B834" s="19" t="s">
        <v>383</v>
      </c>
      <c r="C834" s="43"/>
      <c r="D834" s="828" t="s">
        <v>4200</v>
      </c>
      <c r="E834" s="41"/>
      <c r="F834" s="400" t="str">
        <f>IF(LEN('Verification Report'!W835)=0,"",'Verification Report'!W835)</f>
        <v/>
      </c>
      <c r="G834" t="s">
        <v>247</v>
      </c>
    </row>
    <row r="835" spans="1:9" ht="15" hidden="1" thickBot="1" x14ac:dyDescent="0.4">
      <c r="A835" s="30"/>
      <c r="B835" s="19"/>
      <c r="C835" s="43"/>
      <c r="D835" s="826"/>
      <c r="E835" s="41"/>
      <c r="G835" t="s">
        <v>247</v>
      </c>
    </row>
    <row r="836" spans="1:9" ht="15.75" customHeight="1" thickTop="1" x14ac:dyDescent="0.35">
      <c r="A836" s="106">
        <v>612.29999999999995</v>
      </c>
      <c r="B836" s="122"/>
      <c r="C836" s="108"/>
      <c r="D836" s="837" t="s">
        <v>4190</v>
      </c>
      <c r="E836" s="545">
        <f ca="1">'Verification Report'!O837</f>
        <v>0</v>
      </c>
      <c r="G836" s="366" t="str">
        <f ca="1">IF(E836&gt;0,"P","")</f>
        <v/>
      </c>
    </row>
    <row r="837" spans="1:9" x14ac:dyDescent="0.35">
      <c r="A837" s="30"/>
      <c r="B837" s="4"/>
      <c r="C837" s="43"/>
      <c r="D837" s="838"/>
      <c r="E837" s="41"/>
      <c r="G837" s="366" t="str">
        <f ca="1">G836</f>
        <v/>
      </c>
    </row>
    <row r="838" spans="1:9" ht="15" customHeight="1" x14ac:dyDescent="0.35">
      <c r="A838" s="30"/>
      <c r="B838" s="19" t="s">
        <v>256</v>
      </c>
      <c r="C838" s="43"/>
      <c r="D838" s="814" t="s">
        <v>728</v>
      </c>
      <c r="E838" s="41"/>
      <c r="F838" s="400" t="str">
        <f>IF(LEN('Verification Report'!W839)=0,"",'Verification Report'!W839)</f>
        <v/>
      </c>
      <c r="G838" s="366" t="str">
        <f>IF(AND(LEN(F838)&gt;0,NOT(F838=FALSE)),"P","")</f>
        <v/>
      </c>
      <c r="H838" s="611" t="s">
        <v>5091</v>
      </c>
      <c r="I838" s="350"/>
    </row>
    <row r="839" spans="1:9" x14ac:dyDescent="0.35">
      <c r="A839" s="30"/>
      <c r="B839" s="4"/>
      <c r="C839" s="43"/>
      <c r="D839" s="814"/>
      <c r="E839" s="41"/>
      <c r="G839" s="366" t="str">
        <f>G838</f>
        <v/>
      </c>
    </row>
    <row r="840" spans="1:9" x14ac:dyDescent="0.35">
      <c r="A840" s="30"/>
      <c r="B840" s="4"/>
      <c r="C840" s="43"/>
      <c r="D840" s="814"/>
      <c r="E840" s="41"/>
      <c r="G840" s="366" t="str">
        <f>G839</f>
        <v/>
      </c>
    </row>
    <row r="841" spans="1:9" x14ac:dyDescent="0.35">
      <c r="A841" s="30"/>
      <c r="B841" s="4"/>
      <c r="C841" s="43"/>
      <c r="D841" s="814"/>
      <c r="E841" s="41"/>
      <c r="G841" s="366" t="str">
        <f>G840</f>
        <v/>
      </c>
    </row>
    <row r="842" spans="1:9" x14ac:dyDescent="0.35">
      <c r="A842" s="30"/>
      <c r="B842" s="133"/>
      <c r="C842" s="101"/>
      <c r="D842" s="815"/>
      <c r="E842" s="41"/>
      <c r="G842" s="366" t="str">
        <f>G841</f>
        <v/>
      </c>
    </row>
    <row r="843" spans="1:9" ht="15" hidden="1" customHeight="1" x14ac:dyDescent="0.35">
      <c r="A843" s="30"/>
      <c r="B843" s="132" t="s">
        <v>258</v>
      </c>
      <c r="C843" s="119"/>
      <c r="D843" s="836" t="s">
        <v>729</v>
      </c>
      <c r="E843" s="41"/>
      <c r="F843" s="400" t="str">
        <f>IF(LEN('Verification Report'!W844)=0,"",'Verification Report'!W844)</f>
        <v/>
      </c>
      <c r="G843" t="s">
        <v>247</v>
      </c>
    </row>
    <row r="844" spans="1:9" hidden="1" x14ac:dyDescent="0.35">
      <c r="A844" s="30"/>
      <c r="B844" s="4"/>
      <c r="C844" s="43"/>
      <c r="D844" s="814"/>
      <c r="E844" s="41"/>
      <c r="G844" t="s">
        <v>247</v>
      </c>
    </row>
    <row r="845" spans="1:9" hidden="1" x14ac:dyDescent="0.35">
      <c r="A845" s="30"/>
      <c r="B845" s="4"/>
      <c r="C845" s="43"/>
      <c r="D845" s="814"/>
      <c r="E845" s="41"/>
      <c r="G845" t="s">
        <v>247</v>
      </c>
    </row>
    <row r="846" spans="1:9" hidden="1" x14ac:dyDescent="0.35">
      <c r="A846" s="30"/>
      <c r="B846" s="133"/>
      <c r="C846" s="101"/>
      <c r="D846" s="815"/>
      <c r="E846" s="41"/>
      <c r="G846" t="s">
        <v>247</v>
      </c>
    </row>
    <row r="847" spans="1:9" ht="15" hidden="1" customHeight="1" x14ac:dyDescent="0.35">
      <c r="A847" s="30"/>
      <c r="B847" s="132" t="s">
        <v>260</v>
      </c>
      <c r="C847" s="119"/>
      <c r="D847" s="836" t="s">
        <v>730</v>
      </c>
      <c r="E847" s="41"/>
      <c r="F847" s="400" t="str">
        <f>IF(LEN('Verification Report'!W848)=0,"",'Verification Report'!W848)</f>
        <v/>
      </c>
      <c r="G847" t="s">
        <v>247</v>
      </c>
    </row>
    <row r="848" spans="1:9" hidden="1" x14ac:dyDescent="0.35">
      <c r="A848" s="30"/>
      <c r="B848" s="133"/>
      <c r="C848" s="101"/>
      <c r="D848" s="815"/>
      <c r="E848" s="41"/>
      <c r="G848" t="s">
        <v>247</v>
      </c>
    </row>
    <row r="849" spans="1:7" ht="15" hidden="1" customHeight="1" x14ac:dyDescent="0.35">
      <c r="A849" s="30"/>
      <c r="B849" s="132" t="s">
        <v>269</v>
      </c>
      <c r="C849" s="119"/>
      <c r="D849" s="836" t="s">
        <v>731</v>
      </c>
      <c r="E849" s="41"/>
      <c r="F849" s="400" t="str">
        <f>IF(LEN('Verification Report'!W850)=0,"",'Verification Report'!W850)</f>
        <v/>
      </c>
      <c r="G849" t="s">
        <v>247</v>
      </c>
    </row>
    <row r="850" spans="1:7" hidden="1" x14ac:dyDescent="0.35">
      <c r="A850" s="30"/>
      <c r="B850" s="133"/>
      <c r="C850" s="101"/>
      <c r="D850" s="815"/>
      <c r="E850" s="41"/>
      <c r="G850" t="s">
        <v>247</v>
      </c>
    </row>
    <row r="851" spans="1:7" hidden="1" x14ac:dyDescent="0.35">
      <c r="A851" s="30"/>
      <c r="B851" s="130" t="s">
        <v>275</v>
      </c>
      <c r="C851" s="131"/>
      <c r="D851" s="178" t="s">
        <v>732</v>
      </c>
      <c r="E851" s="41"/>
      <c r="F851" s="400" t="str">
        <f>IF(LEN('Verification Report'!W852)=0,"",'Verification Report'!W852)</f>
        <v/>
      </c>
      <c r="G851" t="s">
        <v>247</v>
      </c>
    </row>
    <row r="852" spans="1:7" hidden="1" x14ac:dyDescent="0.35">
      <c r="A852" s="30"/>
      <c r="B852" s="130" t="s">
        <v>277</v>
      </c>
      <c r="C852" s="131"/>
      <c r="D852" s="470" t="s">
        <v>4201</v>
      </c>
      <c r="E852" s="41"/>
      <c r="F852" s="400" t="str">
        <f>IF(LEN('Verification Report'!W853)=0,"",'Verification Report'!W853)</f>
        <v/>
      </c>
      <c r="G852" t="s">
        <v>247</v>
      </c>
    </row>
    <row r="853" spans="1:7" ht="15" hidden="1" customHeight="1" x14ac:dyDescent="0.35">
      <c r="A853" s="30"/>
      <c r="B853" s="132" t="s">
        <v>383</v>
      </c>
      <c r="C853" s="119"/>
      <c r="D853" s="836" t="s">
        <v>733</v>
      </c>
      <c r="E853" s="41"/>
      <c r="F853" s="400" t="str">
        <f>IF(LEN('Verification Report'!W854)=0,"",'Verification Report'!W854)</f>
        <v/>
      </c>
      <c r="G853" t="s">
        <v>247</v>
      </c>
    </row>
    <row r="854" spans="1:7" hidden="1" x14ac:dyDescent="0.35">
      <c r="A854" s="30"/>
      <c r="B854" s="4"/>
      <c r="C854" s="43"/>
      <c r="D854" s="814"/>
      <c r="E854" s="41"/>
      <c r="G854" t="s">
        <v>247</v>
      </c>
    </row>
    <row r="855" spans="1:7" hidden="1" x14ac:dyDescent="0.35">
      <c r="A855" s="30"/>
      <c r="B855" s="4"/>
      <c r="C855" s="43"/>
      <c r="D855" s="814"/>
      <c r="E855" s="41"/>
      <c r="G855" t="s">
        <v>247</v>
      </c>
    </row>
    <row r="856" spans="1:7" hidden="1" x14ac:dyDescent="0.35">
      <c r="A856" s="30"/>
      <c r="B856" s="133"/>
      <c r="C856" s="101"/>
      <c r="D856" s="815"/>
      <c r="E856" s="41"/>
      <c r="G856" t="s">
        <v>247</v>
      </c>
    </row>
    <row r="857" spans="1:7" ht="15" hidden="1" customHeight="1" x14ac:dyDescent="0.35">
      <c r="A857" s="30"/>
      <c r="B857" s="132" t="s">
        <v>428</v>
      </c>
      <c r="C857" s="119"/>
      <c r="D857" s="836" t="s">
        <v>734</v>
      </c>
      <c r="E857" s="41"/>
      <c r="F857" s="400" t="str">
        <f>IF(LEN('Verification Report'!W858)=0,"",'Verification Report'!W858)</f>
        <v/>
      </c>
      <c r="G857" t="s">
        <v>247</v>
      </c>
    </row>
    <row r="858" spans="1:7" hidden="1" x14ac:dyDescent="0.35">
      <c r="A858" s="30"/>
      <c r="B858" s="133"/>
      <c r="C858" s="101"/>
      <c r="D858" s="815"/>
      <c r="E858" s="41"/>
      <c r="G858" t="s">
        <v>247</v>
      </c>
    </row>
    <row r="859" spans="1:7" ht="15" hidden="1" customHeight="1" x14ac:dyDescent="0.35">
      <c r="A859" s="30"/>
      <c r="B859" s="19" t="s">
        <v>430</v>
      </c>
      <c r="C859" s="43"/>
      <c r="D859" s="814" t="s">
        <v>735</v>
      </c>
      <c r="E859" s="41"/>
      <c r="F859" s="400" t="str">
        <f>IF(LEN('Verification Report'!W860)=0,"",'Verification Report'!W860)</f>
        <v/>
      </c>
      <c r="G859" t="s">
        <v>247</v>
      </c>
    </row>
    <row r="860" spans="1:7" hidden="1" x14ac:dyDescent="0.35">
      <c r="A860" s="30"/>
      <c r="B860" s="19"/>
      <c r="C860" s="43"/>
      <c r="D860" s="814"/>
      <c r="E860" s="41"/>
      <c r="G860" t="s">
        <v>247</v>
      </c>
    </row>
    <row r="861" spans="1:7" hidden="1" x14ac:dyDescent="0.35">
      <c r="A861" s="30"/>
      <c r="B861" s="4"/>
      <c r="C861" s="43"/>
      <c r="D861" s="814"/>
      <c r="E861" s="41"/>
      <c r="G861" t="s">
        <v>247</v>
      </c>
    </row>
    <row r="862" spans="1:7" ht="18.5" hidden="1" x14ac:dyDescent="0.45">
      <c r="A862" s="566" t="s">
        <v>4900</v>
      </c>
      <c r="B862" s="567"/>
      <c r="C862" s="568"/>
      <c r="D862" s="569"/>
      <c r="E862" s="572"/>
      <c r="G862" t="s">
        <v>247</v>
      </c>
    </row>
    <row r="863" spans="1:7" ht="15" hidden="1" customHeight="1" x14ac:dyDescent="0.35">
      <c r="A863" s="30">
        <v>613.1</v>
      </c>
      <c r="B863" s="4"/>
      <c r="C863" s="43"/>
      <c r="D863" s="838" t="s">
        <v>4213</v>
      </c>
      <c r="E863" s="41">
        <f ca="1">'Verification Report'!O864</f>
        <v>0</v>
      </c>
      <c r="F863" s="400" t="str">
        <f>IF(LEN('Verification Report'!W864)=0,"",'Verification Report'!W864)</f>
        <v/>
      </c>
      <c r="G863" t="s">
        <v>247</v>
      </c>
    </row>
    <row r="864" spans="1:7" hidden="1" x14ac:dyDescent="0.35">
      <c r="A864" s="30"/>
      <c r="B864" s="4"/>
      <c r="C864" s="43"/>
      <c r="D864" s="838"/>
      <c r="E864" s="41"/>
      <c r="G864" t="s">
        <v>247</v>
      </c>
    </row>
    <row r="865" spans="1:7" hidden="1" x14ac:dyDescent="0.35">
      <c r="A865" s="30"/>
      <c r="B865" s="4"/>
      <c r="C865" s="43"/>
      <c r="D865" s="838"/>
      <c r="E865" s="41"/>
      <c r="G865" t="s">
        <v>247</v>
      </c>
    </row>
    <row r="866" spans="1:7" hidden="1" x14ac:dyDescent="0.35">
      <c r="A866" s="30"/>
      <c r="B866" s="4"/>
      <c r="C866" s="43"/>
      <c r="D866" s="838"/>
      <c r="E866" s="41"/>
      <c r="G866" t="s">
        <v>247</v>
      </c>
    </row>
    <row r="867" spans="1:7" hidden="1" x14ac:dyDescent="0.35">
      <c r="A867" s="30"/>
      <c r="B867" s="4"/>
      <c r="C867" s="43"/>
      <c r="D867" s="838"/>
      <c r="E867" s="41"/>
      <c r="G867" t="s">
        <v>247</v>
      </c>
    </row>
    <row r="868" spans="1:7" ht="15" hidden="1" customHeight="1" x14ac:dyDescent="0.35">
      <c r="A868" s="402"/>
      <c r="B868" s="467"/>
      <c r="C868" s="47" t="s">
        <v>121</v>
      </c>
      <c r="D868" s="881" t="s">
        <v>4214</v>
      </c>
      <c r="E868" s="41"/>
      <c r="G868" t="s">
        <v>247</v>
      </c>
    </row>
    <row r="869" spans="1:7" hidden="1" x14ac:dyDescent="0.35">
      <c r="A869" s="412"/>
      <c r="B869" s="467"/>
      <c r="C869" s="104"/>
      <c r="D869" s="882"/>
      <c r="E869" s="41"/>
      <c r="G869" t="s">
        <v>247</v>
      </c>
    </row>
    <row r="870" spans="1:7" ht="15" hidden="1" customHeight="1" x14ac:dyDescent="0.35">
      <c r="A870" s="402"/>
      <c r="B870" s="467"/>
      <c r="C870" s="468" t="s">
        <v>122</v>
      </c>
      <c r="D870" s="883" t="s">
        <v>4208</v>
      </c>
      <c r="E870" s="41"/>
      <c r="G870" t="s">
        <v>247</v>
      </c>
    </row>
    <row r="871" spans="1:7" hidden="1" x14ac:dyDescent="0.35">
      <c r="A871" s="412"/>
      <c r="B871" s="467"/>
      <c r="D871" s="881"/>
      <c r="E871" s="41"/>
      <c r="G871" t="s">
        <v>247</v>
      </c>
    </row>
    <row r="872" spans="1:7" hidden="1" x14ac:dyDescent="0.35">
      <c r="A872" s="412"/>
      <c r="B872" s="467"/>
      <c r="D872" s="881"/>
      <c r="E872" s="41"/>
      <c r="G872" t="s">
        <v>247</v>
      </c>
    </row>
    <row r="873" spans="1:7" hidden="1" x14ac:dyDescent="0.35">
      <c r="A873" s="412"/>
      <c r="B873" s="467"/>
      <c r="C873" s="104"/>
      <c r="D873" s="882"/>
      <c r="E873" s="41"/>
      <c r="G873" t="s">
        <v>247</v>
      </c>
    </row>
    <row r="874" spans="1:7" hidden="1" x14ac:dyDescent="0.35">
      <c r="A874" s="402"/>
      <c r="B874" s="467"/>
      <c r="C874" s="135" t="s">
        <v>123</v>
      </c>
      <c r="D874" s="479" t="s">
        <v>4209</v>
      </c>
      <c r="E874" s="41"/>
      <c r="G874" t="s">
        <v>247</v>
      </c>
    </row>
    <row r="875" spans="1:7" hidden="1" x14ac:dyDescent="0.35">
      <c r="A875" s="402"/>
      <c r="B875" s="467"/>
      <c r="C875" s="140" t="s">
        <v>401</v>
      </c>
      <c r="D875" s="479" t="s">
        <v>4210</v>
      </c>
      <c r="E875" s="41"/>
      <c r="G875" t="s">
        <v>247</v>
      </c>
    </row>
    <row r="876" spans="1:7" hidden="1" x14ac:dyDescent="0.35">
      <c r="A876" s="402"/>
      <c r="B876" s="467"/>
      <c r="C876" s="141" t="s">
        <v>539</v>
      </c>
      <c r="D876" s="479" t="s">
        <v>4211</v>
      </c>
      <c r="E876" s="41"/>
      <c r="G876" t="s">
        <v>247</v>
      </c>
    </row>
    <row r="877" spans="1:7" hidden="1" x14ac:dyDescent="0.35">
      <c r="A877" s="402"/>
      <c r="B877" s="467"/>
      <c r="C877" s="47" t="s">
        <v>604</v>
      </c>
      <c r="D877" s="480" t="s">
        <v>4212</v>
      </c>
      <c r="E877" s="41"/>
      <c r="G877" t="s">
        <v>247</v>
      </c>
    </row>
    <row r="878" spans="1:7" ht="18.5" hidden="1" x14ac:dyDescent="0.45">
      <c r="A878" s="14" t="s">
        <v>812</v>
      </c>
      <c r="B878" s="14"/>
      <c r="C878" s="14"/>
      <c r="D878" s="584"/>
      <c r="E878" s="16"/>
      <c r="G878" t="s">
        <v>247</v>
      </c>
    </row>
    <row r="879" spans="1:7" ht="15" hidden="1" customHeight="1" x14ac:dyDescent="0.35">
      <c r="A879" s="30">
        <v>701.1</v>
      </c>
      <c r="B879" s="152"/>
      <c r="C879" s="90"/>
      <c r="D879" s="838" t="s">
        <v>4851</v>
      </c>
      <c r="E879" s="41"/>
      <c r="G879" t="s">
        <v>247</v>
      </c>
    </row>
    <row r="880" spans="1:7" hidden="1" x14ac:dyDescent="0.35">
      <c r="A880" s="30"/>
      <c r="B880" s="152"/>
      <c r="C880" s="90"/>
      <c r="D880" s="838"/>
      <c r="E880" s="41"/>
      <c r="G880" t="s">
        <v>247</v>
      </c>
    </row>
    <row r="881" spans="1:7" hidden="1" x14ac:dyDescent="0.35">
      <c r="A881" s="30"/>
      <c r="B881" s="152"/>
      <c r="C881" s="90"/>
      <c r="D881" s="838"/>
      <c r="E881" s="41"/>
      <c r="F881" s="400" t="str">
        <f>IF(LEN('Verification Report'!W882)=0,"",'Verification Report'!W882)</f>
        <v/>
      </c>
      <c r="G881" t="s">
        <v>247</v>
      </c>
    </row>
    <row r="882" spans="1:7" hidden="1" x14ac:dyDescent="0.35">
      <c r="A882" s="30"/>
      <c r="B882" s="152"/>
      <c r="C882" s="90"/>
      <c r="D882" s="838"/>
      <c r="E882" s="41"/>
      <c r="G882" t="s">
        <v>247</v>
      </c>
    </row>
    <row r="883" spans="1:7" ht="15" hidden="1" customHeight="1" x14ac:dyDescent="0.35">
      <c r="A883" s="30"/>
      <c r="B883" s="152"/>
      <c r="C883" s="90"/>
      <c r="D883" s="855" t="s">
        <v>5624</v>
      </c>
      <c r="E883" s="41"/>
      <c r="G883" t="s">
        <v>247</v>
      </c>
    </row>
    <row r="884" spans="1:7" hidden="1" x14ac:dyDescent="0.35">
      <c r="A884" s="30"/>
      <c r="B884" s="152"/>
      <c r="C884" s="90"/>
      <c r="D884" s="855"/>
      <c r="E884" s="41"/>
      <c r="G884" t="s">
        <v>247</v>
      </c>
    </row>
    <row r="885" spans="1:7" hidden="1" x14ac:dyDescent="0.35">
      <c r="A885" s="30"/>
      <c r="B885" s="152"/>
      <c r="C885" s="90"/>
      <c r="D885" s="855"/>
      <c r="E885" s="41"/>
      <c r="G885" t="s">
        <v>247</v>
      </c>
    </row>
    <row r="886" spans="1:7" ht="15" hidden="1" customHeight="1" x14ac:dyDescent="0.35">
      <c r="A886" s="117" t="s">
        <v>813</v>
      </c>
      <c r="B886" s="286"/>
      <c r="C886" s="286"/>
      <c r="D886" s="905" t="s">
        <v>5119</v>
      </c>
      <c r="E886" s="552"/>
      <c r="G886" t="s">
        <v>247</v>
      </c>
    </row>
    <row r="887" spans="1:7" hidden="1" x14ac:dyDescent="0.35">
      <c r="A887" s="30"/>
      <c r="B887" s="90"/>
      <c r="C887" s="90"/>
      <c r="D887" s="838"/>
      <c r="E887" s="41"/>
      <c r="G887" t="s">
        <v>247</v>
      </c>
    </row>
    <row r="888" spans="1:7" hidden="1" x14ac:dyDescent="0.35">
      <c r="A888" s="133"/>
      <c r="B888" s="228"/>
      <c r="C888" s="228"/>
      <c r="D888" s="889"/>
      <c r="E888" s="41"/>
      <c r="G888" t="s">
        <v>247</v>
      </c>
    </row>
    <row r="889" spans="1:7" ht="15" hidden="1" customHeight="1" x14ac:dyDescent="0.35">
      <c r="A889" s="117" t="s">
        <v>814</v>
      </c>
      <c r="B889" s="286"/>
      <c r="C889" s="286"/>
      <c r="D889" s="905" t="s">
        <v>5120</v>
      </c>
      <c r="E889" s="41"/>
      <c r="G889" t="s">
        <v>247</v>
      </c>
    </row>
    <row r="890" spans="1:7" hidden="1" x14ac:dyDescent="0.35">
      <c r="A890" s="4"/>
      <c r="B890" s="90"/>
      <c r="C890" s="90"/>
      <c r="D890" s="838"/>
      <c r="E890" s="41"/>
      <c r="G890" t="s">
        <v>247</v>
      </c>
    </row>
    <row r="891" spans="1:7" hidden="1" x14ac:dyDescent="0.35">
      <c r="A891" s="4"/>
      <c r="B891" s="90"/>
      <c r="C891" s="90"/>
      <c r="D891" s="838"/>
      <c r="E891" s="41"/>
      <c r="G891" t="s">
        <v>247</v>
      </c>
    </row>
    <row r="892" spans="1:7" hidden="1" x14ac:dyDescent="0.35">
      <c r="A892" s="133"/>
      <c r="B892" s="228"/>
      <c r="C892" s="228"/>
      <c r="D892" s="889"/>
      <c r="E892" s="41"/>
      <c r="G892" t="s">
        <v>247</v>
      </c>
    </row>
    <row r="893" spans="1:7" ht="15" hidden="1" customHeight="1" x14ac:dyDescent="0.35">
      <c r="A893" s="30" t="s">
        <v>815</v>
      </c>
      <c r="B893" s="90"/>
      <c r="C893" s="90"/>
      <c r="D893" s="838" t="s">
        <v>5121</v>
      </c>
      <c r="E893" s="41"/>
      <c r="G893" t="s">
        <v>247</v>
      </c>
    </row>
    <row r="894" spans="1:7" hidden="1" x14ac:dyDescent="0.35">
      <c r="A894" s="4"/>
      <c r="B894" s="90"/>
      <c r="C894" s="90"/>
      <c r="D894" s="838"/>
      <c r="E894" s="41"/>
      <c r="G894" t="s">
        <v>247</v>
      </c>
    </row>
    <row r="895" spans="1:7" hidden="1" x14ac:dyDescent="0.35">
      <c r="A895" s="133"/>
      <c r="B895" s="228"/>
      <c r="C895" s="228"/>
      <c r="D895" s="889"/>
      <c r="E895" s="546"/>
      <c r="G895" t="s">
        <v>247</v>
      </c>
    </row>
    <row r="896" spans="1:7" ht="15" hidden="1" customHeight="1" x14ac:dyDescent="0.35">
      <c r="A896" s="32" t="s">
        <v>816</v>
      </c>
      <c r="B896" s="90"/>
      <c r="C896" s="90"/>
      <c r="D896" s="838" t="s">
        <v>4888</v>
      </c>
      <c r="E896" s="41">
        <f ca="1">'Verification Report'!O897</f>
        <v>0</v>
      </c>
      <c r="G896" t="s">
        <v>247</v>
      </c>
    </row>
    <row r="897" spans="1:7" hidden="1" x14ac:dyDescent="0.35">
      <c r="A897" s="4"/>
      <c r="B897" s="90"/>
      <c r="C897" s="90"/>
      <c r="D897" s="838"/>
      <c r="E897" s="41"/>
      <c r="F897" s="400" t="str">
        <f>IF(LEN('Verification Report'!W898)=0,"",'Verification Report'!W898)</f>
        <v/>
      </c>
      <c r="G897" t="s">
        <v>247</v>
      </c>
    </row>
    <row r="898" spans="1:7" hidden="1" x14ac:dyDescent="0.35">
      <c r="A898" s="4"/>
      <c r="B898" s="90"/>
      <c r="C898" s="90"/>
      <c r="D898" s="838"/>
      <c r="E898" s="41"/>
      <c r="G898" t="s">
        <v>247</v>
      </c>
    </row>
    <row r="899" spans="1:7" hidden="1" x14ac:dyDescent="0.35">
      <c r="A899" s="4"/>
      <c r="B899" s="90"/>
      <c r="C899" s="90"/>
      <c r="D899" s="838"/>
      <c r="E899" s="41"/>
      <c r="G899" t="s">
        <v>247</v>
      </c>
    </row>
    <row r="900" spans="1:7" hidden="1" x14ac:dyDescent="0.35">
      <c r="A900" s="4"/>
      <c r="B900" s="90"/>
      <c r="C900" s="90"/>
      <c r="D900" s="838"/>
      <c r="E900" s="41"/>
      <c r="G900" t="s">
        <v>247</v>
      </c>
    </row>
    <row r="901" spans="1:7" hidden="1" x14ac:dyDescent="0.35">
      <c r="A901" s="4"/>
      <c r="B901" s="90"/>
      <c r="C901" s="90"/>
      <c r="D901" s="838"/>
      <c r="E901" s="41"/>
      <c r="G901" t="s">
        <v>247</v>
      </c>
    </row>
    <row r="902" spans="1:7" hidden="1" x14ac:dyDescent="0.35">
      <c r="A902" s="4"/>
      <c r="B902" s="90"/>
      <c r="C902" s="90"/>
      <c r="D902" s="838"/>
      <c r="E902" s="41"/>
      <c r="G902" t="s">
        <v>247</v>
      </c>
    </row>
    <row r="903" spans="1:7" hidden="1" x14ac:dyDescent="0.35">
      <c r="A903" s="4"/>
      <c r="B903" s="90"/>
      <c r="C903" s="90"/>
      <c r="D903" s="838"/>
      <c r="E903" s="41"/>
      <c r="G903" t="s">
        <v>247</v>
      </c>
    </row>
    <row r="904" spans="1:7" hidden="1" x14ac:dyDescent="0.35">
      <c r="A904" s="4"/>
      <c r="B904" s="90"/>
      <c r="C904" s="90"/>
      <c r="D904" s="838"/>
      <c r="E904" s="41"/>
      <c r="G904" t="s">
        <v>247</v>
      </c>
    </row>
    <row r="905" spans="1:7" ht="15" hidden="1" thickBot="1" x14ac:dyDescent="0.4">
      <c r="A905" s="55"/>
      <c r="B905" s="55"/>
      <c r="C905" s="55"/>
      <c r="D905" s="663" t="s">
        <v>5673</v>
      </c>
      <c r="E905" s="41"/>
      <c r="G905" t="s">
        <v>247</v>
      </c>
    </row>
    <row r="906" spans="1:7" ht="15.75" hidden="1" customHeight="1" thickTop="1" x14ac:dyDescent="0.35">
      <c r="A906" s="47" t="s">
        <v>4225</v>
      </c>
      <c r="B906" s="467"/>
      <c r="C906" s="467"/>
      <c r="D906" s="884" t="s">
        <v>4226</v>
      </c>
      <c r="E906" s="545"/>
      <c r="G906" t="s">
        <v>247</v>
      </c>
    </row>
    <row r="907" spans="1:7" hidden="1" x14ac:dyDescent="0.35">
      <c r="A907" s="50"/>
      <c r="B907" s="467"/>
      <c r="C907" s="467"/>
      <c r="D907" s="884"/>
      <c r="E907" s="41"/>
      <c r="G907" t="s">
        <v>247</v>
      </c>
    </row>
    <row r="908" spans="1:7" hidden="1" x14ac:dyDescent="0.35">
      <c r="A908" s="50"/>
      <c r="B908" s="467"/>
      <c r="C908" s="467"/>
      <c r="D908" s="881"/>
      <c r="E908" s="41"/>
      <c r="G908" t="s">
        <v>247</v>
      </c>
    </row>
    <row r="909" spans="1:7" hidden="1" x14ac:dyDescent="0.35">
      <c r="A909" s="50"/>
      <c r="B909" s="467"/>
      <c r="C909" s="467"/>
      <c r="D909" s="664" t="s">
        <v>5673</v>
      </c>
      <c r="E909" s="41"/>
      <c r="G909" t="s">
        <v>247</v>
      </c>
    </row>
    <row r="910" spans="1:7" hidden="1" x14ac:dyDescent="0.35">
      <c r="A910" s="50"/>
      <c r="B910" s="416" t="s">
        <v>256</v>
      </c>
      <c r="C910" s="482"/>
      <c r="D910" s="477" t="s">
        <v>4227</v>
      </c>
      <c r="E910" s="546"/>
      <c r="F910" s="400" t="str">
        <f>IF(LEN('Verification Report'!W911)=0,"",'Verification Report'!W911)</f>
        <v/>
      </c>
      <c r="G910" t="s">
        <v>247</v>
      </c>
    </row>
    <row r="911" spans="1:7" ht="15" hidden="1" customHeight="1" x14ac:dyDescent="0.35">
      <c r="A911" s="50"/>
      <c r="B911" s="424" t="s">
        <v>258</v>
      </c>
      <c r="C911" s="527"/>
      <c r="D911" s="828" t="s">
        <v>4228</v>
      </c>
      <c r="E911" s="552"/>
      <c r="F911" s="400" t="str">
        <f>IF(LEN('Verification Report'!W912)=0,"",'Verification Report'!W912)</f>
        <v/>
      </c>
      <c r="G911" t="s">
        <v>247</v>
      </c>
    </row>
    <row r="912" spans="1:7" hidden="1" x14ac:dyDescent="0.35">
      <c r="A912" s="50"/>
      <c r="B912" s="416"/>
      <c r="C912" s="482"/>
      <c r="D912" s="842"/>
      <c r="E912" s="546"/>
      <c r="G912" t="s">
        <v>247</v>
      </c>
    </row>
    <row r="913" spans="1:7" hidden="1" x14ac:dyDescent="0.35">
      <c r="A913" s="50"/>
      <c r="B913" s="422" t="s">
        <v>260</v>
      </c>
      <c r="C913" s="528"/>
      <c r="D913" s="478" t="s">
        <v>4229</v>
      </c>
      <c r="E913" s="547"/>
      <c r="F913" s="400" t="str">
        <f>IF(LEN('Verification Report'!W914)=0,"",'Verification Report'!W914)</f>
        <v/>
      </c>
      <c r="G913" t="s">
        <v>247</v>
      </c>
    </row>
    <row r="914" spans="1:7" ht="15" hidden="1" customHeight="1" x14ac:dyDescent="0.35">
      <c r="A914" s="50"/>
      <c r="B914" s="424" t="s">
        <v>269</v>
      </c>
      <c r="C914" s="527"/>
      <c r="D914" s="828" t="s">
        <v>4230</v>
      </c>
      <c r="E914" s="41"/>
      <c r="F914" s="400" t="str">
        <f>IF(LEN('Verification Report'!W915)=0,"",'Verification Report'!W915)</f>
        <v/>
      </c>
      <c r="G914" t="s">
        <v>247</v>
      </c>
    </row>
    <row r="915" spans="1:7" hidden="1" x14ac:dyDescent="0.35">
      <c r="A915" s="50"/>
      <c r="B915" s="416"/>
      <c r="C915" s="482"/>
      <c r="D915" s="842"/>
      <c r="E915" s="546"/>
      <c r="G915" t="s">
        <v>247</v>
      </c>
    </row>
    <row r="916" spans="1:7" ht="15" hidden="1" customHeight="1" x14ac:dyDescent="0.35">
      <c r="A916" s="50"/>
      <c r="B916" s="424" t="s">
        <v>275</v>
      </c>
      <c r="C916" s="527"/>
      <c r="D916" s="828" t="s">
        <v>4231</v>
      </c>
      <c r="E916" s="41"/>
      <c r="F916" s="400" t="str">
        <f>IF(LEN('Verification Report'!W917)=0,"",'Verification Report'!W917)</f>
        <v/>
      </c>
      <c r="G916" t="s">
        <v>247</v>
      </c>
    </row>
    <row r="917" spans="1:7" hidden="1" x14ac:dyDescent="0.35">
      <c r="A917" s="50"/>
      <c r="B917" s="416"/>
      <c r="C917" s="482"/>
      <c r="D917" s="842"/>
      <c r="E917" s="41"/>
      <c r="G917" t="s">
        <v>247</v>
      </c>
    </row>
    <row r="918" spans="1:7" hidden="1" x14ac:dyDescent="0.35">
      <c r="A918" s="50"/>
      <c r="B918" s="402" t="s">
        <v>277</v>
      </c>
      <c r="C918" s="481"/>
      <c r="D918" s="470" t="s">
        <v>4232</v>
      </c>
      <c r="E918" s="41"/>
      <c r="G918" t="s">
        <v>247</v>
      </c>
    </row>
    <row r="919" spans="1:7" hidden="1" x14ac:dyDescent="0.35">
      <c r="A919" s="50"/>
      <c r="B919" s="402"/>
      <c r="C919" s="482" t="s">
        <v>121</v>
      </c>
      <c r="D919" s="477" t="s">
        <v>4233</v>
      </c>
      <c r="E919" s="546"/>
      <c r="F919" s="400" t="str">
        <f>IF(LEN('Verification Report'!W920)=0,"",'Verification Report'!W920)</f>
        <v/>
      </c>
      <c r="G919" t="s">
        <v>247</v>
      </c>
    </row>
    <row r="920" spans="1:7" hidden="1" x14ac:dyDescent="0.35">
      <c r="A920" s="50"/>
      <c r="B920" s="402"/>
      <c r="C920" s="528" t="s">
        <v>122</v>
      </c>
      <c r="D920" s="478" t="s">
        <v>4234</v>
      </c>
      <c r="E920" s="547"/>
      <c r="F920" s="400" t="str">
        <f>IF(LEN('Verification Report'!W921)=0,"",'Verification Report'!W921)</f>
        <v/>
      </c>
      <c r="G920" t="s">
        <v>247</v>
      </c>
    </row>
    <row r="921" spans="1:7" hidden="1" x14ac:dyDescent="0.35">
      <c r="A921" s="50"/>
      <c r="B921" s="416"/>
      <c r="C921" s="482" t="s">
        <v>123</v>
      </c>
      <c r="D921" s="477" t="s">
        <v>4235</v>
      </c>
      <c r="E921" s="41"/>
      <c r="F921" s="400" t="str">
        <f>IF(LEN('Verification Report'!W922)=0,"",'Verification Report'!W922)</f>
        <v/>
      </c>
      <c r="G921" t="s">
        <v>247</v>
      </c>
    </row>
    <row r="922" spans="1:7" hidden="1" x14ac:dyDescent="0.35">
      <c r="A922" s="50"/>
      <c r="B922" s="402" t="s">
        <v>383</v>
      </c>
      <c r="C922" s="481"/>
      <c r="D922" s="470" t="s">
        <v>4236</v>
      </c>
      <c r="E922" s="41"/>
      <c r="G922" t="s">
        <v>247</v>
      </c>
    </row>
    <row r="923" spans="1:7" hidden="1" x14ac:dyDescent="0.35">
      <c r="A923" s="50"/>
      <c r="B923" s="402"/>
      <c r="C923" s="482" t="s">
        <v>121</v>
      </c>
      <c r="D923" s="477" t="s">
        <v>4237</v>
      </c>
      <c r="E923" s="546"/>
      <c r="F923" s="400" t="str">
        <f>IF(LEN('Verification Report'!W924)=0,"",'Verification Report'!W924)</f>
        <v/>
      </c>
      <c r="G923" t="s">
        <v>247</v>
      </c>
    </row>
    <row r="924" spans="1:7" hidden="1" x14ac:dyDescent="0.35">
      <c r="A924" s="50"/>
      <c r="B924" s="402"/>
      <c r="C924" s="528" t="s">
        <v>122</v>
      </c>
      <c r="D924" s="478" t="s">
        <v>4238</v>
      </c>
      <c r="E924" s="546"/>
      <c r="F924" s="400" t="str">
        <f>IF(LEN('Verification Report'!W925)=0,"",'Verification Report'!W925)</f>
        <v/>
      </c>
      <c r="G924" t="s">
        <v>247</v>
      </c>
    </row>
    <row r="925" spans="1:7" hidden="1" x14ac:dyDescent="0.35">
      <c r="A925" s="50"/>
      <c r="B925" s="416"/>
      <c r="C925" s="482" t="s">
        <v>123</v>
      </c>
      <c r="D925" s="477" t="s">
        <v>4239</v>
      </c>
      <c r="E925" s="546"/>
      <c r="F925" s="400" t="str">
        <f>IF(LEN('Verification Report'!W926)=0,"",'Verification Report'!W926)</f>
        <v/>
      </c>
      <c r="G925" t="s">
        <v>247</v>
      </c>
    </row>
    <row r="926" spans="1:7" ht="15" hidden="1" customHeight="1" x14ac:dyDescent="0.35">
      <c r="A926" s="50"/>
      <c r="B926" s="424" t="s">
        <v>428</v>
      </c>
      <c r="C926" s="527"/>
      <c r="D926" s="828" t="s">
        <v>4240</v>
      </c>
      <c r="E926" s="41"/>
      <c r="F926" s="400" t="str">
        <f>IF(LEN('Verification Report'!W927)=0,"",'Verification Report'!W927)</f>
        <v/>
      </c>
      <c r="G926" t="s">
        <v>247</v>
      </c>
    </row>
    <row r="927" spans="1:7" hidden="1" x14ac:dyDescent="0.35">
      <c r="A927" s="50"/>
      <c r="B927" s="416"/>
      <c r="C927" s="482"/>
      <c r="D927" s="842"/>
      <c r="E927" s="546"/>
      <c r="G927" t="s">
        <v>247</v>
      </c>
    </row>
    <row r="928" spans="1:7" ht="15" hidden="1" customHeight="1" x14ac:dyDescent="0.35">
      <c r="A928" s="50"/>
      <c r="B928" s="402" t="s">
        <v>430</v>
      </c>
      <c r="C928" s="481"/>
      <c r="D928" s="825" t="s">
        <v>4241</v>
      </c>
      <c r="E928" s="41"/>
      <c r="F928" s="400" t="str">
        <f>IF(LEN('Verification Report'!W929)=0,"",'Verification Report'!W929)</f>
        <v/>
      </c>
      <c r="G928" t="s">
        <v>247</v>
      </c>
    </row>
    <row r="929" spans="1:7" ht="15" hidden="1" thickBot="1" x14ac:dyDescent="0.4">
      <c r="A929" s="50"/>
      <c r="B929" s="467"/>
      <c r="C929" s="467"/>
      <c r="D929" s="826"/>
      <c r="E929" s="41"/>
      <c r="G929" t="s">
        <v>247</v>
      </c>
    </row>
    <row r="930" spans="1:7" ht="15.75" hidden="1" customHeight="1" thickTop="1" x14ac:dyDescent="0.35">
      <c r="A930" s="106">
        <v>701.2</v>
      </c>
      <c r="B930" s="316"/>
      <c r="C930" s="316"/>
      <c r="D930" s="837" t="s">
        <v>4852</v>
      </c>
      <c r="E930" s="545"/>
      <c r="G930" t="s">
        <v>247</v>
      </c>
    </row>
    <row r="931" spans="1:7" ht="15" hidden="1" thickBot="1" x14ac:dyDescent="0.4">
      <c r="A931" s="160"/>
      <c r="B931" s="229"/>
      <c r="C931" s="229"/>
      <c r="D931" s="849"/>
      <c r="E931" s="72"/>
      <c r="G931" t="s">
        <v>247</v>
      </c>
    </row>
    <row r="932" spans="1:7" ht="15.75" hidden="1" customHeight="1" thickTop="1" x14ac:dyDescent="0.35">
      <c r="A932" s="106">
        <v>701.3</v>
      </c>
      <c r="B932" s="316"/>
      <c r="C932" s="316"/>
      <c r="D932" s="837" t="s">
        <v>817</v>
      </c>
      <c r="E932" s="545"/>
      <c r="F932" s="400" t="str">
        <f>IF(LEN('Verification Report'!W933)=0,"",'Verification Report'!W933)</f>
        <v/>
      </c>
      <c r="G932" t="s">
        <v>247</v>
      </c>
    </row>
    <row r="933" spans="1:7" hidden="1" x14ac:dyDescent="0.35">
      <c r="A933" s="4"/>
      <c r="B933" s="90"/>
      <c r="C933" s="90"/>
      <c r="D933" s="838"/>
      <c r="E933" s="41"/>
      <c r="G933" t="s">
        <v>247</v>
      </c>
    </row>
    <row r="934" spans="1:7" ht="15" hidden="1" thickBot="1" x14ac:dyDescent="0.4">
      <c r="A934" s="160"/>
      <c r="B934" s="229"/>
      <c r="C934" s="229"/>
      <c r="D934" s="180" t="s">
        <v>3382</v>
      </c>
      <c r="E934" s="72"/>
      <c r="G934" t="s">
        <v>247</v>
      </c>
    </row>
    <row r="935" spans="1:7" ht="15" hidden="1" thickTop="1" x14ac:dyDescent="0.35">
      <c r="A935" s="106">
        <v>701.4</v>
      </c>
      <c r="B935" s="316"/>
      <c r="C935" s="316"/>
      <c r="D935" s="274" t="s">
        <v>818</v>
      </c>
      <c r="E935" s="545"/>
      <c r="G935" t="s">
        <v>247</v>
      </c>
    </row>
    <row r="936" spans="1:7" hidden="1" x14ac:dyDescent="0.35">
      <c r="A936" s="138" t="s">
        <v>819</v>
      </c>
      <c r="B936" s="228"/>
      <c r="C936" s="228"/>
      <c r="D936" s="329" t="s">
        <v>820</v>
      </c>
      <c r="E936" s="546"/>
      <c r="G936" t="s">
        <v>247</v>
      </c>
    </row>
    <row r="937" spans="1:7" ht="15" hidden="1" customHeight="1" x14ac:dyDescent="0.35">
      <c r="A937" s="117" t="s">
        <v>821</v>
      </c>
      <c r="B937" s="286"/>
      <c r="C937" s="286"/>
      <c r="D937" s="905" t="s">
        <v>822</v>
      </c>
      <c r="E937" s="552"/>
      <c r="F937" s="400" t="str">
        <f>IF(LEN('Verification Report'!W938)=0,"",'Verification Report'!W938)</f>
        <v/>
      </c>
      <c r="G937" t="s">
        <v>247</v>
      </c>
    </row>
    <row r="938" spans="1:7" hidden="1" x14ac:dyDescent="0.35">
      <c r="A938" s="4"/>
      <c r="B938" s="90"/>
      <c r="C938" s="90"/>
      <c r="D938" s="838"/>
      <c r="E938" s="41"/>
      <c r="G938" t="s">
        <v>247</v>
      </c>
    </row>
    <row r="939" spans="1:7" hidden="1" x14ac:dyDescent="0.35">
      <c r="A939" s="133"/>
      <c r="B939" s="228"/>
      <c r="C939" s="228"/>
      <c r="D939" s="889"/>
      <c r="E939" s="546"/>
      <c r="G939" t="s">
        <v>247</v>
      </c>
    </row>
    <row r="940" spans="1:7" ht="15" hidden="1" customHeight="1" x14ac:dyDescent="0.35">
      <c r="A940" s="330" t="s">
        <v>823</v>
      </c>
      <c r="B940" s="286"/>
      <c r="C940" s="286"/>
      <c r="D940" s="905" t="s">
        <v>824</v>
      </c>
      <c r="E940" s="552"/>
      <c r="F940" s="400" t="str">
        <f>IF(LEN('Verification Report'!W941)=0,"",'Verification Report'!W941)</f>
        <v/>
      </c>
      <c r="G940" t="s">
        <v>247</v>
      </c>
    </row>
    <row r="941" spans="1:7" hidden="1" x14ac:dyDescent="0.35">
      <c r="A941" s="4"/>
      <c r="B941" s="90"/>
      <c r="C941" s="90"/>
      <c r="D941" s="838"/>
      <c r="E941" s="41"/>
      <c r="G941" t="s">
        <v>247</v>
      </c>
    </row>
    <row r="942" spans="1:7" hidden="1" x14ac:dyDescent="0.35">
      <c r="A942" s="4"/>
      <c r="B942" s="90"/>
      <c r="C942" s="90"/>
      <c r="D942" s="838"/>
      <c r="E942" s="41"/>
      <c r="G942" t="s">
        <v>247</v>
      </c>
    </row>
    <row r="943" spans="1:7" hidden="1" x14ac:dyDescent="0.35">
      <c r="A943" s="4"/>
      <c r="B943" s="90"/>
      <c r="C943" s="90"/>
      <c r="D943" s="838"/>
      <c r="E943" s="41"/>
      <c r="G943" t="s">
        <v>247</v>
      </c>
    </row>
    <row r="944" spans="1:7" hidden="1" x14ac:dyDescent="0.35">
      <c r="A944" s="133"/>
      <c r="B944" s="228"/>
      <c r="C944" s="228"/>
      <c r="D944" s="889"/>
      <c r="E944" s="546"/>
      <c r="G944" t="s">
        <v>247</v>
      </c>
    </row>
    <row r="945" spans="1:7" hidden="1" x14ac:dyDescent="0.35">
      <c r="A945" s="330" t="s">
        <v>825</v>
      </c>
      <c r="B945" s="286"/>
      <c r="C945" s="286"/>
      <c r="D945" s="325" t="s">
        <v>826</v>
      </c>
      <c r="E945" s="552"/>
      <c r="G945" t="s">
        <v>247</v>
      </c>
    </row>
    <row r="946" spans="1:7" ht="15" hidden="1" customHeight="1" x14ac:dyDescent="0.35">
      <c r="A946" s="32" t="s">
        <v>3808</v>
      </c>
      <c r="B946" s="90"/>
      <c r="C946" s="90"/>
      <c r="D946" s="838" t="s">
        <v>827</v>
      </c>
      <c r="E946" s="41"/>
      <c r="F946" s="400" t="str">
        <f>IF(LEN('Verification Report'!W947)=0,"",'Verification Report'!W947)</f>
        <v/>
      </c>
      <c r="G946" t="s">
        <v>247</v>
      </c>
    </row>
    <row r="947" spans="1:7" hidden="1" x14ac:dyDescent="0.35">
      <c r="A947" s="32"/>
      <c r="B947" s="90"/>
      <c r="C947" s="90"/>
      <c r="D947" s="838"/>
      <c r="E947" s="41"/>
      <c r="G947" t="s">
        <v>247</v>
      </c>
    </row>
    <row r="948" spans="1:7" hidden="1" x14ac:dyDescent="0.35">
      <c r="A948" s="331"/>
      <c r="B948" s="228"/>
      <c r="C948" s="228"/>
      <c r="D948" s="889"/>
      <c r="E948" s="546"/>
      <c r="G948" t="s">
        <v>247</v>
      </c>
    </row>
    <row r="949" spans="1:7" ht="15" hidden="1" customHeight="1" x14ac:dyDescent="0.35">
      <c r="A949" s="332" t="s">
        <v>828</v>
      </c>
      <c r="B949" s="178"/>
      <c r="C949" s="178"/>
      <c r="D949" s="333" t="s">
        <v>829</v>
      </c>
      <c r="E949" s="547"/>
      <c r="F949" s="400" t="str">
        <f>IF(LEN('Verification Report'!W950)=0,"",'Verification Report'!W950)</f>
        <v/>
      </c>
      <c r="G949" t="s">
        <v>247</v>
      </c>
    </row>
    <row r="950" spans="1:7" ht="15" hidden="1" customHeight="1" x14ac:dyDescent="0.35">
      <c r="A950" s="330" t="s">
        <v>830</v>
      </c>
      <c r="B950" s="286"/>
      <c r="C950" s="286"/>
      <c r="D950" s="905" t="s">
        <v>831</v>
      </c>
      <c r="E950" s="552"/>
      <c r="F950" s="400" t="str">
        <f>IF(LEN('Verification Report'!W951)=0,"",'Verification Report'!W951)</f>
        <v/>
      </c>
      <c r="G950" t="s">
        <v>247</v>
      </c>
    </row>
    <row r="951" spans="1:7" hidden="1" x14ac:dyDescent="0.35">
      <c r="A951" s="331"/>
      <c r="B951" s="228"/>
      <c r="C951" s="228"/>
      <c r="D951" s="889"/>
      <c r="E951" s="546"/>
      <c r="G951" t="s">
        <v>247</v>
      </c>
    </row>
    <row r="952" spans="1:7" hidden="1" x14ac:dyDescent="0.35">
      <c r="A952" s="330" t="s">
        <v>832</v>
      </c>
      <c r="B952" s="286"/>
      <c r="C952" s="286"/>
      <c r="D952" s="325" t="s">
        <v>833</v>
      </c>
      <c r="E952" s="552"/>
      <c r="G952" t="s">
        <v>247</v>
      </c>
    </row>
    <row r="953" spans="1:7" ht="15" hidden="1" customHeight="1" x14ac:dyDescent="0.35">
      <c r="A953" s="32" t="s">
        <v>834</v>
      </c>
      <c r="B953" s="90"/>
      <c r="C953" s="90"/>
      <c r="D953" s="838" t="s">
        <v>835</v>
      </c>
      <c r="E953" s="41"/>
      <c r="G953" t="s">
        <v>247</v>
      </c>
    </row>
    <row r="954" spans="1:7" hidden="1" x14ac:dyDescent="0.35">
      <c r="A954" s="4"/>
      <c r="B954" s="90"/>
      <c r="C954" s="90"/>
      <c r="D954" s="838"/>
      <c r="E954" s="41"/>
      <c r="F954" s="400" t="str">
        <f>IF(LEN('Verification Report'!W955)=0,"",'Verification Report'!W955)</f>
        <v/>
      </c>
      <c r="G954" t="s">
        <v>247</v>
      </c>
    </row>
    <row r="955" spans="1:7" hidden="1" x14ac:dyDescent="0.35">
      <c r="A955" s="4"/>
      <c r="B955" s="90"/>
      <c r="C955" s="90"/>
      <c r="D955" s="838"/>
      <c r="E955" s="41"/>
      <c r="G955" t="s">
        <v>247</v>
      </c>
    </row>
    <row r="956" spans="1:7" hidden="1" x14ac:dyDescent="0.35">
      <c r="A956" s="4"/>
      <c r="B956" s="90"/>
      <c r="C956" s="90"/>
      <c r="D956" s="838"/>
      <c r="E956" s="41"/>
      <c r="G956" t="s">
        <v>247</v>
      </c>
    </row>
    <row r="957" spans="1:7" hidden="1" x14ac:dyDescent="0.35">
      <c r="A957" s="4"/>
      <c r="B957" s="90"/>
      <c r="C957" s="152" t="s">
        <v>121</v>
      </c>
      <c r="D957" s="90" t="s">
        <v>836</v>
      </c>
      <c r="E957" s="41"/>
      <c r="F957" s="400" t="str">
        <f>IF(LEN('Verification Report'!W958)=0,"",'Verification Report'!W958)</f>
        <v/>
      </c>
      <c r="G957" t="s">
        <v>247</v>
      </c>
    </row>
    <row r="958" spans="1:7" hidden="1" x14ac:dyDescent="0.35">
      <c r="A958" s="4"/>
      <c r="B958" s="90"/>
      <c r="C958" s="152" t="s">
        <v>122</v>
      </c>
      <c r="D958" s="90" t="s">
        <v>837</v>
      </c>
      <c r="E958" s="41"/>
      <c r="F958" s="400" t="str">
        <f>IF(LEN('Verification Report'!W959)=0,"",'Verification Report'!W959)</f>
        <v/>
      </c>
      <c r="G958" t="s">
        <v>247</v>
      </c>
    </row>
    <row r="959" spans="1:7" ht="15" hidden="1" customHeight="1" x14ac:dyDescent="0.35">
      <c r="A959" s="4"/>
      <c r="B959" s="90"/>
      <c r="C959" s="153" t="s">
        <v>123</v>
      </c>
      <c r="D959" s="90" t="s">
        <v>838</v>
      </c>
      <c r="E959" s="41"/>
      <c r="F959" s="400" t="str">
        <f>IF(LEN('Verification Report'!W960)=0,"",'Verification Report'!W960)</f>
        <v/>
      </c>
      <c r="G959" t="s">
        <v>247</v>
      </c>
    </row>
    <row r="960" spans="1:7" hidden="1" x14ac:dyDescent="0.35">
      <c r="A960" s="4"/>
      <c r="B960" s="90"/>
      <c r="C960" s="95" t="s">
        <v>401</v>
      </c>
      <c r="D960" s="90" t="s">
        <v>839</v>
      </c>
      <c r="E960" s="41"/>
      <c r="F960" s="400" t="str">
        <f>IF(LEN('Verification Report'!W961)=0,"",'Verification Report'!W961)</f>
        <v/>
      </c>
      <c r="G960" t="s">
        <v>247</v>
      </c>
    </row>
    <row r="961" spans="1:7" hidden="1" x14ac:dyDescent="0.35">
      <c r="A961" s="4"/>
      <c r="B961" s="90"/>
      <c r="C961" s="95" t="s">
        <v>539</v>
      </c>
      <c r="D961" s="90" t="s">
        <v>840</v>
      </c>
      <c r="E961" s="41"/>
      <c r="F961" s="400" t="str">
        <f>IF(LEN('Verification Report'!W962)=0,"",'Verification Report'!W962)</f>
        <v/>
      </c>
      <c r="G961" t="s">
        <v>247</v>
      </c>
    </row>
    <row r="962" spans="1:7" hidden="1" x14ac:dyDescent="0.35">
      <c r="A962" s="4"/>
      <c r="B962" s="90"/>
      <c r="C962" s="153" t="s">
        <v>604</v>
      </c>
      <c r="D962" s="90" t="s">
        <v>841</v>
      </c>
      <c r="E962" s="41"/>
      <c r="F962" s="400" t="str">
        <f>IF(LEN('Verification Report'!W963)=0,"",'Verification Report'!W963)</f>
        <v/>
      </c>
      <c r="G962" t="s">
        <v>247</v>
      </c>
    </row>
    <row r="963" spans="1:7" hidden="1" x14ac:dyDescent="0.35">
      <c r="A963" s="4"/>
      <c r="B963" s="90"/>
      <c r="C963" s="95" t="s">
        <v>606</v>
      </c>
      <c r="D963" s="577" t="s">
        <v>4244</v>
      </c>
      <c r="E963" s="41"/>
      <c r="F963" s="400" t="str">
        <f>IF(LEN('Verification Report'!W964)=0,"",'Verification Report'!W964)</f>
        <v/>
      </c>
      <c r="G963" t="s">
        <v>247</v>
      </c>
    </row>
    <row r="964" spans="1:7" hidden="1" x14ac:dyDescent="0.35">
      <c r="A964" s="4"/>
      <c r="B964" s="90"/>
      <c r="C964" s="95" t="s">
        <v>608</v>
      </c>
      <c r="D964" s="90" t="s">
        <v>842</v>
      </c>
      <c r="E964" s="41"/>
      <c r="F964" s="400" t="str">
        <f>IF(LEN('Verification Report'!W965)=0,"",'Verification Report'!W965)</f>
        <v/>
      </c>
      <c r="G964" t="s">
        <v>247</v>
      </c>
    </row>
    <row r="965" spans="1:7" hidden="1" x14ac:dyDescent="0.35">
      <c r="A965" s="4"/>
      <c r="B965" s="90"/>
      <c r="C965" s="95" t="s">
        <v>843</v>
      </c>
      <c r="D965" s="577" t="s">
        <v>4245</v>
      </c>
      <c r="E965" s="41"/>
      <c r="F965" s="400" t="str">
        <f>IF(LEN('Verification Report'!W966)=0,"",'Verification Report'!W966)</f>
        <v/>
      </c>
      <c r="G965" t="s">
        <v>247</v>
      </c>
    </row>
    <row r="966" spans="1:7" hidden="1" x14ac:dyDescent="0.35">
      <c r="A966" s="4"/>
      <c r="B966" s="90"/>
      <c r="C966" s="95" t="s">
        <v>844</v>
      </c>
      <c r="D966" s="90" t="s">
        <v>845</v>
      </c>
      <c r="E966" s="41"/>
      <c r="F966" s="400" t="str">
        <f>IF(LEN('Verification Report'!W967)=0,"",'Verification Report'!W967)</f>
        <v/>
      </c>
      <c r="G966" t="s">
        <v>247</v>
      </c>
    </row>
    <row r="967" spans="1:7" hidden="1" x14ac:dyDescent="0.35">
      <c r="A967" s="4"/>
      <c r="B967" s="90"/>
      <c r="C967" s="95" t="s">
        <v>846</v>
      </c>
      <c r="D967" s="577" t="s">
        <v>4246</v>
      </c>
      <c r="E967" s="41"/>
      <c r="F967" s="400" t="str">
        <f>IF(LEN('Verification Report'!W968)=0,"",'Verification Report'!W968)</f>
        <v/>
      </c>
      <c r="G967" t="s">
        <v>247</v>
      </c>
    </row>
    <row r="968" spans="1:7" hidden="1" x14ac:dyDescent="0.35">
      <c r="C968" s="95" t="s">
        <v>847</v>
      </c>
      <c r="D968" s="577" t="s">
        <v>4247</v>
      </c>
      <c r="E968" s="41"/>
      <c r="F968" s="400" t="str">
        <f>IF(LEN('Verification Report'!W969)=0,"",'Verification Report'!W969)</f>
        <v/>
      </c>
      <c r="G968" t="s">
        <v>247</v>
      </c>
    </row>
    <row r="969" spans="1:7" hidden="1" x14ac:dyDescent="0.35">
      <c r="A969" s="133"/>
      <c r="B969" s="228"/>
      <c r="C969" s="329" t="s">
        <v>3968</v>
      </c>
      <c r="D969" s="228" t="s">
        <v>848</v>
      </c>
      <c r="E969" s="546"/>
      <c r="F969" s="400" t="str">
        <f>IF(LEN('Verification Report'!W970)=0,"",'Verification Report'!W970)</f>
        <v/>
      </c>
      <c r="G969" t="s">
        <v>247</v>
      </c>
    </row>
    <row r="970" spans="1:7" ht="15" hidden="1" customHeight="1" x14ac:dyDescent="0.35">
      <c r="A970" s="32" t="s">
        <v>849</v>
      </c>
      <c r="B970" s="90"/>
      <c r="C970" s="90"/>
      <c r="D970" s="883" t="s">
        <v>4248</v>
      </c>
      <c r="E970" s="41"/>
      <c r="G970" t="s">
        <v>247</v>
      </c>
    </row>
    <row r="971" spans="1:7" hidden="1" x14ac:dyDescent="0.35">
      <c r="A971" s="32"/>
      <c r="B971" s="90"/>
      <c r="C971" s="90"/>
      <c r="D971" s="881"/>
      <c r="E971" s="41"/>
      <c r="G971" t="s">
        <v>247</v>
      </c>
    </row>
    <row r="972" spans="1:7" hidden="1" x14ac:dyDescent="0.35">
      <c r="A972" s="4"/>
      <c r="B972" s="90"/>
      <c r="C972" s="90"/>
      <c r="D972" s="881"/>
      <c r="E972" s="41"/>
      <c r="G972" t="s">
        <v>247</v>
      </c>
    </row>
    <row r="973" spans="1:7" hidden="1" x14ac:dyDescent="0.35">
      <c r="A973" s="4"/>
      <c r="B973" s="90"/>
      <c r="C973" s="90"/>
      <c r="D973" s="881"/>
      <c r="E973" s="41"/>
      <c r="G973" t="s">
        <v>247</v>
      </c>
    </row>
    <row r="974" spans="1:7" ht="15" hidden="1" customHeight="1" x14ac:dyDescent="0.35">
      <c r="A974" s="4"/>
      <c r="B974" s="152" t="s">
        <v>256</v>
      </c>
      <c r="C974" s="90"/>
      <c r="D974" s="838" t="s">
        <v>850</v>
      </c>
      <c r="E974" s="41"/>
      <c r="F974" s="400" t="str">
        <f>IF(LEN('Verification Report'!W975)=0,"",'Verification Report'!W975)</f>
        <v/>
      </c>
      <c r="G974" t="s">
        <v>247</v>
      </c>
    </row>
    <row r="975" spans="1:7" hidden="1" x14ac:dyDescent="0.35">
      <c r="A975" s="4"/>
      <c r="B975" s="90"/>
      <c r="C975" s="90"/>
      <c r="D975" s="838"/>
      <c r="E975" s="41"/>
      <c r="G975" t="s">
        <v>247</v>
      </c>
    </row>
    <row r="976" spans="1:7" hidden="1" x14ac:dyDescent="0.35">
      <c r="A976" s="4"/>
      <c r="B976" s="90"/>
      <c r="C976" s="90"/>
      <c r="D976" s="838"/>
      <c r="E976" s="41"/>
      <c r="G976" t="s">
        <v>247</v>
      </c>
    </row>
    <row r="977" spans="1:7" hidden="1" x14ac:dyDescent="0.35">
      <c r="A977" s="4"/>
      <c r="B977" s="90"/>
      <c r="C977" s="90"/>
      <c r="D977" s="838"/>
      <c r="E977" s="41"/>
      <c r="F977" s="400" t="str">
        <f>IF(LEN('Verification Report'!W978)=0,"",'Verification Report'!W978)</f>
        <v/>
      </c>
      <c r="G977" t="s">
        <v>247</v>
      </c>
    </row>
    <row r="978" spans="1:7" hidden="1" x14ac:dyDescent="0.35">
      <c r="A978" s="4"/>
      <c r="B978" s="90"/>
      <c r="C978" s="90"/>
      <c r="D978" s="838"/>
      <c r="E978" s="41"/>
      <c r="G978" t="s">
        <v>247</v>
      </c>
    </row>
    <row r="979" spans="1:7" hidden="1" x14ac:dyDescent="0.35">
      <c r="A979" s="4"/>
      <c r="B979" s="90"/>
      <c r="C979" s="152" t="s">
        <v>121</v>
      </c>
      <c r="D979" s="90" t="s">
        <v>851</v>
      </c>
      <c r="E979" s="41"/>
      <c r="G979" t="s">
        <v>247</v>
      </c>
    </row>
    <row r="980" spans="1:7" ht="15" hidden="1" customHeight="1" x14ac:dyDescent="0.35">
      <c r="A980" s="4"/>
      <c r="B980" s="90"/>
      <c r="C980" s="152" t="s">
        <v>122</v>
      </c>
      <c r="D980" s="814" t="s">
        <v>852</v>
      </c>
      <c r="E980" s="41"/>
      <c r="G980" t="s">
        <v>247</v>
      </c>
    </row>
    <row r="981" spans="1:7" hidden="1" x14ac:dyDescent="0.35">
      <c r="A981" s="4"/>
      <c r="B981" s="90"/>
      <c r="C981" s="152"/>
      <c r="D981" s="814"/>
      <c r="E981" s="41"/>
      <c r="G981" t="s">
        <v>247</v>
      </c>
    </row>
    <row r="982" spans="1:7" hidden="1" x14ac:dyDescent="0.35">
      <c r="A982" s="4"/>
      <c r="B982" s="90"/>
      <c r="C982" s="153" t="s">
        <v>123</v>
      </c>
      <c r="D982" s="90" t="s">
        <v>853</v>
      </c>
      <c r="E982" s="41"/>
      <c r="G982" t="s">
        <v>247</v>
      </c>
    </row>
    <row r="983" spans="1:7" ht="15" hidden="1" customHeight="1" x14ac:dyDescent="0.35">
      <c r="A983" s="4"/>
      <c r="B983" s="90"/>
      <c r="C983" s="95" t="s">
        <v>401</v>
      </c>
      <c r="D983" s="814" t="s">
        <v>854</v>
      </c>
      <c r="E983" s="41"/>
      <c r="G983" t="s">
        <v>247</v>
      </c>
    </row>
    <row r="984" spans="1:7" hidden="1" x14ac:dyDescent="0.35">
      <c r="A984" s="4"/>
      <c r="B984" s="90"/>
      <c r="C984" s="95"/>
      <c r="D984" s="814"/>
      <c r="E984" s="41"/>
      <c r="G984" t="s">
        <v>247</v>
      </c>
    </row>
    <row r="985" spans="1:7" hidden="1" x14ac:dyDescent="0.35">
      <c r="A985" s="4"/>
      <c r="B985" s="90"/>
      <c r="C985" s="95" t="s">
        <v>539</v>
      </c>
      <c r="D985" s="90" t="s">
        <v>855</v>
      </c>
      <c r="E985" s="41"/>
      <c r="G985" t="s">
        <v>247</v>
      </c>
    </row>
    <row r="986" spans="1:7" hidden="1" x14ac:dyDescent="0.35">
      <c r="A986" s="4"/>
      <c r="B986" s="90"/>
      <c r="C986" s="153" t="s">
        <v>604</v>
      </c>
      <c r="D986" s="90" t="s">
        <v>856</v>
      </c>
      <c r="E986" s="41"/>
      <c r="G986" t="s">
        <v>247</v>
      </c>
    </row>
    <row r="987" spans="1:7" hidden="1" x14ac:dyDescent="0.35">
      <c r="A987" s="4"/>
      <c r="B987" s="90"/>
      <c r="C987" s="95" t="s">
        <v>606</v>
      </c>
      <c r="D987" s="90" t="s">
        <v>857</v>
      </c>
      <c r="E987" s="41"/>
      <c r="G987" t="s">
        <v>247</v>
      </c>
    </row>
    <row r="988" spans="1:7" ht="15" hidden="1" customHeight="1" x14ac:dyDescent="0.35">
      <c r="A988" s="4"/>
      <c r="B988" s="90"/>
      <c r="C988" s="341"/>
      <c r="D988" s="855" t="s">
        <v>4249</v>
      </c>
      <c r="E988" s="41"/>
      <c r="G988" t="s">
        <v>247</v>
      </c>
    </row>
    <row r="989" spans="1:7" hidden="1" x14ac:dyDescent="0.35">
      <c r="A989" s="4"/>
      <c r="B989" s="228"/>
      <c r="C989" s="342"/>
      <c r="D989" s="903"/>
      <c r="E989" s="41"/>
      <c r="G989" t="s">
        <v>247</v>
      </c>
    </row>
    <row r="990" spans="1:7" ht="15" hidden="1" customHeight="1" x14ac:dyDescent="0.35">
      <c r="A990" s="4"/>
      <c r="B990" s="152" t="s">
        <v>258</v>
      </c>
      <c r="C990" s="90"/>
      <c r="D990" s="838" t="s">
        <v>858</v>
      </c>
      <c r="E990" s="41"/>
      <c r="F990" s="400" t="str">
        <f>IF(LEN('Verification Report'!W991)=0,"",'Verification Report'!W991)</f>
        <v/>
      </c>
      <c r="G990" t="s">
        <v>247</v>
      </c>
    </row>
    <row r="991" spans="1:7" hidden="1" x14ac:dyDescent="0.35">
      <c r="A991" s="4"/>
      <c r="B991" s="90"/>
      <c r="C991" s="90"/>
      <c r="D991" s="838"/>
      <c r="E991" s="41"/>
      <c r="G991" t="s">
        <v>247</v>
      </c>
    </row>
    <row r="992" spans="1:7" hidden="1" x14ac:dyDescent="0.35">
      <c r="A992" s="133"/>
      <c r="B992" s="228"/>
      <c r="C992" s="228"/>
      <c r="D992" s="323" t="s">
        <v>3414</v>
      </c>
      <c r="E992" s="546"/>
      <c r="G992" t="s">
        <v>247</v>
      </c>
    </row>
    <row r="993" spans="1:7" ht="15" hidden="1" customHeight="1" x14ac:dyDescent="0.35">
      <c r="A993" s="32" t="s">
        <v>859</v>
      </c>
      <c r="B993" s="90"/>
      <c r="C993" s="286"/>
      <c r="D993" s="883" t="s">
        <v>4250</v>
      </c>
      <c r="E993" s="41"/>
      <c r="F993" s="400" t="str">
        <f>IF(LEN('Verification Report'!W994)=0,"",'Verification Report'!W994)</f>
        <v/>
      </c>
      <c r="G993" t="s">
        <v>247</v>
      </c>
    </row>
    <row r="994" spans="1:7" hidden="1" x14ac:dyDescent="0.35">
      <c r="A994" s="4"/>
      <c r="D994" s="881"/>
      <c r="G994" t="s">
        <v>247</v>
      </c>
    </row>
    <row r="995" spans="1:7" hidden="1" x14ac:dyDescent="0.35">
      <c r="A995" s="4"/>
      <c r="D995" s="881"/>
      <c r="G995" t="s">
        <v>247</v>
      </c>
    </row>
    <row r="996" spans="1:7" hidden="1" x14ac:dyDescent="0.35">
      <c r="A996" s="4"/>
      <c r="B996" s="104"/>
      <c r="C996" s="104"/>
      <c r="D996" s="882"/>
      <c r="G996" t="s">
        <v>247</v>
      </c>
    </row>
    <row r="997" spans="1:7" hidden="1" x14ac:dyDescent="0.35">
      <c r="A997" s="4"/>
      <c r="B997" s="416" t="s">
        <v>256</v>
      </c>
      <c r="C997" s="228"/>
      <c r="D997" s="228" t="s">
        <v>860</v>
      </c>
      <c r="E997" s="41"/>
      <c r="G997" t="s">
        <v>247</v>
      </c>
    </row>
    <row r="998" spans="1:7" ht="15" hidden="1" customHeight="1" x14ac:dyDescent="0.35">
      <c r="A998" s="4"/>
      <c r="B998" s="402" t="s">
        <v>258</v>
      </c>
      <c r="C998" s="90"/>
      <c r="D998" s="814" t="s">
        <v>861</v>
      </c>
      <c r="E998" s="41"/>
      <c r="G998" t="s">
        <v>247</v>
      </c>
    </row>
    <row r="999" spans="1:7" hidden="1" x14ac:dyDescent="0.35">
      <c r="A999" s="4"/>
      <c r="B999" s="402"/>
      <c r="C999" s="90"/>
      <c r="D999" s="814"/>
      <c r="E999" s="41"/>
      <c r="G999" t="s">
        <v>247</v>
      </c>
    </row>
    <row r="1000" spans="1:7" hidden="1" x14ac:dyDescent="0.35">
      <c r="A1000" s="4"/>
      <c r="B1000" s="402"/>
      <c r="C1000" s="90"/>
      <c r="D1000" s="814"/>
      <c r="E1000" s="41"/>
      <c r="G1000" t="s">
        <v>247</v>
      </c>
    </row>
    <row r="1001" spans="1:7" hidden="1" x14ac:dyDescent="0.35">
      <c r="A1001" s="4"/>
      <c r="B1001" s="416"/>
      <c r="C1001" s="228"/>
      <c r="D1001" s="815"/>
      <c r="E1001" s="41"/>
      <c r="G1001" t="s">
        <v>247</v>
      </c>
    </row>
    <row r="1002" spans="1:7" ht="15" hidden="1" customHeight="1" x14ac:dyDescent="0.35">
      <c r="A1002" s="4"/>
      <c r="B1002" s="402" t="s">
        <v>260</v>
      </c>
      <c r="C1002" s="90"/>
      <c r="D1002" s="814" t="s">
        <v>862</v>
      </c>
      <c r="E1002" s="41"/>
      <c r="G1002" t="s">
        <v>247</v>
      </c>
    </row>
    <row r="1003" spans="1:7" hidden="1" x14ac:dyDescent="0.35">
      <c r="A1003" s="4"/>
      <c r="B1003" s="416"/>
      <c r="C1003" s="228"/>
      <c r="D1003" s="815"/>
      <c r="E1003" s="41"/>
      <c r="G1003" t="s">
        <v>247</v>
      </c>
    </row>
    <row r="1004" spans="1:7" ht="15" hidden="1" customHeight="1" x14ac:dyDescent="0.35">
      <c r="A1004" s="4"/>
      <c r="B1004" s="402" t="s">
        <v>269</v>
      </c>
      <c r="C1004" s="286"/>
      <c r="D1004" s="836" t="s">
        <v>863</v>
      </c>
      <c r="E1004" s="41"/>
      <c r="G1004" t="s">
        <v>247</v>
      </c>
    </row>
    <row r="1005" spans="1:7" hidden="1" x14ac:dyDescent="0.35">
      <c r="A1005" s="4"/>
      <c r="B1005" s="402"/>
      <c r="C1005" s="90"/>
      <c r="D1005" s="814"/>
      <c r="E1005" s="41"/>
      <c r="G1005" t="s">
        <v>247</v>
      </c>
    </row>
    <row r="1006" spans="1:7" hidden="1" x14ac:dyDescent="0.35">
      <c r="A1006" s="4"/>
      <c r="B1006" s="416"/>
      <c r="C1006" s="228"/>
      <c r="D1006" s="815"/>
      <c r="E1006" s="41"/>
      <c r="G1006" t="s">
        <v>247</v>
      </c>
    </row>
    <row r="1007" spans="1:7" ht="15" hidden="1" customHeight="1" x14ac:dyDescent="0.35">
      <c r="A1007" s="4"/>
      <c r="B1007" s="402" t="s">
        <v>275</v>
      </c>
      <c r="C1007" s="286"/>
      <c r="D1007" s="836" t="s">
        <v>864</v>
      </c>
      <c r="E1007" s="41"/>
      <c r="G1007" t="s">
        <v>247</v>
      </c>
    </row>
    <row r="1008" spans="1:7" hidden="1" x14ac:dyDescent="0.35">
      <c r="A1008" s="4"/>
      <c r="B1008" s="416"/>
      <c r="C1008" s="228"/>
      <c r="D1008" s="815"/>
      <c r="E1008" s="41"/>
      <c r="G1008" t="s">
        <v>247</v>
      </c>
    </row>
    <row r="1009" spans="1:7" ht="15" hidden="1" customHeight="1" x14ac:dyDescent="0.35">
      <c r="A1009" s="4"/>
      <c r="B1009" s="416" t="s">
        <v>277</v>
      </c>
      <c r="C1009" s="178"/>
      <c r="D1009" s="178" t="s">
        <v>865</v>
      </c>
      <c r="E1009" s="41"/>
      <c r="G1009" t="s">
        <v>247</v>
      </c>
    </row>
    <row r="1010" spans="1:7" hidden="1" x14ac:dyDescent="0.35">
      <c r="A1010" s="4"/>
      <c r="B1010" s="416" t="s">
        <v>383</v>
      </c>
      <c r="C1010" s="178"/>
      <c r="D1010" s="178" t="s">
        <v>866</v>
      </c>
      <c r="E1010" s="41"/>
      <c r="G1010" t="s">
        <v>247</v>
      </c>
    </row>
    <row r="1011" spans="1:7" ht="15" hidden="1" customHeight="1" x14ac:dyDescent="0.35">
      <c r="A1011" s="4"/>
      <c r="B1011" s="402" t="s">
        <v>428</v>
      </c>
      <c r="C1011" s="286"/>
      <c r="D1011" s="836" t="s">
        <v>867</v>
      </c>
      <c r="E1011" s="41"/>
      <c r="G1011" t="s">
        <v>247</v>
      </c>
    </row>
    <row r="1012" spans="1:7" hidden="1" x14ac:dyDescent="0.35">
      <c r="A1012" s="4"/>
      <c r="B1012" s="402"/>
      <c r="C1012" s="90"/>
      <c r="D1012" s="814"/>
      <c r="E1012" s="41"/>
      <c r="G1012" t="s">
        <v>247</v>
      </c>
    </row>
    <row r="1013" spans="1:7" hidden="1" x14ac:dyDescent="0.35">
      <c r="A1013" s="4"/>
      <c r="B1013" s="416"/>
      <c r="C1013" s="228"/>
      <c r="D1013" s="815"/>
      <c r="E1013" s="41"/>
      <c r="G1013" t="s">
        <v>247</v>
      </c>
    </row>
    <row r="1014" spans="1:7" ht="15" hidden="1" customHeight="1" x14ac:dyDescent="0.35">
      <c r="A1014" s="4"/>
      <c r="B1014" s="402" t="s">
        <v>430</v>
      </c>
      <c r="C1014" s="90"/>
      <c r="D1014" s="825" t="s">
        <v>4251</v>
      </c>
      <c r="E1014" s="41"/>
      <c r="G1014" t="s">
        <v>247</v>
      </c>
    </row>
    <row r="1015" spans="1:7" hidden="1" x14ac:dyDescent="0.35">
      <c r="A1015" s="133"/>
      <c r="B1015" s="152"/>
      <c r="C1015" s="90"/>
      <c r="D1015" s="825"/>
      <c r="E1015" s="41"/>
      <c r="G1015" t="s">
        <v>247</v>
      </c>
    </row>
    <row r="1016" spans="1:7" ht="15" hidden="1" customHeight="1" x14ac:dyDescent="0.35">
      <c r="A1016" s="117" t="s">
        <v>868</v>
      </c>
      <c r="B1016" s="286"/>
      <c r="C1016" s="286"/>
      <c r="D1016" s="905" t="s">
        <v>4371</v>
      </c>
      <c r="E1016" s="552"/>
      <c r="G1016" t="s">
        <v>247</v>
      </c>
    </row>
    <row r="1017" spans="1:7" hidden="1" x14ac:dyDescent="0.35">
      <c r="A1017" s="30"/>
      <c r="B1017" s="90"/>
      <c r="C1017" s="90"/>
      <c r="D1017" s="838"/>
      <c r="E1017" s="41"/>
      <c r="G1017" t="s">
        <v>247</v>
      </c>
    </row>
    <row r="1018" spans="1:7" hidden="1" x14ac:dyDescent="0.35">
      <c r="A1018" s="138"/>
      <c r="B1018" s="228"/>
      <c r="C1018" s="228"/>
      <c r="D1018" s="889"/>
      <c r="E1018" s="546"/>
      <c r="G1018" t="s">
        <v>247</v>
      </c>
    </row>
    <row r="1019" spans="1:7" ht="15" hidden="1" customHeight="1" x14ac:dyDescent="0.35">
      <c r="A1019" s="117" t="s">
        <v>869</v>
      </c>
      <c r="B1019" s="286"/>
      <c r="C1019" s="286"/>
      <c r="D1019" s="905" t="s">
        <v>4252</v>
      </c>
      <c r="E1019" s="552"/>
      <c r="F1019" s="400" t="str">
        <f>IF(LEN('Verification Report'!W1020)=0,"",'Verification Report'!W1020)</f>
        <v/>
      </c>
      <c r="G1019" t="s">
        <v>247</v>
      </c>
    </row>
    <row r="1020" spans="1:7" hidden="1" x14ac:dyDescent="0.35">
      <c r="A1020" s="4"/>
      <c r="B1020" s="90"/>
      <c r="C1020" s="90"/>
      <c r="D1020" s="838"/>
      <c r="E1020" s="41"/>
      <c r="G1020" t="s">
        <v>247</v>
      </c>
    </row>
    <row r="1021" spans="1:7" hidden="1" x14ac:dyDescent="0.35">
      <c r="A1021" s="4"/>
      <c r="B1021" s="90"/>
      <c r="C1021" s="90"/>
      <c r="D1021" s="838"/>
      <c r="E1021" s="41"/>
      <c r="G1021" t="s">
        <v>247</v>
      </c>
    </row>
    <row r="1022" spans="1:7" hidden="1" x14ac:dyDescent="0.35">
      <c r="A1022" s="4"/>
      <c r="B1022" s="90"/>
      <c r="C1022" s="90"/>
      <c r="D1022" s="838"/>
      <c r="E1022" s="41"/>
      <c r="G1022" t="s">
        <v>247</v>
      </c>
    </row>
    <row r="1023" spans="1:7" hidden="1" x14ac:dyDescent="0.35">
      <c r="A1023" s="4"/>
      <c r="B1023" s="90"/>
      <c r="C1023" s="90"/>
      <c r="D1023" s="838"/>
      <c r="E1023" s="41"/>
      <c r="G1023" t="s">
        <v>247</v>
      </c>
    </row>
    <row r="1024" spans="1:7" hidden="1" x14ac:dyDescent="0.35">
      <c r="A1024" s="4"/>
      <c r="B1024" s="90"/>
      <c r="C1024" s="90"/>
      <c r="D1024" s="838"/>
      <c r="E1024" s="41"/>
      <c r="G1024" t="s">
        <v>247</v>
      </c>
    </row>
    <row r="1025" spans="1:7" hidden="1" x14ac:dyDescent="0.35">
      <c r="A1025" s="4"/>
      <c r="B1025" s="90"/>
      <c r="C1025" s="90"/>
      <c r="D1025" s="838"/>
      <c r="E1025" s="41"/>
      <c r="G1025" t="s">
        <v>247</v>
      </c>
    </row>
    <row r="1026" spans="1:7" ht="15" hidden="1" customHeight="1" x14ac:dyDescent="0.35">
      <c r="A1026" s="4"/>
      <c r="B1026" s="90"/>
      <c r="C1026" s="90"/>
      <c r="D1026" s="838" t="s">
        <v>4253</v>
      </c>
      <c r="E1026" s="41"/>
      <c r="G1026" t="s">
        <v>247</v>
      </c>
    </row>
    <row r="1027" spans="1:7" hidden="1" x14ac:dyDescent="0.35">
      <c r="A1027" s="4"/>
      <c r="B1027" s="90"/>
      <c r="C1027" s="90"/>
      <c r="D1027" s="838"/>
      <c r="E1027" s="41"/>
      <c r="G1027" t="s">
        <v>247</v>
      </c>
    </row>
    <row r="1028" spans="1:7" hidden="1" x14ac:dyDescent="0.35">
      <c r="A1028" s="133"/>
      <c r="B1028" s="228"/>
      <c r="C1028" s="228"/>
      <c r="D1028" s="889"/>
      <c r="E1028" s="546"/>
      <c r="G1028" t="s">
        <v>247</v>
      </c>
    </row>
    <row r="1029" spans="1:7" ht="15" hidden="1" customHeight="1" x14ac:dyDescent="0.35">
      <c r="A1029" s="117" t="s">
        <v>870</v>
      </c>
      <c r="B1029" s="286"/>
      <c r="C1029" s="286"/>
      <c r="D1029" s="883" t="s">
        <v>4254</v>
      </c>
      <c r="E1029" s="552"/>
      <c r="F1029" s="400" t="str">
        <f>IF(LEN('Verification Report'!W1030)=0,"",'Verification Report'!W1030)</f>
        <v/>
      </c>
      <c r="G1029" t="s">
        <v>247</v>
      </c>
    </row>
    <row r="1030" spans="1:7" hidden="1" x14ac:dyDescent="0.35">
      <c r="A1030" s="4"/>
      <c r="B1030" s="90"/>
      <c r="C1030" s="90"/>
      <c r="D1030" s="881"/>
      <c r="E1030" s="41"/>
      <c r="G1030" t="s">
        <v>247</v>
      </c>
    </row>
    <row r="1031" spans="1:7" hidden="1" x14ac:dyDescent="0.35">
      <c r="A1031" s="4"/>
      <c r="B1031" s="90"/>
      <c r="C1031" s="90"/>
      <c r="D1031" s="881"/>
      <c r="E1031" s="41"/>
      <c r="G1031" t="s">
        <v>247</v>
      </c>
    </row>
    <row r="1032" spans="1:7" hidden="1" x14ac:dyDescent="0.35">
      <c r="A1032" s="4"/>
      <c r="B1032" s="90"/>
      <c r="C1032" s="90"/>
      <c r="D1032" s="881"/>
      <c r="E1032" s="41"/>
      <c r="G1032" t="s">
        <v>247</v>
      </c>
    </row>
    <row r="1033" spans="1:7" hidden="1" x14ac:dyDescent="0.35">
      <c r="A1033" s="4"/>
      <c r="B1033" s="90"/>
      <c r="C1033" s="90"/>
      <c r="D1033" s="881"/>
      <c r="E1033" s="41"/>
      <c r="G1033" t="s">
        <v>247</v>
      </c>
    </row>
    <row r="1034" spans="1:7" hidden="1" x14ac:dyDescent="0.35">
      <c r="A1034" s="4"/>
      <c r="B1034" s="90"/>
      <c r="C1034" s="90"/>
      <c r="D1034" s="881"/>
      <c r="E1034" s="41"/>
      <c r="G1034" t="s">
        <v>247</v>
      </c>
    </row>
    <row r="1035" spans="1:7" hidden="1" x14ac:dyDescent="0.35">
      <c r="A1035" s="4"/>
      <c r="B1035" s="90"/>
      <c r="C1035" s="90"/>
      <c r="D1035" s="881"/>
      <c r="E1035" s="41"/>
      <c r="G1035" t="s">
        <v>247</v>
      </c>
    </row>
    <row r="1036" spans="1:7" hidden="1" x14ac:dyDescent="0.35">
      <c r="A1036" s="133"/>
      <c r="B1036" s="228"/>
      <c r="C1036" s="228"/>
      <c r="D1036" s="882"/>
      <c r="E1036" s="546"/>
      <c r="G1036" t="s">
        <v>247</v>
      </c>
    </row>
    <row r="1037" spans="1:7" ht="15" hidden="1" customHeight="1" x14ac:dyDescent="0.35">
      <c r="A1037" s="30" t="s">
        <v>871</v>
      </c>
      <c r="B1037" s="90"/>
      <c r="C1037" s="90"/>
      <c r="D1037" s="881" t="s">
        <v>4255</v>
      </c>
      <c r="E1037" s="41"/>
      <c r="G1037" t="s">
        <v>247</v>
      </c>
    </row>
    <row r="1038" spans="1:7" hidden="1" x14ac:dyDescent="0.35">
      <c r="A1038" s="4"/>
      <c r="B1038" s="90"/>
      <c r="C1038" s="90"/>
      <c r="D1038" s="881"/>
      <c r="E1038" s="41"/>
      <c r="G1038" t="s">
        <v>247</v>
      </c>
    </row>
    <row r="1039" spans="1:7" ht="15" hidden="1" customHeight="1" x14ac:dyDescent="0.35">
      <c r="A1039" s="4"/>
      <c r="B1039" s="152" t="s">
        <v>256</v>
      </c>
      <c r="C1039" s="90"/>
      <c r="D1039" s="814" t="s">
        <v>872</v>
      </c>
      <c r="E1039" s="41"/>
      <c r="F1039" s="400" t="str">
        <f>IF(LEN('Verification Report'!W1040)=0,"",'Verification Report'!W1040)</f>
        <v/>
      </c>
      <c r="G1039" t="s">
        <v>247</v>
      </c>
    </row>
    <row r="1040" spans="1:7" hidden="1" x14ac:dyDescent="0.35">
      <c r="A1040" s="4"/>
      <c r="B1040" s="326"/>
      <c r="C1040" s="228"/>
      <c r="D1040" s="815"/>
      <c r="E1040" s="41"/>
      <c r="G1040" t="s">
        <v>247</v>
      </c>
    </row>
    <row r="1041" spans="1:7" hidden="1" x14ac:dyDescent="0.35">
      <c r="A1041" s="133"/>
      <c r="B1041" s="326" t="s">
        <v>258</v>
      </c>
      <c r="C1041" s="228"/>
      <c r="D1041" s="228" t="s">
        <v>873</v>
      </c>
      <c r="E1041" s="546"/>
      <c r="F1041" s="400" t="str">
        <f>IF(LEN('Verification Report'!W1042)=0,"",'Verification Report'!W1042)</f>
        <v/>
      </c>
      <c r="G1041" t="s">
        <v>247</v>
      </c>
    </row>
    <row r="1042" spans="1:7" ht="15" hidden="1" customHeight="1" x14ac:dyDescent="0.35">
      <c r="A1042" s="30" t="s">
        <v>874</v>
      </c>
      <c r="B1042" s="90"/>
      <c r="C1042" s="90"/>
      <c r="D1042" s="881" t="s">
        <v>4256</v>
      </c>
      <c r="E1042" s="41"/>
      <c r="F1042" s="400" t="str">
        <f>IF(LEN('Verification Report'!W1043)=0,"",'Verification Report'!W1043)</f>
        <v/>
      </c>
      <c r="G1042" t="s">
        <v>247</v>
      </c>
    </row>
    <row r="1043" spans="1:7" hidden="1" x14ac:dyDescent="0.35">
      <c r="D1043" s="881"/>
      <c r="G1043" t="s">
        <v>247</v>
      </c>
    </row>
    <row r="1044" spans="1:7" ht="18.5" hidden="1" x14ac:dyDescent="0.45">
      <c r="A1044" s="10" t="s">
        <v>875</v>
      </c>
      <c r="B1044" s="44"/>
      <c r="C1044" s="44"/>
      <c r="D1044" s="44"/>
      <c r="E1044" s="544"/>
      <c r="G1044" t="s">
        <v>247</v>
      </c>
    </row>
    <row r="1045" spans="1:7" ht="15" hidden="1" customHeight="1" x14ac:dyDescent="0.35">
      <c r="A1045" s="30">
        <v>702.1</v>
      </c>
      <c r="B1045" s="90"/>
      <c r="C1045" s="90"/>
      <c r="D1045" s="838" t="s">
        <v>4853</v>
      </c>
      <c r="E1045" s="41"/>
      <c r="G1045" t="s">
        <v>247</v>
      </c>
    </row>
    <row r="1046" spans="1:7" ht="15" hidden="1" thickBot="1" x14ac:dyDescent="0.4">
      <c r="A1046" s="160"/>
      <c r="B1046" s="229"/>
      <c r="C1046" s="229"/>
      <c r="D1046" s="849"/>
      <c r="E1046" s="72"/>
      <c r="G1046" t="s">
        <v>247</v>
      </c>
    </row>
    <row r="1047" spans="1:7" ht="15" hidden="1" thickTop="1" x14ac:dyDescent="0.35">
      <c r="A1047" s="106">
        <v>702.2</v>
      </c>
      <c r="B1047" s="316"/>
      <c r="C1047" s="316"/>
      <c r="D1047" s="274" t="s">
        <v>876</v>
      </c>
      <c r="E1047" s="545"/>
      <c r="G1047" t="s">
        <v>247</v>
      </c>
    </row>
    <row r="1048" spans="1:7" ht="15" hidden="1" customHeight="1" x14ac:dyDescent="0.35">
      <c r="A1048" s="32" t="s">
        <v>877</v>
      </c>
      <c r="B1048" s="90"/>
      <c r="C1048" s="90"/>
      <c r="D1048" s="838" t="s">
        <v>878</v>
      </c>
      <c r="E1048" s="41"/>
      <c r="F1048" s="400" t="str">
        <f>IF(LEN('Verification Report'!W1049)=0,"",'Verification Report'!W1049)</f>
        <v/>
      </c>
      <c r="G1048" t="s">
        <v>247</v>
      </c>
    </row>
    <row r="1049" spans="1:7" hidden="1" x14ac:dyDescent="0.35">
      <c r="A1049" s="4"/>
      <c r="B1049" s="90"/>
      <c r="C1049" s="90"/>
      <c r="D1049" s="838"/>
      <c r="E1049" s="41"/>
      <c r="G1049" t="s">
        <v>247</v>
      </c>
    </row>
    <row r="1050" spans="1:7" hidden="1" x14ac:dyDescent="0.35">
      <c r="A1050" s="4"/>
      <c r="B1050" s="90"/>
      <c r="C1050" s="90"/>
      <c r="D1050" s="838"/>
      <c r="E1050" s="41"/>
      <c r="G1050" t="s">
        <v>247</v>
      </c>
    </row>
    <row r="1051" spans="1:7" hidden="1" x14ac:dyDescent="0.35">
      <c r="A1051" s="133"/>
      <c r="B1051" s="228"/>
      <c r="C1051" s="228"/>
      <c r="D1051" s="889"/>
      <c r="E1051" s="546"/>
      <c r="G1051" t="s">
        <v>247</v>
      </c>
    </row>
    <row r="1052" spans="1:7" ht="15" hidden="1" customHeight="1" x14ac:dyDescent="0.35">
      <c r="A1052" s="32" t="s">
        <v>879</v>
      </c>
      <c r="B1052" s="90"/>
      <c r="C1052" s="90"/>
      <c r="D1052" s="838" t="s">
        <v>4257</v>
      </c>
      <c r="E1052" s="41">
        <f ca="1">'Verification Report'!O1053</f>
        <v>0</v>
      </c>
      <c r="F1052" s="760"/>
      <c r="G1052" t="s">
        <v>247</v>
      </c>
    </row>
    <row r="1053" spans="1:7" hidden="1" x14ac:dyDescent="0.35">
      <c r="A1053" s="4"/>
      <c r="B1053" s="90"/>
      <c r="C1053" s="90"/>
      <c r="D1053" s="838"/>
      <c r="E1053" s="41"/>
      <c r="F1053" s="760"/>
      <c r="G1053" t="s">
        <v>247</v>
      </c>
    </row>
    <row r="1054" spans="1:7" hidden="1" x14ac:dyDescent="0.35">
      <c r="A1054" s="4"/>
      <c r="B1054" s="90"/>
      <c r="C1054" s="90"/>
      <c r="D1054" s="838"/>
      <c r="E1054" s="41"/>
      <c r="F1054" s="400" t="str">
        <f>IF(LEN('Verification Report'!W1055)=0,"",'Verification Report'!W1055)</f>
        <v/>
      </c>
      <c r="G1054" t="s">
        <v>247</v>
      </c>
    </row>
    <row r="1055" spans="1:7" hidden="1" x14ac:dyDescent="0.35">
      <c r="A1055" s="4"/>
      <c r="B1055" s="90"/>
      <c r="C1055" s="90"/>
      <c r="D1055" s="838"/>
      <c r="E1055" s="41"/>
      <c r="G1055" t="s">
        <v>247</v>
      </c>
    </row>
    <row r="1056" spans="1:7" hidden="1" x14ac:dyDescent="0.35">
      <c r="A1056" s="4"/>
      <c r="B1056" s="90"/>
      <c r="C1056" s="90"/>
      <c r="D1056" s="838"/>
      <c r="E1056" s="41"/>
      <c r="G1056" t="s">
        <v>247</v>
      </c>
    </row>
    <row r="1057" spans="1:7" hidden="1" x14ac:dyDescent="0.35">
      <c r="A1057" s="4"/>
      <c r="B1057" s="90"/>
      <c r="C1057" s="90"/>
      <c r="D1057" s="95" t="s">
        <v>5116</v>
      </c>
      <c r="E1057" s="41"/>
      <c r="G1057" t="s">
        <v>247</v>
      </c>
    </row>
    <row r="1058" spans="1:7" ht="15" hidden="1" customHeight="1" x14ac:dyDescent="0.35">
      <c r="A1058" s="4"/>
      <c r="B1058" s="90"/>
      <c r="C1058" s="90"/>
      <c r="D1058" s="855" t="s">
        <v>2997</v>
      </c>
      <c r="E1058" s="41"/>
      <c r="G1058" t="s">
        <v>247</v>
      </c>
    </row>
    <row r="1059" spans="1:7" hidden="1" x14ac:dyDescent="0.35">
      <c r="A1059" s="4"/>
      <c r="B1059" s="90"/>
      <c r="C1059" s="90"/>
      <c r="D1059" s="855"/>
      <c r="E1059" s="41"/>
      <c r="G1059" t="s">
        <v>247</v>
      </c>
    </row>
    <row r="1060" spans="1:7" hidden="1" x14ac:dyDescent="0.35">
      <c r="A1060" s="133"/>
      <c r="B1060" s="228"/>
      <c r="C1060" s="228"/>
      <c r="D1060" s="903"/>
      <c r="E1060" s="41"/>
      <c r="G1060" t="s">
        <v>247</v>
      </c>
    </row>
    <row r="1061" spans="1:7" ht="15" hidden="1" customHeight="1" x14ac:dyDescent="0.35">
      <c r="A1061" s="32" t="s">
        <v>880</v>
      </c>
      <c r="B1061" s="90"/>
      <c r="C1061" s="90"/>
      <c r="D1061" s="838" t="s">
        <v>881</v>
      </c>
      <c r="E1061" s="41"/>
      <c r="G1061" t="s">
        <v>247</v>
      </c>
    </row>
    <row r="1062" spans="1:7" hidden="1" x14ac:dyDescent="0.35">
      <c r="A1062" s="4"/>
      <c r="B1062" s="90"/>
      <c r="C1062" s="90"/>
      <c r="D1062" s="838"/>
      <c r="E1062" s="41"/>
      <c r="G1062" t="s">
        <v>247</v>
      </c>
    </row>
    <row r="1063" spans="1:7" ht="18.5" hidden="1" x14ac:dyDescent="0.45">
      <c r="A1063" s="10" t="s">
        <v>882</v>
      </c>
      <c r="B1063" s="44"/>
      <c r="C1063" s="44"/>
      <c r="D1063" s="44"/>
      <c r="E1063" s="544"/>
      <c r="G1063" t="s">
        <v>247</v>
      </c>
    </row>
    <row r="1064" spans="1:7" hidden="1" x14ac:dyDescent="0.35">
      <c r="A1064" s="30">
        <v>703.1</v>
      </c>
      <c r="B1064" s="90"/>
      <c r="C1064" s="90"/>
      <c r="D1064" s="95" t="s">
        <v>883</v>
      </c>
      <c r="E1064" s="489">
        <f ca="1">'Verification Report'!O1065</f>
        <v>0</v>
      </c>
      <c r="G1064" t="s">
        <v>247</v>
      </c>
    </row>
    <row r="1065" spans="1:7" ht="15" hidden="1" customHeight="1" x14ac:dyDescent="0.35">
      <c r="A1065" s="32" t="s">
        <v>884</v>
      </c>
      <c r="B1065" s="90"/>
      <c r="C1065" s="90"/>
      <c r="D1065" s="881" t="s">
        <v>4258</v>
      </c>
      <c r="E1065" s="41"/>
      <c r="F1065" s="400" t="str">
        <f>IF(LEN('Verification Report'!W1066)=0,"",'Verification Report'!W1066)</f>
        <v/>
      </c>
      <c r="G1065" t="s">
        <v>247</v>
      </c>
    </row>
    <row r="1066" spans="1:7" hidden="1" x14ac:dyDescent="0.35">
      <c r="A1066" s="4"/>
      <c r="B1066" s="90"/>
      <c r="C1066" s="90"/>
      <c r="D1066" s="881"/>
      <c r="E1066" s="41"/>
      <c r="G1066" t="s">
        <v>247</v>
      </c>
    </row>
    <row r="1067" spans="1:7" hidden="1" x14ac:dyDescent="0.35">
      <c r="A1067" s="133"/>
      <c r="B1067" s="228"/>
      <c r="C1067" s="228"/>
      <c r="D1067" s="284" t="s">
        <v>2998</v>
      </c>
      <c r="E1067" s="41"/>
      <c r="G1067" t="s">
        <v>247</v>
      </c>
    </row>
    <row r="1068" spans="1:7" ht="15" hidden="1" customHeight="1" x14ac:dyDescent="0.35">
      <c r="A1068" s="330" t="s">
        <v>885</v>
      </c>
      <c r="B1068" s="286"/>
      <c r="C1068" s="286"/>
      <c r="D1068" s="883" t="s">
        <v>4259</v>
      </c>
      <c r="E1068" s="41"/>
      <c r="G1068" t="s">
        <v>247</v>
      </c>
    </row>
    <row r="1069" spans="1:7" hidden="1" x14ac:dyDescent="0.35">
      <c r="A1069" s="4"/>
      <c r="B1069" s="90"/>
      <c r="C1069" s="90"/>
      <c r="D1069" s="881"/>
      <c r="E1069" s="41"/>
      <c r="G1069" t="s">
        <v>247</v>
      </c>
    </row>
    <row r="1070" spans="1:7" hidden="1" x14ac:dyDescent="0.35">
      <c r="A1070" s="4"/>
      <c r="B1070" s="90"/>
      <c r="C1070" s="90"/>
      <c r="D1070" s="881"/>
      <c r="E1070" s="41"/>
      <c r="G1070" t="s">
        <v>247</v>
      </c>
    </row>
    <row r="1071" spans="1:7" hidden="1" x14ac:dyDescent="0.35">
      <c r="A1071" s="4"/>
      <c r="B1071" s="90"/>
      <c r="C1071" s="90"/>
      <c r="D1071" s="881"/>
      <c r="E1071" s="41"/>
      <c r="G1071" t="s">
        <v>247</v>
      </c>
    </row>
    <row r="1072" spans="1:7" hidden="1" x14ac:dyDescent="0.35">
      <c r="A1072" s="4"/>
      <c r="B1072" s="90"/>
      <c r="C1072" s="90"/>
      <c r="D1072" s="881"/>
      <c r="E1072" s="41"/>
      <c r="G1072" t="s">
        <v>247</v>
      </c>
    </row>
    <row r="1073" spans="1:7" hidden="1" x14ac:dyDescent="0.35">
      <c r="A1073" s="4"/>
      <c r="B1073" s="90"/>
      <c r="C1073" s="90"/>
      <c r="D1073" s="881"/>
      <c r="E1073" s="41"/>
      <c r="G1073" t="s">
        <v>247</v>
      </c>
    </row>
    <row r="1074" spans="1:7" hidden="1" x14ac:dyDescent="0.35">
      <c r="A1074" s="4"/>
      <c r="B1074" s="90"/>
      <c r="C1074" s="90"/>
      <c r="D1074" s="881"/>
      <c r="E1074" s="41"/>
      <c r="G1074" t="s">
        <v>247</v>
      </c>
    </row>
    <row r="1075" spans="1:7" hidden="1" x14ac:dyDescent="0.35">
      <c r="A1075" s="133"/>
      <c r="B1075" s="228"/>
      <c r="C1075" s="228"/>
      <c r="D1075" s="882"/>
      <c r="E1075" s="41"/>
      <c r="G1075" t="s">
        <v>247</v>
      </c>
    </row>
    <row r="1076" spans="1:7" ht="15" hidden="1" customHeight="1" x14ac:dyDescent="0.35">
      <c r="A1076" s="330" t="s">
        <v>886</v>
      </c>
      <c r="B1076" s="286"/>
      <c r="C1076" s="286"/>
      <c r="D1076" s="883" t="s">
        <v>4260</v>
      </c>
      <c r="E1076" s="41"/>
      <c r="G1076" t="s">
        <v>247</v>
      </c>
    </row>
    <row r="1077" spans="1:7" hidden="1" x14ac:dyDescent="0.35">
      <c r="A1077" s="4"/>
      <c r="B1077" s="90"/>
      <c r="C1077" s="90"/>
      <c r="D1077" s="881"/>
      <c r="E1077" s="41"/>
      <c r="G1077" t="s">
        <v>247</v>
      </c>
    </row>
    <row r="1078" spans="1:7" hidden="1" x14ac:dyDescent="0.35">
      <c r="A1078" s="4"/>
      <c r="B1078" s="90"/>
      <c r="C1078" s="90"/>
      <c r="D1078" s="881"/>
      <c r="E1078" s="41"/>
      <c r="G1078" t="s">
        <v>247</v>
      </c>
    </row>
    <row r="1079" spans="1:7" hidden="1" x14ac:dyDescent="0.35">
      <c r="A1079" s="133"/>
      <c r="B1079" s="228"/>
      <c r="C1079" s="228"/>
      <c r="D1079" s="882"/>
      <c r="E1079" s="546"/>
      <c r="G1079" t="s">
        <v>247</v>
      </c>
    </row>
    <row r="1080" spans="1:7" ht="15" hidden="1" customHeight="1" x14ac:dyDescent="0.35">
      <c r="A1080" s="32" t="s">
        <v>887</v>
      </c>
      <c r="B1080" s="90"/>
      <c r="C1080" s="90"/>
      <c r="D1080" s="881" t="s">
        <v>4261</v>
      </c>
      <c r="E1080" s="41"/>
      <c r="F1080" s="400" t="str">
        <f>IF(LEN('Verification Report'!W1081)=0,"",'Verification Report'!W1081)</f>
        <v/>
      </c>
      <c r="G1080" t="s">
        <v>247</v>
      </c>
    </row>
    <row r="1081" spans="1:7" hidden="1" x14ac:dyDescent="0.35">
      <c r="A1081" s="4"/>
      <c r="B1081" s="90"/>
      <c r="C1081" s="90"/>
      <c r="D1081" s="881"/>
      <c r="E1081" s="41"/>
      <c r="F1081" s="991"/>
      <c r="G1081" t="s">
        <v>247</v>
      </c>
    </row>
    <row r="1082" spans="1:7" hidden="1" x14ac:dyDescent="0.35">
      <c r="A1082" s="133"/>
      <c r="B1082" s="228"/>
      <c r="C1082" s="228"/>
      <c r="D1082" s="284" t="s">
        <v>3530</v>
      </c>
      <c r="E1082" s="546"/>
      <c r="F1082" s="991"/>
      <c r="G1082" t="s">
        <v>247</v>
      </c>
    </row>
    <row r="1083" spans="1:7" ht="15" hidden="1" customHeight="1" x14ac:dyDescent="0.35">
      <c r="A1083" s="32" t="s">
        <v>888</v>
      </c>
      <c r="B1083" s="90"/>
      <c r="C1083" s="90"/>
      <c r="D1083" s="838" t="s">
        <v>5118</v>
      </c>
      <c r="E1083" s="41"/>
      <c r="F1083" s="400" t="str">
        <f>IF(LEN('Verification Report'!W1084)=0,"",'Verification Report'!W1084)</f>
        <v/>
      </c>
      <c r="G1083" t="s">
        <v>247</v>
      </c>
    </row>
    <row r="1084" spans="1:7" ht="15" hidden="1" customHeight="1" x14ac:dyDescent="0.35">
      <c r="A1084" s="32"/>
      <c r="B1084" s="90"/>
      <c r="C1084" s="90"/>
      <c r="D1084" s="838"/>
      <c r="E1084" s="41"/>
      <c r="G1084" t="s">
        <v>247</v>
      </c>
    </row>
    <row r="1085" spans="1:7" ht="15" hidden="1" customHeight="1" x14ac:dyDescent="0.35">
      <c r="A1085" s="32"/>
      <c r="B1085" s="90"/>
      <c r="C1085" s="90"/>
      <c r="D1085" s="838"/>
      <c r="E1085" s="41"/>
      <c r="G1085" t="s">
        <v>247</v>
      </c>
    </row>
    <row r="1086" spans="1:7" ht="15" hidden="1" customHeight="1" x14ac:dyDescent="0.35">
      <c r="A1086" s="32"/>
      <c r="B1086" s="90"/>
      <c r="C1086" s="90"/>
      <c r="D1086" s="838"/>
      <c r="E1086" s="41"/>
      <c r="G1086" t="s">
        <v>247</v>
      </c>
    </row>
    <row r="1087" spans="1:7" ht="15" hidden="1" thickBot="1" x14ac:dyDescent="0.4">
      <c r="A1087" s="160"/>
      <c r="B1087" s="229"/>
      <c r="C1087" s="229"/>
      <c r="D1087" s="849"/>
      <c r="E1087" s="72"/>
      <c r="G1087" t="s">
        <v>247</v>
      </c>
    </row>
    <row r="1088" spans="1:7" hidden="1" x14ac:dyDescent="0.35">
      <c r="A1088" s="30">
        <v>703.2</v>
      </c>
      <c r="B1088" s="90"/>
      <c r="C1088" s="90"/>
      <c r="D1088" s="95" t="s">
        <v>889</v>
      </c>
      <c r="E1088" s="41"/>
      <c r="G1088" t="s">
        <v>247</v>
      </c>
    </row>
    <row r="1089" spans="1:7" ht="15" hidden="1" customHeight="1" x14ac:dyDescent="0.35">
      <c r="A1089" s="30" t="s">
        <v>890</v>
      </c>
      <c r="B1089" s="90"/>
      <c r="C1089" s="90"/>
      <c r="D1089" s="881" t="s">
        <v>4262</v>
      </c>
      <c r="E1089" s="41">
        <f>'Verification Report'!O1090</f>
        <v>0</v>
      </c>
      <c r="F1089" s="400" t="str">
        <f>IF(LEN('Verification Report'!W1090)=0,"",'Verification Report'!W1090)</f>
        <v/>
      </c>
      <c r="G1089" t="s">
        <v>247</v>
      </c>
    </row>
    <row r="1090" spans="1:7" hidden="1" x14ac:dyDescent="0.35">
      <c r="A1090" s="4"/>
      <c r="B1090" s="90"/>
      <c r="C1090" s="90"/>
      <c r="D1090" s="881"/>
      <c r="E1090" s="41"/>
      <c r="G1090" t="s">
        <v>247</v>
      </c>
    </row>
    <row r="1091" spans="1:7" hidden="1" x14ac:dyDescent="0.35">
      <c r="A1091" s="4"/>
      <c r="B1091" s="90"/>
      <c r="C1091" s="90"/>
      <c r="D1091" s="881"/>
      <c r="E1091" s="41"/>
      <c r="F1091" s="400" t="str">
        <f>IF(LEN('Verification Report'!W1092)=0,"",'Verification Report'!W1092)</f>
        <v/>
      </c>
      <c r="G1091" t="s">
        <v>247</v>
      </c>
    </row>
    <row r="1092" spans="1:7" hidden="1" x14ac:dyDescent="0.35">
      <c r="A1092" s="4"/>
      <c r="B1092" s="90"/>
      <c r="C1092" s="90"/>
      <c r="D1092" s="881"/>
      <c r="E1092" s="41"/>
      <c r="G1092" t="s">
        <v>247</v>
      </c>
    </row>
    <row r="1093" spans="1:7" hidden="1" x14ac:dyDescent="0.35">
      <c r="A1093" s="4"/>
      <c r="B1093" s="90"/>
      <c r="C1093" s="90"/>
      <c r="D1093" s="881"/>
      <c r="E1093" s="41"/>
      <c r="G1093" t="s">
        <v>247</v>
      </c>
    </row>
    <row r="1094" spans="1:7" hidden="1" x14ac:dyDescent="0.35">
      <c r="A1094" s="4"/>
      <c r="B1094" s="90"/>
      <c r="C1094" s="90"/>
      <c r="D1094" s="881"/>
      <c r="E1094" s="41"/>
      <c r="G1094" t="s">
        <v>247</v>
      </c>
    </row>
    <row r="1095" spans="1:7" hidden="1" x14ac:dyDescent="0.35">
      <c r="A1095" s="133"/>
      <c r="B1095" s="228"/>
      <c r="C1095" s="228"/>
      <c r="D1095" s="323" t="s">
        <v>3531</v>
      </c>
      <c r="E1095" s="546"/>
      <c r="G1095" t="s">
        <v>247</v>
      </c>
    </row>
    <row r="1096" spans="1:7" ht="15" hidden="1" customHeight="1" x14ac:dyDescent="0.35">
      <c r="A1096" s="117" t="s">
        <v>892</v>
      </c>
      <c r="B1096" s="286"/>
      <c r="C1096" s="286"/>
      <c r="D1096" s="905" t="s">
        <v>893</v>
      </c>
      <c r="E1096" s="552">
        <f>'Verification Report'!O1097</f>
        <v>0</v>
      </c>
      <c r="G1096" t="s">
        <v>247</v>
      </c>
    </row>
    <row r="1097" spans="1:7" hidden="1" x14ac:dyDescent="0.35">
      <c r="A1097" s="133"/>
      <c r="B1097" s="228"/>
      <c r="C1097" s="228"/>
      <c r="D1097" s="889"/>
      <c r="E1097" s="546"/>
      <c r="F1097" s="400" t="str">
        <f>IF(LEN('Verification Report'!W1098)=0,"",'Verification Report'!W1098)</f>
        <v/>
      </c>
      <c r="G1097" t="s">
        <v>247</v>
      </c>
    </row>
    <row r="1098" spans="1:7" ht="15" hidden="1" customHeight="1" x14ac:dyDescent="0.35">
      <c r="A1098" s="117" t="s">
        <v>895</v>
      </c>
      <c r="B1098" s="286"/>
      <c r="C1098" s="286"/>
      <c r="D1098" s="905" t="s">
        <v>896</v>
      </c>
      <c r="E1098" s="552">
        <f ca="1">'Verification Report'!O1099</f>
        <v>0</v>
      </c>
      <c r="F1098" s="400" t="str">
        <f>IF(LEN('Verification Report'!W1099)=0,"",'Verification Report'!W1099)</f>
        <v/>
      </c>
      <c r="G1098" t="s">
        <v>247</v>
      </c>
    </row>
    <row r="1099" spans="1:7" hidden="1" x14ac:dyDescent="0.35">
      <c r="A1099" s="4"/>
      <c r="B1099" s="90"/>
      <c r="C1099" s="90"/>
      <c r="D1099" s="838"/>
      <c r="E1099" s="41"/>
      <c r="G1099" t="s">
        <v>247</v>
      </c>
    </row>
    <row r="1100" spans="1:7" hidden="1" x14ac:dyDescent="0.35">
      <c r="A1100" s="133"/>
      <c r="B1100" s="228"/>
      <c r="C1100" s="228"/>
      <c r="D1100" s="889"/>
      <c r="E1100" s="546"/>
      <c r="G1100" t="s">
        <v>247</v>
      </c>
    </row>
    <row r="1101" spans="1:7" ht="15" hidden="1" customHeight="1" x14ac:dyDescent="0.35">
      <c r="A1101" s="117" t="s">
        <v>897</v>
      </c>
      <c r="B1101" s="286"/>
      <c r="C1101" s="286"/>
      <c r="D1101" s="905" t="s">
        <v>4270</v>
      </c>
      <c r="E1101" s="552">
        <f ca="1">'Verification Report'!O1102</f>
        <v>0</v>
      </c>
      <c r="F1101" s="760"/>
      <c r="G1101" t="s">
        <v>247</v>
      </c>
    </row>
    <row r="1102" spans="1:7" hidden="1" x14ac:dyDescent="0.35">
      <c r="A1102" s="4"/>
      <c r="B1102" s="90"/>
      <c r="C1102" s="90"/>
      <c r="D1102" s="838"/>
      <c r="E1102" s="41"/>
      <c r="F1102" s="760"/>
      <c r="G1102" t="s">
        <v>247</v>
      </c>
    </row>
    <row r="1103" spans="1:7" hidden="1" x14ac:dyDescent="0.35">
      <c r="A1103" s="133"/>
      <c r="B1103" s="228"/>
      <c r="C1103" s="228"/>
      <c r="D1103" s="889"/>
      <c r="E1103" s="546"/>
      <c r="F1103" s="279"/>
      <c r="G1103" t="s">
        <v>247</v>
      </c>
    </row>
    <row r="1104" spans="1:7" hidden="1" x14ac:dyDescent="0.35">
      <c r="A1104" s="32" t="s">
        <v>898</v>
      </c>
      <c r="B1104" s="90"/>
      <c r="C1104" s="90"/>
      <c r="D1104" s="95" t="s">
        <v>899</v>
      </c>
      <c r="E1104" s="41"/>
      <c r="G1104" t="s">
        <v>247</v>
      </c>
    </row>
    <row r="1105" spans="1:7" ht="15" hidden="1" customHeight="1" x14ac:dyDescent="0.35">
      <c r="A1105" s="32" t="s">
        <v>900</v>
      </c>
      <c r="B1105" s="90"/>
      <c r="C1105" s="90"/>
      <c r="D1105" s="814" t="s">
        <v>901</v>
      </c>
      <c r="E1105" s="41"/>
      <c r="F1105" s="400" t="str">
        <f>IF(LEN('Verification Report'!W1106)=0,"",'Verification Report'!W1106)</f>
        <v/>
      </c>
      <c r="G1105" t="s">
        <v>247</v>
      </c>
    </row>
    <row r="1106" spans="1:7" hidden="1" x14ac:dyDescent="0.35">
      <c r="A1106" s="4"/>
      <c r="B1106" s="90"/>
      <c r="C1106" s="90"/>
      <c r="D1106" s="814"/>
      <c r="E1106" s="41"/>
      <c r="G1106" t="s">
        <v>247</v>
      </c>
    </row>
    <row r="1107" spans="1:7" hidden="1" x14ac:dyDescent="0.35">
      <c r="A1107" s="4"/>
      <c r="B1107" s="90"/>
      <c r="C1107" s="90"/>
      <c r="D1107" s="814"/>
      <c r="E1107" s="41"/>
      <c r="G1107" t="s">
        <v>247</v>
      </c>
    </row>
    <row r="1108" spans="1:7" hidden="1" x14ac:dyDescent="0.35">
      <c r="A1108" s="4"/>
      <c r="B1108" s="90"/>
      <c r="C1108" s="90"/>
      <c r="D1108" s="814"/>
      <c r="E1108" s="41"/>
      <c r="G1108" t="s">
        <v>247</v>
      </c>
    </row>
    <row r="1109" spans="1:7" hidden="1" x14ac:dyDescent="0.35">
      <c r="A1109" s="4"/>
      <c r="B1109" s="90"/>
      <c r="C1109" s="90"/>
      <c r="D1109" s="814"/>
      <c r="E1109" s="41"/>
      <c r="G1109" t="s">
        <v>247</v>
      </c>
    </row>
    <row r="1110" spans="1:7" hidden="1" x14ac:dyDescent="0.35">
      <c r="A1110" s="4"/>
      <c r="B1110" s="90"/>
      <c r="C1110" s="90"/>
      <c r="D1110" s="814"/>
      <c r="E1110" s="41"/>
      <c r="G1110" t="s">
        <v>247</v>
      </c>
    </row>
    <row r="1111" spans="1:7" hidden="1" x14ac:dyDescent="0.35">
      <c r="A1111" s="4"/>
      <c r="B1111" s="90"/>
      <c r="C1111" s="90"/>
      <c r="D1111" s="814"/>
      <c r="E1111" s="41"/>
      <c r="G1111" t="s">
        <v>247</v>
      </c>
    </row>
    <row r="1112" spans="1:7" hidden="1" x14ac:dyDescent="0.35">
      <c r="A1112" s="133"/>
      <c r="B1112" s="228"/>
      <c r="C1112" s="228"/>
      <c r="D1112" s="323" t="s">
        <v>3778</v>
      </c>
      <c r="E1112" s="41"/>
      <c r="G1112" t="s">
        <v>247</v>
      </c>
    </row>
    <row r="1113" spans="1:7" ht="15" hidden="1" customHeight="1" x14ac:dyDescent="0.35">
      <c r="A1113" s="330" t="s">
        <v>902</v>
      </c>
      <c r="B1113" s="286"/>
      <c r="C1113" s="286"/>
      <c r="D1113" s="905" t="s">
        <v>903</v>
      </c>
      <c r="E1113" s="41"/>
      <c r="F1113" s="400" t="str">
        <f>IF(LEN('Verification Report'!W1114)=0,"",'Verification Report'!W1114)</f>
        <v/>
      </c>
      <c r="G1113" t="s">
        <v>247</v>
      </c>
    </row>
    <row r="1114" spans="1:7" hidden="1" x14ac:dyDescent="0.35">
      <c r="A1114" s="4"/>
      <c r="B1114" s="90"/>
      <c r="C1114" s="90"/>
      <c r="D1114" s="838"/>
      <c r="E1114" s="41"/>
      <c r="G1114" t="s">
        <v>247</v>
      </c>
    </row>
    <row r="1115" spans="1:7" hidden="1" x14ac:dyDescent="0.35">
      <c r="A1115" s="4"/>
      <c r="B1115" s="90"/>
      <c r="C1115" s="90"/>
      <c r="D1115" s="838"/>
      <c r="E1115" s="41"/>
      <c r="G1115" t="s">
        <v>247</v>
      </c>
    </row>
    <row r="1116" spans="1:7" hidden="1" x14ac:dyDescent="0.35">
      <c r="A1116" s="4"/>
      <c r="B1116" s="90"/>
      <c r="C1116" s="90"/>
      <c r="D1116" s="838"/>
      <c r="E1116" s="41"/>
      <c r="G1116" t="s">
        <v>247</v>
      </c>
    </row>
    <row r="1117" spans="1:7" hidden="1" x14ac:dyDescent="0.35">
      <c r="A1117" s="4"/>
      <c r="B1117" s="90"/>
      <c r="C1117" s="90"/>
      <c r="D1117" s="838"/>
      <c r="E1117" s="41"/>
      <c r="G1117" t="s">
        <v>247</v>
      </c>
    </row>
    <row r="1118" spans="1:7" hidden="1" x14ac:dyDescent="0.35">
      <c r="A1118" s="4"/>
      <c r="B1118" s="90"/>
      <c r="C1118" s="90"/>
      <c r="D1118" s="838"/>
      <c r="E1118" s="41"/>
      <c r="G1118" t="s">
        <v>247</v>
      </c>
    </row>
    <row r="1119" spans="1:7" hidden="1" x14ac:dyDescent="0.35">
      <c r="A1119" s="4"/>
      <c r="B1119" s="90"/>
      <c r="C1119" s="90"/>
      <c r="D1119" s="838"/>
      <c r="E1119" s="41"/>
      <c r="G1119" t="s">
        <v>247</v>
      </c>
    </row>
    <row r="1120" spans="1:7" hidden="1" x14ac:dyDescent="0.35">
      <c r="A1120" s="133"/>
      <c r="B1120" s="228"/>
      <c r="C1120" s="228"/>
      <c r="D1120" s="889"/>
      <c r="E1120" s="41"/>
      <c r="G1120" t="s">
        <v>247</v>
      </c>
    </row>
    <row r="1121" spans="1:7" ht="15" hidden="1" customHeight="1" x14ac:dyDescent="0.35">
      <c r="A1121" s="32" t="s">
        <v>904</v>
      </c>
      <c r="B1121" s="90"/>
      <c r="C1121" s="90"/>
      <c r="D1121" s="838" t="s">
        <v>905</v>
      </c>
      <c r="E1121" s="41">
        <f ca="1">'Verification Report'!O1122</f>
        <v>0</v>
      </c>
      <c r="F1121" s="400" t="str">
        <f>IF(LEN('Verification Report'!W1122)=0,"",'Verification Report'!W1122)</f>
        <v/>
      </c>
      <c r="G1121" t="s">
        <v>247</v>
      </c>
    </row>
    <row r="1122" spans="1:7" hidden="1" x14ac:dyDescent="0.35">
      <c r="A1122" s="4"/>
      <c r="B1122" s="90"/>
      <c r="C1122" s="90"/>
      <c r="D1122" s="838"/>
      <c r="E1122" s="41"/>
      <c r="G1122" t="s">
        <v>247</v>
      </c>
    </row>
    <row r="1123" spans="1:7" hidden="1" x14ac:dyDescent="0.35">
      <c r="A1123" s="4"/>
      <c r="B1123" s="90"/>
      <c r="C1123" s="90"/>
      <c r="D1123" s="838"/>
      <c r="E1123" s="41"/>
      <c r="G1123" t="s">
        <v>247</v>
      </c>
    </row>
    <row r="1124" spans="1:7" hidden="1" x14ac:dyDescent="0.35">
      <c r="A1124" s="4"/>
      <c r="B1124" s="90"/>
      <c r="C1124" s="90"/>
      <c r="D1124" s="838"/>
      <c r="E1124" s="41"/>
      <c r="G1124" t="s">
        <v>247</v>
      </c>
    </row>
    <row r="1125" spans="1:7" hidden="1" x14ac:dyDescent="0.35">
      <c r="A1125" s="4"/>
      <c r="B1125" s="90"/>
      <c r="C1125" s="90"/>
      <c r="D1125" s="838"/>
      <c r="E1125" s="41"/>
      <c r="G1125" t="s">
        <v>247</v>
      </c>
    </row>
    <row r="1126" spans="1:7" hidden="1" x14ac:dyDescent="0.35">
      <c r="A1126" s="4"/>
      <c r="B1126" s="90"/>
      <c r="C1126" s="326" t="s">
        <v>121</v>
      </c>
      <c r="D1126" s="281" t="s">
        <v>3479</v>
      </c>
      <c r="E1126" s="41"/>
      <c r="G1126" t="s">
        <v>247</v>
      </c>
    </row>
    <row r="1127" spans="1:7" hidden="1" x14ac:dyDescent="0.35">
      <c r="A1127" s="4"/>
      <c r="B1127" s="90"/>
      <c r="C1127" s="326" t="s">
        <v>122</v>
      </c>
      <c r="D1127" s="281" t="s">
        <v>3478</v>
      </c>
      <c r="E1127" s="41"/>
      <c r="G1127" t="s">
        <v>247</v>
      </c>
    </row>
    <row r="1128" spans="1:7" hidden="1" x14ac:dyDescent="0.35">
      <c r="A1128" s="133"/>
      <c r="B1128" s="228"/>
      <c r="C1128" s="345" t="s">
        <v>123</v>
      </c>
      <c r="D1128" s="177" t="s">
        <v>3477</v>
      </c>
      <c r="E1128" s="41"/>
      <c r="G1128" t="s">
        <v>247</v>
      </c>
    </row>
    <row r="1129" spans="1:7" ht="15" hidden="1" customHeight="1" x14ac:dyDescent="0.35">
      <c r="A1129" s="32" t="s">
        <v>906</v>
      </c>
      <c r="B1129" s="90"/>
      <c r="D1129" s="838" t="s">
        <v>907</v>
      </c>
      <c r="E1129" s="41"/>
      <c r="F1129" s="400" t="str">
        <f>IF(LEN('Verification Report'!W1130)=0,"",'Verification Report'!W1130)</f>
        <v/>
      </c>
      <c r="G1129" t="s">
        <v>247</v>
      </c>
    </row>
    <row r="1130" spans="1:7" hidden="1" x14ac:dyDescent="0.35">
      <c r="A1130" s="4"/>
      <c r="B1130" s="90"/>
      <c r="C1130" s="90"/>
      <c r="D1130" s="838"/>
      <c r="E1130" s="41"/>
      <c r="G1130" t="s">
        <v>247</v>
      </c>
    </row>
    <row r="1131" spans="1:7" hidden="1" x14ac:dyDescent="0.35">
      <c r="A1131" s="4"/>
      <c r="B1131" s="90"/>
      <c r="C1131" s="90"/>
      <c r="D1131" s="838"/>
      <c r="E1131" s="41"/>
      <c r="G1131" t="s">
        <v>247</v>
      </c>
    </row>
    <row r="1132" spans="1:7" hidden="1" x14ac:dyDescent="0.35">
      <c r="A1132" s="4"/>
      <c r="B1132" s="90"/>
      <c r="C1132" s="90"/>
      <c r="D1132" s="838"/>
      <c r="E1132" s="41"/>
      <c r="G1132" t="s">
        <v>247</v>
      </c>
    </row>
    <row r="1133" spans="1:7" hidden="1" x14ac:dyDescent="0.35">
      <c r="A1133" s="4"/>
      <c r="B1133" s="90"/>
      <c r="C1133" s="90"/>
      <c r="D1133" s="838"/>
      <c r="E1133" s="41"/>
      <c r="G1133" t="s">
        <v>247</v>
      </c>
    </row>
    <row r="1134" spans="1:7" hidden="1" x14ac:dyDescent="0.35">
      <c r="A1134" s="4"/>
      <c r="B1134" s="90"/>
      <c r="C1134" s="90"/>
      <c r="D1134" s="838"/>
      <c r="E1134" s="41"/>
      <c r="G1134" t="s">
        <v>247</v>
      </c>
    </row>
    <row r="1135" spans="1:7" hidden="1" x14ac:dyDescent="0.35">
      <c r="A1135" s="4"/>
      <c r="B1135" s="90"/>
      <c r="C1135" s="90"/>
      <c r="D1135" s="838"/>
      <c r="E1135" s="41"/>
      <c r="G1135" t="s">
        <v>247</v>
      </c>
    </row>
    <row r="1136" spans="1:7" hidden="1" x14ac:dyDescent="0.35">
      <c r="A1136" s="4"/>
      <c r="B1136" s="90"/>
      <c r="C1136" s="90"/>
      <c r="D1136" s="838"/>
      <c r="E1136" s="41"/>
      <c r="G1136" t="s">
        <v>247</v>
      </c>
    </row>
    <row r="1137" spans="1:7" ht="15" hidden="1" thickBot="1" x14ac:dyDescent="0.4">
      <c r="A1137" s="160"/>
      <c r="B1137" s="229"/>
      <c r="C1137" s="229"/>
      <c r="D1137" s="849"/>
      <c r="E1137" s="72"/>
      <c r="G1137" t="s">
        <v>247</v>
      </c>
    </row>
    <row r="1138" spans="1:7" hidden="1" x14ac:dyDescent="0.35">
      <c r="A1138" s="19">
        <v>703.3</v>
      </c>
      <c r="B1138" s="90"/>
      <c r="C1138" s="90"/>
      <c r="D1138" s="95" t="s">
        <v>909</v>
      </c>
      <c r="E1138" s="41"/>
      <c r="G1138" t="s">
        <v>247</v>
      </c>
    </row>
    <row r="1139" spans="1:7" ht="15" hidden="1" customHeight="1" x14ac:dyDescent="0.35">
      <c r="A1139" s="32" t="s">
        <v>908</v>
      </c>
      <c r="B1139" s="90"/>
      <c r="C1139" s="90"/>
      <c r="D1139" s="838" t="s">
        <v>910</v>
      </c>
      <c r="E1139" s="41"/>
      <c r="G1139" t="s">
        <v>247</v>
      </c>
    </row>
    <row r="1140" spans="1:7" hidden="1" x14ac:dyDescent="0.35">
      <c r="A1140" s="4"/>
      <c r="B1140" s="90"/>
      <c r="C1140" s="90"/>
      <c r="D1140" s="838"/>
      <c r="E1140" s="41"/>
      <c r="F1140" s="400" t="str">
        <f>IF(LEN('Verification Report'!W1141)=0,"",'Verification Report'!W1141)</f>
        <v/>
      </c>
      <c r="G1140" t="s">
        <v>247</v>
      </c>
    </row>
    <row r="1141" spans="1:7" hidden="1" x14ac:dyDescent="0.35">
      <c r="A1141" s="4"/>
      <c r="B1141" s="90"/>
      <c r="C1141" s="90"/>
      <c r="D1141" s="838"/>
      <c r="E1141" s="41"/>
      <c r="G1141" t="s">
        <v>247</v>
      </c>
    </row>
    <row r="1142" spans="1:7" hidden="1" x14ac:dyDescent="0.35">
      <c r="A1142" s="4"/>
      <c r="B1142" s="90"/>
      <c r="C1142" s="90"/>
      <c r="D1142" s="838"/>
      <c r="E1142" s="41"/>
      <c r="G1142" t="s">
        <v>247</v>
      </c>
    </row>
    <row r="1143" spans="1:7" hidden="1" x14ac:dyDescent="0.35">
      <c r="A1143" s="4"/>
      <c r="B1143" s="90"/>
      <c r="C1143" s="90"/>
      <c r="D1143" s="838"/>
      <c r="E1143" s="41"/>
      <c r="G1143" t="s">
        <v>247</v>
      </c>
    </row>
    <row r="1144" spans="1:7" hidden="1" x14ac:dyDescent="0.35">
      <c r="A1144" s="4"/>
      <c r="B1144" s="90"/>
      <c r="C1144" s="90"/>
      <c r="D1144" s="838"/>
      <c r="E1144" s="41"/>
      <c r="G1144" t="s">
        <v>247</v>
      </c>
    </row>
    <row r="1145" spans="1:7" hidden="1" x14ac:dyDescent="0.35">
      <c r="A1145" s="4"/>
      <c r="B1145" s="90"/>
      <c r="C1145" s="90"/>
      <c r="D1145" s="838"/>
      <c r="E1145" s="41"/>
      <c r="G1145" t="s">
        <v>247</v>
      </c>
    </row>
    <row r="1146" spans="1:7" hidden="1" x14ac:dyDescent="0.35">
      <c r="A1146" s="4"/>
      <c r="B1146" s="90"/>
      <c r="C1146" s="90"/>
      <c r="D1146" s="838"/>
      <c r="E1146" s="41"/>
      <c r="G1146" t="s">
        <v>247</v>
      </c>
    </row>
    <row r="1147" spans="1:7" hidden="1" x14ac:dyDescent="0.35">
      <c r="A1147" s="4"/>
      <c r="B1147" s="90"/>
      <c r="C1147" s="90"/>
      <c r="D1147" s="838"/>
      <c r="E1147" s="41"/>
      <c r="F1147" s="400" t="str">
        <f>IF(LEN('Verification Report'!W1148)=0,"",'Verification Report'!W1148)</f>
        <v/>
      </c>
      <c r="G1147" t="s">
        <v>247</v>
      </c>
    </row>
    <row r="1148" spans="1:7" ht="15" hidden="1" customHeight="1" x14ac:dyDescent="0.35">
      <c r="A1148" s="4"/>
      <c r="B1148" s="90"/>
      <c r="C1148" s="90"/>
      <c r="D1148" s="929" t="s">
        <v>1100</v>
      </c>
      <c r="E1148" s="41"/>
      <c r="G1148" t="s">
        <v>247</v>
      </c>
    </row>
    <row r="1149" spans="1:7" hidden="1" x14ac:dyDescent="0.35">
      <c r="A1149" s="4"/>
      <c r="B1149" s="90"/>
      <c r="C1149" s="90"/>
      <c r="D1149" s="929"/>
      <c r="E1149" s="41"/>
      <c r="G1149" t="s">
        <v>247</v>
      </c>
    </row>
    <row r="1150" spans="1:7" hidden="1" x14ac:dyDescent="0.35">
      <c r="A1150" s="4"/>
      <c r="B1150" s="90"/>
      <c r="C1150" s="90"/>
      <c r="D1150" s="154" t="s">
        <v>911</v>
      </c>
      <c r="E1150" s="41"/>
      <c r="G1150" t="s">
        <v>247</v>
      </c>
    </row>
    <row r="1151" spans="1:7" hidden="1" x14ac:dyDescent="0.35">
      <c r="A1151" s="4"/>
      <c r="B1151" s="90"/>
      <c r="C1151" s="90"/>
      <c r="D1151" s="154" t="s">
        <v>912</v>
      </c>
      <c r="E1151" s="41"/>
      <c r="G1151" t="s">
        <v>247</v>
      </c>
    </row>
    <row r="1152" spans="1:7" hidden="1" x14ac:dyDescent="0.35">
      <c r="A1152" s="133"/>
      <c r="B1152" s="228"/>
      <c r="C1152" s="228"/>
      <c r="D1152" s="337" t="s">
        <v>913</v>
      </c>
      <c r="E1152" s="41"/>
      <c r="G1152" t="s">
        <v>247</v>
      </c>
    </row>
    <row r="1153" spans="1:7" ht="15" hidden="1" customHeight="1" x14ac:dyDescent="0.35">
      <c r="A1153" s="32" t="s">
        <v>914</v>
      </c>
      <c r="B1153" s="90"/>
      <c r="C1153" s="90"/>
      <c r="D1153" s="883" t="s">
        <v>4275</v>
      </c>
      <c r="E1153" s="41">
        <f ca="1">'Verification Report'!O1154</f>
        <v>0</v>
      </c>
      <c r="F1153" s="400" t="str">
        <f>IF(LEN('Verification Report'!W1154)=0,"",'Verification Report'!W1154)</f>
        <v/>
      </c>
      <c r="G1153" t="s">
        <v>247</v>
      </c>
    </row>
    <row r="1154" spans="1:7" hidden="1" x14ac:dyDescent="0.35">
      <c r="A1154" s="4"/>
      <c r="B1154" s="90"/>
      <c r="C1154" s="90"/>
      <c r="D1154" s="881"/>
      <c r="E1154" s="41"/>
      <c r="G1154" t="s">
        <v>247</v>
      </c>
    </row>
    <row r="1155" spans="1:7" hidden="1" x14ac:dyDescent="0.35">
      <c r="A1155" s="4"/>
      <c r="B1155" s="90"/>
      <c r="C1155" s="90"/>
      <c r="D1155" s="881"/>
      <c r="E1155" s="41"/>
      <c r="G1155" t="s">
        <v>247</v>
      </c>
    </row>
    <row r="1156" spans="1:7" hidden="1" x14ac:dyDescent="0.35">
      <c r="A1156" s="4"/>
      <c r="B1156" s="90"/>
      <c r="C1156" s="90"/>
      <c r="D1156" s="881"/>
      <c r="E1156" s="41"/>
      <c r="G1156" t="s">
        <v>247</v>
      </c>
    </row>
    <row r="1157" spans="1:7" hidden="1" x14ac:dyDescent="0.35">
      <c r="A1157" s="133"/>
      <c r="B1157" s="228"/>
      <c r="C1157" s="228"/>
      <c r="D1157" s="882"/>
      <c r="E1157" s="546"/>
      <c r="G1157" t="s">
        <v>247</v>
      </c>
    </row>
    <row r="1158" spans="1:7" hidden="1" x14ac:dyDescent="0.35">
      <c r="A1158" s="32" t="s">
        <v>915</v>
      </c>
      <c r="B1158" s="90"/>
      <c r="C1158" s="90"/>
      <c r="D1158" s="95" t="s">
        <v>916</v>
      </c>
      <c r="E1158" s="41"/>
      <c r="G1158" t="s">
        <v>247</v>
      </c>
    </row>
    <row r="1159" spans="1:7" hidden="1" x14ac:dyDescent="0.35">
      <c r="A1159" s="4"/>
      <c r="B1159" s="152" t="s">
        <v>256</v>
      </c>
      <c r="C1159" s="90"/>
      <c r="D1159" s="90" t="s">
        <v>917</v>
      </c>
      <c r="E1159" s="41">
        <f ca="1">'Verification Report'!O1160</f>
        <v>0</v>
      </c>
      <c r="G1159" t="s">
        <v>247</v>
      </c>
    </row>
    <row r="1160" spans="1:7" hidden="1" x14ac:dyDescent="0.35">
      <c r="A1160" s="4"/>
      <c r="B1160" s="152"/>
      <c r="C1160" s="90"/>
      <c r="D1160" s="90" t="s">
        <v>3769</v>
      </c>
      <c r="E1160" s="41"/>
      <c r="F1160" s="400" t="str">
        <f>IF(LEN('Verification Report'!W1161)=0,"",'Verification Report'!W1161)</f>
        <v/>
      </c>
      <c r="G1160" t="s">
        <v>247</v>
      </c>
    </row>
    <row r="1161" spans="1:7" hidden="1" x14ac:dyDescent="0.35">
      <c r="A1161" s="4"/>
      <c r="B1161" s="152"/>
      <c r="C1161" s="90"/>
      <c r="D1161" s="90" t="s">
        <v>3770</v>
      </c>
      <c r="E1161" s="41"/>
      <c r="G1161" t="s">
        <v>247</v>
      </c>
    </row>
    <row r="1162" spans="1:7" hidden="1" x14ac:dyDescent="0.35">
      <c r="A1162" s="4"/>
      <c r="B1162" s="152"/>
      <c r="C1162" s="90"/>
      <c r="D1162" s="90" t="s">
        <v>3771</v>
      </c>
      <c r="E1162" s="41"/>
      <c r="G1162" t="s">
        <v>247</v>
      </c>
    </row>
    <row r="1163" spans="1:7" hidden="1" x14ac:dyDescent="0.35">
      <c r="A1163" s="4"/>
      <c r="B1163" s="152"/>
      <c r="C1163" s="90"/>
      <c r="D1163" s="90" t="s">
        <v>3772</v>
      </c>
      <c r="E1163" s="41"/>
      <c r="G1163" t="s">
        <v>247</v>
      </c>
    </row>
    <row r="1164" spans="1:7" hidden="1" x14ac:dyDescent="0.35">
      <c r="A1164" s="4"/>
      <c r="B1164" s="228"/>
      <c r="C1164" s="228"/>
      <c r="D1164" s="228" t="s">
        <v>3773</v>
      </c>
      <c r="E1164" s="546"/>
      <c r="G1164" t="s">
        <v>247</v>
      </c>
    </row>
    <row r="1165" spans="1:7" hidden="1" x14ac:dyDescent="0.35">
      <c r="A1165" s="4"/>
      <c r="B1165" s="152" t="s">
        <v>258</v>
      </c>
      <c r="C1165" s="90"/>
      <c r="D1165" s="90" t="s">
        <v>918</v>
      </c>
      <c r="E1165" s="41">
        <f ca="1">'Verification Report'!O1166</f>
        <v>0</v>
      </c>
      <c r="G1165" t="s">
        <v>247</v>
      </c>
    </row>
    <row r="1166" spans="1:7" hidden="1" x14ac:dyDescent="0.35">
      <c r="A1166" s="4"/>
      <c r="B1166" s="152"/>
      <c r="C1166" s="90"/>
      <c r="D1166" s="90" t="s">
        <v>3774</v>
      </c>
      <c r="E1166" s="41"/>
      <c r="F1166" s="400" t="str">
        <f>IF(LEN('Verification Report'!W1167)=0,"",'Verification Report'!W1167)</f>
        <v/>
      </c>
      <c r="G1166" t="s">
        <v>247</v>
      </c>
    </row>
    <row r="1167" spans="1:7" hidden="1" x14ac:dyDescent="0.35">
      <c r="A1167" s="4"/>
      <c r="B1167" s="228"/>
      <c r="C1167" s="228"/>
      <c r="D1167" s="228" t="s">
        <v>3769</v>
      </c>
      <c r="E1167" s="546"/>
      <c r="G1167" t="s">
        <v>247</v>
      </c>
    </row>
    <row r="1168" spans="1:7" hidden="1" x14ac:dyDescent="0.35">
      <c r="A1168" s="4"/>
      <c r="B1168" s="152" t="s">
        <v>260</v>
      </c>
      <c r="C1168" s="90"/>
      <c r="D1168" s="90" t="s">
        <v>919</v>
      </c>
      <c r="E1168" s="41">
        <f ca="1">'Verification Report'!O1169</f>
        <v>0</v>
      </c>
      <c r="G1168" t="s">
        <v>247</v>
      </c>
    </row>
    <row r="1169" spans="1:7" hidden="1" x14ac:dyDescent="0.35">
      <c r="A1169" s="4"/>
      <c r="B1169" s="152"/>
      <c r="C1169" s="90"/>
      <c r="D1169" s="90" t="s">
        <v>3774</v>
      </c>
      <c r="E1169" s="41"/>
      <c r="F1169" s="400" t="str">
        <f>IF(LEN('Verification Report'!W1170)=0,"",'Verification Report'!W1170)</f>
        <v/>
      </c>
      <c r="G1169" t="s">
        <v>247</v>
      </c>
    </row>
    <row r="1170" spans="1:7" hidden="1" x14ac:dyDescent="0.35">
      <c r="A1170" s="4"/>
      <c r="B1170" s="152"/>
      <c r="C1170" s="90"/>
      <c r="D1170" s="90" t="s">
        <v>3769</v>
      </c>
      <c r="E1170" s="41"/>
      <c r="G1170" t="s">
        <v>247</v>
      </c>
    </row>
    <row r="1171" spans="1:7" hidden="1" x14ac:dyDescent="0.35">
      <c r="A1171" s="4"/>
      <c r="B1171" s="152"/>
      <c r="C1171" s="90"/>
      <c r="D1171" s="90" t="s">
        <v>3771</v>
      </c>
      <c r="E1171" s="41"/>
      <c r="G1171" t="s">
        <v>247</v>
      </c>
    </row>
    <row r="1172" spans="1:7" hidden="1" x14ac:dyDescent="0.35">
      <c r="A1172" s="4"/>
      <c r="B1172" s="228"/>
      <c r="C1172" s="228"/>
      <c r="D1172" s="228" t="s">
        <v>3772</v>
      </c>
      <c r="E1172" s="546"/>
      <c r="G1172" t="s">
        <v>247</v>
      </c>
    </row>
    <row r="1173" spans="1:7" hidden="1" x14ac:dyDescent="0.35">
      <c r="A1173" s="4"/>
      <c r="B1173" s="152" t="s">
        <v>269</v>
      </c>
      <c r="C1173" s="90"/>
      <c r="D1173" s="90" t="s">
        <v>920</v>
      </c>
      <c r="E1173" s="41">
        <f ca="1">'Verification Report'!O1174</f>
        <v>0</v>
      </c>
      <c r="G1173" t="s">
        <v>247</v>
      </c>
    </row>
    <row r="1174" spans="1:7" hidden="1" x14ac:dyDescent="0.35">
      <c r="A1174" s="4"/>
      <c r="B1174" s="152"/>
      <c r="C1174" s="90"/>
      <c r="D1174" s="90" t="s">
        <v>3774</v>
      </c>
      <c r="E1174" s="41"/>
      <c r="F1174" s="400" t="str">
        <f>IF(LEN('Verification Report'!W1175)=0,"",'Verification Report'!W1175)</f>
        <v/>
      </c>
      <c r="G1174" t="s">
        <v>247</v>
      </c>
    </row>
    <row r="1175" spans="1:7" hidden="1" x14ac:dyDescent="0.35">
      <c r="A1175" s="133"/>
      <c r="B1175" s="228"/>
      <c r="C1175" s="228"/>
      <c r="D1175" s="228" t="s">
        <v>3769</v>
      </c>
      <c r="E1175" s="41"/>
      <c r="G1175" t="s">
        <v>247</v>
      </c>
    </row>
    <row r="1176" spans="1:7" ht="15" hidden="1" customHeight="1" x14ac:dyDescent="0.35">
      <c r="A1176" s="32" t="s">
        <v>921</v>
      </c>
      <c r="B1176" s="90"/>
      <c r="C1176" s="90"/>
      <c r="D1176" s="838" t="s">
        <v>922</v>
      </c>
      <c r="E1176" s="41"/>
      <c r="G1176" t="s">
        <v>247</v>
      </c>
    </row>
    <row r="1177" spans="1:7" hidden="1" x14ac:dyDescent="0.35">
      <c r="A1177" s="4"/>
      <c r="B1177" s="90"/>
      <c r="C1177" s="90"/>
      <c r="D1177" s="838"/>
      <c r="E1177" s="41"/>
      <c r="G1177" t="s">
        <v>247</v>
      </c>
    </row>
    <row r="1178" spans="1:7" hidden="1" x14ac:dyDescent="0.35">
      <c r="A1178" s="4"/>
      <c r="B1178" s="90"/>
      <c r="C1178" s="90"/>
      <c r="D1178" s="838"/>
      <c r="E1178" s="41"/>
      <c r="G1178" t="s">
        <v>247</v>
      </c>
    </row>
    <row r="1179" spans="1:7" hidden="1" x14ac:dyDescent="0.35">
      <c r="A1179" s="4"/>
      <c r="B1179" s="152" t="s">
        <v>256</v>
      </c>
      <c r="C1179" s="90"/>
      <c r="D1179" s="266" t="s">
        <v>3480</v>
      </c>
      <c r="E1179" s="41">
        <f ca="1">'Verification Report'!O1180</f>
        <v>0</v>
      </c>
      <c r="G1179" t="s">
        <v>247</v>
      </c>
    </row>
    <row r="1180" spans="1:7" hidden="1" x14ac:dyDescent="0.35">
      <c r="A1180" s="4"/>
      <c r="B1180" s="152"/>
      <c r="C1180" s="90"/>
      <c r="D1180" s="90" t="s">
        <v>3785</v>
      </c>
      <c r="E1180" s="41"/>
      <c r="F1180" s="400" t="str">
        <f>IF(LEN('Verification Report'!W1181)=0,"",'Verification Report'!W1181)</f>
        <v/>
      </c>
      <c r="G1180" t="s">
        <v>247</v>
      </c>
    </row>
    <row r="1181" spans="1:7" hidden="1" x14ac:dyDescent="0.35">
      <c r="A1181" s="4"/>
      <c r="B1181" s="152"/>
      <c r="C1181" s="90"/>
      <c r="D1181" s="90" t="s">
        <v>3786</v>
      </c>
      <c r="E1181" s="41"/>
      <c r="G1181" t="s">
        <v>247</v>
      </c>
    </row>
    <row r="1182" spans="1:7" hidden="1" x14ac:dyDescent="0.35">
      <c r="A1182" s="4"/>
      <c r="B1182" s="152"/>
      <c r="C1182" s="90"/>
      <c r="D1182" s="90" t="s">
        <v>3787</v>
      </c>
      <c r="E1182" s="41"/>
      <c r="G1182" t="s">
        <v>247</v>
      </c>
    </row>
    <row r="1183" spans="1:7" hidden="1" x14ac:dyDescent="0.35">
      <c r="A1183" s="4"/>
      <c r="B1183" s="152"/>
      <c r="C1183" s="90"/>
      <c r="D1183" s="90" t="s">
        <v>3788</v>
      </c>
      <c r="E1183" s="41"/>
      <c r="G1183" t="s">
        <v>247</v>
      </c>
    </row>
    <row r="1184" spans="1:7" hidden="1" x14ac:dyDescent="0.35">
      <c r="B1184" s="326"/>
      <c r="C1184" s="228"/>
      <c r="D1184" s="228" t="s">
        <v>4276</v>
      </c>
      <c r="E1184" s="546"/>
      <c r="G1184" t="s">
        <v>247</v>
      </c>
    </row>
    <row r="1185" spans="1:7" hidden="1" x14ac:dyDescent="0.35">
      <c r="B1185" s="402" t="s">
        <v>258</v>
      </c>
      <c r="C1185" s="402"/>
      <c r="D1185" s="470" t="s">
        <v>4864</v>
      </c>
      <c r="E1185" s="75">
        <f ca="1">'Verification Report'!O1186</f>
        <v>0</v>
      </c>
      <c r="F1185" s="400" t="str">
        <f>IF(LEN('Verification Report'!W1186)=0,"",'Verification Report'!W1186)</f>
        <v/>
      </c>
      <c r="G1185" t="s">
        <v>247</v>
      </c>
    </row>
    <row r="1186" spans="1:7" hidden="1" x14ac:dyDescent="0.35">
      <c r="B1186" s="416"/>
      <c r="C1186" s="416"/>
      <c r="D1186" s="477"/>
      <c r="E1186" s="309"/>
      <c r="G1186" t="s">
        <v>247</v>
      </c>
    </row>
    <row r="1187" spans="1:7" hidden="1" x14ac:dyDescent="0.35">
      <c r="A1187" s="133"/>
      <c r="B1187" s="326" t="s">
        <v>260</v>
      </c>
      <c r="C1187" s="228"/>
      <c r="D1187" s="281" t="s">
        <v>3789</v>
      </c>
      <c r="E1187" s="546">
        <f ca="1">'Verification Report'!O1188</f>
        <v>0</v>
      </c>
      <c r="F1187" s="400" t="str">
        <f>IF(LEN('Verification Report'!W1188)=0,"",'Verification Report'!W1188)</f>
        <v/>
      </c>
      <c r="G1187" t="s">
        <v>247</v>
      </c>
    </row>
    <row r="1188" spans="1:7" ht="15" hidden="1" customHeight="1" x14ac:dyDescent="0.35">
      <c r="A1188" s="32" t="s">
        <v>923</v>
      </c>
      <c r="B1188" s="90"/>
      <c r="C1188" s="90"/>
      <c r="D1188" s="919" t="s">
        <v>924</v>
      </c>
      <c r="E1188" s="41"/>
      <c r="G1188" t="s">
        <v>247</v>
      </c>
    </row>
    <row r="1189" spans="1:7" hidden="1" x14ac:dyDescent="0.35">
      <c r="A1189" s="4"/>
      <c r="B1189" s="90"/>
      <c r="C1189" s="90"/>
      <c r="D1189" s="919"/>
      <c r="E1189" s="41"/>
      <c r="G1189" t="s">
        <v>247</v>
      </c>
    </row>
    <row r="1190" spans="1:7" hidden="1" x14ac:dyDescent="0.35">
      <c r="A1190" s="4"/>
      <c r="B1190" s="90"/>
      <c r="C1190" s="90"/>
      <c r="D1190" s="919"/>
      <c r="E1190" s="41"/>
      <c r="G1190" t="s">
        <v>247</v>
      </c>
    </row>
    <row r="1191" spans="1:7" hidden="1" x14ac:dyDescent="0.35">
      <c r="A1191" s="4"/>
      <c r="B1191" s="152" t="s">
        <v>256</v>
      </c>
      <c r="C1191" s="90"/>
      <c r="D1191" s="266" t="s">
        <v>3798</v>
      </c>
      <c r="E1191" s="41">
        <f ca="1">'Verification Report'!O1192</f>
        <v>0</v>
      </c>
      <c r="G1191" t="s">
        <v>247</v>
      </c>
    </row>
    <row r="1192" spans="1:7" hidden="1" x14ac:dyDescent="0.35">
      <c r="A1192" s="4"/>
      <c r="B1192" s="152"/>
      <c r="C1192" s="90"/>
      <c r="D1192" s="90" t="s">
        <v>3792</v>
      </c>
      <c r="E1192" s="41"/>
      <c r="F1192" s="400" t="str">
        <f>IF(LEN('Verification Report'!W1193)=0,"",'Verification Report'!W1193)</f>
        <v/>
      </c>
      <c r="G1192" t="s">
        <v>247</v>
      </c>
    </row>
    <row r="1193" spans="1:7" hidden="1" x14ac:dyDescent="0.35">
      <c r="A1193" s="4"/>
      <c r="B1193" s="152"/>
      <c r="C1193" s="90"/>
      <c r="D1193" s="90" t="s">
        <v>3793</v>
      </c>
      <c r="E1193" s="41"/>
      <c r="G1193" t="s">
        <v>247</v>
      </c>
    </row>
    <row r="1194" spans="1:7" hidden="1" x14ac:dyDescent="0.35">
      <c r="A1194" s="4"/>
      <c r="B1194" s="152"/>
      <c r="C1194" s="90"/>
      <c r="D1194" s="90" t="s">
        <v>3794</v>
      </c>
      <c r="E1194" s="41"/>
      <c r="G1194" t="s">
        <v>247</v>
      </c>
    </row>
    <row r="1195" spans="1:7" hidden="1" x14ac:dyDescent="0.35">
      <c r="A1195" s="4"/>
      <c r="B1195" s="152"/>
      <c r="C1195" s="90"/>
      <c r="D1195" s="90" t="s">
        <v>3795</v>
      </c>
      <c r="E1195" s="41"/>
      <c r="G1195" t="s">
        <v>247</v>
      </c>
    </row>
    <row r="1196" spans="1:7" hidden="1" x14ac:dyDescent="0.35">
      <c r="D1196" s="90" t="s">
        <v>4277</v>
      </c>
      <c r="E1196" s="41"/>
      <c r="G1196" t="s">
        <v>247</v>
      </c>
    </row>
    <row r="1197" spans="1:7" ht="15" hidden="1" customHeight="1" x14ac:dyDescent="0.35">
      <c r="A1197" s="4"/>
      <c r="C1197" s="152" t="s">
        <v>3797</v>
      </c>
      <c r="D1197" s="848" t="s">
        <v>3796</v>
      </c>
      <c r="E1197" s="41">
        <f ca="1">'Verification Report'!O1198</f>
        <v>0</v>
      </c>
      <c r="F1197" s="400" t="str">
        <f>IF(LEN('Verification Report'!W1198)=0,"",'Verification Report'!W1198)</f>
        <v/>
      </c>
      <c r="G1197" t="s">
        <v>247</v>
      </c>
    </row>
    <row r="1198" spans="1:7" hidden="1" x14ac:dyDescent="0.35">
      <c r="A1198" s="4"/>
      <c r="B1198" s="326"/>
      <c r="C1198" s="228"/>
      <c r="D1198" s="821"/>
      <c r="E1198" s="546"/>
      <c r="G1198" t="s">
        <v>247</v>
      </c>
    </row>
    <row r="1199" spans="1:7" hidden="1" x14ac:dyDescent="0.35">
      <c r="A1199" s="133"/>
      <c r="B1199" s="326" t="s">
        <v>258</v>
      </c>
      <c r="C1199" s="228"/>
      <c r="D1199" s="281" t="s">
        <v>3799</v>
      </c>
      <c r="E1199" s="546">
        <f ca="1">'Verification Report'!O1200</f>
        <v>0</v>
      </c>
      <c r="F1199" s="400" t="str">
        <f>IF(LEN('Verification Report'!W1200)=0,"",'Verification Report'!W1200)</f>
        <v/>
      </c>
      <c r="G1199" t="s">
        <v>247</v>
      </c>
    </row>
    <row r="1200" spans="1:7" ht="15" hidden="1" customHeight="1" x14ac:dyDescent="0.35">
      <c r="A1200" s="330" t="s">
        <v>925</v>
      </c>
      <c r="B1200" s="286"/>
      <c r="C1200" s="286"/>
      <c r="D1200" s="905" t="s">
        <v>926</v>
      </c>
      <c r="E1200" s="552">
        <f ca="1">'Verification Report'!O1201</f>
        <v>0</v>
      </c>
      <c r="F1200" s="400" t="str">
        <f>IF(LEN('Verification Report'!W1201)=0,"",'Verification Report'!W1201)</f>
        <v/>
      </c>
      <c r="G1200" t="s">
        <v>247</v>
      </c>
    </row>
    <row r="1201" spans="1:7" hidden="1" x14ac:dyDescent="0.35">
      <c r="A1201" s="4"/>
      <c r="B1201" s="90"/>
      <c r="C1201" s="90"/>
      <c r="D1201" s="838"/>
      <c r="E1201" s="41"/>
      <c r="G1201" t="s">
        <v>247</v>
      </c>
    </row>
    <row r="1202" spans="1:7" hidden="1" x14ac:dyDescent="0.35">
      <c r="A1202" s="4"/>
      <c r="B1202" s="90"/>
      <c r="C1202" s="90"/>
      <c r="D1202" s="838"/>
      <c r="E1202" s="41"/>
      <c r="G1202" t="s">
        <v>247</v>
      </c>
    </row>
    <row r="1203" spans="1:7" hidden="1" x14ac:dyDescent="0.35">
      <c r="A1203" s="133"/>
      <c r="B1203" s="228"/>
      <c r="C1203" s="228"/>
      <c r="D1203" s="228" t="s">
        <v>3801</v>
      </c>
      <c r="E1203" s="546"/>
      <c r="G1203" t="s">
        <v>247</v>
      </c>
    </row>
    <row r="1204" spans="1:7" ht="15" hidden="1" customHeight="1" x14ac:dyDescent="0.35">
      <c r="A1204" s="32" t="s">
        <v>927</v>
      </c>
      <c r="B1204" s="90"/>
      <c r="C1204" s="90"/>
      <c r="D1204" s="919" t="s">
        <v>3835</v>
      </c>
      <c r="E1204" s="41">
        <f ca="1">'Verification Report'!O1205</f>
        <v>0</v>
      </c>
      <c r="G1204" t="s">
        <v>247</v>
      </c>
    </row>
    <row r="1205" spans="1:7" hidden="1" x14ac:dyDescent="0.35">
      <c r="A1205" s="4"/>
      <c r="B1205" s="90"/>
      <c r="C1205" s="90"/>
      <c r="D1205" s="919"/>
      <c r="E1205" s="41"/>
      <c r="F1205" s="400" t="str">
        <f>IF(LEN('Verification Report'!W1206)=0,"",'Verification Report'!W1206)</f>
        <v/>
      </c>
      <c r="G1205" t="s">
        <v>247</v>
      </c>
    </row>
    <row r="1206" spans="1:7" hidden="1" x14ac:dyDescent="0.35">
      <c r="A1206" s="4"/>
      <c r="B1206" s="90"/>
      <c r="C1206" s="90"/>
      <c r="D1206" s="919"/>
      <c r="E1206" s="41"/>
      <c r="G1206" t="s">
        <v>247</v>
      </c>
    </row>
    <row r="1207" spans="1:7" hidden="1" x14ac:dyDescent="0.35">
      <c r="A1207" s="4"/>
      <c r="B1207" s="90"/>
      <c r="C1207" s="90"/>
      <c r="D1207" s="90" t="s">
        <v>3802</v>
      </c>
      <c r="E1207" s="41"/>
      <c r="G1207" t="s">
        <v>247</v>
      </c>
    </row>
    <row r="1208" spans="1:7" hidden="1" x14ac:dyDescent="0.35">
      <c r="A1208" s="4"/>
      <c r="B1208" s="90"/>
      <c r="C1208" s="90"/>
      <c r="D1208" s="90" t="s">
        <v>3803</v>
      </c>
      <c r="E1208" s="41"/>
      <c r="G1208" t="s">
        <v>247</v>
      </c>
    </row>
    <row r="1209" spans="1:7" hidden="1" x14ac:dyDescent="0.35">
      <c r="A1209" s="133"/>
      <c r="B1209" s="228"/>
      <c r="C1209" s="228"/>
      <c r="D1209" s="228" t="s">
        <v>3804</v>
      </c>
      <c r="E1209" s="546"/>
      <c r="G1209" t="s">
        <v>247</v>
      </c>
    </row>
    <row r="1210" spans="1:7" hidden="1" x14ac:dyDescent="0.35">
      <c r="A1210" s="32" t="s">
        <v>928</v>
      </c>
      <c r="B1210" s="90"/>
      <c r="C1210" s="90"/>
      <c r="D1210" s="95" t="s">
        <v>929</v>
      </c>
      <c r="E1210" s="41">
        <f ca="1">'Verification Report'!O1211</f>
        <v>0</v>
      </c>
      <c r="F1210" s="400" t="str">
        <f>IF(LEN('Verification Report'!W1211)=0,"",'Verification Report'!W1211)</f>
        <v/>
      </c>
      <c r="G1210" t="s">
        <v>247</v>
      </c>
    </row>
    <row r="1211" spans="1:7" hidden="1" x14ac:dyDescent="0.35">
      <c r="A1211" s="4"/>
      <c r="B1211" s="90"/>
      <c r="C1211" s="90"/>
      <c r="D1211" s="91" t="s">
        <v>930</v>
      </c>
      <c r="E1211" s="41"/>
      <c r="G1211" t="s">
        <v>247</v>
      </c>
    </row>
    <row r="1212" spans="1:7" ht="15" hidden="1" customHeight="1" x14ac:dyDescent="0.35">
      <c r="A1212" s="4"/>
      <c r="B1212" s="90"/>
      <c r="C1212" s="90"/>
      <c r="D1212" s="919" t="s">
        <v>4278</v>
      </c>
      <c r="E1212" s="41"/>
      <c r="F1212" s="400" t="str">
        <f>IF(LEN('Verification Report'!W1213)=0,"",'Verification Report'!W1213)</f>
        <v/>
      </c>
      <c r="G1212" t="s">
        <v>247</v>
      </c>
    </row>
    <row r="1213" spans="1:7" hidden="1" x14ac:dyDescent="0.35">
      <c r="A1213" s="4"/>
      <c r="B1213" s="90"/>
      <c r="C1213" s="90"/>
      <c r="D1213" s="919"/>
      <c r="E1213" s="41"/>
      <c r="G1213" t="s">
        <v>247</v>
      </c>
    </row>
    <row r="1214" spans="1:7" hidden="1" x14ac:dyDescent="0.35">
      <c r="A1214" s="4"/>
      <c r="B1214" s="90"/>
      <c r="C1214" s="90"/>
      <c r="D1214" s="919"/>
      <c r="E1214" s="41"/>
      <c r="G1214" t="s">
        <v>247</v>
      </c>
    </row>
    <row r="1215" spans="1:7" hidden="1" x14ac:dyDescent="0.35">
      <c r="A1215" s="4"/>
      <c r="B1215" s="90"/>
      <c r="C1215" s="90"/>
      <c r="D1215" s="919"/>
      <c r="E1215" s="41"/>
      <c r="G1215" t="s">
        <v>247</v>
      </c>
    </row>
    <row r="1216" spans="1:7" hidden="1" x14ac:dyDescent="0.35">
      <c r="A1216" s="133"/>
      <c r="B1216" s="228"/>
      <c r="C1216" s="228"/>
      <c r="D1216" s="284" t="s">
        <v>3777</v>
      </c>
      <c r="E1216" s="546"/>
      <c r="G1216" t="s">
        <v>247</v>
      </c>
    </row>
    <row r="1217" spans="1:7" ht="15" hidden="1" customHeight="1" x14ac:dyDescent="0.35">
      <c r="A1217" s="330" t="s">
        <v>931</v>
      </c>
      <c r="B1217" s="286"/>
      <c r="C1217" s="286"/>
      <c r="D1217" s="921" t="s">
        <v>4279</v>
      </c>
      <c r="E1217" s="552">
        <f ca="1">'Verification Report'!O1218</f>
        <v>0</v>
      </c>
      <c r="F1217" s="400" t="str">
        <f>IF(LEN('Verification Report'!W1218)=0,"",'Verification Report'!W1218)</f>
        <v/>
      </c>
      <c r="G1217" t="s">
        <v>247</v>
      </c>
    </row>
    <row r="1218" spans="1:7" hidden="1" x14ac:dyDescent="0.35">
      <c r="A1218" s="4"/>
      <c r="B1218" s="90"/>
      <c r="C1218" s="90"/>
      <c r="D1218" s="919"/>
      <c r="E1218" s="41"/>
      <c r="G1218" t="s">
        <v>247</v>
      </c>
    </row>
    <row r="1219" spans="1:7" hidden="1" x14ac:dyDescent="0.35">
      <c r="A1219" s="4"/>
      <c r="B1219" s="90"/>
      <c r="C1219" s="90"/>
      <c r="D1219" s="92" t="s">
        <v>930</v>
      </c>
      <c r="E1219" s="41"/>
      <c r="G1219" t="s">
        <v>247</v>
      </c>
    </row>
    <row r="1220" spans="1:7" ht="15" hidden="1" customHeight="1" x14ac:dyDescent="0.35">
      <c r="A1220" s="4"/>
      <c r="B1220" s="90"/>
      <c r="C1220" s="90"/>
      <c r="D1220" s="855" t="s">
        <v>3776</v>
      </c>
      <c r="E1220" s="41"/>
      <c r="G1220" t="s">
        <v>247</v>
      </c>
    </row>
    <row r="1221" spans="1:7" ht="15" hidden="1" thickBot="1" x14ac:dyDescent="0.4">
      <c r="A1221" s="160"/>
      <c r="B1221" s="229"/>
      <c r="C1221" s="229"/>
      <c r="D1221" s="922"/>
      <c r="E1221" s="72"/>
      <c r="G1221" t="s">
        <v>247</v>
      </c>
    </row>
    <row r="1222" spans="1:7" hidden="1" x14ac:dyDescent="0.35">
      <c r="A1222" s="30">
        <v>703.4</v>
      </c>
      <c r="B1222" s="90"/>
      <c r="C1222" s="90"/>
      <c r="D1222" s="95" t="s">
        <v>932</v>
      </c>
      <c r="E1222" s="41"/>
      <c r="G1222" t="s">
        <v>247</v>
      </c>
    </row>
    <row r="1223" spans="1:7" hidden="1" x14ac:dyDescent="0.35">
      <c r="A1223" s="30" t="s">
        <v>933</v>
      </c>
      <c r="B1223" s="90"/>
      <c r="C1223" s="90"/>
      <c r="D1223" s="95" t="s">
        <v>934</v>
      </c>
      <c r="E1223" s="41">
        <f ca="1">'Verification Report'!O1224</f>
        <v>0</v>
      </c>
      <c r="F1223" s="400" t="str">
        <f>IF(LEN('Verification Report'!W1224)=0,"",'Verification Report'!W1224)</f>
        <v/>
      </c>
      <c r="G1223" t="s">
        <v>247</v>
      </c>
    </row>
    <row r="1224" spans="1:7" hidden="1" x14ac:dyDescent="0.35">
      <c r="A1224" s="133"/>
      <c r="B1224" s="228"/>
      <c r="C1224" s="228"/>
      <c r="D1224" s="284" t="s">
        <v>935</v>
      </c>
      <c r="E1224" s="546"/>
      <c r="G1224" t="s">
        <v>247</v>
      </c>
    </row>
    <row r="1225" spans="1:7" hidden="1" x14ac:dyDescent="0.35">
      <c r="A1225" s="117" t="s">
        <v>936</v>
      </c>
      <c r="B1225" s="286"/>
      <c r="C1225" s="286"/>
      <c r="D1225" s="325" t="s">
        <v>937</v>
      </c>
      <c r="E1225" s="552">
        <f ca="1">'Verification Report'!O1226</f>
        <v>0</v>
      </c>
      <c r="F1225" s="400" t="str">
        <f>IF(LEN('Verification Report'!W1226)=0,"",'Verification Report'!W1226)</f>
        <v/>
      </c>
      <c r="G1225" t="s">
        <v>247</v>
      </c>
    </row>
    <row r="1226" spans="1:7" hidden="1" x14ac:dyDescent="0.35">
      <c r="A1226" s="133"/>
      <c r="B1226" s="228"/>
      <c r="C1226" s="228"/>
      <c r="D1226" s="284" t="s">
        <v>935</v>
      </c>
      <c r="E1226" s="546"/>
      <c r="G1226" t="s">
        <v>247</v>
      </c>
    </row>
    <row r="1227" spans="1:7" hidden="1" x14ac:dyDescent="0.35">
      <c r="A1227" s="30" t="s">
        <v>938</v>
      </c>
      <c r="B1227" s="90"/>
      <c r="C1227" s="90"/>
      <c r="D1227" s="95" t="s">
        <v>939</v>
      </c>
      <c r="E1227" s="41">
        <f ca="1">'Verification Report'!O1228</f>
        <v>0</v>
      </c>
      <c r="G1227" t="s">
        <v>247</v>
      </c>
    </row>
    <row r="1228" spans="1:7" hidden="1" x14ac:dyDescent="0.35">
      <c r="A1228" s="4"/>
      <c r="B1228" s="326" t="s">
        <v>256</v>
      </c>
      <c r="C1228" s="228"/>
      <c r="D1228" s="228" t="s">
        <v>940</v>
      </c>
      <c r="E1228" s="41"/>
      <c r="F1228" s="400" t="str">
        <f>IF(LEN('Verification Report'!W1229)=0,"",'Verification Report'!W1229)</f>
        <v/>
      </c>
      <c r="G1228" t="s">
        <v>247</v>
      </c>
    </row>
    <row r="1229" spans="1:7" ht="15" hidden="1" customHeight="1" x14ac:dyDescent="0.35">
      <c r="A1229" s="4"/>
      <c r="B1229" s="343" t="s">
        <v>258</v>
      </c>
      <c r="C1229" s="286"/>
      <c r="D1229" s="836" t="s">
        <v>941</v>
      </c>
      <c r="E1229" s="41"/>
      <c r="F1229" s="400" t="str">
        <f>IF(LEN('Verification Report'!W1230)=0,"",'Verification Report'!W1230)</f>
        <v/>
      </c>
      <c r="G1229" t="s">
        <v>247</v>
      </c>
    </row>
    <row r="1230" spans="1:7" hidden="1" x14ac:dyDescent="0.35">
      <c r="A1230" s="4"/>
      <c r="B1230" s="228"/>
      <c r="C1230" s="228"/>
      <c r="D1230" s="815"/>
      <c r="E1230" s="41"/>
      <c r="G1230" t="s">
        <v>247</v>
      </c>
    </row>
    <row r="1231" spans="1:7" hidden="1" x14ac:dyDescent="0.35">
      <c r="A1231" s="4"/>
      <c r="B1231" s="152" t="s">
        <v>260</v>
      </c>
      <c r="C1231" s="90"/>
      <c r="D1231" s="90" t="s">
        <v>942</v>
      </c>
      <c r="E1231" s="41"/>
      <c r="F1231" s="400" t="str">
        <f>IF(LEN('Verification Report'!W1232)=0,"",'Verification Report'!W1232)</f>
        <v/>
      </c>
      <c r="G1231" t="s">
        <v>247</v>
      </c>
    </row>
    <row r="1232" spans="1:7" hidden="1" x14ac:dyDescent="0.35">
      <c r="A1232" s="133"/>
      <c r="B1232" s="228"/>
      <c r="C1232" s="228"/>
      <c r="D1232" s="284" t="s">
        <v>935</v>
      </c>
      <c r="E1232" s="41"/>
      <c r="G1232" t="s">
        <v>247</v>
      </c>
    </row>
    <row r="1233" spans="1:7" ht="15" hidden="1" customHeight="1" x14ac:dyDescent="0.35">
      <c r="A1233" s="30" t="s">
        <v>943</v>
      </c>
      <c r="B1233" s="90"/>
      <c r="C1233" s="90"/>
      <c r="D1233" s="838" t="s">
        <v>944</v>
      </c>
      <c r="E1233" s="41">
        <f ca="1">'Verification Report'!O1234</f>
        <v>0</v>
      </c>
      <c r="F1233" s="400" t="str">
        <f>IF(LEN('Verification Report'!W1234)=0,"",'Verification Report'!W1234)</f>
        <v/>
      </c>
      <c r="G1233" t="s">
        <v>247</v>
      </c>
    </row>
    <row r="1234" spans="1:7" hidden="1" x14ac:dyDescent="0.35">
      <c r="A1234" s="4"/>
      <c r="B1234" s="90"/>
      <c r="C1234" s="90"/>
      <c r="D1234" s="838"/>
      <c r="E1234" s="41"/>
      <c r="G1234" t="s">
        <v>247</v>
      </c>
    </row>
    <row r="1235" spans="1:7" hidden="1" x14ac:dyDescent="0.35">
      <c r="A1235" s="4"/>
      <c r="B1235" s="90"/>
      <c r="C1235" s="90"/>
      <c r="D1235" s="838"/>
      <c r="E1235" s="41"/>
      <c r="G1235" t="s">
        <v>247</v>
      </c>
    </row>
    <row r="1236" spans="1:7" hidden="1" x14ac:dyDescent="0.35">
      <c r="A1236" s="4"/>
      <c r="B1236" s="90"/>
      <c r="C1236" s="90"/>
      <c r="D1236" s="838"/>
      <c r="E1236" s="41"/>
      <c r="G1236" t="s">
        <v>247</v>
      </c>
    </row>
    <row r="1237" spans="1:7" hidden="1" x14ac:dyDescent="0.35">
      <c r="A1237" s="4"/>
      <c r="B1237" s="90"/>
      <c r="C1237" s="90"/>
      <c r="D1237" s="838"/>
      <c r="E1237" s="41"/>
      <c r="G1237" t="s">
        <v>247</v>
      </c>
    </row>
    <row r="1238" spans="1:7" hidden="1" x14ac:dyDescent="0.35">
      <c r="A1238" s="4"/>
      <c r="B1238" s="90"/>
      <c r="C1238" s="90"/>
      <c r="D1238" s="92" t="s">
        <v>945</v>
      </c>
      <c r="E1238" s="41"/>
      <c r="G1238" t="s">
        <v>247</v>
      </c>
    </row>
    <row r="1239" spans="1:7" hidden="1" x14ac:dyDescent="0.35">
      <c r="A1239" s="4"/>
      <c r="B1239" s="326" t="s">
        <v>256</v>
      </c>
      <c r="C1239" s="228"/>
      <c r="D1239" s="228" t="s">
        <v>3641</v>
      </c>
      <c r="E1239" s="41"/>
      <c r="G1239" t="s">
        <v>247</v>
      </c>
    </row>
    <row r="1240" spans="1:7" hidden="1" x14ac:dyDescent="0.35">
      <c r="A1240" s="4"/>
      <c r="B1240" s="344" t="s">
        <v>258</v>
      </c>
      <c r="C1240" s="178"/>
      <c r="D1240" s="178" t="s">
        <v>4834</v>
      </c>
      <c r="E1240" s="41"/>
      <c r="G1240" t="s">
        <v>247</v>
      </c>
    </row>
    <row r="1241" spans="1:7" ht="15" hidden="1" thickBot="1" x14ac:dyDescent="0.4">
      <c r="A1241" s="160"/>
      <c r="B1241" s="315" t="s">
        <v>260</v>
      </c>
      <c r="C1241" s="229"/>
      <c r="D1241" s="229" t="s">
        <v>3642</v>
      </c>
      <c r="E1241" s="72"/>
      <c r="G1241" t="s">
        <v>247</v>
      </c>
    </row>
    <row r="1242" spans="1:7" hidden="1" x14ac:dyDescent="0.35">
      <c r="A1242" s="30">
        <v>703.5</v>
      </c>
      <c r="B1242" s="90"/>
      <c r="C1242" s="90"/>
      <c r="D1242" s="95" t="s">
        <v>946</v>
      </c>
      <c r="E1242" s="41"/>
      <c r="G1242" t="s">
        <v>247</v>
      </c>
    </row>
    <row r="1243" spans="1:7" hidden="1" x14ac:dyDescent="0.35">
      <c r="A1243" s="30" t="s">
        <v>947</v>
      </c>
      <c r="B1243" s="90"/>
      <c r="C1243" s="90"/>
      <c r="D1243" s="95" t="s">
        <v>4280</v>
      </c>
      <c r="G1243" t="s">
        <v>247</v>
      </c>
    </row>
    <row r="1244" spans="1:7" ht="15" hidden="1" customHeight="1" x14ac:dyDescent="0.35">
      <c r="A1244" s="4"/>
      <c r="B1244" s="90"/>
      <c r="C1244" s="90"/>
      <c r="D1244" s="893" t="s">
        <v>4281</v>
      </c>
      <c r="F1244" s="400" t="str">
        <f>IF(LEN('Verification Report'!W1245)=0,"",'Verification Report'!W1245)</f>
        <v/>
      </c>
      <c r="G1244" t="s">
        <v>247</v>
      </c>
    </row>
    <row r="1245" spans="1:7" hidden="1" x14ac:dyDescent="0.35">
      <c r="A1245" s="4"/>
      <c r="B1245" s="90"/>
      <c r="C1245" s="90"/>
      <c r="D1245" s="902"/>
      <c r="G1245" t="s">
        <v>247</v>
      </c>
    </row>
    <row r="1246" spans="1:7" ht="15" hidden="1" customHeight="1" x14ac:dyDescent="0.35">
      <c r="A1246" s="4"/>
      <c r="B1246" s="90"/>
      <c r="C1246" s="90"/>
      <c r="D1246" s="893" t="s">
        <v>4282</v>
      </c>
      <c r="G1246" t="s">
        <v>247</v>
      </c>
    </row>
    <row r="1247" spans="1:7" hidden="1" x14ac:dyDescent="0.35">
      <c r="A1247" s="4"/>
      <c r="B1247" s="90"/>
      <c r="C1247" s="90"/>
      <c r="D1247" s="902"/>
      <c r="G1247" t="s">
        <v>247</v>
      </c>
    </row>
    <row r="1248" spans="1:7" ht="15" hidden="1" customHeight="1" x14ac:dyDescent="0.35">
      <c r="A1248" s="4"/>
      <c r="B1248" s="90"/>
      <c r="C1248" s="90"/>
      <c r="D1248" s="855" t="s">
        <v>4283</v>
      </c>
      <c r="G1248" t="s">
        <v>247</v>
      </c>
    </row>
    <row r="1249" spans="1:7" hidden="1" x14ac:dyDescent="0.35">
      <c r="A1249" s="4"/>
      <c r="B1249" s="90"/>
      <c r="C1249" s="90"/>
      <c r="D1249" s="855"/>
      <c r="G1249" t="s">
        <v>247</v>
      </c>
    </row>
    <row r="1250" spans="1:7" hidden="1" x14ac:dyDescent="0.35">
      <c r="A1250" s="4"/>
      <c r="B1250" s="152" t="s">
        <v>256</v>
      </c>
      <c r="C1250" s="90"/>
      <c r="D1250" s="90" t="s">
        <v>948</v>
      </c>
      <c r="E1250" s="41"/>
      <c r="F1250" s="400" t="str">
        <f>IF(LEN('Verification Report'!W1251)=0,"",'Verification Report'!W1251)</f>
        <v/>
      </c>
      <c r="G1250" t="s">
        <v>247</v>
      </c>
    </row>
    <row r="1251" spans="1:7" ht="15" hidden="1" customHeight="1" x14ac:dyDescent="0.35">
      <c r="A1251" s="4"/>
      <c r="B1251" s="152"/>
      <c r="C1251" s="402" t="s">
        <v>121</v>
      </c>
      <c r="D1251" s="825" t="s">
        <v>4284</v>
      </c>
      <c r="E1251" s="75">
        <f ca="1">'Verification Report'!O1252</f>
        <v>0</v>
      </c>
      <c r="G1251" t="s">
        <v>247</v>
      </c>
    </row>
    <row r="1252" spans="1:7" hidden="1" x14ac:dyDescent="0.35">
      <c r="A1252" s="4"/>
      <c r="B1252" s="152"/>
      <c r="C1252" s="402"/>
      <c r="D1252" s="825"/>
      <c r="E1252" s="75"/>
      <c r="F1252" s="400" t="str">
        <f>IF(LEN('Verification Report'!W1253)=0,"",'Verification Report'!W1253)</f>
        <v/>
      </c>
      <c r="G1252" t="s">
        <v>247</v>
      </c>
    </row>
    <row r="1253" spans="1:7" hidden="1" x14ac:dyDescent="0.35">
      <c r="A1253" s="4"/>
      <c r="B1253" s="152"/>
      <c r="C1253" s="31"/>
      <c r="D1253" s="470" t="s">
        <v>5102</v>
      </c>
      <c r="E1253" s="75"/>
      <c r="G1253" t="s">
        <v>247</v>
      </c>
    </row>
    <row r="1254" spans="1:7" hidden="1" x14ac:dyDescent="0.35">
      <c r="A1254" s="4"/>
      <c r="B1254" s="152"/>
      <c r="C1254" s="403"/>
      <c r="D1254" s="477" t="s">
        <v>5103</v>
      </c>
      <c r="E1254" s="309"/>
      <c r="G1254" t="s">
        <v>247</v>
      </c>
    </row>
    <row r="1255" spans="1:7" ht="15" hidden="1" customHeight="1" x14ac:dyDescent="0.35">
      <c r="A1255" s="4"/>
      <c r="B1255" s="152"/>
      <c r="C1255" s="402" t="s">
        <v>122</v>
      </c>
      <c r="D1255" s="825" t="s">
        <v>4287</v>
      </c>
      <c r="E1255" s="75">
        <f ca="1">'Verification Report'!O1256</f>
        <v>0</v>
      </c>
      <c r="G1255" t="s">
        <v>247</v>
      </c>
    </row>
    <row r="1256" spans="1:7" hidden="1" x14ac:dyDescent="0.35">
      <c r="A1256" s="4"/>
      <c r="B1256" s="152"/>
      <c r="C1256" s="416"/>
      <c r="D1256" s="842"/>
      <c r="E1256" s="309"/>
      <c r="G1256" t="s">
        <v>247</v>
      </c>
    </row>
    <row r="1257" spans="1:7" hidden="1" x14ac:dyDescent="0.35">
      <c r="A1257" s="4"/>
      <c r="B1257" s="152"/>
      <c r="C1257" s="402" t="s">
        <v>123</v>
      </c>
      <c r="D1257" s="470" t="s">
        <v>4288</v>
      </c>
      <c r="E1257" s="75">
        <f ca="1">'Verification Report'!O1258</f>
        <v>0</v>
      </c>
      <c r="G1257" t="s">
        <v>247</v>
      </c>
    </row>
    <row r="1258" spans="1:7" hidden="1" x14ac:dyDescent="0.35">
      <c r="A1258" s="4"/>
      <c r="B1258" s="152"/>
      <c r="C1258" s="402"/>
      <c r="D1258" s="470" t="s">
        <v>4289</v>
      </c>
      <c r="E1258" s="75"/>
      <c r="G1258" t="s">
        <v>247</v>
      </c>
    </row>
    <row r="1259" spans="1:7" hidden="1" x14ac:dyDescent="0.35">
      <c r="A1259" s="4"/>
      <c r="B1259" s="152"/>
      <c r="C1259" s="403"/>
      <c r="D1259" s="477" t="s">
        <v>4290</v>
      </c>
      <c r="E1259" s="309"/>
      <c r="G1259" t="s">
        <v>247</v>
      </c>
    </row>
    <row r="1260" spans="1:7" ht="15" hidden="1" customHeight="1" x14ac:dyDescent="0.35">
      <c r="A1260" s="4"/>
      <c r="B1260" s="152"/>
      <c r="C1260" s="402" t="s">
        <v>401</v>
      </c>
      <c r="D1260" s="825" t="s">
        <v>4291</v>
      </c>
      <c r="E1260" s="75">
        <f ca="1">'Verification Report'!O1261</f>
        <v>0</v>
      </c>
      <c r="G1260" t="s">
        <v>247</v>
      </c>
    </row>
    <row r="1261" spans="1:7" hidden="1" x14ac:dyDescent="0.35">
      <c r="A1261" s="4"/>
      <c r="B1261" s="152"/>
      <c r="C1261" s="402"/>
      <c r="D1261" s="825"/>
      <c r="E1261" s="75"/>
      <c r="G1261" t="s">
        <v>247</v>
      </c>
    </row>
    <row r="1262" spans="1:7" hidden="1" x14ac:dyDescent="0.35">
      <c r="A1262" s="4"/>
      <c r="B1262" s="152"/>
      <c r="C1262" s="402"/>
      <c r="D1262" s="825"/>
      <c r="E1262" s="75"/>
      <c r="G1262" t="s">
        <v>247</v>
      </c>
    </row>
    <row r="1263" spans="1:7" hidden="1" x14ac:dyDescent="0.35">
      <c r="A1263" s="4"/>
      <c r="B1263" s="152"/>
      <c r="C1263" s="31"/>
      <c r="D1263" s="470" t="s">
        <v>4292</v>
      </c>
      <c r="E1263" s="75"/>
      <c r="G1263" t="s">
        <v>247</v>
      </c>
    </row>
    <row r="1264" spans="1:7" hidden="1" x14ac:dyDescent="0.35">
      <c r="A1264" s="4"/>
      <c r="B1264" s="152"/>
      <c r="C1264" s="416"/>
      <c r="D1264" s="477" t="s">
        <v>4290</v>
      </c>
      <c r="E1264" s="309"/>
      <c r="G1264" t="s">
        <v>247</v>
      </c>
    </row>
    <row r="1265" spans="1:7" ht="15" hidden="1" customHeight="1" x14ac:dyDescent="0.35">
      <c r="A1265" s="4"/>
      <c r="B1265" s="90"/>
      <c r="C1265" s="402" t="s">
        <v>539</v>
      </c>
      <c r="D1265" s="825" t="s">
        <v>4293</v>
      </c>
      <c r="E1265" s="75">
        <f ca="1">'Verification Report'!O1266</f>
        <v>0</v>
      </c>
      <c r="G1265" t="s">
        <v>247</v>
      </c>
    </row>
    <row r="1266" spans="1:7" hidden="1" x14ac:dyDescent="0.35">
      <c r="A1266" s="4"/>
      <c r="B1266" s="90"/>
      <c r="C1266" s="412"/>
      <c r="D1266" s="825"/>
      <c r="E1266" s="75"/>
      <c r="G1266" t="s">
        <v>247</v>
      </c>
    </row>
    <row r="1267" spans="1:7" hidden="1" x14ac:dyDescent="0.35">
      <c r="A1267" s="4"/>
      <c r="B1267" s="90"/>
      <c r="C1267" s="467"/>
      <c r="D1267" s="470" t="s">
        <v>5104</v>
      </c>
      <c r="E1267" s="75"/>
      <c r="G1267" t="s">
        <v>247</v>
      </c>
    </row>
    <row r="1268" spans="1:7" hidden="1" x14ac:dyDescent="0.35">
      <c r="A1268" s="4"/>
      <c r="B1268" s="228"/>
      <c r="C1268" s="472"/>
      <c r="D1268" s="477" t="s">
        <v>5105</v>
      </c>
      <c r="E1268" s="309"/>
      <c r="G1268" t="s">
        <v>247</v>
      </c>
    </row>
    <row r="1269" spans="1:7" hidden="1" x14ac:dyDescent="0.35">
      <c r="A1269" s="4"/>
      <c r="B1269" s="152" t="s">
        <v>258</v>
      </c>
      <c r="C1269" s="90"/>
      <c r="D1269" s="90" t="s">
        <v>949</v>
      </c>
      <c r="E1269" s="75"/>
      <c r="F1269" s="400" t="str">
        <f>IF(LEN('Verification Report'!W1270)=0,"",'Verification Report'!W1270)</f>
        <v/>
      </c>
      <c r="G1269" t="s">
        <v>247</v>
      </c>
    </row>
    <row r="1270" spans="1:7" ht="15" hidden="1" customHeight="1" x14ac:dyDescent="0.35">
      <c r="A1270" s="4"/>
      <c r="B1270" s="152"/>
      <c r="C1270" s="402" t="s">
        <v>121</v>
      </c>
      <c r="D1270" s="825" t="s">
        <v>4296</v>
      </c>
      <c r="E1270" s="75">
        <f ca="1">'Verification Report'!O1271</f>
        <v>0</v>
      </c>
      <c r="G1270" t="s">
        <v>247</v>
      </c>
    </row>
    <row r="1271" spans="1:7" hidden="1" x14ac:dyDescent="0.35">
      <c r="A1271" s="4"/>
      <c r="B1271" s="152"/>
      <c r="C1271" s="402"/>
      <c r="D1271" s="825"/>
      <c r="E1271" s="75"/>
      <c r="F1271" s="400" t="str">
        <f>IF(LEN('Verification Report'!W1272)=0,"",'Verification Report'!W1272)</f>
        <v/>
      </c>
      <c r="G1271" t="s">
        <v>247</v>
      </c>
    </row>
    <row r="1272" spans="1:7" hidden="1" x14ac:dyDescent="0.35">
      <c r="A1272" s="4"/>
      <c r="B1272" s="152"/>
      <c r="C1272" s="31"/>
      <c r="D1272" s="470" t="s">
        <v>5106</v>
      </c>
      <c r="E1272" s="75"/>
      <c r="G1272" t="s">
        <v>247</v>
      </c>
    </row>
    <row r="1273" spans="1:7" hidden="1" x14ac:dyDescent="0.35">
      <c r="A1273" s="4"/>
      <c r="B1273" s="152"/>
      <c r="C1273" s="31"/>
      <c r="D1273" s="470" t="s">
        <v>5107</v>
      </c>
      <c r="E1273" s="75"/>
      <c r="G1273" t="s">
        <v>247</v>
      </c>
    </row>
    <row r="1274" spans="1:7" hidden="1" x14ac:dyDescent="0.35">
      <c r="A1274" s="4"/>
      <c r="B1274" s="152"/>
      <c r="C1274" s="45"/>
      <c r="D1274" s="470" t="s">
        <v>5108</v>
      </c>
      <c r="E1274" s="75"/>
      <c r="G1274" t="s">
        <v>247</v>
      </c>
    </row>
    <row r="1275" spans="1:7" hidden="1" x14ac:dyDescent="0.35">
      <c r="A1275" s="4"/>
      <c r="B1275" s="152"/>
      <c r="C1275" s="45"/>
      <c r="D1275" s="43" t="s">
        <v>5109</v>
      </c>
      <c r="E1275" s="75"/>
      <c r="G1275" t="s">
        <v>247</v>
      </c>
    </row>
    <row r="1276" spans="1:7" hidden="1" x14ac:dyDescent="0.35">
      <c r="A1276" s="4"/>
      <c r="B1276" s="152"/>
      <c r="C1276" s="45"/>
      <c r="D1276" s="43" t="s">
        <v>5110</v>
      </c>
      <c r="E1276" s="75"/>
      <c r="G1276" t="s">
        <v>247</v>
      </c>
    </row>
    <row r="1277" spans="1:7" hidden="1" x14ac:dyDescent="0.35">
      <c r="A1277" s="4"/>
      <c r="B1277" s="152"/>
      <c r="C1277" s="45"/>
      <c r="D1277" s="470" t="s">
        <v>5111</v>
      </c>
      <c r="E1277" s="75"/>
      <c r="G1277" t="s">
        <v>247</v>
      </c>
    </row>
    <row r="1278" spans="1:7" hidden="1" x14ac:dyDescent="0.35">
      <c r="A1278" s="4"/>
      <c r="B1278" s="152"/>
      <c r="C1278" s="139"/>
      <c r="D1278" s="101" t="s">
        <v>5112</v>
      </c>
      <c r="E1278" s="309"/>
      <c r="G1278" t="s">
        <v>247</v>
      </c>
    </row>
    <row r="1279" spans="1:7" ht="15" hidden="1" customHeight="1" x14ac:dyDescent="0.35">
      <c r="A1279" s="4"/>
      <c r="B1279" s="152"/>
      <c r="C1279" s="402" t="s">
        <v>122</v>
      </c>
      <c r="D1279" s="825" t="s">
        <v>4304</v>
      </c>
      <c r="E1279" s="165">
        <f ca="1">'Verification Report'!O1280</f>
        <v>0</v>
      </c>
      <c r="G1279" t="s">
        <v>247</v>
      </c>
    </row>
    <row r="1280" spans="1:7" hidden="1" x14ac:dyDescent="0.35">
      <c r="A1280" s="4"/>
      <c r="B1280" s="152"/>
      <c r="C1280" s="402"/>
      <c r="D1280" s="825"/>
      <c r="E1280" s="75"/>
      <c r="G1280" t="s">
        <v>247</v>
      </c>
    </row>
    <row r="1281" spans="1:7" hidden="1" x14ac:dyDescent="0.35">
      <c r="A1281" s="4"/>
      <c r="B1281" s="152"/>
      <c r="C1281" s="45"/>
      <c r="D1281" s="43" t="s">
        <v>5110</v>
      </c>
      <c r="E1281" s="75"/>
      <c r="G1281" t="s">
        <v>247</v>
      </c>
    </row>
    <row r="1282" spans="1:7" hidden="1" x14ac:dyDescent="0.35">
      <c r="A1282" s="4"/>
      <c r="B1282" s="152"/>
      <c r="C1282" s="402"/>
      <c r="D1282" s="43" t="s">
        <v>5111</v>
      </c>
      <c r="E1282" s="75"/>
      <c r="G1282" t="s">
        <v>247</v>
      </c>
    </row>
    <row r="1283" spans="1:7" hidden="1" x14ac:dyDescent="0.35">
      <c r="A1283" s="4"/>
      <c r="B1283" s="152"/>
      <c r="C1283" s="31"/>
      <c r="D1283" s="470" t="s">
        <v>5113</v>
      </c>
      <c r="E1283" s="75"/>
      <c r="G1283" t="s">
        <v>247</v>
      </c>
    </row>
    <row r="1284" spans="1:7" hidden="1" x14ac:dyDescent="0.35">
      <c r="A1284" s="4"/>
      <c r="B1284" s="152"/>
      <c r="C1284" s="139"/>
      <c r="D1284" s="101" t="s">
        <v>5114</v>
      </c>
      <c r="E1284" s="309"/>
      <c r="G1284" t="s">
        <v>247</v>
      </c>
    </row>
    <row r="1285" spans="1:7" ht="15" hidden="1" customHeight="1" x14ac:dyDescent="0.35">
      <c r="A1285" s="4"/>
      <c r="B1285" s="152"/>
      <c r="C1285" s="402" t="s">
        <v>123</v>
      </c>
      <c r="D1285" s="825" t="s">
        <v>4307</v>
      </c>
      <c r="E1285" s="75">
        <f ca="1">'Verification Report'!O1286</f>
        <v>0</v>
      </c>
      <c r="G1285" t="s">
        <v>247</v>
      </c>
    </row>
    <row r="1286" spans="1:7" hidden="1" x14ac:dyDescent="0.35">
      <c r="A1286" s="4"/>
      <c r="B1286" s="152"/>
      <c r="C1286" s="416"/>
      <c r="D1286" s="842"/>
      <c r="E1286" s="309"/>
      <c r="G1286" t="s">
        <v>247</v>
      </c>
    </row>
    <row r="1287" spans="1:7" ht="15" hidden="1" customHeight="1" x14ac:dyDescent="0.35">
      <c r="A1287" s="4"/>
      <c r="B1287" s="152"/>
      <c r="C1287" s="402" t="s">
        <v>401</v>
      </c>
      <c r="D1287" s="825" t="s">
        <v>4308</v>
      </c>
      <c r="E1287" s="75">
        <f ca="1">'Verification Report'!O1288</f>
        <v>0</v>
      </c>
      <c r="G1287" t="s">
        <v>247</v>
      </c>
    </row>
    <row r="1288" spans="1:7" hidden="1" x14ac:dyDescent="0.35">
      <c r="A1288" s="4"/>
      <c r="B1288" s="152"/>
      <c r="C1288" s="416"/>
      <c r="D1288" s="842"/>
      <c r="E1288" s="309"/>
      <c r="G1288" t="s">
        <v>247</v>
      </c>
    </row>
    <row r="1289" spans="1:7" ht="15" hidden="1" customHeight="1" x14ac:dyDescent="0.35">
      <c r="A1289" s="4"/>
      <c r="B1289" s="90"/>
      <c r="C1289" s="402" t="s">
        <v>539</v>
      </c>
      <c r="D1289" s="825" t="s">
        <v>4309</v>
      </c>
      <c r="E1289" s="75">
        <f ca="1">'Verification Report'!O1290</f>
        <v>0</v>
      </c>
      <c r="G1289" t="s">
        <v>247</v>
      </c>
    </row>
    <row r="1290" spans="1:7" hidden="1" x14ac:dyDescent="0.35">
      <c r="A1290" s="4"/>
      <c r="B1290" s="228"/>
      <c r="C1290" s="467"/>
      <c r="D1290" s="842"/>
      <c r="E1290" s="309"/>
      <c r="G1290" t="s">
        <v>247</v>
      </c>
    </row>
    <row r="1291" spans="1:7" hidden="1" x14ac:dyDescent="0.35">
      <c r="A1291" s="133"/>
      <c r="B1291" s="344" t="s">
        <v>260</v>
      </c>
      <c r="C1291" s="178"/>
      <c r="D1291" s="478" t="s">
        <v>4310</v>
      </c>
      <c r="E1291" s="277">
        <f ca="1">'Verification Report'!O1292</f>
        <v>0</v>
      </c>
      <c r="F1291" s="400" t="str">
        <f>IF(LEN('Verification Report'!W1292)=0,"",'Verification Report'!W1292)</f>
        <v/>
      </c>
      <c r="G1291" t="s">
        <v>247</v>
      </c>
    </row>
    <row r="1292" spans="1:7" ht="15" hidden="1" customHeight="1" x14ac:dyDescent="0.35">
      <c r="A1292" s="32" t="s">
        <v>950</v>
      </c>
      <c r="B1292" s="90"/>
      <c r="C1292" s="90"/>
      <c r="D1292" s="919" t="s">
        <v>951</v>
      </c>
      <c r="E1292" s="41">
        <f ca="1">'Verification Report'!O1293</f>
        <v>0</v>
      </c>
      <c r="F1292" s="400" t="str">
        <f>IF(LEN('Verification Report'!W1293)=0,"",'Verification Report'!W1293)</f>
        <v/>
      </c>
      <c r="G1292" t="s">
        <v>247</v>
      </c>
    </row>
    <row r="1293" spans="1:7" hidden="1" x14ac:dyDescent="0.35">
      <c r="A1293" s="331"/>
      <c r="B1293" s="228"/>
      <c r="C1293" s="228"/>
      <c r="D1293" s="920"/>
      <c r="E1293" s="546"/>
      <c r="G1293" t="s">
        <v>247</v>
      </c>
    </row>
    <row r="1294" spans="1:7" hidden="1" x14ac:dyDescent="0.35">
      <c r="A1294" s="32" t="s">
        <v>952</v>
      </c>
      <c r="B1294" s="90"/>
      <c r="C1294" s="90"/>
      <c r="D1294" s="95" t="s">
        <v>953</v>
      </c>
      <c r="E1294" s="41">
        <f ca="1">'Verification Report'!O1295</f>
        <v>0</v>
      </c>
      <c r="F1294" s="400" t="str">
        <f>IF(LEN('Verification Report'!W1295)=0,"",'Verification Report'!W1295)</f>
        <v/>
      </c>
      <c r="G1294" t="s">
        <v>247</v>
      </c>
    </row>
    <row r="1295" spans="1:7" hidden="1" x14ac:dyDescent="0.35">
      <c r="A1295" s="104"/>
      <c r="B1295" s="228"/>
      <c r="C1295" s="228"/>
      <c r="D1295" s="142" t="s">
        <v>930</v>
      </c>
      <c r="E1295" s="546"/>
      <c r="G1295" t="s">
        <v>247</v>
      </c>
    </row>
    <row r="1296" spans="1:7" ht="15" hidden="1" customHeight="1" x14ac:dyDescent="0.35">
      <c r="A1296" s="331" t="s">
        <v>3633</v>
      </c>
      <c r="B1296" s="228"/>
      <c r="C1296" s="228"/>
      <c r="D1296" s="329" t="s">
        <v>954</v>
      </c>
      <c r="E1296" s="546">
        <f ca="1">'Verification Report'!O1297</f>
        <v>0</v>
      </c>
      <c r="F1296" s="400" t="str">
        <f>IF(LEN('Verification Report'!W1297)=0,"",'Verification Report'!W1297)</f>
        <v/>
      </c>
      <c r="G1296" t="s">
        <v>247</v>
      </c>
    </row>
    <row r="1297" spans="1:7" ht="15" hidden="1" customHeight="1" x14ac:dyDescent="0.35">
      <c r="A1297" s="330" t="s">
        <v>955</v>
      </c>
      <c r="B1297" s="286"/>
      <c r="C1297" s="286"/>
      <c r="D1297" s="881" t="s">
        <v>4313</v>
      </c>
      <c r="G1297" t="s">
        <v>247</v>
      </c>
    </row>
    <row r="1298" spans="1:7" hidden="1" x14ac:dyDescent="0.35">
      <c r="A1298" s="4"/>
      <c r="B1298" s="90"/>
      <c r="C1298" s="90"/>
      <c r="D1298" s="881"/>
      <c r="F1298" s="400" t="str">
        <f>IF(LEN('Verification Report'!W1299)=0,"",'Verification Report'!W1299)</f>
        <v/>
      </c>
      <c r="G1298" t="s">
        <v>247</v>
      </c>
    </row>
    <row r="1299" spans="1:7" hidden="1" x14ac:dyDescent="0.35">
      <c r="A1299" s="4"/>
      <c r="B1299" s="90"/>
      <c r="C1299" s="90"/>
      <c r="D1299" s="881"/>
      <c r="G1299" t="s">
        <v>247</v>
      </c>
    </row>
    <row r="1300" spans="1:7" ht="15" hidden="1" customHeight="1" x14ac:dyDescent="0.35">
      <c r="A1300" s="4"/>
      <c r="B1300" s="90"/>
      <c r="C1300" s="402" t="s">
        <v>121</v>
      </c>
      <c r="D1300" s="825" t="s">
        <v>4311</v>
      </c>
      <c r="E1300" s="41">
        <f ca="1">'Verification Report'!O1301</f>
        <v>0</v>
      </c>
      <c r="F1300" s="400" t="str">
        <f>IF(LEN('Verification Report'!W1301)=0,"",'Verification Report'!W1301)</f>
        <v/>
      </c>
      <c r="G1300" t="s">
        <v>247</v>
      </c>
    </row>
    <row r="1301" spans="1:7" hidden="1" x14ac:dyDescent="0.35">
      <c r="A1301" s="4"/>
      <c r="B1301" s="90"/>
      <c r="C1301" s="402"/>
      <c r="D1301" s="825"/>
      <c r="E1301" s="41"/>
      <c r="G1301" t="s">
        <v>247</v>
      </c>
    </row>
    <row r="1302" spans="1:7" hidden="1" x14ac:dyDescent="0.35">
      <c r="A1302" s="4"/>
      <c r="C1302" s="31"/>
      <c r="D1302" s="477" t="s">
        <v>3636</v>
      </c>
      <c r="E1302" s="41"/>
      <c r="G1302" t="s">
        <v>247</v>
      </c>
    </row>
    <row r="1303" spans="1:7" hidden="1" x14ac:dyDescent="0.35">
      <c r="A1303" s="4"/>
      <c r="C1303" s="31"/>
      <c r="D1303" s="478" t="s">
        <v>3637</v>
      </c>
      <c r="E1303" s="41"/>
      <c r="G1303" t="s">
        <v>247</v>
      </c>
    </row>
    <row r="1304" spans="1:7" hidden="1" x14ac:dyDescent="0.35">
      <c r="A1304" s="4"/>
      <c r="C1304" s="45"/>
      <c r="D1304" s="478" t="s">
        <v>3638</v>
      </c>
      <c r="E1304" s="41"/>
      <c r="G1304" t="s">
        <v>247</v>
      </c>
    </row>
    <row r="1305" spans="1:7" hidden="1" x14ac:dyDescent="0.35">
      <c r="A1305" s="4"/>
      <c r="C1305" s="45"/>
      <c r="D1305" s="478" t="s">
        <v>3639</v>
      </c>
      <c r="E1305" s="41"/>
      <c r="G1305" t="s">
        <v>247</v>
      </c>
    </row>
    <row r="1306" spans="1:7" hidden="1" x14ac:dyDescent="0.35">
      <c r="A1306" s="4"/>
      <c r="C1306" s="139"/>
      <c r="D1306" s="477" t="s">
        <v>3640</v>
      </c>
      <c r="E1306" s="546"/>
      <c r="G1306" t="s">
        <v>247</v>
      </c>
    </row>
    <row r="1307" spans="1:7" ht="15" hidden="1" customHeight="1" x14ac:dyDescent="0.35">
      <c r="A1307" s="4"/>
      <c r="C1307" s="402" t="s">
        <v>122</v>
      </c>
      <c r="D1307" s="825" t="s">
        <v>4312</v>
      </c>
      <c r="E1307" s="41">
        <f ca="1">'Verification Report'!O1308</f>
        <v>0</v>
      </c>
      <c r="G1307" t="s">
        <v>247</v>
      </c>
    </row>
    <row r="1308" spans="1:7" hidden="1" x14ac:dyDescent="0.35">
      <c r="A1308" s="4"/>
      <c r="C1308" s="43"/>
      <c r="D1308" s="825"/>
      <c r="E1308" s="41"/>
      <c r="G1308" t="s">
        <v>247</v>
      </c>
    </row>
    <row r="1309" spans="1:7" hidden="1" x14ac:dyDescent="0.35">
      <c r="A1309" s="4"/>
      <c r="C1309" s="43"/>
      <c r="D1309" s="477" t="s">
        <v>3636</v>
      </c>
      <c r="E1309" s="41"/>
      <c r="G1309" t="s">
        <v>247</v>
      </c>
    </row>
    <row r="1310" spans="1:7" hidden="1" x14ac:dyDescent="0.35">
      <c r="A1310" s="4"/>
      <c r="C1310" s="467"/>
      <c r="D1310" s="478" t="s">
        <v>3637</v>
      </c>
      <c r="E1310" s="41"/>
      <c r="G1310" t="s">
        <v>247</v>
      </c>
    </row>
    <row r="1311" spans="1:7" hidden="1" x14ac:dyDescent="0.35">
      <c r="A1311" s="4"/>
      <c r="C1311" s="467"/>
      <c r="D1311" s="478" t="s">
        <v>3638</v>
      </c>
      <c r="E1311" s="41"/>
      <c r="G1311" t="s">
        <v>247</v>
      </c>
    </row>
    <row r="1312" spans="1:7" hidden="1" x14ac:dyDescent="0.35">
      <c r="A1312" s="4"/>
      <c r="C1312" s="467"/>
      <c r="D1312" s="478" t="s">
        <v>3639</v>
      </c>
      <c r="E1312" s="41"/>
      <c r="G1312" t="s">
        <v>247</v>
      </c>
    </row>
    <row r="1313" spans="1:7" ht="15" hidden="1" thickBot="1" x14ac:dyDescent="0.4">
      <c r="A1313" s="160"/>
      <c r="B1313" s="55"/>
      <c r="C1313" s="473"/>
      <c r="D1313" s="474" t="s">
        <v>3640</v>
      </c>
      <c r="E1313" s="72"/>
      <c r="G1313" t="s">
        <v>247</v>
      </c>
    </row>
    <row r="1314" spans="1:7" hidden="1" x14ac:dyDescent="0.35">
      <c r="A1314" s="30">
        <v>703.6</v>
      </c>
      <c r="B1314" s="90"/>
      <c r="C1314" s="90"/>
      <c r="D1314" s="95" t="s">
        <v>956</v>
      </c>
      <c r="E1314" s="41"/>
      <c r="G1314" t="s">
        <v>247</v>
      </c>
    </row>
    <row r="1315" spans="1:7" ht="15" hidden="1" customHeight="1" x14ac:dyDescent="0.35">
      <c r="A1315" s="30" t="s">
        <v>957</v>
      </c>
      <c r="B1315" s="90"/>
      <c r="C1315" s="90"/>
      <c r="D1315" s="919" t="s">
        <v>958</v>
      </c>
      <c r="E1315" s="41"/>
      <c r="G1315" t="s">
        <v>247</v>
      </c>
    </row>
    <row r="1316" spans="1:7" hidden="1" x14ac:dyDescent="0.35">
      <c r="A1316" s="30"/>
      <c r="B1316" s="90"/>
      <c r="C1316" s="90"/>
      <c r="D1316" s="919"/>
      <c r="E1316" s="41"/>
      <c r="G1316" t="s">
        <v>247</v>
      </c>
    </row>
    <row r="1317" spans="1:7" ht="15" hidden="1" customHeight="1" x14ac:dyDescent="0.35">
      <c r="A1317" s="4"/>
      <c r="B1317" s="152" t="s">
        <v>256</v>
      </c>
      <c r="C1317" s="90"/>
      <c r="D1317" s="825" t="s">
        <v>5232</v>
      </c>
      <c r="E1317" s="41">
        <f ca="1">'Verification Report'!O1318</f>
        <v>0</v>
      </c>
      <c r="F1317" s="400" t="str">
        <f>IF(LEN('Verification Report'!W1318)=0,"",'Verification Report'!W1318)</f>
        <v/>
      </c>
      <c r="G1317" t="s">
        <v>247</v>
      </c>
    </row>
    <row r="1318" spans="1:7" hidden="1" x14ac:dyDescent="0.35">
      <c r="A1318" s="4"/>
      <c r="B1318" s="326"/>
      <c r="C1318" s="228"/>
      <c r="D1318" s="842"/>
      <c r="E1318" s="546"/>
      <c r="G1318" t="s">
        <v>247</v>
      </c>
    </row>
    <row r="1319" spans="1:7" ht="15" hidden="1" customHeight="1" x14ac:dyDescent="0.35">
      <c r="A1319" s="4"/>
      <c r="B1319" s="343" t="s">
        <v>258</v>
      </c>
      <c r="C1319" s="286"/>
      <c r="D1319" s="825" t="s">
        <v>4314</v>
      </c>
      <c r="E1319" s="552">
        <f ca="1">'Verification Report'!O1320</f>
        <v>0</v>
      </c>
      <c r="F1319" s="400" t="str">
        <f>IF(LEN('Verification Report'!W1320)=0,"",'Verification Report'!W1320)</f>
        <v/>
      </c>
      <c r="G1319" t="s">
        <v>247</v>
      </c>
    </row>
    <row r="1320" spans="1:7" hidden="1" x14ac:dyDescent="0.35">
      <c r="A1320" s="4"/>
      <c r="B1320" s="228"/>
      <c r="C1320" s="228"/>
      <c r="D1320" s="842"/>
      <c r="E1320" s="546"/>
      <c r="G1320" t="s">
        <v>247</v>
      </c>
    </row>
    <row r="1321" spans="1:7" ht="15" hidden="1" customHeight="1" x14ac:dyDescent="0.35">
      <c r="A1321" s="4"/>
      <c r="B1321" s="152" t="s">
        <v>260</v>
      </c>
      <c r="C1321" s="90"/>
      <c r="D1321" s="814" t="s">
        <v>959</v>
      </c>
      <c r="E1321" s="41">
        <f ca="1">'Verification Report'!O1322</f>
        <v>0</v>
      </c>
      <c r="F1321" s="400" t="str">
        <f>IF(LEN('Verification Report'!W1322)=0,"",'Verification Report'!W1322)</f>
        <v/>
      </c>
      <c r="G1321" t="s">
        <v>247</v>
      </c>
    </row>
    <row r="1322" spans="1:7" hidden="1" x14ac:dyDescent="0.35">
      <c r="A1322" s="133"/>
      <c r="B1322" s="228"/>
      <c r="C1322" s="228"/>
      <c r="D1322" s="815"/>
      <c r="E1322" s="546"/>
      <c r="G1322" t="s">
        <v>247</v>
      </c>
    </row>
    <row r="1323" spans="1:7" hidden="1" x14ac:dyDescent="0.35">
      <c r="A1323" s="32" t="s">
        <v>960</v>
      </c>
      <c r="B1323" s="90"/>
      <c r="C1323" s="90"/>
      <c r="D1323" s="95" t="s">
        <v>961</v>
      </c>
      <c r="E1323" s="41"/>
      <c r="G1323" t="s">
        <v>247</v>
      </c>
    </row>
    <row r="1324" spans="1:7" hidden="1" x14ac:dyDescent="0.35">
      <c r="A1324" s="4"/>
      <c r="B1324" s="326" t="s">
        <v>256</v>
      </c>
      <c r="C1324" s="228"/>
      <c r="D1324" s="346" t="s">
        <v>962</v>
      </c>
      <c r="E1324" s="546">
        <f ca="1">'Verification Report'!O1325</f>
        <v>0</v>
      </c>
      <c r="F1324" s="400" t="str">
        <f>IF(LEN('Verification Report'!W1325)=0,"",'Verification Report'!W1325)</f>
        <v/>
      </c>
      <c r="G1324" t="s">
        <v>247</v>
      </c>
    </row>
    <row r="1325" spans="1:7" hidden="1" x14ac:dyDescent="0.35">
      <c r="A1325" s="4"/>
      <c r="B1325" s="344" t="s">
        <v>258</v>
      </c>
      <c r="C1325" s="178"/>
      <c r="D1325" s="178" t="s">
        <v>963</v>
      </c>
      <c r="E1325" s="547">
        <f ca="1">'Verification Report'!O1326</f>
        <v>0</v>
      </c>
      <c r="F1325" s="400" t="str">
        <f>IF(LEN('Verification Report'!W1326)=0,"",'Verification Report'!W1326)</f>
        <v/>
      </c>
      <c r="G1325" t="s">
        <v>247</v>
      </c>
    </row>
    <row r="1326" spans="1:7" hidden="1" x14ac:dyDescent="0.35">
      <c r="A1326" s="4"/>
      <c r="B1326" s="152" t="s">
        <v>260</v>
      </c>
      <c r="C1326" s="90"/>
      <c r="D1326" s="90" t="s">
        <v>964</v>
      </c>
      <c r="E1326" s="41">
        <f ca="1">'Verification Report'!O1327</f>
        <v>0</v>
      </c>
      <c r="F1326" s="400" t="str">
        <f>IF(LEN('Verification Report'!W1327)=0,"",'Verification Report'!W1327)</f>
        <v/>
      </c>
      <c r="G1326" t="s">
        <v>247</v>
      </c>
    </row>
    <row r="1327" spans="1:7" ht="15" hidden="1" thickBot="1" x14ac:dyDescent="0.4">
      <c r="A1327" s="160"/>
      <c r="B1327" s="315"/>
      <c r="C1327" s="229"/>
      <c r="D1327" s="180" t="s">
        <v>3626</v>
      </c>
      <c r="E1327" s="72"/>
      <c r="G1327" t="s">
        <v>247</v>
      </c>
    </row>
    <row r="1328" spans="1:7" hidden="1" x14ac:dyDescent="0.35">
      <c r="A1328" s="31">
        <v>703.7</v>
      </c>
      <c r="B1328" s="90"/>
      <c r="C1328" s="90"/>
      <c r="D1328" s="95" t="s">
        <v>965</v>
      </c>
      <c r="E1328" s="41"/>
      <c r="G1328" t="s">
        <v>247</v>
      </c>
    </row>
    <row r="1329" spans="1:7" ht="15" hidden="1" customHeight="1" x14ac:dyDescent="0.35">
      <c r="A1329" s="31" t="s">
        <v>966</v>
      </c>
      <c r="B1329" s="90"/>
      <c r="C1329" s="90"/>
      <c r="D1329" s="838" t="s">
        <v>967</v>
      </c>
      <c r="E1329" s="41">
        <f ca="1">'Verification Report'!O1330</f>
        <v>0</v>
      </c>
      <c r="F1329" s="400" t="str">
        <f>IF(LEN('Verification Report'!W1330)=0,"",'Verification Report'!W1330)</f>
        <v/>
      </c>
      <c r="G1329" t="s">
        <v>247</v>
      </c>
    </row>
    <row r="1330" spans="1:7" hidden="1" x14ac:dyDescent="0.35">
      <c r="A1330" s="4"/>
      <c r="B1330" s="90"/>
      <c r="C1330" s="90"/>
      <c r="D1330" s="838"/>
      <c r="E1330" s="41"/>
      <c r="G1330" t="s">
        <v>247</v>
      </c>
    </row>
    <row r="1331" spans="1:7" ht="15" hidden="1" customHeight="1" x14ac:dyDescent="0.35">
      <c r="A1331" s="4"/>
      <c r="B1331" s="152" t="s">
        <v>256</v>
      </c>
      <c r="C1331" s="90"/>
      <c r="D1331" s="814" t="s">
        <v>968</v>
      </c>
      <c r="E1331" s="41"/>
      <c r="G1331" t="s">
        <v>247</v>
      </c>
    </row>
    <row r="1332" spans="1:7" hidden="1" x14ac:dyDescent="0.35">
      <c r="A1332" s="4"/>
      <c r="B1332" s="326"/>
      <c r="C1332" s="228"/>
      <c r="D1332" s="815"/>
      <c r="E1332" s="41"/>
      <c r="G1332" t="s">
        <v>247</v>
      </c>
    </row>
    <row r="1333" spans="1:7" ht="15" hidden="1" customHeight="1" x14ac:dyDescent="0.35">
      <c r="A1333" s="4"/>
      <c r="B1333" s="343" t="s">
        <v>258</v>
      </c>
      <c r="C1333" s="286"/>
      <c r="D1333" s="828" t="s">
        <v>4315</v>
      </c>
      <c r="E1333" s="41"/>
      <c r="G1333" t="s">
        <v>247</v>
      </c>
    </row>
    <row r="1334" spans="1:7" hidden="1" x14ac:dyDescent="0.35">
      <c r="A1334" s="4"/>
      <c r="B1334" s="326"/>
      <c r="C1334" s="228"/>
      <c r="D1334" s="842"/>
      <c r="E1334" s="41"/>
      <c r="G1334" t="s">
        <v>247</v>
      </c>
    </row>
    <row r="1335" spans="1:7" ht="15" hidden="1" customHeight="1" x14ac:dyDescent="0.35">
      <c r="A1335" s="4"/>
      <c r="B1335" s="343" t="s">
        <v>260</v>
      </c>
      <c r="C1335" s="286"/>
      <c r="D1335" s="825" t="s">
        <v>4316</v>
      </c>
      <c r="E1335" s="41"/>
      <c r="G1335" t="s">
        <v>247</v>
      </c>
    </row>
    <row r="1336" spans="1:7" hidden="1" x14ac:dyDescent="0.35">
      <c r="A1336" s="4"/>
      <c r="B1336" s="228"/>
      <c r="C1336" s="228"/>
      <c r="D1336" s="842"/>
      <c r="E1336" s="41"/>
      <c r="G1336" t="s">
        <v>247</v>
      </c>
    </row>
    <row r="1337" spans="1:7" ht="15" hidden="1" customHeight="1" x14ac:dyDescent="0.35">
      <c r="A1337" s="4"/>
      <c r="B1337" s="343" t="s">
        <v>269</v>
      </c>
      <c r="C1337" s="286"/>
      <c r="D1337" s="825" t="s">
        <v>4317</v>
      </c>
      <c r="E1337" s="41"/>
      <c r="G1337" t="s">
        <v>247</v>
      </c>
    </row>
    <row r="1338" spans="1:7" hidden="1" x14ac:dyDescent="0.35">
      <c r="A1338" s="4"/>
      <c r="B1338" s="228"/>
      <c r="C1338" s="228"/>
      <c r="D1338" s="842"/>
      <c r="E1338" s="41"/>
      <c r="G1338" t="s">
        <v>247</v>
      </c>
    </row>
    <row r="1339" spans="1:7" ht="15" hidden="1" customHeight="1" x14ac:dyDescent="0.35">
      <c r="A1339" s="4"/>
      <c r="B1339" s="343" t="s">
        <v>275</v>
      </c>
      <c r="C1339" s="286"/>
      <c r="D1339" s="825" t="s">
        <v>4318</v>
      </c>
      <c r="E1339" s="41"/>
      <c r="G1339" t="s">
        <v>247</v>
      </c>
    </row>
    <row r="1340" spans="1:7" hidden="1" x14ac:dyDescent="0.35">
      <c r="A1340" s="4"/>
      <c r="B1340" s="228"/>
      <c r="C1340" s="228"/>
      <c r="D1340" s="842"/>
      <c r="E1340" s="41"/>
      <c r="G1340" t="s">
        <v>247</v>
      </c>
    </row>
    <row r="1341" spans="1:7" hidden="1" x14ac:dyDescent="0.35">
      <c r="A1341" s="4"/>
      <c r="B1341" s="152" t="s">
        <v>277</v>
      </c>
      <c r="C1341" s="90"/>
      <c r="D1341" s="90" t="s">
        <v>969</v>
      </c>
      <c r="E1341" s="41"/>
      <c r="G1341" t="s">
        <v>247</v>
      </c>
    </row>
    <row r="1342" spans="1:7" hidden="1" x14ac:dyDescent="0.35">
      <c r="A1342" s="4"/>
      <c r="B1342" s="90"/>
      <c r="C1342" s="152" t="s">
        <v>121</v>
      </c>
      <c r="D1342" s="90" t="s">
        <v>4319</v>
      </c>
      <c r="E1342" s="41"/>
      <c r="G1342" t="s">
        <v>247</v>
      </c>
    </row>
    <row r="1343" spans="1:7" hidden="1" x14ac:dyDescent="0.35">
      <c r="A1343" s="4"/>
      <c r="B1343" s="90"/>
      <c r="C1343" s="152" t="s">
        <v>122</v>
      </c>
      <c r="D1343" s="90" t="s">
        <v>970</v>
      </c>
      <c r="E1343" s="41"/>
      <c r="G1343" t="s">
        <v>247</v>
      </c>
    </row>
    <row r="1344" spans="1:7" ht="15" hidden="1" customHeight="1" x14ac:dyDescent="0.35">
      <c r="A1344" s="4"/>
      <c r="B1344" s="90"/>
      <c r="C1344" s="153" t="s">
        <v>123</v>
      </c>
      <c r="D1344" s="814" t="s">
        <v>971</v>
      </c>
      <c r="E1344" s="41"/>
      <c r="G1344" t="s">
        <v>247</v>
      </c>
    </row>
    <row r="1345" spans="1:9" hidden="1" x14ac:dyDescent="0.35">
      <c r="A1345" s="4"/>
      <c r="B1345" s="228"/>
      <c r="C1345" s="228"/>
      <c r="D1345" s="815"/>
      <c r="E1345" s="41"/>
      <c r="G1345" t="s">
        <v>247</v>
      </c>
    </row>
    <row r="1346" spans="1:9" ht="15" hidden="1" customHeight="1" x14ac:dyDescent="0.35">
      <c r="A1346" s="4"/>
      <c r="B1346" s="343" t="s">
        <v>383</v>
      </c>
      <c r="C1346" s="286"/>
      <c r="D1346" s="836" t="s">
        <v>3628</v>
      </c>
      <c r="E1346" s="41"/>
      <c r="G1346" t="s">
        <v>247</v>
      </c>
    </row>
    <row r="1347" spans="1:9" hidden="1" x14ac:dyDescent="0.35">
      <c r="A1347" s="4"/>
      <c r="B1347" s="90"/>
      <c r="C1347" s="90"/>
      <c r="D1347" s="814"/>
      <c r="E1347" s="41"/>
      <c r="G1347" t="s">
        <v>247</v>
      </c>
    </row>
    <row r="1348" spans="1:9" hidden="1" x14ac:dyDescent="0.35">
      <c r="A1348" s="4"/>
      <c r="B1348" s="228"/>
      <c r="C1348" s="228"/>
      <c r="D1348" s="323" t="s">
        <v>3629</v>
      </c>
      <c r="E1348" s="41"/>
      <c r="G1348" t="s">
        <v>247</v>
      </c>
    </row>
    <row r="1349" spans="1:9" hidden="1" x14ac:dyDescent="0.35">
      <c r="A1349" s="4"/>
      <c r="B1349" s="344" t="s">
        <v>428</v>
      </c>
      <c r="C1349" s="178"/>
      <c r="D1349" s="178" t="s">
        <v>972</v>
      </c>
      <c r="E1349" s="41"/>
      <c r="G1349" t="s">
        <v>247</v>
      </c>
    </row>
    <row r="1350" spans="1:9" hidden="1" x14ac:dyDescent="0.35">
      <c r="A1350" s="4"/>
      <c r="B1350" s="152" t="s">
        <v>430</v>
      </c>
      <c r="C1350" s="90"/>
      <c r="D1350" s="90" t="s">
        <v>973</v>
      </c>
      <c r="E1350" s="41"/>
      <c r="G1350" t="s">
        <v>247</v>
      </c>
    </row>
    <row r="1351" spans="1:9" ht="15" hidden="1" customHeight="1" x14ac:dyDescent="0.35">
      <c r="A1351" s="4"/>
      <c r="B1351" s="90"/>
      <c r="C1351" s="90"/>
      <c r="D1351" s="855" t="s">
        <v>4320</v>
      </c>
      <c r="E1351" s="41"/>
      <c r="G1351" t="s">
        <v>247</v>
      </c>
    </row>
    <row r="1352" spans="1:9" hidden="1" x14ac:dyDescent="0.35">
      <c r="A1352" s="4"/>
      <c r="B1352" s="90"/>
      <c r="C1352" s="90"/>
      <c r="D1352" s="855"/>
      <c r="E1352" s="41"/>
      <c r="G1352" t="s">
        <v>247</v>
      </c>
    </row>
    <row r="1353" spans="1:9" hidden="1" x14ac:dyDescent="0.35">
      <c r="A1353" s="4"/>
      <c r="B1353" s="90"/>
      <c r="C1353" s="90"/>
      <c r="D1353" s="855"/>
      <c r="E1353" s="41"/>
      <c r="G1353" t="s">
        <v>247</v>
      </c>
    </row>
    <row r="1354" spans="1:9" hidden="1" x14ac:dyDescent="0.35">
      <c r="A1354" s="4"/>
      <c r="B1354" s="90"/>
      <c r="C1354" s="90"/>
      <c r="D1354" s="855"/>
      <c r="E1354" s="41"/>
      <c r="G1354" t="s">
        <v>247</v>
      </c>
    </row>
    <row r="1355" spans="1:9" hidden="1" x14ac:dyDescent="0.35">
      <c r="A1355" s="133"/>
      <c r="B1355" s="228"/>
      <c r="C1355" s="228"/>
      <c r="D1355" s="903"/>
      <c r="E1355" s="546"/>
      <c r="G1355" t="s">
        <v>247</v>
      </c>
    </row>
    <row r="1356" spans="1:9" ht="15" customHeight="1" x14ac:dyDescent="0.35">
      <c r="A1356" s="330" t="s">
        <v>974</v>
      </c>
      <c r="B1356" s="286"/>
      <c r="C1356" s="286"/>
      <c r="D1356" s="905" t="s">
        <v>975</v>
      </c>
      <c r="E1356" s="552">
        <f ca="1">'Verification Report'!O1357</f>
        <v>0</v>
      </c>
      <c r="F1356" s="400" t="str">
        <f>IF(LEN('Verification Report'!W1357)=0,"",'Verification Report'!W1357)</f>
        <v/>
      </c>
      <c r="G1356" s="366" t="str">
        <f ca="1">IF(E1356&gt;0,"P","")</f>
        <v/>
      </c>
      <c r="H1356" s="611" t="s">
        <v>5092</v>
      </c>
      <c r="I1356" s="350"/>
    </row>
    <row r="1357" spans="1:9" x14ac:dyDescent="0.35">
      <c r="A1357" s="133"/>
      <c r="B1357" s="228"/>
      <c r="C1357" s="228"/>
      <c r="D1357" s="889"/>
      <c r="E1357" s="546"/>
      <c r="G1357" s="366" t="str">
        <f ca="1">G1356</f>
        <v/>
      </c>
    </row>
    <row r="1358" spans="1:9" ht="15" customHeight="1" x14ac:dyDescent="0.35">
      <c r="A1358" s="32" t="s">
        <v>976</v>
      </c>
      <c r="B1358" s="90"/>
      <c r="C1358" s="90"/>
      <c r="D1358" s="838" t="s">
        <v>977</v>
      </c>
      <c r="E1358" s="41">
        <f ca="1">'Verification Report'!O1359</f>
        <v>0</v>
      </c>
      <c r="G1358" s="366" t="str">
        <f ca="1">IF(E1358&gt;0,"P","")</f>
        <v/>
      </c>
    </row>
    <row r="1359" spans="1:9" x14ac:dyDescent="0.35">
      <c r="A1359" s="4"/>
      <c r="B1359" s="90"/>
      <c r="C1359" s="90"/>
      <c r="D1359" s="838"/>
      <c r="E1359" s="41"/>
      <c r="G1359" s="366" t="str">
        <f ca="1">G1358</f>
        <v/>
      </c>
    </row>
    <row r="1360" spans="1:9" hidden="1" x14ac:dyDescent="0.35">
      <c r="A1360" s="4"/>
      <c r="B1360" s="90"/>
      <c r="C1360" s="90"/>
      <c r="D1360" s="92" t="s">
        <v>978</v>
      </c>
      <c r="E1360" s="41"/>
      <c r="G1360" t="s">
        <v>247</v>
      </c>
    </row>
    <row r="1361" spans="1:9" hidden="1" x14ac:dyDescent="0.35">
      <c r="A1361" s="4"/>
      <c r="B1361" s="90"/>
      <c r="C1361" s="90"/>
      <c r="D1361" s="92" t="s">
        <v>979</v>
      </c>
      <c r="E1361" s="41"/>
      <c r="G1361" t="s">
        <v>247</v>
      </c>
    </row>
    <row r="1362" spans="1:9" ht="15" customHeight="1" x14ac:dyDescent="0.35">
      <c r="A1362" s="4"/>
      <c r="B1362" s="156" t="s">
        <v>256</v>
      </c>
      <c r="C1362" s="90"/>
      <c r="D1362" s="814" t="s">
        <v>980</v>
      </c>
      <c r="E1362" s="41"/>
      <c r="G1362" s="727" t="str">
        <f>IF(COUNTIF(G1364:H1368,"P")&gt;0,"P","")</f>
        <v/>
      </c>
      <c r="H1362" s="611" t="s">
        <v>5093</v>
      </c>
      <c r="I1362" s="350"/>
    </row>
    <row r="1363" spans="1:9" x14ac:dyDescent="0.35">
      <c r="A1363" s="4"/>
      <c r="B1363" s="90"/>
      <c r="C1363" s="90"/>
      <c r="D1363" s="814"/>
      <c r="E1363" s="41"/>
      <c r="G1363" s="366" t="str">
        <f>G1362</f>
        <v/>
      </c>
    </row>
    <row r="1364" spans="1:9" ht="15" customHeight="1" x14ac:dyDescent="0.35">
      <c r="A1364" s="4"/>
      <c r="B1364" s="90"/>
      <c r="C1364" s="152" t="s">
        <v>121</v>
      </c>
      <c r="D1364" s="814" t="s">
        <v>981</v>
      </c>
      <c r="E1364" s="41"/>
      <c r="F1364" s="400" t="str">
        <f>IF(LEN('Verification Report'!W1365)=0,"",'Verification Report'!W1365)</f>
        <v/>
      </c>
      <c r="G1364" s="366" t="str">
        <f>IF(AND(LEN(F1364)&gt;0,NOT(F1364=FALSE)),"P","")</f>
        <v/>
      </c>
    </row>
    <row r="1365" spans="1:9" x14ac:dyDescent="0.35">
      <c r="A1365" s="4"/>
      <c r="B1365" s="90"/>
      <c r="C1365" s="90"/>
      <c r="D1365" s="814"/>
      <c r="E1365" s="41"/>
      <c r="G1365" s="366" t="str">
        <f>G1364</f>
        <v/>
      </c>
    </row>
    <row r="1366" spans="1:9" x14ac:dyDescent="0.35">
      <c r="A1366" s="4"/>
      <c r="B1366" s="90"/>
      <c r="C1366" s="152" t="s">
        <v>122</v>
      </c>
      <c r="D1366" s="90" t="s">
        <v>982</v>
      </c>
      <c r="E1366" s="41"/>
      <c r="F1366" s="400" t="str">
        <f>IF(LEN('Verification Report'!W1367)=0,"",'Verification Report'!W1367)</f>
        <v/>
      </c>
      <c r="G1366" s="366" t="str">
        <f>IF(AND(LEN(F1366)&gt;0,NOT(F1366=FALSE)),"P","")</f>
        <v/>
      </c>
    </row>
    <row r="1367" spans="1:9" x14ac:dyDescent="0.35">
      <c r="A1367" s="4"/>
      <c r="B1367" s="90"/>
      <c r="C1367" s="153" t="s">
        <v>123</v>
      </c>
      <c r="D1367" s="90" t="s">
        <v>983</v>
      </c>
      <c r="E1367" s="41"/>
      <c r="F1367" s="400" t="str">
        <f>IF(LEN('Verification Report'!W1368)=0,"",'Verification Report'!W1368)</f>
        <v/>
      </c>
      <c r="G1367" s="366" t="str">
        <f>IF(AND(LEN(F1367)&gt;0,NOT(F1367=FALSE)),"P","")</f>
        <v/>
      </c>
    </row>
    <row r="1368" spans="1:9" ht="15" customHeight="1" x14ac:dyDescent="0.35">
      <c r="A1368" s="4"/>
      <c r="B1368" s="90"/>
      <c r="C1368" s="95" t="s">
        <v>401</v>
      </c>
      <c r="D1368" s="814" t="s">
        <v>984</v>
      </c>
      <c r="E1368" s="41"/>
      <c r="F1368" s="400" t="str">
        <f>IF(LEN('Verification Report'!W1369)=0,"",'Verification Report'!W1369)</f>
        <v/>
      </c>
      <c r="G1368" s="366" t="str">
        <f>IF(AND(LEN(F1368)&gt;0,NOT(F1368=FALSE)),"P","")</f>
        <v/>
      </c>
    </row>
    <row r="1369" spans="1:9" x14ac:dyDescent="0.35">
      <c r="A1369" s="4"/>
      <c r="B1369" s="228"/>
      <c r="C1369" s="228"/>
      <c r="D1369" s="815"/>
      <c r="E1369" s="41"/>
      <c r="G1369" s="366" t="str">
        <f>G1368</f>
        <v/>
      </c>
    </row>
    <row r="1370" spans="1:9" ht="15" customHeight="1" x14ac:dyDescent="0.35">
      <c r="A1370" s="4"/>
      <c r="B1370" s="156" t="s">
        <v>258</v>
      </c>
      <c r="C1370" s="90"/>
      <c r="D1370" s="814" t="s">
        <v>985</v>
      </c>
      <c r="E1370" s="41"/>
      <c r="F1370" s="400" t="str">
        <f>IF(LEN('Verification Report'!W1371)=0,"",'Verification Report'!W1371)</f>
        <v/>
      </c>
      <c r="G1370" s="366" t="str">
        <f>IF(AND(LEN(F1370)&gt;0,NOT(F1370=FALSE)),"P","")</f>
        <v/>
      </c>
      <c r="H1370" s="611" t="s">
        <v>5094</v>
      </c>
      <c r="I1370" s="350"/>
    </row>
    <row r="1371" spans="1:9" x14ac:dyDescent="0.35">
      <c r="A1371" s="4"/>
      <c r="B1371" s="90"/>
      <c r="C1371" s="90"/>
      <c r="D1371" s="814"/>
      <c r="E1371" s="41"/>
      <c r="G1371" s="366" t="str">
        <f>G1370</f>
        <v/>
      </c>
    </row>
    <row r="1372" spans="1:9" hidden="1" x14ac:dyDescent="0.35">
      <c r="A1372" s="4"/>
      <c r="B1372" s="228"/>
      <c r="C1372" s="228"/>
      <c r="D1372" s="142" t="s">
        <v>986</v>
      </c>
      <c r="E1372" s="41"/>
      <c r="G1372" t="s">
        <v>247</v>
      </c>
    </row>
    <row r="1373" spans="1:9" ht="15" hidden="1" customHeight="1" x14ac:dyDescent="0.35">
      <c r="A1373" s="4"/>
      <c r="B1373" s="349" t="s">
        <v>260</v>
      </c>
      <c r="C1373" s="286"/>
      <c r="D1373" s="825" t="s">
        <v>4321</v>
      </c>
      <c r="E1373" s="41"/>
      <c r="F1373" s="400" t="str">
        <f>IF(LEN('Verification Report'!W1374)=0,"",'Verification Report'!W1374)</f>
        <v/>
      </c>
      <c r="G1373" t="s">
        <v>247</v>
      </c>
    </row>
    <row r="1374" spans="1:9" hidden="1" x14ac:dyDescent="0.35">
      <c r="D1374" s="825"/>
      <c r="G1374" t="s">
        <v>247</v>
      </c>
    </row>
    <row r="1375" spans="1:9" ht="15" hidden="1" customHeight="1" x14ac:dyDescent="0.35">
      <c r="A1375" s="4"/>
      <c r="B1375" s="349" t="s">
        <v>269</v>
      </c>
      <c r="C1375" s="286"/>
      <c r="D1375" s="836" t="s">
        <v>987</v>
      </c>
      <c r="E1375" s="41"/>
      <c r="F1375" s="400" t="str">
        <f>IF(LEN('Verification Report'!W1376)=0,"",'Verification Report'!W1376)</f>
        <v/>
      </c>
      <c r="G1375" t="s">
        <v>247</v>
      </c>
    </row>
    <row r="1376" spans="1:9" hidden="1" x14ac:dyDescent="0.35">
      <c r="A1376" s="4"/>
      <c r="B1376" s="228"/>
      <c r="C1376" s="228"/>
      <c r="D1376" s="815"/>
      <c r="E1376" s="41"/>
      <c r="G1376" t="s">
        <v>247</v>
      </c>
    </row>
    <row r="1377" spans="1:7" ht="15" hidden="1" customHeight="1" x14ac:dyDescent="0.35">
      <c r="A1377" s="4"/>
      <c r="B1377" s="156" t="s">
        <v>275</v>
      </c>
      <c r="C1377" s="90"/>
      <c r="D1377" s="814" t="s">
        <v>988</v>
      </c>
      <c r="E1377" s="41"/>
      <c r="G1377" t="s">
        <v>247</v>
      </c>
    </row>
    <row r="1378" spans="1:7" hidden="1" x14ac:dyDescent="0.35">
      <c r="A1378" s="4"/>
      <c r="B1378" s="90"/>
      <c r="C1378" s="90"/>
      <c r="D1378" s="814"/>
      <c r="E1378" s="41"/>
      <c r="G1378" t="s">
        <v>247</v>
      </c>
    </row>
    <row r="1379" spans="1:7" hidden="1" x14ac:dyDescent="0.35">
      <c r="A1379" s="4"/>
      <c r="B1379" s="90"/>
      <c r="C1379" s="90"/>
      <c r="D1379" s="814"/>
      <c r="E1379" s="41"/>
      <c r="G1379" t="s">
        <v>247</v>
      </c>
    </row>
    <row r="1380" spans="1:7" ht="15" hidden="1" customHeight="1" x14ac:dyDescent="0.35">
      <c r="A1380" s="4"/>
      <c r="B1380" s="90"/>
      <c r="C1380" s="152" t="s">
        <v>121</v>
      </c>
      <c r="D1380" s="814" t="s">
        <v>989</v>
      </c>
      <c r="E1380" s="41"/>
      <c r="F1380" s="400" t="str">
        <f>IF(LEN('Verification Report'!W1381)=0,"",'Verification Report'!W1381)</f>
        <v/>
      </c>
      <c r="G1380" t="s">
        <v>247</v>
      </c>
    </row>
    <row r="1381" spans="1:7" hidden="1" x14ac:dyDescent="0.35">
      <c r="A1381" s="4"/>
      <c r="B1381" s="90"/>
      <c r="C1381" s="90"/>
      <c r="D1381" s="814"/>
      <c r="E1381" s="41"/>
      <c r="G1381" t="s">
        <v>247</v>
      </c>
    </row>
    <row r="1382" spans="1:7" ht="15" hidden="1" customHeight="1" x14ac:dyDescent="0.35">
      <c r="A1382" s="4"/>
      <c r="B1382" s="90"/>
      <c r="C1382" s="152" t="s">
        <v>122</v>
      </c>
      <c r="D1382" s="814" t="s">
        <v>990</v>
      </c>
      <c r="E1382" s="41"/>
      <c r="F1382" s="400" t="str">
        <f>IF(LEN('Verification Report'!W1383)=0,"",'Verification Report'!W1383)</f>
        <v/>
      </c>
      <c r="G1382" t="s">
        <v>247</v>
      </c>
    </row>
    <row r="1383" spans="1:7" hidden="1" x14ac:dyDescent="0.35">
      <c r="A1383" s="4"/>
      <c r="B1383" s="228"/>
      <c r="C1383" s="228"/>
      <c r="D1383" s="815"/>
      <c r="E1383" s="41"/>
      <c r="G1383" t="s">
        <v>247</v>
      </c>
    </row>
    <row r="1384" spans="1:7" ht="15" hidden="1" customHeight="1" x14ac:dyDescent="0.35">
      <c r="A1384" s="4"/>
      <c r="B1384" s="156" t="s">
        <v>277</v>
      </c>
      <c r="C1384" s="90"/>
      <c r="D1384" s="814" t="s">
        <v>991</v>
      </c>
      <c r="E1384" s="41"/>
      <c r="F1384" s="400" t="str">
        <f>IF(LEN('Verification Report'!W1385)=0,"",'Verification Report'!W1385)</f>
        <v/>
      </c>
      <c r="G1384" t="s">
        <v>247</v>
      </c>
    </row>
    <row r="1385" spans="1:7" hidden="1" x14ac:dyDescent="0.35">
      <c r="A1385" s="133"/>
      <c r="B1385" s="228"/>
      <c r="C1385" s="228"/>
      <c r="D1385" s="815"/>
      <c r="E1385" s="546"/>
      <c r="G1385" t="s">
        <v>247</v>
      </c>
    </row>
    <row r="1386" spans="1:7" ht="15" hidden="1" customHeight="1" x14ac:dyDescent="0.35">
      <c r="A1386" s="32" t="s">
        <v>992</v>
      </c>
      <c r="B1386" s="90"/>
      <c r="C1386" s="90"/>
      <c r="D1386" s="896" t="s">
        <v>993</v>
      </c>
      <c r="E1386" s="41">
        <f ca="1">'Verification Report'!O1387</f>
        <v>0</v>
      </c>
      <c r="F1386" s="400" t="str">
        <f>IF(LEN('Verification Report'!W1387)=0,"",'Verification Report'!W1387)</f>
        <v/>
      </c>
      <c r="G1386" t="s">
        <v>247</v>
      </c>
    </row>
    <row r="1387" spans="1:7" hidden="1" x14ac:dyDescent="0.35">
      <c r="A1387" s="4"/>
      <c r="B1387" s="90"/>
      <c r="C1387" s="90"/>
      <c r="D1387" s="896"/>
      <c r="E1387" s="41"/>
      <c r="G1387" t="s">
        <v>247</v>
      </c>
    </row>
    <row r="1388" spans="1:7" hidden="1" x14ac:dyDescent="0.35">
      <c r="A1388" s="4"/>
      <c r="B1388" s="90"/>
      <c r="C1388" s="90"/>
      <c r="D1388" s="90" t="s">
        <v>994</v>
      </c>
      <c r="E1388" s="41"/>
      <c r="G1388" t="s">
        <v>247</v>
      </c>
    </row>
    <row r="1389" spans="1:7" ht="15" hidden="1" customHeight="1" x14ac:dyDescent="0.35">
      <c r="A1389" s="4"/>
      <c r="B1389" s="156" t="s">
        <v>256</v>
      </c>
      <c r="C1389" s="90"/>
      <c r="D1389" s="814" t="s">
        <v>995</v>
      </c>
      <c r="E1389" s="41"/>
      <c r="G1389" t="s">
        <v>247</v>
      </c>
    </row>
    <row r="1390" spans="1:7" hidden="1" x14ac:dyDescent="0.35">
      <c r="A1390" s="4"/>
      <c r="B1390" s="228"/>
      <c r="C1390" s="228"/>
      <c r="D1390" s="815"/>
      <c r="E1390" s="41"/>
      <c r="G1390" t="s">
        <v>247</v>
      </c>
    </row>
    <row r="1391" spans="1:7" ht="15" hidden="1" customHeight="1" x14ac:dyDescent="0.35">
      <c r="A1391" s="4"/>
      <c r="B1391" s="156" t="s">
        <v>258</v>
      </c>
      <c r="C1391" s="90"/>
      <c r="D1391" s="848" t="s">
        <v>996</v>
      </c>
      <c r="E1391" s="41"/>
      <c r="G1391" t="s">
        <v>247</v>
      </c>
    </row>
    <row r="1392" spans="1:7" hidden="1" x14ac:dyDescent="0.35">
      <c r="A1392" s="4"/>
      <c r="B1392" s="90"/>
      <c r="C1392" s="90"/>
      <c r="D1392" s="848"/>
      <c r="E1392" s="41"/>
      <c r="G1392" t="s">
        <v>247</v>
      </c>
    </row>
    <row r="1393" spans="1:7" ht="15" hidden="1" customHeight="1" x14ac:dyDescent="0.35">
      <c r="A1393" s="4"/>
      <c r="B1393" s="90"/>
      <c r="C1393" s="152" t="s">
        <v>121</v>
      </c>
      <c r="D1393" s="814" t="s">
        <v>997</v>
      </c>
      <c r="E1393" s="41"/>
      <c r="G1393" t="s">
        <v>247</v>
      </c>
    </row>
    <row r="1394" spans="1:7" hidden="1" x14ac:dyDescent="0.35">
      <c r="A1394" s="4"/>
      <c r="B1394" s="90"/>
      <c r="C1394" s="90"/>
      <c r="D1394" s="814"/>
      <c r="E1394" s="41"/>
      <c r="G1394" t="s">
        <v>247</v>
      </c>
    </row>
    <row r="1395" spans="1:7" hidden="1" x14ac:dyDescent="0.35">
      <c r="A1395" s="4"/>
      <c r="B1395" s="90"/>
      <c r="C1395" s="228"/>
      <c r="D1395" s="815"/>
      <c r="E1395" s="41"/>
      <c r="G1395" t="s">
        <v>247</v>
      </c>
    </row>
    <row r="1396" spans="1:7" ht="15" hidden="1" customHeight="1" x14ac:dyDescent="0.35">
      <c r="A1396" s="4"/>
      <c r="B1396" s="90"/>
      <c r="C1396" s="152" t="s">
        <v>122</v>
      </c>
      <c r="D1396" s="814" t="s">
        <v>998</v>
      </c>
      <c r="E1396" s="41"/>
      <c r="G1396" t="s">
        <v>247</v>
      </c>
    </row>
    <row r="1397" spans="1:7" hidden="1" x14ac:dyDescent="0.35">
      <c r="A1397" s="4"/>
      <c r="B1397" s="90"/>
      <c r="C1397" s="90"/>
      <c r="D1397" s="814"/>
      <c r="E1397" s="41"/>
      <c r="G1397" t="s">
        <v>247</v>
      </c>
    </row>
    <row r="1398" spans="1:7" ht="15" hidden="1" customHeight="1" x14ac:dyDescent="0.35">
      <c r="A1398" s="4"/>
      <c r="B1398" s="90"/>
      <c r="C1398" s="92" t="s">
        <v>843</v>
      </c>
      <c r="D1398" s="814" t="s">
        <v>999</v>
      </c>
      <c r="E1398" s="41"/>
      <c r="G1398" t="s">
        <v>247</v>
      </c>
    </row>
    <row r="1399" spans="1:7" hidden="1" x14ac:dyDescent="0.35">
      <c r="A1399" s="4"/>
      <c r="B1399" s="90"/>
      <c r="C1399" s="158"/>
      <c r="D1399" s="814"/>
      <c r="E1399" s="41"/>
      <c r="G1399" t="s">
        <v>247</v>
      </c>
    </row>
    <row r="1400" spans="1:7" ht="15" hidden="1" customHeight="1" x14ac:dyDescent="0.35">
      <c r="A1400" s="4"/>
      <c r="B1400" s="90"/>
      <c r="C1400" s="92" t="s">
        <v>1000</v>
      </c>
      <c r="D1400" s="814" t="s">
        <v>1001</v>
      </c>
      <c r="E1400" s="41"/>
      <c r="G1400" t="s">
        <v>247</v>
      </c>
    </row>
    <row r="1401" spans="1:7" hidden="1" x14ac:dyDescent="0.35">
      <c r="A1401" s="4"/>
      <c r="B1401" s="90"/>
      <c r="C1401" s="158"/>
      <c r="D1401" s="814"/>
      <c r="E1401" s="41"/>
      <c r="G1401" t="s">
        <v>247</v>
      </c>
    </row>
    <row r="1402" spans="1:7" ht="15" hidden="1" customHeight="1" x14ac:dyDescent="0.35">
      <c r="A1402" s="4"/>
      <c r="B1402" s="90"/>
      <c r="C1402" s="92" t="s">
        <v>1002</v>
      </c>
      <c r="D1402" s="814" t="s">
        <v>1003</v>
      </c>
      <c r="E1402" s="41"/>
      <c r="G1402" t="s">
        <v>247</v>
      </c>
    </row>
    <row r="1403" spans="1:7" hidden="1" x14ac:dyDescent="0.35">
      <c r="A1403" s="4"/>
      <c r="B1403" s="90"/>
      <c r="C1403" s="228"/>
      <c r="D1403" s="815"/>
      <c r="E1403" s="41"/>
      <c r="G1403" t="s">
        <v>247</v>
      </c>
    </row>
    <row r="1404" spans="1:7" ht="15" hidden="1" customHeight="1" x14ac:dyDescent="0.35">
      <c r="A1404" s="4"/>
      <c r="B1404" s="90"/>
      <c r="C1404" s="152" t="s">
        <v>123</v>
      </c>
      <c r="D1404" s="814" t="s">
        <v>1004</v>
      </c>
      <c r="E1404" s="41"/>
      <c r="G1404" t="s">
        <v>247</v>
      </c>
    </row>
    <row r="1405" spans="1:7" hidden="1" x14ac:dyDescent="0.35">
      <c r="A1405" s="4"/>
      <c r="B1405" s="90"/>
      <c r="C1405" s="90"/>
      <c r="D1405" s="814"/>
      <c r="E1405" s="41"/>
      <c r="G1405" t="s">
        <v>247</v>
      </c>
    </row>
    <row r="1406" spans="1:7" hidden="1" x14ac:dyDescent="0.35">
      <c r="A1406" s="4"/>
      <c r="B1406" s="228"/>
      <c r="C1406" s="228"/>
      <c r="D1406" s="815"/>
      <c r="E1406" s="41"/>
      <c r="G1406" t="s">
        <v>247</v>
      </c>
    </row>
    <row r="1407" spans="1:7" ht="15" hidden="1" customHeight="1" x14ac:dyDescent="0.35">
      <c r="A1407" s="4"/>
      <c r="B1407" s="156" t="s">
        <v>260</v>
      </c>
      <c r="C1407" s="90"/>
      <c r="D1407" s="814" t="s">
        <v>1005</v>
      </c>
      <c r="E1407" s="41"/>
      <c r="G1407" t="s">
        <v>247</v>
      </c>
    </row>
    <row r="1408" spans="1:7" hidden="1" x14ac:dyDescent="0.35">
      <c r="A1408" s="4"/>
      <c r="B1408" s="90"/>
      <c r="C1408" s="90"/>
      <c r="D1408" s="814"/>
      <c r="E1408" s="41"/>
      <c r="G1408" t="s">
        <v>247</v>
      </c>
    </row>
    <row r="1409" spans="1:7" ht="18.5" hidden="1" x14ac:dyDescent="0.45">
      <c r="A1409" s="10" t="s">
        <v>4854</v>
      </c>
      <c r="B1409" s="44"/>
      <c r="C1409" s="44"/>
      <c r="D1409" s="44"/>
      <c r="E1409" s="544"/>
      <c r="G1409" t="s">
        <v>247</v>
      </c>
    </row>
    <row r="1410" spans="1:7" ht="15" hidden="1" customHeight="1" x14ac:dyDescent="0.35">
      <c r="A1410" s="30">
        <v>704.1</v>
      </c>
      <c r="B1410" s="90"/>
      <c r="C1410" s="90"/>
      <c r="D1410" s="881" t="s">
        <v>4322</v>
      </c>
      <c r="E1410" s="41">
        <f>'Verification Report'!O1411</f>
        <v>0</v>
      </c>
      <c r="G1410" t="s">
        <v>247</v>
      </c>
    </row>
    <row r="1411" spans="1:7" hidden="1" x14ac:dyDescent="0.35">
      <c r="A1411" s="4"/>
      <c r="B1411" s="90"/>
      <c r="C1411" s="90"/>
      <c r="D1411" s="881"/>
      <c r="E1411" s="41"/>
      <c r="G1411" t="s">
        <v>247</v>
      </c>
    </row>
    <row r="1412" spans="1:7" hidden="1" x14ac:dyDescent="0.35">
      <c r="A1412" s="4"/>
      <c r="B1412" s="90"/>
      <c r="C1412" s="90"/>
      <c r="D1412" s="881"/>
      <c r="E1412" s="41"/>
      <c r="G1412" t="s">
        <v>247</v>
      </c>
    </row>
    <row r="1413" spans="1:7" hidden="1" x14ac:dyDescent="0.35">
      <c r="A1413" s="4"/>
      <c r="B1413" s="90"/>
      <c r="C1413" s="90"/>
      <c r="D1413" s="881"/>
      <c r="E1413" s="41"/>
      <c r="G1413" t="s">
        <v>247</v>
      </c>
    </row>
    <row r="1414" spans="1:7" ht="15" hidden="1" customHeight="1" x14ac:dyDescent="0.35">
      <c r="A1414" s="4"/>
      <c r="B1414" s="90"/>
      <c r="C1414" s="90"/>
      <c r="D1414" s="825" t="s">
        <v>4323</v>
      </c>
      <c r="E1414" s="41"/>
      <c r="F1414" s="760"/>
      <c r="G1414" t="s">
        <v>247</v>
      </c>
    </row>
    <row r="1415" spans="1:7" hidden="1" x14ac:dyDescent="0.35">
      <c r="A1415" s="133"/>
      <c r="B1415" s="228"/>
      <c r="C1415" s="228"/>
      <c r="D1415" s="842"/>
      <c r="E1415" s="41"/>
      <c r="F1415" s="760"/>
      <c r="G1415" t="s">
        <v>247</v>
      </c>
    </row>
    <row r="1416" spans="1:7" ht="15" hidden="1" customHeight="1" x14ac:dyDescent="0.35">
      <c r="A1416" s="30">
        <v>704.2</v>
      </c>
      <c r="B1416" s="90"/>
      <c r="C1416" s="90"/>
      <c r="D1416" s="881" t="s">
        <v>4324</v>
      </c>
      <c r="E1416" s="41"/>
      <c r="F1416" s="400" t="str">
        <f>IF(LEN('Verification Report'!W1417)=0,"",'Verification Report'!W1417)</f>
        <v/>
      </c>
      <c r="G1416" t="s">
        <v>247</v>
      </c>
    </row>
    <row r="1417" spans="1:7" hidden="1" x14ac:dyDescent="0.35">
      <c r="A1417" s="4"/>
      <c r="B1417" s="90"/>
      <c r="C1417" s="90"/>
      <c r="D1417" s="881"/>
      <c r="E1417" s="41"/>
      <c r="G1417" t="s">
        <v>247</v>
      </c>
    </row>
    <row r="1418" spans="1:7" hidden="1" x14ac:dyDescent="0.35">
      <c r="A1418" s="4"/>
      <c r="B1418" s="90"/>
      <c r="C1418" s="90"/>
      <c r="D1418" s="881"/>
      <c r="E1418" s="41"/>
      <c r="F1418" s="400" t="str">
        <f>IF(LEN('Verification Report'!W1419)=0,"",'Verification Report'!W1419)</f>
        <v/>
      </c>
      <c r="G1418" t="s">
        <v>247</v>
      </c>
    </row>
    <row r="1419" spans="1:7" ht="15" hidden="1" customHeight="1" x14ac:dyDescent="0.35">
      <c r="A1419" s="4"/>
      <c r="B1419" s="90"/>
      <c r="C1419" s="90"/>
      <c r="D1419" s="881" t="s">
        <v>4325</v>
      </c>
      <c r="E1419" s="41"/>
      <c r="G1419" t="s">
        <v>247</v>
      </c>
    </row>
    <row r="1420" spans="1:7" hidden="1" x14ac:dyDescent="0.35">
      <c r="A1420" s="4"/>
      <c r="B1420" s="90"/>
      <c r="C1420" s="90"/>
      <c r="D1420" s="881"/>
      <c r="E1420" s="41"/>
      <c r="G1420" t="s">
        <v>247</v>
      </c>
    </row>
    <row r="1421" spans="1:7" ht="18.5" hidden="1" x14ac:dyDescent="0.45">
      <c r="A1421" s="10" t="s">
        <v>1006</v>
      </c>
      <c r="B1421" s="44"/>
      <c r="C1421" s="44"/>
      <c r="D1421" s="44"/>
      <c r="E1421" s="544"/>
      <c r="G1421" t="s">
        <v>247</v>
      </c>
    </row>
    <row r="1422" spans="1:7" hidden="1" x14ac:dyDescent="0.35">
      <c r="A1422" s="30">
        <v>705.2</v>
      </c>
      <c r="B1422" s="90"/>
      <c r="C1422" s="90"/>
      <c r="D1422" s="95" t="s">
        <v>1007</v>
      </c>
      <c r="E1422" s="41"/>
      <c r="G1422" t="s">
        <v>247</v>
      </c>
    </row>
    <row r="1423" spans="1:7" hidden="1" x14ac:dyDescent="0.35">
      <c r="A1423" s="32" t="s">
        <v>1008</v>
      </c>
      <c r="B1423" s="90"/>
      <c r="C1423" s="90"/>
      <c r="D1423" s="95" t="s">
        <v>1009</v>
      </c>
      <c r="E1423" s="41"/>
      <c r="G1423" t="s">
        <v>247</v>
      </c>
    </row>
    <row r="1424" spans="1:7" ht="15" hidden="1" customHeight="1" x14ac:dyDescent="0.35">
      <c r="A1424" s="32"/>
      <c r="B1424" s="90"/>
      <c r="C1424" s="90"/>
      <c r="D1424" s="935" t="s">
        <v>1010</v>
      </c>
      <c r="E1424" s="41"/>
      <c r="G1424" t="s">
        <v>247</v>
      </c>
    </row>
    <row r="1425" spans="1:9" hidden="1" x14ac:dyDescent="0.35">
      <c r="A1425" s="32"/>
      <c r="B1425" s="90"/>
      <c r="C1425" s="90"/>
      <c r="D1425" s="935"/>
      <c r="E1425" s="41"/>
      <c r="G1425" t="s">
        <v>247</v>
      </c>
    </row>
    <row r="1426" spans="1:9" ht="15" hidden="1" customHeight="1" x14ac:dyDescent="0.35">
      <c r="A1426" s="32" t="s">
        <v>1011</v>
      </c>
      <c r="B1426" s="90"/>
      <c r="C1426" s="90"/>
      <c r="D1426" s="881" t="s">
        <v>4326</v>
      </c>
      <c r="E1426" s="41">
        <f ca="1">'Verification Report'!O1427</f>
        <v>0</v>
      </c>
      <c r="F1426" s="400" t="str">
        <f>IF(LEN('Verification Report'!W1427)=0,"",'Verification Report'!W1427)</f>
        <v/>
      </c>
      <c r="G1426" t="s">
        <v>247</v>
      </c>
    </row>
    <row r="1427" spans="1:9" hidden="1" x14ac:dyDescent="0.35">
      <c r="A1427" s="4"/>
      <c r="B1427" s="90"/>
      <c r="C1427" s="90"/>
      <c r="D1427" s="881"/>
      <c r="E1427" s="41"/>
      <c r="G1427" t="s">
        <v>247</v>
      </c>
    </row>
    <row r="1428" spans="1:9" hidden="1" x14ac:dyDescent="0.35">
      <c r="A1428" s="4"/>
      <c r="B1428" s="338" t="s">
        <v>256</v>
      </c>
      <c r="C1428" s="228"/>
      <c r="D1428" s="228" t="s">
        <v>1012</v>
      </c>
      <c r="E1428" s="41"/>
      <c r="G1428" t="s">
        <v>247</v>
      </c>
    </row>
    <row r="1429" spans="1:9" hidden="1" x14ac:dyDescent="0.35">
      <c r="A1429" s="133"/>
      <c r="B1429" s="338" t="s">
        <v>258</v>
      </c>
      <c r="C1429" s="228"/>
      <c r="D1429" s="228" t="s">
        <v>1013</v>
      </c>
      <c r="E1429" s="546"/>
      <c r="G1429" t="s">
        <v>247</v>
      </c>
    </row>
    <row r="1430" spans="1:9" ht="15" customHeight="1" x14ac:dyDescent="0.35">
      <c r="A1430" s="32" t="s">
        <v>1014</v>
      </c>
      <c r="B1430" s="156"/>
      <c r="C1430" s="90"/>
      <c r="D1430" s="838" t="s">
        <v>1015</v>
      </c>
      <c r="E1430" s="41">
        <f>'Verification Report'!O1431</f>
        <v>0</v>
      </c>
      <c r="F1430" s="400" t="str">
        <f>IF(LEN('Verification Report'!W1431)=0,"",'Verification Report'!W1431)</f>
        <v/>
      </c>
      <c r="G1430" s="366" t="str">
        <f>IF(E1430&gt;0,"P","")</f>
        <v/>
      </c>
      <c r="H1430" s="611" t="s">
        <v>5095</v>
      </c>
      <c r="I1430" s="350"/>
    </row>
    <row r="1431" spans="1:9" ht="15" thickBot="1" x14ac:dyDescent="0.4">
      <c r="A1431" s="133"/>
      <c r="B1431" s="228"/>
      <c r="C1431" s="228"/>
      <c r="D1431" s="889"/>
      <c r="E1431" s="546"/>
      <c r="G1431" s="366" t="str">
        <f>G1430</f>
        <v/>
      </c>
    </row>
    <row r="1432" spans="1:9" ht="15" hidden="1" thickBot="1" x14ac:dyDescent="0.4">
      <c r="A1432" s="32" t="s">
        <v>1016</v>
      </c>
      <c r="B1432" s="90"/>
      <c r="C1432" s="90"/>
      <c r="D1432" s="95" t="s">
        <v>1017</v>
      </c>
      <c r="E1432" s="41"/>
      <c r="G1432" t="s">
        <v>247</v>
      </c>
    </row>
    <row r="1433" spans="1:9" ht="15" hidden="1" customHeight="1" x14ac:dyDescent="0.35">
      <c r="A1433" s="4"/>
      <c r="B1433" s="156" t="s">
        <v>256</v>
      </c>
      <c r="C1433" s="90"/>
      <c r="D1433" s="814" t="s">
        <v>1018</v>
      </c>
      <c r="E1433" s="41">
        <f ca="1">'Verification Report'!O1434</f>
        <v>0</v>
      </c>
      <c r="F1433" s="400" t="str">
        <f>IF(LEN('Verification Report'!W1434)=0,"",'Verification Report'!W1434)</f>
        <v/>
      </c>
      <c r="G1433" t="s">
        <v>247</v>
      </c>
    </row>
    <row r="1434" spans="1:9" ht="15" hidden="1" thickBot="1" x14ac:dyDescent="0.4">
      <c r="A1434" s="4"/>
      <c r="B1434" s="90"/>
      <c r="C1434" s="90"/>
      <c r="D1434" s="814"/>
      <c r="E1434" s="41"/>
      <c r="G1434" t="s">
        <v>247</v>
      </c>
    </row>
    <row r="1435" spans="1:9" ht="15" hidden="1" thickBot="1" x14ac:dyDescent="0.4">
      <c r="A1435" s="4"/>
      <c r="B1435" s="90"/>
      <c r="C1435" s="152" t="s">
        <v>121</v>
      </c>
      <c r="D1435" s="90" t="s">
        <v>1012</v>
      </c>
      <c r="E1435" s="41"/>
      <c r="G1435" t="s">
        <v>247</v>
      </c>
    </row>
    <row r="1436" spans="1:9" ht="15" hidden="1" thickBot="1" x14ac:dyDescent="0.4">
      <c r="A1436" s="4"/>
      <c r="B1436" s="228"/>
      <c r="C1436" s="326" t="s">
        <v>122</v>
      </c>
      <c r="D1436" s="228" t="s">
        <v>1013</v>
      </c>
      <c r="E1436" s="546"/>
      <c r="G1436" t="s">
        <v>247</v>
      </c>
    </row>
    <row r="1437" spans="1:9" ht="15" hidden="1" customHeight="1" x14ac:dyDescent="0.35">
      <c r="A1437" s="4"/>
      <c r="B1437" s="156" t="s">
        <v>258</v>
      </c>
      <c r="C1437" s="90"/>
      <c r="D1437" s="814" t="s">
        <v>1019</v>
      </c>
      <c r="E1437" s="41">
        <f ca="1">'Verification Report'!O1438</f>
        <v>0</v>
      </c>
      <c r="F1437" s="400" t="str">
        <f>IF(LEN('Verification Report'!W1438)=0,"",'Verification Report'!W1438)</f>
        <v/>
      </c>
      <c r="G1437" t="s">
        <v>247</v>
      </c>
    </row>
    <row r="1438" spans="1:9" ht="15" hidden="1" thickBot="1" x14ac:dyDescent="0.4">
      <c r="A1438" s="4"/>
      <c r="B1438" s="90"/>
      <c r="C1438" s="90"/>
      <c r="D1438" s="814"/>
      <c r="E1438" s="41"/>
      <c r="G1438" t="s">
        <v>247</v>
      </c>
    </row>
    <row r="1439" spans="1:9" ht="15" hidden="1" thickBot="1" x14ac:dyDescent="0.4">
      <c r="A1439" s="4"/>
      <c r="B1439" s="90"/>
      <c r="C1439" s="90"/>
      <c r="D1439" s="814"/>
      <c r="E1439" s="41"/>
      <c r="G1439" t="s">
        <v>247</v>
      </c>
    </row>
    <row r="1440" spans="1:9" ht="15" hidden="1" thickBot="1" x14ac:dyDescent="0.4">
      <c r="A1440" s="4"/>
      <c r="B1440" s="90"/>
      <c r="C1440" s="152" t="s">
        <v>121</v>
      </c>
      <c r="D1440" s="90" t="s">
        <v>1020</v>
      </c>
      <c r="E1440" s="41"/>
      <c r="G1440" t="s">
        <v>247</v>
      </c>
    </row>
    <row r="1441" spans="1:7" ht="15" hidden="1" thickBot="1" x14ac:dyDescent="0.4">
      <c r="A1441" s="133"/>
      <c r="B1441" s="228"/>
      <c r="C1441" s="326" t="s">
        <v>122</v>
      </c>
      <c r="D1441" s="228" t="s">
        <v>1021</v>
      </c>
      <c r="E1441" s="546"/>
      <c r="G1441" t="s">
        <v>247</v>
      </c>
    </row>
    <row r="1442" spans="1:7" ht="15" hidden="1" customHeight="1" x14ac:dyDescent="0.35">
      <c r="A1442" s="32" t="s">
        <v>1022</v>
      </c>
      <c r="B1442" s="90"/>
      <c r="C1442" s="90"/>
      <c r="D1442" s="838" t="s">
        <v>1023</v>
      </c>
      <c r="E1442" s="41">
        <f ca="1">'Verification Report'!O1443</f>
        <v>0</v>
      </c>
      <c r="F1442" s="400" t="str">
        <f>IF(LEN('Verification Report'!W1443)=0,"",'Verification Report'!W1443)</f>
        <v/>
      </c>
      <c r="G1442" t="s">
        <v>247</v>
      </c>
    </row>
    <row r="1443" spans="1:7" ht="15" hidden="1" thickBot="1" x14ac:dyDescent="0.4">
      <c r="A1443" s="4"/>
      <c r="B1443" s="90"/>
      <c r="C1443" s="90"/>
      <c r="D1443" s="838"/>
      <c r="E1443" s="41"/>
      <c r="G1443" t="s">
        <v>247</v>
      </c>
    </row>
    <row r="1444" spans="1:7" ht="15" hidden="1" thickBot="1" x14ac:dyDescent="0.4">
      <c r="A1444" s="4"/>
      <c r="B1444" s="90"/>
      <c r="C1444" s="90"/>
      <c r="D1444" s="838"/>
      <c r="E1444" s="41"/>
      <c r="G1444" t="s">
        <v>247</v>
      </c>
    </row>
    <row r="1445" spans="1:7" ht="15" hidden="1" thickBot="1" x14ac:dyDescent="0.4">
      <c r="A1445" s="4"/>
      <c r="B1445" s="338" t="s">
        <v>256</v>
      </c>
      <c r="C1445" s="228"/>
      <c r="D1445" s="228" t="s">
        <v>1020</v>
      </c>
      <c r="E1445" s="41"/>
      <c r="G1445" t="s">
        <v>247</v>
      </c>
    </row>
    <row r="1446" spans="1:7" ht="15" hidden="1" thickBot="1" x14ac:dyDescent="0.4">
      <c r="A1446" s="133"/>
      <c r="B1446" s="338" t="s">
        <v>258</v>
      </c>
      <c r="C1446" s="228"/>
      <c r="D1446" s="228" t="s">
        <v>1024</v>
      </c>
      <c r="E1446" s="546"/>
      <c r="G1446" t="s">
        <v>247</v>
      </c>
    </row>
    <row r="1447" spans="1:7" ht="15" hidden="1" customHeight="1" x14ac:dyDescent="0.35">
      <c r="A1447" s="330" t="s">
        <v>1025</v>
      </c>
      <c r="B1447" s="286"/>
      <c r="C1447" s="286"/>
      <c r="D1447" s="905" t="s">
        <v>1026</v>
      </c>
      <c r="E1447" s="552">
        <f>'Verification Report'!O1448</f>
        <v>0</v>
      </c>
      <c r="F1447" s="400" t="str">
        <f>IF(LEN('Verification Report'!W1448)=0,"",'Verification Report'!W1448)</f>
        <v/>
      </c>
      <c r="G1447" t="s">
        <v>247</v>
      </c>
    </row>
    <row r="1448" spans="1:7" ht="15" hidden="1" thickBot="1" x14ac:dyDescent="0.4">
      <c r="A1448" s="4"/>
      <c r="B1448" s="90"/>
      <c r="C1448" s="90"/>
      <c r="D1448" s="838"/>
      <c r="E1448" s="41"/>
      <c r="G1448" t="s">
        <v>247</v>
      </c>
    </row>
    <row r="1449" spans="1:7" ht="15" hidden="1" thickBot="1" x14ac:dyDescent="0.4">
      <c r="A1449" s="133"/>
      <c r="B1449" s="228"/>
      <c r="C1449" s="228"/>
      <c r="D1449" s="142" t="s">
        <v>930</v>
      </c>
      <c r="E1449" s="546"/>
      <c r="G1449" t="s">
        <v>247</v>
      </c>
    </row>
    <row r="1450" spans="1:7" ht="15" hidden="1" customHeight="1" x14ac:dyDescent="0.35">
      <c r="A1450" s="330" t="s">
        <v>1027</v>
      </c>
      <c r="B1450" s="286"/>
      <c r="C1450" s="286"/>
      <c r="D1450" s="905" t="s">
        <v>1028</v>
      </c>
      <c r="E1450" s="552">
        <f>'Verification Report'!O1451</f>
        <v>0</v>
      </c>
      <c r="F1450" s="400" t="str">
        <f>IF(LEN('Verification Report'!W1451)=0,"",'Verification Report'!W1451)</f>
        <v/>
      </c>
      <c r="G1450" t="s">
        <v>247</v>
      </c>
    </row>
    <row r="1451" spans="1:7" ht="15" hidden="1" thickBot="1" x14ac:dyDescent="0.4">
      <c r="A1451" s="133"/>
      <c r="B1451" s="228"/>
      <c r="C1451" s="228"/>
      <c r="D1451" s="889"/>
      <c r="E1451" s="546"/>
      <c r="G1451" t="s">
        <v>247</v>
      </c>
    </row>
    <row r="1452" spans="1:7" ht="15" hidden="1" customHeight="1" x14ac:dyDescent="0.35">
      <c r="A1452" s="32" t="s">
        <v>1029</v>
      </c>
      <c r="B1452" s="90"/>
      <c r="C1452" s="90"/>
      <c r="D1452" s="838" t="s">
        <v>1030</v>
      </c>
      <c r="E1452" s="41">
        <f>'Verification Report'!O1453</f>
        <v>0</v>
      </c>
      <c r="G1452" t="s">
        <v>247</v>
      </c>
    </row>
    <row r="1453" spans="1:7" ht="15" hidden="1" thickBot="1" x14ac:dyDescent="0.4">
      <c r="A1453" s="4"/>
      <c r="B1453" s="90"/>
      <c r="C1453" s="90"/>
      <c r="D1453" s="838"/>
      <c r="E1453" s="41"/>
      <c r="F1453" s="400" t="str">
        <f>IF(LEN('Verification Report'!W1454)=0,"",'Verification Report'!W1454)</f>
        <v/>
      </c>
      <c r="G1453" t="s">
        <v>247</v>
      </c>
    </row>
    <row r="1454" spans="1:7" ht="15" hidden="1" thickBot="1" x14ac:dyDescent="0.4">
      <c r="A1454" s="160"/>
      <c r="B1454" s="229"/>
      <c r="C1454" s="229"/>
      <c r="D1454" s="849"/>
      <c r="E1454" s="72"/>
      <c r="F1454" s="591"/>
      <c r="G1454" t="s">
        <v>247</v>
      </c>
    </row>
    <row r="1455" spans="1:7" ht="15.5" hidden="1" thickTop="1" thickBot="1" x14ac:dyDescent="0.4">
      <c r="A1455" s="232">
        <v>705.3</v>
      </c>
      <c r="B1455" s="317"/>
      <c r="C1455" s="317"/>
      <c r="D1455" s="234" t="s">
        <v>1031</v>
      </c>
      <c r="E1455" s="548">
        <f>'Verification Report'!O1456</f>
        <v>0</v>
      </c>
      <c r="F1455" s="400" t="str">
        <f>IF(LEN('Verification Report'!W1456)=0,"",'Verification Report'!W1456)</f>
        <v/>
      </c>
      <c r="G1455" t="s">
        <v>247</v>
      </c>
    </row>
    <row r="1456" spans="1:7" ht="15.75" hidden="1" customHeight="1" thickTop="1" x14ac:dyDescent="0.35">
      <c r="A1456" s="106">
        <v>705.4</v>
      </c>
      <c r="B1456" s="316"/>
      <c r="C1456" s="316"/>
      <c r="D1456" s="837" t="s">
        <v>1032</v>
      </c>
      <c r="E1456" s="545">
        <f>'Verification Report'!O1457</f>
        <v>0</v>
      </c>
      <c r="F1456" s="400" t="str">
        <f>IF(LEN('Verification Report'!W1457)=0,"",'Verification Report'!W1457)</f>
        <v/>
      </c>
      <c r="G1456" t="s">
        <v>247</v>
      </c>
    </row>
    <row r="1457" spans="1:7" ht="15" hidden="1" thickBot="1" x14ac:dyDescent="0.4">
      <c r="A1457" s="4"/>
      <c r="B1457" s="90"/>
      <c r="C1457" s="90"/>
      <c r="D1457" s="838"/>
      <c r="E1457" s="41"/>
      <c r="G1457" t="s">
        <v>247</v>
      </c>
    </row>
    <row r="1458" spans="1:7" ht="15" hidden="1" thickBot="1" x14ac:dyDescent="0.4">
      <c r="A1458" s="160"/>
      <c r="B1458" s="229"/>
      <c r="C1458" s="229"/>
      <c r="D1458" s="849"/>
      <c r="E1458" s="72"/>
      <c r="G1458" t="s">
        <v>247</v>
      </c>
    </row>
    <row r="1459" spans="1:7" ht="15" hidden="1" thickBot="1" x14ac:dyDescent="0.4">
      <c r="A1459" s="30">
        <v>705.5</v>
      </c>
      <c r="B1459" s="90"/>
      <c r="C1459" s="90"/>
      <c r="D1459" s="95" t="s">
        <v>1033</v>
      </c>
      <c r="E1459" s="41"/>
      <c r="G1459" t="s">
        <v>247</v>
      </c>
    </row>
    <row r="1460" spans="1:7" ht="15" hidden="1" thickBot="1" x14ac:dyDescent="0.4">
      <c r="A1460" s="32" t="s">
        <v>1034</v>
      </c>
      <c r="B1460" s="90"/>
      <c r="C1460" s="90"/>
      <c r="D1460" s="480" t="s">
        <v>4327</v>
      </c>
      <c r="E1460" s="41"/>
      <c r="G1460" t="s">
        <v>247</v>
      </c>
    </row>
    <row r="1461" spans="1:7" ht="15" hidden="1" customHeight="1" x14ac:dyDescent="0.35">
      <c r="A1461" s="4"/>
      <c r="B1461" s="402" t="s">
        <v>256</v>
      </c>
      <c r="C1461" s="90"/>
      <c r="D1461" s="825" t="s">
        <v>4328</v>
      </c>
      <c r="E1461" s="41">
        <f>'Verification Report'!O1462</f>
        <v>0</v>
      </c>
      <c r="F1461" s="400" t="str">
        <f>IF(LEN('Verification Report'!W1462)=0,"",'Verification Report'!W1462)</f>
        <v/>
      </c>
      <c r="G1461" t="s">
        <v>247</v>
      </c>
    </row>
    <row r="1462" spans="1:7" ht="15" hidden="1" thickBot="1" x14ac:dyDescent="0.4">
      <c r="A1462" s="4"/>
      <c r="B1462" s="402"/>
      <c r="C1462" s="90"/>
      <c r="D1462" s="825"/>
      <c r="E1462" s="41"/>
      <c r="G1462" t="s">
        <v>247</v>
      </c>
    </row>
    <row r="1463" spans="1:7" ht="15" hidden="1" thickBot="1" x14ac:dyDescent="0.4">
      <c r="A1463" s="4"/>
      <c r="B1463" s="416"/>
      <c r="C1463" s="228"/>
      <c r="D1463" s="842"/>
      <c r="E1463" s="546"/>
      <c r="G1463" t="s">
        <v>247</v>
      </c>
    </row>
    <row r="1464" spans="1:7" ht="15" hidden="1" customHeight="1" x14ac:dyDescent="0.35">
      <c r="A1464" s="4"/>
      <c r="B1464" s="402" t="s">
        <v>258</v>
      </c>
      <c r="C1464" s="90"/>
      <c r="D1464" s="825" t="s">
        <v>4329</v>
      </c>
      <c r="E1464" s="552">
        <f>'Verification Report'!O1465</f>
        <v>0</v>
      </c>
      <c r="F1464" s="400" t="str">
        <f>IF(LEN('Verification Report'!W1465)=0,"",'Verification Report'!W1465)</f>
        <v/>
      </c>
      <c r="G1464" t="s">
        <v>247</v>
      </c>
    </row>
    <row r="1465" spans="1:7" ht="15" hidden="1" thickBot="1" x14ac:dyDescent="0.4">
      <c r="A1465" s="133"/>
      <c r="B1465" s="228"/>
      <c r="C1465" s="228"/>
      <c r="D1465" s="842"/>
      <c r="E1465" s="546"/>
      <c r="G1465" t="s">
        <v>247</v>
      </c>
    </row>
    <row r="1466" spans="1:7" ht="15" hidden="1" customHeight="1" x14ac:dyDescent="0.35">
      <c r="A1466" s="32" t="s">
        <v>1035</v>
      </c>
      <c r="B1466" s="90"/>
      <c r="C1466" s="90"/>
      <c r="D1466" s="838" t="s">
        <v>1036</v>
      </c>
      <c r="E1466" s="41">
        <f>'Verification Report'!O1467</f>
        <v>0</v>
      </c>
      <c r="F1466" s="400" t="str">
        <f>IF(LEN('Verification Report'!W1467)=0,"",'Verification Report'!W1467)</f>
        <v/>
      </c>
      <c r="G1466" t="s">
        <v>247</v>
      </c>
    </row>
    <row r="1467" spans="1:7" ht="15" hidden="1" thickBot="1" x14ac:dyDescent="0.4">
      <c r="A1467" s="4"/>
      <c r="B1467" s="90"/>
      <c r="C1467" s="90"/>
      <c r="D1467" s="838"/>
      <c r="E1467" s="41"/>
      <c r="G1467" t="s">
        <v>247</v>
      </c>
    </row>
    <row r="1468" spans="1:7" ht="15" hidden="1" thickBot="1" x14ac:dyDescent="0.4">
      <c r="A1468" s="4"/>
      <c r="B1468" s="338" t="s">
        <v>256</v>
      </c>
      <c r="C1468" s="228"/>
      <c r="D1468" s="228" t="s">
        <v>1037</v>
      </c>
      <c r="E1468" s="41"/>
      <c r="G1468" t="s">
        <v>247</v>
      </c>
    </row>
    <row r="1469" spans="1:7" ht="15" hidden="1" thickBot="1" x14ac:dyDescent="0.4">
      <c r="A1469" s="4"/>
      <c r="B1469" s="338" t="s">
        <v>258</v>
      </c>
      <c r="C1469" s="228"/>
      <c r="D1469" s="228" t="s">
        <v>1038</v>
      </c>
      <c r="E1469" s="41"/>
      <c r="G1469" t="s">
        <v>247</v>
      </c>
    </row>
    <row r="1470" spans="1:7" ht="15" hidden="1" thickBot="1" x14ac:dyDescent="0.4">
      <c r="A1470" s="4"/>
      <c r="B1470" s="348" t="s">
        <v>260</v>
      </c>
      <c r="C1470" s="178"/>
      <c r="D1470" s="178" t="s">
        <v>1039</v>
      </c>
      <c r="E1470" s="41"/>
      <c r="G1470" t="s">
        <v>247</v>
      </c>
    </row>
    <row r="1471" spans="1:7" ht="15" hidden="1" thickBot="1" x14ac:dyDescent="0.4">
      <c r="A1471" s="4"/>
      <c r="B1471" s="348" t="s">
        <v>269</v>
      </c>
      <c r="C1471" s="178"/>
      <c r="D1471" s="178" t="s">
        <v>1040</v>
      </c>
      <c r="E1471" s="41"/>
      <c r="G1471" t="s">
        <v>247</v>
      </c>
    </row>
    <row r="1472" spans="1:7" ht="15" hidden="1" thickBot="1" x14ac:dyDescent="0.4">
      <c r="A1472" s="4"/>
      <c r="B1472" s="348" t="s">
        <v>275</v>
      </c>
      <c r="C1472" s="178"/>
      <c r="D1472" s="178" t="s">
        <v>1041</v>
      </c>
      <c r="E1472" s="41"/>
      <c r="G1472" t="s">
        <v>247</v>
      </c>
    </row>
    <row r="1473" spans="1:7" ht="15" hidden="1" thickBot="1" x14ac:dyDescent="0.4">
      <c r="A1473" s="133"/>
      <c r="B1473" s="338" t="s">
        <v>277</v>
      </c>
      <c r="C1473" s="228"/>
      <c r="D1473" s="228" t="s">
        <v>1042</v>
      </c>
      <c r="E1473" s="546"/>
      <c r="G1473" t="s">
        <v>247</v>
      </c>
    </row>
    <row r="1474" spans="1:7" ht="15" hidden="1" thickBot="1" x14ac:dyDescent="0.4">
      <c r="A1474" s="47" t="s">
        <v>4330</v>
      </c>
      <c r="B1474" s="481"/>
      <c r="C1474" s="467"/>
      <c r="D1474" s="480" t="s">
        <v>4331</v>
      </c>
      <c r="E1474" s="552"/>
      <c r="G1474" t="s">
        <v>247</v>
      </c>
    </row>
    <row r="1475" spans="1:7" ht="15" hidden="1" customHeight="1" x14ac:dyDescent="0.35">
      <c r="A1475" s="47"/>
      <c r="B1475" s="481" t="s">
        <v>256</v>
      </c>
      <c r="C1475" s="467"/>
      <c r="D1475" s="825" t="s">
        <v>4332</v>
      </c>
      <c r="E1475" s="41">
        <f>'Verification Report'!O1476</f>
        <v>0</v>
      </c>
      <c r="F1475" s="400" t="str">
        <f>IF(LEN('Verification Report'!W1476)=0,"",'Verification Report'!W1476)</f>
        <v/>
      </c>
      <c r="G1475" t="s">
        <v>247</v>
      </c>
    </row>
    <row r="1476" spans="1:7" ht="15" hidden="1" thickBot="1" x14ac:dyDescent="0.4">
      <c r="A1476" s="47"/>
      <c r="B1476" s="482"/>
      <c r="C1476" s="472"/>
      <c r="D1476" s="842"/>
      <c r="E1476" s="546"/>
      <c r="G1476" t="s">
        <v>247</v>
      </c>
    </row>
    <row r="1477" spans="1:7" ht="15" hidden="1" thickBot="1" x14ac:dyDescent="0.4">
      <c r="A1477" s="52"/>
      <c r="B1477" s="491" t="s">
        <v>258</v>
      </c>
      <c r="C1477" s="473"/>
      <c r="D1477" s="474" t="s">
        <v>4333</v>
      </c>
      <c r="E1477" s="553">
        <f>'Verification Report'!O1478</f>
        <v>0</v>
      </c>
      <c r="F1477" s="400" t="str">
        <f>IF(LEN('Verification Report'!W1478)=0,"",'Verification Report'!W1478)</f>
        <v/>
      </c>
      <c r="G1477" t="s">
        <v>247</v>
      </c>
    </row>
    <row r="1478" spans="1:7" ht="15" hidden="1" thickBot="1" x14ac:dyDescent="0.4">
      <c r="A1478" s="31">
        <v>705.6</v>
      </c>
      <c r="B1478" s="90"/>
      <c r="C1478" s="90"/>
      <c r="D1478" s="95" t="s">
        <v>1043</v>
      </c>
      <c r="E1478" s="41"/>
      <c r="G1478" t="s">
        <v>247</v>
      </c>
    </row>
    <row r="1479" spans="1:7" ht="15" hidden="1" customHeight="1" x14ac:dyDescent="0.35">
      <c r="A1479" s="32" t="s">
        <v>1044</v>
      </c>
      <c r="B1479" s="90"/>
      <c r="C1479" s="90"/>
      <c r="D1479" s="881" t="s">
        <v>4334</v>
      </c>
      <c r="E1479" s="41">
        <f>'Verification Report'!O1480</f>
        <v>0</v>
      </c>
      <c r="F1479" s="913"/>
      <c r="G1479" t="s">
        <v>247</v>
      </c>
    </row>
    <row r="1480" spans="1:7" ht="15" hidden="1" thickBot="1" x14ac:dyDescent="0.4">
      <c r="A1480" s="4"/>
      <c r="B1480" s="90"/>
      <c r="C1480" s="90"/>
      <c r="D1480" s="881"/>
      <c r="E1480" s="41"/>
      <c r="F1480" s="913"/>
      <c r="G1480" t="s">
        <v>247</v>
      </c>
    </row>
    <row r="1481" spans="1:7" ht="15" hidden="1" thickBot="1" x14ac:dyDescent="0.4">
      <c r="A1481" s="4"/>
      <c r="B1481" s="90"/>
      <c r="C1481" s="90"/>
      <c r="D1481" s="881"/>
      <c r="E1481" s="41"/>
      <c r="F1481" s="913"/>
      <c r="G1481" t="s">
        <v>247</v>
      </c>
    </row>
    <row r="1482" spans="1:7" ht="15" hidden="1" thickBot="1" x14ac:dyDescent="0.4">
      <c r="A1482" s="4"/>
      <c r="B1482" s="90"/>
      <c r="C1482" s="90"/>
      <c r="D1482" s="881"/>
      <c r="E1482" s="41"/>
      <c r="F1482" s="913"/>
      <c r="G1482" t="s">
        <v>247</v>
      </c>
    </row>
    <row r="1483" spans="1:7" ht="15" hidden="1" thickBot="1" x14ac:dyDescent="0.4">
      <c r="A1483" s="4"/>
      <c r="B1483" s="90"/>
      <c r="C1483" s="90"/>
      <c r="D1483" s="881"/>
      <c r="E1483" s="41"/>
      <c r="F1483" s="913"/>
      <c r="G1483" t="s">
        <v>247</v>
      </c>
    </row>
    <row r="1484" spans="1:7" ht="15" hidden="1" thickBot="1" x14ac:dyDescent="0.4">
      <c r="A1484" s="133"/>
      <c r="B1484" s="228"/>
      <c r="C1484" s="228"/>
      <c r="D1484" s="882"/>
      <c r="E1484" s="546"/>
      <c r="F1484" s="913"/>
      <c r="G1484" t="s">
        <v>247</v>
      </c>
    </row>
    <row r="1485" spans="1:7" ht="15" hidden="1" thickBot="1" x14ac:dyDescent="0.4">
      <c r="A1485" s="32" t="s">
        <v>3618</v>
      </c>
      <c r="B1485" s="90"/>
      <c r="C1485" s="90"/>
      <c r="D1485" s="95" t="s">
        <v>3619</v>
      </c>
      <c r="E1485" s="41"/>
      <c r="G1485" t="s">
        <v>247</v>
      </c>
    </row>
    <row r="1486" spans="1:7" ht="15" hidden="1" customHeight="1" x14ac:dyDescent="0.35">
      <c r="A1486" s="32" t="s">
        <v>1046</v>
      </c>
      <c r="B1486" s="90"/>
      <c r="C1486" s="90"/>
      <c r="D1486" s="838" t="s">
        <v>4827</v>
      </c>
      <c r="E1486" s="41"/>
      <c r="G1486" t="s">
        <v>247</v>
      </c>
    </row>
    <row r="1487" spans="1:7" ht="15" hidden="1" thickBot="1" x14ac:dyDescent="0.4">
      <c r="A1487" s="4"/>
      <c r="B1487" s="90"/>
      <c r="C1487" s="90"/>
      <c r="D1487" s="838"/>
      <c r="E1487" s="41"/>
      <c r="G1487" t="s">
        <v>247</v>
      </c>
    </row>
    <row r="1488" spans="1:7" ht="15" hidden="1" thickBot="1" x14ac:dyDescent="0.4">
      <c r="A1488" s="4"/>
      <c r="B1488" s="90"/>
      <c r="C1488" s="90"/>
      <c r="D1488" s="838"/>
      <c r="E1488" s="41"/>
      <c r="G1488" t="s">
        <v>247</v>
      </c>
    </row>
    <row r="1489" spans="1:7" ht="15" hidden="1" customHeight="1" x14ac:dyDescent="0.35">
      <c r="A1489" s="4"/>
      <c r="B1489" s="90"/>
      <c r="C1489" s="90"/>
      <c r="D1489" s="895" t="s">
        <v>1045</v>
      </c>
      <c r="E1489" s="41"/>
      <c r="G1489" t="s">
        <v>247</v>
      </c>
    </row>
    <row r="1490" spans="1:7" ht="15" hidden="1" thickBot="1" x14ac:dyDescent="0.4">
      <c r="A1490" s="4"/>
      <c r="B1490" s="90"/>
      <c r="C1490" s="90"/>
      <c r="D1490" s="895"/>
      <c r="E1490" s="41"/>
      <c r="G1490" t="s">
        <v>247</v>
      </c>
    </row>
    <row r="1491" spans="1:7" ht="15" hidden="1" thickBot="1" x14ac:dyDescent="0.4">
      <c r="A1491" s="4"/>
      <c r="B1491" s="90"/>
      <c r="C1491" s="90"/>
      <c r="D1491" s="92" t="s">
        <v>3621</v>
      </c>
      <c r="E1491" s="41"/>
      <c r="G1491" t="s">
        <v>247</v>
      </c>
    </row>
    <row r="1492" spans="1:7" ht="15" hidden="1" thickBot="1" x14ac:dyDescent="0.4">
      <c r="A1492" s="4"/>
      <c r="B1492" s="156" t="s">
        <v>256</v>
      </c>
      <c r="C1492" s="90"/>
      <c r="D1492" s="90" t="s">
        <v>1047</v>
      </c>
      <c r="E1492" s="75">
        <f>'Verification Report'!O1493</f>
        <v>0</v>
      </c>
      <c r="F1492" s="400" t="str">
        <f>IF(LEN('Verification Report'!W1493)=0,"",'Verification Report'!W1493)</f>
        <v/>
      </c>
      <c r="G1492" t="s">
        <v>247</v>
      </c>
    </row>
    <row r="1493" spans="1:7" ht="15" hidden="1" thickBot="1" x14ac:dyDescent="0.4">
      <c r="A1493" s="4"/>
      <c r="D1493" s="565"/>
      <c r="E1493" s="75"/>
      <c r="G1493" t="s">
        <v>247</v>
      </c>
    </row>
    <row r="1494" spans="1:7" ht="15" hidden="1" thickBot="1" x14ac:dyDescent="0.4">
      <c r="A1494" s="4"/>
      <c r="B1494" s="104"/>
      <c r="C1494" s="104"/>
      <c r="D1494" s="586"/>
      <c r="E1494" s="309"/>
      <c r="F1494" s="400" t="str">
        <f>IF(LEN('Verification Report'!W1495)=0,"",'Verification Report'!W1495)</f>
        <v/>
      </c>
      <c r="G1494" t="s">
        <v>247</v>
      </c>
    </row>
    <row r="1495" spans="1:7" ht="15" hidden="1" thickBot="1" x14ac:dyDescent="0.4">
      <c r="A1495" s="4"/>
      <c r="B1495" s="156" t="s">
        <v>258</v>
      </c>
      <c r="C1495" s="90"/>
      <c r="D1495" s="90" t="s">
        <v>1048</v>
      </c>
      <c r="E1495" s="41">
        <f>'Verification Report'!O1496</f>
        <v>0</v>
      </c>
      <c r="F1495" s="400" t="str">
        <f>IF(LEN('Verification Report'!W1496)=0,"",'Verification Report'!W1496)</f>
        <v/>
      </c>
      <c r="G1495" t="s">
        <v>247</v>
      </c>
    </row>
    <row r="1496" spans="1:7" ht="15" hidden="1" customHeight="1" x14ac:dyDescent="0.35">
      <c r="A1496" s="4"/>
      <c r="B1496" s="156"/>
      <c r="C1496" s="90"/>
      <c r="D1496" s="855" t="s">
        <v>3622</v>
      </c>
      <c r="E1496" s="41"/>
      <c r="G1496" t="s">
        <v>247</v>
      </c>
    </row>
    <row r="1497" spans="1:7" ht="15" hidden="1" thickBot="1" x14ac:dyDescent="0.4">
      <c r="A1497" s="133"/>
      <c r="B1497" s="338"/>
      <c r="C1497" s="228"/>
      <c r="D1497" s="903"/>
      <c r="G1497" t="s">
        <v>247</v>
      </c>
    </row>
    <row r="1498" spans="1:7" ht="15" hidden="1" customHeight="1" x14ac:dyDescent="0.35">
      <c r="A1498" s="32" t="s">
        <v>1049</v>
      </c>
      <c r="B1498" s="90"/>
      <c r="C1498" s="90"/>
      <c r="D1498" s="838" t="s">
        <v>4336</v>
      </c>
      <c r="G1498" t="s">
        <v>247</v>
      </c>
    </row>
    <row r="1499" spans="1:7" ht="15" hidden="1" thickBot="1" x14ac:dyDescent="0.4">
      <c r="A1499" s="4"/>
      <c r="B1499" s="90"/>
      <c r="C1499" s="90"/>
      <c r="D1499" s="838"/>
      <c r="E1499" s="41"/>
      <c r="G1499" t="s">
        <v>247</v>
      </c>
    </row>
    <row r="1500" spans="1:7" ht="15" hidden="1" thickBot="1" x14ac:dyDescent="0.4">
      <c r="A1500" s="4"/>
      <c r="B1500" s="90"/>
      <c r="C1500" s="90"/>
      <c r="D1500" s="838"/>
      <c r="E1500" s="41"/>
      <c r="G1500" t="s">
        <v>247</v>
      </c>
    </row>
    <row r="1501" spans="1:7" ht="15" hidden="1" customHeight="1" x14ac:dyDescent="0.35">
      <c r="A1501" s="4"/>
      <c r="B1501" s="156" t="s">
        <v>256</v>
      </c>
      <c r="C1501" s="90"/>
      <c r="D1501" s="814" t="s">
        <v>1050</v>
      </c>
      <c r="E1501" s="41">
        <f>'Verification Report'!O1502</f>
        <v>0</v>
      </c>
      <c r="F1501" s="400" t="str">
        <f>IF(LEN('Verification Report'!W1502)=0,"",'Verification Report'!W1502)</f>
        <v/>
      </c>
      <c r="G1501" t="s">
        <v>247</v>
      </c>
    </row>
    <row r="1502" spans="1:7" ht="15" hidden="1" thickBot="1" x14ac:dyDescent="0.4">
      <c r="A1502" s="4"/>
      <c r="B1502" s="338"/>
      <c r="C1502" s="228"/>
      <c r="D1502" s="815"/>
      <c r="E1502" s="546"/>
      <c r="G1502" t="s">
        <v>247</v>
      </c>
    </row>
    <row r="1503" spans="1:7" ht="15" hidden="1" thickBot="1" x14ac:dyDescent="0.4">
      <c r="A1503" s="4"/>
      <c r="B1503" s="156" t="s">
        <v>258</v>
      </c>
      <c r="C1503" s="90"/>
      <c r="D1503" s="90" t="s">
        <v>1051</v>
      </c>
      <c r="E1503" s="552">
        <f>'Verification Report'!O1504</f>
        <v>0</v>
      </c>
      <c r="F1503" s="400" t="str">
        <f>IF(LEN('Verification Report'!W1504)=0,"",'Verification Report'!W1504)</f>
        <v/>
      </c>
      <c r="G1503" t="s">
        <v>247</v>
      </c>
    </row>
    <row r="1504" spans="1:7" ht="15" hidden="1" customHeight="1" x14ac:dyDescent="0.35">
      <c r="A1504" s="4"/>
      <c r="B1504" s="156"/>
      <c r="C1504" s="90"/>
      <c r="D1504" s="855" t="s">
        <v>3623</v>
      </c>
      <c r="E1504" s="41"/>
      <c r="G1504" t="s">
        <v>247</v>
      </c>
    </row>
    <row r="1505" spans="1:7" ht="15" hidden="1" thickBot="1" x14ac:dyDescent="0.4">
      <c r="A1505" s="133"/>
      <c r="B1505" s="338"/>
      <c r="C1505" s="228"/>
      <c r="D1505" s="903"/>
      <c r="E1505" s="546"/>
      <c r="G1505" t="s">
        <v>247</v>
      </c>
    </row>
    <row r="1506" spans="1:7" ht="15" hidden="1" thickBot="1" x14ac:dyDescent="0.4">
      <c r="A1506" s="32" t="s">
        <v>1052</v>
      </c>
      <c r="B1506" s="90"/>
      <c r="C1506" s="90"/>
      <c r="D1506" s="95" t="s">
        <v>1053</v>
      </c>
      <c r="E1506" s="41">
        <f ca="1">'Verification Report'!O1507</f>
        <v>0</v>
      </c>
      <c r="F1506" s="400" t="str">
        <f>IF(LEN('Verification Report'!W1507)=0,"",'Verification Report'!W1507)</f>
        <v/>
      </c>
      <c r="G1506" t="s">
        <v>247</v>
      </c>
    </row>
    <row r="1507" spans="1:7" ht="15" hidden="1" thickBot="1" x14ac:dyDescent="0.4">
      <c r="A1507" s="4"/>
      <c r="B1507" s="90"/>
      <c r="C1507" s="90"/>
      <c r="D1507" s="92" t="s">
        <v>1054</v>
      </c>
      <c r="E1507" s="41"/>
      <c r="G1507" t="s">
        <v>247</v>
      </c>
    </row>
    <row r="1508" spans="1:7" ht="15" hidden="1" thickBot="1" x14ac:dyDescent="0.4">
      <c r="A1508" s="4"/>
      <c r="B1508" s="90"/>
      <c r="C1508" s="90"/>
      <c r="D1508" s="92" t="s">
        <v>3546</v>
      </c>
      <c r="E1508" s="41"/>
      <c r="G1508" t="s">
        <v>247</v>
      </c>
    </row>
    <row r="1509" spans="1:7" ht="15" hidden="1" thickBot="1" x14ac:dyDescent="0.4">
      <c r="A1509" s="4"/>
      <c r="B1509" s="338" t="s">
        <v>256</v>
      </c>
      <c r="C1509" s="228"/>
      <c r="D1509" s="228" t="s">
        <v>3547</v>
      </c>
      <c r="E1509" s="41"/>
      <c r="G1509" t="s">
        <v>247</v>
      </c>
    </row>
    <row r="1510" spans="1:7" ht="15" hidden="1" customHeight="1" x14ac:dyDescent="0.35">
      <c r="A1510" s="4"/>
      <c r="B1510" s="156" t="s">
        <v>258</v>
      </c>
      <c r="C1510" s="90"/>
      <c r="D1510" s="814" t="s">
        <v>3548</v>
      </c>
      <c r="E1510" s="41"/>
      <c r="G1510" t="s">
        <v>247</v>
      </c>
    </row>
    <row r="1511" spans="1:7" ht="15" hidden="1" thickBot="1" x14ac:dyDescent="0.4">
      <c r="A1511" s="133"/>
      <c r="B1511" s="104"/>
      <c r="C1511" s="228"/>
      <c r="D1511" s="815"/>
      <c r="E1511" s="546"/>
      <c r="G1511" t="s">
        <v>247</v>
      </c>
    </row>
    <row r="1512" spans="1:7" ht="15" hidden="1" customHeight="1" x14ac:dyDescent="0.35">
      <c r="A1512" s="32" t="s">
        <v>3545</v>
      </c>
      <c r="B1512" s="90"/>
      <c r="C1512" s="90"/>
      <c r="D1512" s="919" t="s">
        <v>3549</v>
      </c>
      <c r="E1512" s="41">
        <f>'Verification Report'!O1513</f>
        <v>0</v>
      </c>
      <c r="F1512" s="400" t="str">
        <f>IF(LEN('Verification Report'!W1513)=0,"",'Verification Report'!W1513)</f>
        <v/>
      </c>
      <c r="G1512" t="s">
        <v>247</v>
      </c>
    </row>
    <row r="1513" spans="1:7" ht="15" hidden="1" thickBot="1" x14ac:dyDescent="0.4">
      <c r="A1513" s="4"/>
      <c r="B1513" s="90"/>
      <c r="C1513" s="90"/>
      <c r="D1513" s="919"/>
      <c r="E1513" s="41"/>
      <c r="G1513" t="s">
        <v>247</v>
      </c>
    </row>
    <row r="1514" spans="1:7" ht="15" hidden="1" thickBot="1" x14ac:dyDescent="0.4">
      <c r="A1514" s="4"/>
      <c r="B1514" s="90"/>
      <c r="C1514" s="90"/>
      <c r="D1514" s="92" t="s">
        <v>1054</v>
      </c>
      <c r="E1514" s="41"/>
      <c r="F1514" s="400" t="str">
        <f>IF(LEN('Verification Report'!W1515)=0,"",'Verification Report'!W1515)</f>
        <v/>
      </c>
      <c r="G1514" t="s">
        <v>247</v>
      </c>
    </row>
    <row r="1515" spans="1:7" ht="15" hidden="1" thickBot="1" x14ac:dyDescent="0.4">
      <c r="A1515" s="4"/>
      <c r="B1515" s="90"/>
      <c r="C1515" s="152" t="s">
        <v>121</v>
      </c>
      <c r="D1515" s="90" t="s">
        <v>1055</v>
      </c>
      <c r="E1515" s="41"/>
      <c r="G1515" t="s">
        <v>247</v>
      </c>
    </row>
    <row r="1516" spans="1:7" ht="15" hidden="1" thickBot="1" x14ac:dyDescent="0.4">
      <c r="A1516" s="4"/>
      <c r="B1516" s="90"/>
      <c r="C1516" s="152" t="s">
        <v>122</v>
      </c>
      <c r="D1516" s="470" t="s">
        <v>4337</v>
      </c>
      <c r="E1516" s="41"/>
      <c r="G1516" t="s">
        <v>247</v>
      </c>
    </row>
    <row r="1517" spans="1:7" ht="15" hidden="1" thickBot="1" x14ac:dyDescent="0.4">
      <c r="A1517" s="4"/>
      <c r="B1517" s="90"/>
      <c r="C1517" s="153" t="s">
        <v>123</v>
      </c>
      <c r="D1517" s="90" t="s">
        <v>1056</v>
      </c>
      <c r="E1517" s="41"/>
      <c r="G1517" t="s">
        <v>247</v>
      </c>
    </row>
    <row r="1518" spans="1:7" ht="15" hidden="1" thickBot="1" x14ac:dyDescent="0.4">
      <c r="A1518" s="4"/>
      <c r="B1518" s="90"/>
      <c r="C1518" s="95" t="s">
        <v>401</v>
      </c>
      <c r="D1518" s="90" t="s">
        <v>1057</v>
      </c>
      <c r="E1518" s="41"/>
      <c r="G1518" t="s">
        <v>247</v>
      </c>
    </row>
    <row r="1519" spans="1:7" ht="15" hidden="1" thickBot="1" x14ac:dyDescent="0.4">
      <c r="A1519" s="4"/>
      <c r="B1519" s="90"/>
      <c r="C1519" s="95" t="s">
        <v>539</v>
      </c>
      <c r="D1519" s="90" t="s">
        <v>1058</v>
      </c>
      <c r="E1519" s="41"/>
      <c r="G1519" t="s">
        <v>247</v>
      </c>
    </row>
    <row r="1520" spans="1:7" ht="15" hidden="1" thickBot="1" x14ac:dyDescent="0.4">
      <c r="A1520" s="4"/>
      <c r="B1520" s="90"/>
      <c r="C1520" s="153" t="s">
        <v>604</v>
      </c>
      <c r="D1520" s="90" t="s">
        <v>1059</v>
      </c>
      <c r="E1520" s="41"/>
      <c r="G1520" t="s">
        <v>247</v>
      </c>
    </row>
    <row r="1521" spans="1:7" ht="15" hidden="1" customHeight="1" x14ac:dyDescent="0.35">
      <c r="A1521" s="4"/>
      <c r="B1521" s="90"/>
      <c r="C1521" s="95" t="s">
        <v>606</v>
      </c>
      <c r="D1521" s="848" t="s">
        <v>1060</v>
      </c>
      <c r="E1521" s="41"/>
      <c r="G1521" t="s">
        <v>247</v>
      </c>
    </row>
    <row r="1522" spans="1:7" ht="15" hidden="1" thickBot="1" x14ac:dyDescent="0.4">
      <c r="A1522" s="133"/>
      <c r="B1522" s="228"/>
      <c r="C1522" s="329"/>
      <c r="D1522" s="821"/>
      <c r="E1522" s="41"/>
      <c r="G1522" t="s">
        <v>247</v>
      </c>
    </row>
    <row r="1523" spans="1:7" ht="15" hidden="1" thickBot="1" x14ac:dyDescent="0.4">
      <c r="A1523" s="32" t="s">
        <v>1061</v>
      </c>
      <c r="B1523" s="90"/>
      <c r="C1523" s="90"/>
      <c r="D1523" s="157" t="s">
        <v>1062</v>
      </c>
      <c r="E1523" s="41"/>
      <c r="G1523" t="s">
        <v>247</v>
      </c>
    </row>
    <row r="1524" spans="1:7" ht="15" hidden="1" customHeight="1" x14ac:dyDescent="0.35">
      <c r="A1524" s="32" t="s">
        <v>1063</v>
      </c>
      <c r="B1524" s="90"/>
      <c r="C1524" s="90"/>
      <c r="D1524" s="933" t="s">
        <v>1064</v>
      </c>
      <c r="E1524" s="41">
        <f ca="1">'Verification Report'!O1525</f>
        <v>0</v>
      </c>
      <c r="F1524" s="400" t="str">
        <f>IF(LEN('Verification Report'!W1525)=0,"",'Verification Report'!W1525)</f>
        <v/>
      </c>
      <c r="G1524" t="s">
        <v>247</v>
      </c>
    </row>
    <row r="1525" spans="1:7" ht="15" hidden="1" thickBot="1" x14ac:dyDescent="0.4">
      <c r="A1525" s="331"/>
      <c r="B1525" s="228"/>
      <c r="C1525" s="228"/>
      <c r="D1525" s="934"/>
      <c r="E1525" s="546"/>
      <c r="G1525" t="s">
        <v>247</v>
      </c>
    </row>
    <row r="1526" spans="1:7" ht="15" hidden="1" customHeight="1" x14ac:dyDescent="0.35">
      <c r="A1526" s="32" t="s">
        <v>1065</v>
      </c>
      <c r="B1526" s="90"/>
      <c r="C1526" s="90"/>
      <c r="D1526" s="883" t="s">
        <v>4338</v>
      </c>
      <c r="E1526" s="41">
        <f ca="1">'Verification Report'!O1527</f>
        <v>0</v>
      </c>
      <c r="F1526" s="400" t="str">
        <f>IF(LEN('Verification Report'!W1527)=0,"",'Verification Report'!W1527)</f>
        <v/>
      </c>
      <c r="G1526" t="s">
        <v>247</v>
      </c>
    </row>
    <row r="1527" spans="1:7" ht="15" hidden="1" thickBot="1" x14ac:dyDescent="0.4">
      <c r="A1527" s="160"/>
      <c r="B1527" s="229"/>
      <c r="C1527" s="229"/>
      <c r="D1527" s="931"/>
      <c r="E1527" s="72"/>
      <c r="G1527" t="s">
        <v>247</v>
      </c>
    </row>
    <row r="1528" spans="1:7" ht="15.75" hidden="1" customHeight="1" thickTop="1" x14ac:dyDescent="0.35">
      <c r="A1528" s="30">
        <v>705.7</v>
      </c>
      <c r="B1528" s="90"/>
      <c r="C1528" s="90"/>
      <c r="D1528" s="932" t="s">
        <v>1066</v>
      </c>
      <c r="E1528" s="41">
        <f ca="1">'Verification Report'!O1529</f>
        <v>0</v>
      </c>
      <c r="F1528" s="400" t="str">
        <f>IF(LEN('Verification Report'!W1529)=0,"",'Verification Report'!W1529)</f>
        <v/>
      </c>
      <c r="G1528" t="s">
        <v>247</v>
      </c>
    </row>
    <row r="1529" spans="1:7" ht="15" hidden="1" thickBot="1" x14ac:dyDescent="0.4">
      <c r="A1529" s="4"/>
      <c r="B1529" s="90"/>
      <c r="C1529" s="90"/>
      <c r="D1529" s="932"/>
      <c r="E1529" s="41"/>
      <c r="G1529" t="s">
        <v>247</v>
      </c>
    </row>
    <row r="1530" spans="1:7" ht="15" hidden="1" thickBot="1" x14ac:dyDescent="0.4">
      <c r="A1530" s="4"/>
      <c r="B1530" s="90"/>
      <c r="C1530" s="90"/>
      <c r="D1530" s="932"/>
      <c r="E1530" s="41"/>
      <c r="G1530" t="s">
        <v>247</v>
      </c>
    </row>
    <row r="1531" spans="1:7" ht="15" hidden="1" thickBot="1" x14ac:dyDescent="0.4">
      <c r="A1531" s="4"/>
      <c r="B1531" s="90"/>
      <c r="C1531" s="90"/>
      <c r="D1531" s="932"/>
      <c r="E1531" s="41"/>
      <c r="G1531" t="s">
        <v>247</v>
      </c>
    </row>
    <row r="1532" spans="1:7" ht="19" hidden="1" thickBot="1" x14ac:dyDescent="0.5">
      <c r="A1532" s="10" t="s">
        <v>1067</v>
      </c>
      <c r="B1532" s="44"/>
      <c r="C1532" s="44"/>
      <c r="D1532" s="44"/>
      <c r="E1532" s="544"/>
      <c r="G1532" t="s">
        <v>247</v>
      </c>
    </row>
    <row r="1533" spans="1:7" ht="15" hidden="1" customHeight="1" x14ac:dyDescent="0.35">
      <c r="A1533" s="30">
        <v>706.1</v>
      </c>
      <c r="B1533" s="90"/>
      <c r="C1533" s="90"/>
      <c r="D1533" s="881" t="s">
        <v>4339</v>
      </c>
      <c r="E1533" s="41">
        <f>'Verification Report'!O1534</f>
        <v>0</v>
      </c>
      <c r="G1533" t="s">
        <v>247</v>
      </c>
    </row>
    <row r="1534" spans="1:7" ht="15" hidden="1" thickBot="1" x14ac:dyDescent="0.4">
      <c r="A1534" s="4"/>
      <c r="B1534" s="90"/>
      <c r="C1534" s="90"/>
      <c r="D1534" s="881"/>
      <c r="E1534" s="41"/>
      <c r="G1534" t="s">
        <v>247</v>
      </c>
    </row>
    <row r="1535" spans="1:7" ht="15" hidden="1" thickBot="1" x14ac:dyDescent="0.4">
      <c r="A1535" s="4"/>
      <c r="B1535" s="338" t="s">
        <v>256</v>
      </c>
      <c r="C1535" s="228"/>
      <c r="D1535" s="228" t="s">
        <v>1068</v>
      </c>
      <c r="E1535" s="41"/>
      <c r="F1535" s="400" t="str">
        <f>IF(LEN('Verification Report'!W1536)=0,"",'Verification Report'!W1536)</f>
        <v/>
      </c>
      <c r="G1535" t="s">
        <v>247</v>
      </c>
    </row>
    <row r="1536" spans="1:7" ht="15" hidden="1" thickBot="1" x14ac:dyDescent="0.4">
      <c r="A1536" s="4"/>
      <c r="B1536" s="348" t="s">
        <v>258</v>
      </c>
      <c r="C1536" s="178"/>
      <c r="D1536" s="178" t="s">
        <v>1069</v>
      </c>
      <c r="E1536" s="41"/>
      <c r="F1536" s="400" t="str">
        <f>IF(LEN('Verification Report'!W1537)=0,"",'Verification Report'!W1537)</f>
        <v/>
      </c>
      <c r="G1536" t="s">
        <v>247</v>
      </c>
    </row>
    <row r="1537" spans="1:7" ht="15" hidden="1" thickBot="1" x14ac:dyDescent="0.4">
      <c r="A1537" s="4"/>
      <c r="B1537" s="348" t="s">
        <v>260</v>
      </c>
      <c r="C1537" s="178"/>
      <c r="D1537" s="178" t="s">
        <v>1070</v>
      </c>
      <c r="E1537" s="41"/>
      <c r="F1537" s="400" t="str">
        <f>IF(LEN('Verification Report'!W1538)=0,"",'Verification Report'!W1538)</f>
        <v/>
      </c>
      <c r="G1537" t="s">
        <v>247</v>
      </c>
    </row>
    <row r="1538" spans="1:7" ht="15" hidden="1" customHeight="1" x14ac:dyDescent="0.35">
      <c r="A1538" s="4"/>
      <c r="B1538" s="349" t="s">
        <v>269</v>
      </c>
      <c r="C1538" s="286"/>
      <c r="D1538" s="820" t="s">
        <v>1071</v>
      </c>
      <c r="E1538" s="41"/>
      <c r="F1538" s="400" t="str">
        <f>IF(LEN('Verification Report'!W1539)=0,"",'Verification Report'!W1539)</f>
        <v/>
      </c>
      <c r="G1538" t="s">
        <v>247</v>
      </c>
    </row>
    <row r="1539" spans="1:7" ht="15" hidden="1" thickBot="1" x14ac:dyDescent="0.4">
      <c r="A1539" s="4"/>
      <c r="B1539" s="338"/>
      <c r="C1539" s="228"/>
      <c r="D1539" s="821"/>
      <c r="E1539" s="41"/>
      <c r="G1539" t="s">
        <v>247</v>
      </c>
    </row>
    <row r="1540" spans="1:7" ht="15" hidden="1" thickBot="1" x14ac:dyDescent="0.4">
      <c r="A1540" s="160"/>
      <c r="B1540" s="340" t="s">
        <v>275</v>
      </c>
      <c r="C1540" s="229"/>
      <c r="D1540" s="229" t="s">
        <v>1072</v>
      </c>
      <c r="E1540" s="72"/>
      <c r="F1540" s="400" t="str">
        <f>IF(LEN('Verification Report'!W1541)=0,"",'Verification Report'!W1541)</f>
        <v/>
      </c>
      <c r="G1540" t="s">
        <v>247</v>
      </c>
    </row>
    <row r="1541" spans="1:7" ht="15.75" hidden="1" customHeight="1" thickTop="1" x14ac:dyDescent="0.35">
      <c r="A1541" s="30">
        <v>706.2</v>
      </c>
      <c r="B1541" s="90"/>
      <c r="C1541" s="90"/>
      <c r="D1541" s="919" t="s">
        <v>1073</v>
      </c>
      <c r="E1541" s="41"/>
      <c r="G1541" t="s">
        <v>247</v>
      </c>
    </row>
    <row r="1542" spans="1:7" ht="15" hidden="1" thickBot="1" x14ac:dyDescent="0.4">
      <c r="A1542" s="30"/>
      <c r="B1542" s="90"/>
      <c r="C1542" s="90"/>
      <c r="D1542" s="919"/>
      <c r="E1542" s="41"/>
      <c r="G1542" t="s">
        <v>247</v>
      </c>
    </row>
    <row r="1543" spans="1:7" ht="15" hidden="1" customHeight="1" x14ac:dyDescent="0.35">
      <c r="A1543" s="4"/>
      <c r="B1543" s="156" t="s">
        <v>256</v>
      </c>
      <c r="C1543" s="90"/>
      <c r="D1543" s="825" t="s">
        <v>4340</v>
      </c>
      <c r="E1543" s="41">
        <f>'Verification Report'!O1544</f>
        <v>0</v>
      </c>
      <c r="F1543" s="400" t="str">
        <f>IF(LEN('Verification Report'!W1544)=0,"",'Verification Report'!W1544)</f>
        <v/>
      </c>
      <c r="G1543" t="s">
        <v>247</v>
      </c>
    </row>
    <row r="1544" spans="1:7" ht="15" hidden="1" thickBot="1" x14ac:dyDescent="0.4">
      <c r="A1544" s="4"/>
      <c r="B1544" s="90"/>
      <c r="C1544" s="90"/>
      <c r="D1544" s="825"/>
      <c r="E1544" s="41"/>
      <c r="G1544" t="s">
        <v>247</v>
      </c>
    </row>
    <row r="1545" spans="1:7" ht="15" hidden="1" thickBot="1" x14ac:dyDescent="0.4">
      <c r="A1545" s="4"/>
      <c r="B1545" s="90"/>
      <c r="C1545" s="90"/>
      <c r="D1545" s="825"/>
      <c r="E1545" s="41"/>
      <c r="G1545" t="s">
        <v>247</v>
      </c>
    </row>
    <row r="1546" spans="1:7" ht="15" hidden="1" thickBot="1" x14ac:dyDescent="0.4">
      <c r="A1546" s="4"/>
      <c r="B1546" s="90"/>
      <c r="C1546" s="90"/>
      <c r="D1546" s="825"/>
      <c r="E1546" s="41"/>
      <c r="G1546" t="s">
        <v>247</v>
      </c>
    </row>
    <row r="1547" spans="1:7" ht="15" hidden="1" thickBot="1" x14ac:dyDescent="0.4">
      <c r="A1547" s="4"/>
      <c r="B1547" s="228"/>
      <c r="C1547" s="228"/>
      <c r="D1547" s="842"/>
      <c r="E1547" s="546"/>
      <c r="G1547" t="s">
        <v>247</v>
      </c>
    </row>
    <row r="1548" spans="1:7" ht="15" hidden="1" customHeight="1" x14ac:dyDescent="0.35">
      <c r="A1548" s="4"/>
      <c r="B1548" s="156" t="s">
        <v>258</v>
      </c>
      <c r="C1548" s="90"/>
      <c r="D1548" s="814" t="s">
        <v>1074</v>
      </c>
      <c r="E1548" s="41">
        <f ca="1">'Verification Report'!O1549</f>
        <v>0</v>
      </c>
      <c r="F1548" s="400" t="str">
        <f>IF(LEN('Verification Report'!W1549)=0,"",'Verification Report'!W1549)</f>
        <v/>
      </c>
      <c r="G1548" t="s">
        <v>247</v>
      </c>
    </row>
    <row r="1549" spans="1:7" ht="15" hidden="1" thickBot="1" x14ac:dyDescent="0.4">
      <c r="A1549" s="4"/>
      <c r="B1549" s="90"/>
      <c r="C1549" s="90"/>
      <c r="D1549" s="814"/>
      <c r="E1549" s="41"/>
      <c r="G1549" t="s">
        <v>247</v>
      </c>
    </row>
    <row r="1550" spans="1:7" ht="15" hidden="1" thickBot="1" x14ac:dyDescent="0.4">
      <c r="A1550" s="4"/>
      <c r="B1550" s="90"/>
      <c r="C1550" s="90"/>
      <c r="D1550" s="814"/>
      <c r="E1550" s="41"/>
      <c r="G1550" t="s">
        <v>247</v>
      </c>
    </row>
    <row r="1551" spans="1:7" ht="15" hidden="1" customHeight="1" x14ac:dyDescent="0.35">
      <c r="A1551" s="4"/>
      <c r="B1551" s="90"/>
      <c r="C1551" s="152" t="s">
        <v>121</v>
      </c>
      <c r="D1551" s="814" t="s">
        <v>1075</v>
      </c>
      <c r="E1551" s="41"/>
      <c r="G1551" t="s">
        <v>247</v>
      </c>
    </row>
    <row r="1552" spans="1:7" ht="15" hidden="1" thickBot="1" x14ac:dyDescent="0.4">
      <c r="A1552" s="4"/>
      <c r="B1552" s="90"/>
      <c r="C1552" s="326"/>
      <c r="D1552" s="815"/>
      <c r="E1552" s="41"/>
      <c r="G1552" t="s">
        <v>247</v>
      </c>
    </row>
    <row r="1553" spans="1:7" ht="15" hidden="1" customHeight="1" x14ac:dyDescent="0.35">
      <c r="A1553" s="4"/>
      <c r="B1553" s="90"/>
      <c r="C1553" s="152" t="s">
        <v>122</v>
      </c>
      <c r="D1553" s="814" t="s">
        <v>1076</v>
      </c>
      <c r="E1553" s="41"/>
      <c r="G1553" t="s">
        <v>247</v>
      </c>
    </row>
    <row r="1554" spans="1:7" ht="15" hidden="1" thickBot="1" x14ac:dyDescent="0.4">
      <c r="A1554" s="160"/>
      <c r="B1554" s="229"/>
      <c r="C1554" s="229"/>
      <c r="D1554" s="839"/>
      <c r="E1554" s="72"/>
      <c r="G1554" t="s">
        <v>247</v>
      </c>
    </row>
    <row r="1555" spans="1:7" ht="15.75" hidden="1" customHeight="1" thickTop="1" x14ac:dyDescent="0.35">
      <c r="A1555" s="30">
        <v>706.3</v>
      </c>
      <c r="B1555" s="90"/>
      <c r="C1555" s="90"/>
      <c r="D1555" s="919" t="s">
        <v>1077</v>
      </c>
      <c r="E1555" s="41">
        <f>'Verification Report'!O1556</f>
        <v>0</v>
      </c>
      <c r="G1555" t="s">
        <v>247</v>
      </c>
    </row>
    <row r="1556" spans="1:7" ht="15" hidden="1" thickBot="1" x14ac:dyDescent="0.4">
      <c r="A1556" s="30"/>
      <c r="B1556" s="90"/>
      <c r="C1556" s="90"/>
      <c r="D1556" s="919"/>
      <c r="E1556" s="41"/>
      <c r="G1556" t="s">
        <v>247</v>
      </c>
    </row>
    <row r="1557" spans="1:7" ht="15" hidden="1" thickBot="1" x14ac:dyDescent="0.4">
      <c r="A1557" s="4"/>
      <c r="B1557" s="90"/>
      <c r="C1557" s="90"/>
      <c r="D1557" s="158" t="s">
        <v>1078</v>
      </c>
      <c r="E1557" s="41"/>
      <c r="G1557" t="s">
        <v>247</v>
      </c>
    </row>
    <row r="1558" spans="1:7" ht="15" hidden="1" thickBot="1" x14ac:dyDescent="0.4">
      <c r="A1558" s="4"/>
      <c r="B1558" s="90"/>
      <c r="C1558" s="90"/>
      <c r="D1558" s="158" t="s">
        <v>1079</v>
      </c>
      <c r="E1558" s="41"/>
      <c r="G1558" t="s">
        <v>247</v>
      </c>
    </row>
    <row r="1559" spans="1:7" ht="15" hidden="1" customHeight="1" x14ac:dyDescent="0.35">
      <c r="A1559" s="4"/>
      <c r="C1559" s="159"/>
      <c r="D1559" s="895" t="s">
        <v>1080</v>
      </c>
      <c r="E1559" s="41"/>
      <c r="G1559" t="s">
        <v>247</v>
      </c>
    </row>
    <row r="1560" spans="1:7" ht="15" hidden="1" thickBot="1" x14ac:dyDescent="0.4">
      <c r="A1560" s="4"/>
      <c r="C1560" s="159"/>
      <c r="D1560" s="895"/>
      <c r="E1560" s="41"/>
      <c r="G1560" t="s">
        <v>247</v>
      </c>
    </row>
    <row r="1561" spans="1:7" ht="15" hidden="1" customHeight="1" x14ac:dyDescent="0.35">
      <c r="A1561" s="4"/>
      <c r="B1561" s="90"/>
      <c r="D1561" s="895" t="s">
        <v>1081</v>
      </c>
      <c r="E1561" s="41"/>
      <c r="G1561" t="s">
        <v>247</v>
      </c>
    </row>
    <row r="1562" spans="1:7" ht="15" hidden="1" thickBot="1" x14ac:dyDescent="0.4">
      <c r="A1562" s="4"/>
      <c r="B1562" s="90"/>
      <c r="D1562" s="895"/>
      <c r="E1562" s="41"/>
      <c r="G1562" t="s">
        <v>247</v>
      </c>
    </row>
    <row r="1563" spans="1:7" ht="15" hidden="1" thickBot="1" x14ac:dyDescent="0.4">
      <c r="A1563" s="4"/>
      <c r="B1563" s="338" t="s">
        <v>256</v>
      </c>
      <c r="C1563" s="228"/>
      <c r="D1563" s="228" t="s">
        <v>962</v>
      </c>
      <c r="E1563" s="41"/>
      <c r="F1563" s="400" t="str">
        <f>IF(LEN('Verification Report'!W1564)=0,"",'Verification Report'!W1564)</f>
        <v/>
      </c>
      <c r="G1563" t="s">
        <v>247</v>
      </c>
    </row>
    <row r="1564" spans="1:7" ht="15" hidden="1" thickBot="1" x14ac:dyDescent="0.4">
      <c r="A1564" s="4"/>
      <c r="B1564" s="348" t="s">
        <v>258</v>
      </c>
      <c r="C1564" s="178"/>
      <c r="D1564" s="178" t="s">
        <v>1082</v>
      </c>
      <c r="E1564" s="41"/>
      <c r="F1564" s="400" t="str">
        <f>IF(LEN('Verification Report'!W1565)=0,"",'Verification Report'!W1565)</f>
        <v/>
      </c>
      <c r="G1564" t="s">
        <v>247</v>
      </c>
    </row>
    <row r="1565" spans="1:7" ht="15" hidden="1" thickBot="1" x14ac:dyDescent="0.4">
      <c r="A1565" s="4"/>
      <c r="B1565" s="348" t="s">
        <v>260</v>
      </c>
      <c r="C1565" s="178"/>
      <c r="D1565" s="178" t="s">
        <v>963</v>
      </c>
      <c r="E1565" s="41"/>
      <c r="F1565" s="400" t="str">
        <f>IF(LEN('Verification Report'!W1566)=0,"",'Verification Report'!W1566)</f>
        <v/>
      </c>
      <c r="G1565" t="s">
        <v>247</v>
      </c>
    </row>
    <row r="1566" spans="1:7" ht="15" hidden="1" thickBot="1" x14ac:dyDescent="0.4">
      <c r="A1566" s="4"/>
      <c r="B1566" s="348" t="s">
        <v>269</v>
      </c>
      <c r="C1566" s="178"/>
      <c r="D1566" s="178" t="s">
        <v>1083</v>
      </c>
      <c r="E1566" s="41"/>
      <c r="F1566" s="400" t="str">
        <f>IF(LEN('Verification Report'!W1567)=0,"",'Verification Report'!W1567)</f>
        <v/>
      </c>
      <c r="G1566" t="s">
        <v>247</v>
      </c>
    </row>
    <row r="1567" spans="1:7" ht="15" hidden="1" thickBot="1" x14ac:dyDescent="0.4">
      <c r="A1567" s="4"/>
      <c r="B1567" s="348" t="s">
        <v>275</v>
      </c>
      <c r="C1567" s="178"/>
      <c r="D1567" s="178" t="s">
        <v>1084</v>
      </c>
      <c r="E1567" s="41"/>
      <c r="F1567" s="400" t="str">
        <f>IF(LEN('Verification Report'!W1568)=0,"",'Verification Report'!W1568)</f>
        <v/>
      </c>
      <c r="G1567" t="s">
        <v>247</v>
      </c>
    </row>
    <row r="1568" spans="1:7" ht="15" hidden="1" thickBot="1" x14ac:dyDescent="0.4">
      <c r="A1568" s="4"/>
      <c r="B1568" s="348" t="s">
        <v>277</v>
      </c>
      <c r="C1568" s="178"/>
      <c r="D1568" s="178" t="s">
        <v>1085</v>
      </c>
      <c r="E1568" s="41"/>
      <c r="F1568" s="400" t="str">
        <f>IF(LEN('Verification Report'!W1569)=0,"",'Verification Report'!W1569)</f>
        <v/>
      </c>
      <c r="G1568" t="s">
        <v>247</v>
      </c>
    </row>
    <row r="1569" spans="1:9" ht="15" hidden="1" thickBot="1" x14ac:dyDescent="0.4">
      <c r="A1569" s="4"/>
      <c r="B1569" s="348" t="s">
        <v>383</v>
      </c>
      <c r="C1569" s="178"/>
      <c r="D1569" s="178" t="s">
        <v>1086</v>
      </c>
      <c r="E1569" s="41"/>
      <c r="F1569" s="400" t="str">
        <f>IF(LEN('Verification Report'!W1570)=0,"",'Verification Report'!W1570)</f>
        <v/>
      </c>
      <c r="G1569" t="s">
        <v>247</v>
      </c>
    </row>
    <row r="1570" spans="1:9" ht="15" hidden="1" thickBot="1" x14ac:dyDescent="0.4">
      <c r="A1570" s="160"/>
      <c r="B1570" s="340" t="s">
        <v>428</v>
      </c>
      <c r="C1570" s="229"/>
      <c r="D1570" s="229" t="s">
        <v>1087</v>
      </c>
      <c r="E1570" s="72"/>
      <c r="F1570" s="400" t="str">
        <f>IF(LEN('Verification Report'!W1571)=0,"",'Verification Report'!W1571)</f>
        <v/>
      </c>
      <c r="G1570" t="s">
        <v>247</v>
      </c>
    </row>
    <row r="1571" spans="1:9" ht="15" hidden="1" thickBot="1" x14ac:dyDescent="0.4">
      <c r="A1571" s="30">
        <v>706.4</v>
      </c>
      <c r="B1571" s="90"/>
      <c r="C1571" s="90"/>
      <c r="D1571" s="95" t="s">
        <v>1088</v>
      </c>
      <c r="E1571" s="41"/>
      <c r="G1571" t="s">
        <v>247</v>
      </c>
    </row>
    <row r="1572" spans="1:9" ht="15" hidden="1" thickBot="1" x14ac:dyDescent="0.4">
      <c r="A1572" s="30" t="s">
        <v>1089</v>
      </c>
      <c r="B1572" s="90"/>
      <c r="C1572" s="90"/>
      <c r="D1572" s="95" t="s">
        <v>1090</v>
      </c>
      <c r="E1572" s="41"/>
      <c r="G1572" t="s">
        <v>247</v>
      </c>
    </row>
    <row r="1573" spans="1:9" ht="15" hidden="1" customHeight="1" x14ac:dyDescent="0.35">
      <c r="A1573" s="4"/>
      <c r="B1573" s="156" t="s">
        <v>256</v>
      </c>
      <c r="C1573" s="90"/>
      <c r="D1573" s="814" t="s">
        <v>1091</v>
      </c>
      <c r="E1573" s="41">
        <f>'Verification Report'!O1574</f>
        <v>0</v>
      </c>
      <c r="F1573" s="400" t="str">
        <f>IF(LEN('Verification Report'!W1574)=0,"",'Verification Report'!W1574)</f>
        <v/>
      </c>
      <c r="G1573" t="s">
        <v>247</v>
      </c>
    </row>
    <row r="1574" spans="1:9" ht="15" hidden="1" thickBot="1" x14ac:dyDescent="0.4">
      <c r="A1574" s="4"/>
      <c r="B1574" s="338"/>
      <c r="C1574" s="228"/>
      <c r="D1574" s="815"/>
      <c r="E1574" s="546"/>
      <c r="G1574" t="s">
        <v>247</v>
      </c>
    </row>
    <row r="1575" spans="1:9" ht="15" hidden="1" customHeight="1" x14ac:dyDescent="0.35">
      <c r="A1575" s="4"/>
      <c r="B1575" s="156" t="s">
        <v>258</v>
      </c>
      <c r="C1575" s="90"/>
      <c r="D1575" s="814" t="s">
        <v>1092</v>
      </c>
      <c r="E1575" s="41">
        <f>'Verification Report'!O1576</f>
        <v>0</v>
      </c>
      <c r="F1575" s="400" t="str">
        <f>IF(LEN('Verification Report'!W1576)=0,"",'Verification Report'!W1576)</f>
        <v/>
      </c>
      <c r="G1575" t="s">
        <v>247</v>
      </c>
    </row>
    <row r="1576" spans="1:9" ht="15" hidden="1" thickBot="1" x14ac:dyDescent="0.4">
      <c r="A1576" s="133"/>
      <c r="B1576" s="228"/>
      <c r="C1576" s="228"/>
      <c r="D1576" s="815"/>
      <c r="E1576" s="546"/>
      <c r="G1576" t="s">
        <v>247</v>
      </c>
    </row>
    <row r="1577" spans="1:9" ht="15" hidden="1" customHeight="1" x14ac:dyDescent="0.35">
      <c r="A1577" s="117" t="s">
        <v>1093</v>
      </c>
      <c r="B1577" s="286"/>
      <c r="C1577" s="286"/>
      <c r="D1577" s="905" t="s">
        <v>1094</v>
      </c>
      <c r="E1577" s="552">
        <f>'Verification Report'!O1578</f>
        <v>0</v>
      </c>
      <c r="F1577" s="400" t="str">
        <f>IF(LEN('Verification Report'!W1578)=0,"",'Verification Report'!W1578)</f>
        <v/>
      </c>
      <c r="G1577" t="s">
        <v>247</v>
      </c>
    </row>
    <row r="1578" spans="1:9" ht="15" hidden="1" thickBot="1" x14ac:dyDescent="0.4">
      <c r="A1578" s="160"/>
      <c r="B1578" s="229"/>
      <c r="C1578" s="229"/>
      <c r="D1578" s="849"/>
      <c r="E1578" s="72"/>
      <c r="G1578" t="s">
        <v>247</v>
      </c>
    </row>
    <row r="1579" spans="1:9" ht="15" thickTop="1" x14ac:dyDescent="0.35">
      <c r="A1579" s="60">
        <v>706.5</v>
      </c>
      <c r="B1579" s="402"/>
      <c r="C1579" s="402"/>
      <c r="D1579" s="480" t="s">
        <v>4347</v>
      </c>
      <c r="G1579" s="727" t="str">
        <f ca="1">IF(COUNTIF(G1582,"P")&gt;0,"P","")</f>
        <v/>
      </c>
    </row>
    <row r="1580" spans="1:9" hidden="1" x14ac:dyDescent="0.35">
      <c r="A1580" s="4"/>
      <c r="B1580" s="402" t="s">
        <v>256</v>
      </c>
      <c r="C1580" s="402"/>
      <c r="D1580" s="470" t="s">
        <v>4341</v>
      </c>
      <c r="E1580" s="41">
        <f>'Verification Report'!O1581</f>
        <v>0</v>
      </c>
      <c r="F1580" s="400" t="str">
        <f>IF(LEN('Verification Report'!W1581)=0,"",'Verification Report'!W1581)</f>
        <v/>
      </c>
      <c r="G1580" t="s">
        <v>247</v>
      </c>
    </row>
    <row r="1581" spans="1:9" hidden="1" x14ac:dyDescent="0.35">
      <c r="A1581" s="4"/>
      <c r="B1581" s="416"/>
      <c r="C1581" s="416"/>
      <c r="D1581" s="477"/>
      <c r="E1581" s="546"/>
      <c r="G1581" t="s">
        <v>247</v>
      </c>
    </row>
    <row r="1582" spans="1:9" x14ac:dyDescent="0.35">
      <c r="A1582" s="4"/>
      <c r="B1582" s="402" t="s">
        <v>258</v>
      </c>
      <c r="C1582" s="402"/>
      <c r="D1582" s="470" t="s">
        <v>4342</v>
      </c>
      <c r="E1582" s="41">
        <f ca="1">'Verification Report'!O1583</f>
        <v>0</v>
      </c>
      <c r="F1582" s="400" t="str">
        <f>IF(LEN('Verification Report'!W1583)=0,"",'Verification Report'!W1583)</f>
        <v/>
      </c>
      <c r="G1582" s="366" t="str">
        <f ca="1">IF(E1582&gt;0,"P","")</f>
        <v/>
      </c>
      <c r="H1582" s="611" t="s">
        <v>5096</v>
      </c>
      <c r="I1582" s="350"/>
    </row>
    <row r="1583" spans="1:9" ht="15" thickBot="1" x14ac:dyDescent="0.4">
      <c r="A1583" s="4"/>
      <c r="B1583" s="416"/>
      <c r="C1583" s="416"/>
      <c r="D1583" s="477"/>
      <c r="E1583" s="546"/>
      <c r="G1583" s="366" t="str">
        <f ca="1">G1582</f>
        <v/>
      </c>
    </row>
    <row r="1584" spans="1:9" ht="15" hidden="1" customHeight="1" x14ac:dyDescent="0.35">
      <c r="A1584" s="4"/>
      <c r="B1584" s="402" t="s">
        <v>260</v>
      </c>
      <c r="C1584" s="402"/>
      <c r="D1584" s="825" t="s">
        <v>4343</v>
      </c>
      <c r="E1584" s="41">
        <f ca="1">'Verification Report'!O1585</f>
        <v>0</v>
      </c>
      <c r="F1584" s="400" t="str">
        <f>IF(LEN('Verification Report'!W1585)=0,"",'Verification Report'!W1585)</f>
        <v/>
      </c>
      <c r="G1584" t="s">
        <v>247</v>
      </c>
    </row>
    <row r="1585" spans="1:9" ht="15" hidden="1" thickBot="1" x14ac:dyDescent="0.4">
      <c r="A1585" s="4"/>
      <c r="B1585" s="402"/>
      <c r="C1585" s="402"/>
      <c r="D1585" s="825"/>
      <c r="E1585" s="41"/>
      <c r="G1585" t="s">
        <v>247</v>
      </c>
    </row>
    <row r="1586" spans="1:9" ht="15" hidden="1" customHeight="1" x14ac:dyDescent="0.35">
      <c r="A1586" s="4"/>
      <c r="B1586" s="402"/>
      <c r="C1586" s="402"/>
      <c r="D1586" s="838" t="s">
        <v>4880</v>
      </c>
      <c r="E1586" s="41"/>
      <c r="G1586" t="s">
        <v>247</v>
      </c>
    </row>
    <row r="1587" spans="1:9" ht="15" hidden="1" thickBot="1" x14ac:dyDescent="0.4">
      <c r="A1587" s="4"/>
      <c r="B1587" s="402"/>
      <c r="C1587" s="402"/>
      <c r="D1587" s="838"/>
      <c r="E1587" s="41"/>
      <c r="G1587" t="s">
        <v>247</v>
      </c>
    </row>
    <row r="1588" spans="1:9" ht="15" hidden="1" thickBot="1" x14ac:dyDescent="0.4">
      <c r="A1588" s="4"/>
      <c r="B1588" s="402"/>
      <c r="C1588" s="402"/>
      <c r="D1588" s="838"/>
      <c r="E1588" s="41"/>
      <c r="G1588" t="s">
        <v>247</v>
      </c>
    </row>
    <row r="1589" spans="1:9" ht="15" hidden="1" customHeight="1" x14ac:dyDescent="0.35">
      <c r="A1589" s="4"/>
      <c r="B1589" s="402"/>
      <c r="C1589" s="402"/>
      <c r="D1589" s="838"/>
      <c r="E1589" s="41"/>
      <c r="G1589" t="s">
        <v>247</v>
      </c>
    </row>
    <row r="1590" spans="1:9" ht="15" hidden="1" thickBot="1" x14ac:dyDescent="0.4">
      <c r="A1590" s="4"/>
      <c r="B1590" s="402"/>
      <c r="C1590" s="402"/>
      <c r="D1590" s="838"/>
      <c r="E1590" s="41"/>
      <c r="G1590" t="s">
        <v>247</v>
      </c>
    </row>
    <row r="1591" spans="1:9" ht="15" hidden="1" customHeight="1" x14ac:dyDescent="0.35">
      <c r="A1591" s="4"/>
      <c r="B1591" s="402"/>
      <c r="C1591" s="402"/>
      <c r="D1591" s="838"/>
      <c r="E1591" s="41"/>
      <c r="G1591" t="s">
        <v>247</v>
      </c>
    </row>
    <row r="1592" spans="1:9" ht="15" hidden="1" thickBot="1" x14ac:dyDescent="0.4">
      <c r="A1592" s="4"/>
      <c r="B1592" s="402"/>
      <c r="C1592" s="402"/>
      <c r="D1592" s="936" t="s">
        <v>4345</v>
      </c>
      <c r="E1592" s="41"/>
      <c r="G1592" t="s">
        <v>247</v>
      </c>
    </row>
    <row r="1593" spans="1:9" ht="15" hidden="1" thickBot="1" x14ac:dyDescent="0.4">
      <c r="A1593" s="4"/>
      <c r="B1593" s="402"/>
      <c r="C1593" s="402"/>
      <c r="D1593" s="937"/>
      <c r="E1593" s="41"/>
      <c r="G1593" t="s">
        <v>247</v>
      </c>
    </row>
    <row r="1594" spans="1:9" ht="15.75" customHeight="1" thickTop="1" x14ac:dyDescent="0.35">
      <c r="A1594" s="106">
        <v>706.6</v>
      </c>
      <c r="B1594" s="316"/>
      <c r="C1594" s="316"/>
      <c r="D1594" s="837" t="s">
        <v>1095</v>
      </c>
      <c r="E1594" s="545">
        <f ca="1">'Verification Report'!O1595</f>
        <v>0</v>
      </c>
      <c r="F1594" s="400" t="str">
        <f>IF(LEN('Verification Report'!W1597)=0,"",'Verification Report'!W1597)</f>
        <v/>
      </c>
      <c r="G1594" s="366" t="str">
        <f ca="1">IF(E1594&gt;0,"P","")</f>
        <v/>
      </c>
      <c r="H1594" s="611" t="s">
        <v>5074</v>
      </c>
      <c r="I1594" s="350"/>
    </row>
    <row r="1595" spans="1:9" ht="15" thickBot="1" x14ac:dyDescent="0.4">
      <c r="A1595" s="160"/>
      <c r="B1595" s="229"/>
      <c r="C1595" s="229"/>
      <c r="D1595" s="849"/>
      <c r="E1595" s="72"/>
      <c r="G1595" s="366" t="str">
        <f ca="1">G1594</f>
        <v/>
      </c>
    </row>
    <row r="1596" spans="1:9" ht="15.75" hidden="1" customHeight="1" thickTop="1" x14ac:dyDescent="0.35">
      <c r="A1596" s="30">
        <v>706.7</v>
      </c>
      <c r="B1596" s="90"/>
      <c r="C1596" s="90"/>
      <c r="D1596" s="838" t="s">
        <v>1096</v>
      </c>
      <c r="E1596" s="41"/>
      <c r="G1596" t="s">
        <v>247</v>
      </c>
    </row>
    <row r="1597" spans="1:9" ht="15.5" hidden="1" thickTop="1" thickBot="1" x14ac:dyDescent="0.4">
      <c r="A1597" s="4"/>
      <c r="B1597" s="90"/>
      <c r="C1597" s="90"/>
      <c r="D1597" s="838"/>
      <c r="E1597" s="41"/>
      <c r="G1597" t="s">
        <v>247</v>
      </c>
    </row>
    <row r="1598" spans="1:9" ht="15.5" hidden="1" thickTop="1" thickBot="1" x14ac:dyDescent="0.4">
      <c r="A1598" s="4"/>
      <c r="B1598" s="338" t="s">
        <v>256</v>
      </c>
      <c r="C1598" s="228"/>
      <c r="D1598" s="228" t="s">
        <v>1097</v>
      </c>
      <c r="E1598" s="546">
        <f>'Verification Report'!O1599</f>
        <v>0</v>
      </c>
      <c r="F1598" s="400" t="str">
        <f>IF(LEN('Verification Report'!W1601)=0,"",'Verification Report'!W1601)</f>
        <v/>
      </c>
      <c r="G1598" t="s">
        <v>247</v>
      </c>
    </row>
    <row r="1599" spans="1:9" ht="15.5" hidden="1" thickTop="1" thickBot="1" x14ac:dyDescent="0.4">
      <c r="A1599" s="4"/>
      <c r="B1599" s="156" t="s">
        <v>258</v>
      </c>
      <c r="C1599" s="90"/>
      <c r="D1599" s="90" t="s">
        <v>1098</v>
      </c>
      <c r="E1599" s="41">
        <f>'Verification Report'!O1600</f>
        <v>0</v>
      </c>
      <c r="F1599" s="400" t="str">
        <f>IF(LEN('Verification Report'!W1602)=0,"",'Verification Report'!W1602)</f>
        <v/>
      </c>
      <c r="G1599" t="s">
        <v>247</v>
      </c>
    </row>
    <row r="1600" spans="1:9" ht="15" hidden="1" customHeight="1" x14ac:dyDescent="0.35">
      <c r="A1600" s="4"/>
      <c r="B1600" s="90"/>
      <c r="C1600" s="90"/>
      <c r="D1600" s="838" t="s">
        <v>1099</v>
      </c>
      <c r="E1600" s="41"/>
      <c r="G1600" t="s">
        <v>247</v>
      </c>
    </row>
    <row r="1601" spans="1:7" ht="15.5" hidden="1" thickTop="1" thickBot="1" x14ac:dyDescent="0.4">
      <c r="A1601" s="160"/>
      <c r="B1601" s="229"/>
      <c r="C1601" s="229"/>
      <c r="D1601" s="849"/>
      <c r="E1601" s="72"/>
      <c r="G1601" t="s">
        <v>247</v>
      </c>
    </row>
    <row r="1602" spans="1:7" ht="15.75" hidden="1" customHeight="1" thickTop="1" x14ac:dyDescent="0.35">
      <c r="A1602" s="106">
        <v>706.8</v>
      </c>
      <c r="B1602" s="316"/>
      <c r="C1602" s="316"/>
      <c r="D1602" s="930" t="s">
        <v>4350</v>
      </c>
      <c r="E1602" s="545">
        <f>'Verification Report'!O1603</f>
        <v>0</v>
      </c>
      <c r="F1602" s="400" t="str">
        <f>IF(LEN('Verification Report'!W1605)=0,"",'Verification Report'!W1605)</f>
        <v/>
      </c>
      <c r="G1602" t="s">
        <v>247</v>
      </c>
    </row>
    <row r="1603" spans="1:7" ht="15.5" hidden="1" thickTop="1" thickBot="1" x14ac:dyDescent="0.4">
      <c r="A1603" s="4"/>
      <c r="B1603" s="90"/>
      <c r="C1603" s="90"/>
      <c r="D1603" s="881"/>
      <c r="E1603" s="41"/>
      <c r="G1603" t="s">
        <v>247</v>
      </c>
    </row>
    <row r="1604" spans="1:7" ht="15.5" hidden="1" thickTop="1" thickBot="1" x14ac:dyDescent="0.4">
      <c r="A1604" s="160"/>
      <c r="B1604" s="229"/>
      <c r="C1604" s="229"/>
      <c r="D1604" s="931"/>
      <c r="E1604" s="72"/>
      <c r="G1604" t="s">
        <v>247</v>
      </c>
    </row>
    <row r="1605" spans="1:7" ht="15.75" hidden="1" customHeight="1" thickTop="1" x14ac:dyDescent="0.35">
      <c r="A1605" s="47" t="s">
        <v>4351</v>
      </c>
      <c r="B1605" s="467"/>
      <c r="C1605" s="467"/>
      <c r="D1605" s="881" t="s">
        <v>4352</v>
      </c>
      <c r="E1605" s="545">
        <f>'Verification Report'!O1606</f>
        <v>0</v>
      </c>
      <c r="F1605" s="400" t="str">
        <f>IF(LEN('Verification Report'!W1608)=0,"",'Verification Report'!W1608)</f>
        <v/>
      </c>
      <c r="G1605" t="s">
        <v>247</v>
      </c>
    </row>
    <row r="1606" spans="1:7" ht="15.5" hidden="1" thickTop="1" thickBot="1" x14ac:dyDescent="0.4">
      <c r="A1606" s="50"/>
      <c r="B1606" s="467"/>
      <c r="C1606" s="467"/>
      <c r="D1606" s="881"/>
      <c r="E1606" s="41"/>
      <c r="G1606" t="s">
        <v>247</v>
      </c>
    </row>
    <row r="1607" spans="1:7" ht="15.5" hidden="1" thickTop="1" thickBot="1" x14ac:dyDescent="0.4">
      <c r="A1607" s="50"/>
      <c r="B1607" s="467"/>
      <c r="C1607" s="467"/>
      <c r="D1607" s="881"/>
      <c r="E1607" s="41"/>
      <c r="G1607" t="s">
        <v>247</v>
      </c>
    </row>
    <row r="1608" spans="1:7" ht="15.5" hidden="1" thickTop="1" thickBot="1" x14ac:dyDescent="0.4">
      <c r="A1608" s="50"/>
      <c r="B1608" s="467"/>
      <c r="C1608" s="467"/>
      <c r="D1608" s="881"/>
      <c r="E1608" s="41"/>
      <c r="G1608" t="s">
        <v>247</v>
      </c>
    </row>
    <row r="1609" spans="1:7" ht="15.5" hidden="1" thickTop="1" thickBot="1" x14ac:dyDescent="0.4">
      <c r="A1609" s="57"/>
      <c r="B1609" s="473"/>
      <c r="C1609" s="473"/>
      <c r="D1609" s="931"/>
      <c r="E1609" s="72"/>
      <c r="G1609" t="s">
        <v>247</v>
      </c>
    </row>
    <row r="1610" spans="1:7" ht="15.75" hidden="1" customHeight="1" thickTop="1" x14ac:dyDescent="0.35">
      <c r="A1610" s="38" t="s">
        <v>4353</v>
      </c>
      <c r="B1610" s="90"/>
      <c r="C1610" s="90"/>
      <c r="D1610" s="838" t="s">
        <v>4354</v>
      </c>
      <c r="E1610" s="41">
        <f>'Verification Report'!O1611</f>
        <v>0</v>
      </c>
      <c r="F1610" s="400" t="str">
        <f>IF(LEN('Verification Report'!W1613)=0,"",'Verification Report'!W1613)</f>
        <v/>
      </c>
      <c r="G1610" t="s">
        <v>247</v>
      </c>
    </row>
    <row r="1611" spans="1:7" ht="15.5" hidden="1" thickTop="1" thickBot="1" x14ac:dyDescent="0.4">
      <c r="A1611" s="4"/>
      <c r="B1611" s="90"/>
      <c r="C1611" s="90"/>
      <c r="D1611" s="838"/>
      <c r="E1611" s="41"/>
      <c r="G1611" t="s">
        <v>247</v>
      </c>
    </row>
    <row r="1612" spans="1:7" ht="15.5" hidden="1" thickTop="1" thickBot="1" x14ac:dyDescent="0.4">
      <c r="A1612" s="4"/>
      <c r="B1612" s="90"/>
      <c r="C1612" s="90"/>
      <c r="D1612" s="838"/>
      <c r="E1612" s="41"/>
      <c r="G1612" t="s">
        <v>247</v>
      </c>
    </row>
    <row r="1613" spans="1:7" ht="15" hidden="1" customHeight="1" x14ac:dyDescent="0.35">
      <c r="A1613" s="4"/>
      <c r="B1613" s="90"/>
      <c r="C1613" s="90"/>
      <c r="D1613" s="838" t="s">
        <v>4355</v>
      </c>
      <c r="E1613" s="41"/>
      <c r="G1613" t="s">
        <v>247</v>
      </c>
    </row>
    <row r="1614" spans="1:7" ht="15.5" hidden="1" thickTop="1" thickBot="1" x14ac:dyDescent="0.4">
      <c r="A1614" s="4"/>
      <c r="B1614" s="90"/>
      <c r="C1614" s="90"/>
      <c r="D1614" s="838"/>
      <c r="E1614" s="41"/>
      <c r="G1614" t="s">
        <v>247</v>
      </c>
    </row>
    <row r="1615" spans="1:7" ht="15.75" hidden="1" customHeight="1" thickTop="1" x14ac:dyDescent="0.35">
      <c r="A1615" s="414" t="s">
        <v>4362</v>
      </c>
      <c r="B1615" s="414"/>
      <c r="C1615" s="414"/>
      <c r="D1615" s="930" t="s">
        <v>4370</v>
      </c>
      <c r="E1615" s="545">
        <f>'Verification Report'!O1616</f>
        <v>0</v>
      </c>
      <c r="F1615" s="400" t="str">
        <f>IF(LEN('Verification Report'!W1618)=0,"",'Verification Report'!W1618)</f>
        <v/>
      </c>
      <c r="G1615" t="s">
        <v>247</v>
      </c>
    </row>
    <row r="1616" spans="1:7" ht="15.5" hidden="1" thickTop="1" thickBot="1" x14ac:dyDescent="0.4">
      <c r="A1616" s="407"/>
      <c r="B1616" s="407"/>
      <c r="C1616" s="407"/>
      <c r="D1616" s="931"/>
      <c r="E1616" s="72"/>
      <c r="G1616" t="s">
        <v>247</v>
      </c>
    </row>
    <row r="1617" spans="1:7" ht="15.75" hidden="1" customHeight="1" thickTop="1" x14ac:dyDescent="0.35">
      <c r="A1617" s="414" t="s">
        <v>4363</v>
      </c>
      <c r="B1617" s="414"/>
      <c r="C1617" s="414"/>
      <c r="D1617" s="930" t="s">
        <v>5585</v>
      </c>
      <c r="E1617" s="545">
        <f>'Verification Report'!O1618</f>
        <v>0</v>
      </c>
      <c r="F1617" s="400" t="str">
        <f>IF(LEN('Verification Report'!W1620)=0,"",'Verification Report'!W1620)</f>
        <v/>
      </c>
      <c r="G1617" t="s">
        <v>247</v>
      </c>
    </row>
    <row r="1618" spans="1:7" ht="15.5" hidden="1" thickTop="1" thickBot="1" x14ac:dyDescent="0.4">
      <c r="A1618" s="402"/>
      <c r="B1618" s="402"/>
      <c r="C1618" s="402"/>
      <c r="D1618" s="881"/>
      <c r="E1618" s="41"/>
      <c r="G1618" t="s">
        <v>247</v>
      </c>
    </row>
    <row r="1619" spans="1:7" ht="15.5" hidden="1" thickTop="1" thickBot="1" x14ac:dyDescent="0.4">
      <c r="A1619" s="402"/>
      <c r="B1619" s="402"/>
      <c r="C1619" s="402"/>
      <c r="D1619" s="881"/>
      <c r="E1619" s="41"/>
      <c r="G1619" t="s">
        <v>247</v>
      </c>
    </row>
    <row r="1620" spans="1:7" ht="15.5" hidden="1" thickTop="1" thickBot="1" x14ac:dyDescent="0.4">
      <c r="A1620" s="407"/>
      <c r="B1620" s="407"/>
      <c r="C1620" s="407"/>
      <c r="D1620" s="931"/>
      <c r="E1620" s="72"/>
      <c r="G1620" t="s">
        <v>247</v>
      </c>
    </row>
    <row r="1621" spans="1:7" ht="15.75" hidden="1" customHeight="1" thickTop="1" x14ac:dyDescent="0.35">
      <c r="A1621" s="414" t="s">
        <v>4364</v>
      </c>
      <c r="B1621" s="414"/>
      <c r="C1621" s="414"/>
      <c r="D1621" s="930" t="s">
        <v>4369</v>
      </c>
      <c r="E1621" s="545">
        <f ca="1">'Verification Report'!O1622</f>
        <v>0</v>
      </c>
      <c r="F1621" s="400" t="str">
        <f>IF(LEN('Verification Report'!W1624)=0,"",'Verification Report'!W1624)</f>
        <v/>
      </c>
      <c r="G1621" t="s">
        <v>247</v>
      </c>
    </row>
    <row r="1622" spans="1:7" ht="15.5" hidden="1" thickTop="1" thickBot="1" x14ac:dyDescent="0.4">
      <c r="A1622" s="402"/>
      <c r="B1622" s="402"/>
      <c r="C1622" s="402"/>
      <c r="D1622" s="881"/>
      <c r="E1622" s="41"/>
      <c r="G1622" t="s">
        <v>247</v>
      </c>
    </row>
    <row r="1623" spans="1:7" ht="15.5" hidden="1" thickTop="1" thickBot="1" x14ac:dyDescent="0.4">
      <c r="A1623" s="402"/>
      <c r="B1623" s="416" t="s">
        <v>256</v>
      </c>
      <c r="C1623" s="416"/>
      <c r="D1623" s="477" t="s">
        <v>4356</v>
      </c>
      <c r="E1623" s="41"/>
      <c r="G1623" t="s">
        <v>247</v>
      </c>
    </row>
    <row r="1624" spans="1:7" ht="15.5" hidden="1" thickTop="1" thickBot="1" x14ac:dyDescent="0.4">
      <c r="A1624" s="407"/>
      <c r="B1624" s="407" t="s">
        <v>258</v>
      </c>
      <c r="C1624" s="407"/>
      <c r="D1624" s="474" t="s">
        <v>4357</v>
      </c>
      <c r="E1624" s="55"/>
      <c r="G1624" t="s">
        <v>247</v>
      </c>
    </row>
    <row r="1625" spans="1:7" ht="15.5" hidden="1" thickTop="1" thickBot="1" x14ac:dyDescent="0.4">
      <c r="A1625" s="402" t="s">
        <v>4365</v>
      </c>
      <c r="B1625" s="402"/>
      <c r="C1625" s="402"/>
      <c r="D1625" s="480" t="s">
        <v>4368</v>
      </c>
      <c r="G1625" t="s">
        <v>247</v>
      </c>
    </row>
    <row r="1626" spans="1:7" ht="15" hidden="1" customHeight="1" x14ac:dyDescent="0.35">
      <c r="A1626" s="402"/>
      <c r="B1626" s="402" t="s">
        <v>256</v>
      </c>
      <c r="C1626" s="402"/>
      <c r="D1626" s="825" t="s">
        <v>4358</v>
      </c>
      <c r="E1626" s="41">
        <f ca="1">'Verification Report'!O1627</f>
        <v>0</v>
      </c>
      <c r="F1626" s="400" t="str">
        <f>IF(LEN('Verification Report'!W1629)=0,"",'Verification Report'!W1629)</f>
        <v/>
      </c>
      <c r="G1626" t="s">
        <v>247</v>
      </c>
    </row>
    <row r="1627" spans="1:7" ht="15.5" hidden="1" thickTop="1" thickBot="1" x14ac:dyDescent="0.4">
      <c r="A1627" s="402"/>
      <c r="B1627" s="402"/>
      <c r="C1627" s="402"/>
      <c r="D1627" s="825"/>
      <c r="E1627" s="41"/>
      <c r="G1627" t="s">
        <v>247</v>
      </c>
    </row>
    <row r="1628" spans="1:7" ht="15.5" hidden="1" thickTop="1" thickBot="1" x14ac:dyDescent="0.4">
      <c r="A1628" s="402"/>
      <c r="B1628" s="402"/>
      <c r="C1628" s="402"/>
      <c r="D1628" s="825"/>
      <c r="E1628" s="41"/>
      <c r="G1628" t="s">
        <v>247</v>
      </c>
    </row>
    <row r="1629" spans="1:7" ht="15.5" hidden="1" thickTop="1" thickBot="1" x14ac:dyDescent="0.4">
      <c r="A1629" s="402"/>
      <c r="B1629" s="416"/>
      <c r="C1629" s="416"/>
      <c r="D1629" s="842"/>
      <c r="E1629" s="546"/>
      <c r="G1629" t="s">
        <v>247</v>
      </c>
    </row>
    <row r="1630" spans="1:7" ht="15" hidden="1" customHeight="1" x14ac:dyDescent="0.35">
      <c r="A1630" s="402"/>
      <c r="B1630" s="402" t="s">
        <v>258</v>
      </c>
      <c r="C1630" s="402"/>
      <c r="D1630" s="825" t="s">
        <v>4359</v>
      </c>
      <c r="E1630" s="41">
        <f>'Verification Report'!O1631</f>
        <v>0</v>
      </c>
      <c r="F1630" s="400" t="str">
        <f>IF(LEN('Verification Report'!W1633)=0,"",'Verification Report'!W1633)</f>
        <v/>
      </c>
      <c r="G1630" t="s">
        <v>247</v>
      </c>
    </row>
    <row r="1631" spans="1:7" ht="15.5" hidden="1" thickTop="1" thickBot="1" x14ac:dyDescent="0.4">
      <c r="A1631" s="407"/>
      <c r="B1631" s="407"/>
      <c r="C1631" s="407"/>
      <c r="D1631" s="826"/>
      <c r="E1631" s="72"/>
      <c r="G1631" t="s">
        <v>247</v>
      </c>
    </row>
    <row r="1632" spans="1:7" ht="15.75" hidden="1" customHeight="1" thickTop="1" x14ac:dyDescent="0.35">
      <c r="A1632" s="402" t="s">
        <v>4366</v>
      </c>
      <c r="B1632" s="402"/>
      <c r="C1632" s="402"/>
      <c r="D1632" s="881" t="s">
        <v>4367</v>
      </c>
      <c r="G1632" t="s">
        <v>247</v>
      </c>
    </row>
    <row r="1633" spans="1:7" ht="15.5" hidden="1" thickTop="1" thickBot="1" x14ac:dyDescent="0.4">
      <c r="A1633" s="402"/>
      <c r="B1633" s="402"/>
      <c r="C1633" s="402"/>
      <c r="D1633" s="881"/>
      <c r="G1633" t="s">
        <v>247</v>
      </c>
    </row>
    <row r="1634" spans="1:7" ht="15.5" hidden="1" thickTop="1" thickBot="1" x14ac:dyDescent="0.4">
      <c r="A1634" s="402"/>
      <c r="B1634" s="402"/>
      <c r="C1634" s="402"/>
      <c r="D1634" s="881"/>
      <c r="G1634" t="s">
        <v>247</v>
      </c>
    </row>
    <row r="1635" spans="1:7" ht="15.5" hidden="1" thickTop="1" thickBot="1" x14ac:dyDescent="0.4">
      <c r="A1635" s="402"/>
      <c r="B1635" s="416" t="s">
        <v>256</v>
      </c>
      <c r="C1635" s="416"/>
      <c r="D1635" s="477" t="s">
        <v>4360</v>
      </c>
      <c r="E1635" s="546">
        <f ca="1">'Verification Report'!O1636</f>
        <v>0</v>
      </c>
      <c r="F1635" s="400" t="str">
        <f>IF(LEN('Verification Report'!W1638)=0,"",'Verification Report'!W1638)</f>
        <v/>
      </c>
      <c r="G1635" t="s">
        <v>247</v>
      </c>
    </row>
    <row r="1636" spans="1:7" ht="15.5" hidden="1" thickTop="1" thickBot="1" x14ac:dyDescent="0.4">
      <c r="A1636" s="402"/>
      <c r="B1636" s="402" t="s">
        <v>258</v>
      </c>
      <c r="C1636" s="402"/>
      <c r="D1636" s="470" t="s">
        <v>4361</v>
      </c>
      <c r="E1636" s="552">
        <f ca="1">'Verification Report'!O1637</f>
        <v>0</v>
      </c>
      <c r="F1636" s="400" t="str">
        <f>IF(LEN('Verification Report'!W1639)=0,"",'Verification Report'!W1639)</f>
        <v/>
      </c>
      <c r="G1636" t="s">
        <v>247</v>
      </c>
    </row>
    <row r="1637" spans="1:7" ht="19.5" hidden="1" thickTop="1" thickBot="1" x14ac:dyDescent="0.5">
      <c r="A1637" s="14" t="s">
        <v>771</v>
      </c>
      <c r="B1637" s="14"/>
      <c r="C1637" s="14"/>
      <c r="D1637" s="584"/>
      <c r="E1637" s="549"/>
      <c r="G1637" t="s">
        <v>247</v>
      </c>
    </row>
    <row r="1638" spans="1:7" ht="15" hidden="1" customHeight="1" x14ac:dyDescent="0.35">
      <c r="A1638" s="38" t="s">
        <v>772</v>
      </c>
      <c r="B1638" s="93"/>
      <c r="C1638" s="4"/>
      <c r="D1638" s="838" t="s">
        <v>4372</v>
      </c>
      <c r="E1638" s="41"/>
      <c r="G1638" t="s">
        <v>247</v>
      </c>
    </row>
    <row r="1639" spans="1:7" ht="15.5" hidden="1" thickTop="1" thickBot="1" x14ac:dyDescent="0.4">
      <c r="A1639" s="38"/>
      <c r="B1639" s="93"/>
      <c r="C1639" s="4"/>
      <c r="D1639" s="838"/>
      <c r="E1639" s="41"/>
      <c r="G1639" t="s">
        <v>247</v>
      </c>
    </row>
    <row r="1640" spans="1:7" ht="15.5" hidden="1" thickTop="1" thickBot="1" x14ac:dyDescent="0.4">
      <c r="A1640" s="497"/>
      <c r="B1640" s="320"/>
      <c r="C1640" s="133"/>
      <c r="D1640" s="889"/>
      <c r="E1640" s="41"/>
      <c r="G1640" t="s">
        <v>247</v>
      </c>
    </row>
    <row r="1641" spans="1:7" ht="15" hidden="1" customHeight="1" x14ac:dyDescent="0.35">
      <c r="A1641" s="30">
        <v>801.1</v>
      </c>
      <c r="B1641" s="93"/>
      <c r="C1641" s="4"/>
      <c r="D1641" s="953" t="s">
        <v>4819</v>
      </c>
      <c r="E1641" s="41"/>
      <c r="F1641" s="400" t="str">
        <f>IF(LEN('Verification Report'!W1644)=0,"",'Verification Report'!W1644)</f>
        <v/>
      </c>
      <c r="G1641" t="s">
        <v>247</v>
      </c>
    </row>
    <row r="1642" spans="1:7" ht="15.5" hidden="1" thickTop="1" thickBot="1" x14ac:dyDescent="0.4">
      <c r="A1642" s="38"/>
      <c r="B1642" s="93"/>
      <c r="C1642" s="4"/>
      <c r="D1642" s="953"/>
      <c r="E1642" s="41"/>
      <c r="G1642" t="s">
        <v>247</v>
      </c>
    </row>
    <row r="1643" spans="1:7" ht="15.5" hidden="1" thickTop="1" thickBot="1" x14ac:dyDescent="0.4">
      <c r="A1643" s="38"/>
      <c r="B1643" s="93"/>
      <c r="C1643" s="4"/>
      <c r="D1643" s="953"/>
      <c r="E1643" s="41"/>
      <c r="G1643" t="s">
        <v>247</v>
      </c>
    </row>
    <row r="1644" spans="1:7" ht="15.5" hidden="1" thickTop="1" thickBot="1" x14ac:dyDescent="0.4">
      <c r="A1644" s="38"/>
      <c r="B1644" s="93"/>
      <c r="C1644" s="4"/>
      <c r="D1644" s="953"/>
      <c r="E1644" s="41"/>
      <c r="G1644" t="s">
        <v>247</v>
      </c>
    </row>
    <row r="1645" spans="1:7" ht="15.5" hidden="1" thickTop="1" thickBot="1" x14ac:dyDescent="0.4">
      <c r="A1645" s="38"/>
      <c r="B1645" s="93"/>
      <c r="C1645" s="4"/>
      <c r="D1645" s="953"/>
      <c r="E1645" s="41"/>
      <c r="G1645" t="s">
        <v>247</v>
      </c>
    </row>
    <row r="1646" spans="1:7" ht="15.5" hidden="1" thickTop="1" thickBot="1" x14ac:dyDescent="0.4">
      <c r="A1646" s="230"/>
      <c r="B1646" s="294"/>
      <c r="C1646" s="160"/>
      <c r="D1646" s="954"/>
      <c r="E1646" s="72"/>
      <c r="G1646" t="s">
        <v>247</v>
      </c>
    </row>
    <row r="1647" spans="1:7" ht="19.5" hidden="1" thickTop="1" thickBot="1" x14ac:dyDescent="0.5">
      <c r="A1647" s="10" t="s">
        <v>4396</v>
      </c>
      <c r="B1647" s="10"/>
      <c r="C1647" s="15"/>
      <c r="D1647" s="151"/>
      <c r="E1647" s="544"/>
      <c r="G1647" t="s">
        <v>247</v>
      </c>
    </row>
    <row r="1648" spans="1:7" ht="15" hidden="1" customHeight="1" x14ac:dyDescent="0.35">
      <c r="A1648" s="30">
        <v>802.1</v>
      </c>
      <c r="B1648" s="4"/>
      <c r="C1648" s="4"/>
      <c r="D1648" s="838" t="s">
        <v>4394</v>
      </c>
      <c r="E1648" s="41">
        <f ca="1">'Verification Report'!O1649</f>
        <v>0</v>
      </c>
      <c r="G1648" t="s">
        <v>247</v>
      </c>
    </row>
    <row r="1649" spans="1:7" ht="15.5" hidden="1" thickTop="1" thickBot="1" x14ac:dyDescent="0.4">
      <c r="A1649" s="30"/>
      <c r="B1649" s="4"/>
      <c r="C1649" s="4"/>
      <c r="D1649" s="838"/>
      <c r="E1649" s="41"/>
      <c r="F1649" s="400" t="str">
        <f>IF(LEN('Verification Report'!W1652)=0,"",'Verification Report'!W1652)</f>
        <v/>
      </c>
      <c r="G1649" t="s">
        <v>247</v>
      </c>
    </row>
    <row r="1650" spans="1:7" ht="15.5" hidden="1" thickTop="1" thickBot="1" x14ac:dyDescent="0.4">
      <c r="A1650" s="30"/>
      <c r="B1650" s="4"/>
      <c r="C1650" s="4"/>
      <c r="D1650" s="838"/>
      <c r="E1650" s="41"/>
      <c r="G1650" t="s">
        <v>247</v>
      </c>
    </row>
    <row r="1651" spans="1:7" ht="15.5" hidden="1" thickTop="1" thickBot="1" x14ac:dyDescent="0.4">
      <c r="A1651" s="30"/>
      <c r="B1651" s="4"/>
      <c r="C1651" s="4"/>
      <c r="D1651" s="838"/>
      <c r="E1651" s="41"/>
      <c r="G1651" t="s">
        <v>247</v>
      </c>
    </row>
    <row r="1652" spans="1:7" ht="15.5" hidden="1" thickTop="1" thickBot="1" x14ac:dyDescent="0.4">
      <c r="A1652" s="30"/>
      <c r="B1652" s="4"/>
      <c r="C1652" s="4"/>
      <c r="D1652" s="838"/>
      <c r="E1652" s="41"/>
      <c r="G1652" t="s">
        <v>247</v>
      </c>
    </row>
    <row r="1653" spans="1:7" ht="15" hidden="1" customHeight="1" x14ac:dyDescent="0.35">
      <c r="A1653" s="30"/>
      <c r="B1653" s="4"/>
      <c r="C1653" s="4"/>
      <c r="D1653" s="955" t="s">
        <v>773</v>
      </c>
      <c r="E1653" s="41"/>
      <c r="G1653" t="s">
        <v>247</v>
      </c>
    </row>
    <row r="1654" spans="1:7" ht="15.5" hidden="1" thickTop="1" thickBot="1" x14ac:dyDescent="0.4">
      <c r="A1654" s="30"/>
      <c r="B1654" s="4"/>
      <c r="C1654" s="4"/>
      <c r="D1654" s="955"/>
      <c r="E1654" s="41"/>
      <c r="G1654" t="s">
        <v>247</v>
      </c>
    </row>
    <row r="1655" spans="1:7" ht="15.5" hidden="1" thickTop="1" thickBot="1" x14ac:dyDescent="0.4">
      <c r="A1655" s="30"/>
      <c r="B1655" s="4"/>
      <c r="C1655" s="4"/>
      <c r="D1655" s="955"/>
      <c r="E1655" s="41"/>
      <c r="G1655" t="s">
        <v>247</v>
      </c>
    </row>
    <row r="1656" spans="1:7" ht="15" hidden="1" customHeight="1" x14ac:dyDescent="0.35">
      <c r="A1656" s="30"/>
      <c r="B1656" s="4"/>
      <c r="C1656" s="4"/>
      <c r="D1656" s="955" t="s">
        <v>774</v>
      </c>
      <c r="E1656" s="41"/>
      <c r="G1656" t="s">
        <v>247</v>
      </c>
    </row>
    <row r="1657" spans="1:7" ht="15.5" hidden="1" thickTop="1" thickBot="1" x14ac:dyDescent="0.4">
      <c r="A1657" s="30"/>
      <c r="B1657" s="4"/>
      <c r="C1657" s="4"/>
      <c r="D1657" s="955"/>
      <c r="E1657" s="41"/>
      <c r="G1657" t="s">
        <v>247</v>
      </c>
    </row>
    <row r="1658" spans="1:7" ht="15.5" hidden="1" thickTop="1" thickBot="1" x14ac:dyDescent="0.4">
      <c r="A1658" s="30"/>
      <c r="B1658" s="4"/>
      <c r="C1658" s="4"/>
      <c r="D1658" s="955"/>
      <c r="E1658" s="41"/>
      <c r="G1658" t="s">
        <v>247</v>
      </c>
    </row>
    <row r="1659" spans="1:7" ht="15.5" hidden="1" thickTop="1" thickBot="1" x14ac:dyDescent="0.4">
      <c r="A1659" s="30"/>
      <c r="B1659" s="4"/>
      <c r="C1659" s="4"/>
      <c r="D1659" s="218" t="s">
        <v>775</v>
      </c>
      <c r="E1659" s="41"/>
      <c r="G1659" t="s">
        <v>247</v>
      </c>
    </row>
    <row r="1660" spans="1:7" ht="15.5" hidden="1" thickTop="1" thickBot="1" x14ac:dyDescent="0.4">
      <c r="A1660" s="30"/>
      <c r="B1660" s="4"/>
      <c r="C1660" s="4"/>
      <c r="D1660" s="276" t="s">
        <v>4582</v>
      </c>
      <c r="E1660" s="41"/>
      <c r="G1660" t="s">
        <v>247</v>
      </c>
    </row>
    <row r="1661" spans="1:7" ht="15.5" hidden="1" thickTop="1" thickBot="1" x14ac:dyDescent="0.4">
      <c r="A1661" s="30"/>
      <c r="B1661" s="4"/>
      <c r="C1661" s="4"/>
      <c r="D1661" s="276" t="s">
        <v>4583</v>
      </c>
      <c r="E1661" s="41"/>
      <c r="G1661" t="s">
        <v>247</v>
      </c>
    </row>
    <row r="1662" spans="1:7" ht="15" hidden="1" customHeight="1" x14ac:dyDescent="0.35">
      <c r="A1662" s="30"/>
      <c r="B1662" s="19" t="s">
        <v>256</v>
      </c>
      <c r="C1662" s="4"/>
      <c r="D1662" s="814" t="s">
        <v>776</v>
      </c>
      <c r="E1662" s="41"/>
      <c r="G1662" t="s">
        <v>247</v>
      </c>
    </row>
    <row r="1663" spans="1:7" ht="15.5" hidden="1" thickTop="1" thickBot="1" x14ac:dyDescent="0.4">
      <c r="A1663" s="30"/>
      <c r="B1663" s="129"/>
      <c r="C1663" s="133"/>
      <c r="D1663" s="815"/>
      <c r="E1663" s="41"/>
      <c r="G1663" t="s">
        <v>247</v>
      </c>
    </row>
    <row r="1664" spans="1:7" ht="15" hidden="1" customHeight="1" x14ac:dyDescent="0.35">
      <c r="A1664" s="30"/>
      <c r="B1664" s="19" t="s">
        <v>258</v>
      </c>
      <c r="C1664" s="4"/>
      <c r="D1664" s="814" t="s">
        <v>777</v>
      </c>
      <c r="E1664" s="41"/>
      <c r="G1664" t="s">
        <v>247</v>
      </c>
    </row>
    <row r="1665" spans="1:7" ht="15.5" hidden="1" thickTop="1" thickBot="1" x14ac:dyDescent="0.4">
      <c r="A1665" s="30"/>
      <c r="B1665" s="129"/>
      <c r="C1665" s="133"/>
      <c r="D1665" s="815"/>
      <c r="E1665" s="41"/>
      <c r="G1665" t="s">
        <v>247</v>
      </c>
    </row>
    <row r="1666" spans="1:7" ht="15" hidden="1" customHeight="1" x14ac:dyDescent="0.35">
      <c r="A1666" s="30"/>
      <c r="B1666" s="19" t="s">
        <v>260</v>
      </c>
      <c r="C1666" s="4"/>
      <c r="D1666" s="814" t="s">
        <v>778</v>
      </c>
      <c r="E1666" s="41"/>
      <c r="G1666" t="s">
        <v>247</v>
      </c>
    </row>
    <row r="1667" spans="1:7" ht="15.5" hidden="1" thickTop="1" thickBot="1" x14ac:dyDescent="0.4">
      <c r="A1667" s="30"/>
      <c r="B1667" s="129"/>
      <c r="C1667" s="133"/>
      <c r="D1667" s="815"/>
      <c r="E1667" s="41"/>
      <c r="G1667" t="s">
        <v>247</v>
      </c>
    </row>
    <row r="1668" spans="1:7" ht="15" hidden="1" customHeight="1" x14ac:dyDescent="0.35">
      <c r="A1668" s="30"/>
      <c r="B1668" s="19" t="s">
        <v>269</v>
      </c>
      <c r="C1668" s="4"/>
      <c r="D1668" s="814" t="s">
        <v>779</v>
      </c>
      <c r="E1668" s="41"/>
      <c r="G1668" t="s">
        <v>247</v>
      </c>
    </row>
    <row r="1669" spans="1:7" ht="15.5" hidden="1" thickTop="1" thickBot="1" x14ac:dyDescent="0.4">
      <c r="A1669" s="30"/>
      <c r="B1669" s="4"/>
      <c r="C1669" s="4"/>
      <c r="D1669" s="814"/>
      <c r="E1669" s="41"/>
      <c r="G1669" t="s">
        <v>247</v>
      </c>
    </row>
    <row r="1670" spans="1:7" ht="15.5" hidden="1" thickTop="1" thickBot="1" x14ac:dyDescent="0.4">
      <c r="A1670" s="30"/>
      <c r="B1670" s="4"/>
      <c r="C1670" s="4"/>
      <c r="D1670" s="814"/>
      <c r="E1670" s="41"/>
      <c r="G1670" t="s">
        <v>247</v>
      </c>
    </row>
    <row r="1671" spans="1:7" ht="15" hidden="1" customHeight="1" x14ac:dyDescent="0.35">
      <c r="A1671" s="4"/>
      <c r="B1671" s="4"/>
      <c r="C1671" s="19" t="s">
        <v>121</v>
      </c>
      <c r="D1671" s="814" t="s">
        <v>780</v>
      </c>
      <c r="E1671" s="41"/>
      <c r="G1671" t="s">
        <v>247</v>
      </c>
    </row>
    <row r="1672" spans="1:7" ht="15.5" hidden="1" thickTop="1" thickBot="1" x14ac:dyDescent="0.4">
      <c r="A1672" s="30"/>
      <c r="B1672" s="133"/>
      <c r="C1672" s="133"/>
      <c r="D1672" s="815"/>
      <c r="E1672" s="41"/>
      <c r="G1672" t="s">
        <v>247</v>
      </c>
    </row>
    <row r="1673" spans="1:7" ht="15" hidden="1" customHeight="1" x14ac:dyDescent="0.35">
      <c r="A1673" s="30"/>
      <c r="B1673" s="19" t="s">
        <v>275</v>
      </c>
      <c r="C1673" s="4"/>
      <c r="D1673" s="814" t="s">
        <v>782</v>
      </c>
      <c r="E1673" s="41"/>
      <c r="G1673" t="s">
        <v>247</v>
      </c>
    </row>
    <row r="1674" spans="1:7" ht="15.5" hidden="1" thickTop="1" thickBot="1" x14ac:dyDescent="0.4">
      <c r="A1674" s="30"/>
      <c r="B1674" s="4"/>
      <c r="C1674" s="4"/>
      <c r="D1674" s="814"/>
      <c r="E1674" s="41"/>
      <c r="G1674" t="s">
        <v>247</v>
      </c>
    </row>
    <row r="1675" spans="1:7" ht="15.5" hidden="1" thickTop="1" thickBot="1" x14ac:dyDescent="0.4">
      <c r="A1675" s="30"/>
      <c r="B1675" s="4"/>
      <c r="C1675" s="4"/>
      <c r="D1675" s="814"/>
      <c r="E1675" s="41"/>
      <c r="G1675" t="s">
        <v>247</v>
      </c>
    </row>
    <row r="1676" spans="1:7" ht="15.5" hidden="1" thickTop="1" thickBot="1" x14ac:dyDescent="0.4">
      <c r="A1676" s="30"/>
      <c r="B1676" s="4"/>
      <c r="C1676" s="4"/>
      <c r="D1676" s="814"/>
      <c r="E1676" s="41"/>
      <c r="G1676" t="s">
        <v>247</v>
      </c>
    </row>
    <row r="1677" spans="1:7" ht="15.5" hidden="1" thickTop="1" thickBot="1" x14ac:dyDescent="0.4">
      <c r="A1677" s="30"/>
      <c r="B1677" s="133"/>
      <c r="C1677" s="133"/>
      <c r="D1677" s="815"/>
      <c r="E1677" s="546"/>
      <c r="G1677" t="s">
        <v>247</v>
      </c>
    </row>
    <row r="1678" spans="1:7" ht="15" hidden="1" customHeight="1" x14ac:dyDescent="0.35">
      <c r="A1678" s="30"/>
      <c r="B1678" s="19" t="s">
        <v>277</v>
      </c>
      <c r="C1678" s="4"/>
      <c r="D1678" s="814" t="s">
        <v>783</v>
      </c>
      <c r="E1678" s="41">
        <f ca="1">'Verification Report'!O1679</f>
        <v>0</v>
      </c>
      <c r="F1678" s="400" t="str">
        <f>IF(LEN('Verification Report'!W1681)=0,"",'Verification Report'!W1681)</f>
        <v/>
      </c>
      <c r="G1678" t="s">
        <v>247</v>
      </c>
    </row>
    <row r="1679" spans="1:7" ht="15.5" hidden="1" thickTop="1" thickBot="1" x14ac:dyDescent="0.4">
      <c r="A1679" s="30"/>
      <c r="B1679" s="4"/>
      <c r="C1679" s="4"/>
      <c r="D1679" s="814"/>
      <c r="E1679" s="41"/>
      <c r="G1679" t="s">
        <v>247</v>
      </c>
    </row>
    <row r="1680" spans="1:7" ht="15.5" hidden="1" thickTop="1" thickBot="1" x14ac:dyDescent="0.4">
      <c r="A1680" s="114"/>
      <c r="B1680" s="160"/>
      <c r="C1680" s="160"/>
      <c r="D1680" s="839"/>
      <c r="E1680" s="72"/>
      <c r="G1680" t="s">
        <v>247</v>
      </c>
    </row>
    <row r="1681" spans="1:7" ht="15.75" hidden="1" customHeight="1" thickTop="1" x14ac:dyDescent="0.35">
      <c r="A1681" s="30">
        <v>802.2</v>
      </c>
      <c r="B1681" s="4"/>
      <c r="C1681" s="4"/>
      <c r="D1681" s="838" t="s">
        <v>4373</v>
      </c>
      <c r="E1681" s="41"/>
      <c r="G1681" t="s">
        <v>247</v>
      </c>
    </row>
    <row r="1682" spans="1:7" ht="15.5" hidden="1" thickTop="1" thickBot="1" x14ac:dyDescent="0.4">
      <c r="A1682" s="30"/>
      <c r="B1682" s="4"/>
      <c r="C1682" s="4"/>
      <c r="D1682" s="838"/>
      <c r="E1682" s="41"/>
      <c r="G1682" t="s">
        <v>247</v>
      </c>
    </row>
    <row r="1683" spans="1:7" ht="15.5" hidden="1" thickTop="1" thickBot="1" x14ac:dyDescent="0.4">
      <c r="A1683" s="30"/>
      <c r="B1683" s="129" t="s">
        <v>256</v>
      </c>
      <c r="C1683" s="133"/>
      <c r="D1683" s="228" t="s">
        <v>784</v>
      </c>
      <c r="E1683" s="546">
        <f ca="1">'Verification Report'!O1684</f>
        <v>0</v>
      </c>
      <c r="F1683" s="400" t="str">
        <f>IF(LEN('Verification Report'!W1686)=0,"",'Verification Report'!W1686)</f>
        <v/>
      </c>
      <c r="G1683" t="s">
        <v>247</v>
      </c>
    </row>
    <row r="1684" spans="1:7" ht="15.5" hidden="1" thickTop="1" thickBot="1" x14ac:dyDescent="0.4">
      <c r="A1684" s="30"/>
      <c r="B1684" s="129" t="s">
        <v>258</v>
      </c>
      <c r="C1684" s="133"/>
      <c r="D1684" s="228" t="s">
        <v>4397</v>
      </c>
      <c r="E1684" s="41">
        <f ca="1">'Verification Report'!O1685</f>
        <v>0</v>
      </c>
      <c r="F1684" s="400" t="str">
        <f>IF(LEN('Verification Report'!W1687)=0,"",'Verification Report'!W1687)</f>
        <v/>
      </c>
      <c r="G1684" t="s">
        <v>247</v>
      </c>
    </row>
    <row r="1685" spans="1:7" ht="15.5" hidden="1" thickTop="1" thickBot="1" x14ac:dyDescent="0.4">
      <c r="A1685" s="30"/>
      <c r="B1685" s="19" t="s">
        <v>260</v>
      </c>
      <c r="C1685" s="4"/>
      <c r="D1685" s="90" t="s">
        <v>4398</v>
      </c>
      <c r="E1685" s="41"/>
      <c r="G1685" t="s">
        <v>247</v>
      </c>
    </row>
    <row r="1686" spans="1:7" ht="15" hidden="1" customHeight="1" x14ac:dyDescent="0.35">
      <c r="A1686" s="30"/>
      <c r="B1686" s="19"/>
      <c r="C1686" s="4"/>
      <c r="D1686" s="893" t="s">
        <v>3585</v>
      </c>
      <c r="E1686" s="41"/>
      <c r="G1686" t="s">
        <v>247</v>
      </c>
    </row>
    <row r="1687" spans="1:7" ht="15.5" hidden="1" thickTop="1" thickBot="1" x14ac:dyDescent="0.4">
      <c r="A1687" s="30"/>
      <c r="B1687" s="19"/>
      <c r="C1687" s="4"/>
      <c r="D1687" s="902"/>
      <c r="E1687" s="41"/>
      <c r="G1687" t="s">
        <v>247</v>
      </c>
    </row>
    <row r="1688" spans="1:7" ht="15" hidden="1" customHeight="1" x14ac:dyDescent="0.35">
      <c r="A1688" s="30"/>
      <c r="D1688" s="855" t="s">
        <v>3586</v>
      </c>
      <c r="E1688" s="41"/>
      <c r="G1688" t="s">
        <v>247</v>
      </c>
    </row>
    <row r="1689" spans="1:7" ht="15.5" hidden="1" thickTop="1" thickBot="1" x14ac:dyDescent="0.4">
      <c r="A1689" s="114"/>
      <c r="B1689" s="55"/>
      <c r="C1689" s="55"/>
      <c r="D1689" s="922"/>
      <c r="E1689" s="72"/>
      <c r="G1689" t="s">
        <v>247</v>
      </c>
    </row>
    <row r="1690" spans="1:7" ht="15.5" hidden="1" thickTop="1" thickBot="1" x14ac:dyDescent="0.4">
      <c r="A1690" s="500">
        <v>802.3</v>
      </c>
      <c r="B1690" s="402"/>
      <c r="C1690" s="481"/>
      <c r="D1690" s="495" t="s">
        <v>4399</v>
      </c>
      <c r="E1690" s="41"/>
      <c r="G1690" t="s">
        <v>247</v>
      </c>
    </row>
    <row r="1691" spans="1:7" ht="15.5" hidden="1" thickTop="1" thickBot="1" x14ac:dyDescent="0.4">
      <c r="A1691" s="500"/>
      <c r="B1691" s="402" t="s">
        <v>256</v>
      </c>
      <c r="C1691" s="481"/>
      <c r="D1691" s="499" t="s">
        <v>4400</v>
      </c>
      <c r="E1691" s="41"/>
      <c r="G1691" t="s">
        <v>247</v>
      </c>
    </row>
    <row r="1692" spans="1:7" ht="15" hidden="1" customHeight="1" x14ac:dyDescent="0.35">
      <c r="A1692" s="500"/>
      <c r="B1692" s="402"/>
      <c r="C1692" s="481" t="s">
        <v>121</v>
      </c>
      <c r="D1692" s="814" t="s">
        <v>4401</v>
      </c>
      <c r="E1692" s="41">
        <f ca="1">'Verification Report'!O1693</f>
        <v>0</v>
      </c>
      <c r="F1692" s="400" t="str">
        <f>IF(LEN('Verification Report'!W1695)=0,"",'Verification Report'!W1695)</f>
        <v/>
      </c>
      <c r="G1692" t="s">
        <v>247</v>
      </c>
    </row>
    <row r="1693" spans="1:7" ht="15.5" hidden="1" thickTop="1" thickBot="1" x14ac:dyDescent="0.4">
      <c r="A1693" s="500"/>
      <c r="B1693" s="402"/>
      <c r="C1693" s="482"/>
      <c r="D1693" s="815"/>
      <c r="E1693" s="546"/>
      <c r="G1693" t="s">
        <v>247</v>
      </c>
    </row>
    <row r="1694" spans="1:7" ht="15" hidden="1" customHeight="1" x14ac:dyDescent="0.35">
      <c r="A1694" s="500"/>
      <c r="B1694" s="402"/>
      <c r="C1694" s="481" t="s">
        <v>122</v>
      </c>
      <c r="D1694" s="814" t="s">
        <v>4402</v>
      </c>
      <c r="E1694" s="41">
        <f ca="1">'Verification Report'!O1695</f>
        <v>0</v>
      </c>
      <c r="F1694" s="400" t="str">
        <f>IF(LEN('Verification Report'!W1697)=0,"",'Verification Report'!W1697)</f>
        <v/>
      </c>
      <c r="G1694" t="s">
        <v>247</v>
      </c>
    </row>
    <row r="1695" spans="1:7" ht="15.5" hidden="1" thickTop="1" thickBot="1" x14ac:dyDescent="0.4">
      <c r="A1695" s="500"/>
      <c r="B1695" s="402"/>
      <c r="C1695" s="481"/>
      <c r="D1695" s="814"/>
      <c r="E1695" s="41"/>
      <c r="G1695" t="s">
        <v>247</v>
      </c>
    </row>
    <row r="1696" spans="1:7" ht="15.5" hidden="1" thickTop="1" thickBot="1" x14ac:dyDescent="0.4">
      <c r="A1696" s="500"/>
      <c r="B1696" s="402"/>
      <c r="C1696" s="481"/>
      <c r="D1696" s="814"/>
      <c r="E1696" s="41"/>
      <c r="G1696" t="s">
        <v>247</v>
      </c>
    </row>
    <row r="1697" spans="1:7" ht="15.5" hidden="1" thickTop="1" thickBot="1" x14ac:dyDescent="0.4">
      <c r="A1697" s="500"/>
      <c r="B1697" s="416"/>
      <c r="C1697" s="482"/>
      <c r="D1697" s="815"/>
      <c r="E1697" s="546"/>
      <c r="G1697" t="s">
        <v>247</v>
      </c>
    </row>
    <row r="1698" spans="1:7" ht="15.5" hidden="1" thickTop="1" thickBot="1" x14ac:dyDescent="0.4">
      <c r="A1698" s="500"/>
      <c r="B1698" s="402" t="s">
        <v>258</v>
      </c>
      <c r="C1698" s="481"/>
      <c r="D1698" s="266" t="s">
        <v>4403</v>
      </c>
      <c r="G1698" t="s">
        <v>247</v>
      </c>
    </row>
    <row r="1699" spans="1:7" ht="15" hidden="1" customHeight="1" x14ac:dyDescent="0.35">
      <c r="A1699" s="500"/>
      <c r="B1699" s="402"/>
      <c r="D1699" s="838" t="s">
        <v>4407</v>
      </c>
      <c r="G1699" t="s">
        <v>247</v>
      </c>
    </row>
    <row r="1700" spans="1:7" ht="15.5" hidden="1" thickTop="1" thickBot="1" x14ac:dyDescent="0.4">
      <c r="A1700" s="500"/>
      <c r="B1700" s="402"/>
      <c r="D1700" s="838"/>
      <c r="G1700" t="s">
        <v>247</v>
      </c>
    </row>
    <row r="1701" spans="1:7" ht="15" hidden="1" customHeight="1" x14ac:dyDescent="0.35">
      <c r="A1701" s="500"/>
      <c r="B1701" s="402"/>
      <c r="C1701" s="481" t="s">
        <v>121</v>
      </c>
      <c r="D1701" s="814" t="s">
        <v>4401</v>
      </c>
      <c r="E1701" s="75">
        <f ca="1">'Verification Report'!O1702</f>
        <v>0</v>
      </c>
      <c r="F1701" s="400" t="str">
        <f>IF(LEN('Verification Report'!W1704)=0,"",'Verification Report'!W1704)</f>
        <v/>
      </c>
      <c r="G1701" t="s">
        <v>247</v>
      </c>
    </row>
    <row r="1702" spans="1:7" ht="15.5" hidden="1" thickTop="1" thickBot="1" x14ac:dyDescent="0.4">
      <c r="A1702" s="500"/>
      <c r="B1702" s="402"/>
      <c r="C1702" s="482"/>
      <c r="D1702" s="815"/>
      <c r="E1702" s="309"/>
      <c r="G1702" t="s">
        <v>247</v>
      </c>
    </row>
    <row r="1703" spans="1:7" ht="15" hidden="1" customHeight="1" x14ac:dyDescent="0.35">
      <c r="A1703" s="500"/>
      <c r="B1703" s="402"/>
      <c r="C1703" s="481" t="s">
        <v>122</v>
      </c>
      <c r="D1703" s="814" t="s">
        <v>4402</v>
      </c>
      <c r="E1703" s="75">
        <f ca="1">'Verification Report'!O1704</f>
        <v>0</v>
      </c>
      <c r="F1703" s="400" t="str">
        <f>IF(LEN('Verification Report'!W1706)=0,"",'Verification Report'!W1706)</f>
        <v/>
      </c>
      <c r="G1703" t="s">
        <v>247</v>
      </c>
    </row>
    <row r="1704" spans="1:7" ht="15.5" hidden="1" thickTop="1" thickBot="1" x14ac:dyDescent="0.4">
      <c r="A1704" s="500"/>
      <c r="B1704" s="402"/>
      <c r="C1704" s="481"/>
      <c r="D1704" s="814"/>
      <c r="E1704" s="75"/>
      <c r="G1704" t="s">
        <v>247</v>
      </c>
    </row>
    <row r="1705" spans="1:7" ht="15.5" hidden="1" thickTop="1" thickBot="1" x14ac:dyDescent="0.4">
      <c r="A1705" s="500"/>
      <c r="B1705" s="402"/>
      <c r="C1705" s="481"/>
      <c r="D1705" s="814"/>
      <c r="E1705" s="75"/>
      <c r="G1705" t="s">
        <v>247</v>
      </c>
    </row>
    <row r="1706" spans="1:7" ht="15.5" hidden="1" thickTop="1" thickBot="1" x14ac:dyDescent="0.4">
      <c r="A1706" s="503"/>
      <c r="B1706" s="407"/>
      <c r="C1706" s="491"/>
      <c r="D1706" s="839"/>
      <c r="E1706" s="161"/>
      <c r="G1706" t="s">
        <v>247</v>
      </c>
    </row>
    <row r="1707" spans="1:7" ht="15.5" hidden="1" thickTop="1" thickBot="1" x14ac:dyDescent="0.4">
      <c r="A1707" s="30">
        <v>802.4</v>
      </c>
      <c r="B1707" s="93"/>
      <c r="C1707" s="4"/>
      <c r="D1707" s="95" t="s">
        <v>4409</v>
      </c>
      <c r="E1707" s="41"/>
      <c r="G1707" t="s">
        <v>247</v>
      </c>
    </row>
    <row r="1708" spans="1:7" ht="15" hidden="1" customHeight="1" x14ac:dyDescent="0.35">
      <c r="A1708" s="30"/>
      <c r="B1708" s="38" t="s">
        <v>256</v>
      </c>
      <c r="C1708" s="4"/>
      <c r="D1708" s="814" t="s">
        <v>4412</v>
      </c>
      <c r="E1708" s="41">
        <f ca="1">'Verification Report'!O1709</f>
        <v>0</v>
      </c>
      <c r="F1708" s="400" t="str">
        <f>IF(LEN('Verification Report'!W1711)=0,"",'Verification Report'!W1711)</f>
        <v/>
      </c>
      <c r="G1708" t="s">
        <v>247</v>
      </c>
    </row>
    <row r="1709" spans="1:7" ht="15.5" hidden="1" thickTop="1" thickBot="1" x14ac:dyDescent="0.4">
      <c r="A1709" s="30"/>
      <c r="B1709" s="93"/>
      <c r="C1709" s="4"/>
      <c r="D1709" s="814"/>
      <c r="E1709" s="41"/>
      <c r="G1709" t="s">
        <v>247</v>
      </c>
    </row>
    <row r="1710" spans="1:7" ht="15.5" hidden="1" thickTop="1" thickBot="1" x14ac:dyDescent="0.4">
      <c r="A1710" s="30"/>
      <c r="B1710" s="93"/>
      <c r="C1710" s="4"/>
      <c r="D1710" s="814"/>
      <c r="E1710" s="41"/>
      <c r="G1710" t="s">
        <v>247</v>
      </c>
    </row>
    <row r="1711" spans="1:7" ht="15.5" hidden="1" thickTop="1" thickBot="1" x14ac:dyDescent="0.4">
      <c r="A1711" s="30"/>
      <c r="B1711" s="93"/>
      <c r="C1711" s="4"/>
      <c r="D1711" s="814"/>
      <c r="E1711" s="41"/>
      <c r="G1711" t="s">
        <v>247</v>
      </c>
    </row>
    <row r="1712" spans="1:7" ht="15.5" hidden="1" thickTop="1" thickBot="1" x14ac:dyDescent="0.4">
      <c r="A1712" s="30"/>
      <c r="B1712" s="93"/>
      <c r="C1712" s="4"/>
      <c r="D1712" s="814"/>
      <c r="E1712" s="41"/>
      <c r="G1712" t="s">
        <v>247</v>
      </c>
    </row>
    <row r="1713" spans="1:7" ht="15.5" hidden="1" thickTop="1" thickBot="1" x14ac:dyDescent="0.4">
      <c r="A1713" s="30"/>
      <c r="B1713" s="93"/>
      <c r="C1713" s="4"/>
      <c r="D1713" s="814"/>
      <c r="E1713" s="41"/>
      <c r="G1713" t="s">
        <v>247</v>
      </c>
    </row>
    <row r="1714" spans="1:7" ht="15.5" hidden="1" thickTop="1" thickBot="1" x14ac:dyDescent="0.4">
      <c r="A1714" s="30"/>
      <c r="B1714" s="93"/>
      <c r="C1714" s="4"/>
      <c r="D1714" s="814"/>
      <c r="E1714" s="41"/>
      <c r="G1714" t="s">
        <v>247</v>
      </c>
    </row>
    <row r="1715" spans="1:7" ht="15.5" hidden="1" thickTop="1" thickBot="1" x14ac:dyDescent="0.4">
      <c r="A1715" s="30"/>
      <c r="B1715" s="93"/>
      <c r="C1715" s="4"/>
      <c r="D1715" s="814"/>
      <c r="E1715" s="41"/>
      <c r="G1715" t="s">
        <v>247</v>
      </c>
    </row>
    <row r="1716" spans="1:7" ht="15.5" hidden="1" thickTop="1" thickBot="1" x14ac:dyDescent="0.4">
      <c r="A1716" s="30"/>
      <c r="B1716" s="93"/>
      <c r="C1716" s="4"/>
      <c r="D1716" s="814"/>
      <c r="E1716" s="41"/>
      <c r="G1716" t="s">
        <v>247</v>
      </c>
    </row>
    <row r="1717" spans="1:7" ht="15" hidden="1" customHeight="1" x14ac:dyDescent="0.35">
      <c r="A1717" s="30"/>
      <c r="B1717" s="93"/>
      <c r="C1717" s="4"/>
      <c r="D1717" s="895" t="s">
        <v>4413</v>
      </c>
      <c r="E1717" s="41"/>
      <c r="G1717" t="s">
        <v>247</v>
      </c>
    </row>
    <row r="1718" spans="1:7" ht="15.5" hidden="1" thickTop="1" thickBot="1" x14ac:dyDescent="0.4">
      <c r="A1718" s="30"/>
      <c r="B1718" s="93"/>
      <c r="C1718" s="4"/>
      <c r="D1718" s="895"/>
      <c r="E1718" s="41"/>
      <c r="G1718" t="s">
        <v>247</v>
      </c>
    </row>
    <row r="1719" spans="1:7" ht="15.5" hidden="1" thickTop="1" thickBot="1" x14ac:dyDescent="0.4">
      <c r="A1719" s="30"/>
      <c r="B1719" s="320"/>
      <c r="C1719" s="133"/>
      <c r="D1719" s="948"/>
      <c r="E1719" s="546"/>
      <c r="G1719" t="s">
        <v>247</v>
      </c>
    </row>
    <row r="1720" spans="1:7" ht="15" hidden="1" customHeight="1" x14ac:dyDescent="0.35">
      <c r="A1720" s="30"/>
      <c r="B1720" s="38" t="s">
        <v>258</v>
      </c>
      <c r="C1720" s="4"/>
      <c r="D1720" s="814" t="s">
        <v>5850</v>
      </c>
      <c r="E1720" s="41">
        <f ca="1">'Verification Report'!O1721</f>
        <v>0</v>
      </c>
      <c r="F1720" s="400" t="str">
        <f>IF(LEN('Verification Report'!W1723)=0,"",'Verification Report'!W1723)</f>
        <v/>
      </c>
      <c r="G1720" t="s">
        <v>247</v>
      </c>
    </row>
    <row r="1721" spans="1:7" ht="15.5" hidden="1" thickTop="1" thickBot="1" x14ac:dyDescent="0.4">
      <c r="A1721" s="30"/>
      <c r="B1721" s="38"/>
      <c r="C1721" s="4"/>
      <c r="D1721" s="814"/>
      <c r="E1721" s="41"/>
      <c r="G1721" t="s">
        <v>247</v>
      </c>
    </row>
    <row r="1722" spans="1:7" ht="15.5" hidden="1" thickTop="1" thickBot="1" x14ac:dyDescent="0.4">
      <c r="A1722" s="30"/>
      <c r="B1722" s="93"/>
      <c r="C1722" s="4"/>
      <c r="D1722" s="814"/>
      <c r="E1722" s="41"/>
      <c r="G1722" t="s">
        <v>247</v>
      </c>
    </row>
    <row r="1723" spans="1:7" ht="15.5" hidden="1" thickTop="1" thickBot="1" x14ac:dyDescent="0.4">
      <c r="A1723" s="4"/>
      <c r="B1723" s="93"/>
      <c r="C1723" s="19" t="s">
        <v>121</v>
      </c>
      <c r="D1723" s="266" t="s">
        <v>4414</v>
      </c>
      <c r="E1723" s="41"/>
      <c r="G1723" t="s">
        <v>247</v>
      </c>
    </row>
    <row r="1724" spans="1:7" ht="15.5" hidden="1" thickTop="1" thickBot="1" x14ac:dyDescent="0.4">
      <c r="A1724" s="4"/>
      <c r="B1724" s="320"/>
      <c r="C1724" s="129" t="s">
        <v>122</v>
      </c>
      <c r="D1724" s="281" t="s">
        <v>4415</v>
      </c>
      <c r="E1724" s="546"/>
      <c r="G1724" t="s">
        <v>247</v>
      </c>
    </row>
    <row r="1725" spans="1:7" ht="15" hidden="1" customHeight="1" x14ac:dyDescent="0.35">
      <c r="A1725" s="30"/>
      <c r="B1725" s="38" t="s">
        <v>260</v>
      </c>
      <c r="C1725" s="4"/>
      <c r="D1725" s="90" t="s">
        <v>790</v>
      </c>
      <c r="E1725" s="41">
        <f ca="1">'Verification Report'!O1726</f>
        <v>0</v>
      </c>
      <c r="F1725" s="400" t="str">
        <f>IF(LEN('Verification Report'!W1728)=0,"",'Verification Report'!W1728)</f>
        <v/>
      </c>
      <c r="G1725" t="s">
        <v>247</v>
      </c>
    </row>
    <row r="1726" spans="1:7" ht="15.5" hidden="1" thickTop="1" thickBot="1" x14ac:dyDescent="0.4">
      <c r="A1726" s="114"/>
      <c r="B1726" s="294"/>
      <c r="C1726" s="160"/>
      <c r="D1726" s="231" t="s">
        <v>791</v>
      </c>
      <c r="E1726" s="72"/>
      <c r="G1726" t="s">
        <v>247</v>
      </c>
    </row>
    <row r="1727" spans="1:7" ht="15.5" hidden="1" thickTop="1" thickBot="1" x14ac:dyDescent="0.4">
      <c r="A1727" s="106">
        <v>802.5</v>
      </c>
      <c r="B1727" s="507"/>
      <c r="C1727" s="107"/>
      <c r="D1727" s="274" t="s">
        <v>4416</v>
      </c>
      <c r="E1727" s="545"/>
      <c r="G1727" t="s">
        <v>247</v>
      </c>
    </row>
    <row r="1728" spans="1:7" ht="15" hidden="1" customHeight="1" x14ac:dyDescent="0.35">
      <c r="A1728" s="30" t="s">
        <v>4410</v>
      </c>
      <c r="B1728" s="93"/>
      <c r="C1728" s="4"/>
      <c r="D1728" s="838" t="s">
        <v>4417</v>
      </c>
      <c r="E1728" s="41">
        <f ca="1">'Verification Report'!O1729</f>
        <v>0</v>
      </c>
      <c r="F1728" s="400" t="str">
        <f>IF(LEN('Verification Report'!W1731)=0,"",'Verification Report'!W1731)</f>
        <v/>
      </c>
      <c r="G1728" t="s">
        <v>247</v>
      </c>
    </row>
    <row r="1729" spans="1:7" ht="15.5" hidden="1" thickTop="1" thickBot="1" x14ac:dyDescent="0.4">
      <c r="A1729" s="30"/>
      <c r="B1729" s="93"/>
      <c r="C1729" s="4"/>
      <c r="D1729" s="838"/>
      <c r="E1729" s="41"/>
      <c r="G1729" t="s">
        <v>247</v>
      </c>
    </row>
    <row r="1730" spans="1:7" ht="15.5" hidden="1" thickTop="1" thickBot="1" x14ac:dyDescent="0.4">
      <c r="A1730" s="30"/>
      <c r="B1730" s="93"/>
      <c r="C1730" s="4"/>
      <c r="D1730" s="838"/>
      <c r="E1730" s="41"/>
      <c r="F1730" s="400" t="str">
        <f>IF(LEN('Verification Report'!W1733)=0,"",'Verification Report'!W1733)</f>
        <v/>
      </c>
      <c r="G1730" t="s">
        <v>247</v>
      </c>
    </row>
    <row r="1731" spans="1:7" ht="15.5" hidden="1" thickTop="1" thickBot="1" x14ac:dyDescent="0.4">
      <c r="A1731" s="30"/>
      <c r="B1731" s="38" t="s">
        <v>256</v>
      </c>
      <c r="C1731" s="4"/>
      <c r="D1731" s="90" t="s">
        <v>4428</v>
      </c>
      <c r="E1731" s="41"/>
      <c r="G1731" t="s">
        <v>247</v>
      </c>
    </row>
    <row r="1732" spans="1:7" ht="15" hidden="1" customHeight="1" x14ac:dyDescent="0.35">
      <c r="A1732" s="30"/>
      <c r="B1732" s="93"/>
      <c r="C1732" s="4"/>
      <c r="D1732" s="895" t="s">
        <v>4430</v>
      </c>
      <c r="G1732" t="s">
        <v>247</v>
      </c>
    </row>
    <row r="1733" spans="1:7" ht="15.5" hidden="1" thickTop="1" thickBot="1" x14ac:dyDescent="0.4">
      <c r="A1733" s="30"/>
      <c r="B1733" s="93"/>
      <c r="C1733" s="4"/>
      <c r="D1733" s="895"/>
      <c r="G1733" t="s">
        <v>247</v>
      </c>
    </row>
    <row r="1734" spans="1:7" ht="15.5" hidden="1" thickTop="1" thickBot="1" x14ac:dyDescent="0.4">
      <c r="A1734" s="30"/>
      <c r="B1734" s="320"/>
      <c r="C1734" s="133"/>
      <c r="D1734" s="948"/>
      <c r="G1734" t="s">
        <v>247</v>
      </c>
    </row>
    <row r="1735" spans="1:7" ht="15.5" hidden="1" thickTop="1" thickBot="1" x14ac:dyDescent="0.4">
      <c r="A1735" s="30"/>
      <c r="B1735" s="422" t="s">
        <v>258</v>
      </c>
      <c r="C1735" s="509"/>
      <c r="D1735" s="178" t="s">
        <v>4429</v>
      </c>
      <c r="G1735" t="s">
        <v>247</v>
      </c>
    </row>
    <row r="1736" spans="1:7" ht="15.5" hidden="1" thickTop="1" thickBot="1" x14ac:dyDescent="0.4">
      <c r="B1736" s="416" t="s">
        <v>260</v>
      </c>
      <c r="C1736" s="472"/>
      <c r="D1736" s="281" t="s">
        <v>4425</v>
      </c>
      <c r="G1736" t="s">
        <v>247</v>
      </c>
    </row>
    <row r="1737" spans="1:7" ht="15" hidden="1" customHeight="1" x14ac:dyDescent="0.35">
      <c r="B1737" s="402" t="s">
        <v>269</v>
      </c>
      <c r="C1737" s="467"/>
      <c r="D1737" s="814" t="s">
        <v>4426</v>
      </c>
      <c r="G1737" t="s">
        <v>247</v>
      </c>
    </row>
    <row r="1738" spans="1:7" ht="15.5" hidden="1" thickTop="1" thickBot="1" x14ac:dyDescent="0.4">
      <c r="B1738" s="416"/>
      <c r="C1738" s="472"/>
      <c r="D1738" s="815"/>
      <c r="G1738" t="s">
        <v>247</v>
      </c>
    </row>
    <row r="1739" spans="1:7" ht="15.5" hidden="1" thickTop="1" thickBot="1" x14ac:dyDescent="0.4">
      <c r="A1739" s="104"/>
      <c r="B1739" s="416" t="s">
        <v>275</v>
      </c>
      <c r="C1739" s="472"/>
      <c r="D1739" s="281" t="s">
        <v>4427</v>
      </c>
      <c r="E1739" s="104"/>
      <c r="G1739" t="s">
        <v>247</v>
      </c>
    </row>
    <row r="1740" spans="1:7" ht="15" hidden="1" customHeight="1" x14ac:dyDescent="0.35">
      <c r="A1740" s="500" t="s">
        <v>4411</v>
      </c>
      <c r="B1740" s="402"/>
      <c r="C1740" s="481"/>
      <c r="D1740" s="838" t="s">
        <v>4419</v>
      </c>
      <c r="E1740" s="41">
        <f ca="1">'Verification Report'!O1741</f>
        <v>0</v>
      </c>
      <c r="F1740" s="400" t="str">
        <f>IF(LEN('Verification Report'!W1743)=0,"",'Verification Report'!W1743)</f>
        <v/>
      </c>
      <c r="G1740" t="s">
        <v>247</v>
      </c>
    </row>
    <row r="1741" spans="1:7" ht="15.5" hidden="1" thickTop="1" thickBot="1" x14ac:dyDescent="0.4">
      <c r="A1741" s="500"/>
      <c r="B1741" s="402"/>
      <c r="C1741" s="481"/>
      <c r="D1741" s="838"/>
      <c r="E1741" s="41"/>
      <c r="G1741" t="s">
        <v>247</v>
      </c>
    </row>
    <row r="1742" spans="1:7" ht="15.5" hidden="1" thickTop="1" thickBot="1" x14ac:dyDescent="0.4">
      <c r="A1742" s="500"/>
      <c r="B1742" s="402"/>
      <c r="C1742" s="481"/>
      <c r="D1742" s="838"/>
      <c r="E1742" s="41"/>
      <c r="G1742" t="s">
        <v>247</v>
      </c>
    </row>
    <row r="1743" spans="1:7" ht="15.5" hidden="1" thickTop="1" thickBot="1" x14ac:dyDescent="0.4">
      <c r="A1743" s="500"/>
      <c r="B1743" s="402" t="s">
        <v>256</v>
      </c>
      <c r="C1743" s="481"/>
      <c r="D1743" s="266" t="s">
        <v>4420</v>
      </c>
      <c r="E1743" s="41"/>
      <c r="G1743" t="s">
        <v>247</v>
      </c>
    </row>
    <row r="1744" spans="1:7" ht="15.5" hidden="1" thickTop="1" thickBot="1" x14ac:dyDescent="0.4">
      <c r="A1744" s="504"/>
      <c r="B1744" s="416" t="s">
        <v>258</v>
      </c>
      <c r="C1744" s="482"/>
      <c r="D1744" s="281" t="s">
        <v>4421</v>
      </c>
      <c r="E1744" s="546"/>
      <c r="G1744" t="s">
        <v>247</v>
      </c>
    </row>
    <row r="1745" spans="1:7" ht="15" hidden="1" customHeight="1" x14ac:dyDescent="0.35">
      <c r="A1745" s="30" t="s">
        <v>4422</v>
      </c>
      <c r="B1745" s="93"/>
      <c r="C1745" s="4"/>
      <c r="D1745" s="838" t="s">
        <v>4423</v>
      </c>
      <c r="E1745" s="41">
        <f ca="1">'Verification Report'!O1746</f>
        <v>0</v>
      </c>
      <c r="F1745" s="400" t="str">
        <f>IF(LEN('Verification Report'!W1748)=0,"",'Verification Report'!W1748)</f>
        <v/>
      </c>
      <c r="G1745" t="s">
        <v>247</v>
      </c>
    </row>
    <row r="1746" spans="1:7" ht="15.5" hidden="1" thickTop="1" thickBot="1" x14ac:dyDescent="0.4">
      <c r="A1746" s="30"/>
      <c r="B1746" s="93"/>
      <c r="C1746" s="4"/>
      <c r="D1746" s="838"/>
      <c r="E1746" s="41"/>
      <c r="G1746" t="s">
        <v>247</v>
      </c>
    </row>
    <row r="1747" spans="1:7" ht="15.5" hidden="1" thickTop="1" thickBot="1" x14ac:dyDescent="0.4">
      <c r="A1747" s="114"/>
      <c r="B1747" s="294"/>
      <c r="C1747" s="160"/>
      <c r="D1747" s="231" t="s">
        <v>793</v>
      </c>
      <c r="E1747" s="72"/>
      <c r="G1747" t="s">
        <v>247</v>
      </c>
    </row>
    <row r="1748" spans="1:7" ht="15.75" hidden="1" customHeight="1" thickTop="1" x14ac:dyDescent="0.35">
      <c r="A1748" s="30" t="s">
        <v>4434</v>
      </c>
      <c r="B1748" s="93"/>
      <c r="C1748" s="4"/>
      <c r="D1748" s="919" t="s">
        <v>4435</v>
      </c>
      <c r="E1748" s="41"/>
      <c r="G1748" t="s">
        <v>247</v>
      </c>
    </row>
    <row r="1749" spans="1:7" ht="15.5" hidden="1" thickTop="1" thickBot="1" x14ac:dyDescent="0.4">
      <c r="A1749" s="30"/>
      <c r="B1749" s="93"/>
      <c r="C1749" s="4"/>
      <c r="D1749" s="919"/>
      <c r="E1749" s="41"/>
      <c r="G1749" t="s">
        <v>247</v>
      </c>
    </row>
    <row r="1750" spans="1:7" ht="15" hidden="1" customHeight="1" x14ac:dyDescent="0.35">
      <c r="A1750" s="30"/>
      <c r="B1750" s="38" t="s">
        <v>256</v>
      </c>
      <c r="C1750" s="4"/>
      <c r="D1750" s="848" t="s">
        <v>4438</v>
      </c>
      <c r="E1750" s="41"/>
      <c r="G1750" t="s">
        <v>247</v>
      </c>
    </row>
    <row r="1751" spans="1:7" ht="15.5" hidden="1" thickTop="1" thickBot="1" x14ac:dyDescent="0.4">
      <c r="A1751" s="30"/>
      <c r="B1751" s="497"/>
      <c r="C1751" s="133"/>
      <c r="D1751" s="821"/>
      <c r="E1751" s="546"/>
      <c r="G1751" t="s">
        <v>247</v>
      </c>
    </row>
    <row r="1752" spans="1:7" ht="15" hidden="1" customHeight="1" x14ac:dyDescent="0.35">
      <c r="A1752" s="30"/>
      <c r="B1752" s="38" t="s">
        <v>258</v>
      </c>
      <c r="C1752" s="4"/>
      <c r="D1752" s="814" t="s">
        <v>4894</v>
      </c>
      <c r="E1752" s="41">
        <f ca="1">'Verification Report'!O1753</f>
        <v>0</v>
      </c>
      <c r="F1752" s="400" t="str">
        <f>IF(LEN('Verification Report'!W1755)=0,"",'Verification Report'!W1755)</f>
        <v/>
      </c>
      <c r="G1752" t="s">
        <v>247</v>
      </c>
    </row>
    <row r="1753" spans="1:7" ht="15.5" hidden="1" thickTop="1" thickBot="1" x14ac:dyDescent="0.4">
      <c r="A1753" s="30"/>
      <c r="B1753" s="93"/>
      <c r="C1753" s="4"/>
      <c r="D1753" s="814"/>
      <c r="E1753" s="41"/>
      <c r="G1753" t="s">
        <v>247</v>
      </c>
    </row>
    <row r="1754" spans="1:7" ht="15.5" hidden="1" thickTop="1" thickBot="1" x14ac:dyDescent="0.4">
      <c r="A1754" s="30"/>
      <c r="B1754" s="93"/>
      <c r="C1754" s="4"/>
      <c r="D1754" s="814"/>
      <c r="E1754" s="41"/>
      <c r="G1754" t="s">
        <v>247</v>
      </c>
    </row>
    <row r="1755" spans="1:7" ht="15.5" hidden="1" thickTop="1" thickBot="1" x14ac:dyDescent="0.4">
      <c r="A1755" s="30"/>
      <c r="B1755" s="93"/>
      <c r="C1755" s="4"/>
      <c r="D1755" s="814"/>
      <c r="E1755" s="41"/>
      <c r="G1755" t="s">
        <v>247</v>
      </c>
    </row>
    <row r="1756" spans="1:7" ht="15" hidden="1" customHeight="1" x14ac:dyDescent="0.35">
      <c r="A1756" s="30"/>
      <c r="B1756" s="93"/>
      <c r="C1756" s="4"/>
      <c r="D1756" s="895" t="s">
        <v>4439</v>
      </c>
      <c r="E1756" s="41"/>
      <c r="G1756" t="s">
        <v>247</v>
      </c>
    </row>
    <row r="1757" spans="1:7" ht="15.5" hidden="1" thickTop="1" thickBot="1" x14ac:dyDescent="0.4">
      <c r="A1757" s="30"/>
      <c r="B1757" s="93"/>
      <c r="C1757" s="4"/>
      <c r="D1757" s="895"/>
      <c r="E1757" s="41"/>
      <c r="G1757" t="s">
        <v>247</v>
      </c>
    </row>
    <row r="1758" spans="1:7" ht="15.5" hidden="1" thickTop="1" thickBot="1" x14ac:dyDescent="0.4">
      <c r="A1758" s="30"/>
      <c r="B1758" s="320"/>
      <c r="C1758" s="133"/>
      <c r="D1758" s="948"/>
      <c r="E1758" s="546"/>
      <c r="G1758" t="s">
        <v>247</v>
      </c>
    </row>
    <row r="1759" spans="1:7" ht="15.5" hidden="1" thickTop="1" thickBot="1" x14ac:dyDescent="0.4">
      <c r="A1759" s="30"/>
      <c r="B1759" s="497" t="s">
        <v>260</v>
      </c>
      <c r="C1759" s="133"/>
      <c r="D1759" s="228" t="s">
        <v>4436</v>
      </c>
      <c r="E1759" s="546">
        <f ca="1">'Verification Report'!O1760</f>
        <v>0</v>
      </c>
      <c r="F1759" s="400" t="str">
        <f>IF(LEN('Verification Report'!W1762)=0,"",'Verification Report'!W1762)</f>
        <v/>
      </c>
      <c r="G1759" t="s">
        <v>247</v>
      </c>
    </row>
    <row r="1760" spans="1:7" ht="15" hidden="1" customHeight="1" x14ac:dyDescent="0.35">
      <c r="A1760" s="30"/>
      <c r="B1760" s="38" t="s">
        <v>269</v>
      </c>
      <c r="C1760" s="4"/>
      <c r="D1760" s="814" t="s">
        <v>4437</v>
      </c>
      <c r="E1760" s="41"/>
      <c r="G1760" t="s">
        <v>247</v>
      </c>
    </row>
    <row r="1761" spans="1:7" ht="15.5" hidden="1" thickTop="1" thickBot="1" x14ac:dyDescent="0.4">
      <c r="A1761" s="30"/>
      <c r="B1761" s="93"/>
      <c r="C1761" s="4"/>
      <c r="D1761" s="814"/>
      <c r="E1761" s="41"/>
      <c r="G1761" t="s">
        <v>247</v>
      </c>
    </row>
    <row r="1762" spans="1:7" ht="15.5" hidden="1" thickTop="1" thickBot="1" x14ac:dyDescent="0.4">
      <c r="A1762" s="4"/>
      <c r="B1762" s="93"/>
      <c r="C1762" s="19" t="s">
        <v>121</v>
      </c>
      <c r="D1762" s="90" t="s">
        <v>4445</v>
      </c>
      <c r="E1762" s="41">
        <f ca="1">'Verification Report'!O1763</f>
        <v>0</v>
      </c>
      <c r="F1762" s="400" t="str">
        <f>IF(LEN('Verification Report'!W1765)=0,"",'Verification Report'!W1765)</f>
        <v/>
      </c>
      <c r="G1762" t="s">
        <v>247</v>
      </c>
    </row>
    <row r="1763" spans="1:7" ht="15" hidden="1" customHeight="1" x14ac:dyDescent="0.35">
      <c r="A1763" s="4"/>
      <c r="B1763" s="93"/>
      <c r="C1763" s="4"/>
      <c r="D1763" s="895" t="s">
        <v>4446</v>
      </c>
      <c r="E1763" s="41"/>
      <c r="G1763" t="s">
        <v>247</v>
      </c>
    </row>
    <row r="1764" spans="1:7" ht="15.5" hidden="1" thickTop="1" thickBot="1" x14ac:dyDescent="0.4">
      <c r="A1764" s="4"/>
      <c r="B1764" s="93"/>
      <c r="C1764" s="4"/>
      <c r="D1764" s="895"/>
      <c r="E1764" s="41"/>
      <c r="G1764" t="s">
        <v>247</v>
      </c>
    </row>
    <row r="1765" spans="1:7" ht="15.5" hidden="1" thickTop="1" thickBot="1" x14ac:dyDescent="0.4">
      <c r="A1765" s="4"/>
      <c r="B1765" s="93"/>
      <c r="C1765" s="133"/>
      <c r="D1765" s="948"/>
      <c r="E1765" s="546"/>
      <c r="G1765" t="s">
        <v>247</v>
      </c>
    </row>
    <row r="1766" spans="1:7" ht="15" hidden="1" customHeight="1" x14ac:dyDescent="0.35">
      <c r="A1766" s="4"/>
      <c r="B1766" s="93"/>
      <c r="C1766" s="19" t="s">
        <v>122</v>
      </c>
      <c r="D1766" s="814" t="s">
        <v>4444</v>
      </c>
      <c r="E1766" s="41">
        <f ca="1">'Verification Report'!O1767</f>
        <v>0</v>
      </c>
      <c r="F1766" s="400" t="str">
        <f>IF(LEN('Verification Report'!W1769)=0,"",'Verification Report'!W1769)</f>
        <v/>
      </c>
      <c r="G1766" t="s">
        <v>247</v>
      </c>
    </row>
    <row r="1767" spans="1:7" ht="15.5" hidden="1" thickTop="1" thickBot="1" x14ac:dyDescent="0.4">
      <c r="A1767" s="4"/>
      <c r="B1767" s="93"/>
      <c r="C1767" s="129"/>
      <c r="D1767" s="815"/>
      <c r="E1767" s="546"/>
      <c r="G1767" t="s">
        <v>247</v>
      </c>
    </row>
    <row r="1768" spans="1:7" ht="15" hidden="1" customHeight="1" x14ac:dyDescent="0.35">
      <c r="A1768" s="4"/>
      <c r="B1768" s="93"/>
      <c r="C1768" s="19" t="s">
        <v>123</v>
      </c>
      <c r="D1768" s="814" t="s">
        <v>4447</v>
      </c>
      <c r="E1768" s="552">
        <f ca="1">'Verification Report'!O1769</f>
        <v>0</v>
      </c>
      <c r="F1768" s="400" t="str">
        <f>IF(LEN('Verification Report'!W1771)=0,"",'Verification Report'!W1771)</f>
        <v/>
      </c>
      <c r="G1768" t="s">
        <v>247</v>
      </c>
    </row>
    <row r="1769" spans="1:7" ht="15.5" hidden="1" thickTop="1" thickBot="1" x14ac:dyDescent="0.4">
      <c r="A1769" s="55"/>
      <c r="B1769" s="55"/>
      <c r="C1769" s="55"/>
      <c r="D1769" s="839"/>
      <c r="E1769" s="72"/>
      <c r="G1769" t="s">
        <v>247</v>
      </c>
    </row>
    <row r="1770" spans="1:7" ht="15.5" hidden="1" thickTop="1" thickBot="1" x14ac:dyDescent="0.4">
      <c r="A1770" s="30">
        <v>802.6</v>
      </c>
      <c r="B1770" s="93"/>
      <c r="C1770" s="4"/>
      <c r="D1770" s="95" t="s">
        <v>4375</v>
      </c>
      <c r="E1770" s="41"/>
      <c r="G1770" t="s">
        <v>247</v>
      </c>
    </row>
    <row r="1771" spans="1:7" ht="15" hidden="1" customHeight="1" x14ac:dyDescent="0.35">
      <c r="A1771" s="30" t="s">
        <v>4374</v>
      </c>
      <c r="B1771" s="93"/>
      <c r="C1771" s="4"/>
      <c r="D1771" s="838" t="s">
        <v>4448</v>
      </c>
      <c r="E1771" s="41"/>
      <c r="F1771" s="400" t="str">
        <f>IF(LEN('Verification Report'!W1774)=0,"",'Verification Report'!W1774)</f>
        <v/>
      </c>
      <c r="G1771" t="s">
        <v>247</v>
      </c>
    </row>
    <row r="1772" spans="1:7" ht="15.5" hidden="1" thickTop="1" thickBot="1" x14ac:dyDescent="0.4">
      <c r="A1772" s="138"/>
      <c r="B1772" s="320"/>
      <c r="C1772" s="133"/>
      <c r="D1772" s="889"/>
      <c r="E1772" s="546"/>
      <c r="G1772" t="s">
        <v>247</v>
      </c>
    </row>
    <row r="1773" spans="1:7" ht="15" hidden="1" customHeight="1" x14ac:dyDescent="0.35">
      <c r="A1773" s="30" t="s">
        <v>4376</v>
      </c>
      <c r="B1773" s="93"/>
      <c r="C1773" s="4"/>
      <c r="D1773" s="905" t="s">
        <v>4449</v>
      </c>
      <c r="E1773" s="41">
        <f ca="1">'Verification Report'!O1774</f>
        <v>0</v>
      </c>
      <c r="F1773" s="400" t="str">
        <f>IF(LEN('Verification Report'!W1776)=0,"",'Verification Report'!W1776)</f>
        <v/>
      </c>
      <c r="G1773" t="s">
        <v>247</v>
      </c>
    </row>
    <row r="1774" spans="1:7" ht="15.5" hidden="1" thickTop="1" thickBot="1" x14ac:dyDescent="0.4">
      <c r="A1774" s="30"/>
      <c r="B1774" s="93"/>
      <c r="C1774" s="4"/>
      <c r="D1774" s="838"/>
      <c r="E1774" s="41"/>
      <c r="G1774" t="s">
        <v>247</v>
      </c>
    </row>
    <row r="1775" spans="1:7" ht="15.5" hidden="1" thickTop="1" thickBot="1" x14ac:dyDescent="0.4">
      <c r="A1775" s="138"/>
      <c r="B1775" s="320"/>
      <c r="C1775" s="133"/>
      <c r="D1775" s="889"/>
      <c r="E1775" s="546"/>
      <c r="G1775" t="s">
        <v>247</v>
      </c>
    </row>
    <row r="1776" spans="1:7" ht="15.5" hidden="1" thickTop="1" thickBot="1" x14ac:dyDescent="0.4">
      <c r="A1776" s="30" t="s">
        <v>4377</v>
      </c>
      <c r="B1776" s="93"/>
      <c r="C1776" s="4"/>
      <c r="D1776" s="95" t="s">
        <v>4450</v>
      </c>
      <c r="E1776" s="41"/>
      <c r="G1776" t="s">
        <v>247</v>
      </c>
    </row>
    <row r="1777" spans="1:7" ht="15.5" hidden="1" thickTop="1" thickBot="1" x14ac:dyDescent="0.4">
      <c r="A1777" s="30"/>
      <c r="B1777" s="497" t="s">
        <v>256</v>
      </c>
      <c r="C1777" s="133"/>
      <c r="D1777" s="228" t="s">
        <v>795</v>
      </c>
      <c r="E1777" s="546">
        <f ca="1">'Verification Report'!O1778</f>
        <v>0</v>
      </c>
      <c r="F1777" s="400" t="str">
        <f>IF(LEN('Verification Report'!W1780)=0,"",'Verification Report'!W1780)</f>
        <v/>
      </c>
      <c r="G1777" t="s">
        <v>247</v>
      </c>
    </row>
    <row r="1778" spans="1:7" ht="15.5" hidden="1" thickTop="1" thickBot="1" x14ac:dyDescent="0.4">
      <c r="A1778" s="30"/>
      <c r="B1778" s="497" t="s">
        <v>258</v>
      </c>
      <c r="C1778" s="133"/>
      <c r="D1778" s="228" t="s">
        <v>796</v>
      </c>
      <c r="E1778" s="546">
        <f ca="1">'Verification Report'!O1779</f>
        <v>0</v>
      </c>
      <c r="F1778" s="400" t="str">
        <f>IF(LEN('Verification Report'!W1781)=0,"",'Verification Report'!W1781)</f>
        <v/>
      </c>
      <c r="G1778" t="s">
        <v>247</v>
      </c>
    </row>
    <row r="1779" spans="1:7" ht="15" hidden="1" customHeight="1" x14ac:dyDescent="0.35">
      <c r="A1779" s="30"/>
      <c r="B1779" s="38" t="s">
        <v>260</v>
      </c>
      <c r="C1779" s="4"/>
      <c r="D1779" s="814" t="s">
        <v>797</v>
      </c>
      <c r="E1779" s="41">
        <f ca="1">'Verification Report'!O1780</f>
        <v>0</v>
      </c>
      <c r="F1779" s="400" t="str">
        <f>IF(LEN('Verification Report'!W1782)=0,"",'Verification Report'!W1782)</f>
        <v/>
      </c>
      <c r="G1779" t="s">
        <v>247</v>
      </c>
    </row>
    <row r="1780" spans="1:7" ht="15.5" hidden="1" thickTop="1" thickBot="1" x14ac:dyDescent="0.4">
      <c r="A1780" s="138"/>
      <c r="B1780" s="320"/>
      <c r="C1780" s="133"/>
      <c r="D1780" s="815"/>
      <c r="E1780" s="546"/>
      <c r="G1780" t="s">
        <v>247</v>
      </c>
    </row>
    <row r="1781" spans="1:7" ht="15" hidden="1" customHeight="1" x14ac:dyDescent="0.35">
      <c r="A1781" s="30" t="s">
        <v>4378</v>
      </c>
      <c r="B1781" s="93"/>
      <c r="C1781" s="4"/>
      <c r="D1781" s="919" t="s">
        <v>4379</v>
      </c>
      <c r="E1781" s="41"/>
      <c r="G1781" t="s">
        <v>247</v>
      </c>
    </row>
    <row r="1782" spans="1:7" ht="15.5" hidden="1" thickTop="1" thickBot="1" x14ac:dyDescent="0.4">
      <c r="A1782" s="30"/>
      <c r="B1782" s="93"/>
      <c r="C1782" s="4"/>
      <c r="D1782" s="919"/>
      <c r="E1782" s="41"/>
      <c r="G1782" t="s">
        <v>247</v>
      </c>
    </row>
    <row r="1783" spans="1:7" ht="15.5" hidden="1" thickTop="1" thickBot="1" x14ac:dyDescent="0.4">
      <c r="A1783" s="30"/>
      <c r="B1783" s="93"/>
      <c r="C1783" s="4"/>
      <c r="D1783" s="92" t="s">
        <v>798</v>
      </c>
      <c r="E1783" s="41"/>
      <c r="G1783" t="s">
        <v>247</v>
      </c>
    </row>
    <row r="1784" spans="1:7" ht="15" hidden="1" customHeight="1" x14ac:dyDescent="0.35">
      <c r="A1784" s="30"/>
      <c r="B1784" s="38" t="s">
        <v>256</v>
      </c>
      <c r="C1784" s="4"/>
      <c r="D1784" s="814" t="s">
        <v>4451</v>
      </c>
      <c r="E1784" s="41">
        <f ca="1">'Verification Report'!O1785</f>
        <v>0</v>
      </c>
      <c r="F1784" s="400" t="str">
        <f>IF(LEN('Verification Report'!W1787)=0,"",'Verification Report'!W1787)</f>
        <v/>
      </c>
      <c r="G1784" t="s">
        <v>247</v>
      </c>
    </row>
    <row r="1785" spans="1:7" ht="15.5" hidden="1" thickTop="1" thickBot="1" x14ac:dyDescent="0.4">
      <c r="B1785" s="104"/>
      <c r="C1785" s="104"/>
      <c r="D1785" s="815"/>
      <c r="E1785" s="546"/>
      <c r="G1785" t="s">
        <v>247</v>
      </c>
    </row>
    <row r="1786" spans="1:7" ht="15" hidden="1" customHeight="1" x14ac:dyDescent="0.35">
      <c r="A1786" s="30"/>
      <c r="B1786" s="38" t="s">
        <v>258</v>
      </c>
      <c r="C1786" s="4"/>
      <c r="D1786" s="814" t="s">
        <v>4452</v>
      </c>
      <c r="E1786" s="41">
        <f ca="1">'Verification Report'!O1787</f>
        <v>0</v>
      </c>
      <c r="F1786" s="400" t="str">
        <f>IF(LEN('Verification Report'!W1789)=0,"",'Verification Report'!W1789)</f>
        <v/>
      </c>
      <c r="G1786" t="s">
        <v>247</v>
      </c>
    </row>
    <row r="1787" spans="1:7" ht="15.5" hidden="1" thickTop="1" thickBot="1" x14ac:dyDescent="0.4">
      <c r="A1787" s="30"/>
      <c r="B1787" s="93"/>
      <c r="C1787" s="4"/>
      <c r="D1787" s="814"/>
      <c r="E1787" s="41"/>
      <c r="G1787" t="s">
        <v>247</v>
      </c>
    </row>
    <row r="1788" spans="1:7" ht="15" hidden="1" customHeight="1" x14ac:dyDescent="0.35">
      <c r="A1788" s="30"/>
      <c r="B1788" s="4"/>
      <c r="C1788" s="4"/>
      <c r="D1788" s="855" t="s">
        <v>5621</v>
      </c>
      <c r="E1788" s="41"/>
      <c r="G1788" t="s">
        <v>247</v>
      </c>
    </row>
    <row r="1789" spans="1:7" ht="15.5" hidden="1" thickTop="1" thickBot="1" x14ac:dyDescent="0.4">
      <c r="A1789" s="138"/>
      <c r="B1789" s="133"/>
      <c r="C1789" s="133"/>
      <c r="D1789" s="903"/>
      <c r="E1789" s="546"/>
      <c r="G1789" t="s">
        <v>247</v>
      </c>
    </row>
    <row r="1790" spans="1:7" ht="15" hidden="1" customHeight="1" x14ac:dyDescent="0.35">
      <c r="A1790" s="30" t="s">
        <v>4380</v>
      </c>
      <c r="D1790" s="838" t="s">
        <v>4453</v>
      </c>
      <c r="G1790" t="s">
        <v>247</v>
      </c>
    </row>
    <row r="1791" spans="1:7" ht="15.5" hidden="1" thickTop="1" thickBot="1" x14ac:dyDescent="0.4">
      <c r="D1791" s="838"/>
      <c r="G1791" t="s">
        <v>247</v>
      </c>
    </row>
    <row r="1792" spans="1:7" ht="15" hidden="1" customHeight="1" x14ac:dyDescent="0.35">
      <c r="A1792" s="30"/>
      <c r="B1792" s="402" t="s">
        <v>256</v>
      </c>
      <c r="C1792" s="467"/>
      <c r="D1792" s="814" t="s">
        <v>4454</v>
      </c>
      <c r="E1792" s="41">
        <f ca="1">'Verification Report'!O1793</f>
        <v>0</v>
      </c>
      <c r="F1792" s="400" t="str">
        <f>IF(LEN('Verification Report'!W1795)=0,"",'Verification Report'!W1795)</f>
        <v/>
      </c>
      <c r="G1792" t="s">
        <v>247</v>
      </c>
    </row>
    <row r="1793" spans="1:7" ht="15.5" hidden="1" thickTop="1" thickBot="1" x14ac:dyDescent="0.4">
      <c r="A1793" s="30"/>
      <c r="B1793" s="416"/>
      <c r="C1793" s="472"/>
      <c r="D1793" s="815"/>
      <c r="E1793" s="546"/>
      <c r="G1793" t="s">
        <v>247</v>
      </c>
    </row>
    <row r="1794" spans="1:7" ht="15" hidden="1" customHeight="1" x14ac:dyDescent="0.35">
      <c r="A1794" s="30"/>
      <c r="B1794" s="424" t="s">
        <v>258</v>
      </c>
      <c r="C1794" s="471"/>
      <c r="D1794" s="836" t="s">
        <v>4455</v>
      </c>
      <c r="E1794" s="552">
        <f ca="1">'Verification Report'!O1795</f>
        <v>0</v>
      </c>
      <c r="F1794" s="400" t="str">
        <f>IF(LEN('Verification Report'!W1797)=0,"",'Verification Report'!W1797)</f>
        <v/>
      </c>
      <c r="G1794" t="s">
        <v>247</v>
      </c>
    </row>
    <row r="1795" spans="1:7" ht="15.5" hidden="1" thickTop="1" thickBot="1" x14ac:dyDescent="0.4">
      <c r="A1795" s="30"/>
      <c r="B1795" s="416"/>
      <c r="C1795" s="472"/>
      <c r="D1795" s="815"/>
      <c r="E1795" s="546"/>
      <c r="G1795" t="s">
        <v>247</v>
      </c>
    </row>
    <row r="1796" spans="1:7" ht="15.5" hidden="1" thickTop="1" thickBot="1" x14ac:dyDescent="0.4">
      <c r="A1796" s="30"/>
      <c r="B1796" s="422" t="s">
        <v>260</v>
      </c>
      <c r="C1796" s="509"/>
      <c r="D1796" s="177" t="s">
        <v>4456</v>
      </c>
      <c r="E1796" s="547">
        <f ca="1">'Verification Report'!O1797</f>
        <v>0</v>
      </c>
      <c r="F1796" s="400" t="str">
        <f>IF(LEN('Verification Report'!W1799)=0,"",'Verification Report'!W1799)</f>
        <v/>
      </c>
      <c r="G1796" t="s">
        <v>247</v>
      </c>
    </row>
    <row r="1797" spans="1:7" ht="15" hidden="1" customHeight="1" x14ac:dyDescent="0.35">
      <c r="A1797" s="30"/>
      <c r="B1797" s="424" t="s">
        <v>269</v>
      </c>
      <c r="C1797" s="471"/>
      <c r="D1797" s="836" t="s">
        <v>4457</v>
      </c>
      <c r="E1797" s="552">
        <f ca="1">'Verification Report'!O1798</f>
        <v>0</v>
      </c>
      <c r="F1797" s="400" t="str">
        <f>IF(LEN('Verification Report'!W1800)=0,"",'Verification Report'!W1800)</f>
        <v/>
      </c>
      <c r="G1797" t="s">
        <v>247</v>
      </c>
    </row>
    <row r="1798" spans="1:7" ht="15.5" hidden="1" thickTop="1" thickBot="1" x14ac:dyDescent="0.4">
      <c r="A1798" s="30"/>
      <c r="B1798" s="416"/>
      <c r="C1798" s="472"/>
      <c r="D1798" s="815"/>
      <c r="E1798" s="546"/>
      <c r="G1798" t="s">
        <v>247</v>
      </c>
    </row>
    <row r="1799" spans="1:7" ht="15" hidden="1" customHeight="1" x14ac:dyDescent="0.35">
      <c r="A1799" s="30"/>
      <c r="B1799" s="402" t="s">
        <v>275</v>
      </c>
      <c r="C1799" s="467"/>
      <c r="D1799" s="814" t="s">
        <v>4458</v>
      </c>
      <c r="E1799" s="41">
        <f ca="1">'Verification Report'!O1800</f>
        <v>0</v>
      </c>
      <c r="F1799" s="400" t="str">
        <f>IF(LEN('Verification Report'!W1802)=0,"",'Verification Report'!W1802)</f>
        <v/>
      </c>
      <c r="G1799" t="s">
        <v>247</v>
      </c>
    </row>
    <row r="1800" spans="1:7" ht="15.5" hidden="1" thickTop="1" thickBot="1" x14ac:dyDescent="0.4">
      <c r="A1800" s="30"/>
      <c r="B1800" s="467"/>
      <c r="C1800" s="467"/>
      <c r="D1800" s="814"/>
      <c r="E1800" s="41"/>
      <c r="G1800" t="s">
        <v>247</v>
      </c>
    </row>
    <row r="1801" spans="1:7" ht="15.75" hidden="1" customHeight="1" thickTop="1" x14ac:dyDescent="0.35">
      <c r="A1801" s="106">
        <v>802.7</v>
      </c>
      <c r="B1801" s="507"/>
      <c r="C1801" s="107"/>
      <c r="D1801" s="943" t="s">
        <v>4381</v>
      </c>
      <c r="E1801" s="545"/>
      <c r="G1801" t="s">
        <v>247</v>
      </c>
    </row>
    <row r="1802" spans="1:7" ht="15.5" hidden="1" thickTop="1" thickBot="1" x14ac:dyDescent="0.4">
      <c r="A1802" s="30"/>
      <c r="B1802" s="93"/>
      <c r="C1802" s="4"/>
      <c r="D1802" s="944"/>
      <c r="E1802" s="41"/>
      <c r="G1802" t="s">
        <v>247</v>
      </c>
    </row>
    <row r="1803" spans="1:7" ht="15.5" hidden="1" thickTop="1" thickBot="1" x14ac:dyDescent="0.4">
      <c r="A1803" s="30" t="s">
        <v>4382</v>
      </c>
      <c r="B1803" s="93"/>
      <c r="C1803" s="4"/>
      <c r="D1803" s="319" t="s">
        <v>4383</v>
      </c>
      <c r="E1803" s="41">
        <f ca="1">'Verification Report'!O1804</f>
        <v>0</v>
      </c>
      <c r="F1803" s="400" t="str">
        <f>IF(LEN('Verification Report'!W1806)=0,"",'Verification Report'!W1806)</f>
        <v/>
      </c>
      <c r="G1803" t="s">
        <v>247</v>
      </c>
    </row>
    <row r="1804" spans="1:7" ht="15.5" hidden="1" thickTop="1" thickBot="1" x14ac:dyDescent="0.4">
      <c r="A1804" s="30"/>
      <c r="B1804" s="129" t="s">
        <v>256</v>
      </c>
      <c r="C1804" s="133"/>
      <c r="D1804" s="228" t="s">
        <v>799</v>
      </c>
      <c r="E1804" s="41"/>
      <c r="G1804" t="s">
        <v>247</v>
      </c>
    </row>
    <row r="1805" spans="1:7" ht="15" hidden="1" customHeight="1" x14ac:dyDescent="0.35">
      <c r="A1805" s="30"/>
      <c r="B1805" s="19" t="s">
        <v>258</v>
      </c>
      <c r="C1805" s="4"/>
      <c r="D1805" s="814" t="s">
        <v>800</v>
      </c>
      <c r="E1805" s="41"/>
      <c r="G1805" t="s">
        <v>247</v>
      </c>
    </row>
    <row r="1806" spans="1:7" ht="15.5" hidden="1" thickTop="1" thickBot="1" x14ac:dyDescent="0.4">
      <c r="A1806" s="30"/>
      <c r="B1806" s="4"/>
      <c r="C1806" s="4"/>
      <c r="D1806" s="814"/>
      <c r="E1806" s="41"/>
      <c r="G1806" t="s">
        <v>247</v>
      </c>
    </row>
    <row r="1807" spans="1:7" ht="15.5" hidden="1" thickTop="1" thickBot="1" x14ac:dyDescent="0.4">
      <c r="A1807" s="4"/>
      <c r="B1807" s="4"/>
      <c r="C1807" s="129" t="s">
        <v>121</v>
      </c>
      <c r="D1807" s="228" t="s">
        <v>801</v>
      </c>
      <c r="E1807" s="41"/>
      <c r="G1807" t="s">
        <v>247</v>
      </c>
    </row>
    <row r="1808" spans="1:7" ht="15.5" hidden="1" thickTop="1" thickBot="1" x14ac:dyDescent="0.4">
      <c r="A1808" s="4"/>
      <c r="B1808" s="4"/>
      <c r="C1808" s="129" t="s">
        <v>122</v>
      </c>
      <c r="D1808" s="228" t="s">
        <v>802</v>
      </c>
      <c r="E1808" s="41"/>
      <c r="G1808" t="s">
        <v>247</v>
      </c>
    </row>
    <row r="1809" spans="1:7" ht="15" hidden="1" customHeight="1" x14ac:dyDescent="0.35">
      <c r="A1809" s="4"/>
      <c r="B1809" s="4"/>
      <c r="C1809" s="19" t="s">
        <v>123</v>
      </c>
      <c r="D1809" s="814" t="s">
        <v>803</v>
      </c>
      <c r="E1809" s="41"/>
      <c r="G1809" t="s">
        <v>247</v>
      </c>
    </row>
    <row r="1810" spans="1:7" ht="15.5" hidden="1" thickTop="1" thickBot="1" x14ac:dyDescent="0.4">
      <c r="A1810" s="4"/>
      <c r="B1810" s="4"/>
      <c r="C1810" s="133"/>
      <c r="D1810" s="815"/>
      <c r="E1810" s="41"/>
      <c r="G1810" t="s">
        <v>247</v>
      </c>
    </row>
    <row r="1811" spans="1:7" ht="15" hidden="1" customHeight="1" x14ac:dyDescent="0.35">
      <c r="A1811" s="4"/>
      <c r="B1811" s="4"/>
      <c r="C1811" s="19" t="s">
        <v>401</v>
      </c>
      <c r="D1811" s="814" t="s">
        <v>804</v>
      </c>
      <c r="E1811" s="41"/>
      <c r="G1811" t="s">
        <v>247</v>
      </c>
    </row>
    <row r="1812" spans="1:7" ht="15.5" hidden="1" thickTop="1" thickBot="1" x14ac:dyDescent="0.4">
      <c r="A1812" s="30"/>
      <c r="B1812" s="4"/>
      <c r="C1812" s="4"/>
      <c r="D1812" s="814"/>
      <c r="E1812" s="41"/>
      <c r="G1812" t="s">
        <v>247</v>
      </c>
    </row>
    <row r="1813" spans="1:7" ht="15.5" hidden="1" thickTop="1" thickBot="1" x14ac:dyDescent="0.4">
      <c r="A1813" s="138"/>
      <c r="B1813" s="133"/>
      <c r="C1813" s="133"/>
      <c r="D1813" s="815"/>
      <c r="E1813" s="546"/>
      <c r="G1813" t="s">
        <v>247</v>
      </c>
    </row>
    <row r="1814" spans="1:7" ht="15" hidden="1" customHeight="1" x14ac:dyDescent="0.35">
      <c r="A1814" s="30" t="s">
        <v>4384</v>
      </c>
      <c r="B1814" s="93"/>
      <c r="C1814" s="4"/>
      <c r="D1814" s="838" t="s">
        <v>4385</v>
      </c>
      <c r="E1814" s="41">
        <f ca="1">'Verification Report'!O1815</f>
        <v>0</v>
      </c>
      <c r="G1814" t="s">
        <v>247</v>
      </c>
    </row>
    <row r="1815" spans="1:7" ht="15.5" hidden="1" thickTop="1" thickBot="1" x14ac:dyDescent="0.4">
      <c r="A1815" s="30"/>
      <c r="B1815" s="93"/>
      <c r="C1815" s="4"/>
      <c r="D1815" s="838"/>
      <c r="E1815" s="41"/>
      <c r="G1815" t="s">
        <v>247</v>
      </c>
    </row>
    <row r="1816" spans="1:7" ht="15.5" hidden="1" thickTop="1" thickBot="1" x14ac:dyDescent="0.4">
      <c r="A1816" s="30"/>
      <c r="B1816" s="93"/>
      <c r="C1816" s="4"/>
      <c r="D1816" s="838"/>
      <c r="E1816" s="41"/>
      <c r="G1816" t="s">
        <v>247</v>
      </c>
    </row>
    <row r="1817" spans="1:7" ht="15" hidden="1" customHeight="1" x14ac:dyDescent="0.35">
      <c r="A1817" s="30"/>
      <c r="B1817" s="19" t="s">
        <v>256</v>
      </c>
      <c r="C1817" s="4"/>
      <c r="D1817" s="90" t="s">
        <v>805</v>
      </c>
      <c r="E1817" s="41"/>
      <c r="F1817" s="400" t="str">
        <f>IF(LEN('Verification Report'!W1820)=0,"",'Verification Report'!W1820)</f>
        <v/>
      </c>
      <c r="G1817" t="s">
        <v>247</v>
      </c>
    </row>
    <row r="1818" spans="1:7" ht="15.5" hidden="1" thickTop="1" thickBot="1" x14ac:dyDescent="0.4">
      <c r="A1818" s="30"/>
      <c r="B1818" s="133"/>
      <c r="C1818" s="133"/>
      <c r="D1818" s="142" t="s">
        <v>806</v>
      </c>
      <c r="E1818" s="41"/>
      <c r="G1818" t="s">
        <v>247</v>
      </c>
    </row>
    <row r="1819" spans="1:7" ht="15.5" hidden="1" thickTop="1" thickBot="1" x14ac:dyDescent="0.4">
      <c r="A1819" s="114"/>
      <c r="B1819" s="115" t="s">
        <v>258</v>
      </c>
      <c r="C1819" s="160"/>
      <c r="D1819" s="229" t="s">
        <v>807</v>
      </c>
      <c r="E1819" s="72"/>
      <c r="F1819" s="400" t="str">
        <f>IF(LEN('Verification Report'!W1822)=0,"",'Verification Report'!W1822)</f>
        <v/>
      </c>
      <c r="G1819" t="s">
        <v>247</v>
      </c>
    </row>
    <row r="1820" spans="1:7" ht="15.75" hidden="1" customHeight="1" thickTop="1" x14ac:dyDescent="0.35">
      <c r="A1820" s="38">
        <v>802.8</v>
      </c>
      <c r="B1820" s="37"/>
      <c r="C1820" s="4"/>
      <c r="D1820" s="838" t="s">
        <v>4459</v>
      </c>
      <c r="E1820" s="545">
        <f ca="1">'Verification Report'!O1821</f>
        <v>0</v>
      </c>
      <c r="F1820" s="400" t="str">
        <f>IF(LEN('Verification Report'!W1823)=0,"",'Verification Report'!W1823)</f>
        <v/>
      </c>
      <c r="G1820" t="s">
        <v>247</v>
      </c>
    </row>
    <row r="1821" spans="1:7" ht="15.5" hidden="1" thickTop="1" thickBot="1" x14ac:dyDescent="0.4">
      <c r="A1821" s="230"/>
      <c r="B1821" s="512"/>
      <c r="C1821" s="160"/>
      <c r="D1821" s="849"/>
      <c r="E1821" s="72"/>
      <c r="G1821" t="s">
        <v>247</v>
      </c>
    </row>
    <row r="1822" spans="1:7" ht="15.5" hidden="1" thickTop="1" thickBot="1" x14ac:dyDescent="0.4">
      <c r="A1822" s="513">
        <v>802.9</v>
      </c>
      <c r="B1822" s="481"/>
      <c r="C1822" s="467"/>
      <c r="D1822" s="487" t="s">
        <v>4460</v>
      </c>
      <c r="E1822" s="545"/>
      <c r="G1822" t="s">
        <v>247</v>
      </c>
    </row>
    <row r="1823" spans="1:7" ht="15" hidden="1" customHeight="1" x14ac:dyDescent="0.35">
      <c r="A1823" s="513" t="s">
        <v>4461</v>
      </c>
      <c r="B1823" s="481"/>
      <c r="C1823" s="467"/>
      <c r="D1823" s="838" t="s">
        <v>4462</v>
      </c>
      <c r="E1823" s="41">
        <f ca="1">'Verification Report'!O1824</f>
        <v>0</v>
      </c>
      <c r="F1823" s="400" t="str">
        <f>IF(LEN('Verification Report'!W1826)=0,"",'Verification Report'!W1826)</f>
        <v/>
      </c>
      <c r="G1823" t="s">
        <v>247</v>
      </c>
    </row>
    <row r="1824" spans="1:7" ht="15.5" hidden="1" thickTop="1" thickBot="1" x14ac:dyDescent="0.4">
      <c r="A1824" s="513"/>
      <c r="B1824" s="481"/>
      <c r="C1824" s="467"/>
      <c r="D1824" s="838"/>
      <c r="E1824" s="41"/>
      <c r="G1824" t="s">
        <v>247</v>
      </c>
    </row>
    <row r="1825" spans="1:7" ht="15.5" hidden="1" thickTop="1" thickBot="1" x14ac:dyDescent="0.4">
      <c r="A1825" s="513"/>
      <c r="B1825" s="481"/>
      <c r="C1825" s="467"/>
      <c r="D1825" s="838"/>
      <c r="E1825" s="41"/>
      <c r="G1825" t="s">
        <v>247</v>
      </c>
    </row>
    <row r="1826" spans="1:7" ht="15.5" hidden="1" thickTop="1" thickBot="1" x14ac:dyDescent="0.4">
      <c r="A1826" s="513"/>
      <c r="B1826" s="481"/>
      <c r="C1826" s="467"/>
      <c r="D1826" s="838"/>
      <c r="E1826" s="41"/>
      <c r="G1826" t="s">
        <v>247</v>
      </c>
    </row>
    <row r="1827" spans="1:7" ht="15.5" hidden="1" thickTop="1" thickBot="1" x14ac:dyDescent="0.4">
      <c r="A1827" s="513"/>
      <c r="B1827" s="481"/>
      <c r="C1827" s="467"/>
      <c r="D1827" s="838"/>
      <c r="E1827" s="41"/>
      <c r="G1827" t="s">
        <v>247</v>
      </c>
    </row>
    <row r="1828" spans="1:7" ht="15.5" hidden="1" thickTop="1" thickBot="1" x14ac:dyDescent="0.4">
      <c r="A1828" s="513"/>
      <c r="B1828" s="481"/>
      <c r="C1828" s="467"/>
      <c r="D1828" s="838"/>
      <c r="E1828" s="41"/>
      <c r="G1828" t="s">
        <v>247</v>
      </c>
    </row>
    <row r="1829" spans="1:7" ht="15.5" hidden="1" thickTop="1" thickBot="1" x14ac:dyDescent="0.4">
      <c r="A1829" s="513"/>
      <c r="B1829" s="482" t="s">
        <v>256</v>
      </c>
      <c r="C1829" s="472"/>
      <c r="D1829" s="281" t="s">
        <v>4463</v>
      </c>
      <c r="E1829" s="41"/>
      <c r="G1829" t="s">
        <v>247</v>
      </c>
    </row>
    <row r="1830" spans="1:7" ht="15.5" hidden="1" thickTop="1" thickBot="1" x14ac:dyDescent="0.4">
      <c r="A1830" s="515"/>
      <c r="B1830" s="482" t="s">
        <v>258</v>
      </c>
      <c r="C1830" s="472"/>
      <c r="D1830" s="281" t="s">
        <v>4464</v>
      </c>
      <c r="E1830" s="546"/>
      <c r="G1830" t="s">
        <v>247</v>
      </c>
    </row>
    <row r="1831" spans="1:7" ht="15" hidden="1" customHeight="1" x14ac:dyDescent="0.35">
      <c r="A1831" s="513" t="s">
        <v>4465</v>
      </c>
      <c r="B1831" s="481"/>
      <c r="C1831" s="467"/>
      <c r="D1831" s="838" t="s">
        <v>4466</v>
      </c>
      <c r="E1831" s="552">
        <f ca="1">'Verification Report'!O1832</f>
        <v>0</v>
      </c>
      <c r="F1831" s="400" t="str">
        <f>IF(LEN('Verification Report'!W1834)=0,"",'Verification Report'!W1834)</f>
        <v/>
      </c>
      <c r="G1831" t="s">
        <v>247</v>
      </c>
    </row>
    <row r="1832" spans="1:7" ht="15.5" hidden="1" thickTop="1" thickBot="1" x14ac:dyDescent="0.4">
      <c r="A1832" s="513"/>
      <c r="B1832" s="481"/>
      <c r="C1832" s="467"/>
      <c r="D1832" s="838"/>
      <c r="E1832" s="41"/>
      <c r="G1832" t="s">
        <v>247</v>
      </c>
    </row>
    <row r="1833" spans="1:7" ht="15.5" hidden="1" thickTop="1" thickBot="1" x14ac:dyDescent="0.4">
      <c r="A1833" s="513"/>
      <c r="B1833" s="482" t="s">
        <v>256</v>
      </c>
      <c r="C1833" s="472"/>
      <c r="D1833" s="281" t="s">
        <v>4467</v>
      </c>
      <c r="E1833" s="41"/>
      <c r="G1833" t="s">
        <v>247</v>
      </c>
    </row>
    <row r="1834" spans="1:7" ht="15.5" hidden="1" thickTop="1" thickBot="1" x14ac:dyDescent="0.4">
      <c r="A1834" s="514"/>
      <c r="B1834" s="491" t="s">
        <v>258</v>
      </c>
      <c r="C1834" s="473"/>
      <c r="D1834" s="486" t="s">
        <v>4468</v>
      </c>
      <c r="E1834" s="72"/>
      <c r="G1834" t="s">
        <v>247</v>
      </c>
    </row>
    <row r="1835" spans="1:7" ht="15.5" hidden="1" thickTop="1" thickBot="1" x14ac:dyDescent="0.4">
      <c r="A1835" s="513" t="s">
        <v>4473</v>
      </c>
      <c r="B1835" s="481"/>
      <c r="C1835" s="467"/>
      <c r="D1835" s="487" t="s">
        <v>4469</v>
      </c>
      <c r="E1835" s="41"/>
      <c r="G1835" t="s">
        <v>247</v>
      </c>
    </row>
    <row r="1836" spans="1:7" ht="15" hidden="1" customHeight="1" x14ac:dyDescent="0.35">
      <c r="A1836" s="513" t="s">
        <v>4470</v>
      </c>
      <c r="B1836" s="481"/>
      <c r="C1836" s="467"/>
      <c r="D1836" s="838" t="s">
        <v>4471</v>
      </c>
      <c r="E1836" s="41"/>
      <c r="F1836" s="400" t="str">
        <f>IF(LEN('Verification Report'!W1839)=0,"",'Verification Report'!W1839)</f>
        <v/>
      </c>
      <c r="G1836" t="s">
        <v>247</v>
      </c>
    </row>
    <row r="1837" spans="1:7" ht="15.5" hidden="1" thickTop="1" thickBot="1" x14ac:dyDescent="0.4">
      <c r="A1837" s="513"/>
      <c r="B1837" s="481"/>
      <c r="C1837" s="467"/>
      <c r="D1837" s="838"/>
      <c r="E1837" s="41"/>
      <c r="G1837" t="s">
        <v>247</v>
      </c>
    </row>
    <row r="1838" spans="1:7" ht="15.5" hidden="1" thickTop="1" thickBot="1" x14ac:dyDescent="0.4">
      <c r="A1838" s="513"/>
      <c r="B1838" s="481"/>
      <c r="C1838" s="467"/>
      <c r="D1838" s="838"/>
      <c r="E1838" s="41"/>
      <c r="G1838" t="s">
        <v>247</v>
      </c>
    </row>
    <row r="1839" spans="1:7" ht="15.5" hidden="1" thickTop="1" thickBot="1" x14ac:dyDescent="0.4">
      <c r="A1839" s="513"/>
      <c r="B1839" s="481" t="s">
        <v>256</v>
      </c>
      <c r="C1839" s="467"/>
      <c r="D1839" s="266" t="s">
        <v>4472</v>
      </c>
      <c r="E1839" s="41">
        <f ca="1">'Verification Report'!O1840</f>
        <v>0</v>
      </c>
      <c r="F1839" s="400" t="str">
        <f>IF(LEN('Verification Report'!W1842)=0,"",'Verification Report'!W1842)</f>
        <v/>
      </c>
      <c r="G1839" t="s">
        <v>247</v>
      </c>
    </row>
    <row r="1840" spans="1:7" ht="19.5" hidden="1" thickTop="1" thickBot="1" x14ac:dyDescent="0.5">
      <c r="A1840" s="10" t="s">
        <v>4386</v>
      </c>
      <c r="B1840" s="10"/>
      <c r="C1840" s="15"/>
      <c r="D1840" s="151"/>
      <c r="E1840" s="544"/>
      <c r="G1840" t="s">
        <v>247</v>
      </c>
    </row>
    <row r="1841" spans="1:7" ht="15" hidden="1" customHeight="1" x14ac:dyDescent="0.35">
      <c r="A1841" s="30">
        <v>803.1</v>
      </c>
      <c r="B1841" s="93"/>
      <c r="C1841" s="4"/>
      <c r="D1841" s="838" t="s">
        <v>4387</v>
      </c>
      <c r="E1841" s="41">
        <f ca="1">'Verification Report'!O1842</f>
        <v>0</v>
      </c>
      <c r="G1841" t="s">
        <v>247</v>
      </c>
    </row>
    <row r="1842" spans="1:7" ht="15.5" hidden="1" thickTop="1" thickBot="1" x14ac:dyDescent="0.4">
      <c r="A1842" s="30"/>
      <c r="B1842" s="93"/>
      <c r="C1842" s="4"/>
      <c r="D1842" s="838"/>
      <c r="E1842" s="41"/>
      <c r="G1842" t="s">
        <v>247</v>
      </c>
    </row>
    <row r="1843" spans="1:7" ht="15.5" hidden="1" thickTop="1" thickBot="1" x14ac:dyDescent="0.4">
      <c r="A1843" s="30"/>
      <c r="B1843" s="4"/>
      <c r="C1843" s="4"/>
      <c r="D1843" s="92" t="s">
        <v>4474</v>
      </c>
      <c r="E1843" s="41"/>
      <c r="G1843" t="s">
        <v>247</v>
      </c>
    </row>
    <row r="1844" spans="1:7" ht="15.5" hidden="1" thickTop="1" thickBot="1" x14ac:dyDescent="0.4">
      <c r="A1844" s="30"/>
      <c r="B1844" s="4"/>
      <c r="C1844" s="4"/>
      <c r="D1844" s="92" t="s">
        <v>4475</v>
      </c>
      <c r="E1844" s="41"/>
      <c r="G1844" t="s">
        <v>247</v>
      </c>
    </row>
    <row r="1845" spans="1:7" ht="15.5" hidden="1" thickTop="1" thickBot="1" x14ac:dyDescent="0.4">
      <c r="A1845" s="30"/>
      <c r="B1845" s="19" t="s">
        <v>256</v>
      </c>
      <c r="C1845" s="4"/>
      <c r="D1845" s="90" t="s">
        <v>808</v>
      </c>
      <c r="E1845" s="41"/>
      <c r="F1845" s="400" t="str">
        <f>IF(LEN('Verification Report'!W1848)=0,"",'Verification Report'!W1848)</f>
        <v/>
      </c>
      <c r="G1845" t="s">
        <v>247</v>
      </c>
    </row>
    <row r="1846" spans="1:7" ht="15.5" hidden="1" thickTop="1" thickBot="1" x14ac:dyDescent="0.4">
      <c r="A1846" s="30"/>
      <c r="B1846" s="133"/>
      <c r="C1846" s="133"/>
      <c r="D1846" s="142" t="s">
        <v>809</v>
      </c>
      <c r="E1846" s="41"/>
      <c r="G1846" t="s">
        <v>247</v>
      </c>
    </row>
    <row r="1847" spans="1:7" ht="15.5" hidden="1" thickTop="1" thickBot="1" x14ac:dyDescent="0.4">
      <c r="A1847" s="114"/>
      <c r="B1847" s="115" t="s">
        <v>258</v>
      </c>
      <c r="C1847" s="160"/>
      <c r="D1847" s="229" t="s">
        <v>810</v>
      </c>
      <c r="E1847" s="72"/>
      <c r="F1847" s="400" t="str">
        <f>IF(LEN('Verification Report'!W1850)=0,"",'Verification Report'!W1850)</f>
        <v/>
      </c>
      <c r="G1847" t="s">
        <v>247</v>
      </c>
    </row>
    <row r="1848" spans="1:7" ht="15.75" hidden="1" customHeight="1" thickTop="1" x14ac:dyDescent="0.35">
      <c r="A1848" s="106">
        <v>803.2</v>
      </c>
      <c r="B1848" s="507"/>
      <c r="C1848" s="107"/>
      <c r="D1848" s="837" t="s">
        <v>4388</v>
      </c>
      <c r="E1848" s="545">
        <f>'Verification Report'!O1849</f>
        <v>0</v>
      </c>
      <c r="G1848" t="s">
        <v>247</v>
      </c>
    </row>
    <row r="1849" spans="1:7" ht="15.5" hidden="1" thickTop="1" thickBot="1" x14ac:dyDescent="0.4">
      <c r="A1849" s="30"/>
      <c r="B1849" s="93"/>
      <c r="C1849" s="4"/>
      <c r="D1849" s="838"/>
      <c r="E1849" s="41"/>
      <c r="F1849" s="400" t="str">
        <f>IF(LEN('Verification Report'!W1852)=0,"",'Verification Report'!W1852)</f>
        <v/>
      </c>
      <c r="G1849" t="s">
        <v>247</v>
      </c>
    </row>
    <row r="1850" spans="1:7" ht="15.5" hidden="1" thickTop="1" thickBot="1" x14ac:dyDescent="0.4">
      <c r="A1850" s="114"/>
      <c r="B1850" s="294"/>
      <c r="C1850" s="160"/>
      <c r="D1850" s="849"/>
      <c r="E1850" s="72"/>
      <c r="G1850" t="s">
        <v>247</v>
      </c>
    </row>
    <row r="1851" spans="1:7" ht="15.75" hidden="1" customHeight="1" thickTop="1" x14ac:dyDescent="0.35">
      <c r="A1851" s="30">
        <v>803.3</v>
      </c>
      <c r="B1851" s="93"/>
      <c r="C1851" s="4"/>
      <c r="D1851" s="838" t="s">
        <v>4476</v>
      </c>
      <c r="E1851" s="75">
        <f ca="1">'Verification Report'!O1852</f>
        <v>0</v>
      </c>
      <c r="F1851" s="400" t="str">
        <f>IF(LEN('Verification Report'!W1854)=0,"",'Verification Report'!W1854)</f>
        <v/>
      </c>
      <c r="G1851" t="s">
        <v>247</v>
      </c>
    </row>
    <row r="1852" spans="1:7" ht="15.5" hidden="1" thickTop="1" thickBot="1" x14ac:dyDescent="0.4">
      <c r="A1852" s="30"/>
      <c r="B1852" s="93"/>
      <c r="C1852" s="4"/>
      <c r="D1852" s="838"/>
      <c r="E1852" s="75"/>
      <c r="G1852" t="s">
        <v>247</v>
      </c>
    </row>
    <row r="1853" spans="1:7" ht="15.5" hidden="1" thickTop="1" thickBot="1" x14ac:dyDescent="0.4">
      <c r="A1853" s="30"/>
      <c r="B1853" s="93"/>
      <c r="C1853" s="4"/>
      <c r="D1853" s="838"/>
      <c r="E1853" s="75"/>
      <c r="G1853" t="s">
        <v>247</v>
      </c>
    </row>
    <row r="1854" spans="1:7" ht="15.5" hidden="1" thickTop="1" thickBot="1" x14ac:dyDescent="0.4">
      <c r="A1854" s="30"/>
      <c r="B1854" s="497" t="s">
        <v>256</v>
      </c>
      <c r="C1854" s="133"/>
      <c r="D1854" s="281" t="s">
        <v>4477</v>
      </c>
      <c r="E1854" s="41"/>
      <c r="G1854" t="s">
        <v>247</v>
      </c>
    </row>
    <row r="1855" spans="1:7" ht="15.5" hidden="1" thickTop="1" thickBot="1" x14ac:dyDescent="0.4">
      <c r="A1855" s="114"/>
      <c r="B1855" s="230" t="s">
        <v>258</v>
      </c>
      <c r="C1855" s="160"/>
      <c r="D1855" s="266" t="s">
        <v>4478</v>
      </c>
      <c r="E1855" s="72"/>
      <c r="G1855" t="s">
        <v>247</v>
      </c>
    </row>
    <row r="1856" spans="1:7" ht="15.75" hidden="1" customHeight="1" thickTop="1" x14ac:dyDescent="0.35">
      <c r="A1856" s="106">
        <v>803.4</v>
      </c>
      <c r="B1856" s="507"/>
      <c r="C1856" s="107"/>
      <c r="D1856" s="837" t="s">
        <v>4389</v>
      </c>
      <c r="E1856" s="545">
        <f ca="1">'Verification Report'!O1857</f>
        <v>0</v>
      </c>
      <c r="F1856" s="400" t="str">
        <f>IF(LEN('Verification Report'!W1859)=0,"",'Verification Report'!W1859)</f>
        <v/>
      </c>
      <c r="G1856" t="s">
        <v>247</v>
      </c>
    </row>
    <row r="1857" spans="1:7" ht="15.5" hidden="1" thickTop="1" thickBot="1" x14ac:dyDescent="0.4">
      <c r="A1857" s="30"/>
      <c r="B1857" s="93"/>
      <c r="C1857" s="4"/>
      <c r="D1857" s="838"/>
      <c r="E1857" s="41"/>
      <c r="G1857" t="s">
        <v>247</v>
      </c>
    </row>
    <row r="1858" spans="1:7" ht="15.5" hidden="1" thickTop="1" thickBot="1" x14ac:dyDescent="0.4">
      <c r="A1858" s="114"/>
      <c r="B1858" s="294"/>
      <c r="C1858" s="160"/>
      <c r="D1858" s="849"/>
      <c r="E1858" s="72"/>
      <c r="G1858" t="s">
        <v>247</v>
      </c>
    </row>
    <row r="1859" spans="1:7" ht="15.75" hidden="1" customHeight="1" thickTop="1" x14ac:dyDescent="0.35">
      <c r="A1859" s="106">
        <v>803.5</v>
      </c>
      <c r="B1859" s="507"/>
      <c r="C1859" s="107"/>
      <c r="D1859" s="946" t="s">
        <v>4390</v>
      </c>
      <c r="E1859" s="545">
        <f ca="1">'Verification Report'!O1860</f>
        <v>0</v>
      </c>
      <c r="F1859" s="400" t="str">
        <f>IF(LEN('Verification Report'!W1862)=0,"",'Verification Report'!W1862)</f>
        <v/>
      </c>
      <c r="G1859" t="s">
        <v>247</v>
      </c>
    </row>
    <row r="1860" spans="1:7" ht="15.5" hidden="1" thickTop="1" thickBot="1" x14ac:dyDescent="0.4">
      <c r="A1860" s="114"/>
      <c r="B1860" s="294"/>
      <c r="C1860" s="160"/>
      <c r="D1860" s="947"/>
      <c r="E1860" s="72"/>
      <c r="G1860" t="s">
        <v>247</v>
      </c>
    </row>
    <row r="1861" spans="1:7" ht="15.75" hidden="1" customHeight="1" thickTop="1" x14ac:dyDescent="0.35">
      <c r="A1861" s="30">
        <v>803.6</v>
      </c>
      <c r="B1861" s="93"/>
      <c r="C1861" s="4"/>
      <c r="D1861" s="838" t="s">
        <v>4391</v>
      </c>
      <c r="E1861" s="41">
        <f ca="1">'Verification Report'!O1862</f>
        <v>0</v>
      </c>
      <c r="F1861" s="400" t="str">
        <f>IF(LEN('Verification Report'!W1864)=0,"",'Verification Report'!W1864)</f>
        <v/>
      </c>
      <c r="G1861" t="s">
        <v>247</v>
      </c>
    </row>
    <row r="1862" spans="1:7" ht="15.5" hidden="1" thickTop="1" thickBot="1" x14ac:dyDescent="0.4">
      <c r="A1862" s="30"/>
      <c r="B1862" s="93"/>
      <c r="C1862" s="4"/>
      <c r="D1862" s="838"/>
      <c r="E1862" s="41"/>
      <c r="G1862" t="s">
        <v>247</v>
      </c>
    </row>
    <row r="1863" spans="1:7" ht="15.5" hidden="1" thickTop="1" thickBot="1" x14ac:dyDescent="0.4">
      <c r="A1863" s="30"/>
      <c r="B1863" s="93"/>
      <c r="C1863" s="4"/>
      <c r="D1863" s="92" t="s">
        <v>4475</v>
      </c>
      <c r="E1863" s="41"/>
      <c r="G1863" t="s">
        <v>247</v>
      </c>
    </row>
    <row r="1864" spans="1:7" ht="19.5" hidden="1" thickTop="1" thickBot="1" x14ac:dyDescent="0.5">
      <c r="A1864" s="10" t="s">
        <v>4483</v>
      </c>
      <c r="B1864" s="516"/>
      <c r="C1864" s="516"/>
      <c r="D1864" s="150"/>
      <c r="E1864" s="551"/>
      <c r="G1864" t="s">
        <v>247</v>
      </c>
    </row>
    <row r="1865" spans="1:7" ht="15" hidden="1" customHeight="1" x14ac:dyDescent="0.35">
      <c r="A1865" s="500">
        <v>804.1</v>
      </c>
      <c r="B1865" s="467"/>
      <c r="C1865" s="467"/>
      <c r="D1865" s="838" t="s">
        <v>5586</v>
      </c>
      <c r="G1865" t="s">
        <v>247</v>
      </c>
    </row>
    <row r="1866" spans="1:7" ht="15.5" hidden="1" thickTop="1" thickBot="1" x14ac:dyDescent="0.4">
      <c r="A1866" s="504"/>
      <c r="B1866" s="472"/>
      <c r="C1866" s="472"/>
      <c r="D1866" s="889"/>
      <c r="G1866" t="s">
        <v>247</v>
      </c>
    </row>
    <row r="1867" spans="1:7" ht="15" hidden="1" customHeight="1" x14ac:dyDescent="0.35">
      <c r="A1867" s="526">
        <v>804.2</v>
      </c>
      <c r="B1867" s="471"/>
      <c r="C1867" s="471"/>
      <c r="D1867" s="905" t="s">
        <v>4479</v>
      </c>
      <c r="G1867" t="s">
        <v>247</v>
      </c>
    </row>
    <row r="1868" spans="1:7" ht="15.5" hidden="1" thickTop="1" thickBot="1" x14ac:dyDescent="0.4">
      <c r="A1868" s="504"/>
      <c r="B1868" s="472"/>
      <c r="C1868" s="472"/>
      <c r="D1868" s="889"/>
      <c r="G1868" t="s">
        <v>247</v>
      </c>
    </row>
    <row r="1869" spans="1:7" ht="15" hidden="1" customHeight="1" x14ac:dyDescent="0.35">
      <c r="A1869" s="500">
        <v>804.3</v>
      </c>
      <c r="B1869" s="467"/>
      <c r="C1869" s="467"/>
      <c r="D1869" s="838" t="s">
        <v>4480</v>
      </c>
      <c r="G1869" t="s">
        <v>247</v>
      </c>
    </row>
    <row r="1870" spans="1:7" ht="15.5" hidden="1" thickTop="1" thickBot="1" x14ac:dyDescent="0.4">
      <c r="A1870" s="496"/>
      <c r="B1870" s="467"/>
      <c r="C1870" s="467"/>
      <c r="D1870" s="838"/>
      <c r="G1870" t="s">
        <v>247</v>
      </c>
    </row>
    <row r="1871" spans="1:7" ht="15.5" hidden="1" thickTop="1" thickBot="1" x14ac:dyDescent="0.4">
      <c r="A1871" s="496"/>
      <c r="B1871" s="467"/>
      <c r="C1871" s="467"/>
      <c r="D1871" s="838"/>
      <c r="G1871" t="s">
        <v>247</v>
      </c>
    </row>
    <row r="1872" spans="1:7" ht="15.5" hidden="1" thickTop="1" thickBot="1" x14ac:dyDescent="0.4">
      <c r="A1872" s="496"/>
      <c r="B1872" s="467"/>
      <c r="C1872" s="467"/>
      <c r="D1872" s="159" t="s">
        <v>4481</v>
      </c>
      <c r="G1872" t="s">
        <v>247</v>
      </c>
    </row>
    <row r="1873" spans="1:7" ht="15.5" hidden="1" thickTop="1" thickBot="1" x14ac:dyDescent="0.4">
      <c r="A1873" s="496"/>
      <c r="B1873" s="467"/>
      <c r="C1873" s="467"/>
      <c r="D1873" s="159" t="s">
        <v>4482</v>
      </c>
      <c r="G1873" t="s">
        <v>247</v>
      </c>
    </row>
    <row r="1874" spans="1:7" ht="19.5" hidden="1" thickTop="1" thickBot="1" x14ac:dyDescent="0.5">
      <c r="A1874" s="14" t="s">
        <v>3142</v>
      </c>
      <c r="B1874" s="14"/>
      <c r="C1874" s="14"/>
      <c r="D1874" s="584"/>
      <c r="E1874" s="549"/>
      <c r="G1874" t="s">
        <v>247</v>
      </c>
    </row>
    <row r="1875" spans="1:7" ht="15.5" hidden="1" thickTop="1" thickBot="1" x14ac:dyDescent="0.4">
      <c r="A1875" s="143">
        <v>901</v>
      </c>
      <c r="B1875" s="4"/>
      <c r="C1875" s="4"/>
      <c r="D1875" s="95" t="s">
        <v>3143</v>
      </c>
      <c r="E1875" s="489"/>
      <c r="G1875" t="s">
        <v>247</v>
      </c>
    </row>
    <row r="1876" spans="1:7" ht="15.5" hidden="1" thickTop="1" thickBot="1" x14ac:dyDescent="0.4">
      <c r="A1876" s="143">
        <v>901.1</v>
      </c>
      <c r="B1876" s="4"/>
      <c r="C1876" s="4"/>
      <c r="D1876" s="95" t="s">
        <v>3144</v>
      </c>
      <c r="E1876" s="489"/>
      <c r="G1876" t="s">
        <v>247</v>
      </c>
    </row>
    <row r="1877" spans="1:7" ht="15" hidden="1" customHeight="1" x14ac:dyDescent="0.35">
      <c r="A1877" s="143" t="s">
        <v>3145</v>
      </c>
      <c r="B1877" s="4"/>
      <c r="C1877" s="4"/>
      <c r="D1877" s="838" t="s">
        <v>3146</v>
      </c>
      <c r="E1877" s="41">
        <f>'Verification Report'!O1878</f>
        <v>0</v>
      </c>
      <c r="F1877" s="400" t="str">
        <f>IF(LEN('Verification Report'!W1880)=0,"",'Verification Report'!W1880)</f>
        <v/>
      </c>
      <c r="G1877" t="s">
        <v>247</v>
      </c>
    </row>
    <row r="1878" spans="1:7" ht="15.5" hidden="1" thickTop="1" thickBot="1" x14ac:dyDescent="0.4">
      <c r="A1878" s="93"/>
      <c r="B1878" s="4"/>
      <c r="C1878" s="4"/>
      <c r="D1878" s="838"/>
      <c r="E1878" s="41"/>
      <c r="G1878" t="s">
        <v>247</v>
      </c>
    </row>
    <row r="1879" spans="1:7" ht="15.5" hidden="1" thickTop="1" thickBot="1" x14ac:dyDescent="0.4">
      <c r="A1879" s="93"/>
      <c r="B1879" s="4"/>
      <c r="C1879" s="4"/>
      <c r="D1879" s="838"/>
      <c r="E1879" s="41"/>
      <c r="G1879" t="s">
        <v>247</v>
      </c>
    </row>
    <row r="1880" spans="1:7" ht="15.5" hidden="1" thickTop="1" thickBot="1" x14ac:dyDescent="0.4">
      <c r="A1880" s="93"/>
      <c r="B1880" s="4"/>
      <c r="C1880" s="4"/>
      <c r="D1880" s="838"/>
      <c r="E1880" s="41"/>
      <c r="G1880" t="s">
        <v>247</v>
      </c>
    </row>
    <row r="1881" spans="1:7" ht="15" hidden="1" customHeight="1" x14ac:dyDescent="0.35">
      <c r="A1881" s="93"/>
      <c r="B1881" s="4"/>
      <c r="C1881" s="4"/>
      <c r="D1881" s="955" t="s">
        <v>3378</v>
      </c>
      <c r="E1881" s="41"/>
      <c r="G1881" t="s">
        <v>247</v>
      </c>
    </row>
    <row r="1882" spans="1:7" ht="15.5" hidden="1" thickTop="1" thickBot="1" x14ac:dyDescent="0.4">
      <c r="A1882" s="320"/>
      <c r="B1882" s="133"/>
      <c r="C1882" s="133"/>
      <c r="D1882" s="969"/>
      <c r="E1882" s="546"/>
      <c r="G1882" t="s">
        <v>247</v>
      </c>
    </row>
    <row r="1883" spans="1:7" ht="15" hidden="1" customHeight="1" x14ac:dyDescent="0.35">
      <c r="A1883" s="117" t="s">
        <v>3147</v>
      </c>
      <c r="B1883" s="118"/>
      <c r="C1883" s="118"/>
      <c r="D1883" s="905" t="s">
        <v>3148</v>
      </c>
      <c r="E1883" s="552">
        <f>'Verification Report'!O1884</f>
        <v>0</v>
      </c>
      <c r="F1883" s="400" t="str">
        <f>IF(LEN('Verification Report'!W1886)=0,"",'Verification Report'!W1886)</f>
        <v/>
      </c>
      <c r="G1883" t="s">
        <v>247</v>
      </c>
    </row>
    <row r="1884" spans="1:7" ht="15.5" hidden="1" thickTop="1" thickBot="1" x14ac:dyDescent="0.4">
      <c r="A1884" s="93"/>
      <c r="B1884" s="4"/>
      <c r="C1884" s="4"/>
      <c r="D1884" s="838"/>
      <c r="E1884" s="41"/>
      <c r="G1884" t="s">
        <v>247</v>
      </c>
    </row>
    <row r="1885" spans="1:7" ht="15.5" hidden="1" thickTop="1" thickBot="1" x14ac:dyDescent="0.4">
      <c r="A1885" s="320"/>
      <c r="B1885" s="133"/>
      <c r="C1885" s="133"/>
      <c r="D1885" s="284" t="s">
        <v>3660</v>
      </c>
      <c r="E1885" s="546"/>
      <c r="G1885" t="s">
        <v>247</v>
      </c>
    </row>
    <row r="1886" spans="1:7" ht="15" hidden="1" customHeight="1" x14ac:dyDescent="0.35">
      <c r="A1886" s="30" t="s">
        <v>3149</v>
      </c>
      <c r="B1886" s="4"/>
      <c r="C1886" s="4"/>
      <c r="D1886" s="838" t="s">
        <v>3150</v>
      </c>
      <c r="E1886" s="41"/>
      <c r="G1886" t="s">
        <v>247</v>
      </c>
    </row>
    <row r="1887" spans="1:7" ht="15.5" hidden="1" thickTop="1" thickBot="1" x14ac:dyDescent="0.4">
      <c r="A1887" s="93"/>
      <c r="B1887" s="4"/>
      <c r="C1887" s="4"/>
      <c r="D1887" s="838"/>
      <c r="E1887" s="41"/>
      <c r="G1887" t="s">
        <v>247</v>
      </c>
    </row>
    <row r="1888" spans="1:7" ht="15.5" hidden="1" thickTop="1" thickBot="1" x14ac:dyDescent="0.4">
      <c r="A1888" s="93"/>
      <c r="B1888" s="19" t="s">
        <v>256</v>
      </c>
      <c r="C1888" s="4"/>
      <c r="D1888" s="90" t="s">
        <v>3151</v>
      </c>
      <c r="E1888" s="41">
        <f ca="1">'Verification Report'!O1889</f>
        <v>0</v>
      </c>
      <c r="F1888" s="400" t="str">
        <f>IF(LEN('Verification Report'!W1891)=0,"",'Verification Report'!W1891)</f>
        <v/>
      </c>
      <c r="G1888" t="s">
        <v>247</v>
      </c>
    </row>
    <row r="1889" spans="1:7" ht="15.5" hidden="1" thickTop="1" thickBot="1" x14ac:dyDescent="0.4">
      <c r="A1889" s="93"/>
      <c r="B1889" s="19"/>
      <c r="C1889" s="19" t="s">
        <v>121</v>
      </c>
      <c r="D1889" s="90" t="s">
        <v>3152</v>
      </c>
      <c r="E1889" s="41"/>
      <c r="G1889" t="s">
        <v>247</v>
      </c>
    </row>
    <row r="1890" spans="1:7" ht="15.5" hidden="1" thickTop="1" thickBot="1" x14ac:dyDescent="0.4">
      <c r="A1890" s="93"/>
      <c r="B1890" s="129"/>
      <c r="C1890" s="129" t="s">
        <v>122</v>
      </c>
      <c r="D1890" s="228" t="s">
        <v>3153</v>
      </c>
      <c r="E1890" s="546"/>
      <c r="G1890" t="s">
        <v>247</v>
      </c>
    </row>
    <row r="1891" spans="1:7" ht="15.5" hidden="1" thickTop="1" thickBot="1" x14ac:dyDescent="0.4">
      <c r="A1891" s="93"/>
      <c r="B1891" s="19" t="s">
        <v>258</v>
      </c>
      <c r="C1891" s="4"/>
      <c r="D1891" s="90" t="s">
        <v>3154</v>
      </c>
      <c r="E1891" s="41">
        <f ca="1">'Verification Report'!O1892</f>
        <v>0</v>
      </c>
      <c r="F1891" s="400" t="str">
        <f>IF(LEN('Verification Report'!W1894)=0,"",'Verification Report'!W1894)</f>
        <v/>
      </c>
      <c r="G1891" t="s">
        <v>247</v>
      </c>
    </row>
    <row r="1892" spans="1:7" ht="15.5" hidden="1" thickTop="1" thickBot="1" x14ac:dyDescent="0.4">
      <c r="A1892" s="93"/>
      <c r="B1892" s="4"/>
      <c r="C1892" s="19" t="s">
        <v>121</v>
      </c>
      <c r="D1892" s="90" t="s">
        <v>3155</v>
      </c>
      <c r="E1892" s="41"/>
      <c r="G1892" t="s">
        <v>247</v>
      </c>
    </row>
    <row r="1893" spans="1:7" ht="15.5" hidden="1" thickTop="1" thickBot="1" x14ac:dyDescent="0.4">
      <c r="A1893" s="320"/>
      <c r="B1893" s="133"/>
      <c r="C1893" s="129" t="s">
        <v>122</v>
      </c>
      <c r="D1893" s="228" t="s">
        <v>3156</v>
      </c>
      <c r="E1893" s="546"/>
      <c r="G1893" t="s">
        <v>247</v>
      </c>
    </row>
    <row r="1894" spans="1:7" ht="15" hidden="1" customHeight="1" x14ac:dyDescent="0.35">
      <c r="A1894" s="30" t="s">
        <v>3157</v>
      </c>
      <c r="B1894" s="4"/>
      <c r="C1894" s="4"/>
      <c r="D1894" s="838" t="s">
        <v>4485</v>
      </c>
      <c r="E1894" s="41"/>
      <c r="F1894" s="400" t="str">
        <f>IF(LEN('Verification Report'!W1897)=0,"",'Verification Report'!W1897)</f>
        <v/>
      </c>
      <c r="G1894" t="s">
        <v>247</v>
      </c>
    </row>
    <row r="1895" spans="1:7" ht="15.5" hidden="1" thickTop="1" thickBot="1" x14ac:dyDescent="0.4">
      <c r="A1895" s="93"/>
      <c r="B1895" s="4"/>
      <c r="C1895" s="4"/>
      <c r="D1895" s="838"/>
      <c r="E1895" s="41"/>
      <c r="G1895" t="s">
        <v>247</v>
      </c>
    </row>
    <row r="1896" spans="1:7" ht="15.5" hidden="1" thickTop="1" thickBot="1" x14ac:dyDescent="0.4">
      <c r="A1896" s="93"/>
      <c r="B1896" s="4"/>
      <c r="C1896" s="4"/>
      <c r="D1896" s="838"/>
      <c r="E1896" s="41"/>
      <c r="G1896" t="s">
        <v>247</v>
      </c>
    </row>
    <row r="1897" spans="1:7" ht="15.5" hidden="1" thickTop="1" thickBot="1" x14ac:dyDescent="0.4">
      <c r="A1897" s="93"/>
      <c r="B1897" s="4"/>
      <c r="C1897" s="4"/>
      <c r="D1897" s="838"/>
      <c r="E1897" s="41"/>
      <c r="G1897" t="s">
        <v>247</v>
      </c>
    </row>
    <row r="1898" spans="1:7" ht="15.5" hidden="1" thickTop="1" thickBot="1" x14ac:dyDescent="0.4">
      <c r="A1898" s="320"/>
      <c r="B1898" s="133"/>
      <c r="C1898" s="133"/>
      <c r="D1898" s="889"/>
      <c r="E1898" s="546"/>
      <c r="G1898" t="s">
        <v>247</v>
      </c>
    </row>
    <row r="1899" spans="1:7" ht="15" hidden="1" customHeight="1" x14ac:dyDescent="0.35">
      <c r="A1899" s="30" t="s">
        <v>3158</v>
      </c>
      <c r="B1899" s="4"/>
      <c r="C1899" s="4"/>
      <c r="D1899" s="838" t="s">
        <v>3159</v>
      </c>
      <c r="E1899" s="41">
        <f>'Verification Report'!O1900</f>
        <v>0</v>
      </c>
      <c r="F1899" s="400" t="str">
        <f>IF(LEN('Verification Report'!W1902)=0,"",'Verification Report'!W1902)</f>
        <v/>
      </c>
      <c r="G1899" t="s">
        <v>247</v>
      </c>
    </row>
    <row r="1900" spans="1:7" ht="15.5" hidden="1" thickTop="1" thickBot="1" x14ac:dyDescent="0.4">
      <c r="A1900" s="93"/>
      <c r="B1900" s="4"/>
      <c r="C1900" s="4"/>
      <c r="D1900" s="838"/>
      <c r="E1900" s="41"/>
      <c r="G1900" t="s">
        <v>247</v>
      </c>
    </row>
    <row r="1901" spans="1:7" ht="15.5" hidden="1" thickTop="1" thickBot="1" x14ac:dyDescent="0.4">
      <c r="A1901" s="320"/>
      <c r="B1901" s="133"/>
      <c r="C1901" s="133"/>
      <c r="D1901" s="889"/>
      <c r="E1901" s="546"/>
      <c r="G1901" t="s">
        <v>247</v>
      </c>
    </row>
    <row r="1902" spans="1:7" ht="15.5" hidden="1" thickTop="1" thickBot="1" x14ac:dyDescent="0.4">
      <c r="A1902" s="30" t="s">
        <v>3160</v>
      </c>
      <c r="B1902" s="4"/>
      <c r="C1902" s="4"/>
      <c r="D1902" s="95" t="s">
        <v>3161</v>
      </c>
      <c r="E1902" s="41">
        <f ca="1">'Verification Report'!O1903</f>
        <v>0</v>
      </c>
      <c r="F1902" s="400" t="str">
        <f>IF(LEN('Verification Report'!W1905)=0,"",'Verification Report'!W1905)</f>
        <v/>
      </c>
      <c r="G1902" t="s">
        <v>247</v>
      </c>
    </row>
    <row r="1903" spans="1:7" ht="15.5" hidden="1" thickTop="1" thickBot="1" x14ac:dyDescent="0.4">
      <c r="A1903" s="93"/>
      <c r="B1903" s="129" t="s">
        <v>256</v>
      </c>
      <c r="C1903" s="133"/>
      <c r="D1903" s="228" t="s">
        <v>3162</v>
      </c>
      <c r="E1903" s="41"/>
      <c r="G1903" t="s">
        <v>247</v>
      </c>
    </row>
    <row r="1904" spans="1:7" ht="15.5" hidden="1" thickTop="1" thickBot="1" x14ac:dyDescent="0.4">
      <c r="A1904" s="294"/>
      <c r="B1904" s="115" t="s">
        <v>258</v>
      </c>
      <c r="C1904" s="160"/>
      <c r="D1904" s="229" t="s">
        <v>3163</v>
      </c>
      <c r="E1904" s="72"/>
      <c r="G1904" t="s">
        <v>247</v>
      </c>
    </row>
    <row r="1905" spans="1:9" ht="15" thickTop="1" x14ac:dyDescent="0.35">
      <c r="A1905" s="106">
        <v>901.2</v>
      </c>
      <c r="B1905" s="107"/>
      <c r="C1905" s="107"/>
      <c r="D1905" s="274" t="s">
        <v>3164</v>
      </c>
      <c r="E1905" s="545"/>
      <c r="G1905" s="727" t="str">
        <f>IF(COUNTIF(G1906,"P")&gt;0,"P","")</f>
        <v/>
      </c>
    </row>
    <row r="1906" spans="1:9" ht="15" customHeight="1" x14ac:dyDescent="0.35">
      <c r="A1906" s="30" t="s">
        <v>3165</v>
      </c>
      <c r="B1906" s="4"/>
      <c r="C1906" s="4"/>
      <c r="D1906" s="838" t="s">
        <v>3166</v>
      </c>
      <c r="E1906" s="41"/>
      <c r="G1906" s="727" t="str">
        <f>IF(COUNTIF(G1908:H1918,"P")&gt;0,"P","")</f>
        <v/>
      </c>
      <c r="H1906" s="611" t="s">
        <v>5097</v>
      </c>
      <c r="I1906" s="350"/>
    </row>
    <row r="1907" spans="1:9" x14ac:dyDescent="0.35">
      <c r="A1907" s="93"/>
      <c r="B1907" s="4"/>
      <c r="C1907" s="4"/>
      <c r="D1907" s="838"/>
      <c r="E1907" s="41"/>
      <c r="G1907" s="366" t="str">
        <f>G1906</f>
        <v/>
      </c>
    </row>
    <row r="1908" spans="1:9" ht="15" customHeight="1" x14ac:dyDescent="0.35">
      <c r="A1908" s="93"/>
      <c r="B1908" s="19" t="s">
        <v>256</v>
      </c>
      <c r="C1908" s="4"/>
      <c r="D1908" s="814" t="s">
        <v>3167</v>
      </c>
      <c r="E1908" s="41">
        <f>'Verification Report'!O1909</f>
        <v>0</v>
      </c>
      <c r="F1908" s="400" t="str">
        <f>IF(LEN('Verification Report'!W1911)=0,"",'Verification Report'!W1911)</f>
        <v/>
      </c>
      <c r="G1908" s="366" t="str">
        <f>IF(E1908&gt;0,"P","")</f>
        <v/>
      </c>
    </row>
    <row r="1909" spans="1:9" x14ac:dyDescent="0.35">
      <c r="A1909" s="93"/>
      <c r="B1909" s="4"/>
      <c r="C1909" s="4"/>
      <c r="D1909" s="814"/>
      <c r="E1909" s="41"/>
      <c r="G1909" s="366" t="str">
        <f>G1908</f>
        <v/>
      </c>
    </row>
    <row r="1910" spans="1:9" x14ac:dyDescent="0.35">
      <c r="A1910" s="93"/>
      <c r="B1910" s="133"/>
      <c r="C1910" s="133"/>
      <c r="D1910" s="815"/>
      <c r="E1910" s="546"/>
      <c r="G1910" s="366" t="str">
        <f>G1909</f>
        <v/>
      </c>
    </row>
    <row r="1911" spans="1:9" ht="15" customHeight="1" x14ac:dyDescent="0.35">
      <c r="A1911" s="93"/>
      <c r="B1911" s="19" t="s">
        <v>258</v>
      </c>
      <c r="C1911" s="4"/>
      <c r="D1911" s="814" t="s">
        <v>4486</v>
      </c>
      <c r="E1911" s="41">
        <f>'Verification Report'!O1912</f>
        <v>0</v>
      </c>
      <c r="F1911" s="400" t="str">
        <f>IF(LEN('Verification Report'!W1914)=0,"",'Verification Report'!W1914)</f>
        <v/>
      </c>
      <c r="G1911" s="366" t="str">
        <f>IF(E1911&gt;0,"P","")</f>
        <v/>
      </c>
    </row>
    <row r="1912" spans="1:9" x14ac:dyDescent="0.35">
      <c r="A1912" s="93"/>
      <c r="B1912" s="129"/>
      <c r="C1912" s="133"/>
      <c r="D1912" s="815"/>
      <c r="E1912" s="546"/>
      <c r="G1912" s="366" t="str">
        <f>G1911</f>
        <v/>
      </c>
    </row>
    <row r="1913" spans="1:9" ht="15" customHeight="1" x14ac:dyDescent="0.35">
      <c r="A1913" s="93"/>
      <c r="B1913" s="19" t="s">
        <v>260</v>
      </c>
      <c r="C1913" s="4"/>
      <c r="D1913" s="814" t="s">
        <v>3168</v>
      </c>
      <c r="E1913" s="41">
        <f>'Verification Report'!O1914</f>
        <v>0</v>
      </c>
      <c r="F1913" s="400" t="str">
        <f>IF(LEN('Verification Report'!W1916)=0,"",'Verification Report'!W1916)</f>
        <v/>
      </c>
      <c r="G1913" s="366" t="str">
        <f>IF(E1913&gt;0,"P","")</f>
        <v/>
      </c>
    </row>
    <row r="1914" spans="1:9" x14ac:dyDescent="0.35">
      <c r="A1914" s="93"/>
      <c r="B1914" s="19"/>
      <c r="C1914" s="4"/>
      <c r="D1914" s="814"/>
      <c r="E1914" s="41"/>
      <c r="G1914" s="366" t="str">
        <f>G1913</f>
        <v/>
      </c>
    </row>
    <row r="1915" spans="1:9" x14ac:dyDescent="0.35">
      <c r="A1915" s="93"/>
      <c r="B1915" s="129"/>
      <c r="C1915" s="133"/>
      <c r="D1915" s="815"/>
      <c r="E1915" s="546"/>
      <c r="G1915" s="366" t="str">
        <f>G1914</f>
        <v/>
      </c>
    </row>
    <row r="1916" spans="1:9" ht="15" customHeight="1" x14ac:dyDescent="0.35">
      <c r="A1916" s="93"/>
      <c r="B1916" s="19" t="s">
        <v>269</v>
      </c>
      <c r="C1916" s="4"/>
      <c r="D1916" s="848" t="s">
        <v>3169</v>
      </c>
      <c r="E1916" s="41">
        <f>'Verification Report'!O1917</f>
        <v>0</v>
      </c>
      <c r="F1916" s="400" t="str">
        <f>IF(LEN('Verification Report'!W1919)=0,"",'Verification Report'!W1919)</f>
        <v/>
      </c>
      <c r="G1916" s="366" t="str">
        <f>IF(E1916&gt;0,"P","")</f>
        <v/>
      </c>
    </row>
    <row r="1917" spans="1:9" x14ac:dyDescent="0.35">
      <c r="A1917" s="93"/>
      <c r="B1917" s="129"/>
      <c r="C1917" s="133"/>
      <c r="D1917" s="821"/>
      <c r="E1917" s="546"/>
      <c r="G1917" s="366" t="str">
        <f>G1916</f>
        <v/>
      </c>
    </row>
    <row r="1918" spans="1:9" ht="15" customHeight="1" x14ac:dyDescent="0.35">
      <c r="A1918" s="93"/>
      <c r="B1918" s="19" t="s">
        <v>275</v>
      </c>
      <c r="C1918" s="4"/>
      <c r="D1918" s="814" t="s">
        <v>3170</v>
      </c>
      <c r="E1918" s="41">
        <f>'Verification Report'!O1919</f>
        <v>0</v>
      </c>
      <c r="F1918" s="400" t="str">
        <f>IF(LEN('Verification Report'!W1921)=0,"",'Verification Report'!W1921)</f>
        <v/>
      </c>
      <c r="G1918" s="366" t="str">
        <f>IF(E1918&gt;0,"P","")</f>
        <v/>
      </c>
    </row>
    <row r="1919" spans="1:9" x14ac:dyDescent="0.35">
      <c r="A1919" s="320"/>
      <c r="B1919" s="129"/>
      <c r="C1919" s="133"/>
      <c r="D1919" s="815"/>
      <c r="E1919" s="546"/>
      <c r="G1919" s="366" t="str">
        <f>G1918</f>
        <v/>
      </c>
    </row>
    <row r="1920" spans="1:9" ht="15" thickBot="1" x14ac:dyDescent="0.4">
      <c r="A1920" s="114" t="s">
        <v>3171</v>
      </c>
      <c r="B1920" s="160"/>
      <c r="C1920" s="160"/>
      <c r="D1920" s="321" t="s">
        <v>3172</v>
      </c>
      <c r="E1920" s="72">
        <f>'Verification Report'!O1921</f>
        <v>0</v>
      </c>
      <c r="F1920" s="400" t="str">
        <f>IF(LEN('Verification Report'!W1923)=0,"",'Verification Report'!W1923)</f>
        <v/>
      </c>
      <c r="G1920" s="366" t="str">
        <f>IF(E1920&gt;0,"P","")</f>
        <v/>
      </c>
      <c r="H1920" s="611" t="s">
        <v>5097</v>
      </c>
      <c r="I1920" s="350"/>
    </row>
    <row r="1921" spans="1:9" ht="15" thickTop="1" x14ac:dyDescent="0.35">
      <c r="A1921" s="30">
        <v>901.3</v>
      </c>
      <c r="B1921" s="4"/>
      <c r="C1921" s="4"/>
      <c r="D1921" s="95" t="s">
        <v>3173</v>
      </c>
      <c r="E1921" s="41"/>
      <c r="G1921" s="727" t="str">
        <f ca="1">IF(COUNTIF(G1922,"P")&gt;0,"P","")</f>
        <v/>
      </c>
      <c r="H1921" s="611" t="s">
        <v>5098</v>
      </c>
      <c r="I1921" s="350"/>
    </row>
    <row r="1922" spans="1:9" x14ac:dyDescent="0.35">
      <c r="A1922" s="93"/>
      <c r="B1922" s="19" t="s">
        <v>256</v>
      </c>
      <c r="C1922" s="4"/>
      <c r="D1922" s="90" t="s">
        <v>3174</v>
      </c>
      <c r="E1922" s="41"/>
      <c r="G1922" s="727" t="str">
        <f ca="1">IF(COUNTIF(G1923:H1933,"P")&gt;0,"P","")</f>
        <v/>
      </c>
    </row>
    <row r="1923" spans="1:9" ht="15" customHeight="1" x14ac:dyDescent="0.35">
      <c r="A1923" s="93"/>
      <c r="B1923" s="4"/>
      <c r="C1923" s="19" t="s">
        <v>121</v>
      </c>
      <c r="D1923" s="814" t="s">
        <v>3175</v>
      </c>
      <c r="E1923" s="41">
        <f>'Verification Report'!O1924</f>
        <v>0</v>
      </c>
      <c r="F1923" s="400" t="str">
        <f>IF(LEN('Verification Report'!W1926)=0,"",'Verification Report'!W1926)</f>
        <v/>
      </c>
      <c r="G1923" s="366" t="str">
        <f>IF(E1923&gt;0,"P","")</f>
        <v/>
      </c>
    </row>
    <row r="1924" spans="1:9" x14ac:dyDescent="0.35">
      <c r="A1924" s="93"/>
      <c r="B1924" s="4"/>
      <c r="C1924" s="129"/>
      <c r="D1924" s="815"/>
      <c r="E1924" s="546"/>
      <c r="G1924" s="366" t="str">
        <f>G1923</f>
        <v/>
      </c>
    </row>
    <row r="1925" spans="1:9" ht="15" customHeight="1" x14ac:dyDescent="0.35">
      <c r="A1925" s="93"/>
      <c r="B1925" s="4"/>
      <c r="C1925" s="19" t="s">
        <v>122</v>
      </c>
      <c r="D1925" s="814" t="s">
        <v>3176</v>
      </c>
      <c r="E1925" s="41">
        <f>'Verification Report'!O1926</f>
        <v>0</v>
      </c>
      <c r="F1925" s="400" t="str">
        <f>IF(LEN('Verification Report'!W1928)=0,"",'Verification Report'!W1928)</f>
        <v/>
      </c>
      <c r="G1925" s="366" t="str">
        <f>IF(E1925&gt;0,"P","")</f>
        <v/>
      </c>
    </row>
    <row r="1926" spans="1:9" x14ac:dyDescent="0.35">
      <c r="A1926" s="93"/>
      <c r="B1926" s="4"/>
      <c r="C1926" s="133"/>
      <c r="D1926" s="815"/>
      <c r="E1926" s="546"/>
      <c r="G1926" s="366" t="str">
        <f>G1925</f>
        <v/>
      </c>
    </row>
    <row r="1927" spans="1:9" ht="15" customHeight="1" x14ac:dyDescent="0.35">
      <c r="A1927" s="93"/>
      <c r="B1927" s="4"/>
      <c r="C1927" s="19" t="s">
        <v>123</v>
      </c>
      <c r="D1927" s="814" t="s">
        <v>5587</v>
      </c>
      <c r="E1927" s="41">
        <f ca="1">'Verification Report'!O1928</f>
        <v>0</v>
      </c>
      <c r="F1927" s="400" t="str">
        <f>IF(LEN('Verification Report'!W1930)=0,"",'Verification Report'!W1930)</f>
        <v/>
      </c>
      <c r="G1927" s="366" t="str">
        <f ca="1">IF(E1927&gt;0,"P","")</f>
        <v/>
      </c>
    </row>
    <row r="1928" spans="1:9" x14ac:dyDescent="0.35">
      <c r="A1928" s="93"/>
      <c r="B1928" s="4"/>
      <c r="C1928" s="4"/>
      <c r="D1928" s="814"/>
      <c r="E1928" s="41"/>
      <c r="G1928" s="366" t="str">
        <f ca="1">G1927</f>
        <v/>
      </c>
    </row>
    <row r="1929" spans="1:9" x14ac:dyDescent="0.35">
      <c r="A1929" s="93"/>
      <c r="B1929" s="4"/>
      <c r="C1929" s="4"/>
      <c r="D1929" s="814"/>
      <c r="E1929" s="41"/>
      <c r="G1929" s="366" t="str">
        <f ca="1">G1928</f>
        <v/>
      </c>
    </row>
    <row r="1930" spans="1:9" x14ac:dyDescent="0.35">
      <c r="A1930" s="93"/>
      <c r="B1930" s="4"/>
      <c r="C1930" s="4"/>
      <c r="D1930" s="814"/>
      <c r="E1930" s="41"/>
      <c r="G1930" s="366" t="str">
        <f ca="1">G1929</f>
        <v/>
      </c>
    </row>
    <row r="1931" spans="1:9" x14ac:dyDescent="0.35">
      <c r="A1931" s="93"/>
      <c r="B1931" s="4"/>
      <c r="C1931" s="4"/>
      <c r="D1931" s="814"/>
      <c r="E1931" s="41"/>
      <c r="G1931" s="366" t="str">
        <f ca="1">G1930</f>
        <v/>
      </c>
    </row>
    <row r="1932" spans="1:9" x14ac:dyDescent="0.35">
      <c r="A1932" s="93"/>
      <c r="B1932" s="133"/>
      <c r="C1932" s="133"/>
      <c r="D1932" s="815"/>
      <c r="E1932" s="546"/>
      <c r="G1932" s="366" t="str">
        <f ca="1">G1931</f>
        <v/>
      </c>
    </row>
    <row r="1933" spans="1:9" ht="15" customHeight="1" thickBot="1" x14ac:dyDescent="0.4">
      <c r="A1933" s="294"/>
      <c r="B1933" s="115" t="s">
        <v>258</v>
      </c>
      <c r="C1933" s="160"/>
      <c r="D1933" s="229" t="s">
        <v>3177</v>
      </c>
      <c r="E1933" s="72">
        <f>'Verification Report'!O1934</f>
        <v>0</v>
      </c>
      <c r="F1933" s="400" t="str">
        <f>IF(LEN('Verification Report'!W1936)=0,"",'Verification Report'!W1936)</f>
        <v/>
      </c>
      <c r="G1933" s="366" t="str">
        <f>IF(E1933&gt;0,"P","")</f>
        <v/>
      </c>
      <c r="H1933" s="611" t="s">
        <v>5098</v>
      </c>
      <c r="I1933" s="350"/>
    </row>
    <row r="1934" spans="1:9" ht="15.75" hidden="1" customHeight="1" thickTop="1" x14ac:dyDescent="0.35">
      <c r="A1934" s="30">
        <v>901.4</v>
      </c>
      <c r="B1934" s="4"/>
      <c r="C1934" s="4"/>
      <c r="D1934" s="814" t="s">
        <v>3178</v>
      </c>
      <c r="E1934" s="545">
        <f ca="1">'Verification Report'!O1935</f>
        <v>0</v>
      </c>
      <c r="G1934" t="s">
        <v>247</v>
      </c>
    </row>
    <row r="1935" spans="1:9" ht="15.5" hidden="1" thickTop="1" thickBot="1" x14ac:dyDescent="0.4">
      <c r="A1935" s="93"/>
      <c r="B1935" s="4"/>
      <c r="C1935" s="4"/>
      <c r="D1935" s="814"/>
      <c r="E1935" s="41"/>
      <c r="G1935" t="s">
        <v>247</v>
      </c>
    </row>
    <row r="1936" spans="1:9" ht="15.5" hidden="1" thickTop="1" thickBot="1" x14ac:dyDescent="0.4">
      <c r="A1936" s="93"/>
      <c r="B1936" s="4"/>
      <c r="C1936" s="4"/>
      <c r="D1936" s="814"/>
      <c r="E1936" s="41"/>
      <c r="G1936" t="s">
        <v>247</v>
      </c>
    </row>
    <row r="1937" spans="1:7" ht="15" hidden="1" customHeight="1" x14ac:dyDescent="0.35">
      <c r="A1937" s="93"/>
      <c r="B1937" s="19" t="s">
        <v>256</v>
      </c>
      <c r="C1937" s="4"/>
      <c r="D1937" s="814" t="s">
        <v>3179</v>
      </c>
      <c r="F1937" s="400" t="str">
        <f>IF(LEN('Verification Report'!W1940)=0,"",'Verification Report'!W1940)</f>
        <v/>
      </c>
      <c r="G1937" t="s">
        <v>247</v>
      </c>
    </row>
    <row r="1938" spans="1:7" ht="15.5" hidden="1" thickTop="1" thickBot="1" x14ac:dyDescent="0.4">
      <c r="A1938" s="93"/>
      <c r="B1938" s="4"/>
      <c r="C1938" s="4"/>
      <c r="D1938" s="814"/>
      <c r="E1938" s="41"/>
      <c r="G1938" t="s">
        <v>247</v>
      </c>
    </row>
    <row r="1939" spans="1:7" ht="15.5" hidden="1" thickTop="1" thickBot="1" x14ac:dyDescent="0.4">
      <c r="A1939" s="93"/>
      <c r="B1939" s="4"/>
      <c r="C1939" s="4"/>
      <c r="D1939" s="814"/>
      <c r="E1939" s="41"/>
      <c r="G1939" t="s">
        <v>247</v>
      </c>
    </row>
    <row r="1940" spans="1:7" ht="15.5" hidden="1" thickTop="1" thickBot="1" x14ac:dyDescent="0.4">
      <c r="A1940" s="93"/>
      <c r="B1940" s="4"/>
      <c r="C1940" s="4"/>
      <c r="D1940" s="814"/>
      <c r="E1940" s="41"/>
      <c r="G1940" t="s">
        <v>247</v>
      </c>
    </row>
    <row r="1941" spans="1:7" ht="15.5" hidden="1" thickTop="1" thickBot="1" x14ac:dyDescent="0.4">
      <c r="A1941" s="93"/>
      <c r="B1941" s="133"/>
      <c r="C1941" s="133"/>
      <c r="D1941" s="284" t="s">
        <v>3966</v>
      </c>
      <c r="E1941" s="41"/>
      <c r="G1941" t="s">
        <v>247</v>
      </c>
    </row>
    <row r="1942" spans="1:7" ht="15.5" hidden="1" thickTop="1" thickBot="1" x14ac:dyDescent="0.4">
      <c r="A1942" s="93"/>
      <c r="B1942" s="4"/>
      <c r="C1942" s="4"/>
      <c r="D1942" s="90" t="s">
        <v>3645</v>
      </c>
      <c r="E1942" s="41"/>
      <c r="F1942" s="400" t="str">
        <f>IF(LEN('Verification Report'!W1945)=0,"",'Verification Report'!W1945)</f>
        <v/>
      </c>
      <c r="G1942" t="s">
        <v>247</v>
      </c>
    </row>
    <row r="1943" spans="1:7" ht="15.5" hidden="1" thickTop="1" thickBot="1" x14ac:dyDescent="0.4">
      <c r="A1943" s="93"/>
      <c r="B1943" s="4"/>
      <c r="C1943" s="4"/>
      <c r="D1943" s="90" t="s">
        <v>3646</v>
      </c>
      <c r="E1943" s="41"/>
      <c r="F1943" s="400" t="str">
        <f>IF(LEN('Verification Report'!W1946)=0,"",'Verification Report'!W1946)</f>
        <v/>
      </c>
      <c r="G1943" t="s">
        <v>247</v>
      </c>
    </row>
    <row r="1944" spans="1:7" ht="15.5" hidden="1" thickTop="1" thickBot="1" x14ac:dyDescent="0.4">
      <c r="A1944" s="93"/>
      <c r="B1944" s="4"/>
      <c r="C1944" s="4"/>
      <c r="D1944" s="90" t="s">
        <v>3647</v>
      </c>
      <c r="E1944" s="41"/>
      <c r="F1944" s="400" t="str">
        <f>IF(LEN('Verification Report'!W1947)=0,"",'Verification Report'!W1947)</f>
        <v/>
      </c>
      <c r="G1944" t="s">
        <v>247</v>
      </c>
    </row>
    <row r="1945" spans="1:7" ht="15.5" hidden="1" thickTop="1" thickBot="1" x14ac:dyDescent="0.4">
      <c r="A1945" s="93"/>
      <c r="B1945" s="4"/>
      <c r="C1945" s="4"/>
      <c r="D1945" s="90" t="s">
        <v>3648</v>
      </c>
      <c r="E1945" s="41"/>
      <c r="F1945" s="400" t="str">
        <f>IF(LEN('Verification Report'!W1948)=0,"",'Verification Report'!W1948)</f>
        <v/>
      </c>
      <c r="G1945" t="s">
        <v>247</v>
      </c>
    </row>
    <row r="1946" spans="1:7" ht="15" hidden="1" customHeight="1" x14ac:dyDescent="0.35">
      <c r="A1946" s="93"/>
      <c r="B1946" s="19" t="s">
        <v>258</v>
      </c>
      <c r="C1946" s="4"/>
      <c r="D1946" s="814" t="s">
        <v>3180</v>
      </c>
      <c r="E1946" s="41"/>
      <c r="G1946" t="s">
        <v>247</v>
      </c>
    </row>
    <row r="1947" spans="1:7" ht="15.5" hidden="1" thickTop="1" thickBot="1" x14ac:dyDescent="0.4">
      <c r="A1947" s="93"/>
      <c r="B1947" s="133"/>
      <c r="C1947" s="133"/>
      <c r="D1947" s="815"/>
      <c r="E1947" s="41"/>
      <c r="G1947" t="s">
        <v>247</v>
      </c>
    </row>
    <row r="1948" spans="1:7" ht="15.5" hidden="1" thickTop="1" thickBot="1" x14ac:dyDescent="0.4">
      <c r="A1948" s="93"/>
      <c r="B1948" s="129" t="s">
        <v>260</v>
      </c>
      <c r="C1948" s="133"/>
      <c r="D1948" s="228" t="s">
        <v>3181</v>
      </c>
      <c r="E1948" s="41"/>
      <c r="G1948" t="s">
        <v>247</v>
      </c>
    </row>
    <row r="1949" spans="1:7" ht="15.5" hidden="1" thickTop="1" thickBot="1" x14ac:dyDescent="0.4">
      <c r="A1949" s="93"/>
      <c r="B1949" s="129" t="s">
        <v>269</v>
      </c>
      <c r="C1949" s="133"/>
      <c r="D1949" s="228" t="s">
        <v>3182</v>
      </c>
      <c r="E1949" s="41"/>
      <c r="G1949" t="s">
        <v>247</v>
      </c>
    </row>
    <row r="1950" spans="1:7" ht="15" hidden="1" customHeight="1" x14ac:dyDescent="0.35">
      <c r="A1950" s="93"/>
      <c r="B1950" s="19" t="s">
        <v>275</v>
      </c>
      <c r="C1950" s="4"/>
      <c r="D1950" s="814" t="s">
        <v>3183</v>
      </c>
      <c r="E1950" s="41"/>
      <c r="G1950" t="s">
        <v>247</v>
      </c>
    </row>
    <row r="1951" spans="1:7" ht="15.5" hidden="1" thickTop="1" thickBot="1" x14ac:dyDescent="0.4">
      <c r="A1951" s="93"/>
      <c r="B1951" s="129"/>
      <c r="C1951" s="133"/>
      <c r="D1951" s="815"/>
      <c r="E1951" s="41"/>
      <c r="G1951" t="s">
        <v>247</v>
      </c>
    </row>
    <row r="1952" spans="1:7" ht="15.5" hidden="1" thickTop="1" thickBot="1" x14ac:dyDescent="0.4">
      <c r="A1952" s="294"/>
      <c r="B1952" s="115" t="s">
        <v>277</v>
      </c>
      <c r="C1952" s="160"/>
      <c r="D1952" s="229" t="s">
        <v>3184</v>
      </c>
      <c r="E1952" s="72"/>
      <c r="G1952" t="s">
        <v>247</v>
      </c>
    </row>
    <row r="1953" spans="1:7" ht="15.75" hidden="1" customHeight="1" thickTop="1" x14ac:dyDescent="0.35">
      <c r="A1953" s="30">
        <v>901.5</v>
      </c>
      <c r="B1953" s="4"/>
      <c r="C1953" s="4"/>
      <c r="D1953" s="838" t="s">
        <v>3185</v>
      </c>
      <c r="E1953" s="41"/>
      <c r="G1953" t="s">
        <v>247</v>
      </c>
    </row>
    <row r="1954" spans="1:7" ht="15.5" hidden="1" thickTop="1" thickBot="1" x14ac:dyDescent="0.4">
      <c r="A1954" s="93"/>
      <c r="B1954" s="4"/>
      <c r="C1954" s="4"/>
      <c r="D1954" s="838"/>
      <c r="E1954" s="41"/>
      <c r="G1954" t="s">
        <v>247</v>
      </c>
    </row>
    <row r="1955" spans="1:7" ht="15.5" hidden="1" thickTop="1" thickBot="1" x14ac:dyDescent="0.4">
      <c r="A1955" s="93"/>
      <c r="B1955" s="4"/>
      <c r="C1955" s="4"/>
      <c r="D1955" s="92" t="s">
        <v>3186</v>
      </c>
      <c r="E1955" s="41"/>
      <c r="G1955" t="s">
        <v>247</v>
      </c>
    </row>
    <row r="1956" spans="1:7" ht="15" hidden="1" customHeight="1" x14ac:dyDescent="0.35">
      <c r="A1956" s="93"/>
      <c r="B1956" s="19" t="s">
        <v>256</v>
      </c>
      <c r="C1956" s="4"/>
      <c r="D1956" s="814" t="s">
        <v>3187</v>
      </c>
      <c r="E1956" s="41">
        <f>'Verification Report'!O1957</f>
        <v>0</v>
      </c>
      <c r="F1956" s="400" t="str">
        <f>IF(LEN('Verification Report'!W1959)=0,"",'Verification Report'!W1959)</f>
        <v/>
      </c>
      <c r="G1956" t="s">
        <v>247</v>
      </c>
    </row>
    <row r="1957" spans="1:7" ht="15.5" hidden="1" thickTop="1" thickBot="1" x14ac:dyDescent="0.4">
      <c r="A1957" s="93"/>
      <c r="B1957" s="133"/>
      <c r="C1957" s="133"/>
      <c r="D1957" s="815"/>
      <c r="E1957" s="546"/>
      <c r="G1957" t="s">
        <v>247</v>
      </c>
    </row>
    <row r="1958" spans="1:7" ht="15" hidden="1" customHeight="1" x14ac:dyDescent="0.35">
      <c r="A1958" s="93"/>
      <c r="B1958" s="19" t="s">
        <v>258</v>
      </c>
      <c r="C1958" s="4"/>
      <c r="D1958" s="814" t="s">
        <v>5588</v>
      </c>
      <c r="E1958" s="41">
        <f>'Verification Report'!O1959</f>
        <v>0</v>
      </c>
      <c r="F1958" s="400" t="str">
        <f>IF(LEN('Verification Report'!W1961)=0,"",'Verification Report'!W1961)</f>
        <v/>
      </c>
      <c r="G1958" t="s">
        <v>247</v>
      </c>
    </row>
    <row r="1959" spans="1:7" ht="15.5" hidden="1" thickTop="1" thickBot="1" x14ac:dyDescent="0.4">
      <c r="A1959" s="93"/>
      <c r="B1959" s="4"/>
      <c r="C1959" s="4"/>
      <c r="D1959" s="814"/>
      <c r="E1959" s="41"/>
      <c r="G1959" t="s">
        <v>247</v>
      </c>
    </row>
    <row r="1960" spans="1:7" ht="15.5" hidden="1" thickTop="1" thickBot="1" x14ac:dyDescent="0.4">
      <c r="A1960" s="294"/>
      <c r="B1960" s="160"/>
      <c r="C1960" s="160"/>
      <c r="D1960" s="839"/>
      <c r="E1960" s="72"/>
      <c r="G1960" t="s">
        <v>247</v>
      </c>
    </row>
    <row r="1961" spans="1:7" ht="15.75" hidden="1" customHeight="1" thickTop="1" x14ac:dyDescent="0.35">
      <c r="A1961" s="106">
        <v>901.6</v>
      </c>
      <c r="B1961" s="107"/>
      <c r="C1961" s="107"/>
      <c r="D1961" s="837" t="s">
        <v>3189</v>
      </c>
      <c r="E1961" s="545"/>
      <c r="F1961" s="400" t="str">
        <f>IF(LEN('Verification Report'!W1964)=0,"",'Verification Report'!W1964)</f>
        <v/>
      </c>
      <c r="G1961" t="s">
        <v>247</v>
      </c>
    </row>
    <row r="1962" spans="1:7" ht="15.5" hidden="1" thickTop="1" thickBot="1" x14ac:dyDescent="0.4">
      <c r="A1962" s="294"/>
      <c r="B1962" s="160"/>
      <c r="C1962" s="160"/>
      <c r="D1962" s="849"/>
      <c r="E1962" s="72"/>
      <c r="G1962" t="s">
        <v>247</v>
      </c>
    </row>
    <row r="1963" spans="1:7" ht="15.75" hidden="1" customHeight="1" thickTop="1" x14ac:dyDescent="0.35">
      <c r="A1963" s="30">
        <v>901.7</v>
      </c>
      <c r="B1963" s="4"/>
      <c r="C1963" s="4"/>
      <c r="D1963" s="838" t="s">
        <v>5589</v>
      </c>
      <c r="E1963" s="41">
        <f>'Verification Report'!O1964</f>
        <v>0</v>
      </c>
      <c r="G1963" t="s">
        <v>247</v>
      </c>
    </row>
    <row r="1964" spans="1:7" ht="15.5" hidden="1" thickTop="1" thickBot="1" x14ac:dyDescent="0.4">
      <c r="A1964" s="93"/>
      <c r="B1964" s="4"/>
      <c r="C1964" s="4"/>
      <c r="D1964" s="838"/>
      <c r="E1964" s="41"/>
      <c r="G1964" t="s">
        <v>247</v>
      </c>
    </row>
    <row r="1965" spans="1:7" ht="15.5" hidden="1" thickTop="1" thickBot="1" x14ac:dyDescent="0.4">
      <c r="A1965" s="93"/>
      <c r="B1965" s="4"/>
      <c r="C1965" s="4"/>
      <c r="D1965" s="838"/>
      <c r="E1965" s="41"/>
      <c r="G1965" t="s">
        <v>247</v>
      </c>
    </row>
    <row r="1966" spans="1:7" ht="15.5" hidden="1" thickTop="1" thickBot="1" x14ac:dyDescent="0.4">
      <c r="A1966" s="93"/>
      <c r="B1966" s="4"/>
      <c r="C1966" s="4"/>
      <c r="D1966" s="838"/>
      <c r="E1966" s="41"/>
      <c r="G1966" t="s">
        <v>247</v>
      </c>
    </row>
    <row r="1967" spans="1:7" ht="15.5" hidden="1" thickTop="1" thickBot="1" x14ac:dyDescent="0.4">
      <c r="A1967" s="93"/>
      <c r="B1967" s="4"/>
      <c r="C1967" s="4"/>
      <c r="D1967" s="838"/>
      <c r="E1967" s="41"/>
      <c r="G1967" t="s">
        <v>247</v>
      </c>
    </row>
    <row r="1968" spans="1:7" ht="15" hidden="1" customHeight="1" x14ac:dyDescent="0.35">
      <c r="A1968" s="93"/>
      <c r="B1968" s="4"/>
      <c r="C1968" s="4"/>
      <c r="D1968" s="895" t="s">
        <v>3191</v>
      </c>
      <c r="E1968" s="41"/>
      <c r="G1968" t="s">
        <v>247</v>
      </c>
    </row>
    <row r="1969" spans="1:7" ht="15.5" hidden="1" thickTop="1" thickBot="1" x14ac:dyDescent="0.4">
      <c r="A1969" s="93"/>
      <c r="B1969" s="4"/>
      <c r="C1969" s="4"/>
      <c r="D1969" s="895"/>
      <c r="E1969" s="41"/>
      <c r="G1969" t="s">
        <v>247</v>
      </c>
    </row>
    <row r="1970" spans="1:7" ht="15" hidden="1" customHeight="1" x14ac:dyDescent="0.35">
      <c r="A1970" s="93"/>
      <c r="B1970" s="19" t="s">
        <v>256</v>
      </c>
      <c r="C1970" s="4"/>
      <c r="D1970" s="814" t="s">
        <v>3192</v>
      </c>
      <c r="E1970" s="41"/>
      <c r="F1970" s="400" t="str">
        <f>IF(LEN('Verification Report'!W1973)=0,"",'Verification Report'!W1973)</f>
        <v/>
      </c>
      <c r="G1970" t="s">
        <v>247</v>
      </c>
    </row>
    <row r="1971" spans="1:7" ht="15.5" hidden="1" thickTop="1" thickBot="1" x14ac:dyDescent="0.4">
      <c r="A1971" s="93"/>
      <c r="B1971" s="4"/>
      <c r="C1971" s="4"/>
      <c r="D1971" s="814"/>
      <c r="E1971" s="41"/>
      <c r="G1971" t="s">
        <v>247</v>
      </c>
    </row>
    <row r="1972" spans="1:7" ht="15.5" hidden="1" thickTop="1" thickBot="1" x14ac:dyDescent="0.4">
      <c r="A1972" s="93"/>
      <c r="B1972" s="4"/>
      <c r="C1972" s="4"/>
      <c r="D1972" s="814"/>
      <c r="E1972" s="41"/>
      <c r="G1972" t="s">
        <v>247</v>
      </c>
    </row>
    <row r="1973" spans="1:7" ht="15.5" hidden="1" thickTop="1" thickBot="1" x14ac:dyDescent="0.4">
      <c r="A1973" s="93"/>
      <c r="B1973" s="4"/>
      <c r="C1973" s="4"/>
      <c r="D1973" s="814"/>
      <c r="E1973" s="41"/>
      <c r="G1973" t="s">
        <v>247</v>
      </c>
    </row>
    <row r="1974" spans="1:7" ht="15.5" hidden="1" thickTop="1" thickBot="1" x14ac:dyDescent="0.4">
      <c r="A1974" s="93"/>
      <c r="B1974" s="4"/>
      <c r="C1974" s="19" t="s">
        <v>121</v>
      </c>
      <c r="D1974" s="90" t="s">
        <v>3193</v>
      </c>
      <c r="E1974" s="41"/>
      <c r="G1974" t="s">
        <v>247</v>
      </c>
    </row>
    <row r="1975" spans="1:7" ht="15.5" hidden="1" thickTop="1" thickBot="1" x14ac:dyDescent="0.4">
      <c r="A1975" s="93"/>
      <c r="B1975" s="4"/>
      <c r="C1975" s="19" t="s">
        <v>122</v>
      </c>
      <c r="D1975" s="90" t="s">
        <v>3194</v>
      </c>
      <c r="E1975" s="41"/>
      <c r="G1975" t="s">
        <v>247</v>
      </c>
    </row>
    <row r="1976" spans="1:7" ht="15.5" hidden="1" thickTop="1" thickBot="1" x14ac:dyDescent="0.4">
      <c r="A1976" s="93"/>
      <c r="B1976" s="4"/>
      <c r="C1976" s="19" t="s">
        <v>123</v>
      </c>
      <c r="D1976" s="90" t="s">
        <v>3195</v>
      </c>
      <c r="E1976" s="41"/>
      <c r="G1976" t="s">
        <v>247</v>
      </c>
    </row>
    <row r="1977" spans="1:7" ht="15.5" hidden="1" thickTop="1" thickBot="1" x14ac:dyDescent="0.4">
      <c r="A1977" s="93"/>
      <c r="B1977" s="4"/>
      <c r="C1977" s="19" t="s">
        <v>401</v>
      </c>
      <c r="D1977" s="90" t="s">
        <v>3196</v>
      </c>
      <c r="E1977" s="41"/>
      <c r="G1977" t="s">
        <v>247</v>
      </c>
    </row>
    <row r="1978" spans="1:7" ht="15.5" hidden="1" thickTop="1" thickBot="1" x14ac:dyDescent="0.4">
      <c r="A1978" s="93"/>
      <c r="B1978" s="4"/>
      <c r="C1978" s="19" t="s">
        <v>539</v>
      </c>
      <c r="D1978" s="90" t="s">
        <v>3197</v>
      </c>
      <c r="E1978" s="41"/>
      <c r="G1978" t="s">
        <v>247</v>
      </c>
    </row>
    <row r="1979" spans="1:7" ht="15.5" hidden="1" thickTop="1" thickBot="1" x14ac:dyDescent="0.4">
      <c r="A1979" s="93"/>
      <c r="B1979" s="133"/>
      <c r="C1979" s="129" t="s">
        <v>604</v>
      </c>
      <c r="D1979" s="228" t="s">
        <v>3198</v>
      </c>
      <c r="E1979" s="41"/>
      <c r="G1979" t="s">
        <v>247</v>
      </c>
    </row>
    <row r="1980" spans="1:7" ht="15.5" hidden="1" thickTop="1" thickBot="1" x14ac:dyDescent="0.4">
      <c r="A1980" s="93"/>
      <c r="B1980" s="129" t="s">
        <v>258</v>
      </c>
      <c r="C1980" s="133"/>
      <c r="D1980" s="228" t="s">
        <v>3836</v>
      </c>
      <c r="E1980" s="41"/>
      <c r="F1980" s="400" t="str">
        <f>IF(LEN('Verification Report'!W1983)=0,"",'Verification Report'!W1983)</f>
        <v/>
      </c>
      <c r="G1980" t="s">
        <v>247</v>
      </c>
    </row>
    <row r="1981" spans="1:7" ht="15.5" hidden="1" thickTop="1" thickBot="1" x14ac:dyDescent="0.4">
      <c r="A1981" s="93"/>
      <c r="B1981" s="19" t="s">
        <v>260</v>
      </c>
      <c r="C1981" s="4"/>
      <c r="D1981" s="90" t="s">
        <v>3649</v>
      </c>
      <c r="E1981" s="41"/>
      <c r="F1981" s="400" t="str">
        <f>IF(LEN('Verification Report'!W1984)=0,"",'Verification Report'!W1984)</f>
        <v/>
      </c>
      <c r="G1981" t="s">
        <v>247</v>
      </c>
    </row>
    <row r="1982" spans="1:7" ht="15" hidden="1" customHeight="1" x14ac:dyDescent="0.35">
      <c r="A1982" s="93"/>
      <c r="B1982" s="4"/>
      <c r="C1982" s="4"/>
      <c r="D1982" s="895" t="s">
        <v>3199</v>
      </c>
      <c r="E1982" s="41"/>
      <c r="G1982" t="s">
        <v>247</v>
      </c>
    </row>
    <row r="1983" spans="1:7" ht="15.5" hidden="1" thickTop="1" thickBot="1" x14ac:dyDescent="0.4">
      <c r="A1983" s="294"/>
      <c r="B1983" s="160"/>
      <c r="C1983" s="160"/>
      <c r="D1983" s="968"/>
      <c r="E1983" s="72"/>
      <c r="G1983" t="s">
        <v>247</v>
      </c>
    </row>
    <row r="1984" spans="1:7" ht="15.75" hidden="1" customHeight="1" thickTop="1" x14ac:dyDescent="0.35">
      <c r="A1984" s="106">
        <v>901.8</v>
      </c>
      <c r="B1984" s="107"/>
      <c r="C1984" s="107"/>
      <c r="D1984" s="837" t="s">
        <v>5590</v>
      </c>
      <c r="E1984" s="545">
        <f>'Verification Report'!O1985</f>
        <v>0</v>
      </c>
      <c r="F1984" s="400" t="str">
        <f>IF(LEN('Verification Report'!W1987)=0,"",'Verification Report'!W1987)</f>
        <v/>
      </c>
      <c r="G1984" t="s">
        <v>247</v>
      </c>
    </row>
    <row r="1985" spans="1:7" ht="15.5" hidden="1" thickTop="1" thickBot="1" x14ac:dyDescent="0.4">
      <c r="A1985" s="93"/>
      <c r="B1985" s="4"/>
      <c r="C1985" s="4"/>
      <c r="D1985" s="838"/>
      <c r="E1985" s="41"/>
      <c r="G1985" t="s">
        <v>247</v>
      </c>
    </row>
    <row r="1986" spans="1:7" ht="15.5" hidden="1" thickTop="1" thickBot="1" x14ac:dyDescent="0.4">
      <c r="A1986" s="93"/>
      <c r="B1986" s="4"/>
      <c r="C1986" s="4"/>
      <c r="D1986" s="838"/>
      <c r="E1986" s="41"/>
      <c r="G1986" t="s">
        <v>247</v>
      </c>
    </row>
    <row r="1987" spans="1:7" ht="15.5" hidden="1" thickTop="1" thickBot="1" x14ac:dyDescent="0.4">
      <c r="A1987" s="93"/>
      <c r="B1987" s="4"/>
      <c r="C1987" s="4"/>
      <c r="D1987" s="838"/>
      <c r="E1987" s="41"/>
      <c r="G1987" t="s">
        <v>247</v>
      </c>
    </row>
    <row r="1988" spans="1:7" ht="15.5" hidden="1" thickTop="1" thickBot="1" x14ac:dyDescent="0.4">
      <c r="A1988" s="93"/>
      <c r="B1988" s="4"/>
      <c r="C1988" s="4"/>
      <c r="D1988" s="838"/>
      <c r="E1988" s="41"/>
      <c r="G1988" t="s">
        <v>247</v>
      </c>
    </row>
    <row r="1989" spans="1:7" ht="15.5" hidden="1" thickTop="1" thickBot="1" x14ac:dyDescent="0.4">
      <c r="A1989" s="294"/>
      <c r="B1989" s="160"/>
      <c r="C1989" s="160"/>
      <c r="D1989" s="849"/>
      <c r="E1989" s="72"/>
      <c r="G1989" t="s">
        <v>247</v>
      </c>
    </row>
    <row r="1990" spans="1:7" ht="15.75" hidden="1" customHeight="1" thickTop="1" x14ac:dyDescent="0.35">
      <c r="A1990" s="106">
        <v>901.9</v>
      </c>
      <c r="B1990" s="107"/>
      <c r="C1990" s="107"/>
      <c r="D1990" s="837" t="s">
        <v>3201</v>
      </c>
      <c r="E1990" s="545"/>
      <c r="G1990" t="s">
        <v>247</v>
      </c>
    </row>
    <row r="1991" spans="1:7" ht="15.5" hidden="1" thickTop="1" thickBot="1" x14ac:dyDescent="0.4">
      <c r="A1991" s="93"/>
      <c r="B1991" s="4"/>
      <c r="C1991" s="4"/>
      <c r="D1991" s="838"/>
      <c r="E1991" s="41"/>
      <c r="G1991" t="s">
        <v>247</v>
      </c>
    </row>
    <row r="1992" spans="1:7" ht="15.5" hidden="1" thickTop="1" thickBot="1" x14ac:dyDescent="0.4">
      <c r="A1992" s="93"/>
      <c r="B1992" s="4"/>
      <c r="C1992" s="4"/>
      <c r="D1992" s="838"/>
      <c r="E1992" s="41"/>
      <c r="G1992" t="s">
        <v>247</v>
      </c>
    </row>
    <row r="1993" spans="1:7" ht="15" hidden="1" customHeight="1" x14ac:dyDescent="0.35">
      <c r="A1993" s="30" t="s">
        <v>3202</v>
      </c>
      <c r="B1993" s="4"/>
      <c r="C1993" s="4"/>
      <c r="D1993" s="838" t="s">
        <v>3203</v>
      </c>
      <c r="E1993" s="41">
        <f>'Verification Report'!O1994</f>
        <v>0</v>
      </c>
      <c r="G1993" t="s">
        <v>247</v>
      </c>
    </row>
    <row r="1994" spans="1:7" ht="15.5" hidden="1" thickTop="1" thickBot="1" x14ac:dyDescent="0.4">
      <c r="A1994" s="93"/>
      <c r="B1994" s="4"/>
      <c r="C1994" s="4"/>
      <c r="D1994" s="838"/>
      <c r="E1994" s="41"/>
      <c r="G1994" t="s">
        <v>247</v>
      </c>
    </row>
    <row r="1995" spans="1:7" ht="15" hidden="1" customHeight="1" x14ac:dyDescent="0.35">
      <c r="A1995" s="93"/>
      <c r="B1995" s="19" t="s">
        <v>256</v>
      </c>
      <c r="C1995" s="4"/>
      <c r="D1995" s="814" t="s">
        <v>3204</v>
      </c>
      <c r="E1995" s="41"/>
      <c r="F1995" s="400" t="str">
        <f>IF(LEN('Verification Report'!W1998)=0,"",'Verification Report'!W1998)</f>
        <v/>
      </c>
      <c r="G1995" t="s">
        <v>247</v>
      </c>
    </row>
    <row r="1996" spans="1:7" ht="15.5" hidden="1" thickTop="1" thickBot="1" x14ac:dyDescent="0.4">
      <c r="A1996" s="93"/>
      <c r="B1996" s="133"/>
      <c r="C1996" s="133"/>
      <c r="D1996" s="815"/>
      <c r="E1996" s="41"/>
      <c r="G1996" t="s">
        <v>247</v>
      </c>
    </row>
    <row r="1997" spans="1:7" ht="15.5" hidden="1" thickTop="1" thickBot="1" x14ac:dyDescent="0.4">
      <c r="A1997" s="93"/>
      <c r="B1997" s="129" t="s">
        <v>258</v>
      </c>
      <c r="C1997" s="133"/>
      <c r="D1997" s="228" t="s">
        <v>3205</v>
      </c>
      <c r="E1997" s="41"/>
      <c r="F1997" s="400" t="str">
        <f>IF(LEN('Verification Report'!W2000)=0,"",'Verification Report'!W2000)</f>
        <v/>
      </c>
      <c r="G1997" t="s">
        <v>247</v>
      </c>
    </row>
    <row r="1998" spans="1:7" ht="15.5" hidden="1" thickTop="1" thickBot="1" x14ac:dyDescent="0.4">
      <c r="A1998" s="93"/>
      <c r="B1998" s="19" t="s">
        <v>260</v>
      </c>
      <c r="C1998" s="4"/>
      <c r="D1998" s="90" t="s">
        <v>3206</v>
      </c>
      <c r="E1998" s="41"/>
      <c r="F1998" s="400" t="str">
        <f>IF(LEN('Verification Report'!W2001)=0,"",'Verification Report'!W2001)</f>
        <v/>
      </c>
      <c r="G1998" t="s">
        <v>247</v>
      </c>
    </row>
    <row r="1999" spans="1:7" ht="15.5" hidden="1" thickTop="1" thickBot="1" x14ac:dyDescent="0.4">
      <c r="A1999" s="104"/>
      <c r="B1999" s="104"/>
      <c r="C1999" s="104"/>
      <c r="D1999" s="323" t="s">
        <v>3663</v>
      </c>
      <c r="E1999" s="104"/>
      <c r="G1999" t="s">
        <v>247</v>
      </c>
    </row>
    <row r="2000" spans="1:7" ht="15" hidden="1" customHeight="1" x14ac:dyDescent="0.35">
      <c r="A2000" s="117" t="s">
        <v>3207</v>
      </c>
      <c r="B2000" s="118"/>
      <c r="C2000" s="118"/>
      <c r="D2000" s="905" t="s">
        <v>3208</v>
      </c>
      <c r="E2000" s="552">
        <f>'Verification Report'!O2001</f>
        <v>0</v>
      </c>
      <c r="F2000" s="400" t="str">
        <f>IF(LEN('Verification Report'!W2003)=0,"",'Verification Report'!W2003)</f>
        <v/>
      </c>
      <c r="G2000" t="s">
        <v>247</v>
      </c>
    </row>
    <row r="2001" spans="1:7" ht="15.5" hidden="1" thickTop="1" thickBot="1" x14ac:dyDescent="0.4">
      <c r="A2001" s="93"/>
      <c r="B2001" s="4"/>
      <c r="C2001" s="4"/>
      <c r="D2001" s="838"/>
      <c r="E2001" s="41"/>
      <c r="G2001" t="s">
        <v>247</v>
      </c>
    </row>
    <row r="2002" spans="1:7" ht="15" hidden="1" customHeight="1" x14ac:dyDescent="0.35">
      <c r="A2002" s="93"/>
      <c r="B2002" s="4"/>
      <c r="C2002" s="4"/>
      <c r="D2002" s="955" t="s">
        <v>3209</v>
      </c>
      <c r="E2002" s="41"/>
      <c r="G2002" t="s">
        <v>247</v>
      </c>
    </row>
    <row r="2003" spans="1:7" ht="15.5" hidden="1" thickTop="1" thickBot="1" x14ac:dyDescent="0.4">
      <c r="A2003" s="93"/>
      <c r="B2003" s="4"/>
      <c r="C2003" s="4"/>
      <c r="D2003" s="955"/>
      <c r="E2003" s="41"/>
      <c r="G2003" t="s">
        <v>247</v>
      </c>
    </row>
    <row r="2004" spans="1:7" ht="15.5" hidden="1" thickTop="1" thickBot="1" x14ac:dyDescent="0.4">
      <c r="A2004" s="320"/>
      <c r="B2004" s="133"/>
      <c r="C2004" s="133"/>
      <c r="D2004" s="323" t="s">
        <v>3758</v>
      </c>
      <c r="E2004" s="546"/>
      <c r="G2004" t="s">
        <v>247</v>
      </c>
    </row>
    <row r="2005" spans="1:7" ht="15" hidden="1" customHeight="1" x14ac:dyDescent="0.35">
      <c r="A2005" s="30" t="s">
        <v>3210</v>
      </c>
      <c r="B2005" s="4"/>
      <c r="C2005" s="4"/>
      <c r="D2005" s="838" t="s">
        <v>5591</v>
      </c>
      <c r="E2005" s="41">
        <f>'Verification Report'!O2006</f>
        <v>0</v>
      </c>
      <c r="F2005" s="400" t="str">
        <f>IF(LEN('Verification Report'!W2008)=0,"",'Verification Report'!W2008)</f>
        <v/>
      </c>
      <c r="G2005" t="s">
        <v>247</v>
      </c>
    </row>
    <row r="2006" spans="1:7" ht="15.5" hidden="1" thickTop="1" thickBot="1" x14ac:dyDescent="0.4">
      <c r="A2006" s="93"/>
      <c r="B2006" s="4"/>
      <c r="C2006" s="4"/>
      <c r="D2006" s="838"/>
      <c r="E2006" s="41"/>
      <c r="G2006" t="s">
        <v>247</v>
      </c>
    </row>
    <row r="2007" spans="1:7" ht="15.5" hidden="1" thickTop="1" thickBot="1" x14ac:dyDescent="0.4">
      <c r="A2007" s="93"/>
      <c r="B2007" s="4"/>
      <c r="C2007" s="4"/>
      <c r="D2007" s="838"/>
      <c r="E2007" s="41"/>
      <c r="G2007" t="s">
        <v>247</v>
      </c>
    </row>
    <row r="2008" spans="1:7" ht="15.5" hidden="1" thickTop="1" thickBot="1" x14ac:dyDescent="0.4">
      <c r="A2008" s="93"/>
      <c r="B2008" s="4"/>
      <c r="C2008" s="4"/>
      <c r="D2008" s="838"/>
      <c r="E2008" s="41"/>
      <c r="G2008" t="s">
        <v>247</v>
      </c>
    </row>
    <row r="2009" spans="1:7" ht="15.5" hidden="1" thickTop="1" thickBot="1" x14ac:dyDescent="0.4">
      <c r="A2009" s="93"/>
      <c r="B2009" s="4"/>
      <c r="C2009" s="4"/>
      <c r="D2009" s="838"/>
      <c r="E2009" s="41"/>
      <c r="G2009" t="s">
        <v>247</v>
      </c>
    </row>
    <row r="2010" spans="1:7" ht="15.5" hidden="1" thickTop="1" thickBot="1" x14ac:dyDescent="0.4">
      <c r="A2010" s="294"/>
      <c r="B2010" s="160"/>
      <c r="C2010" s="160"/>
      <c r="D2010" s="849"/>
      <c r="E2010" s="72"/>
      <c r="G2010" t="s">
        <v>247</v>
      </c>
    </row>
    <row r="2011" spans="1:7" ht="15.75" hidden="1" customHeight="1" thickTop="1" x14ac:dyDescent="0.35">
      <c r="A2011" s="144">
        <v>901.1</v>
      </c>
      <c r="B2011" s="4"/>
      <c r="C2011" s="4"/>
      <c r="D2011" s="838" t="s">
        <v>3212</v>
      </c>
      <c r="E2011" s="41">
        <f>'Verification Report'!O2012</f>
        <v>0</v>
      </c>
      <c r="G2011" t="s">
        <v>247</v>
      </c>
    </row>
    <row r="2012" spans="1:7" ht="15.5" hidden="1" thickTop="1" thickBot="1" x14ac:dyDescent="0.4">
      <c r="A2012" s="93"/>
      <c r="B2012" s="4"/>
      <c r="C2012" s="4"/>
      <c r="D2012" s="838"/>
      <c r="E2012" s="41"/>
      <c r="G2012" t="s">
        <v>247</v>
      </c>
    </row>
    <row r="2013" spans="1:7" ht="15.5" hidden="1" thickTop="1" thickBot="1" x14ac:dyDescent="0.4">
      <c r="A2013" s="93"/>
      <c r="B2013" s="4"/>
      <c r="C2013" s="4"/>
      <c r="D2013" s="838"/>
      <c r="E2013" s="41"/>
      <c r="G2013" t="s">
        <v>247</v>
      </c>
    </row>
    <row r="2014" spans="1:7" ht="15" hidden="1" customHeight="1" x14ac:dyDescent="0.35">
      <c r="A2014" s="93"/>
      <c r="B2014" s="19" t="s">
        <v>256</v>
      </c>
      <c r="C2014" s="4"/>
      <c r="D2014" s="814" t="s">
        <v>5592</v>
      </c>
      <c r="E2014" s="41"/>
      <c r="F2014" s="400" t="str">
        <f>IF(LEN('Verification Report'!W2017)=0,"",'Verification Report'!W2017)</f>
        <v/>
      </c>
      <c r="G2014" t="s">
        <v>247</v>
      </c>
    </row>
    <row r="2015" spans="1:7" ht="15.5" hidden="1" thickTop="1" thickBot="1" x14ac:dyDescent="0.4">
      <c r="A2015" s="93"/>
      <c r="B2015" s="4"/>
      <c r="C2015" s="4"/>
      <c r="D2015" s="814"/>
      <c r="E2015" s="41"/>
      <c r="G2015" t="s">
        <v>247</v>
      </c>
    </row>
    <row r="2016" spans="1:7" ht="15.5" hidden="1" thickTop="1" thickBot="1" x14ac:dyDescent="0.4">
      <c r="A2016" s="93"/>
      <c r="B2016" s="4"/>
      <c r="C2016" s="4"/>
      <c r="D2016" s="814"/>
      <c r="E2016" s="41"/>
      <c r="G2016" t="s">
        <v>247</v>
      </c>
    </row>
    <row r="2017" spans="1:7" ht="15.5" hidden="1" thickTop="1" thickBot="1" x14ac:dyDescent="0.4">
      <c r="A2017" s="93"/>
      <c r="B2017" s="4"/>
      <c r="C2017" s="4"/>
      <c r="D2017" s="814"/>
      <c r="E2017" s="41"/>
      <c r="G2017" t="s">
        <v>247</v>
      </c>
    </row>
    <row r="2018" spans="1:7" ht="15.5" hidden="1" thickTop="1" thickBot="1" x14ac:dyDescent="0.4">
      <c r="A2018" s="93"/>
      <c r="B2018" s="133"/>
      <c r="C2018" s="133"/>
      <c r="D2018" s="815"/>
      <c r="E2018" s="41"/>
      <c r="G2018" t="s">
        <v>247</v>
      </c>
    </row>
    <row r="2019" spans="1:7" ht="15.5" hidden="1" thickTop="1" thickBot="1" x14ac:dyDescent="0.4">
      <c r="A2019" s="93"/>
      <c r="B2019" s="129" t="s">
        <v>258</v>
      </c>
      <c r="C2019" s="133"/>
      <c r="D2019" s="228" t="s">
        <v>3214</v>
      </c>
      <c r="E2019" s="41"/>
      <c r="F2019" s="400" t="str">
        <f>IF(LEN('Verification Report'!W2022)=0,"",'Verification Report'!W2022)</f>
        <v/>
      </c>
      <c r="G2019" t="s">
        <v>247</v>
      </c>
    </row>
    <row r="2020" spans="1:7" ht="15" hidden="1" customHeight="1" x14ac:dyDescent="0.35">
      <c r="A2020" s="93"/>
      <c r="B2020" s="19" t="s">
        <v>260</v>
      </c>
      <c r="C2020" s="4"/>
      <c r="D2020" s="814" t="s">
        <v>3215</v>
      </c>
      <c r="E2020" s="41"/>
      <c r="F2020" s="400" t="str">
        <f>IF(LEN('Verification Report'!W2023)=0,"",'Verification Report'!W2023)</f>
        <v/>
      </c>
      <c r="G2020" t="s">
        <v>247</v>
      </c>
    </row>
    <row r="2021" spans="1:7" ht="15.5" hidden="1" thickTop="1" thickBot="1" x14ac:dyDescent="0.4">
      <c r="A2021" s="93"/>
      <c r="B2021" s="4"/>
      <c r="C2021" s="4"/>
      <c r="D2021" s="814"/>
      <c r="E2021" s="41"/>
      <c r="G2021" t="s">
        <v>247</v>
      </c>
    </row>
    <row r="2022" spans="1:7" ht="15.5" hidden="1" thickTop="1" thickBot="1" x14ac:dyDescent="0.4">
      <c r="A2022" s="93"/>
      <c r="B2022" s="4"/>
      <c r="C2022" s="4"/>
      <c r="D2022" s="814"/>
      <c r="E2022" s="41"/>
      <c r="G2022" t="s">
        <v>247</v>
      </c>
    </row>
    <row r="2023" spans="1:7" ht="15.5" hidden="1" thickTop="1" thickBot="1" x14ac:dyDescent="0.4">
      <c r="A2023" s="294"/>
      <c r="B2023" s="160"/>
      <c r="C2023" s="160"/>
      <c r="D2023" s="295" t="s">
        <v>3759</v>
      </c>
      <c r="E2023" s="72"/>
      <c r="G2023" t="s">
        <v>247</v>
      </c>
    </row>
    <row r="2024" spans="1:7" ht="15.75" hidden="1" customHeight="1" thickTop="1" x14ac:dyDescent="0.35">
      <c r="A2024" s="106">
        <v>901.11</v>
      </c>
      <c r="B2024" s="107"/>
      <c r="C2024" s="107"/>
      <c r="D2024" s="837" t="s">
        <v>5593</v>
      </c>
      <c r="E2024" s="545">
        <f>'Verification Report'!O2025</f>
        <v>0</v>
      </c>
      <c r="F2024" s="400" t="str">
        <f>IF(LEN('Verification Report'!W2027)=0,"",'Verification Report'!W2027)</f>
        <v/>
      </c>
      <c r="G2024" t="s">
        <v>247</v>
      </c>
    </row>
    <row r="2025" spans="1:7" ht="15.5" hidden="1" thickTop="1" thickBot="1" x14ac:dyDescent="0.4">
      <c r="A2025" s="93"/>
      <c r="B2025" s="4"/>
      <c r="C2025" s="4"/>
      <c r="D2025" s="838"/>
      <c r="E2025" s="41"/>
      <c r="G2025" t="s">
        <v>247</v>
      </c>
    </row>
    <row r="2026" spans="1:7" ht="15.5" hidden="1" thickTop="1" thickBot="1" x14ac:dyDescent="0.4">
      <c r="A2026" s="93"/>
      <c r="B2026" s="4"/>
      <c r="C2026" s="4"/>
      <c r="D2026" s="838"/>
      <c r="E2026" s="41"/>
      <c r="G2026" t="s">
        <v>247</v>
      </c>
    </row>
    <row r="2027" spans="1:7" ht="15.5" hidden="1" thickTop="1" thickBot="1" x14ac:dyDescent="0.4">
      <c r="A2027" s="93"/>
      <c r="B2027" s="4"/>
      <c r="C2027" s="4"/>
      <c r="D2027" s="838"/>
      <c r="E2027" s="41"/>
      <c r="G2027" t="s">
        <v>247</v>
      </c>
    </row>
    <row r="2028" spans="1:7" ht="15.5" hidden="1" thickTop="1" thickBot="1" x14ac:dyDescent="0.4">
      <c r="A2028" s="294"/>
      <c r="B2028" s="160"/>
      <c r="C2028" s="160"/>
      <c r="D2028" s="849"/>
      <c r="E2028" s="72"/>
      <c r="G2028" t="s">
        <v>247</v>
      </c>
    </row>
    <row r="2029" spans="1:7" ht="15.75" hidden="1" customHeight="1" thickTop="1" x14ac:dyDescent="0.35">
      <c r="A2029" s="106">
        <v>901.12</v>
      </c>
      <c r="B2029" s="4"/>
      <c r="C2029" s="4"/>
      <c r="D2029" s="967" t="s">
        <v>4487</v>
      </c>
      <c r="E2029" s="545">
        <f ca="1">'Verification Report'!O2030</f>
        <v>0</v>
      </c>
      <c r="F2029" s="400" t="str">
        <f>IF(LEN('Verification Report'!W2032)=0,"",'Verification Report'!W2032)</f>
        <v/>
      </c>
      <c r="G2029" t="s">
        <v>247</v>
      </c>
    </row>
    <row r="2030" spans="1:7" ht="15.5" hidden="1" thickTop="1" thickBot="1" x14ac:dyDescent="0.4">
      <c r="A2030" s="93"/>
      <c r="B2030" s="4"/>
      <c r="C2030" s="4"/>
      <c r="D2030" s="967"/>
      <c r="E2030" s="41"/>
      <c r="G2030" t="s">
        <v>247</v>
      </c>
    </row>
    <row r="2031" spans="1:7" ht="15.5" hidden="1" thickTop="1" thickBot="1" x14ac:dyDescent="0.4">
      <c r="A2031" s="93"/>
      <c r="B2031" s="4"/>
      <c r="C2031" s="4"/>
      <c r="D2031" s="967"/>
      <c r="E2031" s="41"/>
      <c r="G2031" t="s">
        <v>247</v>
      </c>
    </row>
    <row r="2032" spans="1:7" ht="15.5" hidden="1" thickTop="1" thickBot="1" x14ac:dyDescent="0.4">
      <c r="A2032" s="93"/>
      <c r="B2032" s="4"/>
      <c r="C2032" s="4"/>
      <c r="D2032" s="967"/>
      <c r="E2032" s="72"/>
      <c r="G2032" t="s">
        <v>247</v>
      </c>
    </row>
    <row r="2033" spans="1:9" ht="15.75" hidden="1" customHeight="1" thickTop="1" x14ac:dyDescent="0.35">
      <c r="A2033" s="106">
        <v>901.13</v>
      </c>
      <c r="B2033" s="107"/>
      <c r="C2033" s="107"/>
      <c r="D2033" s="837" t="s">
        <v>4490</v>
      </c>
      <c r="E2033" s="545"/>
      <c r="F2033" s="400" t="str">
        <f>IF(LEN('Verification Report'!W2036)=0,"",'Verification Report'!W2036)</f>
        <v/>
      </c>
      <c r="G2033" t="s">
        <v>247</v>
      </c>
    </row>
    <row r="2034" spans="1:9" ht="15.5" hidden="1" thickTop="1" thickBot="1" x14ac:dyDescent="0.4">
      <c r="A2034" s="294"/>
      <c r="B2034" s="160"/>
      <c r="C2034" s="160"/>
      <c r="D2034" s="849"/>
      <c r="E2034" s="72"/>
      <c r="G2034" t="s">
        <v>247</v>
      </c>
    </row>
    <row r="2035" spans="1:9" ht="15.75" customHeight="1" thickTop="1" x14ac:dyDescent="0.35">
      <c r="A2035" s="30">
        <v>901.14</v>
      </c>
      <c r="B2035" s="107"/>
      <c r="C2035" s="107"/>
      <c r="D2035" s="837" t="s">
        <v>4489</v>
      </c>
      <c r="E2035" s="545">
        <f ca="1">'Verification Report'!O2036</f>
        <v>0</v>
      </c>
      <c r="G2035" s="366" t="str">
        <f ca="1">IF(E2035&gt;0,"P","")</f>
        <v/>
      </c>
    </row>
    <row r="2036" spans="1:9" x14ac:dyDescent="0.35">
      <c r="A2036" s="93"/>
      <c r="B2036" s="4"/>
      <c r="C2036" s="4"/>
      <c r="D2036" s="838"/>
      <c r="E2036" s="41"/>
      <c r="G2036" s="366" t="str">
        <f ca="1">G2035</f>
        <v/>
      </c>
    </row>
    <row r="2037" spans="1:9" ht="15" customHeight="1" x14ac:dyDescent="0.35">
      <c r="A2037" s="93"/>
      <c r="B2037" s="129" t="s">
        <v>256</v>
      </c>
      <c r="C2037" s="133"/>
      <c r="D2037" s="228" t="s">
        <v>3217</v>
      </c>
      <c r="E2037" s="41"/>
      <c r="F2037" s="400" t="str">
        <f>IF(LEN('Verification Report'!W2040)=0,"",'Verification Report'!W2040)</f>
        <v/>
      </c>
      <c r="G2037" s="366" t="str">
        <f>IF(AND(LEN(F2037)&gt;0,NOT(F2037=FALSE)),"P","")</f>
        <v/>
      </c>
      <c r="H2037" s="611" t="s">
        <v>5099</v>
      </c>
      <c r="I2037" s="350"/>
    </row>
    <row r="2038" spans="1:9" ht="15" hidden="1" customHeight="1" thickBot="1" x14ac:dyDescent="0.4">
      <c r="A2038" s="294"/>
      <c r="B2038" s="115" t="s">
        <v>258</v>
      </c>
      <c r="C2038" s="160"/>
      <c r="D2038" s="229" t="s">
        <v>3218</v>
      </c>
      <c r="E2038" s="72"/>
      <c r="F2038" s="400" t="str">
        <f>IF(LEN('Verification Report'!W2041)=0,"",'Verification Report'!W2041)</f>
        <v/>
      </c>
      <c r="G2038" t="s">
        <v>247</v>
      </c>
    </row>
    <row r="2039" spans="1:9" ht="15.75" hidden="1" customHeight="1" thickTop="1" x14ac:dyDescent="0.35">
      <c r="A2039" s="30">
        <v>901.15</v>
      </c>
      <c r="B2039" s="4"/>
      <c r="C2039" s="4"/>
      <c r="D2039" s="838" t="s">
        <v>4488</v>
      </c>
      <c r="E2039" s="41"/>
      <c r="G2039" t="s">
        <v>247</v>
      </c>
    </row>
    <row r="2040" spans="1:9" hidden="1" x14ac:dyDescent="0.35">
      <c r="A2040" s="93"/>
      <c r="B2040" s="4"/>
      <c r="C2040" s="4"/>
      <c r="D2040" s="838"/>
      <c r="E2040" s="41"/>
      <c r="G2040" t="s">
        <v>247</v>
      </c>
    </row>
    <row r="2041" spans="1:9" ht="15" hidden="1" customHeight="1" x14ac:dyDescent="0.35">
      <c r="A2041" s="93"/>
      <c r="B2041" s="19" t="s">
        <v>256</v>
      </c>
      <c r="C2041" s="4"/>
      <c r="D2041" s="814" t="s">
        <v>3219</v>
      </c>
      <c r="E2041" s="41">
        <f ca="1">'Verification Report'!O2042</f>
        <v>0</v>
      </c>
      <c r="F2041" s="400" t="str">
        <f>IF(LEN('Verification Report'!W2044)=0,"",'Verification Report'!W2044)</f>
        <v/>
      </c>
      <c r="G2041" t="s">
        <v>247</v>
      </c>
    </row>
    <row r="2042" spans="1:9" hidden="1" x14ac:dyDescent="0.35">
      <c r="A2042" s="93"/>
      <c r="B2042" s="133"/>
      <c r="C2042" s="133"/>
      <c r="D2042" s="815"/>
      <c r="E2042" s="546"/>
      <c r="G2042" t="s">
        <v>247</v>
      </c>
    </row>
    <row r="2043" spans="1:9" ht="15" hidden="1" customHeight="1" x14ac:dyDescent="0.35">
      <c r="A2043" s="93"/>
      <c r="B2043" s="19" t="s">
        <v>258</v>
      </c>
      <c r="C2043" s="4"/>
      <c r="D2043" s="814" t="s">
        <v>3220</v>
      </c>
      <c r="E2043" s="41">
        <f ca="1">'Verification Report'!O2044</f>
        <v>0</v>
      </c>
      <c r="F2043" s="400" t="str">
        <f>IF(LEN('Verification Report'!W2046)=0,"",'Verification Report'!W2046)</f>
        <v/>
      </c>
      <c r="G2043" t="s">
        <v>247</v>
      </c>
    </row>
    <row r="2044" spans="1:9" hidden="1" x14ac:dyDescent="0.35">
      <c r="A2044" s="93"/>
      <c r="B2044" s="4"/>
      <c r="C2044" s="4"/>
      <c r="D2044" s="814"/>
      <c r="E2044" s="41"/>
      <c r="G2044" t="s">
        <v>247</v>
      </c>
    </row>
    <row r="2045" spans="1:9" ht="18.5" hidden="1" x14ac:dyDescent="0.45">
      <c r="A2045" s="10" t="s">
        <v>3221</v>
      </c>
      <c r="B2045" s="15"/>
      <c r="C2045" s="15"/>
      <c r="D2045" s="44"/>
      <c r="E2045" s="544"/>
      <c r="G2045" t="s">
        <v>247</v>
      </c>
    </row>
    <row r="2046" spans="1:9" ht="15" hidden="1" thickBot="1" x14ac:dyDescent="0.4">
      <c r="A2046" s="292">
        <v>902</v>
      </c>
      <c r="B2046" s="160"/>
      <c r="C2046" s="160"/>
      <c r="D2046" s="275" t="s">
        <v>3222</v>
      </c>
      <c r="E2046" s="72"/>
      <c r="G2046" t="s">
        <v>247</v>
      </c>
    </row>
    <row r="2047" spans="1:9" hidden="1" x14ac:dyDescent="0.35">
      <c r="A2047" s="30">
        <v>902.1</v>
      </c>
      <c r="B2047" s="4"/>
      <c r="C2047" s="4"/>
      <c r="D2047" s="95" t="s">
        <v>3223</v>
      </c>
      <c r="E2047" s="41"/>
      <c r="G2047" t="s">
        <v>247</v>
      </c>
    </row>
    <row r="2048" spans="1:9" hidden="1" x14ac:dyDescent="0.35">
      <c r="A2048" s="30" t="s">
        <v>3806</v>
      </c>
      <c r="B2048" s="4"/>
      <c r="C2048" s="4"/>
      <c r="D2048" s="95" t="s">
        <v>3807</v>
      </c>
      <c r="E2048" s="41"/>
      <c r="G2048" t="s">
        <v>247</v>
      </c>
    </row>
    <row r="2049" spans="1:7" ht="15" hidden="1" customHeight="1" x14ac:dyDescent="0.35">
      <c r="A2049" s="93"/>
      <c r="B2049" s="19" t="s">
        <v>256</v>
      </c>
      <c r="C2049" s="4"/>
      <c r="D2049" s="814" t="s">
        <v>3224</v>
      </c>
      <c r="E2049" s="41"/>
      <c r="F2049" s="400" t="str">
        <f>IF(LEN('Verification Report'!W2052)=0,"",'Verification Report'!W2052)</f>
        <v/>
      </c>
      <c r="G2049" t="s">
        <v>247</v>
      </c>
    </row>
    <row r="2050" spans="1:7" hidden="1" x14ac:dyDescent="0.35">
      <c r="A2050" s="93"/>
      <c r="B2050" s="4"/>
      <c r="C2050" s="4"/>
      <c r="D2050" s="814"/>
      <c r="E2050" s="41"/>
      <c r="G2050" t="s">
        <v>247</v>
      </c>
    </row>
    <row r="2051" spans="1:7" ht="15" hidden="1" customHeight="1" x14ac:dyDescent="0.35">
      <c r="A2051" s="93"/>
      <c r="B2051" s="19"/>
      <c r="C2051" s="19" t="s">
        <v>121</v>
      </c>
      <c r="D2051" s="814" t="s">
        <v>3650</v>
      </c>
      <c r="E2051" s="41">
        <f>'Verification Report'!O2052</f>
        <v>0</v>
      </c>
      <c r="F2051" s="400" t="str">
        <f>IF(LEN('Verification Report'!W2054)=0,"",'Verification Report'!W2054)</f>
        <v/>
      </c>
      <c r="G2051" t="s">
        <v>247</v>
      </c>
    </row>
    <row r="2052" spans="1:7" hidden="1" x14ac:dyDescent="0.35">
      <c r="A2052" s="93"/>
      <c r="B2052" s="129"/>
      <c r="C2052" s="133"/>
      <c r="D2052" s="815"/>
      <c r="E2052" s="546"/>
      <c r="G2052" t="s">
        <v>247</v>
      </c>
    </row>
    <row r="2053" spans="1:7" ht="15" hidden="1" customHeight="1" x14ac:dyDescent="0.35">
      <c r="A2053" s="93"/>
      <c r="B2053" s="19" t="s">
        <v>258</v>
      </c>
      <c r="C2053" s="4"/>
      <c r="D2053" s="814" t="s">
        <v>3225</v>
      </c>
      <c r="E2053" s="41"/>
      <c r="F2053" s="400" t="str">
        <f>IF(LEN('Verification Report'!W2056)=0,"",'Verification Report'!W2056)</f>
        <v/>
      </c>
      <c r="G2053" t="s">
        <v>247</v>
      </c>
    </row>
    <row r="2054" spans="1:7" hidden="1" x14ac:dyDescent="0.35">
      <c r="A2054" s="93"/>
      <c r="B2054" s="129"/>
      <c r="C2054" s="133"/>
      <c r="D2054" s="815"/>
      <c r="E2054" s="546"/>
      <c r="G2054" t="s">
        <v>247</v>
      </c>
    </row>
    <row r="2055" spans="1:7" ht="15" hidden="1" customHeight="1" x14ac:dyDescent="0.35">
      <c r="A2055" s="93"/>
      <c r="B2055" s="19" t="s">
        <v>260</v>
      </c>
      <c r="C2055" s="4"/>
      <c r="D2055" s="814" t="s">
        <v>3226</v>
      </c>
      <c r="E2055" s="41">
        <f>'Verification Report'!O2056</f>
        <v>0</v>
      </c>
      <c r="F2055" s="400" t="str">
        <f>IF(LEN('Verification Report'!W2058)=0,"",'Verification Report'!W2058)</f>
        <v/>
      </c>
      <c r="G2055" t="s">
        <v>247</v>
      </c>
    </row>
    <row r="2056" spans="1:7" hidden="1" x14ac:dyDescent="0.35">
      <c r="A2056" s="93"/>
      <c r="B2056" s="19"/>
      <c r="C2056" s="4"/>
      <c r="D2056" s="814"/>
      <c r="E2056" s="41"/>
      <c r="G2056" t="s">
        <v>247</v>
      </c>
    </row>
    <row r="2057" spans="1:7" hidden="1" x14ac:dyDescent="0.35">
      <c r="A2057" s="320"/>
      <c r="B2057" s="133"/>
      <c r="C2057" s="133"/>
      <c r="D2057" s="815"/>
      <c r="E2057" s="546"/>
      <c r="G2057" t="s">
        <v>247</v>
      </c>
    </row>
    <row r="2058" spans="1:7" ht="15" hidden="1" customHeight="1" x14ac:dyDescent="0.35">
      <c r="A2058" s="117" t="s">
        <v>3227</v>
      </c>
      <c r="B2058" s="118"/>
      <c r="C2058" s="118"/>
      <c r="D2058" s="905" t="s">
        <v>3228</v>
      </c>
      <c r="E2058" s="552">
        <f>'Verification Report'!O2059</f>
        <v>0</v>
      </c>
      <c r="G2058" t="s">
        <v>247</v>
      </c>
    </row>
    <row r="2059" spans="1:7" hidden="1" x14ac:dyDescent="0.35">
      <c r="A2059" s="93"/>
      <c r="B2059" s="4"/>
      <c r="C2059" s="4"/>
      <c r="D2059" s="838"/>
      <c r="E2059" s="41"/>
      <c r="F2059" s="400" t="str">
        <f>IF(LEN('Verification Report'!W2062)=0,"",'Verification Report'!W2062)</f>
        <v/>
      </c>
      <c r="G2059" t="s">
        <v>247</v>
      </c>
    </row>
    <row r="2060" spans="1:7" hidden="1" x14ac:dyDescent="0.35">
      <c r="A2060" s="93"/>
      <c r="B2060" s="129" t="s">
        <v>256</v>
      </c>
      <c r="C2060" s="133"/>
      <c r="D2060" s="228" t="s">
        <v>3230</v>
      </c>
      <c r="E2060" s="41"/>
      <c r="G2060" t="s">
        <v>247</v>
      </c>
    </row>
    <row r="2061" spans="1:7" hidden="1" x14ac:dyDescent="0.35">
      <c r="A2061" s="320"/>
      <c r="B2061" s="129" t="s">
        <v>258</v>
      </c>
      <c r="C2061" s="133"/>
      <c r="D2061" s="228" t="s">
        <v>3231</v>
      </c>
      <c r="E2061" s="546"/>
      <c r="F2061" s="400" t="str">
        <f>IF(LEN('Verification Report'!W2064)=0,"",'Verification Report'!W2064)</f>
        <v/>
      </c>
      <c r="G2061" t="s">
        <v>247</v>
      </c>
    </row>
    <row r="2062" spans="1:7" ht="15" hidden="1" customHeight="1" x14ac:dyDescent="0.35">
      <c r="A2062" s="117" t="s">
        <v>3232</v>
      </c>
      <c r="B2062" s="118"/>
      <c r="C2062" s="118"/>
      <c r="D2062" s="905" t="s">
        <v>3233</v>
      </c>
      <c r="E2062" s="552">
        <f>'Verification Report'!O2063</f>
        <v>0</v>
      </c>
      <c r="F2062" s="400" t="str">
        <f>IF(LEN('Verification Report'!W2065)=0,"",'Verification Report'!W2065)</f>
        <v/>
      </c>
      <c r="G2062" t="s">
        <v>247</v>
      </c>
    </row>
    <row r="2063" spans="1:7" hidden="1" x14ac:dyDescent="0.35">
      <c r="A2063" s="93"/>
      <c r="B2063" s="4"/>
      <c r="C2063" s="4"/>
      <c r="D2063" s="838"/>
      <c r="E2063" s="41"/>
      <c r="G2063" t="s">
        <v>247</v>
      </c>
    </row>
    <row r="2064" spans="1:7" hidden="1" x14ac:dyDescent="0.35">
      <c r="A2064" s="93"/>
      <c r="B2064" s="4"/>
      <c r="C2064" s="19" t="s">
        <v>121</v>
      </c>
      <c r="D2064" s="90" t="s">
        <v>3234</v>
      </c>
      <c r="E2064" s="41"/>
      <c r="G2064" t="s">
        <v>247</v>
      </c>
    </row>
    <row r="2065" spans="1:7" ht="15" hidden="1" customHeight="1" x14ac:dyDescent="0.35">
      <c r="A2065" s="320"/>
      <c r="B2065" s="133"/>
      <c r="C2065" s="129" t="s">
        <v>122</v>
      </c>
      <c r="D2065" s="228" t="s">
        <v>3235</v>
      </c>
      <c r="E2065" s="546"/>
      <c r="G2065" t="s">
        <v>247</v>
      </c>
    </row>
    <row r="2066" spans="1:7" hidden="1" x14ac:dyDescent="0.35">
      <c r="A2066" s="117" t="s">
        <v>3236</v>
      </c>
      <c r="B2066" s="118"/>
      <c r="C2066" s="118"/>
      <c r="D2066" s="325" t="s">
        <v>3237</v>
      </c>
      <c r="E2066" s="552">
        <f>'Verification Report'!O2067</f>
        <v>0</v>
      </c>
      <c r="G2066" t="s">
        <v>247</v>
      </c>
    </row>
    <row r="2067" spans="1:7" hidden="1" x14ac:dyDescent="0.35">
      <c r="A2067" s="93"/>
      <c r="B2067" s="19" t="s">
        <v>256</v>
      </c>
      <c r="C2067" s="4"/>
      <c r="D2067" s="90" t="s">
        <v>3653</v>
      </c>
      <c r="E2067" s="41"/>
      <c r="G2067" t="s">
        <v>247</v>
      </c>
    </row>
    <row r="2068" spans="1:7" hidden="1" x14ac:dyDescent="0.35">
      <c r="A2068" s="93"/>
      <c r="B2068" s="129"/>
      <c r="C2068" s="133"/>
      <c r="D2068" s="142" t="s">
        <v>3238</v>
      </c>
      <c r="E2068" s="41"/>
      <c r="F2068" s="400" t="str">
        <f>IF(LEN('Verification Report'!W2071)=0,"",'Verification Report'!W2071)</f>
        <v/>
      </c>
      <c r="G2068" t="s">
        <v>247</v>
      </c>
    </row>
    <row r="2069" spans="1:7" hidden="1" x14ac:dyDescent="0.35">
      <c r="A2069" s="93"/>
      <c r="B2069" s="19" t="s">
        <v>258</v>
      </c>
      <c r="C2069" s="4"/>
      <c r="D2069" s="90" t="s">
        <v>3239</v>
      </c>
      <c r="E2069" s="41"/>
      <c r="G2069" t="s">
        <v>247</v>
      </c>
    </row>
    <row r="2070" spans="1:7" hidden="1" x14ac:dyDescent="0.35">
      <c r="A2070" s="320"/>
      <c r="B2070" s="133"/>
      <c r="C2070" s="133"/>
      <c r="D2070" s="142" t="s">
        <v>3238</v>
      </c>
      <c r="E2070" s="546"/>
      <c r="F2070" s="400" t="str">
        <f>IF(LEN('Verification Report'!W2073)=0,"",'Verification Report'!W2073)</f>
        <v/>
      </c>
      <c r="G2070" t="s">
        <v>247</v>
      </c>
    </row>
    <row r="2071" spans="1:7" ht="15" hidden="1" customHeight="1" x14ac:dyDescent="0.35">
      <c r="A2071" s="30" t="s">
        <v>3240</v>
      </c>
      <c r="B2071" s="4"/>
      <c r="C2071" s="4"/>
      <c r="D2071" s="838" t="s">
        <v>3241</v>
      </c>
      <c r="E2071" s="41">
        <f>'Verification Report'!O2072</f>
        <v>0</v>
      </c>
      <c r="G2071" t="s">
        <v>247</v>
      </c>
    </row>
    <row r="2072" spans="1:7" hidden="1" x14ac:dyDescent="0.35">
      <c r="A2072" s="93"/>
      <c r="B2072" s="4"/>
      <c r="C2072" s="4"/>
      <c r="D2072" s="838"/>
      <c r="E2072" s="41"/>
      <c r="G2072" t="s">
        <v>247</v>
      </c>
    </row>
    <row r="2073" spans="1:7" ht="15" hidden="1" customHeight="1" x14ac:dyDescent="0.35">
      <c r="A2073" s="93"/>
      <c r="B2073" s="19" t="s">
        <v>256</v>
      </c>
      <c r="C2073" s="4"/>
      <c r="D2073" s="814" t="s">
        <v>4492</v>
      </c>
      <c r="E2073" s="41"/>
      <c r="F2073" s="400" t="str">
        <f>IF(LEN('Verification Report'!W2076)=0,"",'Verification Report'!W2076)</f>
        <v/>
      </c>
      <c r="G2073" t="s">
        <v>247</v>
      </c>
    </row>
    <row r="2074" spans="1:7" hidden="1" x14ac:dyDescent="0.35">
      <c r="A2074" s="93"/>
      <c r="B2074" s="129"/>
      <c r="C2074" s="133"/>
      <c r="D2074" s="815"/>
      <c r="E2074" s="41"/>
      <c r="G2074" t="s">
        <v>247</v>
      </c>
    </row>
    <row r="2075" spans="1:7" ht="15" hidden="1" customHeight="1" x14ac:dyDescent="0.35">
      <c r="A2075" s="93"/>
      <c r="B2075" s="19" t="s">
        <v>258</v>
      </c>
      <c r="C2075" s="4"/>
      <c r="D2075" s="814" t="s">
        <v>3242</v>
      </c>
      <c r="E2075" s="41"/>
      <c r="F2075" s="400" t="str">
        <f>IF(LEN('Verification Report'!W2078)=0,"",'Verification Report'!W2078)</f>
        <v/>
      </c>
      <c r="G2075" t="s">
        <v>247</v>
      </c>
    </row>
    <row r="2076" spans="1:7" hidden="1" x14ac:dyDescent="0.35">
      <c r="A2076" s="93"/>
      <c r="B2076" s="133"/>
      <c r="C2076" s="133"/>
      <c r="D2076" s="815"/>
      <c r="E2076" s="41"/>
      <c r="G2076" t="s">
        <v>247</v>
      </c>
    </row>
    <row r="2077" spans="1:7" ht="15" hidden="1" customHeight="1" x14ac:dyDescent="0.35">
      <c r="A2077" s="93"/>
      <c r="B2077" s="19" t="s">
        <v>260</v>
      </c>
      <c r="C2077" s="4"/>
      <c r="D2077" s="814" t="s">
        <v>3243</v>
      </c>
      <c r="E2077" s="41"/>
      <c r="F2077" s="400" t="str">
        <f>IF(LEN('Verification Report'!W2080)=0,"",'Verification Report'!W2080)</f>
        <v/>
      </c>
      <c r="G2077" t="s">
        <v>247</v>
      </c>
    </row>
    <row r="2078" spans="1:7" hidden="1" x14ac:dyDescent="0.35">
      <c r="A2078" s="93"/>
      <c r="B2078" s="4"/>
      <c r="C2078" s="4"/>
      <c r="D2078" s="814"/>
      <c r="E2078" s="41"/>
      <c r="G2078" t="s">
        <v>247</v>
      </c>
    </row>
    <row r="2079" spans="1:7" hidden="1" x14ac:dyDescent="0.35">
      <c r="A2079" s="320"/>
      <c r="B2079" s="133"/>
      <c r="C2079" s="133"/>
      <c r="D2079" s="815"/>
      <c r="E2079" s="546"/>
      <c r="G2079" t="s">
        <v>247</v>
      </c>
    </row>
    <row r="2080" spans="1:7" ht="15" hidden="1" customHeight="1" x14ac:dyDescent="0.35">
      <c r="A2080" s="402" t="s">
        <v>4493</v>
      </c>
      <c r="B2080" s="412"/>
      <c r="C2080" s="412"/>
      <c r="D2080" s="841" t="s">
        <v>4494</v>
      </c>
      <c r="E2080" s="41">
        <f ca="1">'Verification Report'!O2081</f>
        <v>0</v>
      </c>
      <c r="F2080" s="400" t="str">
        <f>IF(LEN('Verification Report'!W2083)=0,"",'Verification Report'!W2083)</f>
        <v/>
      </c>
      <c r="G2080" t="s">
        <v>247</v>
      </c>
    </row>
    <row r="2081" spans="1:7" hidden="1" x14ac:dyDescent="0.35">
      <c r="A2081" s="412"/>
      <c r="B2081" s="412"/>
      <c r="C2081" s="412"/>
      <c r="D2081" s="841"/>
      <c r="E2081" s="41"/>
      <c r="G2081" t="s">
        <v>247</v>
      </c>
    </row>
    <row r="2082" spans="1:7" ht="15" hidden="1" thickBot="1" x14ac:dyDescent="0.4">
      <c r="A2082" s="412"/>
      <c r="B2082" s="412"/>
      <c r="C2082" s="412"/>
      <c r="D2082" s="854"/>
      <c r="E2082" s="72"/>
      <c r="G2082" t="s">
        <v>247</v>
      </c>
    </row>
    <row r="2083" spans="1:7" ht="15" hidden="1" thickTop="1" x14ac:dyDescent="0.35">
      <c r="A2083" s="106">
        <v>902.2</v>
      </c>
      <c r="B2083" s="107"/>
      <c r="C2083" s="107"/>
      <c r="D2083" s="274" t="s">
        <v>3244</v>
      </c>
      <c r="E2083" s="545"/>
      <c r="G2083" t="s">
        <v>247</v>
      </c>
    </row>
    <row r="2084" spans="1:7" ht="15" hidden="1" customHeight="1" x14ac:dyDescent="0.35">
      <c r="A2084" s="30" t="s">
        <v>3655</v>
      </c>
      <c r="B2084" s="4"/>
      <c r="C2084" s="4"/>
      <c r="D2084" s="838" t="s">
        <v>5594</v>
      </c>
      <c r="E2084" s="41">
        <f ca="1">'Verification Report'!O2085</f>
        <v>0</v>
      </c>
      <c r="F2084" s="400" t="str">
        <f>IF(LEN('Verification Report'!W2088)=0,"",'Verification Report'!W2088)</f>
        <v/>
      </c>
      <c r="G2084" t="s">
        <v>247</v>
      </c>
    </row>
    <row r="2085" spans="1:7" hidden="1" x14ac:dyDescent="0.35">
      <c r="A2085" s="93"/>
      <c r="B2085" s="4"/>
      <c r="C2085" s="4"/>
      <c r="D2085" s="838"/>
      <c r="E2085" s="41"/>
      <c r="G2085" t="s">
        <v>247</v>
      </c>
    </row>
    <row r="2086" spans="1:7" hidden="1" x14ac:dyDescent="0.35">
      <c r="A2086" s="93"/>
      <c r="B2086" s="4"/>
      <c r="C2086" s="4"/>
      <c r="D2086" s="838"/>
      <c r="E2086" s="41"/>
      <c r="G2086" t="s">
        <v>247</v>
      </c>
    </row>
    <row r="2087" spans="1:7" hidden="1" x14ac:dyDescent="0.35">
      <c r="A2087" s="93"/>
      <c r="B2087" s="4"/>
      <c r="C2087" s="4"/>
      <c r="D2087" s="838"/>
      <c r="E2087" s="41"/>
      <c r="G2087" t="s">
        <v>247</v>
      </c>
    </row>
    <row r="2088" spans="1:7" ht="15" hidden="1" customHeight="1" x14ac:dyDescent="0.35">
      <c r="A2088" s="93"/>
      <c r="B2088" s="19" t="s">
        <v>256</v>
      </c>
      <c r="C2088" s="4"/>
      <c r="D2088" s="848" t="s">
        <v>3245</v>
      </c>
      <c r="E2088" s="41"/>
      <c r="G2088" t="s">
        <v>247</v>
      </c>
    </row>
    <row r="2089" spans="1:7" hidden="1" x14ac:dyDescent="0.35">
      <c r="A2089" s="93"/>
      <c r="B2089" s="129"/>
      <c r="C2089" s="133"/>
      <c r="D2089" s="821"/>
      <c r="E2089" s="41"/>
      <c r="G2089" t="s">
        <v>247</v>
      </c>
    </row>
    <row r="2090" spans="1:7" ht="15" hidden="1" customHeight="1" x14ac:dyDescent="0.35">
      <c r="A2090" s="93"/>
      <c r="B2090" s="19" t="s">
        <v>258</v>
      </c>
      <c r="C2090" s="4"/>
      <c r="D2090" s="814" t="s">
        <v>3246</v>
      </c>
      <c r="E2090" s="41"/>
      <c r="G2090" t="s">
        <v>247</v>
      </c>
    </row>
    <row r="2091" spans="1:7" hidden="1" x14ac:dyDescent="0.35">
      <c r="A2091" s="93"/>
      <c r="B2091" s="133"/>
      <c r="C2091" s="133"/>
      <c r="D2091" s="815"/>
      <c r="E2091" s="41"/>
      <c r="G2091" t="s">
        <v>247</v>
      </c>
    </row>
    <row r="2092" spans="1:7" hidden="1" x14ac:dyDescent="0.35">
      <c r="A2092" s="93"/>
      <c r="B2092" s="129" t="s">
        <v>260</v>
      </c>
      <c r="C2092" s="133"/>
      <c r="D2092" s="228" t="s">
        <v>3247</v>
      </c>
      <c r="E2092" s="41"/>
      <c r="G2092" t="s">
        <v>247</v>
      </c>
    </row>
    <row r="2093" spans="1:7" hidden="1" x14ac:dyDescent="0.35">
      <c r="A2093" s="93"/>
      <c r="B2093" s="129" t="s">
        <v>269</v>
      </c>
      <c r="C2093" s="133"/>
      <c r="D2093" s="228" t="s">
        <v>3248</v>
      </c>
      <c r="E2093" s="41"/>
      <c r="G2093" t="s">
        <v>247</v>
      </c>
    </row>
    <row r="2094" spans="1:7" hidden="1" x14ac:dyDescent="0.35">
      <c r="A2094" s="93"/>
      <c r="B2094" s="129" t="s">
        <v>275</v>
      </c>
      <c r="C2094" s="133"/>
      <c r="D2094" s="228" t="s">
        <v>4495</v>
      </c>
      <c r="E2094" s="41"/>
      <c r="G2094" t="s">
        <v>247</v>
      </c>
    </row>
    <row r="2095" spans="1:7" ht="15" hidden="1" customHeight="1" x14ac:dyDescent="0.35">
      <c r="A2095" s="117" t="s">
        <v>3249</v>
      </c>
      <c r="B2095" s="118"/>
      <c r="C2095" s="118"/>
      <c r="D2095" s="905" t="s">
        <v>4496</v>
      </c>
      <c r="E2095" s="552">
        <f ca="1">'Verification Report'!O2096</f>
        <v>0</v>
      </c>
      <c r="F2095" s="400" t="str">
        <f>IF(LEN('Verification Report'!W2098)=0,"",'Verification Report'!W2098)</f>
        <v/>
      </c>
      <c r="G2095" t="s">
        <v>247</v>
      </c>
    </row>
    <row r="2096" spans="1:7" hidden="1" x14ac:dyDescent="0.35">
      <c r="A2096" s="320"/>
      <c r="B2096" s="133"/>
      <c r="C2096" s="133"/>
      <c r="D2096" s="889"/>
      <c r="E2096" s="546"/>
      <c r="G2096" t="s">
        <v>247</v>
      </c>
    </row>
    <row r="2097" spans="1:7" ht="15" hidden="1" customHeight="1" x14ac:dyDescent="0.35">
      <c r="A2097" s="117" t="s">
        <v>3250</v>
      </c>
      <c r="B2097" s="118"/>
      <c r="C2097" s="118"/>
      <c r="D2097" s="905" t="s">
        <v>3251</v>
      </c>
      <c r="E2097" s="552">
        <f>'Verification Report'!O2098</f>
        <v>0</v>
      </c>
      <c r="F2097" s="400" t="str">
        <f>IF(LEN('Verification Report'!W2100)=0,"",'Verification Report'!W2100)</f>
        <v/>
      </c>
      <c r="G2097" t="s">
        <v>247</v>
      </c>
    </row>
    <row r="2098" spans="1:7" hidden="1" x14ac:dyDescent="0.35">
      <c r="A2098" s="93"/>
      <c r="B2098" s="4"/>
      <c r="C2098" s="4"/>
      <c r="D2098" s="838"/>
      <c r="E2098" s="41"/>
      <c r="G2098" t="s">
        <v>247</v>
      </c>
    </row>
    <row r="2099" spans="1:7" hidden="1" x14ac:dyDescent="0.35">
      <c r="A2099" s="320"/>
      <c r="B2099" s="133"/>
      <c r="C2099" s="133"/>
      <c r="D2099" s="889"/>
      <c r="E2099" s="546"/>
      <c r="G2099" t="s">
        <v>247</v>
      </c>
    </row>
    <row r="2100" spans="1:7" ht="15" hidden="1" customHeight="1" x14ac:dyDescent="0.35">
      <c r="A2100" s="30" t="s">
        <v>3252</v>
      </c>
      <c r="B2100" s="4"/>
      <c r="C2100" s="4"/>
      <c r="D2100" s="838" t="s">
        <v>3253</v>
      </c>
      <c r="E2100" s="41">
        <f>'Verification Report'!O2101</f>
        <v>0</v>
      </c>
      <c r="F2100" s="400" t="str">
        <f>IF(LEN('Verification Report'!W2103)=0,"",'Verification Report'!W2103)</f>
        <v/>
      </c>
      <c r="G2100" t="s">
        <v>247</v>
      </c>
    </row>
    <row r="2101" spans="1:7" hidden="1" x14ac:dyDescent="0.35">
      <c r="A2101" s="93"/>
      <c r="B2101" s="4"/>
      <c r="C2101" s="4"/>
      <c r="D2101" s="838"/>
      <c r="E2101" s="41"/>
      <c r="G2101" t="s">
        <v>247</v>
      </c>
    </row>
    <row r="2102" spans="1:7" ht="15" hidden="1" thickBot="1" x14ac:dyDescent="0.4">
      <c r="A2102" s="294"/>
      <c r="B2102" s="160"/>
      <c r="C2102" s="160"/>
      <c r="D2102" s="849"/>
      <c r="E2102" s="72"/>
      <c r="G2102" t="s">
        <v>247</v>
      </c>
    </row>
    <row r="2103" spans="1:7" ht="15.75" hidden="1" customHeight="1" thickTop="1" x14ac:dyDescent="0.35">
      <c r="A2103" s="38" t="s">
        <v>4497</v>
      </c>
      <c r="B2103" s="402"/>
      <c r="C2103" s="402"/>
      <c r="D2103" s="841" t="s">
        <v>4498</v>
      </c>
      <c r="E2103" s="308"/>
      <c r="F2103" s="400" t="str">
        <f>IF(LEN('Verification Report'!W2106)=0,"",'Verification Report'!W2106)</f>
        <v/>
      </c>
      <c r="G2103" t="s">
        <v>247</v>
      </c>
    </row>
    <row r="2104" spans="1:7" hidden="1" x14ac:dyDescent="0.35">
      <c r="A2104" s="402"/>
      <c r="B2104" s="402"/>
      <c r="C2104" s="402"/>
      <c r="D2104" s="841"/>
      <c r="E2104" s="75"/>
      <c r="G2104" t="s">
        <v>247</v>
      </c>
    </row>
    <row r="2105" spans="1:7" hidden="1" x14ac:dyDescent="0.35">
      <c r="A2105" s="402"/>
      <c r="B2105" s="402"/>
      <c r="C2105" s="402"/>
      <c r="D2105" s="841"/>
      <c r="E2105" s="75"/>
      <c r="G2105" t="s">
        <v>247</v>
      </c>
    </row>
    <row r="2106" spans="1:7" hidden="1" x14ac:dyDescent="0.35">
      <c r="A2106" s="402"/>
      <c r="B2106" s="402" t="s">
        <v>256</v>
      </c>
      <c r="C2106" s="402"/>
      <c r="D2106" s="517" t="s">
        <v>3254</v>
      </c>
      <c r="E2106" s="75">
        <f ca="1">'Verification Report'!O2107</f>
        <v>0</v>
      </c>
      <c r="G2106" t="s">
        <v>247</v>
      </c>
    </row>
    <row r="2107" spans="1:7" hidden="1" x14ac:dyDescent="0.35">
      <c r="A2107" s="402"/>
      <c r="B2107" s="402"/>
      <c r="C2107" s="402" t="s">
        <v>121</v>
      </c>
      <c r="D2107" s="517" t="s">
        <v>4499</v>
      </c>
      <c r="E2107" s="75"/>
      <c r="G2107" t="s">
        <v>247</v>
      </c>
    </row>
    <row r="2108" spans="1:7" hidden="1" x14ac:dyDescent="0.35">
      <c r="A2108" s="402"/>
      <c r="B2108" s="416"/>
      <c r="C2108" s="416" t="s">
        <v>122</v>
      </c>
      <c r="D2108" s="518" t="s">
        <v>4500</v>
      </c>
      <c r="E2108" s="309"/>
      <c r="G2108" t="s">
        <v>247</v>
      </c>
    </row>
    <row r="2109" spans="1:7" hidden="1" x14ac:dyDescent="0.35">
      <c r="A2109" s="402"/>
      <c r="B2109" s="402" t="s">
        <v>258</v>
      </c>
      <c r="C2109" s="402"/>
      <c r="D2109" s="517" t="s">
        <v>3255</v>
      </c>
      <c r="E2109" s="75">
        <f ca="1">'Verification Report'!O2110</f>
        <v>0</v>
      </c>
      <c r="G2109" t="s">
        <v>247</v>
      </c>
    </row>
    <row r="2110" spans="1:7" hidden="1" x14ac:dyDescent="0.35">
      <c r="A2110" s="402"/>
      <c r="B2110" s="402"/>
      <c r="C2110" s="402" t="s">
        <v>121</v>
      </c>
      <c r="D2110" s="517" t="s">
        <v>4499</v>
      </c>
      <c r="E2110" s="75"/>
      <c r="G2110" t="s">
        <v>247</v>
      </c>
    </row>
    <row r="2111" spans="1:7" hidden="1" x14ac:dyDescent="0.35">
      <c r="A2111" s="416"/>
      <c r="B2111" s="416"/>
      <c r="C2111" s="416" t="s">
        <v>122</v>
      </c>
      <c r="D2111" s="518" t="s">
        <v>4500</v>
      </c>
      <c r="G2111" t="s">
        <v>247</v>
      </c>
    </row>
    <row r="2112" spans="1:7" ht="15" hidden="1" customHeight="1" x14ac:dyDescent="0.35">
      <c r="A2112" s="402" t="s">
        <v>4501</v>
      </c>
      <c r="B2112" s="402"/>
      <c r="C2112" s="402"/>
      <c r="D2112" s="485" t="s">
        <v>4502</v>
      </c>
      <c r="E2112" s="120"/>
      <c r="G2112" t="s">
        <v>247</v>
      </c>
    </row>
    <row r="2113" spans="1:7" ht="15" hidden="1" customHeight="1" x14ac:dyDescent="0.35">
      <c r="A2113" s="402" t="s">
        <v>4503</v>
      </c>
      <c r="B2113" s="402"/>
      <c r="C2113" s="402"/>
      <c r="D2113" s="841" t="s">
        <v>4504</v>
      </c>
      <c r="G2113" t="s">
        <v>247</v>
      </c>
    </row>
    <row r="2114" spans="1:7" hidden="1" x14ac:dyDescent="0.35">
      <c r="A2114" s="402"/>
      <c r="B2114" s="402"/>
      <c r="C2114" s="402"/>
      <c r="D2114" s="841"/>
      <c r="G2114" t="s">
        <v>247</v>
      </c>
    </row>
    <row r="2115" spans="1:7" hidden="1" x14ac:dyDescent="0.35">
      <c r="A2115" s="402"/>
      <c r="B2115" s="402"/>
      <c r="C2115" s="402"/>
      <c r="D2115" s="841"/>
      <c r="G2115" t="s">
        <v>247</v>
      </c>
    </row>
    <row r="2116" spans="1:7" hidden="1" x14ac:dyDescent="0.35">
      <c r="A2116" s="402"/>
      <c r="B2116" s="402"/>
      <c r="C2116" s="402"/>
      <c r="D2116" s="841"/>
      <c r="G2116" t="s">
        <v>247</v>
      </c>
    </row>
    <row r="2117" spans="1:7" hidden="1" x14ac:dyDescent="0.35">
      <c r="A2117" s="402"/>
      <c r="B2117" s="402"/>
      <c r="C2117" s="402"/>
      <c r="D2117" s="841"/>
      <c r="G2117" t="s">
        <v>247</v>
      </c>
    </row>
    <row r="2118" spans="1:7" hidden="1" x14ac:dyDescent="0.35">
      <c r="A2118" s="402"/>
      <c r="B2118" s="402"/>
      <c r="C2118" s="402"/>
      <c r="D2118" s="841"/>
      <c r="G2118" t="s">
        <v>247</v>
      </c>
    </row>
    <row r="2119" spans="1:7" hidden="1" x14ac:dyDescent="0.35">
      <c r="A2119" s="402"/>
      <c r="B2119" s="402"/>
      <c r="C2119" s="402"/>
      <c r="D2119" s="841"/>
      <c r="G2119" t="s">
        <v>247</v>
      </c>
    </row>
    <row r="2120" spans="1:7" hidden="1" x14ac:dyDescent="0.35">
      <c r="A2120" s="416"/>
      <c r="B2120" s="416"/>
      <c r="C2120" s="416"/>
      <c r="D2120" s="962"/>
      <c r="G2120" t="s">
        <v>247</v>
      </c>
    </row>
    <row r="2121" spans="1:7" ht="15" hidden="1" customHeight="1" x14ac:dyDescent="0.35">
      <c r="A2121" s="424" t="s">
        <v>4505</v>
      </c>
      <c r="B2121" s="424"/>
      <c r="C2121" s="424"/>
      <c r="D2121" s="961" t="s">
        <v>4506</v>
      </c>
      <c r="G2121" t="s">
        <v>247</v>
      </c>
    </row>
    <row r="2122" spans="1:7" hidden="1" x14ac:dyDescent="0.35">
      <c r="A2122" s="402"/>
      <c r="B2122" s="402"/>
      <c r="C2122" s="402"/>
      <c r="D2122" s="841"/>
      <c r="G2122" t="s">
        <v>247</v>
      </c>
    </row>
    <row r="2123" spans="1:7" hidden="1" x14ac:dyDescent="0.35">
      <c r="A2123" s="402"/>
      <c r="B2123" s="402"/>
      <c r="C2123" s="402"/>
      <c r="D2123" s="841"/>
      <c r="G2123" t="s">
        <v>247</v>
      </c>
    </row>
    <row r="2124" spans="1:7" hidden="1" x14ac:dyDescent="0.35">
      <c r="A2124" s="402"/>
      <c r="B2124" s="402"/>
      <c r="C2124" s="402"/>
      <c r="D2124" s="841"/>
      <c r="G2124" t="s">
        <v>247</v>
      </c>
    </row>
    <row r="2125" spans="1:7" hidden="1" x14ac:dyDescent="0.35">
      <c r="A2125" s="402"/>
      <c r="B2125" s="402"/>
      <c r="C2125" s="402"/>
      <c r="D2125" s="841"/>
      <c r="G2125" t="s">
        <v>247</v>
      </c>
    </row>
    <row r="2126" spans="1:7" hidden="1" x14ac:dyDescent="0.35">
      <c r="A2126" s="402"/>
      <c r="B2126" s="402"/>
      <c r="C2126" s="402"/>
      <c r="D2126" s="841"/>
      <c r="G2126" t="s">
        <v>247</v>
      </c>
    </row>
    <row r="2127" spans="1:7" hidden="1" x14ac:dyDescent="0.35">
      <c r="A2127" s="416"/>
      <c r="B2127" s="416"/>
      <c r="C2127" s="416"/>
      <c r="D2127" s="962"/>
      <c r="G2127" t="s">
        <v>247</v>
      </c>
    </row>
    <row r="2128" spans="1:7" ht="15" hidden="1" customHeight="1" x14ac:dyDescent="0.35">
      <c r="A2128" s="424" t="s">
        <v>4507</v>
      </c>
      <c r="B2128" s="424"/>
      <c r="C2128" s="424"/>
      <c r="D2128" s="961" t="s">
        <v>4508</v>
      </c>
      <c r="G2128" t="s">
        <v>247</v>
      </c>
    </row>
    <row r="2129" spans="1:7" hidden="1" x14ac:dyDescent="0.35">
      <c r="A2129" s="402"/>
      <c r="B2129" s="402"/>
      <c r="C2129" s="402"/>
      <c r="D2129" s="841"/>
      <c r="G2129" t="s">
        <v>247</v>
      </c>
    </row>
    <row r="2130" spans="1:7" hidden="1" x14ac:dyDescent="0.35">
      <c r="A2130" s="402"/>
      <c r="B2130" s="402"/>
      <c r="C2130" s="402"/>
      <c r="D2130" s="841"/>
      <c r="G2130" t="s">
        <v>247</v>
      </c>
    </row>
    <row r="2131" spans="1:7" hidden="1" x14ac:dyDescent="0.35">
      <c r="A2131" s="402"/>
      <c r="B2131" s="402"/>
      <c r="C2131" s="402"/>
      <c r="D2131" s="841"/>
      <c r="G2131" t="s">
        <v>247</v>
      </c>
    </row>
    <row r="2132" spans="1:7" hidden="1" x14ac:dyDescent="0.35">
      <c r="A2132" s="402"/>
      <c r="B2132" s="402"/>
      <c r="C2132" s="402"/>
      <c r="D2132" s="841"/>
      <c r="G2132" t="s">
        <v>247</v>
      </c>
    </row>
    <row r="2133" spans="1:7" hidden="1" x14ac:dyDescent="0.35">
      <c r="A2133" s="402"/>
      <c r="B2133" s="402"/>
      <c r="C2133" s="402"/>
      <c r="D2133" s="841"/>
      <c r="G2133" t="s">
        <v>247</v>
      </c>
    </row>
    <row r="2134" spans="1:7" hidden="1" x14ac:dyDescent="0.35">
      <c r="A2134" s="416"/>
      <c r="B2134" s="416"/>
      <c r="C2134" s="416"/>
      <c r="D2134" s="962"/>
      <c r="G2134" t="s">
        <v>247</v>
      </c>
    </row>
    <row r="2135" spans="1:7" ht="15" hidden="1" customHeight="1" x14ac:dyDescent="0.35">
      <c r="A2135" s="424" t="s">
        <v>4509</v>
      </c>
      <c r="B2135" s="424"/>
      <c r="C2135" s="424"/>
      <c r="D2135" s="961" t="s">
        <v>4510</v>
      </c>
      <c r="G2135" t="s">
        <v>247</v>
      </c>
    </row>
    <row r="2136" spans="1:7" hidden="1" x14ac:dyDescent="0.35">
      <c r="A2136" s="402"/>
      <c r="B2136" s="402"/>
      <c r="C2136" s="402"/>
      <c r="D2136" s="841"/>
      <c r="G2136" t="s">
        <v>247</v>
      </c>
    </row>
    <row r="2137" spans="1:7" hidden="1" x14ac:dyDescent="0.35">
      <c r="A2137" s="402"/>
      <c r="B2137" s="402"/>
      <c r="C2137" s="402"/>
      <c r="D2137" s="841"/>
      <c r="G2137" t="s">
        <v>247</v>
      </c>
    </row>
    <row r="2138" spans="1:7" hidden="1" x14ac:dyDescent="0.35">
      <c r="A2138" s="402"/>
      <c r="B2138" s="402"/>
      <c r="C2138" s="402"/>
      <c r="D2138" s="841"/>
      <c r="G2138" t="s">
        <v>247</v>
      </c>
    </row>
    <row r="2139" spans="1:7" hidden="1" x14ac:dyDescent="0.35">
      <c r="A2139" s="416"/>
      <c r="B2139" s="416"/>
      <c r="C2139" s="416"/>
      <c r="D2139" s="962"/>
      <c r="G2139" t="s">
        <v>247</v>
      </c>
    </row>
    <row r="2140" spans="1:7" ht="15" hidden="1" customHeight="1" x14ac:dyDescent="0.35">
      <c r="A2140" s="424" t="s">
        <v>4511</v>
      </c>
      <c r="B2140" s="424"/>
      <c r="C2140" s="424"/>
      <c r="D2140" s="961" t="s">
        <v>4512</v>
      </c>
      <c r="G2140" t="s">
        <v>247</v>
      </c>
    </row>
    <row r="2141" spans="1:7" hidden="1" x14ac:dyDescent="0.35">
      <c r="A2141" s="416"/>
      <c r="B2141" s="416"/>
      <c r="C2141" s="416"/>
      <c r="D2141" s="962"/>
      <c r="G2141" t="s">
        <v>247</v>
      </c>
    </row>
    <row r="2142" spans="1:7" ht="15" hidden="1" customHeight="1" x14ac:dyDescent="0.35">
      <c r="A2142" s="424" t="s">
        <v>4513</v>
      </c>
      <c r="B2142" s="424"/>
      <c r="C2142" s="424"/>
      <c r="D2142" s="961" t="s">
        <v>4514</v>
      </c>
      <c r="G2142" t="s">
        <v>247</v>
      </c>
    </row>
    <row r="2143" spans="1:7" hidden="1" x14ac:dyDescent="0.35">
      <c r="A2143" s="402"/>
      <c r="B2143" s="402"/>
      <c r="C2143" s="402"/>
      <c r="D2143" s="841"/>
      <c r="G2143" t="s">
        <v>247</v>
      </c>
    </row>
    <row r="2144" spans="1:7" hidden="1" x14ac:dyDescent="0.35">
      <c r="A2144" s="402"/>
      <c r="B2144" s="402"/>
      <c r="C2144" s="402"/>
      <c r="D2144" s="841"/>
      <c r="G2144" t="s">
        <v>247</v>
      </c>
    </row>
    <row r="2145" spans="1:7" hidden="1" x14ac:dyDescent="0.35">
      <c r="A2145" s="416"/>
      <c r="B2145" s="416"/>
      <c r="C2145" s="416"/>
      <c r="D2145" s="962"/>
      <c r="G2145" t="s">
        <v>247</v>
      </c>
    </row>
    <row r="2146" spans="1:7" ht="15" hidden="1" customHeight="1" x14ac:dyDescent="0.35">
      <c r="A2146" s="424" t="s">
        <v>4515</v>
      </c>
      <c r="B2146" s="424"/>
      <c r="C2146" s="424"/>
      <c r="D2146" s="961" t="s">
        <v>4516</v>
      </c>
      <c r="G2146" t="s">
        <v>247</v>
      </c>
    </row>
    <row r="2147" spans="1:7" hidden="1" x14ac:dyDescent="0.35">
      <c r="A2147" s="402"/>
      <c r="B2147" s="402"/>
      <c r="C2147" s="402"/>
      <c r="D2147" s="841"/>
      <c r="G2147" t="s">
        <v>247</v>
      </c>
    </row>
    <row r="2148" spans="1:7" hidden="1" x14ac:dyDescent="0.35">
      <c r="A2148" s="416"/>
      <c r="B2148" s="416"/>
      <c r="C2148" s="416"/>
      <c r="D2148" s="962"/>
      <c r="G2148" t="s">
        <v>247</v>
      </c>
    </row>
    <row r="2149" spans="1:7" hidden="1" x14ac:dyDescent="0.35">
      <c r="A2149" s="402" t="s">
        <v>4517</v>
      </c>
      <c r="B2149" s="402"/>
      <c r="C2149" s="402"/>
      <c r="D2149" s="485" t="s">
        <v>4518</v>
      </c>
      <c r="E2149" s="120"/>
      <c r="G2149" t="s">
        <v>247</v>
      </c>
    </row>
    <row r="2150" spans="1:7" hidden="1" x14ac:dyDescent="0.35">
      <c r="A2150" s="402"/>
      <c r="B2150" s="402"/>
      <c r="C2150" s="402"/>
      <c r="D2150" s="485" t="s">
        <v>4519</v>
      </c>
      <c r="G2150" t="s">
        <v>247</v>
      </c>
    </row>
    <row r="2151" spans="1:7" ht="15" hidden="1" customHeight="1" x14ac:dyDescent="0.35">
      <c r="A2151" s="402"/>
      <c r="B2151" s="402"/>
      <c r="C2151" s="402"/>
      <c r="D2151" s="957" t="s">
        <v>4520</v>
      </c>
      <c r="F2151" s="400" t="str">
        <f>IF(LEN('Verification Report'!W2154)=0,"",'Verification Report'!W2154)</f>
        <v/>
      </c>
      <c r="G2151" t="s">
        <v>247</v>
      </c>
    </row>
    <row r="2152" spans="1:7" hidden="1" x14ac:dyDescent="0.35">
      <c r="A2152" s="402"/>
      <c r="B2152" s="402"/>
      <c r="C2152" s="402"/>
      <c r="D2152" s="957"/>
      <c r="G2152" t="s">
        <v>247</v>
      </c>
    </row>
    <row r="2153" spans="1:7" hidden="1" x14ac:dyDescent="0.35">
      <c r="A2153" s="402"/>
      <c r="B2153" s="402" t="s">
        <v>256</v>
      </c>
      <c r="C2153" s="402"/>
      <c r="D2153" s="517" t="s">
        <v>4521</v>
      </c>
      <c r="E2153" s="41">
        <f>'Verification Report'!O2154</f>
        <v>0</v>
      </c>
      <c r="F2153" s="400" t="str">
        <f>IF(LEN('Verification Report'!W2156)=0,"",'Verification Report'!W2156)</f>
        <v/>
      </c>
      <c r="G2153" t="s">
        <v>247</v>
      </c>
    </row>
    <row r="2154" spans="1:7" hidden="1" x14ac:dyDescent="0.35">
      <c r="A2154" s="402"/>
      <c r="B2154" s="402"/>
      <c r="C2154" s="402" t="s">
        <v>121</v>
      </c>
      <c r="D2154" s="517" t="s">
        <v>4522</v>
      </c>
      <c r="E2154" s="41"/>
      <c r="G2154" t="s">
        <v>247</v>
      </c>
    </row>
    <row r="2155" spans="1:7" ht="15" hidden="1" customHeight="1" x14ac:dyDescent="0.35">
      <c r="A2155" s="402"/>
      <c r="B2155" s="402"/>
      <c r="C2155" s="402" t="s">
        <v>122</v>
      </c>
      <c r="D2155" s="957" t="s">
        <v>4523</v>
      </c>
      <c r="G2155" t="s">
        <v>247</v>
      </c>
    </row>
    <row r="2156" spans="1:7" hidden="1" x14ac:dyDescent="0.35">
      <c r="A2156" s="402"/>
      <c r="B2156" s="402"/>
      <c r="C2156" s="402"/>
      <c r="D2156" s="957"/>
      <c r="G2156" t="s">
        <v>247</v>
      </c>
    </row>
    <row r="2157" spans="1:7" ht="15" hidden="1" customHeight="1" x14ac:dyDescent="0.35">
      <c r="C2157" s="402" t="s">
        <v>123</v>
      </c>
      <c r="D2157" s="957" t="s">
        <v>4524</v>
      </c>
      <c r="G2157" t="s">
        <v>247</v>
      </c>
    </row>
    <row r="2158" spans="1:7" hidden="1" x14ac:dyDescent="0.35">
      <c r="C2158" s="402"/>
      <c r="D2158" s="957"/>
      <c r="G2158" t="s">
        <v>247</v>
      </c>
    </row>
    <row r="2159" spans="1:7" ht="15" hidden="1" customHeight="1" x14ac:dyDescent="0.35">
      <c r="C2159" s="31" t="s">
        <v>401</v>
      </c>
      <c r="D2159" s="957" t="s">
        <v>4525</v>
      </c>
      <c r="G2159" t="s">
        <v>247</v>
      </c>
    </row>
    <row r="2160" spans="1:7" hidden="1" x14ac:dyDescent="0.35">
      <c r="C2160" s="31"/>
      <c r="D2160" s="957"/>
      <c r="G2160" t="s">
        <v>247</v>
      </c>
    </row>
    <row r="2161" spans="1:7" ht="15" hidden="1" customHeight="1" x14ac:dyDescent="0.35">
      <c r="C2161" s="31" t="s">
        <v>539</v>
      </c>
      <c r="D2161" s="957" t="s">
        <v>4893</v>
      </c>
      <c r="G2161" t="s">
        <v>247</v>
      </c>
    </row>
    <row r="2162" spans="1:7" hidden="1" x14ac:dyDescent="0.35">
      <c r="C2162" s="31"/>
      <c r="D2162" s="957"/>
      <c r="G2162" t="s">
        <v>247</v>
      </c>
    </row>
    <row r="2163" spans="1:7" hidden="1" x14ac:dyDescent="0.35">
      <c r="C2163" s="31"/>
      <c r="D2163" s="957"/>
      <c r="G2163" t="s">
        <v>247</v>
      </c>
    </row>
    <row r="2164" spans="1:7" ht="15" hidden="1" customHeight="1" x14ac:dyDescent="0.35">
      <c r="C2164" s="31" t="s">
        <v>604</v>
      </c>
      <c r="D2164" s="957" t="s">
        <v>4526</v>
      </c>
      <c r="G2164" t="s">
        <v>247</v>
      </c>
    </row>
    <row r="2165" spans="1:7" hidden="1" x14ac:dyDescent="0.35">
      <c r="C2165" s="31"/>
      <c r="D2165" s="957"/>
      <c r="G2165" t="s">
        <v>247</v>
      </c>
    </row>
    <row r="2166" spans="1:7" ht="15" hidden="1" customHeight="1" x14ac:dyDescent="0.35">
      <c r="C2166" s="402" t="s">
        <v>606</v>
      </c>
      <c r="D2166" s="957" t="s">
        <v>4527</v>
      </c>
      <c r="G2166" t="s">
        <v>247</v>
      </c>
    </row>
    <row r="2167" spans="1:7" hidden="1" x14ac:dyDescent="0.35">
      <c r="C2167" s="402"/>
      <c r="D2167" s="957"/>
      <c r="G2167" t="s">
        <v>247</v>
      </c>
    </row>
    <row r="2168" spans="1:7" ht="15" hidden="1" customHeight="1" x14ac:dyDescent="0.35">
      <c r="C2168" s="402" t="s">
        <v>608</v>
      </c>
      <c r="D2168" s="957" t="s">
        <v>4528</v>
      </c>
      <c r="G2168" t="s">
        <v>247</v>
      </c>
    </row>
    <row r="2169" spans="1:7" hidden="1" x14ac:dyDescent="0.35">
      <c r="C2169" s="402"/>
      <c r="D2169" s="957"/>
      <c r="G2169" t="s">
        <v>247</v>
      </c>
    </row>
    <row r="2170" spans="1:7" ht="15" hidden="1" customHeight="1" x14ac:dyDescent="0.35">
      <c r="C2170" s="402" t="s">
        <v>843</v>
      </c>
      <c r="D2170" s="957" t="s">
        <v>4529</v>
      </c>
      <c r="G2170" t="s">
        <v>247</v>
      </c>
    </row>
    <row r="2171" spans="1:7" hidden="1" x14ac:dyDescent="0.35">
      <c r="C2171" s="402"/>
      <c r="D2171" s="957"/>
      <c r="G2171" t="s">
        <v>247</v>
      </c>
    </row>
    <row r="2172" spans="1:7" hidden="1" x14ac:dyDescent="0.35">
      <c r="C2172" s="402"/>
      <c r="D2172" s="957"/>
      <c r="G2172" t="s">
        <v>247</v>
      </c>
    </row>
    <row r="2173" spans="1:7" ht="15" hidden="1" customHeight="1" x14ac:dyDescent="0.35">
      <c r="C2173" s="402" t="s">
        <v>844</v>
      </c>
      <c r="D2173" s="957" t="s">
        <v>4530</v>
      </c>
      <c r="G2173" t="s">
        <v>247</v>
      </c>
    </row>
    <row r="2174" spans="1:7" hidden="1" x14ac:dyDescent="0.35">
      <c r="B2174" s="416"/>
      <c r="C2174" s="416"/>
      <c r="D2174" s="960"/>
      <c r="E2174" s="104"/>
      <c r="G2174" t="s">
        <v>247</v>
      </c>
    </row>
    <row r="2175" spans="1:7" ht="15" hidden="1" customHeight="1" x14ac:dyDescent="0.35">
      <c r="A2175" s="402"/>
      <c r="B2175" s="402" t="s">
        <v>258</v>
      </c>
      <c r="C2175" s="402"/>
      <c r="D2175" s="957" t="s">
        <v>4531</v>
      </c>
      <c r="E2175" s="552">
        <f>'Verification Report'!O2176</f>
        <v>0</v>
      </c>
      <c r="F2175" s="400" t="str">
        <f>IF(LEN('Verification Report'!W2178)=0,"",'Verification Report'!W2178)</f>
        <v/>
      </c>
      <c r="G2175" t="s">
        <v>247</v>
      </c>
    </row>
    <row r="2176" spans="1:7" ht="15" hidden="1" thickBot="1" x14ac:dyDescent="0.4">
      <c r="A2176" s="407"/>
      <c r="B2176" s="407"/>
      <c r="C2176" s="407"/>
      <c r="D2176" s="958"/>
      <c r="E2176" s="72"/>
      <c r="G2176" t="s">
        <v>247</v>
      </c>
    </row>
    <row r="2177" spans="1:7" ht="15.75" hidden="1" customHeight="1" thickTop="1" x14ac:dyDescent="0.35">
      <c r="A2177" s="30">
        <v>902.4</v>
      </c>
      <c r="B2177" s="4"/>
      <c r="C2177" s="4"/>
      <c r="D2177" s="838" t="s">
        <v>3256</v>
      </c>
      <c r="E2177" s="545">
        <f>'Verification Report'!O2178</f>
        <v>0</v>
      </c>
      <c r="G2177" t="s">
        <v>247</v>
      </c>
    </row>
    <row r="2178" spans="1:7" hidden="1" x14ac:dyDescent="0.35">
      <c r="A2178" s="93"/>
      <c r="B2178" s="4"/>
      <c r="C2178" s="4"/>
      <c r="D2178" s="838"/>
      <c r="E2178" s="41"/>
      <c r="G2178" t="s">
        <v>247</v>
      </c>
    </row>
    <row r="2179" spans="1:7" ht="15" hidden="1" customHeight="1" x14ac:dyDescent="0.35">
      <c r="A2179" s="93"/>
      <c r="B2179" s="19" t="s">
        <v>256</v>
      </c>
      <c r="C2179" s="4"/>
      <c r="D2179" s="814" t="s">
        <v>3257</v>
      </c>
      <c r="E2179" s="41"/>
      <c r="F2179" s="400" t="str">
        <f>IF(LEN('Verification Report'!W2182)=0,"",'Verification Report'!W2182)</f>
        <v/>
      </c>
      <c r="G2179" t="s">
        <v>247</v>
      </c>
    </row>
    <row r="2180" spans="1:7" hidden="1" x14ac:dyDescent="0.35">
      <c r="A2180" s="93"/>
      <c r="B2180" s="129"/>
      <c r="C2180" s="133"/>
      <c r="D2180" s="815"/>
      <c r="E2180" s="41"/>
      <c r="G2180" t="s">
        <v>247</v>
      </c>
    </row>
    <row r="2181" spans="1:7" ht="15" hidden="1" customHeight="1" x14ac:dyDescent="0.35">
      <c r="A2181" s="93"/>
      <c r="B2181" s="19" t="s">
        <v>258</v>
      </c>
      <c r="C2181" s="4"/>
      <c r="D2181" s="814" t="s">
        <v>3258</v>
      </c>
      <c r="E2181" s="41"/>
      <c r="F2181" s="400" t="str">
        <f>IF(LEN('Verification Report'!W2184)=0,"",'Verification Report'!W2184)</f>
        <v/>
      </c>
      <c r="G2181" t="s">
        <v>247</v>
      </c>
    </row>
    <row r="2182" spans="1:7" hidden="1" x14ac:dyDescent="0.35">
      <c r="A2182" s="93"/>
      <c r="B2182" s="4"/>
      <c r="C2182" s="4"/>
      <c r="D2182" s="814"/>
      <c r="E2182" s="41"/>
      <c r="G2182" t="s">
        <v>247</v>
      </c>
    </row>
    <row r="2183" spans="1:7" hidden="1" x14ac:dyDescent="0.35">
      <c r="A2183" s="93"/>
      <c r="B2183" s="133"/>
      <c r="C2183" s="133"/>
      <c r="D2183" s="815"/>
      <c r="E2183" s="41"/>
      <c r="G2183" t="s">
        <v>247</v>
      </c>
    </row>
    <row r="2184" spans="1:7" ht="15" hidden="1" customHeight="1" x14ac:dyDescent="0.35">
      <c r="A2184" s="93"/>
      <c r="B2184" s="402" t="s">
        <v>260</v>
      </c>
      <c r="C2184" s="412"/>
      <c r="D2184" s="957" t="s">
        <v>4536</v>
      </c>
      <c r="E2184" s="41"/>
      <c r="F2184" s="400" t="str">
        <f>IF(LEN('Verification Report'!W2187)=0,"",'Verification Report'!W2187)</f>
        <v/>
      </c>
      <c r="G2184" t="s">
        <v>247</v>
      </c>
    </row>
    <row r="2185" spans="1:7" hidden="1" x14ac:dyDescent="0.35">
      <c r="A2185" s="93"/>
      <c r="B2185" s="412"/>
      <c r="C2185" s="412"/>
      <c r="D2185" s="957"/>
      <c r="E2185" s="41"/>
      <c r="G2185" t="s">
        <v>247</v>
      </c>
    </row>
    <row r="2186" spans="1:7" hidden="1" x14ac:dyDescent="0.35">
      <c r="A2186" s="93"/>
      <c r="B2186" s="412"/>
      <c r="C2186" s="412"/>
      <c r="D2186" s="957"/>
      <c r="E2186" s="41"/>
      <c r="G2186" t="s">
        <v>247</v>
      </c>
    </row>
    <row r="2187" spans="1:7" ht="15.75" hidden="1" customHeight="1" thickTop="1" x14ac:dyDescent="0.35">
      <c r="A2187" s="106">
        <v>902.5</v>
      </c>
      <c r="B2187" s="107"/>
      <c r="C2187" s="107"/>
      <c r="D2187" s="946" t="s">
        <v>3259</v>
      </c>
      <c r="E2187" s="545">
        <f>'Verification Report'!O2188</f>
        <v>0</v>
      </c>
      <c r="F2187" s="400" t="str">
        <f>IF(LEN('Verification Report'!W2190)=0,"",'Verification Report'!W2190)</f>
        <v/>
      </c>
      <c r="G2187" t="s">
        <v>247</v>
      </c>
    </row>
    <row r="2188" spans="1:7" ht="15" hidden="1" thickBot="1" x14ac:dyDescent="0.4">
      <c r="A2188" s="114"/>
      <c r="B2188" s="160"/>
      <c r="C2188" s="160"/>
      <c r="D2188" s="947"/>
      <c r="E2188" s="72"/>
      <c r="G2188" t="s">
        <v>247</v>
      </c>
    </row>
    <row r="2189" spans="1:7" ht="15.75" hidden="1" customHeight="1" thickTop="1" x14ac:dyDescent="0.35">
      <c r="A2189" s="30">
        <v>902.6</v>
      </c>
      <c r="B2189" s="4"/>
      <c r="C2189" s="4"/>
      <c r="D2189" s="838" t="s">
        <v>3260</v>
      </c>
      <c r="E2189" s="41"/>
      <c r="F2189" s="400" t="str">
        <f>IF(LEN('Verification Report'!W2192)=0,"",'Verification Report'!W2192)</f>
        <v/>
      </c>
      <c r="G2189" t="s">
        <v>247</v>
      </c>
    </row>
    <row r="2190" spans="1:7" hidden="1" x14ac:dyDescent="0.35">
      <c r="A2190" s="93"/>
      <c r="B2190" s="4"/>
      <c r="C2190" s="4"/>
      <c r="D2190" s="838"/>
      <c r="E2190" s="41"/>
      <c r="G2190" t="s">
        <v>247</v>
      </c>
    </row>
    <row r="2191" spans="1:7" ht="18.5" hidden="1" x14ac:dyDescent="0.45">
      <c r="A2191" s="10" t="s">
        <v>3261</v>
      </c>
      <c r="B2191" s="15"/>
      <c r="C2191" s="15"/>
      <c r="D2191" s="44"/>
      <c r="E2191" s="544"/>
      <c r="G2191" t="s">
        <v>247</v>
      </c>
    </row>
    <row r="2192" spans="1:7" ht="15" hidden="1" thickBot="1" x14ac:dyDescent="0.4">
      <c r="A2192" s="292">
        <v>903</v>
      </c>
      <c r="B2192" s="160"/>
      <c r="C2192" s="160"/>
      <c r="D2192" s="275" t="s">
        <v>3262</v>
      </c>
      <c r="E2192" s="72"/>
      <c r="G2192" t="s">
        <v>247</v>
      </c>
    </row>
    <row r="2193" spans="1:7" ht="15" hidden="1" thickTop="1" x14ac:dyDescent="0.35">
      <c r="A2193" s="293">
        <v>903.1</v>
      </c>
      <c r="B2193" s="107"/>
      <c r="C2193" s="107"/>
      <c r="D2193" s="274" t="s">
        <v>3658</v>
      </c>
      <c r="E2193" s="545">
        <f ca="1">'Verification Report'!O2194</f>
        <v>0</v>
      </c>
      <c r="F2193" s="400" t="str">
        <f>IF(LEN('Verification Report'!W2196)=0,"",'Verification Report'!W2196)</f>
        <v/>
      </c>
      <c r="G2193" t="s">
        <v>247</v>
      </c>
    </row>
    <row r="2194" spans="1:7" ht="15" hidden="1" customHeight="1" x14ac:dyDescent="0.35">
      <c r="A2194" s="93"/>
      <c r="B2194" s="19" t="s">
        <v>256</v>
      </c>
      <c r="C2194" s="4"/>
      <c r="D2194" s="814" t="s">
        <v>3656</v>
      </c>
      <c r="E2194" s="41"/>
      <c r="G2194" t="s">
        <v>247</v>
      </c>
    </row>
    <row r="2195" spans="1:7" hidden="1" x14ac:dyDescent="0.35">
      <c r="A2195" s="93"/>
      <c r="B2195" s="129"/>
      <c r="C2195" s="133"/>
      <c r="D2195" s="889"/>
      <c r="E2195" s="41"/>
      <c r="G2195" t="s">
        <v>247</v>
      </c>
    </row>
    <row r="2196" spans="1:7" ht="15" hidden="1" thickBot="1" x14ac:dyDescent="0.4">
      <c r="A2196" s="294"/>
      <c r="B2196" s="115" t="s">
        <v>258</v>
      </c>
      <c r="C2196" s="160"/>
      <c r="D2196" s="229" t="s">
        <v>3657</v>
      </c>
      <c r="E2196" s="72"/>
      <c r="G2196" t="s">
        <v>247</v>
      </c>
    </row>
    <row r="2197" spans="1:7" ht="15" hidden="1" thickTop="1" x14ac:dyDescent="0.35">
      <c r="A2197" s="106">
        <v>903.2</v>
      </c>
      <c r="B2197" s="107"/>
      <c r="C2197" s="107"/>
      <c r="D2197" s="274" t="s">
        <v>3265</v>
      </c>
      <c r="E2197" s="545">
        <f ca="1">'Verification Report'!O2198</f>
        <v>0</v>
      </c>
      <c r="F2197" s="400" t="str">
        <f>IF(LEN('Verification Report'!W2200)=0,"",'Verification Report'!W2200)</f>
        <v/>
      </c>
      <c r="G2197" t="s">
        <v>247</v>
      </c>
    </row>
    <row r="2198" spans="1:7" hidden="1" x14ac:dyDescent="0.35">
      <c r="A2198" s="93"/>
      <c r="B2198" s="129" t="s">
        <v>256</v>
      </c>
      <c r="C2198" s="133"/>
      <c r="D2198" s="228" t="s">
        <v>3266</v>
      </c>
      <c r="E2198" s="41"/>
      <c r="G2198" t="s">
        <v>247</v>
      </c>
    </row>
    <row r="2199" spans="1:7" ht="15" hidden="1" customHeight="1" x14ac:dyDescent="0.35">
      <c r="A2199" s="93"/>
      <c r="B2199" s="19" t="s">
        <v>258</v>
      </c>
      <c r="C2199" s="4"/>
      <c r="D2199" s="814" t="s">
        <v>3267</v>
      </c>
      <c r="E2199" s="41"/>
      <c r="G2199" t="s">
        <v>247</v>
      </c>
    </row>
    <row r="2200" spans="1:7" ht="15" hidden="1" thickBot="1" x14ac:dyDescent="0.4">
      <c r="A2200" s="294"/>
      <c r="B2200" s="160"/>
      <c r="C2200" s="160"/>
      <c r="D2200" s="839"/>
      <c r="E2200" s="72"/>
      <c r="G2200" t="s">
        <v>247</v>
      </c>
    </row>
    <row r="2201" spans="1:7" ht="15.75" hidden="1" customHeight="1" thickTop="1" x14ac:dyDescent="0.35">
      <c r="A2201" s="30">
        <v>903.3</v>
      </c>
      <c r="B2201" s="4"/>
      <c r="C2201" s="4"/>
      <c r="D2201" s="838" t="s">
        <v>3659</v>
      </c>
      <c r="E2201" s="41">
        <f>'Verification Report'!O2202</f>
        <v>0</v>
      </c>
      <c r="G2201" t="s">
        <v>247</v>
      </c>
    </row>
    <row r="2202" spans="1:7" hidden="1" x14ac:dyDescent="0.35">
      <c r="A2202" s="93"/>
      <c r="B2202" s="4"/>
      <c r="C2202" s="4"/>
      <c r="D2202" s="838"/>
      <c r="E2202" s="41"/>
      <c r="G2202" t="s">
        <v>247</v>
      </c>
    </row>
    <row r="2203" spans="1:7" hidden="1" x14ac:dyDescent="0.35">
      <c r="A2203" s="93"/>
      <c r="B2203" s="129" t="s">
        <v>256</v>
      </c>
      <c r="C2203" s="104"/>
      <c r="D2203" s="228" t="s">
        <v>3268</v>
      </c>
      <c r="E2203" s="41"/>
      <c r="F2203" s="400" t="str">
        <f>IF(LEN('Verification Report'!W2206)=0,"",'Verification Report'!W2206)</f>
        <v/>
      </c>
      <c r="G2203" t="s">
        <v>247</v>
      </c>
    </row>
    <row r="2204" spans="1:7" ht="15" hidden="1" customHeight="1" x14ac:dyDescent="0.35">
      <c r="A2204" s="93"/>
      <c r="B2204" s="19" t="s">
        <v>258</v>
      </c>
      <c r="D2204" s="848" t="s">
        <v>3269</v>
      </c>
      <c r="E2204" s="41"/>
      <c r="F2204" s="400" t="str">
        <f>IF(LEN('Verification Report'!W2207)=0,"",'Verification Report'!W2207)</f>
        <v/>
      </c>
      <c r="G2204" t="s">
        <v>247</v>
      </c>
    </row>
    <row r="2205" spans="1:7" hidden="1" x14ac:dyDescent="0.35">
      <c r="A2205" s="93"/>
      <c r="B2205" s="4"/>
      <c r="C2205" s="19"/>
      <c r="D2205" s="848"/>
      <c r="E2205" s="41"/>
      <c r="G2205" t="s">
        <v>247</v>
      </c>
    </row>
    <row r="2206" spans="1:7" ht="18.5" hidden="1" x14ac:dyDescent="0.45">
      <c r="A2206" s="10" t="s">
        <v>3270</v>
      </c>
      <c r="B2206" s="15"/>
      <c r="C2206" s="15"/>
      <c r="D2206" s="44"/>
      <c r="E2206" s="544"/>
      <c r="G2206" t="s">
        <v>247</v>
      </c>
    </row>
    <row r="2207" spans="1:7" ht="15" hidden="1" customHeight="1" x14ac:dyDescent="0.35">
      <c r="A2207" s="143">
        <v>904</v>
      </c>
      <c r="B2207" s="4"/>
      <c r="C2207" s="4"/>
      <c r="D2207" s="838" t="s">
        <v>3271</v>
      </c>
      <c r="E2207" s="41"/>
      <c r="G2207" t="s">
        <v>247</v>
      </c>
    </row>
    <row r="2208" spans="1:7" ht="15" hidden="1" thickBot="1" x14ac:dyDescent="0.4">
      <c r="A2208" s="294"/>
      <c r="B2208" s="160"/>
      <c r="C2208" s="160"/>
      <c r="D2208" s="849"/>
      <c r="E2208" s="72"/>
      <c r="G2208" t="s">
        <v>247</v>
      </c>
    </row>
    <row r="2209" spans="1:7" ht="15.75" hidden="1" customHeight="1" thickTop="1" x14ac:dyDescent="0.35">
      <c r="A2209" s="293">
        <v>904.1</v>
      </c>
      <c r="B2209" s="107"/>
      <c r="C2209" s="107"/>
      <c r="D2209" s="837" t="s">
        <v>3272</v>
      </c>
      <c r="E2209" s="545">
        <f>'Verification Report'!O2210</f>
        <v>0</v>
      </c>
      <c r="F2209" s="400" t="str">
        <f>IF(LEN('Verification Report'!W2212)=0,"",'Verification Report'!W2212)</f>
        <v/>
      </c>
      <c r="G2209" t="s">
        <v>247</v>
      </c>
    </row>
    <row r="2210" spans="1:7" hidden="1" x14ac:dyDescent="0.35">
      <c r="A2210" s="93"/>
      <c r="B2210" s="4"/>
      <c r="C2210" s="4"/>
      <c r="D2210" s="838"/>
      <c r="E2210" s="41"/>
      <c r="G2210" t="s">
        <v>247</v>
      </c>
    </row>
    <row r="2211" spans="1:7" hidden="1" x14ac:dyDescent="0.35">
      <c r="A2211" s="93"/>
      <c r="B2211" s="4"/>
      <c r="C2211" s="4"/>
      <c r="D2211" s="838"/>
      <c r="E2211" s="41"/>
      <c r="G2211" t="s">
        <v>247</v>
      </c>
    </row>
    <row r="2212" spans="1:7" hidden="1" x14ac:dyDescent="0.35">
      <c r="A2212" s="93"/>
      <c r="B2212" s="4"/>
      <c r="C2212" s="4"/>
      <c r="D2212" s="838"/>
      <c r="E2212" s="41"/>
      <c r="G2212" t="s">
        <v>247</v>
      </c>
    </row>
    <row r="2213" spans="1:7" ht="15" hidden="1" thickBot="1" x14ac:dyDescent="0.4">
      <c r="A2213" s="294"/>
      <c r="B2213" s="160"/>
      <c r="C2213" s="160"/>
      <c r="D2213" s="849"/>
      <c r="E2213" s="72"/>
      <c r="G2213" t="s">
        <v>247</v>
      </c>
    </row>
    <row r="2214" spans="1:7" ht="15.75" hidden="1" customHeight="1" thickTop="1" x14ac:dyDescent="0.35">
      <c r="A2214" s="106">
        <v>904.2</v>
      </c>
      <c r="B2214" s="107"/>
      <c r="C2214" s="107"/>
      <c r="D2214" s="837" t="s">
        <v>3273</v>
      </c>
      <c r="E2214" s="545">
        <f>'Verification Report'!O2215</f>
        <v>0</v>
      </c>
      <c r="F2214" s="400" t="str">
        <f>IF(LEN('Verification Report'!W2217)=0,"",'Verification Report'!W2217)</f>
        <v/>
      </c>
      <c r="G2214" t="s">
        <v>247</v>
      </c>
    </row>
    <row r="2215" spans="1:7" hidden="1" x14ac:dyDescent="0.35">
      <c r="A2215" s="93"/>
      <c r="B2215" s="4"/>
      <c r="C2215" s="4"/>
      <c r="D2215" s="838"/>
      <c r="E2215" s="41"/>
      <c r="G2215" t="s">
        <v>247</v>
      </c>
    </row>
    <row r="2216" spans="1:7" ht="15" hidden="1" thickBot="1" x14ac:dyDescent="0.4">
      <c r="A2216" s="294"/>
      <c r="B2216" s="160"/>
      <c r="C2216" s="160"/>
      <c r="D2216" s="849"/>
      <c r="E2216" s="72"/>
      <c r="G2216" t="s">
        <v>247</v>
      </c>
    </row>
    <row r="2217" spans="1:7" ht="15.75" hidden="1" customHeight="1" thickTop="1" x14ac:dyDescent="0.35">
      <c r="A2217" s="402" t="s">
        <v>4539</v>
      </c>
      <c r="B2217" s="402"/>
      <c r="C2217" s="412"/>
      <c r="D2217" s="841" t="s">
        <v>4540</v>
      </c>
      <c r="G2217" t="s">
        <v>247</v>
      </c>
    </row>
    <row r="2218" spans="1:7" hidden="1" x14ac:dyDescent="0.35">
      <c r="A2218" s="402"/>
      <c r="B2218" s="402"/>
      <c r="C2218" s="412"/>
      <c r="D2218" s="841"/>
      <c r="G2218" t="s">
        <v>247</v>
      </c>
    </row>
    <row r="2219" spans="1:7" ht="15" hidden="1" customHeight="1" x14ac:dyDescent="0.35">
      <c r="A2219" s="402"/>
      <c r="B2219" s="402" t="s">
        <v>256</v>
      </c>
      <c r="C2219" s="412"/>
      <c r="D2219" s="957" t="s">
        <v>4537</v>
      </c>
      <c r="F2219" s="400" t="str">
        <f>IF(LEN('Verification Report'!W2222)=0,"",'Verification Report'!W2222)</f>
        <v/>
      </c>
      <c r="G2219" t="s">
        <v>247</v>
      </c>
    </row>
    <row r="2220" spans="1:7" hidden="1" x14ac:dyDescent="0.35">
      <c r="A2220" s="402"/>
      <c r="B2220" s="402"/>
      <c r="C2220" s="412"/>
      <c r="D2220" s="957"/>
      <c r="G2220" t="s">
        <v>247</v>
      </c>
    </row>
    <row r="2221" spans="1:7" hidden="1" x14ac:dyDescent="0.35">
      <c r="A2221" s="402"/>
      <c r="B2221" s="402"/>
      <c r="C2221" s="412"/>
      <c r="D2221" s="957"/>
      <c r="G2221" t="s">
        <v>247</v>
      </c>
    </row>
    <row r="2222" spans="1:7" hidden="1" x14ac:dyDescent="0.35">
      <c r="A2222" s="402"/>
      <c r="B2222" s="402"/>
      <c r="C2222" s="412"/>
      <c r="D2222" s="957"/>
      <c r="G2222" t="s">
        <v>247</v>
      </c>
    </row>
    <row r="2223" spans="1:7" hidden="1" x14ac:dyDescent="0.35">
      <c r="A2223" s="402"/>
      <c r="B2223" s="402"/>
      <c r="C2223" s="412"/>
      <c r="D2223" s="957"/>
      <c r="G2223" t="s">
        <v>247</v>
      </c>
    </row>
    <row r="2224" spans="1:7" hidden="1" x14ac:dyDescent="0.35">
      <c r="A2224" s="402"/>
      <c r="B2224" s="402"/>
      <c r="C2224" s="412"/>
      <c r="D2224" s="957"/>
      <c r="G2224" t="s">
        <v>247</v>
      </c>
    </row>
    <row r="2225" spans="1:7" hidden="1" x14ac:dyDescent="0.35">
      <c r="A2225" s="402"/>
      <c r="B2225" s="402"/>
      <c r="C2225" s="412"/>
      <c r="D2225" s="957"/>
      <c r="G2225" t="s">
        <v>247</v>
      </c>
    </row>
    <row r="2226" spans="1:7" hidden="1" x14ac:dyDescent="0.35">
      <c r="A2226" s="402"/>
      <c r="B2226" s="416"/>
      <c r="C2226" s="418"/>
      <c r="D2226" s="960"/>
      <c r="E2226" s="104"/>
      <c r="G2226" t="s">
        <v>247</v>
      </c>
    </row>
    <row r="2227" spans="1:7" ht="15" hidden="1" customHeight="1" x14ac:dyDescent="0.35">
      <c r="A2227" s="402"/>
      <c r="B2227" s="402" t="s">
        <v>258</v>
      </c>
      <c r="C2227" s="412"/>
      <c r="D2227" s="957" t="s">
        <v>4538</v>
      </c>
      <c r="F2227" s="400" t="str">
        <f>IF(LEN('Verification Report'!W2230)=0,"",'Verification Report'!W2230)</f>
        <v/>
      </c>
      <c r="G2227" t="s">
        <v>247</v>
      </c>
    </row>
    <row r="2228" spans="1:7" hidden="1" x14ac:dyDescent="0.35">
      <c r="A2228" s="412"/>
      <c r="B2228" s="412"/>
      <c r="C2228" s="412"/>
      <c r="D2228" s="957"/>
      <c r="G2228" t="s">
        <v>247</v>
      </c>
    </row>
    <row r="2229" spans="1:7" hidden="1" x14ac:dyDescent="0.35">
      <c r="A2229" s="412"/>
      <c r="B2229" s="412"/>
      <c r="C2229" s="412"/>
      <c r="D2229" s="957"/>
      <c r="G2229" t="s">
        <v>247</v>
      </c>
    </row>
    <row r="2230" spans="1:7" ht="18.5" hidden="1" x14ac:dyDescent="0.45">
      <c r="A2230" s="10" t="s">
        <v>3274</v>
      </c>
      <c r="B2230" s="15"/>
      <c r="C2230" s="15"/>
      <c r="D2230" s="44"/>
      <c r="E2230" s="544"/>
      <c r="G2230" t="s">
        <v>247</v>
      </c>
    </row>
    <row r="2231" spans="1:7" ht="15" hidden="1" customHeight="1" x14ac:dyDescent="0.35">
      <c r="A2231" s="30">
        <v>905.1</v>
      </c>
      <c r="B2231" s="4"/>
      <c r="C2231" s="4"/>
      <c r="D2231" s="838" t="s">
        <v>3275</v>
      </c>
      <c r="E2231" s="41">
        <f>'Verification Report'!O2232</f>
        <v>0</v>
      </c>
      <c r="F2231" s="400" t="str">
        <f>IF(LEN('Verification Report'!W2234)=0,"",'Verification Report'!W2234)</f>
        <v/>
      </c>
      <c r="G2231" t="s">
        <v>247</v>
      </c>
    </row>
    <row r="2232" spans="1:7" hidden="1" x14ac:dyDescent="0.35">
      <c r="A2232" s="93"/>
      <c r="B2232" s="4"/>
      <c r="C2232" s="4"/>
      <c r="D2232" s="838"/>
      <c r="E2232" s="41"/>
      <c r="G2232" t="s">
        <v>247</v>
      </c>
    </row>
    <row r="2233" spans="1:7" hidden="1" x14ac:dyDescent="0.35">
      <c r="A2233" s="93"/>
      <c r="B2233" s="4"/>
      <c r="C2233" s="4"/>
      <c r="D2233" s="838"/>
      <c r="E2233" s="41"/>
      <c r="G2233" t="s">
        <v>247</v>
      </c>
    </row>
    <row r="2234" spans="1:7" hidden="1" x14ac:dyDescent="0.35">
      <c r="A2234" s="93"/>
      <c r="B2234" s="4"/>
      <c r="C2234" s="4"/>
      <c r="D2234" s="838"/>
      <c r="E2234" s="41"/>
      <c r="G2234" t="s">
        <v>247</v>
      </c>
    </row>
    <row r="2235" spans="1:7" ht="15" hidden="1" thickBot="1" x14ac:dyDescent="0.4">
      <c r="A2235" s="294"/>
      <c r="B2235" s="160"/>
      <c r="C2235" s="160"/>
      <c r="D2235" s="849"/>
      <c r="E2235" s="72"/>
      <c r="G2235" t="s">
        <v>247</v>
      </c>
    </row>
    <row r="2236" spans="1:7" ht="15.75" hidden="1" customHeight="1" thickTop="1" x14ac:dyDescent="0.35">
      <c r="A2236" s="106">
        <v>905.2</v>
      </c>
      <c r="B2236" s="107"/>
      <c r="C2236" s="107"/>
      <c r="D2236" s="837" t="s">
        <v>3276</v>
      </c>
      <c r="E2236" s="545">
        <f>'Verification Report'!O2237</f>
        <v>0</v>
      </c>
      <c r="F2236" s="400" t="str">
        <f>IF(LEN('Verification Report'!W2239)=0,"",'Verification Report'!W2239)</f>
        <v/>
      </c>
      <c r="G2236" t="s">
        <v>247</v>
      </c>
    </row>
    <row r="2237" spans="1:7" ht="15" hidden="1" thickBot="1" x14ac:dyDescent="0.4">
      <c r="A2237" s="294"/>
      <c r="B2237" s="160"/>
      <c r="C2237" s="160"/>
      <c r="D2237" s="849"/>
      <c r="E2237" s="72"/>
      <c r="G2237" t="s">
        <v>247</v>
      </c>
    </row>
    <row r="2238" spans="1:7" hidden="1" x14ac:dyDescent="0.35">
      <c r="A2238" s="402" t="s">
        <v>4541</v>
      </c>
      <c r="B2238" s="402"/>
      <c r="C2238" s="412"/>
      <c r="D2238" s="485" t="s">
        <v>4542</v>
      </c>
      <c r="E2238" s="41">
        <f>'Verification Report'!O2239</f>
        <v>0</v>
      </c>
      <c r="G2238" t="s">
        <v>247</v>
      </c>
    </row>
    <row r="2239" spans="1:7" hidden="1" x14ac:dyDescent="0.35">
      <c r="A2239" s="402"/>
      <c r="B2239" s="402" t="s">
        <v>256</v>
      </c>
      <c r="C2239" s="412"/>
      <c r="D2239" s="517" t="s">
        <v>4543</v>
      </c>
      <c r="E2239" s="41"/>
      <c r="F2239" s="400" t="str">
        <f>IF(LEN('Verification Report'!W2242)=0,"",'Verification Report'!W2242)</f>
        <v/>
      </c>
      <c r="G2239" t="s">
        <v>247</v>
      </c>
    </row>
    <row r="2240" spans="1:7" ht="15" hidden="1" customHeight="1" x14ac:dyDescent="0.35">
      <c r="A2240" s="402"/>
      <c r="B2240" s="402" t="s">
        <v>258</v>
      </c>
      <c r="C2240" s="412"/>
      <c r="D2240" s="957" t="s">
        <v>4544</v>
      </c>
      <c r="F2240" s="400" t="str">
        <f>IF(LEN('Verification Report'!W2243)=0,"",'Verification Report'!W2243)</f>
        <v/>
      </c>
      <c r="G2240" t="s">
        <v>247</v>
      </c>
    </row>
    <row r="2241" spans="1:7" ht="15" hidden="1" thickBot="1" x14ac:dyDescent="0.4">
      <c r="A2241" s="407"/>
      <c r="B2241" s="407"/>
      <c r="C2241" s="413"/>
      <c r="D2241" s="958"/>
      <c r="E2241" s="55"/>
      <c r="G2241" t="s">
        <v>247</v>
      </c>
    </row>
    <row r="2242" spans="1:7" ht="15.75" hidden="1" customHeight="1" thickTop="1" x14ac:dyDescent="0.35">
      <c r="A2242" s="414" t="s">
        <v>4545</v>
      </c>
      <c r="B2242" s="414"/>
      <c r="C2242" s="419"/>
      <c r="D2242" s="853" t="s">
        <v>4887</v>
      </c>
      <c r="E2242" s="545">
        <f ca="1">'Verification Report'!O2243</f>
        <v>0</v>
      </c>
      <c r="F2242" s="400" t="str">
        <f>IF(LEN('Verification Report'!W2245)=0,"",'Verification Report'!W2245)</f>
        <v/>
      </c>
      <c r="G2242" t="s">
        <v>247</v>
      </c>
    </row>
    <row r="2243" spans="1:7" hidden="1" x14ac:dyDescent="0.35">
      <c r="A2243" s="402"/>
      <c r="B2243" s="402"/>
      <c r="C2243" s="412"/>
      <c r="D2243" s="841"/>
      <c r="E2243" s="41"/>
      <c r="G2243" t="s">
        <v>247</v>
      </c>
    </row>
    <row r="2244" spans="1:7" hidden="1" x14ac:dyDescent="0.35">
      <c r="A2244" s="402"/>
      <c r="B2244" s="402"/>
      <c r="C2244" s="412"/>
      <c r="D2244" s="841"/>
      <c r="E2244" s="41"/>
      <c r="G2244" t="s">
        <v>247</v>
      </c>
    </row>
    <row r="2245" spans="1:7" hidden="1" x14ac:dyDescent="0.35">
      <c r="A2245" s="402"/>
      <c r="B2245" s="402"/>
      <c r="C2245" s="412"/>
      <c r="D2245" s="841"/>
      <c r="G2245" t="s">
        <v>247</v>
      </c>
    </row>
    <row r="2246" spans="1:7" ht="15" hidden="1" thickBot="1" x14ac:dyDescent="0.4">
      <c r="A2246" s="407"/>
      <c r="B2246" s="407"/>
      <c r="C2246" s="413"/>
      <c r="D2246" s="854"/>
      <c r="E2246" s="55"/>
      <c r="G2246" t="s">
        <v>247</v>
      </c>
    </row>
    <row r="2247" spans="1:7" ht="15.75" hidden="1" customHeight="1" thickTop="1" x14ac:dyDescent="0.35">
      <c r="A2247" s="402" t="s">
        <v>6064</v>
      </c>
      <c r="B2247" s="402"/>
      <c r="C2247" s="412"/>
      <c r="D2247" s="841" t="s">
        <v>6065</v>
      </c>
      <c r="E2247" s="545">
        <f>'Verification Report'!O2248</f>
        <v>0</v>
      </c>
      <c r="F2247" s="400" t="str">
        <f>IF(LEN('Verification Report'!W2250)=0,"",'Verification Report'!W2250)</f>
        <v/>
      </c>
      <c r="G2247" t="s">
        <v>247</v>
      </c>
    </row>
    <row r="2248" spans="1:7" hidden="1" x14ac:dyDescent="0.35">
      <c r="A2248" s="412"/>
      <c r="B2248" s="412"/>
      <c r="C2248" s="412"/>
      <c r="D2248" s="841"/>
      <c r="E2248" s="41"/>
      <c r="G2248" t="s">
        <v>247</v>
      </c>
    </row>
    <row r="2249" spans="1:7" hidden="1" x14ac:dyDescent="0.35">
      <c r="A2249" s="412"/>
      <c r="B2249" s="412"/>
      <c r="C2249" s="412"/>
      <c r="D2249" s="841"/>
      <c r="E2249" s="41"/>
      <c r="G2249" t="s">
        <v>247</v>
      </c>
    </row>
    <row r="2250" spans="1:7" hidden="1" x14ac:dyDescent="0.35">
      <c r="A2250" s="412"/>
      <c r="B2250" s="412"/>
      <c r="C2250" s="412"/>
      <c r="D2250" s="841"/>
      <c r="E2250" s="41"/>
      <c r="G2250" t="s">
        <v>247</v>
      </c>
    </row>
    <row r="2251" spans="1:7" ht="18.5" hidden="1" x14ac:dyDescent="0.45">
      <c r="A2251" s="14" t="s">
        <v>3371</v>
      </c>
      <c r="B2251" s="14"/>
      <c r="C2251" s="14"/>
      <c r="D2251" s="584"/>
      <c r="E2251" s="549"/>
      <c r="G2251" t="s">
        <v>247</v>
      </c>
    </row>
    <row r="2252" spans="1:7" ht="15" hidden="1" customHeight="1" x14ac:dyDescent="0.35">
      <c r="A2252" s="143">
        <v>1001</v>
      </c>
      <c r="B2252" s="4"/>
      <c r="C2252" s="4"/>
      <c r="D2252" s="838" t="s">
        <v>3277</v>
      </c>
      <c r="G2252" t="s">
        <v>247</v>
      </c>
    </row>
    <row r="2253" spans="1:7" ht="15" hidden="1" thickBot="1" x14ac:dyDescent="0.4">
      <c r="A2253" s="160"/>
      <c r="B2253" s="160"/>
      <c r="C2253" s="160"/>
      <c r="D2253" s="849"/>
      <c r="E2253" s="55"/>
      <c r="G2253" t="s">
        <v>247</v>
      </c>
    </row>
    <row r="2254" spans="1:7" ht="15.75" hidden="1" customHeight="1" thickTop="1" x14ac:dyDescent="0.35">
      <c r="A2254" s="31">
        <v>1001.1</v>
      </c>
      <c r="B2254" s="4"/>
      <c r="C2254" s="4"/>
      <c r="D2254" s="838" t="s">
        <v>3278</v>
      </c>
      <c r="E2254" s="41">
        <f>'Verification Report'!O2255</f>
        <v>0</v>
      </c>
      <c r="G2254" t="s">
        <v>247</v>
      </c>
    </row>
    <row r="2255" spans="1:7" hidden="1" x14ac:dyDescent="0.35">
      <c r="A2255" s="4"/>
      <c r="B2255" s="4"/>
      <c r="C2255" s="4"/>
      <c r="D2255" s="838"/>
      <c r="E2255" s="41"/>
      <c r="G2255" t="s">
        <v>247</v>
      </c>
    </row>
    <row r="2256" spans="1:7" hidden="1" x14ac:dyDescent="0.35">
      <c r="A2256" s="4"/>
      <c r="B2256" s="4"/>
      <c r="C2256" s="4"/>
      <c r="D2256" s="145" t="s">
        <v>3370</v>
      </c>
      <c r="E2256" s="41"/>
      <c r="G2256" t="s">
        <v>247</v>
      </c>
    </row>
    <row r="2257" spans="1:7" hidden="1" x14ac:dyDescent="0.35">
      <c r="A2257" s="4"/>
      <c r="B2257" s="129" t="s">
        <v>256</v>
      </c>
      <c r="C2257" s="133"/>
      <c r="D2257" s="228" t="s">
        <v>3279</v>
      </c>
      <c r="E2257" s="41"/>
      <c r="F2257" s="400" t="str">
        <f>IF(LEN('Verification Report'!W2260)=0,"",'Verification Report'!W2260)</f>
        <v/>
      </c>
      <c r="G2257" t="s">
        <v>247</v>
      </c>
    </row>
    <row r="2258" spans="1:7" hidden="1" x14ac:dyDescent="0.35">
      <c r="A2258" s="4"/>
      <c r="B2258" s="130" t="s">
        <v>258</v>
      </c>
      <c r="C2258" s="163"/>
      <c r="D2258" s="178" t="s">
        <v>3280</v>
      </c>
      <c r="E2258" s="41"/>
      <c r="F2258" s="400" t="str">
        <f>IF(LEN('Verification Report'!W2261)=0,"",'Verification Report'!W2261)</f>
        <v/>
      </c>
      <c r="G2258" t="s">
        <v>247</v>
      </c>
    </row>
    <row r="2259" spans="1:7" ht="15" hidden="1" customHeight="1" x14ac:dyDescent="0.35">
      <c r="A2259" s="4"/>
      <c r="B2259" s="132" t="s">
        <v>260</v>
      </c>
      <c r="C2259" s="118"/>
      <c r="D2259" s="836" t="s">
        <v>3281</v>
      </c>
      <c r="E2259" s="41"/>
      <c r="F2259" s="400" t="str">
        <f>IF(LEN('Verification Report'!W2262)=0,"",'Verification Report'!W2262)</f>
        <v/>
      </c>
      <c r="G2259" t="s">
        <v>247</v>
      </c>
    </row>
    <row r="2260" spans="1:7" hidden="1" x14ac:dyDescent="0.35">
      <c r="A2260" s="4"/>
      <c r="B2260" s="19"/>
      <c r="C2260" s="4"/>
      <c r="D2260" s="814"/>
      <c r="E2260" s="41"/>
      <c r="G2260" t="s">
        <v>247</v>
      </c>
    </row>
    <row r="2261" spans="1:7" hidden="1" x14ac:dyDescent="0.35">
      <c r="A2261" s="4"/>
      <c r="B2261" s="19"/>
      <c r="C2261" s="4"/>
      <c r="D2261" s="814"/>
      <c r="E2261" s="41"/>
      <c r="G2261" t="s">
        <v>247</v>
      </c>
    </row>
    <row r="2262" spans="1:7" hidden="1" x14ac:dyDescent="0.35">
      <c r="A2262" s="4"/>
      <c r="B2262" s="129"/>
      <c r="C2262" s="133"/>
      <c r="D2262" s="815"/>
      <c r="E2262" s="41"/>
      <c r="G2262" t="s">
        <v>247</v>
      </c>
    </row>
    <row r="2263" spans="1:7" hidden="1" x14ac:dyDescent="0.35">
      <c r="A2263" s="4"/>
      <c r="B2263" s="130" t="s">
        <v>269</v>
      </c>
      <c r="C2263" s="163"/>
      <c r="D2263" s="178" t="s">
        <v>3282</v>
      </c>
      <c r="E2263" s="41"/>
      <c r="F2263" s="400" t="str">
        <f>IF(LEN('Verification Report'!W2266)=0,"",'Verification Report'!W2266)</f>
        <v/>
      </c>
      <c r="G2263" t="s">
        <v>247</v>
      </c>
    </row>
    <row r="2264" spans="1:7" hidden="1" x14ac:dyDescent="0.35">
      <c r="A2264" s="4"/>
      <c r="B2264" s="130" t="s">
        <v>275</v>
      </c>
      <c r="C2264" s="163"/>
      <c r="D2264" s="178" t="s">
        <v>3283</v>
      </c>
      <c r="E2264" s="41"/>
      <c r="F2264" s="400" t="str">
        <f>IF(LEN('Verification Report'!W2267)=0,"",'Verification Report'!W2267)</f>
        <v/>
      </c>
      <c r="G2264" t="s">
        <v>247</v>
      </c>
    </row>
    <row r="2265" spans="1:7" ht="15" hidden="1" customHeight="1" x14ac:dyDescent="0.35">
      <c r="A2265" s="4"/>
      <c r="B2265" s="132" t="s">
        <v>277</v>
      </c>
      <c r="C2265" s="118"/>
      <c r="D2265" s="836" t="s">
        <v>3284</v>
      </c>
      <c r="E2265" s="41"/>
      <c r="F2265" s="400" t="str">
        <f>IF(LEN('Verification Report'!W2268)=0,"",'Verification Report'!W2268)</f>
        <v/>
      </c>
      <c r="G2265" t="s">
        <v>247</v>
      </c>
    </row>
    <row r="2266" spans="1:7" hidden="1" x14ac:dyDescent="0.35">
      <c r="A2266" s="4"/>
      <c r="B2266" s="129"/>
      <c r="C2266" s="133"/>
      <c r="D2266" s="815"/>
      <c r="E2266" s="41"/>
      <c r="G2266" t="s">
        <v>247</v>
      </c>
    </row>
    <row r="2267" spans="1:7" ht="15" hidden="1" customHeight="1" x14ac:dyDescent="0.35">
      <c r="A2267" s="4"/>
      <c r="B2267" s="132" t="s">
        <v>383</v>
      </c>
      <c r="C2267" s="118"/>
      <c r="D2267" s="836" t="s">
        <v>3285</v>
      </c>
      <c r="E2267" s="41"/>
      <c r="F2267" s="400" t="str">
        <f>IF(LEN('Verification Report'!W2270)=0,"",'Verification Report'!W2270)</f>
        <v/>
      </c>
      <c r="G2267" t="s">
        <v>247</v>
      </c>
    </row>
    <row r="2268" spans="1:7" hidden="1" x14ac:dyDescent="0.35">
      <c r="A2268" s="4"/>
      <c r="B2268" s="129"/>
      <c r="C2268" s="133"/>
      <c r="D2268" s="815"/>
      <c r="E2268" s="41"/>
      <c r="G2268" t="s">
        <v>247</v>
      </c>
    </row>
    <row r="2269" spans="1:7" hidden="1" x14ac:dyDescent="0.35">
      <c r="A2269" s="4"/>
      <c r="B2269" s="130" t="s">
        <v>428</v>
      </c>
      <c r="C2269" s="163"/>
      <c r="D2269" s="178" t="s">
        <v>3286</v>
      </c>
      <c r="E2269" s="41"/>
      <c r="F2269" s="400" t="str">
        <f>IF(LEN('Verification Report'!W2272)=0,"",'Verification Report'!W2272)</f>
        <v/>
      </c>
      <c r="G2269" t="s">
        <v>247</v>
      </c>
    </row>
    <row r="2270" spans="1:7" ht="15" hidden="1" customHeight="1" x14ac:dyDescent="0.35">
      <c r="A2270" s="4"/>
      <c r="B2270" s="19" t="s">
        <v>430</v>
      </c>
      <c r="C2270" s="4"/>
      <c r="D2270" s="820" t="s">
        <v>3287</v>
      </c>
      <c r="E2270" s="41"/>
      <c r="F2270" s="400" t="str">
        <f>IF(LEN('Verification Report'!W2273)=0,"",'Verification Report'!W2273)</f>
        <v/>
      </c>
      <c r="G2270" t="s">
        <v>247</v>
      </c>
    </row>
    <row r="2271" spans="1:7" hidden="1" x14ac:dyDescent="0.35">
      <c r="A2271" s="4"/>
      <c r="B2271" s="19"/>
      <c r="C2271" s="4"/>
      <c r="D2271" s="821"/>
      <c r="E2271" s="41"/>
      <c r="G2271" t="s">
        <v>247</v>
      </c>
    </row>
    <row r="2272" spans="1:7" hidden="1" x14ac:dyDescent="0.35">
      <c r="A2272" s="4"/>
      <c r="B2272" s="130" t="s">
        <v>432</v>
      </c>
      <c r="C2272" s="163"/>
      <c r="D2272" s="178" t="s">
        <v>3288</v>
      </c>
      <c r="E2272" s="41"/>
      <c r="F2272" s="400" t="str">
        <f>IF(LEN('Verification Report'!W2275)=0,"",'Verification Report'!W2275)</f>
        <v/>
      </c>
      <c r="G2272" t="s">
        <v>247</v>
      </c>
    </row>
    <row r="2273" spans="1:7" ht="15" hidden="1" customHeight="1" x14ac:dyDescent="0.35">
      <c r="A2273" s="4"/>
      <c r="B2273" s="19" t="s">
        <v>434</v>
      </c>
      <c r="C2273" s="4"/>
      <c r="D2273" s="90" t="s">
        <v>3289</v>
      </c>
      <c r="E2273" s="41"/>
      <c r="F2273" s="400" t="str">
        <f>IF(LEN('Verification Report'!W2276)=0,"",'Verification Report'!W2276)</f>
        <v/>
      </c>
      <c r="G2273" t="s">
        <v>247</v>
      </c>
    </row>
    <row r="2274" spans="1:7" ht="15" hidden="1" customHeight="1" x14ac:dyDescent="0.35">
      <c r="A2274" s="4"/>
      <c r="B2274" s="132" t="s">
        <v>436</v>
      </c>
      <c r="C2274" s="118"/>
      <c r="D2274" s="836" t="s">
        <v>3290</v>
      </c>
      <c r="E2274" s="41"/>
      <c r="F2274" s="400" t="str">
        <f>IF(LEN('Verification Report'!W2277)=0,"",'Verification Report'!W2277)</f>
        <v/>
      </c>
      <c r="G2274" t="s">
        <v>247</v>
      </c>
    </row>
    <row r="2275" spans="1:7" hidden="1" x14ac:dyDescent="0.35">
      <c r="A2275" s="4"/>
      <c r="B2275" s="4"/>
      <c r="C2275" s="4"/>
      <c r="D2275" s="814"/>
      <c r="E2275" s="41"/>
      <c r="G2275" t="s">
        <v>247</v>
      </c>
    </row>
    <row r="2276" spans="1:7" hidden="1" x14ac:dyDescent="0.35">
      <c r="A2276" s="4"/>
      <c r="B2276" s="4"/>
      <c r="C2276" s="19" t="s">
        <v>121</v>
      </c>
      <c r="D2276" s="90" t="s">
        <v>3291</v>
      </c>
      <c r="E2276" s="41"/>
      <c r="G2276" t="s">
        <v>247</v>
      </c>
    </row>
    <row r="2277" spans="1:7" hidden="1" x14ac:dyDescent="0.35">
      <c r="A2277" s="4"/>
      <c r="B2277" s="4"/>
      <c r="C2277" s="19" t="s">
        <v>122</v>
      </c>
      <c r="D2277" s="90" t="s">
        <v>3292</v>
      </c>
      <c r="E2277" s="41"/>
      <c r="G2277" t="s">
        <v>247</v>
      </c>
    </row>
    <row r="2278" spans="1:7" ht="15" hidden="1" customHeight="1" x14ac:dyDescent="0.35">
      <c r="A2278" s="4"/>
      <c r="B2278" s="4"/>
      <c r="C2278" s="19" t="s">
        <v>123</v>
      </c>
      <c r="D2278" s="814" t="s">
        <v>3293</v>
      </c>
      <c r="E2278" s="41"/>
      <c r="G2278" t="s">
        <v>247</v>
      </c>
    </row>
    <row r="2279" spans="1:7" hidden="1" x14ac:dyDescent="0.35">
      <c r="A2279" s="4"/>
      <c r="B2279" s="133"/>
      <c r="C2279" s="133"/>
      <c r="D2279" s="815"/>
      <c r="E2279" s="41"/>
      <c r="G2279" t="s">
        <v>247</v>
      </c>
    </row>
    <row r="2280" spans="1:7" ht="15" hidden="1" customHeight="1" x14ac:dyDescent="0.35">
      <c r="A2280" s="4"/>
      <c r="B2280" s="132" t="s">
        <v>3294</v>
      </c>
      <c r="C2280" s="118"/>
      <c r="D2280" s="836" t="s">
        <v>3295</v>
      </c>
      <c r="E2280" s="41"/>
      <c r="F2280" s="400" t="str">
        <f>IF(LEN('Verification Report'!W2283)=0,"",'Verification Report'!W2283)</f>
        <v/>
      </c>
      <c r="G2280" t="s">
        <v>247</v>
      </c>
    </row>
    <row r="2281" spans="1:7" hidden="1" x14ac:dyDescent="0.35">
      <c r="A2281" s="4"/>
      <c r="B2281" s="4"/>
      <c r="C2281" s="4"/>
      <c r="D2281" s="814"/>
      <c r="E2281" s="41"/>
      <c r="G2281" t="s">
        <v>247</v>
      </c>
    </row>
    <row r="2282" spans="1:7" hidden="1" x14ac:dyDescent="0.35">
      <c r="A2282" s="4"/>
      <c r="B2282" s="4"/>
      <c r="C2282" s="4"/>
      <c r="D2282" s="814"/>
      <c r="E2282" s="41"/>
      <c r="G2282" t="s">
        <v>247</v>
      </c>
    </row>
    <row r="2283" spans="1:7" hidden="1" x14ac:dyDescent="0.35">
      <c r="A2283" s="4"/>
      <c r="B2283" s="133"/>
      <c r="C2283" s="133"/>
      <c r="D2283" s="815"/>
      <c r="E2283" s="41"/>
      <c r="G2283" t="s">
        <v>247</v>
      </c>
    </row>
    <row r="2284" spans="1:7" ht="15" hidden="1" customHeight="1" x14ac:dyDescent="0.35">
      <c r="A2284" s="4"/>
      <c r="B2284" s="132" t="s">
        <v>3296</v>
      </c>
      <c r="C2284" s="118"/>
      <c r="D2284" s="836" t="s">
        <v>3297</v>
      </c>
      <c r="E2284" s="41"/>
      <c r="F2284" s="400" t="str">
        <f>IF(LEN('Verification Report'!W2287)=0,"",'Verification Report'!W2287)</f>
        <v/>
      </c>
      <c r="G2284" t="s">
        <v>247</v>
      </c>
    </row>
    <row r="2285" spans="1:7" hidden="1" x14ac:dyDescent="0.35">
      <c r="A2285" s="4"/>
      <c r="B2285" s="133"/>
      <c r="C2285" s="133"/>
      <c r="D2285" s="815"/>
      <c r="E2285" s="41"/>
      <c r="G2285" t="s">
        <v>247</v>
      </c>
    </row>
    <row r="2286" spans="1:7" ht="15" hidden="1" customHeight="1" x14ac:dyDescent="0.35">
      <c r="A2286" s="4"/>
      <c r="B2286" s="132" t="s">
        <v>3298</v>
      </c>
      <c r="C2286" s="118"/>
      <c r="D2286" s="836" t="s">
        <v>3299</v>
      </c>
      <c r="E2286" s="41"/>
      <c r="F2286" s="400" t="str">
        <f>IF(LEN('Verification Report'!W2289)=0,"",'Verification Report'!W2289)</f>
        <v/>
      </c>
      <c r="G2286" t="s">
        <v>247</v>
      </c>
    </row>
    <row r="2287" spans="1:7" hidden="1" x14ac:dyDescent="0.35">
      <c r="A2287" s="4"/>
      <c r="B2287" s="133"/>
      <c r="C2287" s="133"/>
      <c r="D2287" s="815"/>
      <c r="E2287" s="41"/>
      <c r="G2287" t="s">
        <v>247</v>
      </c>
    </row>
    <row r="2288" spans="1:7" hidden="1" x14ac:dyDescent="0.35">
      <c r="A2288" s="4"/>
      <c r="B2288" s="130" t="s">
        <v>3300</v>
      </c>
      <c r="C2288" s="163"/>
      <c r="D2288" s="178" t="s">
        <v>3301</v>
      </c>
      <c r="E2288" s="41"/>
      <c r="F2288" s="400" t="str">
        <f>IF(LEN('Verification Report'!W2291)=0,"",'Verification Report'!W2291)</f>
        <v/>
      </c>
      <c r="G2288" t="s">
        <v>247</v>
      </c>
    </row>
    <row r="2289" spans="1:7" ht="15" hidden="1" customHeight="1" x14ac:dyDescent="0.35">
      <c r="A2289" s="4"/>
      <c r="B2289" s="132" t="s">
        <v>3302</v>
      </c>
      <c r="C2289" s="118"/>
      <c r="D2289" s="820" t="s">
        <v>3303</v>
      </c>
      <c r="E2289" s="41"/>
      <c r="F2289" s="400" t="str">
        <f>IF(LEN('Verification Report'!W2292)=0,"",'Verification Report'!W2292)</f>
        <v/>
      </c>
      <c r="G2289" t="s">
        <v>247</v>
      </c>
    </row>
    <row r="2290" spans="1:7" hidden="1" x14ac:dyDescent="0.35">
      <c r="A2290" s="4"/>
      <c r="B2290" s="129"/>
      <c r="C2290" s="133"/>
      <c r="D2290" s="821"/>
      <c r="E2290" s="41"/>
      <c r="G2290" t="s">
        <v>247</v>
      </c>
    </row>
    <row r="2291" spans="1:7" ht="15" hidden="1" customHeight="1" x14ac:dyDescent="0.35">
      <c r="A2291" s="4"/>
      <c r="B2291" s="132" t="s">
        <v>3304</v>
      </c>
      <c r="C2291" s="118"/>
      <c r="D2291" s="836" t="s">
        <v>3305</v>
      </c>
      <c r="E2291" s="41"/>
      <c r="F2291" s="400" t="str">
        <f>IF(LEN('Verification Report'!W2294)=0,"",'Verification Report'!W2294)</f>
        <v/>
      </c>
      <c r="G2291" t="s">
        <v>247</v>
      </c>
    </row>
    <row r="2292" spans="1:7" hidden="1" x14ac:dyDescent="0.35">
      <c r="A2292" s="4"/>
      <c r="B2292" s="133"/>
      <c r="C2292" s="133"/>
      <c r="D2292" s="815"/>
      <c r="E2292" s="41"/>
      <c r="G2292" t="s">
        <v>247</v>
      </c>
    </row>
    <row r="2293" spans="1:7" hidden="1" x14ac:dyDescent="0.35">
      <c r="A2293" s="4"/>
      <c r="B2293" s="130" t="s">
        <v>3306</v>
      </c>
      <c r="C2293" s="163"/>
      <c r="D2293" s="178" t="s">
        <v>3307</v>
      </c>
      <c r="E2293" s="41"/>
      <c r="F2293" s="400" t="str">
        <f>IF(LEN('Verification Report'!W2296)=0,"",'Verification Report'!W2296)</f>
        <v/>
      </c>
      <c r="G2293" t="s">
        <v>247</v>
      </c>
    </row>
    <row r="2294" spans="1:7" ht="15" hidden="1" customHeight="1" x14ac:dyDescent="0.35">
      <c r="A2294" s="4"/>
      <c r="B2294" s="132" t="s">
        <v>3308</v>
      </c>
      <c r="C2294" s="118"/>
      <c r="D2294" s="836" t="s">
        <v>3309</v>
      </c>
      <c r="E2294" s="41"/>
      <c r="F2294" s="400" t="str">
        <f>IF(LEN('Verification Report'!W2297)=0,"",'Verification Report'!W2297)</f>
        <v/>
      </c>
      <c r="G2294" t="s">
        <v>247</v>
      </c>
    </row>
    <row r="2295" spans="1:7" hidden="1" x14ac:dyDescent="0.35">
      <c r="A2295" s="4"/>
      <c r="B2295" s="133"/>
      <c r="C2295" s="133"/>
      <c r="D2295" s="815"/>
      <c r="E2295" s="41"/>
      <c r="G2295" t="s">
        <v>247</v>
      </c>
    </row>
    <row r="2296" spans="1:7" ht="15" hidden="1" customHeight="1" x14ac:dyDescent="0.35">
      <c r="A2296" s="4"/>
      <c r="B2296" s="132" t="s">
        <v>3310</v>
      </c>
      <c r="C2296" s="118"/>
      <c r="D2296" s="836" t="s">
        <v>3311</v>
      </c>
      <c r="E2296" s="41"/>
      <c r="F2296" s="400" t="str">
        <f>IF(LEN('Verification Report'!W2299)=0,"",'Verification Report'!W2299)</f>
        <v/>
      </c>
      <c r="G2296" t="s">
        <v>247</v>
      </c>
    </row>
    <row r="2297" spans="1:7" hidden="1" x14ac:dyDescent="0.35">
      <c r="A2297" s="4"/>
      <c r="B2297" s="133"/>
      <c r="C2297" s="133"/>
      <c r="D2297" s="815"/>
      <c r="E2297" s="41"/>
      <c r="G2297" t="s">
        <v>247</v>
      </c>
    </row>
    <row r="2298" spans="1:7" ht="15" hidden="1" customHeight="1" x14ac:dyDescent="0.35">
      <c r="A2298" s="4"/>
      <c r="B2298" s="132" t="s">
        <v>3312</v>
      </c>
      <c r="C2298" s="118"/>
      <c r="D2298" s="836" t="s">
        <v>3313</v>
      </c>
      <c r="E2298" s="41"/>
      <c r="F2298" s="400" t="str">
        <f>IF(LEN('Verification Report'!W2301)=0,"",'Verification Report'!W2301)</f>
        <v/>
      </c>
      <c r="G2298" t="s">
        <v>247</v>
      </c>
    </row>
    <row r="2299" spans="1:7" hidden="1" x14ac:dyDescent="0.35">
      <c r="A2299" s="4"/>
      <c r="B2299" s="133"/>
      <c r="C2299" s="133"/>
      <c r="D2299" s="815"/>
      <c r="E2299" s="41"/>
      <c r="G2299" t="s">
        <v>247</v>
      </c>
    </row>
    <row r="2300" spans="1:7" hidden="1" x14ac:dyDescent="0.35">
      <c r="A2300" s="4"/>
      <c r="B2300" s="130" t="s">
        <v>3314</v>
      </c>
      <c r="C2300" s="163"/>
      <c r="D2300" s="178" t="s">
        <v>3315</v>
      </c>
      <c r="E2300" s="41"/>
      <c r="F2300" s="400" t="str">
        <f>IF(LEN('Verification Report'!W2303)=0,"",'Verification Report'!W2303)</f>
        <v/>
      </c>
      <c r="G2300" t="s">
        <v>247</v>
      </c>
    </row>
    <row r="2301" spans="1:7" ht="15" hidden="1" thickBot="1" x14ac:dyDescent="0.4">
      <c r="A2301" s="160"/>
      <c r="B2301" s="115" t="s">
        <v>3316</v>
      </c>
      <c r="C2301" s="160"/>
      <c r="D2301" s="229" t="s">
        <v>3317</v>
      </c>
      <c r="E2301" s="72"/>
      <c r="F2301" s="400" t="str">
        <f>IF(LEN('Verification Report'!W2304)=0,"",'Verification Report'!W2304)</f>
        <v/>
      </c>
      <c r="G2301" t="s">
        <v>247</v>
      </c>
    </row>
    <row r="2302" spans="1:7" ht="15.75" hidden="1" customHeight="1" thickTop="1" x14ac:dyDescent="0.35">
      <c r="A2302" s="30">
        <v>1001.2</v>
      </c>
      <c r="B2302" s="4"/>
      <c r="C2302" s="4"/>
      <c r="D2302" s="838" t="s">
        <v>3318</v>
      </c>
      <c r="E2302" s="545">
        <f>'Verification Report'!O2303</f>
        <v>0</v>
      </c>
      <c r="F2302" s="400" t="str">
        <f>IF(LEN('Verification Report'!W2305)=0,"",'Verification Report'!W2305)</f>
        <v/>
      </c>
      <c r="G2302" t="s">
        <v>247</v>
      </c>
    </row>
    <row r="2303" spans="1:7" hidden="1" x14ac:dyDescent="0.35">
      <c r="A2303" s="4"/>
      <c r="B2303" s="4"/>
      <c r="C2303" s="4"/>
      <c r="D2303" s="838"/>
      <c r="E2303" s="41"/>
      <c r="G2303" t="s">
        <v>247</v>
      </c>
    </row>
    <row r="2304" spans="1:7" hidden="1" x14ac:dyDescent="0.35">
      <c r="A2304" s="4"/>
      <c r="B2304" s="4"/>
      <c r="C2304" s="4"/>
      <c r="D2304" s="838"/>
      <c r="E2304" s="41"/>
      <c r="G2304" t="s">
        <v>247</v>
      </c>
    </row>
    <row r="2305" spans="1:7" hidden="1" x14ac:dyDescent="0.35">
      <c r="A2305" s="4"/>
      <c r="B2305" s="4"/>
      <c r="C2305" s="4"/>
      <c r="D2305" s="838"/>
      <c r="E2305" s="41"/>
      <c r="G2305" t="s">
        <v>247</v>
      </c>
    </row>
    <row r="2306" spans="1:7" hidden="1" x14ac:dyDescent="0.35">
      <c r="A2306" s="4"/>
      <c r="B2306" s="19" t="s">
        <v>256</v>
      </c>
      <c r="C2306" s="4"/>
      <c r="D2306" s="146" t="s">
        <v>3319</v>
      </c>
      <c r="E2306" s="41"/>
      <c r="G2306" t="s">
        <v>247</v>
      </c>
    </row>
    <row r="2307" spans="1:7" hidden="1" x14ac:dyDescent="0.35">
      <c r="A2307" s="4"/>
      <c r="B2307" s="19" t="s">
        <v>258</v>
      </c>
      <c r="C2307" s="4"/>
      <c r="D2307" s="146" t="s">
        <v>3320</v>
      </c>
      <c r="E2307" s="41"/>
      <c r="G2307" t="s">
        <v>247</v>
      </c>
    </row>
    <row r="2308" spans="1:7" hidden="1" x14ac:dyDescent="0.35">
      <c r="A2308" s="4"/>
      <c r="B2308" s="19" t="s">
        <v>260</v>
      </c>
      <c r="C2308" s="4"/>
      <c r="D2308" s="146" t="s">
        <v>3321</v>
      </c>
      <c r="E2308" s="41"/>
      <c r="G2308" t="s">
        <v>247</v>
      </c>
    </row>
    <row r="2309" spans="1:7" hidden="1" x14ac:dyDescent="0.35">
      <c r="A2309" s="4"/>
      <c r="B2309" s="19" t="s">
        <v>269</v>
      </c>
      <c r="C2309" s="4"/>
      <c r="D2309" s="146" t="s">
        <v>3322</v>
      </c>
      <c r="E2309" s="41"/>
      <c r="G2309" t="s">
        <v>247</v>
      </c>
    </row>
    <row r="2310" spans="1:7" hidden="1" x14ac:dyDescent="0.35">
      <c r="A2310" s="4"/>
      <c r="B2310" s="19" t="s">
        <v>275</v>
      </c>
      <c r="C2310" s="4"/>
      <c r="D2310" s="146" t="s">
        <v>3323</v>
      </c>
      <c r="E2310" s="41"/>
      <c r="G2310" t="s">
        <v>247</v>
      </c>
    </row>
    <row r="2311" spans="1:7" hidden="1" x14ac:dyDescent="0.35">
      <c r="A2311" s="4"/>
      <c r="B2311" s="19" t="s">
        <v>277</v>
      </c>
      <c r="C2311" s="4"/>
      <c r="D2311" s="146" t="s">
        <v>3324</v>
      </c>
      <c r="E2311" s="41"/>
      <c r="G2311" t="s">
        <v>247</v>
      </c>
    </row>
    <row r="2312" spans="1:7" hidden="1" x14ac:dyDescent="0.35">
      <c r="A2312" s="4"/>
      <c r="B2312" s="19" t="s">
        <v>383</v>
      </c>
      <c r="C2312" s="4"/>
      <c r="D2312" s="146" t="s">
        <v>3325</v>
      </c>
      <c r="E2312" s="41"/>
      <c r="G2312" t="s">
        <v>247</v>
      </c>
    </row>
    <row r="2313" spans="1:7" hidden="1" x14ac:dyDescent="0.35">
      <c r="B2313" s="402" t="s">
        <v>428</v>
      </c>
      <c r="C2313" s="412"/>
      <c r="D2313" s="90" t="s">
        <v>4546</v>
      </c>
      <c r="E2313" s="41"/>
      <c r="G2313" t="s">
        <v>247</v>
      </c>
    </row>
    <row r="2314" spans="1:7" ht="18.5" hidden="1" x14ac:dyDescent="0.45">
      <c r="A2314" s="10" t="s">
        <v>3326</v>
      </c>
      <c r="B2314" s="15"/>
      <c r="C2314" s="15"/>
      <c r="D2314" s="150"/>
      <c r="E2314" s="544"/>
      <c r="G2314" t="s">
        <v>247</v>
      </c>
    </row>
    <row r="2315" spans="1:7" ht="15" hidden="1" customHeight="1" x14ac:dyDescent="0.35">
      <c r="A2315" s="143">
        <v>1002</v>
      </c>
      <c r="B2315" s="4"/>
      <c r="C2315" s="4"/>
      <c r="D2315" s="838" t="s">
        <v>3327</v>
      </c>
      <c r="E2315" s="41"/>
      <c r="G2315" t="s">
        <v>247</v>
      </c>
    </row>
    <row r="2316" spans="1:7" hidden="1" x14ac:dyDescent="0.35">
      <c r="A2316" s="4"/>
      <c r="B2316" s="4"/>
      <c r="C2316" s="4"/>
      <c r="D2316" s="838"/>
      <c r="E2316" s="41"/>
      <c r="G2316" t="s">
        <v>247</v>
      </c>
    </row>
    <row r="2317" spans="1:7" hidden="1" x14ac:dyDescent="0.35">
      <c r="A2317" s="4"/>
      <c r="B2317" s="4"/>
      <c r="C2317" s="4"/>
      <c r="D2317" s="838"/>
      <c r="E2317" s="41"/>
      <c r="G2317" t="s">
        <v>247</v>
      </c>
    </row>
    <row r="2318" spans="1:7" hidden="1" x14ac:dyDescent="0.35">
      <c r="A2318" s="4"/>
      <c r="B2318" s="4"/>
      <c r="C2318" s="4"/>
      <c r="D2318" s="838"/>
      <c r="E2318" s="41"/>
      <c r="G2318" t="s">
        <v>247</v>
      </c>
    </row>
    <row r="2319" spans="1:7" hidden="1" x14ac:dyDescent="0.35">
      <c r="A2319" s="4"/>
      <c r="B2319" s="4"/>
      <c r="C2319" s="4"/>
      <c r="D2319" s="838"/>
      <c r="E2319" s="41"/>
      <c r="G2319" t="s">
        <v>247</v>
      </c>
    </row>
    <row r="2320" spans="1:7" ht="15" hidden="1" thickBot="1" x14ac:dyDescent="0.4">
      <c r="A2320" s="160"/>
      <c r="B2320" s="160"/>
      <c r="C2320" s="160"/>
      <c r="D2320" s="849"/>
      <c r="E2320" s="72"/>
      <c r="G2320" t="s">
        <v>247</v>
      </c>
    </row>
    <row r="2321" spans="1:7" ht="15.75" hidden="1" customHeight="1" thickTop="1" x14ac:dyDescent="0.35">
      <c r="A2321" s="30">
        <v>1002.1</v>
      </c>
      <c r="B2321" s="4"/>
      <c r="C2321" s="4"/>
      <c r="D2321" s="838" t="s">
        <v>3374</v>
      </c>
      <c r="E2321" s="597">
        <f>'Verification Report'!O2322</f>
        <v>0</v>
      </c>
      <c r="G2321" t="s">
        <v>247</v>
      </c>
    </row>
    <row r="2322" spans="1:7" hidden="1" x14ac:dyDescent="0.35">
      <c r="A2322" s="4"/>
      <c r="B2322" s="4"/>
      <c r="C2322" s="4"/>
      <c r="D2322" s="838"/>
      <c r="E2322" s="597"/>
      <c r="G2322" t="s">
        <v>247</v>
      </c>
    </row>
    <row r="2323" spans="1:7" hidden="1" x14ac:dyDescent="0.35">
      <c r="A2323" s="4"/>
      <c r="B2323" s="4"/>
      <c r="C2323" s="4"/>
      <c r="D2323" s="147" t="s">
        <v>3372</v>
      </c>
      <c r="E2323" s="597"/>
      <c r="G2323" t="s">
        <v>247</v>
      </c>
    </row>
    <row r="2324" spans="1:7" ht="15" hidden="1" customHeight="1" x14ac:dyDescent="0.35">
      <c r="A2324" s="4"/>
      <c r="B2324" s="19" t="s">
        <v>256</v>
      </c>
      <c r="C2324" s="4"/>
      <c r="D2324" s="814" t="s">
        <v>3328</v>
      </c>
      <c r="E2324" s="41"/>
      <c r="F2324" s="400" t="str">
        <f>IF(LEN('Verification Report'!W2327)=0,"",'Verification Report'!W2327)</f>
        <v/>
      </c>
      <c r="G2324" t="s">
        <v>247</v>
      </c>
    </row>
    <row r="2325" spans="1:7" hidden="1" x14ac:dyDescent="0.35">
      <c r="A2325" s="4"/>
      <c r="B2325" s="19"/>
      <c r="C2325" s="4"/>
      <c r="D2325" s="814"/>
      <c r="E2325" s="41"/>
      <c r="G2325" t="s">
        <v>247</v>
      </c>
    </row>
    <row r="2326" spans="1:7" hidden="1" x14ac:dyDescent="0.35">
      <c r="A2326" s="4"/>
      <c r="B2326" s="19"/>
      <c r="C2326" s="4"/>
      <c r="D2326" s="814"/>
      <c r="E2326" s="41"/>
      <c r="G2326" t="s">
        <v>247</v>
      </c>
    </row>
    <row r="2327" spans="1:7" ht="15" hidden="1" customHeight="1" x14ac:dyDescent="0.35">
      <c r="A2327" s="4"/>
      <c r="B2327" s="132" t="s">
        <v>258</v>
      </c>
      <c r="C2327" s="118"/>
      <c r="D2327" s="836" t="s">
        <v>3329</v>
      </c>
      <c r="E2327" s="41"/>
      <c r="F2327" s="400" t="str">
        <f>IF(LEN('Verification Report'!W2330)=0,"",'Verification Report'!W2330)</f>
        <v/>
      </c>
      <c r="G2327" t="s">
        <v>247</v>
      </c>
    </row>
    <row r="2328" spans="1:7" hidden="1" x14ac:dyDescent="0.35">
      <c r="A2328" s="4"/>
      <c r="B2328" s="19"/>
      <c r="C2328" s="4"/>
      <c r="D2328" s="814"/>
      <c r="E2328" s="41"/>
      <c r="G2328" t="s">
        <v>247</v>
      </c>
    </row>
    <row r="2329" spans="1:7" hidden="1" x14ac:dyDescent="0.35">
      <c r="A2329" s="4"/>
      <c r="B2329" s="129"/>
      <c r="C2329" s="133"/>
      <c r="D2329" s="815"/>
      <c r="E2329" s="41"/>
      <c r="G2329" t="s">
        <v>247</v>
      </c>
    </row>
    <row r="2330" spans="1:7" ht="15" hidden="1" customHeight="1" x14ac:dyDescent="0.35">
      <c r="A2330" s="4"/>
      <c r="B2330" s="19" t="s">
        <v>260</v>
      </c>
      <c r="C2330" s="4"/>
      <c r="D2330" s="814" t="s">
        <v>3330</v>
      </c>
      <c r="E2330" s="41"/>
      <c r="F2330" s="400" t="str">
        <f>IF(LEN('Verification Report'!W2333)=0,"",'Verification Report'!W2333)</f>
        <v/>
      </c>
      <c r="G2330" t="s">
        <v>247</v>
      </c>
    </row>
    <row r="2331" spans="1:7" hidden="1" x14ac:dyDescent="0.35">
      <c r="A2331" s="4"/>
      <c r="B2331" s="19"/>
      <c r="C2331" s="4"/>
      <c r="D2331" s="814"/>
      <c r="E2331" s="41"/>
      <c r="G2331" t="s">
        <v>247</v>
      </c>
    </row>
    <row r="2332" spans="1:7" hidden="1" x14ac:dyDescent="0.35">
      <c r="A2332" s="4"/>
      <c r="B2332" s="130" t="s">
        <v>269</v>
      </c>
      <c r="C2332" s="163"/>
      <c r="D2332" s="178" t="s">
        <v>3331</v>
      </c>
      <c r="E2332" s="41"/>
      <c r="F2332" s="400" t="str">
        <f>IF(LEN('Verification Report'!W2335)=0,"",'Verification Report'!W2335)</f>
        <v/>
      </c>
      <c r="G2332" t="s">
        <v>247</v>
      </c>
    </row>
    <row r="2333" spans="1:7" ht="15" hidden="1" customHeight="1" x14ac:dyDescent="0.35">
      <c r="A2333" s="4"/>
      <c r="B2333" s="19" t="s">
        <v>275</v>
      </c>
      <c r="C2333" s="4"/>
      <c r="D2333" s="814" t="s">
        <v>3332</v>
      </c>
      <c r="E2333" s="41"/>
      <c r="F2333" s="400" t="str">
        <f>IF(LEN('Verification Report'!W2336)=0,"",'Verification Report'!W2336)</f>
        <v/>
      </c>
      <c r="G2333" t="s">
        <v>247</v>
      </c>
    </row>
    <row r="2334" spans="1:7" hidden="1" x14ac:dyDescent="0.35">
      <c r="A2334" s="4"/>
      <c r="B2334" s="19"/>
      <c r="C2334" s="4"/>
      <c r="D2334" s="814"/>
      <c r="E2334" s="41"/>
      <c r="G2334" t="s">
        <v>247</v>
      </c>
    </row>
    <row r="2335" spans="1:7" ht="15" hidden="1" customHeight="1" x14ac:dyDescent="0.35">
      <c r="A2335" s="4"/>
      <c r="B2335" s="130" t="s">
        <v>277</v>
      </c>
      <c r="C2335" s="163"/>
      <c r="D2335" s="178" t="s">
        <v>3289</v>
      </c>
      <c r="E2335" s="41"/>
      <c r="F2335" s="400" t="str">
        <f>IF(LEN('Verification Report'!W2338)=0,"",'Verification Report'!W2338)</f>
        <v/>
      </c>
      <c r="G2335" t="s">
        <v>247</v>
      </c>
    </row>
    <row r="2336" spans="1:7" hidden="1" x14ac:dyDescent="0.35">
      <c r="A2336" s="4"/>
      <c r="B2336" s="130" t="s">
        <v>383</v>
      </c>
      <c r="C2336" s="163"/>
      <c r="D2336" s="178" t="s">
        <v>3333</v>
      </c>
      <c r="E2336" s="41"/>
      <c r="F2336" s="400" t="str">
        <f>IF(LEN('Verification Report'!W2339)=0,"",'Verification Report'!W2339)</f>
        <v/>
      </c>
      <c r="G2336" t="s">
        <v>247</v>
      </c>
    </row>
    <row r="2337" spans="1:7" ht="15" hidden="1" customHeight="1" x14ac:dyDescent="0.35">
      <c r="A2337" s="4"/>
      <c r="B2337" s="19" t="s">
        <v>428</v>
      </c>
      <c r="C2337" s="4"/>
      <c r="D2337" s="814" t="s">
        <v>3334</v>
      </c>
      <c r="E2337" s="41"/>
      <c r="F2337" s="400" t="str">
        <f>IF(LEN('Verification Report'!W2340)=0,"",'Verification Report'!W2340)</f>
        <v/>
      </c>
      <c r="G2337" t="s">
        <v>247</v>
      </c>
    </row>
    <row r="2338" spans="1:7" ht="15" hidden="1" thickBot="1" x14ac:dyDescent="0.4">
      <c r="A2338" s="160"/>
      <c r="B2338" s="160"/>
      <c r="C2338" s="160"/>
      <c r="D2338" s="839"/>
      <c r="E2338" s="72"/>
      <c r="G2338" t="s">
        <v>247</v>
      </c>
    </row>
    <row r="2339" spans="1:7" ht="15.75" hidden="1" customHeight="1" thickTop="1" x14ac:dyDescent="0.35">
      <c r="A2339" s="31">
        <v>1002.2</v>
      </c>
      <c r="B2339" s="4"/>
      <c r="C2339" s="4"/>
      <c r="D2339" s="838" t="s">
        <v>3375</v>
      </c>
      <c r="E2339" s="597">
        <f>'Verification Report'!O2340</f>
        <v>0</v>
      </c>
      <c r="G2339" t="s">
        <v>247</v>
      </c>
    </row>
    <row r="2340" spans="1:7" hidden="1" x14ac:dyDescent="0.35">
      <c r="A2340" s="4"/>
      <c r="B2340" s="4"/>
      <c r="C2340" s="4"/>
      <c r="D2340" s="838"/>
      <c r="E2340" s="597"/>
      <c r="G2340" t="s">
        <v>247</v>
      </c>
    </row>
    <row r="2341" spans="1:7" hidden="1" x14ac:dyDescent="0.35">
      <c r="A2341" s="4"/>
      <c r="B2341" s="4"/>
      <c r="C2341" s="4"/>
      <c r="D2341" s="838"/>
      <c r="E2341" s="597"/>
      <c r="G2341" t="s">
        <v>247</v>
      </c>
    </row>
    <row r="2342" spans="1:7" hidden="1" x14ac:dyDescent="0.35">
      <c r="A2342" s="4"/>
      <c r="B2342" s="4"/>
      <c r="C2342" s="4"/>
      <c r="D2342" s="148" t="s">
        <v>3372</v>
      </c>
      <c r="E2342" s="597"/>
      <c r="G2342" t="s">
        <v>247</v>
      </c>
    </row>
    <row r="2343" spans="1:7" ht="15" hidden="1" customHeight="1" x14ac:dyDescent="0.35">
      <c r="A2343" s="4"/>
      <c r="B2343" s="19" t="s">
        <v>256</v>
      </c>
      <c r="C2343" s="4"/>
      <c r="D2343" s="814" t="s">
        <v>3335</v>
      </c>
      <c r="E2343" s="41"/>
      <c r="F2343" s="400" t="str">
        <f>IF(LEN('Verification Report'!W2346)=0,"",'Verification Report'!W2346)</f>
        <v/>
      </c>
      <c r="G2343" t="s">
        <v>247</v>
      </c>
    </row>
    <row r="2344" spans="1:7" hidden="1" x14ac:dyDescent="0.35">
      <c r="A2344" s="4"/>
      <c r="B2344" s="129"/>
      <c r="C2344" s="133"/>
      <c r="D2344" s="815"/>
      <c r="E2344" s="41"/>
      <c r="G2344" t="s">
        <v>247</v>
      </c>
    </row>
    <row r="2345" spans="1:7" ht="15" hidden="1" customHeight="1" x14ac:dyDescent="0.35">
      <c r="A2345" s="4"/>
      <c r="B2345" s="132" t="s">
        <v>258</v>
      </c>
      <c r="C2345" s="118"/>
      <c r="D2345" s="836" t="s">
        <v>3336</v>
      </c>
      <c r="E2345" s="41"/>
      <c r="F2345" s="400" t="str">
        <f>IF(LEN('Verification Report'!W2348)=0,"",'Verification Report'!W2348)</f>
        <v/>
      </c>
      <c r="G2345" t="s">
        <v>247</v>
      </c>
    </row>
    <row r="2346" spans="1:7" hidden="1" x14ac:dyDescent="0.35">
      <c r="A2346" s="4"/>
      <c r="B2346" s="19"/>
      <c r="C2346" s="4"/>
      <c r="D2346" s="814"/>
      <c r="E2346" s="41"/>
      <c r="G2346" t="s">
        <v>247</v>
      </c>
    </row>
    <row r="2347" spans="1:7" hidden="1" x14ac:dyDescent="0.35">
      <c r="A2347" s="4"/>
      <c r="B2347" s="129"/>
      <c r="C2347" s="133"/>
      <c r="D2347" s="815"/>
      <c r="E2347" s="41"/>
      <c r="G2347" t="s">
        <v>247</v>
      </c>
    </row>
    <row r="2348" spans="1:7" ht="15" hidden="1" customHeight="1" x14ac:dyDescent="0.35">
      <c r="A2348" s="4"/>
      <c r="B2348" s="132" t="s">
        <v>260</v>
      </c>
      <c r="C2348" s="118"/>
      <c r="D2348" s="836" t="s">
        <v>3305</v>
      </c>
      <c r="E2348" s="41"/>
      <c r="F2348" s="400" t="str">
        <f>IF(LEN('Verification Report'!W2351)=0,"",'Verification Report'!W2351)</f>
        <v/>
      </c>
      <c r="G2348" t="s">
        <v>247</v>
      </c>
    </row>
    <row r="2349" spans="1:7" hidden="1" x14ac:dyDescent="0.35">
      <c r="A2349" s="4"/>
      <c r="B2349" s="133"/>
      <c r="C2349" s="133"/>
      <c r="D2349" s="815"/>
      <c r="E2349" s="41"/>
      <c r="G2349" t="s">
        <v>247</v>
      </c>
    </row>
    <row r="2350" spans="1:7" ht="15" hidden="1" customHeight="1" x14ac:dyDescent="0.35">
      <c r="A2350" s="4"/>
      <c r="B2350" s="19" t="s">
        <v>269</v>
      </c>
      <c r="C2350" s="4"/>
      <c r="D2350" s="814" t="s">
        <v>3337</v>
      </c>
      <c r="E2350" s="41"/>
      <c r="F2350" s="400" t="str">
        <f>IF(LEN('Verification Report'!W2353)=0,"",'Verification Report'!W2353)</f>
        <v/>
      </c>
      <c r="G2350" t="s">
        <v>247</v>
      </c>
    </row>
    <row r="2351" spans="1:7" hidden="1" x14ac:dyDescent="0.35">
      <c r="A2351" s="4"/>
      <c r="B2351" s="4"/>
      <c r="C2351" s="4"/>
      <c r="D2351" s="814"/>
      <c r="E2351" s="41"/>
      <c r="G2351" t="s">
        <v>247</v>
      </c>
    </row>
    <row r="2352" spans="1:7" hidden="1" x14ac:dyDescent="0.35">
      <c r="A2352" s="4"/>
      <c r="B2352" s="4"/>
      <c r="C2352" s="4"/>
      <c r="D2352" s="814"/>
      <c r="E2352" s="41"/>
      <c r="G2352" t="s">
        <v>247</v>
      </c>
    </row>
    <row r="2353" spans="1:7" ht="15" hidden="1" customHeight="1" x14ac:dyDescent="0.35">
      <c r="A2353" s="4"/>
      <c r="B2353" s="132" t="s">
        <v>275</v>
      </c>
      <c r="C2353" s="118"/>
      <c r="D2353" s="836" t="s">
        <v>3338</v>
      </c>
      <c r="E2353" s="41"/>
      <c r="F2353" s="400" t="str">
        <f>IF(LEN('Verification Report'!W2356)=0,"",'Verification Report'!W2356)</f>
        <v/>
      </c>
      <c r="G2353" t="s">
        <v>247</v>
      </c>
    </row>
    <row r="2354" spans="1:7" hidden="1" x14ac:dyDescent="0.35">
      <c r="A2354" s="4"/>
      <c r="B2354" s="129"/>
      <c r="C2354" s="133"/>
      <c r="D2354" s="815"/>
      <c r="E2354" s="41"/>
      <c r="G2354" t="s">
        <v>247</v>
      </c>
    </row>
    <row r="2355" spans="1:7" hidden="1" x14ac:dyDescent="0.35">
      <c r="A2355" s="4"/>
      <c r="B2355" s="19" t="s">
        <v>277</v>
      </c>
      <c r="C2355" s="4"/>
      <c r="D2355" s="90" t="s">
        <v>3288</v>
      </c>
      <c r="E2355" s="41"/>
      <c r="F2355" s="400" t="str">
        <f>IF(LEN('Verification Report'!W2358)=0,"",'Verification Report'!W2358)</f>
        <v/>
      </c>
      <c r="G2355" t="s">
        <v>247</v>
      </c>
    </row>
    <row r="2356" spans="1:7" ht="15" hidden="1" customHeight="1" x14ac:dyDescent="0.35">
      <c r="A2356" s="4"/>
      <c r="B2356" s="132" t="s">
        <v>383</v>
      </c>
      <c r="C2356" s="118"/>
      <c r="D2356" s="836" t="s">
        <v>3339</v>
      </c>
      <c r="E2356" s="41"/>
      <c r="F2356" s="400" t="str">
        <f>IF(LEN('Verification Report'!W2359)=0,"",'Verification Report'!W2359)</f>
        <v/>
      </c>
      <c r="G2356" t="s">
        <v>247</v>
      </c>
    </row>
    <row r="2357" spans="1:7" hidden="1" x14ac:dyDescent="0.35">
      <c r="A2357" s="4"/>
      <c r="B2357" s="133"/>
      <c r="C2357" s="133"/>
      <c r="D2357" s="815"/>
      <c r="E2357" s="41"/>
      <c r="G2357" t="s">
        <v>247</v>
      </c>
    </row>
    <row r="2358" spans="1:7" ht="15" hidden="1" customHeight="1" x14ac:dyDescent="0.35">
      <c r="A2358" s="4"/>
      <c r="B2358" s="19" t="s">
        <v>428</v>
      </c>
      <c r="C2358" s="4"/>
      <c r="D2358" s="848" t="s">
        <v>3303</v>
      </c>
      <c r="E2358" s="41"/>
      <c r="F2358" s="400" t="str">
        <f>IF(LEN('Verification Report'!W2361)=0,"",'Verification Report'!W2361)</f>
        <v/>
      </c>
      <c r="G2358" t="s">
        <v>247</v>
      </c>
    </row>
    <row r="2359" spans="1:7" hidden="1" x14ac:dyDescent="0.35">
      <c r="A2359" s="4"/>
      <c r="B2359" s="19"/>
      <c r="C2359" s="4"/>
      <c r="D2359" s="848"/>
      <c r="E2359" s="41"/>
      <c r="G2359" t="s">
        <v>247</v>
      </c>
    </row>
    <row r="2360" spans="1:7" hidden="1" x14ac:dyDescent="0.35">
      <c r="A2360" s="4"/>
      <c r="B2360" s="132" t="s">
        <v>430</v>
      </c>
      <c r="C2360" s="118"/>
      <c r="D2360" s="286" t="s">
        <v>3340</v>
      </c>
      <c r="E2360" s="41"/>
      <c r="F2360" s="400" t="str">
        <f>IF(LEN('Verification Report'!W2363)=0,"",'Verification Report'!W2363)</f>
        <v/>
      </c>
      <c r="G2360" t="s">
        <v>247</v>
      </c>
    </row>
    <row r="2361" spans="1:7" ht="15" hidden="1" customHeight="1" x14ac:dyDescent="0.35">
      <c r="A2361" s="4"/>
      <c r="B2361" s="132" t="s">
        <v>432</v>
      </c>
      <c r="C2361" s="118"/>
      <c r="D2361" s="836" t="s">
        <v>3341</v>
      </c>
      <c r="E2361" s="41"/>
      <c r="F2361" s="400" t="str">
        <f>IF(LEN('Verification Report'!W2364)=0,"",'Verification Report'!W2364)</f>
        <v/>
      </c>
      <c r="G2361" t="s">
        <v>247</v>
      </c>
    </row>
    <row r="2362" spans="1:7" hidden="1" x14ac:dyDescent="0.35">
      <c r="A2362" s="4"/>
      <c r="B2362" s="19"/>
      <c r="C2362" s="4"/>
      <c r="D2362" s="814"/>
      <c r="E2362" s="41"/>
      <c r="G2362" t="s">
        <v>247</v>
      </c>
    </row>
    <row r="2363" spans="1:7" hidden="1" x14ac:dyDescent="0.35">
      <c r="A2363" s="4"/>
      <c r="B2363" s="129"/>
      <c r="C2363" s="133"/>
      <c r="D2363" s="815"/>
      <c r="E2363" s="41"/>
      <c r="G2363" t="s">
        <v>247</v>
      </c>
    </row>
    <row r="2364" spans="1:7" ht="15" hidden="1" customHeight="1" x14ac:dyDescent="0.35">
      <c r="A2364" s="4"/>
      <c r="B2364" s="19" t="s">
        <v>434</v>
      </c>
      <c r="C2364" s="4"/>
      <c r="D2364" s="848" t="s">
        <v>3342</v>
      </c>
      <c r="E2364" s="41"/>
      <c r="F2364" s="400" t="str">
        <f>IF(LEN('Verification Report'!W2367)=0,"",'Verification Report'!W2367)</f>
        <v/>
      </c>
      <c r="G2364" t="s">
        <v>247</v>
      </c>
    </row>
    <row r="2365" spans="1:7" ht="15" hidden="1" thickBot="1" x14ac:dyDescent="0.4">
      <c r="A2365" s="160"/>
      <c r="B2365" s="115"/>
      <c r="C2365" s="160"/>
      <c r="D2365" s="888"/>
      <c r="E2365" s="72"/>
      <c r="G2365" t="s">
        <v>247</v>
      </c>
    </row>
    <row r="2366" spans="1:7" ht="15.75" hidden="1" customHeight="1" thickTop="1" x14ac:dyDescent="0.35">
      <c r="A2366" s="31">
        <v>1002.3</v>
      </c>
      <c r="B2366" s="4"/>
      <c r="C2366" s="4"/>
      <c r="D2366" s="838" t="s">
        <v>3376</v>
      </c>
      <c r="E2366" s="597">
        <f>'Verification Report'!O2367</f>
        <v>0</v>
      </c>
      <c r="G2366" t="s">
        <v>247</v>
      </c>
    </row>
    <row r="2367" spans="1:7" hidden="1" x14ac:dyDescent="0.35">
      <c r="A2367" s="4"/>
      <c r="B2367" s="4"/>
      <c r="C2367" s="4"/>
      <c r="D2367" s="838"/>
      <c r="E2367" s="597"/>
      <c r="G2367" t="s">
        <v>247</v>
      </c>
    </row>
    <row r="2368" spans="1:7" hidden="1" x14ac:dyDescent="0.35">
      <c r="A2368" s="4"/>
      <c r="B2368" s="4"/>
      <c r="C2368" s="4"/>
      <c r="D2368" s="838"/>
      <c r="E2368" s="597"/>
      <c r="G2368" t="s">
        <v>247</v>
      </c>
    </row>
    <row r="2369" spans="1:7" hidden="1" x14ac:dyDescent="0.35">
      <c r="A2369" s="4"/>
      <c r="B2369" s="4"/>
      <c r="C2369" s="4"/>
      <c r="D2369" s="148" t="s">
        <v>3372</v>
      </c>
      <c r="E2369" s="597"/>
      <c r="G2369" t="s">
        <v>247</v>
      </c>
    </row>
    <row r="2370" spans="1:7" ht="15" hidden="1" customHeight="1" x14ac:dyDescent="0.35">
      <c r="A2370" s="4"/>
      <c r="B2370" s="19" t="s">
        <v>256</v>
      </c>
      <c r="C2370" s="4"/>
      <c r="D2370" s="814" t="s">
        <v>3343</v>
      </c>
      <c r="E2370" s="41"/>
      <c r="F2370" s="400" t="str">
        <f>IF(LEN('Verification Report'!W2373)=0,"",'Verification Report'!W2373)</f>
        <v/>
      </c>
      <c r="G2370" t="s">
        <v>247</v>
      </c>
    </row>
    <row r="2371" spans="1:7" hidden="1" x14ac:dyDescent="0.35">
      <c r="A2371" s="4"/>
      <c r="B2371" s="129"/>
      <c r="C2371" s="133"/>
      <c r="D2371" s="815"/>
      <c r="E2371" s="41"/>
      <c r="G2371" t="s">
        <v>247</v>
      </c>
    </row>
    <row r="2372" spans="1:7" ht="15" hidden="1" customHeight="1" x14ac:dyDescent="0.35">
      <c r="A2372" s="4"/>
      <c r="B2372" s="132" t="s">
        <v>258</v>
      </c>
      <c r="C2372" s="118"/>
      <c r="D2372" s="836" t="s">
        <v>3295</v>
      </c>
      <c r="E2372" s="41"/>
      <c r="F2372" s="400" t="str">
        <f>IF(LEN('Verification Report'!W2375)=0,"",'Verification Report'!W2375)</f>
        <v/>
      </c>
      <c r="G2372" t="s">
        <v>247</v>
      </c>
    </row>
    <row r="2373" spans="1:7" hidden="1" x14ac:dyDescent="0.35">
      <c r="A2373" s="4"/>
      <c r="B2373" s="4"/>
      <c r="C2373" s="4"/>
      <c r="D2373" s="814"/>
      <c r="E2373" s="41"/>
      <c r="G2373" t="s">
        <v>247</v>
      </c>
    </row>
    <row r="2374" spans="1:7" hidden="1" x14ac:dyDescent="0.35">
      <c r="A2374" s="4"/>
      <c r="B2374" s="4"/>
      <c r="C2374" s="4"/>
      <c r="D2374" s="814"/>
      <c r="E2374" s="41"/>
      <c r="G2374" t="s">
        <v>247</v>
      </c>
    </row>
    <row r="2375" spans="1:7" hidden="1" x14ac:dyDescent="0.35">
      <c r="A2375" s="4"/>
      <c r="B2375" s="133"/>
      <c r="C2375" s="133"/>
      <c r="D2375" s="815"/>
      <c r="E2375" s="41"/>
      <c r="G2375" t="s">
        <v>247</v>
      </c>
    </row>
    <row r="2376" spans="1:7" hidden="1" x14ac:dyDescent="0.35">
      <c r="A2376" s="4"/>
      <c r="B2376" s="132" t="s">
        <v>260</v>
      </c>
      <c r="C2376" s="118"/>
      <c r="D2376" s="166" t="s">
        <v>3344</v>
      </c>
      <c r="E2376" s="41"/>
      <c r="F2376" s="400" t="str">
        <f>IF(LEN('Verification Report'!W2379)=0,"",'Verification Report'!W2379)</f>
        <v/>
      </c>
      <c r="G2376" t="s">
        <v>247</v>
      </c>
    </row>
    <row r="2377" spans="1:7" hidden="1" x14ac:dyDescent="0.35">
      <c r="A2377" s="4"/>
      <c r="B2377" s="4"/>
      <c r="C2377" s="19" t="s">
        <v>121</v>
      </c>
      <c r="D2377" s="146" t="s">
        <v>3345</v>
      </c>
      <c r="E2377" s="41"/>
      <c r="G2377" t="s">
        <v>247</v>
      </c>
    </row>
    <row r="2378" spans="1:7" hidden="1" x14ac:dyDescent="0.35">
      <c r="A2378" s="4"/>
      <c r="B2378" s="4"/>
      <c r="C2378" s="19" t="s">
        <v>122</v>
      </c>
      <c r="D2378" s="146" t="s">
        <v>3346</v>
      </c>
      <c r="E2378" s="41"/>
      <c r="G2378" t="s">
        <v>247</v>
      </c>
    </row>
    <row r="2379" spans="1:7" hidden="1" x14ac:dyDescent="0.35">
      <c r="A2379" s="4"/>
      <c r="B2379" s="4"/>
      <c r="C2379" s="19" t="s">
        <v>123</v>
      </c>
      <c r="D2379" s="146" t="s">
        <v>3347</v>
      </c>
      <c r="E2379" s="41"/>
      <c r="G2379" t="s">
        <v>247</v>
      </c>
    </row>
    <row r="2380" spans="1:7" hidden="1" x14ac:dyDescent="0.35">
      <c r="A2380" s="4"/>
      <c r="B2380" s="4"/>
      <c r="C2380" s="19" t="s">
        <v>401</v>
      </c>
      <c r="D2380" s="146" t="s">
        <v>3348</v>
      </c>
      <c r="E2380" s="41"/>
      <c r="G2380" t="s">
        <v>247</v>
      </c>
    </row>
    <row r="2381" spans="1:7" hidden="1" x14ac:dyDescent="0.35">
      <c r="A2381" s="4"/>
      <c r="B2381" s="4"/>
      <c r="C2381" s="19" t="s">
        <v>539</v>
      </c>
      <c r="D2381" s="146" t="s">
        <v>3349</v>
      </c>
      <c r="E2381" s="41"/>
      <c r="G2381" t="s">
        <v>247</v>
      </c>
    </row>
    <row r="2382" spans="1:7" hidden="1" x14ac:dyDescent="0.35">
      <c r="A2382" s="4"/>
      <c r="B2382" s="133"/>
      <c r="C2382" s="129" t="s">
        <v>604</v>
      </c>
      <c r="D2382" s="162" t="s">
        <v>3350</v>
      </c>
      <c r="E2382" s="41"/>
      <c r="G2382" t="s">
        <v>247</v>
      </c>
    </row>
    <row r="2383" spans="1:7" ht="15" hidden="1" customHeight="1" x14ac:dyDescent="0.35">
      <c r="A2383" s="4"/>
      <c r="B2383" s="19" t="s">
        <v>269</v>
      </c>
      <c r="C2383" s="4"/>
      <c r="D2383" s="814" t="s">
        <v>3299</v>
      </c>
      <c r="E2383" s="41"/>
      <c r="F2383" s="400" t="str">
        <f>IF(LEN('Verification Report'!W2386)=0,"",'Verification Report'!W2386)</f>
        <v/>
      </c>
      <c r="G2383" t="s">
        <v>247</v>
      </c>
    </row>
    <row r="2384" spans="1:7" hidden="1" x14ac:dyDescent="0.35">
      <c r="A2384" s="4"/>
      <c r="B2384" s="4"/>
      <c r="C2384" s="4"/>
      <c r="D2384" s="814"/>
      <c r="E2384" s="41"/>
      <c r="G2384" t="s">
        <v>247</v>
      </c>
    </row>
    <row r="2385" spans="1:7" hidden="1" x14ac:dyDescent="0.35">
      <c r="A2385" s="4"/>
      <c r="B2385" s="130" t="s">
        <v>275</v>
      </c>
      <c r="C2385" s="163"/>
      <c r="D2385" s="164" t="s">
        <v>3301</v>
      </c>
      <c r="E2385" s="41"/>
      <c r="F2385" s="400" t="str">
        <f>IF(LEN('Verification Report'!W2388)=0,"",'Verification Report'!W2388)</f>
        <v/>
      </c>
      <c r="G2385" t="s">
        <v>247</v>
      </c>
    </row>
    <row r="2386" spans="1:7" ht="15" hidden="1" customHeight="1" x14ac:dyDescent="0.35">
      <c r="A2386" s="4"/>
      <c r="B2386" s="19" t="s">
        <v>277</v>
      </c>
      <c r="C2386" s="4"/>
      <c r="D2386" s="814" t="s">
        <v>3351</v>
      </c>
      <c r="E2386" s="41"/>
      <c r="F2386" s="400" t="str">
        <f>IF(LEN('Verification Report'!W2389)=0,"",'Verification Report'!W2389)</f>
        <v/>
      </c>
      <c r="G2386" t="s">
        <v>247</v>
      </c>
    </row>
    <row r="2387" spans="1:7" hidden="1" x14ac:dyDescent="0.35">
      <c r="A2387" s="4"/>
      <c r="B2387" s="19"/>
      <c r="C2387" s="4"/>
      <c r="D2387" s="814"/>
      <c r="E2387" s="41"/>
      <c r="G2387" t="s">
        <v>247</v>
      </c>
    </row>
    <row r="2388" spans="1:7" hidden="1" x14ac:dyDescent="0.35">
      <c r="A2388" s="4"/>
      <c r="B2388" s="130" t="s">
        <v>383</v>
      </c>
      <c r="C2388" s="163"/>
      <c r="D2388" s="164" t="s">
        <v>3307</v>
      </c>
      <c r="E2388" s="41"/>
      <c r="F2388" s="400" t="str">
        <f>IF(LEN('Verification Report'!W2391)=0,"",'Verification Report'!W2391)</f>
        <v/>
      </c>
      <c r="G2388" t="s">
        <v>247</v>
      </c>
    </row>
    <row r="2389" spans="1:7" hidden="1" x14ac:dyDescent="0.35">
      <c r="A2389" s="4"/>
      <c r="B2389" s="19" t="s">
        <v>428</v>
      </c>
      <c r="C2389" s="4"/>
      <c r="D2389" s="146" t="s">
        <v>3352</v>
      </c>
      <c r="E2389" s="41"/>
      <c r="F2389" s="400" t="str">
        <f>IF(LEN('Verification Report'!W2392)=0,"",'Verification Report'!W2392)</f>
        <v/>
      </c>
      <c r="G2389" t="s">
        <v>247</v>
      </c>
    </row>
    <row r="2390" spans="1:7" hidden="1" x14ac:dyDescent="0.35">
      <c r="A2390" s="4"/>
      <c r="B2390" s="130" t="s">
        <v>430</v>
      </c>
      <c r="C2390" s="163"/>
      <c r="D2390" s="164" t="s">
        <v>3353</v>
      </c>
      <c r="E2390" s="41"/>
      <c r="F2390" s="400" t="str">
        <f>IF(LEN('Verification Report'!W2393)=0,"",'Verification Report'!W2393)</f>
        <v/>
      </c>
      <c r="G2390" t="s">
        <v>247</v>
      </c>
    </row>
    <row r="2391" spans="1:7" hidden="1" x14ac:dyDescent="0.35">
      <c r="A2391" s="4"/>
      <c r="B2391" s="130" t="s">
        <v>432</v>
      </c>
      <c r="C2391" s="163"/>
      <c r="D2391" s="164" t="s">
        <v>3354</v>
      </c>
      <c r="E2391" s="41"/>
      <c r="F2391" s="400" t="str">
        <f>IF(LEN('Verification Report'!W2394)=0,"",'Verification Report'!W2394)</f>
        <v/>
      </c>
      <c r="G2391" t="s">
        <v>247</v>
      </c>
    </row>
    <row r="2392" spans="1:7" ht="15" hidden="1" customHeight="1" x14ac:dyDescent="0.35">
      <c r="B2392" s="402" t="s">
        <v>434</v>
      </c>
      <c r="C2392" s="412"/>
      <c r="D2392" s="1099" t="s">
        <v>4547</v>
      </c>
      <c r="F2392" s="400" t="str">
        <f>IF(LEN('Verification Report'!W2395)=0,"",'Verification Report'!W2395)</f>
        <v/>
      </c>
      <c r="G2392" t="s">
        <v>247</v>
      </c>
    </row>
    <row r="2393" spans="1:7" ht="15" hidden="1" thickBot="1" x14ac:dyDescent="0.4">
      <c r="A2393" s="55"/>
      <c r="B2393" s="413"/>
      <c r="C2393" s="413"/>
      <c r="D2393" s="972"/>
      <c r="E2393" s="55"/>
      <c r="G2393" t="s">
        <v>247</v>
      </c>
    </row>
    <row r="2394" spans="1:7" ht="15.75" hidden="1" customHeight="1" thickTop="1" x14ac:dyDescent="0.35">
      <c r="A2394" s="31">
        <v>1002.4</v>
      </c>
      <c r="B2394" s="4"/>
      <c r="C2394" s="4"/>
      <c r="D2394" s="838" t="s">
        <v>3355</v>
      </c>
      <c r="E2394" s="545">
        <f>'Verification Report'!O2395</f>
        <v>0</v>
      </c>
      <c r="F2394" s="400" t="str">
        <f>IF(LEN('Verification Report'!W2397)=0,"",'Verification Report'!W2397)</f>
        <v/>
      </c>
      <c r="G2394" t="s">
        <v>247</v>
      </c>
    </row>
    <row r="2395" spans="1:7" hidden="1" x14ac:dyDescent="0.35">
      <c r="A2395" s="4"/>
      <c r="B2395" s="4"/>
      <c r="C2395" s="4"/>
      <c r="D2395" s="838"/>
      <c r="E2395" s="41"/>
      <c r="G2395" t="s">
        <v>247</v>
      </c>
    </row>
    <row r="2396" spans="1:7" hidden="1" x14ac:dyDescent="0.35">
      <c r="A2396" s="4"/>
      <c r="B2396" s="4"/>
      <c r="C2396" s="4"/>
      <c r="D2396" s="838"/>
      <c r="E2396" s="41"/>
      <c r="G2396" t="s">
        <v>247</v>
      </c>
    </row>
    <row r="2397" spans="1:7" hidden="1" x14ac:dyDescent="0.35">
      <c r="A2397" s="4"/>
      <c r="B2397" s="4"/>
      <c r="C2397" s="4"/>
      <c r="D2397" s="838"/>
      <c r="E2397" s="41"/>
      <c r="G2397" t="s">
        <v>247</v>
      </c>
    </row>
    <row r="2398" spans="1:7" hidden="1" x14ac:dyDescent="0.35">
      <c r="A2398" s="4"/>
      <c r="B2398" s="4"/>
      <c r="C2398" s="4"/>
      <c r="D2398" s="838"/>
      <c r="E2398" s="41"/>
      <c r="G2398" t="s">
        <v>247</v>
      </c>
    </row>
    <row r="2399" spans="1:7" hidden="1" x14ac:dyDescent="0.35">
      <c r="A2399" s="4"/>
      <c r="B2399" s="19" t="s">
        <v>256</v>
      </c>
      <c r="C2399" s="4"/>
      <c r="D2399" s="146" t="s">
        <v>3345</v>
      </c>
      <c r="E2399" s="41"/>
      <c r="G2399" t="s">
        <v>247</v>
      </c>
    </row>
    <row r="2400" spans="1:7" hidden="1" x14ac:dyDescent="0.35">
      <c r="A2400" s="4"/>
      <c r="B2400" s="19" t="s">
        <v>258</v>
      </c>
      <c r="C2400" s="4"/>
      <c r="D2400" s="146" t="s">
        <v>3346</v>
      </c>
      <c r="E2400" s="41"/>
      <c r="G2400" t="s">
        <v>247</v>
      </c>
    </row>
    <row r="2401" spans="1:7" hidden="1" x14ac:dyDescent="0.35">
      <c r="A2401" s="4"/>
      <c r="B2401" s="19" t="s">
        <v>260</v>
      </c>
      <c r="C2401" s="4"/>
      <c r="D2401" s="146" t="s">
        <v>3347</v>
      </c>
      <c r="E2401" s="41"/>
      <c r="G2401" t="s">
        <v>247</v>
      </c>
    </row>
    <row r="2402" spans="1:7" hidden="1" x14ac:dyDescent="0.35">
      <c r="A2402" s="4"/>
      <c r="B2402" s="19" t="s">
        <v>269</v>
      </c>
      <c r="C2402" s="4"/>
      <c r="D2402" s="146" t="s">
        <v>3356</v>
      </c>
      <c r="E2402" s="41"/>
      <c r="G2402" t="s">
        <v>247</v>
      </c>
    </row>
    <row r="2403" spans="1:7" hidden="1" x14ac:dyDescent="0.35">
      <c r="A2403" s="4"/>
      <c r="B2403" s="19" t="s">
        <v>275</v>
      </c>
      <c r="C2403" s="4"/>
      <c r="D2403" s="146" t="s">
        <v>3357</v>
      </c>
      <c r="E2403" s="41"/>
      <c r="G2403" t="s">
        <v>247</v>
      </c>
    </row>
    <row r="2404" spans="1:7" hidden="1" x14ac:dyDescent="0.35">
      <c r="A2404" s="4"/>
      <c r="B2404" s="19" t="s">
        <v>277</v>
      </c>
      <c r="C2404" s="4"/>
      <c r="D2404" s="146" t="s">
        <v>3350</v>
      </c>
      <c r="E2404" s="41"/>
      <c r="G2404" t="s">
        <v>247</v>
      </c>
    </row>
    <row r="2405" spans="1:7" hidden="1" x14ac:dyDescent="0.35">
      <c r="A2405" s="4"/>
      <c r="B2405" s="19" t="s">
        <v>383</v>
      </c>
      <c r="C2405" s="4"/>
      <c r="D2405" s="146" t="s">
        <v>3358</v>
      </c>
      <c r="E2405" s="41"/>
      <c r="G2405" t="s">
        <v>247</v>
      </c>
    </row>
    <row r="2406" spans="1:7" ht="15" hidden="1" thickBot="1" x14ac:dyDescent="0.4">
      <c r="A2406" s="160"/>
      <c r="B2406" s="407" t="s">
        <v>428</v>
      </c>
      <c r="C2406" s="413"/>
      <c r="D2406" s="229" t="s">
        <v>4548</v>
      </c>
      <c r="E2406" s="72"/>
      <c r="G2406" t="s">
        <v>247</v>
      </c>
    </row>
    <row r="2407" spans="1:7" ht="15.75" hidden="1" customHeight="1" thickTop="1" x14ac:dyDescent="0.35">
      <c r="A2407" s="402" t="s">
        <v>4549</v>
      </c>
      <c r="B2407" s="402"/>
      <c r="C2407" s="412"/>
      <c r="D2407" s="919" t="s">
        <v>4551</v>
      </c>
      <c r="E2407" s="41">
        <f>'Verification Report'!O2408</f>
        <v>0</v>
      </c>
      <c r="G2407" t="s">
        <v>247</v>
      </c>
    </row>
    <row r="2408" spans="1:7" hidden="1" x14ac:dyDescent="0.35">
      <c r="A2408" s="402"/>
      <c r="B2408" s="402"/>
      <c r="C2408" s="412"/>
      <c r="D2408" s="919"/>
      <c r="E2408" s="41"/>
      <c r="G2408" t="s">
        <v>247</v>
      </c>
    </row>
    <row r="2409" spans="1:7" hidden="1" x14ac:dyDescent="0.35">
      <c r="A2409" s="402"/>
      <c r="B2409" s="402" t="s">
        <v>256</v>
      </c>
      <c r="C2409" s="412"/>
      <c r="D2409" s="90" t="s">
        <v>4552</v>
      </c>
      <c r="E2409" s="41"/>
      <c r="F2409" s="400" t="str">
        <f>IF(LEN('Verification Report'!W2412)=0,"",'Verification Report'!W2412)</f>
        <v/>
      </c>
      <c r="G2409" t="s">
        <v>247</v>
      </c>
    </row>
    <row r="2410" spans="1:7" hidden="1" x14ac:dyDescent="0.35">
      <c r="A2410" s="402"/>
      <c r="B2410" s="402" t="s">
        <v>258</v>
      </c>
      <c r="C2410" s="412"/>
      <c r="D2410" s="90" t="s">
        <v>4553</v>
      </c>
      <c r="E2410" s="41"/>
      <c r="F2410" s="400" t="str">
        <f>IF(LEN('Verification Report'!W2413)=0,"",'Verification Report'!W2413)</f>
        <v/>
      </c>
      <c r="G2410" t="s">
        <v>247</v>
      </c>
    </row>
    <row r="2411" spans="1:7" ht="15" hidden="1" customHeight="1" x14ac:dyDescent="0.35">
      <c r="A2411" s="402"/>
      <c r="B2411" s="402" t="s">
        <v>260</v>
      </c>
      <c r="C2411" s="412"/>
      <c r="D2411" s="848" t="s">
        <v>4554</v>
      </c>
      <c r="E2411" s="41"/>
      <c r="F2411" s="400" t="str">
        <f>IF(LEN('Verification Report'!W2414)=0,"",'Verification Report'!W2414)</f>
        <v/>
      </c>
      <c r="G2411" t="s">
        <v>247</v>
      </c>
    </row>
    <row r="2412" spans="1:7" hidden="1" x14ac:dyDescent="0.35">
      <c r="A2412" s="402"/>
      <c r="B2412" s="402"/>
      <c r="C2412" s="412"/>
      <c r="D2412" s="848"/>
      <c r="E2412" s="41"/>
      <c r="G2412" t="s">
        <v>247</v>
      </c>
    </row>
    <row r="2413" spans="1:7" hidden="1" x14ac:dyDescent="0.35">
      <c r="A2413" s="402"/>
      <c r="B2413" s="402" t="s">
        <v>269</v>
      </c>
      <c r="C2413" s="412"/>
      <c r="D2413" s="90" t="s">
        <v>4555</v>
      </c>
      <c r="E2413" s="41"/>
      <c r="F2413" s="400" t="str">
        <f>IF(LEN('Verification Report'!W2416)=0,"",'Verification Report'!W2416)</f>
        <v/>
      </c>
      <c r="G2413" t="s">
        <v>247</v>
      </c>
    </row>
    <row r="2414" spans="1:7" hidden="1" x14ac:dyDescent="0.35">
      <c r="A2414" s="402"/>
      <c r="B2414" s="402" t="s">
        <v>275</v>
      </c>
      <c r="C2414" s="412"/>
      <c r="D2414" s="90" t="s">
        <v>4556</v>
      </c>
      <c r="E2414" s="41"/>
      <c r="F2414" s="400" t="str">
        <f>IF(LEN('Verification Report'!W2417)=0,"",'Verification Report'!W2417)</f>
        <v/>
      </c>
      <c r="G2414" t="s">
        <v>247</v>
      </c>
    </row>
    <row r="2415" spans="1:7" hidden="1" x14ac:dyDescent="0.35">
      <c r="A2415" s="402"/>
      <c r="B2415" s="402" t="s">
        <v>277</v>
      </c>
      <c r="C2415" s="412"/>
      <c r="D2415" s="90" t="s">
        <v>4557</v>
      </c>
      <c r="E2415" s="41"/>
      <c r="F2415" s="400" t="str">
        <f>IF(LEN('Verification Report'!W2418)=0,"",'Verification Report'!W2418)</f>
        <v/>
      </c>
      <c r="G2415" t="s">
        <v>247</v>
      </c>
    </row>
    <row r="2416" spans="1:7" hidden="1" x14ac:dyDescent="0.35">
      <c r="A2416" s="402"/>
      <c r="B2416" s="402" t="s">
        <v>383</v>
      </c>
      <c r="C2416" s="412"/>
      <c r="D2416" s="90" t="s">
        <v>4558</v>
      </c>
      <c r="E2416" s="41"/>
      <c r="F2416" s="400" t="str">
        <f>IF(LEN('Verification Report'!W2419)=0,"",'Verification Report'!W2419)</f>
        <v/>
      </c>
      <c r="G2416" t="s">
        <v>247</v>
      </c>
    </row>
    <row r="2417" spans="1:7" hidden="1" x14ac:dyDescent="0.35">
      <c r="A2417" s="402"/>
      <c r="B2417" s="402" t="s">
        <v>428</v>
      </c>
      <c r="C2417" s="412"/>
      <c r="D2417" s="90" t="s">
        <v>4559</v>
      </c>
      <c r="E2417" s="41"/>
      <c r="F2417" s="400" t="str">
        <f>IF(LEN('Verification Report'!W2420)=0,"",'Verification Report'!W2420)</f>
        <v/>
      </c>
      <c r="G2417" t="s">
        <v>247</v>
      </c>
    </row>
    <row r="2418" spans="1:7" ht="15" hidden="1" thickBot="1" x14ac:dyDescent="0.4">
      <c r="A2418" s="407"/>
      <c r="B2418" s="407" t="s">
        <v>430</v>
      </c>
      <c r="C2418" s="413"/>
      <c r="D2418" s="229" t="s">
        <v>4560</v>
      </c>
      <c r="E2418" s="72"/>
      <c r="F2418" s="400" t="str">
        <f>IF(LEN('Verification Report'!W2421)=0,"",'Verification Report'!W2421)</f>
        <v/>
      </c>
      <c r="G2418" t="s">
        <v>247</v>
      </c>
    </row>
    <row r="2419" spans="1:7" ht="15.75" hidden="1" customHeight="1" thickTop="1" x14ac:dyDescent="0.35">
      <c r="A2419" s="402" t="s">
        <v>4550</v>
      </c>
      <c r="B2419" s="402"/>
      <c r="C2419" s="412"/>
      <c r="D2419" s="919" t="s">
        <v>4561</v>
      </c>
      <c r="E2419" s="41">
        <f>'Verification Report'!O2420</f>
        <v>0</v>
      </c>
      <c r="G2419" t="s">
        <v>247</v>
      </c>
    </row>
    <row r="2420" spans="1:7" hidden="1" x14ac:dyDescent="0.35">
      <c r="A2420" s="402"/>
      <c r="B2420" s="402"/>
      <c r="C2420" s="412"/>
      <c r="D2420" s="919"/>
      <c r="E2420" s="41"/>
      <c r="G2420" t="s">
        <v>247</v>
      </c>
    </row>
    <row r="2421" spans="1:7" hidden="1" x14ac:dyDescent="0.35">
      <c r="A2421" s="402"/>
      <c r="B2421" s="402"/>
      <c r="C2421" s="412"/>
      <c r="D2421" s="919"/>
      <c r="E2421" s="41"/>
      <c r="G2421" t="s">
        <v>247</v>
      </c>
    </row>
    <row r="2422" spans="1:7" hidden="1" x14ac:dyDescent="0.35">
      <c r="A2422" s="402"/>
      <c r="B2422" s="402"/>
      <c r="C2422" s="412"/>
      <c r="D2422" s="919"/>
      <c r="E2422" s="41"/>
      <c r="G2422" t="s">
        <v>247</v>
      </c>
    </row>
    <row r="2423" spans="1:7" hidden="1" x14ac:dyDescent="0.35">
      <c r="A2423" s="402"/>
      <c r="B2423" s="402" t="s">
        <v>256</v>
      </c>
      <c r="C2423" s="412"/>
      <c r="D2423" s="90" t="s">
        <v>4562</v>
      </c>
      <c r="E2423" s="41"/>
      <c r="F2423" s="400" t="str">
        <f>IF(LEN('Verification Report'!W2426)=0,"",'Verification Report'!W2426)</f>
        <v/>
      </c>
      <c r="G2423" t="s">
        <v>247</v>
      </c>
    </row>
    <row r="2424" spans="1:7" hidden="1" x14ac:dyDescent="0.35">
      <c r="A2424" s="402"/>
      <c r="B2424" s="402" t="s">
        <v>258</v>
      </c>
      <c r="C2424" s="412"/>
      <c r="D2424" s="90" t="s">
        <v>4563</v>
      </c>
      <c r="E2424" s="41"/>
      <c r="F2424" s="400" t="str">
        <f>IF(LEN('Verification Report'!W2427)=0,"",'Verification Report'!W2427)</f>
        <v/>
      </c>
      <c r="G2424" t="s">
        <v>247</v>
      </c>
    </row>
    <row r="2425" spans="1:7" hidden="1" x14ac:dyDescent="0.35">
      <c r="A2425" s="402"/>
      <c r="B2425" s="402" t="s">
        <v>260</v>
      </c>
      <c r="C2425" s="412"/>
      <c r="D2425" s="90" t="s">
        <v>4564</v>
      </c>
      <c r="E2425" s="41"/>
      <c r="F2425" s="400" t="str">
        <f>IF(LEN('Verification Report'!W2428)=0,"",'Verification Report'!W2428)</f>
        <v/>
      </c>
      <c r="G2425" t="s">
        <v>247</v>
      </c>
    </row>
    <row r="2426" spans="1:7" hidden="1" x14ac:dyDescent="0.35">
      <c r="A2426" s="402"/>
      <c r="B2426" s="402" t="s">
        <v>269</v>
      </c>
      <c r="C2426" s="412"/>
      <c r="D2426" s="90" t="s">
        <v>4565</v>
      </c>
      <c r="E2426" s="41"/>
      <c r="F2426" s="400" t="str">
        <f>IF(LEN('Verification Report'!W2429)=0,"",'Verification Report'!W2429)</f>
        <v/>
      </c>
      <c r="G2426" t="s">
        <v>247</v>
      </c>
    </row>
    <row r="2427" spans="1:7" hidden="1" x14ac:dyDescent="0.35">
      <c r="A2427" s="402"/>
      <c r="B2427" s="402" t="s">
        <v>275</v>
      </c>
      <c r="C2427" s="412"/>
      <c r="D2427" s="90" t="s">
        <v>4566</v>
      </c>
      <c r="E2427" s="41"/>
      <c r="F2427" s="400" t="str">
        <f>IF(LEN('Verification Report'!W2430)=0,"",'Verification Report'!W2430)</f>
        <v/>
      </c>
      <c r="G2427" t="s">
        <v>247</v>
      </c>
    </row>
    <row r="2428" spans="1:7" hidden="1" x14ac:dyDescent="0.35">
      <c r="A2428" s="402"/>
      <c r="B2428" s="402" t="s">
        <v>277</v>
      </c>
      <c r="C2428" s="412"/>
      <c r="D2428" s="90" t="s">
        <v>3345</v>
      </c>
      <c r="E2428" s="41"/>
      <c r="F2428" s="400" t="str">
        <f>IF(LEN('Verification Report'!W2431)=0,"",'Verification Report'!W2431)</f>
        <v/>
      </c>
      <c r="G2428" t="s">
        <v>247</v>
      </c>
    </row>
    <row r="2429" spans="1:7" hidden="1" x14ac:dyDescent="0.35">
      <c r="A2429" s="402"/>
      <c r="B2429" s="402" t="s">
        <v>383</v>
      </c>
      <c r="C2429" s="412"/>
      <c r="D2429" s="90" t="s">
        <v>4567</v>
      </c>
      <c r="F2429" s="400" t="str">
        <f>IF(LEN('Verification Report'!W2432)=0,"",'Verification Report'!W2432)</f>
        <v/>
      </c>
      <c r="G2429" t="s">
        <v>247</v>
      </c>
    </row>
    <row r="2430" spans="1:7" ht="18.5" hidden="1" x14ac:dyDescent="0.45">
      <c r="A2430" s="35" t="s">
        <v>3359</v>
      </c>
      <c r="B2430" s="15"/>
      <c r="C2430" s="15"/>
      <c r="D2430" s="150"/>
      <c r="E2430" s="544"/>
      <c r="G2430" t="s">
        <v>247</v>
      </c>
    </row>
    <row r="2431" spans="1:7" ht="15" hidden="1" customHeight="1" x14ac:dyDescent="0.35">
      <c r="A2431" s="402" t="s">
        <v>3984</v>
      </c>
      <c r="B2431" s="4"/>
      <c r="C2431" s="4"/>
      <c r="D2431" s="838" t="s">
        <v>3360</v>
      </c>
      <c r="E2431" s="41"/>
      <c r="G2431" t="s">
        <v>247</v>
      </c>
    </row>
    <row r="2432" spans="1:7" hidden="1" x14ac:dyDescent="0.35">
      <c r="A2432" s="94"/>
      <c r="B2432" s="4"/>
      <c r="C2432" s="4"/>
      <c r="D2432" s="838"/>
      <c r="E2432" s="41"/>
      <c r="G2432" t="s">
        <v>247</v>
      </c>
    </row>
    <row r="2433" spans="1:7" ht="15" hidden="1" thickBot="1" x14ac:dyDescent="0.4">
      <c r="A2433" s="398"/>
      <c r="B2433" s="160"/>
      <c r="C2433" s="160"/>
      <c r="D2433" s="849"/>
      <c r="E2433" s="72"/>
      <c r="G2433" t="s">
        <v>247</v>
      </c>
    </row>
    <row r="2434" spans="1:7" hidden="1" x14ac:dyDescent="0.35">
      <c r="A2434" s="31">
        <v>1003.1</v>
      </c>
      <c r="B2434" s="4"/>
      <c r="C2434" s="4"/>
      <c r="D2434" s="149" t="s">
        <v>3361</v>
      </c>
      <c r="E2434" s="41">
        <f>'Verification Report'!O2435</f>
        <v>0</v>
      </c>
      <c r="G2434" t="s">
        <v>247</v>
      </c>
    </row>
    <row r="2435" spans="1:7" ht="15" hidden="1" customHeight="1" x14ac:dyDescent="0.35">
      <c r="A2435" s="94"/>
      <c r="B2435" s="19" t="s">
        <v>256</v>
      </c>
      <c r="C2435" s="4"/>
      <c r="D2435" s="838" t="s">
        <v>3363</v>
      </c>
      <c r="E2435" s="41"/>
      <c r="F2435" s="400" t="str">
        <f>IF(LEN('Verification Report'!W2438)=0,"",'Verification Report'!W2438)</f>
        <v/>
      </c>
      <c r="G2435" t="s">
        <v>247</v>
      </c>
    </row>
    <row r="2436" spans="1:7" hidden="1" x14ac:dyDescent="0.35">
      <c r="A2436" s="94"/>
      <c r="B2436" s="129"/>
      <c r="C2436" s="133"/>
      <c r="D2436" s="889"/>
      <c r="E2436" s="41"/>
      <c r="G2436" t="s">
        <v>247</v>
      </c>
    </row>
    <row r="2437" spans="1:7" ht="15" hidden="1" customHeight="1" x14ac:dyDescent="0.35">
      <c r="A2437" s="94"/>
      <c r="B2437" s="132" t="s">
        <v>258</v>
      </c>
      <c r="C2437" s="118"/>
      <c r="D2437" s="905" t="s">
        <v>3364</v>
      </c>
      <c r="E2437" s="41"/>
      <c r="F2437" s="400" t="str">
        <f>IF(LEN('Verification Report'!W2440)=0,"",'Verification Report'!W2440)</f>
        <v/>
      </c>
      <c r="G2437" t="s">
        <v>247</v>
      </c>
    </row>
    <row r="2438" spans="1:7" hidden="1" x14ac:dyDescent="0.35">
      <c r="A2438" s="94"/>
      <c r="B2438" s="19"/>
      <c r="C2438" s="4"/>
      <c r="D2438" s="838"/>
      <c r="E2438" s="41"/>
      <c r="G2438" t="s">
        <v>247</v>
      </c>
    </row>
    <row r="2439" spans="1:7" hidden="1" x14ac:dyDescent="0.35">
      <c r="A2439" s="94"/>
      <c r="B2439" s="129"/>
      <c r="C2439" s="133"/>
      <c r="D2439" s="889"/>
      <c r="E2439" s="41"/>
      <c r="G2439" t="s">
        <v>247</v>
      </c>
    </row>
    <row r="2440" spans="1:7" ht="15" hidden="1" customHeight="1" x14ac:dyDescent="0.35">
      <c r="A2440" s="94"/>
      <c r="B2440" s="19" t="s">
        <v>260</v>
      </c>
      <c r="C2440" s="4"/>
      <c r="D2440" s="838" t="s">
        <v>3365</v>
      </c>
      <c r="E2440" s="41"/>
      <c r="F2440" s="400" t="str">
        <f>IF(LEN('Verification Report'!W2443)=0,"",'Verification Report'!W2443)</f>
        <v/>
      </c>
      <c r="G2440" t="s">
        <v>247</v>
      </c>
    </row>
    <row r="2441" spans="1:7" hidden="1" x14ac:dyDescent="0.35">
      <c r="A2441" s="94"/>
      <c r="B2441" s="4"/>
      <c r="C2441" s="4"/>
      <c r="D2441" s="838"/>
      <c r="E2441" s="41"/>
      <c r="G2441" t="s">
        <v>247</v>
      </c>
    </row>
    <row r="2442" spans="1:7" hidden="1" x14ac:dyDescent="0.35">
      <c r="A2442" s="94"/>
      <c r="B2442" s="4"/>
      <c r="C2442" s="4"/>
      <c r="D2442" s="838"/>
      <c r="E2442" s="41"/>
      <c r="G2442" t="s">
        <v>247</v>
      </c>
    </row>
    <row r="2443" spans="1:7" ht="18.5" hidden="1" x14ac:dyDescent="0.45">
      <c r="A2443" s="35" t="s">
        <v>3366</v>
      </c>
      <c r="B2443" s="15"/>
      <c r="C2443" s="15"/>
      <c r="D2443" s="150"/>
      <c r="E2443" s="544"/>
      <c r="G2443" t="s">
        <v>247</v>
      </c>
    </row>
    <row r="2444" spans="1:7" ht="15" hidden="1" customHeight="1" x14ac:dyDescent="0.35">
      <c r="A2444" s="402" t="s">
        <v>3985</v>
      </c>
      <c r="B2444" s="4"/>
      <c r="C2444" s="4"/>
      <c r="D2444" s="838" t="s">
        <v>3367</v>
      </c>
      <c r="E2444" s="41"/>
      <c r="G2444" t="s">
        <v>247</v>
      </c>
    </row>
    <row r="2445" spans="1:7" hidden="1" x14ac:dyDescent="0.35">
      <c r="A2445" s="94"/>
      <c r="B2445" s="4"/>
      <c r="C2445" s="4"/>
      <c r="D2445" s="838"/>
      <c r="E2445" s="41"/>
      <c r="G2445" t="s">
        <v>247</v>
      </c>
    </row>
    <row r="2446" spans="1:7" hidden="1" x14ac:dyDescent="0.35">
      <c r="A2446" s="94"/>
      <c r="B2446" s="4"/>
      <c r="C2446" s="4"/>
      <c r="D2446" s="838"/>
      <c r="E2446" s="41"/>
      <c r="G2446" t="s">
        <v>247</v>
      </c>
    </row>
    <row r="2447" spans="1:7" ht="15" hidden="1" thickBot="1" x14ac:dyDescent="0.4">
      <c r="A2447" s="398"/>
      <c r="B2447" s="160"/>
      <c r="C2447" s="160"/>
      <c r="D2447" s="849"/>
      <c r="E2447" s="72"/>
      <c r="G2447" t="s">
        <v>247</v>
      </c>
    </row>
    <row r="2448" spans="1:7" ht="15.75" hidden="1" customHeight="1" thickTop="1" x14ac:dyDescent="0.35">
      <c r="A2448" s="31">
        <v>1004.1</v>
      </c>
      <c r="B2448" s="4"/>
      <c r="C2448" s="4"/>
      <c r="D2448" s="838" t="s">
        <v>3368</v>
      </c>
      <c r="E2448" s="41"/>
      <c r="G2448" t="s">
        <v>247</v>
      </c>
    </row>
    <row r="2449" spans="1:7" hidden="1" x14ac:dyDescent="0.35">
      <c r="A2449" s="4"/>
      <c r="B2449" s="4"/>
      <c r="C2449" s="4"/>
      <c r="D2449" s="838"/>
      <c r="E2449" s="41"/>
      <c r="G2449" t="s">
        <v>247</v>
      </c>
    </row>
    <row r="2450" spans="1:7" hidden="1" x14ac:dyDescent="0.35">
      <c r="A2450" s="4"/>
      <c r="B2450" s="4"/>
      <c r="C2450" s="4"/>
      <c r="D2450" s="838"/>
      <c r="E2450" s="41"/>
      <c r="G2450" t="s">
        <v>247</v>
      </c>
    </row>
    <row r="2451" spans="1:7" hidden="1" x14ac:dyDescent="0.35">
      <c r="A2451" s="4"/>
      <c r="B2451" s="4"/>
      <c r="C2451" s="4"/>
      <c r="D2451" s="838"/>
      <c r="E2451" s="41"/>
      <c r="G2451" t="s">
        <v>247</v>
      </c>
    </row>
    <row r="2452" spans="1:7" hidden="1" x14ac:dyDescent="0.35">
      <c r="A2452" s="4"/>
      <c r="B2452" s="4"/>
      <c r="C2452" s="4"/>
      <c r="D2452" s="838"/>
      <c r="E2452" s="41"/>
      <c r="G2452" t="s">
        <v>247</v>
      </c>
    </row>
    <row r="2453" spans="1:7" ht="15" hidden="1" customHeight="1" x14ac:dyDescent="0.35">
      <c r="A2453" s="4"/>
      <c r="B2453" s="19" t="s">
        <v>256</v>
      </c>
      <c r="C2453" s="4"/>
      <c r="D2453" s="814" t="s">
        <v>3949</v>
      </c>
      <c r="E2453" s="41">
        <f>'Verification Report'!O2454</f>
        <v>0</v>
      </c>
      <c r="F2453" s="400" t="str">
        <f>IF(LEN('Verification Report'!W2456)=0,"",'Verification Report'!W2456)</f>
        <v/>
      </c>
      <c r="G2453" t="s">
        <v>247</v>
      </c>
    </row>
    <row r="2454" spans="1:7" hidden="1" x14ac:dyDescent="0.35">
      <c r="A2454" s="4"/>
      <c r="B2454" s="129"/>
      <c r="C2454" s="133"/>
      <c r="D2454" s="815"/>
      <c r="E2454" s="546"/>
      <c r="G2454" t="s">
        <v>247</v>
      </c>
    </row>
    <row r="2455" spans="1:7" ht="15" hidden="1" customHeight="1" x14ac:dyDescent="0.35">
      <c r="A2455" s="4"/>
      <c r="B2455" s="132" t="s">
        <v>258</v>
      </c>
      <c r="C2455" s="118"/>
      <c r="D2455" s="836" t="s">
        <v>3369</v>
      </c>
      <c r="E2455" s="552">
        <f>'Verification Report'!O2456</f>
        <v>0</v>
      </c>
      <c r="F2455" s="400" t="str">
        <f>IF(LEN('Verification Report'!W2458)=0,"",'Verification Report'!W2458)</f>
        <v/>
      </c>
      <c r="G2455" t="s">
        <v>247</v>
      </c>
    </row>
    <row r="2456" spans="1:7" hidden="1" x14ac:dyDescent="0.35">
      <c r="A2456" s="4"/>
      <c r="B2456" s="133"/>
      <c r="C2456" s="133"/>
      <c r="D2456" s="815"/>
      <c r="E2456" s="546"/>
      <c r="G2456" t="s">
        <v>247</v>
      </c>
    </row>
    <row r="2457" spans="1:7" ht="18.5" hidden="1" x14ac:dyDescent="0.35">
      <c r="A2457" s="35" t="s">
        <v>4570</v>
      </c>
      <c r="B2457" s="39"/>
      <c r="C2457" s="39"/>
      <c r="D2457" s="44"/>
      <c r="E2457" s="550"/>
      <c r="G2457" t="s">
        <v>247</v>
      </c>
    </row>
    <row r="2458" spans="1:7" hidden="1" x14ac:dyDescent="0.35">
      <c r="A2458" s="412" t="s">
        <v>4571</v>
      </c>
      <c r="B2458" s="412"/>
      <c r="C2458" s="412"/>
      <c r="D2458" s="95" t="s">
        <v>4572</v>
      </c>
      <c r="E2458" s="41"/>
      <c r="G2458" t="s">
        <v>247</v>
      </c>
    </row>
    <row r="2459" spans="1:7" ht="15" hidden="1" customHeight="1" x14ac:dyDescent="0.35">
      <c r="A2459" s="412"/>
      <c r="B2459" s="412" t="s">
        <v>256</v>
      </c>
      <c r="C2459" s="412"/>
      <c r="D2459" s="848" t="s">
        <v>4573</v>
      </c>
      <c r="E2459" s="41">
        <f>'Verification Report'!O2460</f>
        <v>0</v>
      </c>
      <c r="F2459" s="400" t="str">
        <f>IF(LEN('Verification Report'!W2462)=0,"",'Verification Report'!W2462)</f>
        <v/>
      </c>
      <c r="G2459" t="s">
        <v>247</v>
      </c>
    </row>
    <row r="2460" spans="1:7" hidden="1" x14ac:dyDescent="0.35">
      <c r="A2460" s="412"/>
      <c r="B2460" s="412"/>
      <c r="C2460" s="412"/>
      <c r="D2460" s="848"/>
      <c r="E2460" s="41"/>
      <c r="G2460" t="s">
        <v>247</v>
      </c>
    </row>
    <row r="2461" spans="1:7" hidden="1" x14ac:dyDescent="0.35">
      <c r="A2461" s="412"/>
      <c r="B2461" s="418"/>
      <c r="C2461" s="418"/>
      <c r="D2461" s="821"/>
      <c r="E2461" s="546"/>
      <c r="G2461" t="s">
        <v>247</v>
      </c>
    </row>
    <row r="2462" spans="1:7" ht="15" hidden="1" customHeight="1" x14ac:dyDescent="0.35">
      <c r="A2462" s="412"/>
      <c r="B2462" s="519" t="s">
        <v>258</v>
      </c>
      <c r="C2462" s="519"/>
      <c r="D2462" s="820" t="s">
        <v>4574</v>
      </c>
      <c r="E2462" s="41">
        <f>'Verification Report'!O2463</f>
        <v>0</v>
      </c>
      <c r="F2462" s="400" t="str">
        <f>IF(LEN('Verification Report'!W2465)=0,"",'Verification Report'!W2465)</f>
        <v/>
      </c>
      <c r="G2462" t="s">
        <v>247</v>
      </c>
    </row>
    <row r="2463" spans="1:7" hidden="1" x14ac:dyDescent="0.35">
      <c r="A2463" s="412"/>
      <c r="B2463" s="412"/>
      <c r="C2463" s="412"/>
      <c r="D2463" s="848"/>
      <c r="E2463" s="41"/>
      <c r="G2463" t="s">
        <v>247</v>
      </c>
    </row>
    <row r="2464" spans="1:7" hidden="1" x14ac:dyDescent="0.35">
      <c r="A2464" s="412"/>
      <c r="B2464" s="412"/>
      <c r="C2464" s="412"/>
      <c r="D2464" s="848"/>
      <c r="E2464" s="41"/>
      <c r="G2464" t="s">
        <v>247</v>
      </c>
    </row>
    <row r="2465" spans="1:7" hidden="1" x14ac:dyDescent="0.35">
      <c r="A2465" s="412"/>
      <c r="B2465" s="418"/>
      <c r="C2465" s="418"/>
      <c r="D2465" s="821"/>
      <c r="E2465" s="546"/>
      <c r="G2465" t="s">
        <v>247</v>
      </c>
    </row>
    <row r="2466" spans="1:7" ht="15" hidden="1" customHeight="1" x14ac:dyDescent="0.35">
      <c r="A2466" s="412"/>
      <c r="B2466" s="412" t="s">
        <v>260</v>
      </c>
      <c r="C2466" s="412"/>
      <c r="D2466" s="848" t="s">
        <v>4575</v>
      </c>
      <c r="E2466" s="41">
        <f>'Verification Report'!O2467</f>
        <v>2</v>
      </c>
      <c r="G2466" t="s">
        <v>247</v>
      </c>
    </row>
    <row r="2467" spans="1:7" hidden="1" x14ac:dyDescent="0.35">
      <c r="A2467" s="412"/>
      <c r="B2467" s="412"/>
      <c r="C2467" s="412"/>
      <c r="D2467" s="848"/>
      <c r="E2467" s="41"/>
      <c r="G2467" t="s">
        <v>247</v>
      </c>
    </row>
    <row r="2468" spans="1:7" hidden="1" x14ac:dyDescent="0.35">
      <c r="A2468" s="412"/>
      <c r="B2468" s="412"/>
      <c r="C2468" s="412"/>
      <c r="D2468" s="848"/>
      <c r="E2468" s="41"/>
      <c r="G2468" t="s">
        <v>247</v>
      </c>
    </row>
  </sheetData>
  <sheetProtection algorithmName="SHA-512" hashValue="6GIqrnCyBp1fLGtu1l39+SsgYAckoqfqAVLhjTqnBkJN3t9chVEGgw89g3ulULlCeDGcPuzdkapE3F+5VnDQtg==" saltValue="g0xBAxQCM8ZO5nWf7AZEqg==" spinCount="100000" sheet="1" objects="1" scenarios="1" selectLockedCells="1"/>
  <autoFilter ref="G6:G2468" xr:uid="{7FA7FBF1-D20B-4086-B51B-75E269EBDB3A}">
    <filterColumn colId="0">
      <filters>
        <filter val="NP"/>
      </filters>
    </filterColumn>
  </autoFilter>
  <mergeCells count="644">
    <mergeCell ref="F749:F750"/>
    <mergeCell ref="F756:F757"/>
    <mergeCell ref="F804:F805"/>
    <mergeCell ref="F1052:F1053"/>
    <mergeCell ref="F1081:F1082"/>
    <mergeCell ref="F1101:F1102"/>
    <mergeCell ref="F1414:F1415"/>
    <mergeCell ref="F1479:F1484"/>
    <mergeCell ref="D2466:D2468"/>
    <mergeCell ref="D2444:D2447"/>
    <mergeCell ref="D2448:D2452"/>
    <mergeCell ref="D2453:D2454"/>
    <mergeCell ref="D2455:D2456"/>
    <mergeCell ref="D2459:D2461"/>
    <mergeCell ref="D2462:D2465"/>
    <mergeCell ref="D2411:D2412"/>
    <mergeCell ref="D2419:D2422"/>
    <mergeCell ref="D2431:D2433"/>
    <mergeCell ref="D2435:D2436"/>
    <mergeCell ref="D2437:D2439"/>
    <mergeCell ref="D2440:D2442"/>
    <mergeCell ref="D2372:D2375"/>
    <mergeCell ref="D2383:D2384"/>
    <mergeCell ref="D2386:D2387"/>
    <mergeCell ref="D2392:D2393"/>
    <mergeCell ref="D2394:D2398"/>
    <mergeCell ref="D2407:D2408"/>
    <mergeCell ref="D2356:D2357"/>
    <mergeCell ref="D2358:D2359"/>
    <mergeCell ref="D2361:D2363"/>
    <mergeCell ref="D2364:D2365"/>
    <mergeCell ref="D2366:D2368"/>
    <mergeCell ref="D2370:D2371"/>
    <mergeCell ref="D2339:D2341"/>
    <mergeCell ref="D2343:D2344"/>
    <mergeCell ref="D2345:D2347"/>
    <mergeCell ref="D2348:D2349"/>
    <mergeCell ref="D2350:D2352"/>
    <mergeCell ref="D2353:D2354"/>
    <mergeCell ref="D2321:D2322"/>
    <mergeCell ref="D2324:D2326"/>
    <mergeCell ref="D2327:D2329"/>
    <mergeCell ref="D2330:D2331"/>
    <mergeCell ref="D2333:D2334"/>
    <mergeCell ref="D2337:D2338"/>
    <mergeCell ref="D2291:D2292"/>
    <mergeCell ref="D2294:D2295"/>
    <mergeCell ref="D2296:D2297"/>
    <mergeCell ref="D2298:D2299"/>
    <mergeCell ref="D2302:D2305"/>
    <mergeCell ref="D2315:D2320"/>
    <mergeCell ref="D2274:D2275"/>
    <mergeCell ref="D2278:D2279"/>
    <mergeCell ref="D2280:D2283"/>
    <mergeCell ref="D2284:D2285"/>
    <mergeCell ref="D2286:D2287"/>
    <mergeCell ref="D2289:D2290"/>
    <mergeCell ref="D2252:D2253"/>
    <mergeCell ref="D2254:D2255"/>
    <mergeCell ref="D2259:D2262"/>
    <mergeCell ref="D2265:D2266"/>
    <mergeCell ref="D2267:D2268"/>
    <mergeCell ref="D2270:D2271"/>
    <mergeCell ref="D2227:D2229"/>
    <mergeCell ref="D2231:D2235"/>
    <mergeCell ref="D2236:D2237"/>
    <mergeCell ref="D2240:D2241"/>
    <mergeCell ref="D2242:D2246"/>
    <mergeCell ref="D2247:D2250"/>
    <mergeCell ref="D2204:D2205"/>
    <mergeCell ref="D2207:D2208"/>
    <mergeCell ref="D2209:D2213"/>
    <mergeCell ref="D2214:D2216"/>
    <mergeCell ref="D2217:D2218"/>
    <mergeCell ref="D2219:D2226"/>
    <mergeCell ref="D2184:D2186"/>
    <mergeCell ref="D2187:D2188"/>
    <mergeCell ref="D2189:D2190"/>
    <mergeCell ref="D2194:D2195"/>
    <mergeCell ref="D2199:D2200"/>
    <mergeCell ref="D2201:D2202"/>
    <mergeCell ref="D2170:D2172"/>
    <mergeCell ref="D2173:D2174"/>
    <mergeCell ref="D2175:D2176"/>
    <mergeCell ref="D2177:D2178"/>
    <mergeCell ref="D2179:D2180"/>
    <mergeCell ref="D2181:D2183"/>
    <mergeCell ref="D2157:D2158"/>
    <mergeCell ref="D2159:D2160"/>
    <mergeCell ref="D2161:D2163"/>
    <mergeCell ref="D2164:D2165"/>
    <mergeCell ref="D2166:D2167"/>
    <mergeCell ref="D2168:D2169"/>
    <mergeCell ref="D2135:D2139"/>
    <mergeCell ref="D2140:D2141"/>
    <mergeCell ref="D2142:D2145"/>
    <mergeCell ref="D2146:D2148"/>
    <mergeCell ref="D2151:D2152"/>
    <mergeCell ref="D2155:D2156"/>
    <mergeCell ref="D2097:D2099"/>
    <mergeCell ref="D2100:D2102"/>
    <mergeCell ref="D2103:D2105"/>
    <mergeCell ref="D2113:D2120"/>
    <mergeCell ref="D2121:D2127"/>
    <mergeCell ref="D2128:D2134"/>
    <mergeCell ref="D2077:D2079"/>
    <mergeCell ref="D2080:D2082"/>
    <mergeCell ref="D2084:D2087"/>
    <mergeCell ref="D2088:D2089"/>
    <mergeCell ref="D2090:D2091"/>
    <mergeCell ref="D2095:D2096"/>
    <mergeCell ref="D2055:D2057"/>
    <mergeCell ref="D2058:D2059"/>
    <mergeCell ref="D2062:D2063"/>
    <mergeCell ref="D2071:D2072"/>
    <mergeCell ref="D2073:D2074"/>
    <mergeCell ref="D2075:D2076"/>
    <mergeCell ref="D1881:D1882"/>
    <mergeCell ref="D2039:D2040"/>
    <mergeCell ref="D2041:D2042"/>
    <mergeCell ref="D2043:D2044"/>
    <mergeCell ref="D2049:D2050"/>
    <mergeCell ref="D2051:D2052"/>
    <mergeCell ref="D2053:D2054"/>
    <mergeCell ref="D2014:D2018"/>
    <mergeCell ref="D2020:D2022"/>
    <mergeCell ref="D2024:D2028"/>
    <mergeCell ref="D2029:D2032"/>
    <mergeCell ref="D2033:D2034"/>
    <mergeCell ref="D2035:D2036"/>
    <mergeCell ref="D1883:D1884"/>
    <mergeCell ref="D1886:D1887"/>
    <mergeCell ref="D1894:D1898"/>
    <mergeCell ref="D1899:D1901"/>
    <mergeCell ref="D1927:D1932"/>
    <mergeCell ref="D1934:D1936"/>
    <mergeCell ref="D1937:D1940"/>
    <mergeCell ref="D1925:D1926"/>
    <mergeCell ref="D1913:D1915"/>
    <mergeCell ref="D1916:D1917"/>
    <mergeCell ref="D1918:D1919"/>
    <mergeCell ref="D1923:D1924"/>
    <mergeCell ref="D1906:D1907"/>
    <mergeCell ref="D1908:D1910"/>
    <mergeCell ref="D1911:D1912"/>
    <mergeCell ref="D1686:D1687"/>
    <mergeCell ref="D1692:D1693"/>
    <mergeCell ref="D1694:D1697"/>
    <mergeCell ref="D1688:D1689"/>
    <mergeCell ref="D1699:D1700"/>
    <mergeCell ref="D1861:D1862"/>
    <mergeCell ref="D1867:D1868"/>
    <mergeCell ref="D1851:D1853"/>
    <mergeCell ref="D1856:D1858"/>
    <mergeCell ref="D1859:D1860"/>
    <mergeCell ref="D1865:D1866"/>
    <mergeCell ref="D1836:D1838"/>
    <mergeCell ref="D1841:D1842"/>
    <mergeCell ref="D1848:D1850"/>
    <mergeCell ref="D1823:D1828"/>
    <mergeCell ref="D1831:D1832"/>
    <mergeCell ref="D1820:D1821"/>
    <mergeCell ref="D1790:D1791"/>
    <mergeCell ref="D1792:D1793"/>
    <mergeCell ref="D1794:D1795"/>
    <mergeCell ref="D1877:D1880"/>
    <mergeCell ref="D1577:D1578"/>
    <mergeCell ref="D1541:D1542"/>
    <mergeCell ref="D1543:D1547"/>
    <mergeCell ref="D1548:D1550"/>
    <mergeCell ref="D1551:D1552"/>
    <mergeCell ref="D1553:D1554"/>
    <mergeCell ref="D1668:D1670"/>
    <mergeCell ref="D1671:D1672"/>
    <mergeCell ref="D1673:D1677"/>
    <mergeCell ref="D1594:D1595"/>
    <mergeCell ref="D1596:D1597"/>
    <mergeCell ref="D1600:D1601"/>
    <mergeCell ref="D1602:D1604"/>
    <mergeCell ref="D1605:D1609"/>
    <mergeCell ref="D1610:D1612"/>
    <mergeCell ref="D1584:D1585"/>
    <mergeCell ref="D1760:D1761"/>
    <mergeCell ref="D1763:D1765"/>
    <mergeCell ref="D1766:D1767"/>
    <mergeCell ref="D1748:D1749"/>
    <mergeCell ref="D1750:D1751"/>
    <mergeCell ref="D1752:D1755"/>
    <mergeCell ref="D1756:D1758"/>
    <mergeCell ref="D1466:D1467"/>
    <mergeCell ref="D1461:D1463"/>
    <mergeCell ref="D1464:D1465"/>
    <mergeCell ref="D1447:D1448"/>
    <mergeCell ref="D1450:D1451"/>
    <mergeCell ref="D1452:D1454"/>
    <mergeCell ref="D1678:D1680"/>
    <mergeCell ref="D1681:D1682"/>
    <mergeCell ref="D1869:D1871"/>
    <mergeCell ref="D1797:D1798"/>
    <mergeCell ref="D1788:D1789"/>
    <mergeCell ref="D1768:D1769"/>
    <mergeCell ref="D1799:D1800"/>
    <mergeCell ref="D1801:D1802"/>
    <mergeCell ref="D1805:D1806"/>
    <mergeCell ref="D1809:D1810"/>
    <mergeCell ref="D1811:D1813"/>
    <mergeCell ref="D1814:D1816"/>
    <mergeCell ref="D1771:D1772"/>
    <mergeCell ref="D1773:D1775"/>
    <mergeCell ref="D1779:D1780"/>
    <mergeCell ref="D1781:D1782"/>
    <mergeCell ref="D1784:D1785"/>
    <mergeCell ref="D1786:D1787"/>
    <mergeCell ref="D1317:D1318"/>
    <mergeCell ref="D1319:D1320"/>
    <mergeCell ref="D1321:D1322"/>
    <mergeCell ref="D1329:D1330"/>
    <mergeCell ref="D1331:D1332"/>
    <mergeCell ref="D1333:D1334"/>
    <mergeCell ref="D1279:D1280"/>
    <mergeCell ref="D1285:D1286"/>
    <mergeCell ref="D1287:D1288"/>
    <mergeCell ref="D1289:D1290"/>
    <mergeCell ref="D1292:D1293"/>
    <mergeCell ref="D1297:D1299"/>
    <mergeCell ref="D1307:D1308"/>
    <mergeCell ref="D1315:D1316"/>
    <mergeCell ref="D1300:D1301"/>
    <mergeCell ref="D896:D904"/>
    <mergeCell ref="D906:D908"/>
    <mergeCell ref="D911:D912"/>
    <mergeCell ref="D914:D915"/>
    <mergeCell ref="D916:D917"/>
    <mergeCell ref="D928:D929"/>
    <mergeCell ref="D879:D882"/>
    <mergeCell ref="D886:D888"/>
    <mergeCell ref="D889:D892"/>
    <mergeCell ref="D893:D895"/>
    <mergeCell ref="D883:D885"/>
    <mergeCell ref="D1105:D1111"/>
    <mergeCell ref="D1113:D1120"/>
    <mergeCell ref="D1121:D1125"/>
    <mergeCell ref="D1065:D1066"/>
    <mergeCell ref="D1068:D1075"/>
    <mergeCell ref="D1076:D1079"/>
    <mergeCell ref="D1080:D1081"/>
    <mergeCell ref="D1083:D1087"/>
    <mergeCell ref="D1089:D1094"/>
    <mergeCell ref="D714:D715"/>
    <mergeCell ref="D717:D722"/>
    <mergeCell ref="D724:D725"/>
    <mergeCell ref="D726:D728"/>
    <mergeCell ref="D693:D694"/>
    <mergeCell ref="D711:D713"/>
    <mergeCell ref="D868:D869"/>
    <mergeCell ref="D870:D873"/>
    <mergeCell ref="D834:D835"/>
    <mergeCell ref="D836:D837"/>
    <mergeCell ref="D838:D842"/>
    <mergeCell ref="D784:D785"/>
    <mergeCell ref="D786:D787"/>
    <mergeCell ref="D789:D793"/>
    <mergeCell ref="D776:D777"/>
    <mergeCell ref="D749:D751"/>
    <mergeCell ref="D758:D760"/>
    <mergeCell ref="D761:D762"/>
    <mergeCell ref="D763:D771"/>
    <mergeCell ref="D735:D742"/>
    <mergeCell ref="D743:D744"/>
    <mergeCell ref="D745:D748"/>
    <mergeCell ref="D843:D846"/>
    <mergeCell ref="D847:D848"/>
    <mergeCell ref="D524:D525"/>
    <mergeCell ref="D452:D455"/>
    <mergeCell ref="D456:D458"/>
    <mergeCell ref="D461:D462"/>
    <mergeCell ref="D463:D464"/>
    <mergeCell ref="D466:D467"/>
    <mergeCell ref="D468:D469"/>
    <mergeCell ref="D492:D494"/>
    <mergeCell ref="D496:D499"/>
    <mergeCell ref="D501:D503"/>
    <mergeCell ref="D477:D481"/>
    <mergeCell ref="D486:D487"/>
    <mergeCell ref="D470:D473"/>
    <mergeCell ref="D474:D475"/>
    <mergeCell ref="D384:D385"/>
    <mergeCell ref="D388:D389"/>
    <mergeCell ref="D390:D391"/>
    <mergeCell ref="D374:D376"/>
    <mergeCell ref="D379:D380"/>
    <mergeCell ref="D363:D365"/>
    <mergeCell ref="D504:D505"/>
    <mergeCell ref="D506:D507"/>
    <mergeCell ref="D509:D514"/>
    <mergeCell ref="D425:D427"/>
    <mergeCell ref="D428:D429"/>
    <mergeCell ref="D431:D433"/>
    <mergeCell ref="D434:D435"/>
    <mergeCell ref="D436:D437"/>
    <mergeCell ref="D440:D441"/>
    <mergeCell ref="D393:D394"/>
    <mergeCell ref="D395:D396"/>
    <mergeCell ref="D397:D401"/>
    <mergeCell ref="D402:D404"/>
    <mergeCell ref="D410:D412"/>
    <mergeCell ref="D413:D414"/>
    <mergeCell ref="D415:D416"/>
    <mergeCell ref="D420:D421"/>
    <mergeCell ref="D422:D423"/>
    <mergeCell ref="D215:D216"/>
    <mergeCell ref="D217:D218"/>
    <mergeCell ref="D219:D221"/>
    <mergeCell ref="D222:D223"/>
    <mergeCell ref="D406:D407"/>
    <mergeCell ref="D154:D155"/>
    <mergeCell ref="D156:D158"/>
    <mergeCell ref="D144:D145"/>
    <mergeCell ref="D309:D310"/>
    <mergeCell ref="D311:D313"/>
    <mergeCell ref="D315:D316"/>
    <mergeCell ref="D317:D319"/>
    <mergeCell ref="D320:D321"/>
    <mergeCell ref="D327:D329"/>
    <mergeCell ref="D233:D235"/>
    <mergeCell ref="D247:D249"/>
    <mergeCell ref="D250:D251"/>
    <mergeCell ref="D252:D253"/>
    <mergeCell ref="D261:D262"/>
    <mergeCell ref="D271:D273"/>
    <mergeCell ref="D322:D323"/>
    <mergeCell ref="D324:D325"/>
    <mergeCell ref="D287:D289"/>
    <mergeCell ref="D292:D295"/>
    <mergeCell ref="D197:D198"/>
    <mergeCell ref="D199:D201"/>
    <mergeCell ref="D202:D203"/>
    <mergeCell ref="D205:D206"/>
    <mergeCell ref="D190:D191"/>
    <mergeCell ref="D193:D194"/>
    <mergeCell ref="D195:D196"/>
    <mergeCell ref="D207:D210"/>
    <mergeCell ref="D212:D213"/>
    <mergeCell ref="D184:D185"/>
    <mergeCell ref="D186:D187"/>
    <mergeCell ref="D180:D181"/>
    <mergeCell ref="D182:D183"/>
    <mergeCell ref="D170:D174"/>
    <mergeCell ref="D175:D176"/>
    <mergeCell ref="D177:D179"/>
    <mergeCell ref="D159:D160"/>
    <mergeCell ref="D161:D163"/>
    <mergeCell ref="D2000:D2001"/>
    <mergeCell ref="D2002:D2003"/>
    <mergeCell ref="D2005:D2010"/>
    <mergeCell ref="D2011:D2013"/>
    <mergeCell ref="D1968:D1969"/>
    <mergeCell ref="D1993:D1994"/>
    <mergeCell ref="D1995:D1996"/>
    <mergeCell ref="D1946:D1947"/>
    <mergeCell ref="D1950:D1951"/>
    <mergeCell ref="D1953:D1954"/>
    <mergeCell ref="D1956:D1957"/>
    <mergeCell ref="D1958:D1960"/>
    <mergeCell ref="D1961:D1962"/>
    <mergeCell ref="D1963:D1967"/>
    <mergeCell ref="D1970:D1973"/>
    <mergeCell ref="D1982:D1983"/>
    <mergeCell ref="D1984:D1989"/>
    <mergeCell ref="D1990:D1992"/>
    <mergeCell ref="D1745:D1746"/>
    <mergeCell ref="D1656:D1658"/>
    <mergeCell ref="D1662:D1663"/>
    <mergeCell ref="D1664:D1665"/>
    <mergeCell ref="D1666:D1667"/>
    <mergeCell ref="D1615:D1616"/>
    <mergeCell ref="D1617:D1620"/>
    <mergeCell ref="D1621:D1622"/>
    <mergeCell ref="D1626:D1629"/>
    <mergeCell ref="D1737:D1738"/>
    <mergeCell ref="D1701:D1702"/>
    <mergeCell ref="D1703:D1706"/>
    <mergeCell ref="D1708:D1716"/>
    <mergeCell ref="D1717:D1719"/>
    <mergeCell ref="D1720:D1722"/>
    <mergeCell ref="D1728:D1730"/>
    <mergeCell ref="D1732:D1734"/>
    <mergeCell ref="D1740:D1742"/>
    <mergeCell ref="D1613:D1614"/>
    <mergeCell ref="D1630:D1631"/>
    <mergeCell ref="D1632:D1634"/>
    <mergeCell ref="D1638:D1640"/>
    <mergeCell ref="D1641:D1646"/>
    <mergeCell ref="D1648:D1652"/>
    <mergeCell ref="D1653:D1655"/>
    <mergeCell ref="D1555:D1556"/>
    <mergeCell ref="D1559:D1560"/>
    <mergeCell ref="D1561:D1562"/>
    <mergeCell ref="D1573:D1574"/>
    <mergeCell ref="D1575:D1576"/>
    <mergeCell ref="D1586:D1591"/>
    <mergeCell ref="D1592:D1593"/>
    <mergeCell ref="D1489:D1490"/>
    <mergeCell ref="D1496:D1497"/>
    <mergeCell ref="D1498:D1500"/>
    <mergeCell ref="D1475:D1476"/>
    <mergeCell ref="D1479:D1484"/>
    <mergeCell ref="D1486:D1488"/>
    <mergeCell ref="D1528:D1531"/>
    <mergeCell ref="D1533:D1534"/>
    <mergeCell ref="D1538:D1539"/>
    <mergeCell ref="D1501:D1502"/>
    <mergeCell ref="D1504:D1505"/>
    <mergeCell ref="D1510:D1511"/>
    <mergeCell ref="D1512:D1513"/>
    <mergeCell ref="D1521:D1522"/>
    <mergeCell ref="D1526:D1527"/>
    <mergeCell ref="D1524:D1525"/>
    <mergeCell ref="D1456:D1458"/>
    <mergeCell ref="D1433:D1434"/>
    <mergeCell ref="D1437:D1439"/>
    <mergeCell ref="D1442:D1444"/>
    <mergeCell ref="D1430:D1431"/>
    <mergeCell ref="D1358:D1359"/>
    <mergeCell ref="D1362:D1363"/>
    <mergeCell ref="D1364:D1365"/>
    <mergeCell ref="D1368:D1369"/>
    <mergeCell ref="D1426:D1427"/>
    <mergeCell ref="D1373:D1374"/>
    <mergeCell ref="D1375:D1376"/>
    <mergeCell ref="D1382:D1383"/>
    <mergeCell ref="D1384:D1385"/>
    <mergeCell ref="D1389:D1390"/>
    <mergeCell ref="D1398:D1399"/>
    <mergeCell ref="D1400:D1401"/>
    <mergeCell ref="D1391:D1392"/>
    <mergeCell ref="D1393:D1395"/>
    <mergeCell ref="D1396:D1397"/>
    <mergeCell ref="D1386:D1387"/>
    <mergeCell ref="D1351:D1355"/>
    <mergeCell ref="D1356:D1357"/>
    <mergeCell ref="D1335:D1336"/>
    <mergeCell ref="D1337:D1338"/>
    <mergeCell ref="D1339:D1340"/>
    <mergeCell ref="D1344:D1345"/>
    <mergeCell ref="D1346:D1347"/>
    <mergeCell ref="D1424:D1425"/>
    <mergeCell ref="D1402:D1403"/>
    <mergeCell ref="D1404:D1406"/>
    <mergeCell ref="D1407:D1408"/>
    <mergeCell ref="D1410:D1413"/>
    <mergeCell ref="D1414:D1415"/>
    <mergeCell ref="D1416:D1418"/>
    <mergeCell ref="D1419:D1420"/>
    <mergeCell ref="D1370:D1371"/>
    <mergeCell ref="D1377:D1379"/>
    <mergeCell ref="D1380:D1381"/>
    <mergeCell ref="D1265:D1266"/>
    <mergeCell ref="D1270:D1271"/>
    <mergeCell ref="D1255:D1256"/>
    <mergeCell ref="D1260:D1262"/>
    <mergeCell ref="D1244:D1245"/>
    <mergeCell ref="D1246:D1247"/>
    <mergeCell ref="D1248:D1249"/>
    <mergeCell ref="D1251:D1252"/>
    <mergeCell ref="D1229:D1230"/>
    <mergeCell ref="D1233:D1237"/>
    <mergeCell ref="D1212:D1215"/>
    <mergeCell ref="D1217:D1218"/>
    <mergeCell ref="D1220:D1221"/>
    <mergeCell ref="D1197:D1198"/>
    <mergeCell ref="D1200:D1202"/>
    <mergeCell ref="D1204:D1206"/>
    <mergeCell ref="D1188:D1190"/>
    <mergeCell ref="D1176:D1178"/>
    <mergeCell ref="D1153:D1157"/>
    <mergeCell ref="D1139:D1147"/>
    <mergeCell ref="D1148:D1149"/>
    <mergeCell ref="D1129:D1137"/>
    <mergeCell ref="D1052:D1056"/>
    <mergeCell ref="D1058:D1060"/>
    <mergeCell ref="D1061:D1062"/>
    <mergeCell ref="D998:D1001"/>
    <mergeCell ref="D1002:D1003"/>
    <mergeCell ref="D1004:D1006"/>
    <mergeCell ref="D1029:D1036"/>
    <mergeCell ref="D1037:D1038"/>
    <mergeCell ref="D1039:D1040"/>
    <mergeCell ref="D1042:D1043"/>
    <mergeCell ref="D1045:D1046"/>
    <mergeCell ref="D1048:D1051"/>
    <mergeCell ref="D1007:D1008"/>
    <mergeCell ref="D1011:D1013"/>
    <mergeCell ref="D1014:D1015"/>
    <mergeCell ref="D1016:D1018"/>
    <mergeCell ref="D1019:D1025"/>
    <mergeCell ref="D1026:D1028"/>
    <mergeCell ref="D1096:D1097"/>
    <mergeCell ref="D1098:D1100"/>
    <mergeCell ref="D1101:D1103"/>
    <mergeCell ref="D983:D984"/>
    <mergeCell ref="D988:D989"/>
    <mergeCell ref="D990:D991"/>
    <mergeCell ref="D993:D996"/>
    <mergeCell ref="D930:D931"/>
    <mergeCell ref="D932:D933"/>
    <mergeCell ref="D937:D939"/>
    <mergeCell ref="D940:D944"/>
    <mergeCell ref="D926:D927"/>
    <mergeCell ref="D970:D973"/>
    <mergeCell ref="D974:D978"/>
    <mergeCell ref="D980:D981"/>
    <mergeCell ref="D946:D948"/>
    <mergeCell ref="D950:D951"/>
    <mergeCell ref="D953:D956"/>
    <mergeCell ref="D849:D850"/>
    <mergeCell ref="D853:D856"/>
    <mergeCell ref="D857:D858"/>
    <mergeCell ref="D859:D861"/>
    <mergeCell ref="D863:D867"/>
    <mergeCell ref="D794:D802"/>
    <mergeCell ref="D804:D809"/>
    <mergeCell ref="D812:D816"/>
    <mergeCell ref="D818:D819"/>
    <mergeCell ref="D828:D829"/>
    <mergeCell ref="D830:D831"/>
    <mergeCell ref="D832:D833"/>
    <mergeCell ref="D820:D822"/>
    <mergeCell ref="D824:D825"/>
    <mergeCell ref="D826:D827"/>
    <mergeCell ref="D595:D600"/>
    <mergeCell ref="D601:D604"/>
    <mergeCell ref="D606:D607"/>
    <mergeCell ref="D680:D681"/>
    <mergeCell ref="D682:D686"/>
    <mergeCell ref="D687:D692"/>
    <mergeCell ref="D696:D698"/>
    <mergeCell ref="D699:D700"/>
    <mergeCell ref="D705:D706"/>
    <mergeCell ref="D608:D609"/>
    <mergeCell ref="D610:D611"/>
    <mergeCell ref="D612:D614"/>
    <mergeCell ref="D616:D618"/>
    <mergeCell ref="D619:D620"/>
    <mergeCell ref="D646:D647"/>
    <mergeCell ref="D662:D666"/>
    <mergeCell ref="D667:D668"/>
    <mergeCell ref="D670:D671"/>
    <mergeCell ref="D673:D676"/>
    <mergeCell ref="D648:D649"/>
    <mergeCell ref="D650:D651"/>
    <mergeCell ref="D652:D653"/>
    <mergeCell ref="D655:D656"/>
    <mergeCell ref="D643:D644"/>
    <mergeCell ref="D592:D594"/>
    <mergeCell ref="D540:D543"/>
    <mergeCell ref="D547:D549"/>
    <mergeCell ref="D550:D552"/>
    <mergeCell ref="D554:D558"/>
    <mergeCell ref="D559:D560"/>
    <mergeCell ref="D563:D564"/>
    <mergeCell ref="D442:D444"/>
    <mergeCell ref="D445:D446"/>
    <mergeCell ref="D448:D451"/>
    <mergeCell ref="D582:D583"/>
    <mergeCell ref="D586:D587"/>
    <mergeCell ref="D544:D545"/>
    <mergeCell ref="D527:D530"/>
    <mergeCell ref="D531:D532"/>
    <mergeCell ref="D533:D534"/>
    <mergeCell ref="D537:D538"/>
    <mergeCell ref="D565:D566"/>
    <mergeCell ref="D568:D570"/>
    <mergeCell ref="D571:D573"/>
    <mergeCell ref="D575:D577"/>
    <mergeCell ref="D578:D579"/>
    <mergeCell ref="D520:D521"/>
    <mergeCell ref="D522:D523"/>
    <mergeCell ref="D366:D368"/>
    <mergeCell ref="D346:D347"/>
    <mergeCell ref="D348:D350"/>
    <mergeCell ref="D351:D353"/>
    <mergeCell ref="D355:D357"/>
    <mergeCell ref="D330:D335"/>
    <mergeCell ref="D342:D343"/>
    <mergeCell ref="D344:D345"/>
    <mergeCell ref="D225:D226"/>
    <mergeCell ref="D227:D228"/>
    <mergeCell ref="D229:D232"/>
    <mergeCell ref="D266:D269"/>
    <mergeCell ref="D254:D255"/>
    <mergeCell ref="D263:D265"/>
    <mergeCell ref="D296:D303"/>
    <mergeCell ref="D304:D307"/>
    <mergeCell ref="D282:D284"/>
    <mergeCell ref="D285:D286"/>
    <mergeCell ref="D146:D147"/>
    <mergeCell ref="D148:D149"/>
    <mergeCell ref="D127:D130"/>
    <mergeCell ref="D134:D135"/>
    <mergeCell ref="D139:D140"/>
    <mergeCell ref="D141:D143"/>
    <mergeCell ref="D117:D119"/>
    <mergeCell ref="D120:D122"/>
    <mergeCell ref="D123:D126"/>
    <mergeCell ref="D103:D104"/>
    <mergeCell ref="D105:D106"/>
    <mergeCell ref="D108:D109"/>
    <mergeCell ref="D113:D116"/>
    <mergeCell ref="D70:D71"/>
    <mergeCell ref="D78:D79"/>
    <mergeCell ref="D72:D73"/>
    <mergeCell ref="D74:D75"/>
    <mergeCell ref="D76:D77"/>
    <mergeCell ref="D80:D81"/>
    <mergeCell ref="D82:D86"/>
    <mergeCell ref="D90:D91"/>
    <mergeCell ref="D92:D93"/>
    <mergeCell ref="D97:D98"/>
    <mergeCell ref="D100:D101"/>
    <mergeCell ref="H225:H226"/>
    <mergeCell ref="H274:H275"/>
    <mergeCell ref="H330:H331"/>
    <mergeCell ref="H509:H510"/>
    <mergeCell ref="D8:D10"/>
    <mergeCell ref="D18:D19"/>
    <mergeCell ref="D1:D3"/>
    <mergeCell ref="D4:D5"/>
    <mergeCell ref="H14:H15"/>
    <mergeCell ref="H141:H142"/>
    <mergeCell ref="H154:H155"/>
    <mergeCell ref="H193:H194"/>
    <mergeCell ref="D68:D69"/>
    <mergeCell ref="D62:D65"/>
    <mergeCell ref="D49:D50"/>
    <mergeCell ref="D51:D52"/>
    <mergeCell ref="D57:D60"/>
    <mergeCell ref="D35:D38"/>
    <mergeCell ref="D41:D43"/>
    <mergeCell ref="D44:D45"/>
    <mergeCell ref="D20:D21"/>
    <mergeCell ref="D22:D23"/>
    <mergeCell ref="D24:D25"/>
    <mergeCell ref="D26:D29"/>
  </mergeCells>
  <conditionalFormatting sqref="I14">
    <cfRule type="notContainsBlanks" dxfId="2948" priority="68">
      <formula>LEN(TRIM(I14))&gt;0</formula>
    </cfRule>
  </conditionalFormatting>
  <conditionalFormatting sqref="I24">
    <cfRule type="notContainsBlanks" dxfId="2947" priority="67">
      <formula>LEN(TRIM(I24))&gt;0</formula>
    </cfRule>
  </conditionalFormatting>
  <conditionalFormatting sqref="I88">
    <cfRule type="notContainsBlanks" dxfId="2946" priority="66">
      <formula>LEN(TRIM(I88))&gt;0</formula>
    </cfRule>
  </conditionalFormatting>
  <conditionalFormatting sqref="I97">
    <cfRule type="notContainsBlanks" dxfId="2945" priority="65">
      <formula>LEN(TRIM(I97))&gt;0</formula>
    </cfRule>
  </conditionalFormatting>
  <conditionalFormatting sqref="I141">
    <cfRule type="notContainsBlanks" dxfId="2944" priority="64">
      <formula>LEN(TRIM(I141))&gt;0</formula>
    </cfRule>
  </conditionalFormatting>
  <conditionalFormatting sqref="I154">
    <cfRule type="notContainsBlanks" dxfId="2943" priority="63">
      <formula>LEN(TRIM(I154))&gt;0</formula>
    </cfRule>
  </conditionalFormatting>
  <conditionalFormatting sqref="I156">
    <cfRule type="notContainsBlanks" dxfId="2942" priority="62">
      <formula>LEN(TRIM(I156))&gt;0</formula>
    </cfRule>
  </conditionalFormatting>
  <conditionalFormatting sqref="I159">
    <cfRule type="notContainsBlanks" dxfId="2941" priority="61">
      <formula>LEN(TRIM(I159))&gt;0</formula>
    </cfRule>
  </conditionalFormatting>
  <conditionalFormatting sqref="I161">
    <cfRule type="notContainsBlanks" dxfId="2940" priority="60">
      <formula>LEN(TRIM(I161))&gt;0</formula>
    </cfRule>
  </conditionalFormatting>
  <conditionalFormatting sqref="I164">
    <cfRule type="notContainsBlanks" dxfId="2939" priority="59">
      <formula>LEN(TRIM(I164))&gt;0</formula>
    </cfRule>
  </conditionalFormatting>
  <conditionalFormatting sqref="I169">
    <cfRule type="notContainsBlanks" dxfId="2938" priority="58">
      <formula>LEN(TRIM(I169))&gt;0</formula>
    </cfRule>
  </conditionalFormatting>
  <conditionalFormatting sqref="I170">
    <cfRule type="notContainsBlanks" dxfId="2937" priority="57">
      <formula>LEN(TRIM(I170))&gt;0</formula>
    </cfRule>
  </conditionalFormatting>
  <conditionalFormatting sqref="I175">
    <cfRule type="notContainsBlanks" dxfId="2936" priority="56">
      <formula>LEN(TRIM(I175))&gt;0</formula>
    </cfRule>
  </conditionalFormatting>
  <conditionalFormatting sqref="I177">
    <cfRule type="notContainsBlanks" dxfId="2935" priority="55">
      <formula>LEN(TRIM(I177))&gt;0</formula>
    </cfRule>
  </conditionalFormatting>
  <conditionalFormatting sqref="I186">
    <cfRule type="notContainsBlanks" dxfId="2934" priority="54">
      <formula>LEN(TRIM(I186))&gt;0</formula>
    </cfRule>
  </conditionalFormatting>
  <conditionalFormatting sqref="I193">
    <cfRule type="notContainsBlanks" dxfId="2933" priority="53">
      <formula>LEN(TRIM(I193))&gt;0</formula>
    </cfRule>
  </conditionalFormatting>
  <conditionalFormatting sqref="I213">
    <cfRule type="notContainsBlanks" dxfId="2932" priority="52">
      <formula>LEN(TRIM(I213))&gt;0</formula>
    </cfRule>
  </conditionalFormatting>
  <conditionalFormatting sqref="I222">
    <cfRule type="notContainsBlanks" dxfId="2931" priority="51">
      <formula>LEN(TRIM(I222))&gt;0</formula>
    </cfRule>
  </conditionalFormatting>
  <conditionalFormatting sqref="I224">
    <cfRule type="notContainsBlanks" dxfId="2930" priority="50">
      <formula>LEN(TRIM(I224))&gt;0</formula>
    </cfRule>
  </conditionalFormatting>
  <conditionalFormatting sqref="I225">
    <cfRule type="notContainsBlanks" dxfId="2929" priority="49">
      <formula>LEN(TRIM(I225))&gt;0</formula>
    </cfRule>
  </conditionalFormatting>
  <conditionalFormatting sqref="I227">
    <cfRule type="notContainsBlanks" dxfId="2928" priority="48">
      <formula>LEN(TRIM(I227))&gt;0</formula>
    </cfRule>
  </conditionalFormatting>
  <conditionalFormatting sqref="I252">
    <cfRule type="notContainsBlanks" dxfId="2927" priority="47">
      <formula>LEN(TRIM(I252))&gt;0</formula>
    </cfRule>
  </conditionalFormatting>
  <conditionalFormatting sqref="I256">
    <cfRule type="notContainsBlanks" dxfId="2926" priority="46">
      <formula>LEN(TRIM(I256))&gt;0</formula>
    </cfRule>
  </conditionalFormatting>
  <conditionalFormatting sqref="I263">
    <cfRule type="notContainsBlanks" dxfId="2925" priority="45">
      <formula>LEN(TRIM(I263))&gt;0</formula>
    </cfRule>
  </conditionalFormatting>
  <conditionalFormatting sqref="I266">
    <cfRule type="notContainsBlanks" dxfId="2924" priority="44">
      <formula>LEN(TRIM(I266))&gt;0</formula>
    </cfRule>
  </conditionalFormatting>
  <conditionalFormatting sqref="I271">
    <cfRule type="notContainsBlanks" dxfId="2923" priority="43">
      <formula>LEN(TRIM(I271))&gt;0</formula>
    </cfRule>
  </conditionalFormatting>
  <conditionalFormatting sqref="I274">
    <cfRule type="notContainsBlanks" dxfId="2922" priority="42">
      <formula>LEN(TRIM(I274))&gt;0</formula>
    </cfRule>
  </conditionalFormatting>
  <conditionalFormatting sqref="I280">
    <cfRule type="notContainsBlanks" dxfId="2921" priority="41">
      <formula>LEN(TRIM(I280))&gt;0</formula>
    </cfRule>
  </conditionalFormatting>
  <conditionalFormatting sqref="I330">
    <cfRule type="notContainsBlanks" dxfId="2920" priority="40">
      <formula>LEN(TRIM(I330))&gt;0</formula>
    </cfRule>
  </conditionalFormatting>
  <conditionalFormatting sqref="I374">
    <cfRule type="notContainsBlanks" dxfId="2919" priority="39">
      <formula>LEN(TRIM(I374))&gt;0</formula>
    </cfRule>
  </conditionalFormatting>
  <conditionalFormatting sqref="I474">
    <cfRule type="notContainsBlanks" dxfId="2918" priority="38">
      <formula>LEN(TRIM(I474))&gt;0</formula>
    </cfRule>
  </conditionalFormatting>
  <conditionalFormatting sqref="I477">
    <cfRule type="notContainsBlanks" dxfId="2917" priority="37">
      <formula>LEN(TRIM(I477))&gt;0</formula>
    </cfRule>
  </conditionalFormatting>
  <conditionalFormatting sqref="I509">
    <cfRule type="notContainsBlanks" dxfId="2916" priority="36">
      <formula>LEN(TRIM(I509))&gt;0</formula>
    </cfRule>
  </conditionalFormatting>
  <conditionalFormatting sqref="I524">
    <cfRule type="notContainsBlanks" dxfId="2915" priority="35">
      <formula>LEN(TRIM(I524))&gt;0</formula>
    </cfRule>
  </conditionalFormatting>
  <conditionalFormatting sqref="I531">
    <cfRule type="notContainsBlanks" dxfId="2914" priority="34">
      <formula>LEN(TRIM(I531))&gt;0</formula>
    </cfRule>
  </conditionalFormatting>
  <conditionalFormatting sqref="I546">
    <cfRule type="notContainsBlanks" dxfId="2913" priority="33">
      <formula>LEN(TRIM(I546))&gt;0</formula>
    </cfRule>
  </conditionalFormatting>
  <conditionalFormatting sqref="I551">
    <cfRule type="notContainsBlanks" dxfId="2912" priority="32">
      <formula>LEN(TRIM(I551))&gt;0</formula>
    </cfRule>
  </conditionalFormatting>
  <conditionalFormatting sqref="I554">
    <cfRule type="notContainsBlanks" dxfId="2911" priority="31">
      <formula>LEN(TRIM(I554))&gt;0</formula>
    </cfRule>
  </conditionalFormatting>
  <conditionalFormatting sqref="I559">
    <cfRule type="notContainsBlanks" dxfId="2910" priority="30">
      <formula>LEN(TRIM(I559))&gt;0</formula>
    </cfRule>
  </conditionalFormatting>
  <conditionalFormatting sqref="I561">
    <cfRule type="notContainsBlanks" dxfId="2909" priority="29">
      <formula>LEN(TRIM(I561))&gt;0</formula>
    </cfRule>
  </conditionalFormatting>
  <conditionalFormatting sqref="I838">
    <cfRule type="notContainsBlanks" dxfId="2908" priority="28">
      <formula>LEN(TRIM(I838))&gt;0</formula>
    </cfRule>
  </conditionalFormatting>
  <conditionalFormatting sqref="I1356">
    <cfRule type="notContainsBlanks" dxfId="2907" priority="27">
      <formula>LEN(TRIM(I1356))&gt;0</formula>
    </cfRule>
  </conditionalFormatting>
  <conditionalFormatting sqref="I1362">
    <cfRule type="notContainsBlanks" dxfId="2906" priority="26">
      <formula>LEN(TRIM(I1362))&gt;0</formula>
    </cfRule>
  </conditionalFormatting>
  <conditionalFormatting sqref="I1370">
    <cfRule type="notContainsBlanks" dxfId="2905" priority="25">
      <formula>LEN(TRIM(I1370))&gt;0</formula>
    </cfRule>
  </conditionalFormatting>
  <conditionalFormatting sqref="I1430">
    <cfRule type="notContainsBlanks" dxfId="2904" priority="24">
      <formula>LEN(TRIM(I1430))&gt;0</formula>
    </cfRule>
  </conditionalFormatting>
  <conditionalFormatting sqref="I1582">
    <cfRule type="notContainsBlanks" dxfId="2903" priority="23">
      <formula>LEN(TRIM(I1582))&gt;0</formula>
    </cfRule>
  </conditionalFormatting>
  <conditionalFormatting sqref="I1594">
    <cfRule type="notContainsBlanks" dxfId="2902" priority="22">
      <formula>LEN(TRIM(I1594))&gt;0</formula>
    </cfRule>
  </conditionalFormatting>
  <conditionalFormatting sqref="I1906">
    <cfRule type="notContainsBlanks" dxfId="2901" priority="21">
      <formula>LEN(TRIM(I1906))&gt;0</formula>
    </cfRule>
  </conditionalFormatting>
  <conditionalFormatting sqref="I1920">
    <cfRule type="notContainsBlanks" dxfId="2900" priority="20">
      <formula>LEN(TRIM(I1920))&gt;0</formula>
    </cfRule>
  </conditionalFormatting>
  <conditionalFormatting sqref="I1921">
    <cfRule type="notContainsBlanks" dxfId="2899" priority="19">
      <formula>LEN(TRIM(I1921))&gt;0</formula>
    </cfRule>
  </conditionalFormatting>
  <conditionalFormatting sqref="I1933">
    <cfRule type="notContainsBlanks" dxfId="2898" priority="18">
      <formula>LEN(TRIM(I1933))&gt;0</formula>
    </cfRule>
  </conditionalFormatting>
  <conditionalFormatting sqref="I2037">
    <cfRule type="notContainsBlanks" dxfId="2897" priority="17">
      <formula>LEN(TRIM(I2037))&gt;0</formula>
    </cfRule>
  </conditionalFormatting>
  <hyperlinks>
    <hyperlink ref="D447" location="'Figure 6(3)'!A1" display="See Figure 6(3)" xr:uid="{2881B70A-F479-4F43-B1E4-D71AC07D1685}"/>
    <hyperlink ref="D439" location="'Figure 6(3)'!A1" display="See Figure 6(3)" xr:uid="{B8F4B909-C1C9-445B-B2C0-72185094764F}"/>
    <hyperlink ref="D585" location="'Table 604.1'!A1" display="See Table 604.1" xr:uid="{D25A6F25-234E-4426-BD0C-A9844E0A69B0}"/>
    <hyperlink ref="D992" location="'Table 701.4.3.2(2)'!A1" display="See Table 701.4.3.2(2)" xr:uid="{A363E550-3ADC-423C-912B-0A10732A89A5}"/>
    <hyperlink ref="D1095" location="'Table 703.2.1(a)'!A1" display="See Table 703.2.1(a)" xr:uid="{9525D657-F806-441A-A8F2-0A30B7C4C469}"/>
    <hyperlink ref="D1348" location="'Table 703.7.1(7)'!A1" display="See Table 703.7.1(7)" xr:uid="{6E096938-92B6-4F52-AB3C-120F13FCE800}"/>
    <hyperlink ref="D1112" location="'Table 703.2.5.1'!A1" display="See Table 703.2.5.1" xr:uid="{C8B66CB7-FB6E-4C9B-B4E6-09A01D317D65}"/>
    <hyperlink ref="D1660" location="'Table 801.1(1)'!A1" display="See Table 801.1(1)" xr:uid="{D309054C-7154-491F-AA9A-69902F89192A}"/>
    <hyperlink ref="D1661" location="'Table 801.1(2)'!A1" display="See Table 801.1(2)" xr:uid="{909E95CB-F2E1-414E-8F87-3DCCDA7119CE}"/>
    <hyperlink ref="D1999" location="'Table 901.9.1'!A1" display="See Table 901.9.1" xr:uid="{60108AAC-5A1D-4CFA-AFB8-902A1F64A5C1}"/>
    <hyperlink ref="D2004" location="'Table 901.9.2'!A1" display="See Table 901.9.2" xr:uid="{B6C2FB9F-F315-463A-A8B1-8291A11DF054}"/>
    <hyperlink ref="D2023" location="'Table 901.10(3)'!A1" display="See Table 901.10(3)" xr:uid="{7464F1A0-2072-4893-BE25-8D267C862221}"/>
    <hyperlink ref="D526" location="'Table 602.1.12'!A1" display="See Table 602.1.12" xr:uid="{6400BDDF-711E-4594-BAFF-508835DB1C40}"/>
  </hyperlinks>
  <pageMargins left="0.7" right="0.7" top="0.75" bottom="0.75" header="0.3" footer="0.3"/>
  <pageSetup scale="35"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2" id="{5CA33CC9-662C-49E9-8C68-AB81F79DB95C}">
            <xm:f>AND(LEN('Overview (Verification)'!$P$28)&gt;0,'Overview (Verification)'!$P$28&gt;2400)</xm:f>
            <x14:dxf>
              <font>
                <color theme="1"/>
              </font>
              <fill>
                <patternFill>
                  <bgColor rgb="FFFF0000"/>
                </patternFill>
              </fill>
              <border>
                <left style="thin">
                  <color auto="1"/>
                </left>
                <right style="thin">
                  <color auto="1"/>
                </right>
                <top style="thin">
                  <color auto="1"/>
                </top>
                <vertical/>
                <horizontal/>
              </border>
            </x14:dxf>
          </x14:cfRule>
          <xm:sqref>D905</xm:sqref>
        </x14:conditionalFormatting>
        <x14:conditionalFormatting xmlns:xm="http://schemas.microsoft.com/office/excel/2006/main">
          <x14:cfRule type="expression" priority="1" id="{1EF81B37-E516-4EE8-A821-F7D463E06AA2}">
            <xm:f>AND(LEN('Overview (Verification)'!$P$28)&gt;0,'Overview (Verification)'!$P$28&gt;2400)</xm:f>
            <x14:dxf>
              <font>
                <color theme="1"/>
              </font>
              <fill>
                <patternFill>
                  <bgColor rgb="FFFF0000"/>
                </patternFill>
              </fill>
              <border>
                <left style="thin">
                  <color auto="1"/>
                </left>
                <right style="thin">
                  <color auto="1"/>
                </right>
                <top style="thin">
                  <color auto="1"/>
                </top>
                <bottom style="thin">
                  <color auto="1"/>
                </bottom>
                <vertical/>
                <horizontal/>
              </border>
            </x14:dxf>
          </x14:cfRule>
          <xm:sqref>D909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U66"/>
  <sheetViews>
    <sheetView showGridLines="0" zoomScaleNormal="100" workbookViewId="0">
      <pane ySplit="6" topLeftCell="A7" activePane="bottomLeft" state="frozen"/>
      <selection activeCell="S48" sqref="S48"/>
      <selection pane="bottomLeft" activeCell="S48" sqref="S48"/>
    </sheetView>
  </sheetViews>
  <sheetFormatPr defaultRowHeight="14.5" x14ac:dyDescent="0.35"/>
  <cols>
    <col min="5" max="5" width="16.81640625" hidden="1" customWidth="1"/>
    <col min="6" max="6" width="17.453125" hidden="1" customWidth="1"/>
  </cols>
  <sheetData>
    <row r="1" spans="1:21" x14ac:dyDescent="0.35">
      <c r="A1" s="762"/>
      <c r="B1" s="762"/>
      <c r="C1" s="762"/>
      <c r="D1" s="762" t="s">
        <v>4873</v>
      </c>
      <c r="E1" s="762"/>
      <c r="F1" s="762"/>
      <c r="G1" s="762"/>
      <c r="H1" s="762"/>
      <c r="I1" s="762"/>
      <c r="J1" s="762"/>
      <c r="K1" s="762"/>
      <c r="L1" s="762"/>
      <c r="M1" s="762"/>
      <c r="N1" s="762"/>
      <c r="O1" s="762"/>
      <c r="P1" s="762"/>
      <c r="Q1" s="762"/>
      <c r="R1" s="762"/>
      <c r="S1" s="762"/>
      <c r="T1" s="762"/>
      <c r="U1" s="762"/>
    </row>
    <row r="2" spans="1:21" x14ac:dyDescent="0.35">
      <c r="A2" s="762"/>
      <c r="B2" s="762"/>
      <c r="C2" s="762"/>
      <c r="D2" s="762"/>
      <c r="E2" s="762"/>
      <c r="F2" s="762"/>
      <c r="G2" s="762"/>
      <c r="H2" s="762"/>
      <c r="I2" s="762"/>
      <c r="J2" s="762"/>
      <c r="K2" s="762"/>
      <c r="L2" s="762"/>
      <c r="M2" s="762"/>
      <c r="N2" s="762"/>
      <c r="O2" s="762"/>
      <c r="P2" s="762"/>
      <c r="Q2" s="762"/>
      <c r="R2" s="762"/>
      <c r="S2" s="762"/>
      <c r="T2" s="762"/>
      <c r="U2" s="762"/>
    </row>
    <row r="3" spans="1:21" x14ac:dyDescent="0.35">
      <c r="A3" s="762"/>
      <c r="B3" s="762"/>
      <c r="C3" s="762"/>
      <c r="D3" s="762"/>
      <c r="E3" s="762"/>
      <c r="F3" s="762"/>
      <c r="G3" s="762"/>
      <c r="H3" s="762"/>
      <c r="I3" s="762"/>
      <c r="J3" s="762"/>
      <c r="K3" s="762"/>
      <c r="L3" s="762"/>
      <c r="M3" s="762"/>
      <c r="N3" s="762"/>
      <c r="O3" s="762"/>
      <c r="P3" s="762"/>
      <c r="Q3" s="762"/>
      <c r="R3" s="762"/>
      <c r="S3" s="762"/>
      <c r="T3" s="762"/>
      <c r="U3" s="762"/>
    </row>
    <row r="4" spans="1:21" x14ac:dyDescent="0.35">
      <c r="A4" s="762"/>
      <c r="B4" s="762"/>
      <c r="C4" s="762"/>
      <c r="D4" s="762"/>
      <c r="E4" s="762"/>
      <c r="F4" s="762"/>
      <c r="G4" s="762"/>
      <c r="H4" s="762"/>
      <c r="I4" s="762"/>
      <c r="J4" s="762"/>
      <c r="K4" s="762"/>
      <c r="L4" s="762"/>
      <c r="M4" s="762"/>
      <c r="N4" s="762"/>
      <c r="O4" s="762"/>
      <c r="P4" s="762"/>
      <c r="Q4" s="762"/>
      <c r="R4" s="762"/>
      <c r="S4" s="762"/>
      <c r="T4" s="762"/>
      <c r="U4" s="762"/>
    </row>
    <row r="5" spans="1:21" x14ac:dyDescent="0.35">
      <c r="A5" s="762"/>
      <c r="B5" s="762"/>
      <c r="C5" s="762"/>
      <c r="D5" s="762"/>
      <c r="E5" s="762"/>
      <c r="F5" s="762"/>
      <c r="G5" s="762"/>
      <c r="H5" s="762"/>
      <c r="I5" s="762"/>
      <c r="J5" s="762"/>
      <c r="K5" s="762"/>
      <c r="L5" s="762"/>
      <c r="M5" s="762"/>
      <c r="N5" s="762"/>
      <c r="O5" s="762"/>
      <c r="P5" s="762"/>
      <c r="Q5" s="762"/>
      <c r="R5" s="762"/>
      <c r="S5" s="762"/>
      <c r="T5" s="762"/>
      <c r="U5" s="762"/>
    </row>
    <row r="6" spans="1:21" ht="18.5" x14ac:dyDescent="0.45">
      <c r="A6" s="11" t="s">
        <v>3950</v>
      </c>
      <c r="B6" s="11"/>
      <c r="C6" s="11"/>
      <c r="D6" s="11"/>
      <c r="E6" t="s">
        <v>247</v>
      </c>
      <c r="F6" t="s">
        <v>247</v>
      </c>
      <c r="G6" s="11"/>
      <c r="H6" s="11"/>
      <c r="I6" s="11"/>
      <c r="J6" s="11"/>
      <c r="K6" s="11"/>
      <c r="L6" s="11"/>
      <c r="M6" s="11"/>
      <c r="N6" s="11"/>
      <c r="O6" s="11"/>
      <c r="P6" s="11"/>
      <c r="Q6" s="11"/>
      <c r="R6" s="11"/>
      <c r="S6" s="11"/>
      <c r="T6" s="11"/>
      <c r="U6" s="11"/>
    </row>
    <row r="7" spans="1:21" x14ac:dyDescent="0.35">
      <c r="E7" t="s">
        <v>233</v>
      </c>
      <c r="F7" t="s">
        <v>234</v>
      </c>
    </row>
    <row r="8" spans="1:21" x14ac:dyDescent="0.35">
      <c r="A8" s="771" t="s">
        <v>4109</v>
      </c>
      <c r="B8" s="771"/>
      <c r="C8" s="771"/>
      <c r="D8" s="771"/>
      <c r="F8" s="2" t="s">
        <v>4110</v>
      </c>
      <c r="G8" s="9"/>
    </row>
    <row r="10" spans="1:21" x14ac:dyDescent="0.35">
      <c r="A10" s="771" t="s">
        <v>124</v>
      </c>
      <c r="B10" s="771"/>
      <c r="C10" s="771"/>
      <c r="D10" s="771"/>
      <c r="E10" s="2"/>
      <c r="F10" s="2" t="s">
        <v>148</v>
      </c>
      <c r="G10" s="774" t="s">
        <v>6101</v>
      </c>
      <c r="H10" s="774"/>
      <c r="I10" s="774"/>
      <c r="J10" s="774"/>
      <c r="L10" s="777" t="s">
        <v>3617</v>
      </c>
      <c r="M10" s="778"/>
      <c r="N10" s="379"/>
      <c r="O10" s="216"/>
      <c r="P10" s="216"/>
    </row>
    <row r="11" spans="1:21" x14ac:dyDescent="0.35">
      <c r="A11" s="771" t="s">
        <v>125</v>
      </c>
      <c r="B11" s="771"/>
      <c r="C11" s="771"/>
      <c r="D11" s="771"/>
      <c r="E11" s="2"/>
      <c r="F11" s="2" t="s">
        <v>149</v>
      </c>
      <c r="G11" s="774" t="s">
        <v>6104</v>
      </c>
      <c r="H11" s="774"/>
      <c r="I11" s="774"/>
      <c r="J11" s="774"/>
      <c r="L11" s="392">
        <f>N15</f>
        <v>4</v>
      </c>
      <c r="M11" s="393" t="str">
        <f>O15</f>
        <v>Moist</v>
      </c>
      <c r="N11" s="393" t="str">
        <f>P15</f>
        <v xml:space="preserve"> </v>
      </c>
      <c r="O11" s="393"/>
      <c r="P11" s="394" t="str">
        <f>Q15</f>
        <v xml:space="preserve"> </v>
      </c>
    </row>
    <row r="12" spans="1:21" x14ac:dyDescent="0.35">
      <c r="A12" s="771" t="s">
        <v>130</v>
      </c>
      <c r="B12" s="771"/>
      <c r="C12" s="771"/>
      <c r="D12" s="771"/>
      <c r="E12" s="2"/>
      <c r="F12" s="2" t="s">
        <v>150</v>
      </c>
      <c r="G12" s="774" t="s">
        <v>6105</v>
      </c>
      <c r="H12" s="774"/>
      <c r="I12" s="774"/>
      <c r="J12" s="774"/>
    </row>
    <row r="13" spans="1:21" x14ac:dyDescent="0.35">
      <c r="A13" s="771" t="s">
        <v>126</v>
      </c>
      <c r="B13" s="771"/>
      <c r="C13" s="771"/>
      <c r="D13" s="771"/>
      <c r="E13" s="2"/>
      <c r="F13" s="2" t="s">
        <v>151</v>
      </c>
      <c r="G13" s="774" t="s">
        <v>6102</v>
      </c>
      <c r="H13" s="774"/>
      <c r="I13" s="774"/>
      <c r="J13" s="774"/>
      <c r="K13" s="718"/>
      <c r="N13" s="6"/>
    </row>
    <row r="14" spans="1:21" x14ac:dyDescent="0.35">
      <c r="A14" s="771" t="s">
        <v>128</v>
      </c>
      <c r="B14" s="771"/>
      <c r="C14" s="771"/>
      <c r="D14" s="771"/>
      <c r="E14" s="5" t="s">
        <v>175</v>
      </c>
      <c r="F14" s="2" t="s">
        <v>152</v>
      </c>
      <c r="G14" s="792" t="s">
        <v>38</v>
      </c>
      <c r="H14" s="793"/>
      <c r="I14" s="793"/>
      <c r="J14" s="794"/>
      <c r="K14" s="721" t="s">
        <v>2</v>
      </c>
      <c r="L14" s="721" t="s">
        <v>4</v>
      </c>
      <c r="M14" s="360" t="str">
        <f>Geography!D1</f>
        <v>Radon</v>
      </c>
      <c r="N14" s="721" t="str">
        <f>Geography!E1</f>
        <v>Climate</v>
      </c>
      <c r="O14" s="721" t="str">
        <f>Geography!F1</f>
        <v>Moist</v>
      </c>
      <c r="P14" s="721" t="str">
        <f>Geography!G1</f>
        <v>WarmHumid</v>
      </c>
      <c r="Q14" s="721" t="str">
        <f>Geography!H1</f>
        <v>Tropical</v>
      </c>
    </row>
    <row r="15" spans="1:21" x14ac:dyDescent="0.35">
      <c r="A15" s="771" t="s">
        <v>127</v>
      </c>
      <c r="B15" s="771"/>
      <c r="C15" s="771"/>
      <c r="D15" s="771"/>
      <c r="E15" s="5" t="s">
        <v>176</v>
      </c>
      <c r="F15" s="2" t="s">
        <v>153</v>
      </c>
      <c r="G15" s="792" t="s">
        <v>1473</v>
      </c>
      <c r="H15" s="793"/>
      <c r="I15" s="793"/>
      <c r="J15" s="794"/>
      <c r="K15" s="722" t="str">
        <f>G14</f>
        <v>North Carolina</v>
      </c>
      <c r="L15" s="722" t="str">
        <f>IF(LEN(G15)=0,"",G15)</f>
        <v xml:space="preserve">Chatham  </v>
      </c>
      <c r="M15" s="360">
        <f>IFERROR(DGET(dbState,M14,$K$14:$L$15),"!!")</f>
        <v>3</v>
      </c>
      <c r="N15" s="721">
        <f>IFERROR(DGET(dbState,N14,$K$14:$L$15),"!!")</f>
        <v>4</v>
      </c>
      <c r="O15" s="721" t="str">
        <f>IFERROR(DGET(dbState,O14,$K$14:$L$15),"!!")</f>
        <v>Moist</v>
      </c>
      <c r="P15" s="721" t="str">
        <f>IFERROR(DGET(dbState,P14,$K$14:$L$15),"!!")</f>
        <v xml:space="preserve"> </v>
      </c>
      <c r="Q15" s="721" t="str">
        <f>IFERROR(DGET(dbState,Q14,$K$14:$L$15),"!!")</f>
        <v xml:space="preserve"> </v>
      </c>
    </row>
    <row r="16" spans="1:21" x14ac:dyDescent="0.35">
      <c r="A16" s="771" t="s">
        <v>129</v>
      </c>
      <c r="B16" s="771"/>
      <c r="C16" s="771"/>
      <c r="D16" s="771"/>
      <c r="E16" s="2"/>
      <c r="F16" s="2" t="s">
        <v>154</v>
      </c>
      <c r="G16" s="212" t="s">
        <v>6106</v>
      </c>
      <c r="H16" s="2"/>
      <c r="I16" s="2"/>
      <c r="J16" s="2"/>
      <c r="K16" s="718"/>
    </row>
    <row r="17" spans="1:21" x14ac:dyDescent="0.35">
      <c r="A17" s="813"/>
      <c r="B17" s="813"/>
      <c r="C17" s="813"/>
      <c r="D17" s="813"/>
      <c r="E17" s="2"/>
      <c r="F17" s="2"/>
      <c r="G17" s="2"/>
      <c r="H17" s="2"/>
      <c r="I17" s="2"/>
      <c r="J17" s="2"/>
    </row>
    <row r="18" spans="1:21" x14ac:dyDescent="0.35">
      <c r="A18" s="771" t="s">
        <v>360</v>
      </c>
      <c r="B18" s="771"/>
      <c r="C18" s="771"/>
      <c r="D18" s="771"/>
      <c r="E18" s="2" t="s">
        <v>177</v>
      </c>
      <c r="F18" s="2" t="s">
        <v>155</v>
      </c>
      <c r="G18" s="775" t="s">
        <v>191</v>
      </c>
      <c r="H18" s="776"/>
      <c r="I18" s="2"/>
      <c r="J18" s="2"/>
    </row>
    <row r="19" spans="1:21" x14ac:dyDescent="0.35">
      <c r="A19" s="772" t="s">
        <v>156</v>
      </c>
      <c r="B19" s="773"/>
      <c r="C19" s="773"/>
      <c r="D19" s="773"/>
      <c r="E19" s="2"/>
      <c r="F19" s="2" t="s">
        <v>158</v>
      </c>
      <c r="G19" s="8"/>
      <c r="H19" s="2"/>
      <c r="I19" s="2"/>
      <c r="J19" s="2"/>
    </row>
    <row r="20" spans="1:21" x14ac:dyDescent="0.35">
      <c r="A20" s="795" t="s">
        <v>4836</v>
      </c>
      <c r="B20" s="796"/>
      <c r="C20" s="796"/>
      <c r="D20" s="796"/>
      <c r="E20" t="s">
        <v>4838</v>
      </c>
      <c r="F20" s="2" t="s">
        <v>4837</v>
      </c>
      <c r="G20" s="8"/>
    </row>
    <row r="21" spans="1:21" x14ac:dyDescent="0.35">
      <c r="A21" s="796"/>
      <c r="B21" s="796"/>
      <c r="C21" s="796"/>
      <c r="D21" s="796"/>
    </row>
    <row r="22" spans="1:21" x14ac:dyDescent="0.35">
      <c r="A22" s="796"/>
      <c r="B22" s="796"/>
      <c r="C22" s="796"/>
      <c r="D22" s="796"/>
    </row>
    <row r="23" spans="1:21" x14ac:dyDescent="0.35">
      <c r="A23" s="772" t="s">
        <v>157</v>
      </c>
      <c r="B23" s="773"/>
      <c r="C23" s="773"/>
      <c r="D23" s="773"/>
      <c r="E23" s="2"/>
      <c r="F23" s="2" t="s">
        <v>159</v>
      </c>
      <c r="G23" s="774"/>
      <c r="H23" s="774"/>
      <c r="I23" s="774"/>
      <c r="J23" s="774"/>
    </row>
    <row r="24" spans="1:21" x14ac:dyDescent="0.35">
      <c r="A24" s="810"/>
      <c r="B24" s="810"/>
      <c r="C24" s="810"/>
      <c r="D24" s="810"/>
      <c r="E24" s="2"/>
      <c r="F24" s="2"/>
    </row>
    <row r="25" spans="1:21" x14ac:dyDescent="0.35">
      <c r="A25" s="771" t="s">
        <v>131</v>
      </c>
      <c r="B25" s="771"/>
      <c r="C25" s="771"/>
      <c r="D25" s="771"/>
      <c r="E25" s="2"/>
      <c r="F25" s="2" t="s">
        <v>160</v>
      </c>
      <c r="G25" s="7">
        <v>2644</v>
      </c>
      <c r="H25" s="3" t="s">
        <v>146</v>
      </c>
      <c r="I25" s="803" t="s">
        <v>361</v>
      </c>
      <c r="J25" s="804"/>
      <c r="K25" s="804"/>
      <c r="L25" s="804"/>
      <c r="M25" s="804"/>
      <c r="N25" s="805"/>
      <c r="O25" s="2"/>
      <c r="P25" s="2"/>
      <c r="Q25" s="2"/>
      <c r="R25" s="2"/>
      <c r="S25" s="2"/>
      <c r="T25" s="2"/>
      <c r="U25" s="2"/>
    </row>
    <row r="26" spans="1:21" x14ac:dyDescent="0.35">
      <c r="A26" s="771" t="s">
        <v>132</v>
      </c>
      <c r="B26" s="771"/>
      <c r="C26" s="771"/>
      <c r="D26" s="771"/>
      <c r="E26" s="2"/>
      <c r="F26" s="2" t="s">
        <v>161</v>
      </c>
      <c r="G26" s="7">
        <v>2644</v>
      </c>
      <c r="H26" s="3" t="s">
        <v>147</v>
      </c>
      <c r="I26" s="806"/>
      <c r="J26" s="807"/>
      <c r="K26" s="807"/>
      <c r="L26" s="807"/>
      <c r="M26" s="807"/>
      <c r="N26" s="808"/>
    </row>
    <row r="27" spans="1:21" x14ac:dyDescent="0.35">
      <c r="A27" s="771" t="s">
        <v>3519</v>
      </c>
      <c r="B27" s="771"/>
      <c r="C27" s="771"/>
      <c r="D27" s="771"/>
      <c r="E27" s="2"/>
      <c r="F27" s="2" t="s">
        <v>3498</v>
      </c>
      <c r="G27" s="7">
        <v>2</v>
      </c>
      <c r="H27" s="3"/>
      <c r="I27" s="174"/>
      <c r="J27" s="174"/>
      <c r="K27" s="174"/>
      <c r="L27" s="174"/>
      <c r="M27" s="174"/>
      <c r="N27" s="174"/>
    </row>
    <row r="28" spans="1:21" x14ac:dyDescent="0.35">
      <c r="A28" s="771" t="s">
        <v>5660</v>
      </c>
      <c r="B28" s="771"/>
      <c r="C28" s="771"/>
      <c r="D28" s="771"/>
      <c r="E28" s="2"/>
      <c r="F28" s="2" t="s">
        <v>5661</v>
      </c>
      <c r="G28" s="8"/>
      <c r="H28" s="3" t="s">
        <v>5662</v>
      </c>
      <c r="I28" s="174"/>
      <c r="J28" s="174"/>
      <c r="K28" s="174"/>
      <c r="L28" s="174"/>
      <c r="M28" s="174"/>
      <c r="N28" s="174"/>
    </row>
    <row r="29" spans="1:21" x14ac:dyDescent="0.35">
      <c r="A29" s="809"/>
      <c r="B29" s="809"/>
      <c r="C29" s="809"/>
      <c r="D29" s="809"/>
      <c r="E29" s="2"/>
      <c r="F29" s="2"/>
    </row>
    <row r="30" spans="1:21" x14ac:dyDescent="0.35">
      <c r="A30" s="771" t="s">
        <v>133</v>
      </c>
      <c r="B30" s="771"/>
      <c r="C30" s="771"/>
      <c r="D30" s="771"/>
      <c r="E30" s="2"/>
      <c r="F30" s="2" t="s">
        <v>162</v>
      </c>
      <c r="G30" s="797"/>
      <c r="H30" s="798"/>
      <c r="I30" s="798"/>
      <c r="J30" s="798"/>
      <c r="K30" s="798"/>
      <c r="L30" s="798"/>
      <c r="M30" s="798"/>
      <c r="N30" s="799"/>
    </row>
    <row r="31" spans="1:21" x14ac:dyDescent="0.35">
      <c r="A31" s="379"/>
      <c r="B31" s="379"/>
      <c r="C31" s="379"/>
      <c r="D31" s="379"/>
      <c r="E31" s="2"/>
      <c r="F31" s="2"/>
      <c r="G31" s="800"/>
      <c r="H31" s="801"/>
      <c r="I31" s="801"/>
      <c r="J31" s="801"/>
      <c r="K31" s="801"/>
      <c r="L31" s="801"/>
      <c r="M31" s="801"/>
      <c r="N31" s="802"/>
    </row>
    <row r="32" spans="1:21" x14ac:dyDescent="0.35">
      <c r="A32" s="771" t="s">
        <v>134</v>
      </c>
      <c r="B32" s="771"/>
      <c r="C32" s="771"/>
      <c r="D32" s="771"/>
      <c r="E32" s="2" t="s">
        <v>178</v>
      </c>
      <c r="F32" s="2" t="s">
        <v>163</v>
      </c>
      <c r="G32" s="784" t="s">
        <v>194</v>
      </c>
      <c r="H32" s="784"/>
      <c r="I32" s="784"/>
      <c r="J32" s="784"/>
    </row>
    <row r="33" spans="1:11" x14ac:dyDescent="0.35">
      <c r="A33" s="216"/>
      <c r="B33" s="216"/>
      <c r="C33" s="216"/>
      <c r="D33" s="216"/>
    </row>
    <row r="34" spans="1:11" x14ac:dyDescent="0.35">
      <c r="A34" s="771" t="s">
        <v>3385</v>
      </c>
      <c r="B34" s="771"/>
      <c r="C34" s="771"/>
      <c r="D34" s="771"/>
      <c r="E34" s="2" t="s">
        <v>3389</v>
      </c>
      <c r="F34" s="2" t="s">
        <v>3386</v>
      </c>
      <c r="G34" s="784" t="s">
        <v>200</v>
      </c>
      <c r="H34" s="784"/>
      <c r="I34" s="784"/>
    </row>
    <row r="35" spans="1:11" x14ac:dyDescent="0.35">
      <c r="A35" s="771" t="s">
        <v>3392</v>
      </c>
      <c r="B35" s="771"/>
      <c r="C35" s="771"/>
      <c r="D35" s="771"/>
      <c r="E35" s="2" t="s">
        <v>3390</v>
      </c>
      <c r="F35" s="2" t="s">
        <v>3387</v>
      </c>
      <c r="G35" s="774"/>
      <c r="H35" s="774"/>
      <c r="I35" s="774"/>
    </row>
    <row r="36" spans="1:11" x14ac:dyDescent="0.35">
      <c r="A36" s="771" t="s">
        <v>3393</v>
      </c>
      <c r="B36" s="771"/>
      <c r="C36" s="771"/>
      <c r="D36" s="771"/>
      <c r="E36" s="2" t="s">
        <v>3391</v>
      </c>
      <c r="F36" s="2" t="s">
        <v>3388</v>
      </c>
      <c r="G36" s="774"/>
      <c r="H36" s="774"/>
      <c r="I36" s="774"/>
    </row>
    <row r="37" spans="1:11" x14ac:dyDescent="0.35">
      <c r="A37" s="771" t="s">
        <v>4111</v>
      </c>
      <c r="B37" s="771"/>
      <c r="C37" s="771"/>
      <c r="D37" s="771"/>
      <c r="E37" s="2" t="s">
        <v>179</v>
      </c>
      <c r="F37" s="2" t="s">
        <v>164</v>
      </c>
      <c r="G37" s="781"/>
      <c r="H37" s="782"/>
      <c r="I37" s="783"/>
    </row>
    <row r="38" spans="1:11" x14ac:dyDescent="0.35">
      <c r="A38" s="771" t="s">
        <v>3403</v>
      </c>
      <c r="B38" s="771"/>
      <c r="C38" s="771"/>
      <c r="D38" s="771"/>
      <c r="E38" s="2" t="s">
        <v>3404</v>
      </c>
      <c r="F38" s="2" t="s">
        <v>3405</v>
      </c>
      <c r="G38" s="784" t="s">
        <v>3409</v>
      </c>
      <c r="H38" s="784"/>
      <c r="I38" s="784"/>
    </row>
    <row r="39" spans="1:11" x14ac:dyDescent="0.35">
      <c r="A39" s="771" t="s">
        <v>3394</v>
      </c>
      <c r="B39" s="771"/>
      <c r="C39" s="771"/>
      <c r="D39" s="771"/>
      <c r="E39" s="2" t="s">
        <v>3397</v>
      </c>
      <c r="F39" s="2" t="s">
        <v>3398</v>
      </c>
      <c r="G39" s="784" t="s">
        <v>6103</v>
      </c>
      <c r="H39" s="784"/>
      <c r="I39" s="784"/>
    </row>
    <row r="40" spans="1:11" x14ac:dyDescent="0.35">
      <c r="A40" s="771" t="s">
        <v>3395</v>
      </c>
      <c r="B40" s="771"/>
      <c r="C40" s="771"/>
      <c r="D40" s="771"/>
      <c r="E40" s="2" t="s">
        <v>3399</v>
      </c>
      <c r="F40" s="2" t="s">
        <v>3400</v>
      </c>
      <c r="G40" s="781"/>
      <c r="H40" s="782"/>
      <c r="I40" s="783"/>
    </row>
    <row r="41" spans="1:11" x14ac:dyDescent="0.35">
      <c r="A41" s="771" t="s">
        <v>3396</v>
      </c>
      <c r="B41" s="771"/>
      <c r="C41" s="771"/>
      <c r="D41" s="771"/>
      <c r="E41" s="2" t="s">
        <v>3401</v>
      </c>
      <c r="F41" s="2" t="s">
        <v>3402</v>
      </c>
      <c r="G41" s="781"/>
      <c r="H41" s="782"/>
      <c r="I41" s="783"/>
    </row>
    <row r="42" spans="1:11" x14ac:dyDescent="0.35">
      <c r="A42" s="771" t="s">
        <v>3406</v>
      </c>
      <c r="B42" s="771"/>
      <c r="C42" s="771"/>
      <c r="D42" s="771"/>
      <c r="E42" s="2" t="s">
        <v>3407</v>
      </c>
      <c r="F42" s="2" t="s">
        <v>3408</v>
      </c>
      <c r="G42" s="784" t="s">
        <v>3409</v>
      </c>
      <c r="H42" s="784"/>
    </row>
    <row r="43" spans="1:11" x14ac:dyDescent="0.35">
      <c r="A43" s="216"/>
      <c r="B43" s="216"/>
      <c r="C43" s="216"/>
      <c r="D43" s="216"/>
    </row>
    <row r="44" spans="1:11" ht="15" customHeight="1" x14ac:dyDescent="0.35">
      <c r="A44" s="771" t="s">
        <v>3524</v>
      </c>
      <c r="B44" s="771"/>
      <c r="C44" s="771"/>
      <c r="D44" s="771"/>
      <c r="F44" s="2" t="s">
        <v>3526</v>
      </c>
      <c r="G44" s="7">
        <v>0.22</v>
      </c>
      <c r="H44" s="785" t="s">
        <v>3528</v>
      </c>
      <c r="I44" s="786"/>
      <c r="J44" s="779" t="s">
        <v>4828</v>
      </c>
      <c r="K44" s="780"/>
    </row>
    <row r="45" spans="1:11" x14ac:dyDescent="0.35">
      <c r="A45" s="771" t="s">
        <v>3520</v>
      </c>
      <c r="B45" s="771"/>
      <c r="C45" s="771"/>
      <c r="D45" s="771"/>
      <c r="F45" s="2" t="s">
        <v>3522</v>
      </c>
      <c r="G45" s="8"/>
      <c r="H45" s="787"/>
      <c r="I45" s="788"/>
      <c r="J45" s="779"/>
      <c r="K45" s="780"/>
    </row>
    <row r="46" spans="1:11" x14ac:dyDescent="0.35">
      <c r="A46" s="771" t="s">
        <v>3525</v>
      </c>
      <c r="B46" s="771"/>
      <c r="C46" s="771"/>
      <c r="D46" s="771"/>
      <c r="F46" s="2" t="s">
        <v>3527</v>
      </c>
      <c r="G46" s="7">
        <v>0.32</v>
      </c>
      <c r="H46" s="787"/>
      <c r="I46" s="788"/>
      <c r="J46" s="779"/>
      <c r="K46" s="780"/>
    </row>
    <row r="47" spans="1:11" x14ac:dyDescent="0.35">
      <c r="A47" s="771" t="s">
        <v>3521</v>
      </c>
      <c r="B47" s="771"/>
      <c r="C47" s="771"/>
      <c r="D47" s="771"/>
      <c r="F47" s="2" t="s">
        <v>3523</v>
      </c>
      <c r="G47" s="8"/>
      <c r="H47" s="789"/>
      <c r="I47" s="790"/>
      <c r="J47" s="779"/>
      <c r="K47" s="780"/>
    </row>
    <row r="48" spans="1:11" x14ac:dyDescent="0.35">
      <c r="A48" s="771" t="s">
        <v>135</v>
      </c>
      <c r="B48" s="771"/>
      <c r="C48" s="771"/>
      <c r="D48" s="771"/>
      <c r="E48" s="2" t="s">
        <v>180</v>
      </c>
      <c r="F48" s="2" t="s">
        <v>165</v>
      </c>
      <c r="G48" s="774"/>
      <c r="H48" s="791"/>
      <c r="J48" s="557"/>
    </row>
    <row r="49" spans="1:10" x14ac:dyDescent="0.35">
      <c r="A49" s="771" t="s">
        <v>136</v>
      </c>
      <c r="B49" s="771"/>
      <c r="C49" s="771"/>
      <c r="D49" s="771"/>
      <c r="E49" s="2" t="s">
        <v>181</v>
      </c>
      <c r="F49" s="2" t="s">
        <v>166</v>
      </c>
      <c r="G49" s="774"/>
      <c r="H49" s="774"/>
      <c r="I49" s="774"/>
    </row>
    <row r="50" spans="1:10" x14ac:dyDescent="0.35">
      <c r="A50" s="771" t="s">
        <v>137</v>
      </c>
      <c r="B50" s="771"/>
      <c r="C50" s="771"/>
      <c r="D50" s="771"/>
      <c r="E50" s="2" t="s">
        <v>182</v>
      </c>
      <c r="F50" s="2" t="s">
        <v>167</v>
      </c>
      <c r="G50" s="784" t="s">
        <v>223</v>
      </c>
      <c r="H50" s="784"/>
    </row>
    <row r="51" spans="1:10" x14ac:dyDescent="0.35">
      <c r="A51" s="771" t="s">
        <v>138</v>
      </c>
      <c r="B51" s="771"/>
      <c r="C51" s="771"/>
      <c r="D51" s="771"/>
      <c r="E51" s="2" t="s">
        <v>183</v>
      </c>
      <c r="F51" s="2" t="s">
        <v>168</v>
      </c>
      <c r="G51" s="8" t="s">
        <v>225</v>
      </c>
    </row>
    <row r="52" spans="1:10" x14ac:dyDescent="0.35">
      <c r="A52" s="771" t="s">
        <v>139</v>
      </c>
      <c r="B52" s="771"/>
      <c r="C52" s="771"/>
      <c r="D52" s="771"/>
      <c r="E52" s="2" t="s">
        <v>184</v>
      </c>
      <c r="F52" s="2" t="s">
        <v>169</v>
      </c>
      <c r="G52" s="8"/>
    </row>
    <row r="53" spans="1:10" x14ac:dyDescent="0.35">
      <c r="A53" s="809"/>
      <c r="B53" s="809"/>
      <c r="C53" s="809"/>
      <c r="D53" s="809"/>
      <c r="E53" s="2"/>
      <c r="F53" s="2"/>
      <c r="G53" s="2"/>
    </row>
    <row r="54" spans="1:10" x14ac:dyDescent="0.35">
      <c r="A54" s="771" t="s">
        <v>140</v>
      </c>
      <c r="B54" s="771"/>
      <c r="C54" s="771"/>
      <c r="D54" s="216"/>
      <c r="E54" s="2"/>
      <c r="F54" s="2"/>
      <c r="G54" s="2"/>
    </row>
    <row r="55" spans="1:10" x14ac:dyDescent="0.35">
      <c r="A55" s="771" t="s">
        <v>141</v>
      </c>
      <c r="B55" s="771"/>
      <c r="C55" s="771"/>
      <c r="D55" s="771"/>
      <c r="E55" s="2" t="s">
        <v>185</v>
      </c>
      <c r="F55" s="2" t="s">
        <v>170</v>
      </c>
      <c r="G55" s="9"/>
    </row>
    <row r="56" spans="1:10" x14ac:dyDescent="0.35">
      <c r="A56" s="771" t="s">
        <v>142</v>
      </c>
      <c r="B56" s="771"/>
      <c r="C56" s="771"/>
      <c r="D56" s="771"/>
      <c r="E56" s="2" t="s">
        <v>186</v>
      </c>
      <c r="F56" s="2" t="s">
        <v>171</v>
      </c>
      <c r="G56" s="8"/>
    </row>
    <row r="57" spans="1:10" x14ac:dyDescent="0.35">
      <c r="A57" s="771" t="s">
        <v>143</v>
      </c>
      <c r="B57" s="771"/>
      <c r="C57" s="771"/>
      <c r="D57" s="771"/>
      <c r="E57" s="2" t="s">
        <v>187</v>
      </c>
      <c r="F57" s="2" t="s">
        <v>172</v>
      </c>
      <c r="G57" s="8"/>
    </row>
    <row r="58" spans="1:10" x14ac:dyDescent="0.35">
      <c r="A58" s="811" t="s">
        <v>235</v>
      </c>
      <c r="B58" s="811"/>
      <c r="C58" s="811"/>
      <c r="D58" s="811"/>
      <c r="E58" s="2" t="s">
        <v>239</v>
      </c>
      <c r="F58" s="2" t="s">
        <v>237</v>
      </c>
      <c r="G58" s="8"/>
    </row>
    <row r="59" spans="1:10" ht="14.5" customHeight="1" x14ac:dyDescent="0.35">
      <c r="A59" s="812" t="s">
        <v>236</v>
      </c>
      <c r="B59" s="812"/>
      <c r="C59" s="812"/>
      <c r="D59" s="812"/>
      <c r="E59" s="2" t="s">
        <v>240</v>
      </c>
      <c r="F59" s="2" t="s">
        <v>238</v>
      </c>
      <c r="G59" s="8"/>
    </row>
    <row r="60" spans="1:10" x14ac:dyDescent="0.35">
      <c r="A60" s="809"/>
      <c r="B60" s="809"/>
      <c r="C60" s="809"/>
      <c r="D60" s="809"/>
      <c r="E60" s="2"/>
      <c r="F60" s="2"/>
      <c r="G60" s="2"/>
    </row>
    <row r="61" spans="1:10" x14ac:dyDescent="0.35">
      <c r="A61" s="771" t="s">
        <v>144</v>
      </c>
      <c r="B61" s="771"/>
      <c r="C61" s="771"/>
      <c r="D61" s="771"/>
      <c r="E61" s="2" t="s">
        <v>188</v>
      </c>
      <c r="F61" s="2" t="s">
        <v>173</v>
      </c>
      <c r="G61" s="774"/>
      <c r="H61" s="774"/>
    </row>
    <row r="62" spans="1:10" x14ac:dyDescent="0.35">
      <c r="A62" s="771" t="s">
        <v>145</v>
      </c>
      <c r="B62" s="771"/>
      <c r="C62" s="771"/>
      <c r="D62" s="771"/>
      <c r="E62" s="2" t="str">
        <f>IF($G$18=INDEX(ddSingleOrMulti,2),"ddBuildingCodeMF","ddBuildingCode")</f>
        <v>ddBuildingCode</v>
      </c>
      <c r="F62" s="2" t="s">
        <v>174</v>
      </c>
      <c r="G62" s="774"/>
      <c r="H62" s="774"/>
    </row>
    <row r="63" spans="1:10" x14ac:dyDescent="0.35">
      <c r="A63" s="379"/>
      <c r="B63" s="379"/>
      <c r="C63" s="379"/>
      <c r="D63" s="379"/>
      <c r="E63" s="2"/>
      <c r="F63" s="2"/>
    </row>
    <row r="64" spans="1:10" x14ac:dyDescent="0.35">
      <c r="A64" s="771" t="s">
        <v>3952</v>
      </c>
      <c r="B64" s="771"/>
      <c r="C64" s="771"/>
      <c r="D64" s="771"/>
      <c r="E64" s="2"/>
      <c r="F64" s="2" t="s">
        <v>4095</v>
      </c>
      <c r="G64" s="774" t="s">
        <v>6098</v>
      </c>
      <c r="H64" s="774"/>
      <c r="I64" s="774"/>
      <c r="J64" s="774"/>
    </row>
    <row r="66" spans="1:21" ht="18.5" x14ac:dyDescent="0.45">
      <c r="A66" s="757" t="s">
        <v>4062</v>
      </c>
      <c r="B66" s="757"/>
      <c r="C66" s="757"/>
      <c r="D66" s="757"/>
      <c r="E66" s="757"/>
      <c r="F66" s="757"/>
      <c r="G66" s="757"/>
      <c r="H66" s="757"/>
      <c r="I66" s="757"/>
      <c r="J66" s="757"/>
      <c r="K66" s="757"/>
      <c r="L66" s="757"/>
      <c r="M66" s="757"/>
      <c r="N66" s="757"/>
      <c r="O66" s="757"/>
      <c r="P66" s="757"/>
      <c r="Q66" s="757"/>
      <c r="R66" s="757"/>
      <c r="S66" s="757"/>
      <c r="T66" s="757"/>
      <c r="U66" s="757"/>
    </row>
  </sheetData>
  <sheetProtection algorithmName="SHA-512" hashValue="w0gs01EoSBlnnpPV2HYANs5fF6PPFu8md+H5iAG9JOFZT5wLwFwbiUoAkhwhhQQinB55CiXzsw7aKmByrEP6Kw==" saltValue="tZ6d/WGDcRDWVEyd0L+h8Q==" spinCount="100000" sheet="1" objects="1" scenarios="1" selectLockedCells="1" autoFilter="0"/>
  <mergeCells count="82">
    <mergeCell ref="A8:D8"/>
    <mergeCell ref="G62:H62"/>
    <mergeCell ref="G50:H50"/>
    <mergeCell ref="A57:D57"/>
    <mergeCell ref="A58:D58"/>
    <mergeCell ref="A62:D62"/>
    <mergeCell ref="A60:D60"/>
    <mergeCell ref="A53:D53"/>
    <mergeCell ref="A59:D59"/>
    <mergeCell ref="A61:D61"/>
    <mergeCell ref="A54:C54"/>
    <mergeCell ref="A55:D55"/>
    <mergeCell ref="A56:D56"/>
    <mergeCell ref="A51:D51"/>
    <mergeCell ref="A52:D52"/>
    <mergeCell ref="A17:D17"/>
    <mergeCell ref="A18:D18"/>
    <mergeCell ref="A30:D30"/>
    <mergeCell ref="A32:D32"/>
    <mergeCell ref="A23:D23"/>
    <mergeCell ref="A25:D25"/>
    <mergeCell ref="A29:D29"/>
    <mergeCell ref="A24:D24"/>
    <mergeCell ref="A26:D26"/>
    <mergeCell ref="A28:D28"/>
    <mergeCell ref="A34:D34"/>
    <mergeCell ref="A35:D35"/>
    <mergeCell ref="A36:D36"/>
    <mergeCell ref="A20:D22"/>
    <mergeCell ref="G38:I38"/>
    <mergeCell ref="A27:D27"/>
    <mergeCell ref="G30:N31"/>
    <mergeCell ref="G23:J23"/>
    <mergeCell ref="I25:N26"/>
    <mergeCell ref="G32:J32"/>
    <mergeCell ref="G34:I34"/>
    <mergeCell ref="G35:I35"/>
    <mergeCell ref="G10:J10"/>
    <mergeCell ref="G12:J12"/>
    <mergeCell ref="G13:J13"/>
    <mergeCell ref="G14:J14"/>
    <mergeCell ref="G15:J15"/>
    <mergeCell ref="G64:J64"/>
    <mergeCell ref="A64:D64"/>
    <mergeCell ref="G61:H61"/>
    <mergeCell ref="A48:D48"/>
    <mergeCell ref="A49:D49"/>
    <mergeCell ref="A50:D50"/>
    <mergeCell ref="G49:I49"/>
    <mergeCell ref="G48:H48"/>
    <mergeCell ref="J44:K47"/>
    <mergeCell ref="G36:I36"/>
    <mergeCell ref="G37:I37"/>
    <mergeCell ref="A38:D38"/>
    <mergeCell ref="G40:I40"/>
    <mergeCell ref="G41:I41"/>
    <mergeCell ref="A41:D41"/>
    <mergeCell ref="A45:D45"/>
    <mergeCell ref="A46:D46"/>
    <mergeCell ref="A47:D47"/>
    <mergeCell ref="A37:D37"/>
    <mergeCell ref="G39:I39"/>
    <mergeCell ref="A39:D39"/>
    <mergeCell ref="A40:D40"/>
    <mergeCell ref="G42:H42"/>
    <mergeCell ref="H44:I47"/>
    <mergeCell ref="A42:D42"/>
    <mergeCell ref="A44:D44"/>
    <mergeCell ref="A66:U66"/>
    <mergeCell ref="A1:C5"/>
    <mergeCell ref="D1:U5"/>
    <mergeCell ref="A19:D19"/>
    <mergeCell ref="G11:J11"/>
    <mergeCell ref="G18:H18"/>
    <mergeCell ref="A10:D10"/>
    <mergeCell ref="A11:D11"/>
    <mergeCell ref="A12:D12"/>
    <mergeCell ref="A13:D13"/>
    <mergeCell ref="A14:D14"/>
    <mergeCell ref="A15:D15"/>
    <mergeCell ref="A16:D16"/>
    <mergeCell ref="L10:M10"/>
  </mergeCells>
  <conditionalFormatting sqref="G18:H18">
    <cfRule type="expression" dxfId="5814" priority="53">
      <formula>LEN(TRIM($G$18:$H$18))&gt;0</formula>
    </cfRule>
  </conditionalFormatting>
  <conditionalFormatting sqref="G32">
    <cfRule type="expression" dxfId="5813" priority="52">
      <formula>LEN(TRIM($G$32:$I$32))&gt;0</formula>
    </cfRule>
  </conditionalFormatting>
  <conditionalFormatting sqref="G34">
    <cfRule type="expression" dxfId="5812" priority="51">
      <formula>LEN(TRIM($G$34:$H$34))&gt;0</formula>
    </cfRule>
  </conditionalFormatting>
  <conditionalFormatting sqref="G35">
    <cfRule type="expression" dxfId="5811" priority="50">
      <formula>LEN(TRIM($G$35:$H$35))&gt;0</formula>
    </cfRule>
  </conditionalFormatting>
  <conditionalFormatting sqref="G32:J32">
    <cfRule type="expression" dxfId="5810" priority="49">
      <formula>LEN(TRIM($G$32:$J$32))&gt;0</formula>
    </cfRule>
  </conditionalFormatting>
  <conditionalFormatting sqref="G34:I34">
    <cfRule type="expression" dxfId="5809" priority="48">
      <formula>LEN(TRIM($G$34:$I$34))&gt;0</formula>
    </cfRule>
  </conditionalFormatting>
  <conditionalFormatting sqref="G35:I35">
    <cfRule type="expression" dxfId="5808" priority="47">
      <formula>LEN(TRIM($G$35:$I$35))&gt;0</formula>
    </cfRule>
  </conditionalFormatting>
  <conditionalFormatting sqref="G36:I36">
    <cfRule type="expression" dxfId="5807" priority="46">
      <formula>LEN(TRIM($G$36:$I$36))&gt;0</formula>
    </cfRule>
  </conditionalFormatting>
  <conditionalFormatting sqref="G37:H37">
    <cfRule type="expression" dxfId="5806" priority="45">
      <formula>LEN(TRIM($G$37:$H$37))&gt;0</formula>
    </cfRule>
  </conditionalFormatting>
  <conditionalFormatting sqref="G48:H48">
    <cfRule type="expression" dxfId="5805" priority="44">
      <formula>LEN(TRIM($G$48:$H$48))&gt;0</formula>
    </cfRule>
  </conditionalFormatting>
  <conditionalFormatting sqref="G49">
    <cfRule type="expression" dxfId="5804" priority="43">
      <formula>LEN(TRIM($G$49:$H$49))&gt;0</formula>
    </cfRule>
  </conditionalFormatting>
  <conditionalFormatting sqref="G49:I49">
    <cfRule type="expression" dxfId="5803" priority="42">
      <formula>LEN(TRIM($G$49:$I$49))&gt;0</formula>
    </cfRule>
  </conditionalFormatting>
  <conditionalFormatting sqref="G50:H50">
    <cfRule type="expression" dxfId="5802" priority="41">
      <formula>LEN(TRIM($G$50:$H$50))&gt;0</formula>
    </cfRule>
  </conditionalFormatting>
  <conditionalFormatting sqref="G51">
    <cfRule type="expression" dxfId="5801" priority="40">
      <formula>LEN(TRIM($G$51))&gt;0</formula>
    </cfRule>
  </conditionalFormatting>
  <conditionalFormatting sqref="G52">
    <cfRule type="expression" dxfId="5800" priority="39">
      <formula>LEN(TRIM($G$52))&gt;0</formula>
    </cfRule>
  </conditionalFormatting>
  <conditionalFormatting sqref="G56">
    <cfRule type="expression" dxfId="5799" priority="37">
      <formula>LEN(TRIM($G$56))&gt;0</formula>
    </cfRule>
  </conditionalFormatting>
  <conditionalFormatting sqref="G57">
    <cfRule type="expression" dxfId="5798" priority="35">
      <formula>LEN(TRIM($G$57))&gt;0</formula>
    </cfRule>
  </conditionalFormatting>
  <conditionalFormatting sqref="G58">
    <cfRule type="expression" dxfId="5797" priority="34">
      <formula>LEN(TRIM($G$58))&gt;0</formula>
    </cfRule>
  </conditionalFormatting>
  <conditionalFormatting sqref="G59">
    <cfRule type="expression" dxfId="5796" priority="33">
      <formula>LEN(TRIM($G$59))&gt;0</formula>
    </cfRule>
  </conditionalFormatting>
  <conditionalFormatting sqref="G61:H61">
    <cfRule type="expression" dxfId="5795" priority="32">
      <formula>LEN(TRIM($G$61:$H$61))&gt;0</formula>
    </cfRule>
  </conditionalFormatting>
  <conditionalFormatting sqref="G62:H62">
    <cfRule type="expression" dxfId="5794" priority="31">
      <formula>LEN(TRIM($G$62:$H$62))&gt;0</formula>
    </cfRule>
  </conditionalFormatting>
  <conditionalFormatting sqref="G62:H62">
    <cfRule type="expression" dxfId="5793" priority="30">
      <formula>LEN(TRIM($G$62:$H$62))&gt;0</formula>
    </cfRule>
  </conditionalFormatting>
  <conditionalFormatting sqref="G55">
    <cfRule type="expression" dxfId="5792" priority="29">
      <formula>LEN(TRIM($G$55))&gt;0</formula>
    </cfRule>
  </conditionalFormatting>
  <conditionalFormatting sqref="G19">
    <cfRule type="expression" dxfId="5791" priority="23">
      <formula>AND($G$18&lt;&gt;INDEX(INDIRECT($E$18),2),LEN(TRIM($G$19))&gt;0)</formula>
    </cfRule>
  </conditionalFormatting>
  <conditionalFormatting sqref="G16 G18:G19 G25:G28 G30 G61:G62 G10:J13 G48:G52 G34:G41 G55:G59 G32 G23">
    <cfRule type="notContainsBlanks" dxfId="5790" priority="1">
      <formula>LEN(TRIM(G10))&gt;0</formula>
    </cfRule>
  </conditionalFormatting>
  <conditionalFormatting sqref="G23:J23">
    <cfRule type="expression" dxfId="5789" priority="26">
      <formula>AND($G$18&lt;&gt;INDEX(INDIRECT($E$18),2),LEN(TRIM($G$23))&gt;0)</formula>
    </cfRule>
  </conditionalFormatting>
  <conditionalFormatting sqref="G15:J15">
    <cfRule type="expression" dxfId="5788" priority="25">
      <formula>$M$15&lt;&gt;"!!"</formula>
    </cfRule>
  </conditionalFormatting>
  <conditionalFormatting sqref="G64:J64">
    <cfRule type="notContainsBlanks" dxfId="5787" priority="22">
      <formula>LEN(TRIM(G64))&gt;0</formula>
    </cfRule>
  </conditionalFormatting>
  <conditionalFormatting sqref="G42">
    <cfRule type="expression" dxfId="5786" priority="21">
      <formula>LEN(TRIM($G$37:$H$37))&gt;0</formula>
    </cfRule>
  </conditionalFormatting>
  <conditionalFormatting sqref="G42">
    <cfRule type="notContainsBlanks" dxfId="5785" priority="20">
      <formula>LEN(TRIM(G42))&gt;0</formula>
    </cfRule>
  </conditionalFormatting>
  <conditionalFormatting sqref="G42:H42">
    <cfRule type="expression" dxfId="5784" priority="19">
      <formula>OR(AND(G42=INDEX(INDIRECT(E42),3),OR(AND(NOT(ISBLANK(G39)),NOT(G39=INDEX(INDIRECT(E39),6))),AND(NOT(ISBLANK(G40)),NOT(G40=INDEX(INDIRECT(E40),6))),AND(NOT(ISBLANK(G41)),NOT(G41=INDEX(INDIRECT(E41),6))))),AND(OR(G42=INDEX(INDIRECT(E42),1),G42=INDEX(INDIRECT(E42),2)),AND(OR(ISBLANK(G39),G39=INDEX(INDIRECT(E39),6)),OR(ISBLANK(G40),G40=INDEX(INDIRECT(E40),6)),OR(ISBLANK(G41),G41=INDEX(INDIRECT(E41),6)))))</formula>
    </cfRule>
  </conditionalFormatting>
  <conditionalFormatting sqref="G38:I38">
    <cfRule type="expression" dxfId="5783" priority="18">
      <formula>OR(AND(G38=INDEX(INDIRECT(E38),3),OR(AND(NOT(ISBLANK(G34)),NOT(G34=INDEX(INDIRECT(E34),8))),AND(NOT(ISBLANK(G35)),NOT(G35=INDEX(INDIRECT(E35),8))),AND(NOT(ISBLANK(G36)),NOT(G36=INDEX(INDIRECT(E36),8))))),AND(OR(G38=INDEX(INDIRECT(E38),1),G38=INDEX(INDIRECT(E38),2)),AND(OR(ISBLANK(G34),G34=INDEX(INDIRECT(E34),8)),OR(ISBLANK(G35),G35=INDEX(INDIRECT(E35),8)),OR(ISBLANK(G36),G36=INDEX(INDIRECT(E36),8)))))</formula>
    </cfRule>
  </conditionalFormatting>
  <conditionalFormatting sqref="G44">
    <cfRule type="notContainsBlanks" dxfId="5782" priority="17">
      <formula>LEN(TRIM(G44))&gt;0</formula>
    </cfRule>
  </conditionalFormatting>
  <conditionalFormatting sqref="G45">
    <cfRule type="notContainsBlanks" dxfId="5781" priority="16">
      <formula>LEN(TRIM(G45))&gt;0</formula>
    </cfRule>
  </conditionalFormatting>
  <conditionalFormatting sqref="G46">
    <cfRule type="notContainsBlanks" dxfId="5780" priority="15">
      <formula>LEN(TRIM(G46))&gt;0</formula>
    </cfRule>
  </conditionalFormatting>
  <conditionalFormatting sqref="G47">
    <cfRule type="notContainsBlanks" dxfId="5779" priority="13">
      <formula>LEN(TRIM(G47))&gt;0</formula>
    </cfRule>
  </conditionalFormatting>
  <conditionalFormatting sqref="G19 G23">
    <cfRule type="expression" dxfId="5778" priority="28">
      <formula>IF($G$18=INDEX(ddSingleOrMulti,2),TRUE,FALSE)</formula>
    </cfRule>
  </conditionalFormatting>
  <conditionalFormatting sqref="A19:D19">
    <cfRule type="expression" dxfId="5777" priority="71">
      <formula>IF($G$18=INDEX(ddSingleOrMulti,2),TRUE,FALSE)</formula>
    </cfRule>
  </conditionalFormatting>
  <conditionalFormatting sqref="A23:D23">
    <cfRule type="expression" dxfId="5776" priority="70">
      <formula>IF($G$18=INDEX(ddSingleOrMulti,2),TRUE,FALSE)</formula>
    </cfRule>
  </conditionalFormatting>
  <conditionalFormatting sqref="G19">
    <cfRule type="expression" dxfId="5775" priority="68">
      <formula>NOT($G$18=INDEX(ddSingleOrMulti,2))</formula>
    </cfRule>
  </conditionalFormatting>
  <conditionalFormatting sqref="G23">
    <cfRule type="expression" dxfId="5774" priority="67">
      <formula>NOT($G$18=INDEX(ddSingleOrMulti,2))</formula>
    </cfRule>
  </conditionalFormatting>
  <conditionalFormatting sqref="G8">
    <cfRule type="expression" dxfId="5773" priority="11">
      <formula>LEN($G$8)&gt;0</formula>
    </cfRule>
  </conditionalFormatting>
  <conditionalFormatting sqref="A20:D21">
    <cfRule type="expression" dxfId="5772" priority="8">
      <formula>IF($G$18=INDEX(ddSingleOrMulti,2),TRUE,FALSE)</formula>
    </cfRule>
  </conditionalFormatting>
  <conditionalFormatting sqref="G20">
    <cfRule type="expression" dxfId="5771" priority="2">
      <formula>AND($G$18&lt;&gt;INDEX(INDIRECT($E$18),2),LEN(TRIM(G20))&gt;0)</formula>
    </cfRule>
  </conditionalFormatting>
  <conditionalFormatting sqref="G20">
    <cfRule type="notContainsBlanks" dxfId="5770" priority="3">
      <formula>LEN(TRIM(G20))&gt;0</formula>
    </cfRule>
  </conditionalFormatting>
  <conditionalFormatting sqref="G20">
    <cfRule type="expression" dxfId="5769" priority="5">
      <formula>NOT($G$18=INDEX(ddSingleOrMulti,2))</formula>
    </cfRule>
  </conditionalFormatting>
  <conditionalFormatting sqref="G28">
    <cfRule type="expression" dxfId="5768" priority="27">
      <formula>$P$11="Tropical"</formula>
    </cfRule>
  </conditionalFormatting>
  <dataValidations count="29">
    <dataValidation type="list" allowBlank="1" showInputMessage="1" showErrorMessage="1" error="Please use the dropdown." sqref="G18:H18" xr:uid="{00000000-0002-0000-0100-000000000000}">
      <formula1>INDIRECT($E$18)</formula1>
    </dataValidation>
    <dataValidation type="list" allowBlank="1" showInputMessage="1" showErrorMessage="1" error="Please use the dropdown." sqref="G32:J32" xr:uid="{00000000-0002-0000-0100-000001000000}">
      <formula1>INDIRECT($E$32)</formula1>
    </dataValidation>
    <dataValidation type="list" allowBlank="1" showInputMessage="1" showErrorMessage="1" error="Please use the dropdown." sqref="G34:I34" xr:uid="{00000000-0002-0000-0100-000002000000}">
      <formula1>INDIRECT($E$34)</formula1>
    </dataValidation>
    <dataValidation type="list" allowBlank="1" showInputMessage="1" showErrorMessage="1" error="Please use the dropdown." sqref="G35:I35" xr:uid="{00000000-0002-0000-0100-000003000000}">
      <formula1>INDIRECT($E$35)</formula1>
    </dataValidation>
    <dataValidation type="list" allowBlank="1" showInputMessage="1" showErrorMessage="1" error="Please use the dropdown." sqref="G36:I36" xr:uid="{00000000-0002-0000-0100-000004000000}">
      <formula1>INDIRECT($E$36)</formula1>
    </dataValidation>
    <dataValidation type="list" allowBlank="1" showInputMessage="1" showErrorMessage="1" error="Please use the dropdown." sqref="G37:I37" xr:uid="{00000000-0002-0000-0100-000005000000}">
      <formula1>INDIRECT($E$37)</formula1>
    </dataValidation>
    <dataValidation type="list" allowBlank="1" showInputMessage="1" showErrorMessage="1" error="Please use the dropdown." sqref="G48:H48" xr:uid="{00000000-0002-0000-0100-000006000000}">
      <formula1>INDIRECT($E$48)</formula1>
    </dataValidation>
    <dataValidation type="list" allowBlank="1" showInputMessage="1" showErrorMessage="1" error="Please use the dropdown." sqref="G49:I49" xr:uid="{00000000-0002-0000-0100-000007000000}">
      <formula1>INDIRECT($E$49)</formula1>
    </dataValidation>
    <dataValidation type="list" allowBlank="1" showInputMessage="1" showErrorMessage="1" error="Please use the dropdown." sqref="G50:H50" xr:uid="{00000000-0002-0000-0100-000008000000}">
      <formula1>INDIRECT($E$50)</formula1>
    </dataValidation>
    <dataValidation type="list" allowBlank="1" showInputMessage="1" showErrorMessage="1" error="Please use the dropdown." sqref="G51" xr:uid="{00000000-0002-0000-0100-000009000000}">
      <formula1>INDIRECT($E$51)</formula1>
    </dataValidation>
    <dataValidation type="list" allowBlank="1" showInputMessage="1" showErrorMessage="1" error="Please use the dropdown." sqref="G52" xr:uid="{00000000-0002-0000-0100-00000A000000}">
      <formula1>INDIRECT($E$52)</formula1>
    </dataValidation>
    <dataValidation type="list" allowBlank="1" showInputMessage="1" showErrorMessage="1" error="Please use the dropdown." sqref="G56" xr:uid="{00000000-0002-0000-0100-00000B000000}">
      <formula1>INDIRECT($E$56)</formula1>
    </dataValidation>
    <dataValidation type="list" allowBlank="1" showInputMessage="1" showErrorMessage="1" error="Please use the dropdown." sqref="G57" xr:uid="{00000000-0002-0000-0100-00000D000000}">
      <formula1>INDIRECT($E$57)</formula1>
    </dataValidation>
    <dataValidation type="list" allowBlank="1" showInputMessage="1" showErrorMessage="1" error="Please use the dropdown." sqref="G58" xr:uid="{00000000-0002-0000-0100-00000E000000}">
      <formula1>INDIRECT($E$58)</formula1>
    </dataValidation>
    <dataValidation type="list" allowBlank="1" showInputMessage="1" showErrorMessage="1" error="Please use the dropdown." sqref="G59" xr:uid="{00000000-0002-0000-0100-00000F000000}">
      <formula1>INDIRECT($E$59)</formula1>
    </dataValidation>
    <dataValidation type="list" allowBlank="1" showInputMessage="1" showErrorMessage="1" error="Please use the dropdown." sqref="G61:H61" xr:uid="{00000000-0002-0000-0100-000010000000}">
      <formula1>INDIRECT($E$61)</formula1>
    </dataValidation>
    <dataValidation type="list" allowBlank="1" showInputMessage="1" showErrorMessage="1" error="Please use the dropdown." sqref="G62:H62" xr:uid="{00000000-0002-0000-0100-000011000000}">
      <formula1>INDIRECT($E$62)</formula1>
    </dataValidation>
    <dataValidation type="list" allowBlank="1" showInputMessage="1" showErrorMessage="1" error="Please use the dropdown." sqref="G55" xr:uid="{00000000-0002-0000-0100-000012000000}">
      <formula1>INDIRECT($E$55)</formula1>
    </dataValidation>
    <dataValidation type="whole" allowBlank="1" showInputMessage="1" showErrorMessage="1" error="Must enter a whole number." sqref="G19" xr:uid="{00000000-0002-0000-0100-000013000000}">
      <formula1>0</formula1>
      <formula2>100000000000</formula2>
    </dataValidation>
    <dataValidation type="whole" allowBlank="1" showInputMessage="1" showErrorMessage="1" error="Enter a whole number between 1 and 1000." prompt="Enter the number of stories above grade." sqref="G27" xr:uid="{00000000-0002-0000-0100-000014000000}">
      <formula1>1</formula1>
      <formula2>1000</formula2>
    </dataValidation>
    <dataValidation type="list" allowBlank="1" showInputMessage="1" showErrorMessage="1" error="Please use the dropdown." sqref="G38:I38 G42:H42" xr:uid="{00000000-0002-0000-0100-000015000000}">
      <formula1>INDIRECT(E38)</formula1>
    </dataValidation>
    <dataValidation type="decimal" allowBlank="1" showInputMessage="1" showErrorMessage="1" error="Enter a decimal between 0 and 1." prompt="Enter the SHGC value." sqref="G44:G45" xr:uid="{00000000-0002-0000-0100-000016000000}">
      <formula1>0</formula1>
      <formula2>1</formula2>
    </dataValidation>
    <dataValidation type="decimal" allowBlank="1" showInputMessage="1" showErrorMessage="1" error="Enter a decimal between 0 and 1." prompt="Enter the U-value." sqref="G46:G47" xr:uid="{00000000-0002-0000-0100-000017000000}">
      <formula1>0</formula1>
      <formula2>1</formula2>
    </dataValidation>
    <dataValidation type="list" allowBlank="1" showInputMessage="1" showErrorMessage="1" error="Please use the dropdown." sqref="G39:I39" xr:uid="{00000000-0002-0000-0100-000018000000}">
      <formula1>INDIRECT($E$39)</formula1>
    </dataValidation>
    <dataValidation type="list" allowBlank="1" showInputMessage="1" showErrorMessage="1" error="Please use the dropdown." sqref="G40:I40" xr:uid="{00000000-0002-0000-0100-000019000000}">
      <formula1>INDIRECT($E$40)</formula1>
    </dataValidation>
    <dataValidation type="list" allowBlank="1" showInputMessage="1" showErrorMessage="1" error="Please use the dropdown." sqref="G41:I41" xr:uid="{00000000-0002-0000-0100-00001A000000}">
      <formula1>INDIRECT($E$41)</formula1>
    </dataValidation>
    <dataValidation type="list" allowBlank="1" showDropDown="1" showInputMessage="1" showErrorMessage="1" sqref="G8" xr:uid="{319994CC-422E-463F-B890-32E211949A65}">
      <formula1>"TofF"</formula1>
    </dataValidation>
    <dataValidation type="list" allowBlank="1" showInputMessage="1" showErrorMessage="1" error="Must enter a whole number." sqref="G20" xr:uid="{C8849DE4-CDD8-41A8-83CC-22A12E600E53}">
      <formula1>INDIRECT(E20)</formula1>
    </dataValidation>
    <dataValidation type="whole" allowBlank="1" showInputMessage="1" showErrorMessage="1" error="Enter a whole number." prompt="Enter the elevation above sea level." sqref="G28" xr:uid="{2C9F22D2-F050-4CC6-9C20-773E1A1A6AC0}">
      <formula1>1</formula1>
      <formula2>100000</formula2>
    </dataValidation>
  </dataValidations>
  <hyperlinks>
    <hyperlink ref="A66:G66" location="'Ch5'!A1" display="CLICK TO PROCEED TO CHAPTER 5 &gt;&gt;" xr:uid="{00000000-0004-0000-0100-000000000000}"/>
    <hyperlink ref="J44:J48" location="'Tables 703.2.5.2(a), (b) &amp; (c)'!A1" display="'Tables 703.2.5.2(a), (b) &amp; (c)'!A1" xr:uid="{C0355575-E609-4BFB-9128-79DC116367F1}"/>
  </hyperlinks>
  <pageMargins left="0.7" right="0.7" top="0.75" bottom="0.75" header="0.3" footer="0.3"/>
  <pageSetup scale="51"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locked="0" defaultSize="0" autoFill="0" autoLine="0" autoPict="0" altText="">
                <anchor moveWithCells="1">
                  <from>
                    <xdr:col>5</xdr:col>
                    <xdr:colOff>1143000</xdr:colOff>
                    <xdr:row>7</xdr:row>
                    <xdr:rowOff>0</xdr:rowOff>
                  </from>
                  <to>
                    <xdr:col>6</xdr:col>
                    <xdr:colOff>203200</xdr:colOff>
                    <xdr:row>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066" id="{BF6E4F97-0E9D-4B17-BFCE-97D9EE33CD91}">
            <xm:f>NOT(ISERROR(MATCH(G14,Geography!$J$2:$J$58,0)))</xm:f>
            <x14:dxf>
              <fill>
                <patternFill>
                  <bgColor rgb="FF92D050"/>
                </patternFill>
              </fill>
            </x14:dxf>
          </x14:cfRule>
          <xm:sqref>G14:J14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C000000}">
          <x14:formula1>
            <xm:f>OFFSET(Geography!$C$2,MATCH($G$14,Geography!$A$2:$A$3255,0)-1,0,COUNTIF(Geography!$A$2:$A$3255,$G$14),1)</xm:f>
          </x14:formula1>
          <xm:sqref>G15:J15</xm:sqref>
        </x14:dataValidation>
        <x14:dataValidation type="list" allowBlank="1" showInputMessage="1" showErrorMessage="1" xr:uid="{00000000-0002-0000-0100-00001B000000}">
          <x14:formula1>
            <xm:f>Geography!$J$2:$J$58</xm:f>
          </x14:formula1>
          <xm:sqref>G14:J14</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BI2476"/>
  <sheetViews>
    <sheetView showGridLines="0" zoomScaleNormal="100" workbookViewId="0">
      <pane ySplit="7" topLeftCell="A371" activePane="bottomLeft" state="frozen"/>
      <selection activeCell="S48" sqref="S48"/>
      <selection pane="bottomLeft" activeCell="S48" sqref="S48"/>
    </sheetView>
  </sheetViews>
  <sheetFormatPr defaultRowHeight="14.5" x14ac:dyDescent="0.35"/>
  <cols>
    <col min="1" max="1" width="3.26953125" style="366" bestFit="1" customWidth="1"/>
    <col min="2" max="2" width="9.7265625" style="366" hidden="1" customWidth="1"/>
    <col min="3" max="6" width="4.453125" style="366" hidden="1" customWidth="1"/>
    <col min="7" max="8" width="3.1796875" style="366" bestFit="1" customWidth="1"/>
    <col min="9" max="9" width="10.453125" customWidth="1"/>
    <col min="10" max="11" width="3.81640625" customWidth="1"/>
    <col min="12" max="12" width="71.7265625" style="565" customWidth="1"/>
    <col min="13" max="13" width="13.54296875" customWidth="1"/>
    <col min="14" max="15" width="7.7265625" customWidth="1"/>
    <col min="16" max="21" width="8.81640625" hidden="1" customWidth="1"/>
    <col min="22" max="22" width="3" hidden="1" customWidth="1"/>
    <col min="23" max="23" width="21.453125" customWidth="1"/>
    <col min="24" max="25" width="34.81640625" customWidth="1"/>
    <col min="26" max="26" width="34.81640625" style="446" hidden="1" customWidth="1"/>
    <col min="27" max="27" width="9.54296875" hidden="1" customWidth="1"/>
    <col min="28" max="28" width="2.1796875" hidden="1" customWidth="1"/>
    <col min="29" max="29" width="8.54296875" hidden="1" customWidth="1"/>
    <col min="30" max="30" width="6.1796875" hidden="1" customWidth="1"/>
    <col min="31" max="31" width="10.453125" hidden="1" customWidth="1"/>
    <col min="32" max="32" width="14.1796875" hidden="1" customWidth="1"/>
    <col min="33" max="33" width="5.453125" hidden="1" customWidth="1"/>
    <col min="34" max="34" width="8.1796875" hidden="1" customWidth="1"/>
    <col min="35" max="35" width="5.81640625" hidden="1" customWidth="1"/>
    <col min="36" max="36" width="2.81640625" hidden="1" customWidth="1"/>
    <col min="37" max="37" width="3.26953125" hidden="1" customWidth="1"/>
    <col min="38" max="38" width="17.7265625" hidden="1" customWidth="1"/>
    <col min="39" max="39" width="9.81640625" hidden="1" customWidth="1"/>
    <col min="40" max="40" width="15.26953125" hidden="1" customWidth="1"/>
    <col min="41" max="41" width="5.81640625" hidden="1" customWidth="1"/>
    <col min="42" max="42" width="16.1796875" hidden="1" customWidth="1"/>
    <col min="43" max="43" width="2.1796875" hidden="1" customWidth="1"/>
    <col min="44" max="44" width="18.1796875" hidden="1" customWidth="1"/>
    <col min="45" max="49" width="2.1796875" hidden="1" customWidth="1"/>
    <col min="50" max="50" width="36.1796875" hidden="1" customWidth="1"/>
    <col min="51" max="54" width="2.1796875" hidden="1" customWidth="1"/>
    <col min="55" max="55" width="5.54296875" hidden="1" customWidth="1"/>
    <col min="56" max="56" width="7.26953125" hidden="1" customWidth="1"/>
    <col min="57" max="57" width="6.54296875" hidden="1" customWidth="1"/>
    <col min="58" max="58" width="7.81640625" hidden="1" customWidth="1"/>
    <col min="59" max="59" width="6" hidden="1" customWidth="1"/>
    <col min="60" max="60" width="12.1796875" hidden="1" customWidth="1"/>
    <col min="61" max="61" width="8" hidden="1" customWidth="1"/>
  </cols>
  <sheetData>
    <row r="1" spans="1:61" ht="15" customHeight="1" x14ac:dyDescent="0.35">
      <c r="A1" s="1115" t="s">
        <v>4093</v>
      </c>
      <c r="B1" s="1115"/>
      <c r="C1" s="1115"/>
      <c r="D1" s="1115"/>
      <c r="E1" s="1115"/>
      <c r="F1" s="1115"/>
      <c r="G1" s="1115"/>
      <c r="H1" s="1116"/>
      <c r="I1" s="1131" t="s">
        <v>359</v>
      </c>
      <c r="J1" s="1131"/>
      <c r="K1" s="1131"/>
      <c r="L1" s="582"/>
      <c r="M1" s="1132"/>
      <c r="N1" s="1133"/>
      <c r="O1" s="1134"/>
      <c r="P1" s="20"/>
      <c r="Q1" s="20"/>
      <c r="R1" s="20"/>
      <c r="S1" s="20"/>
      <c r="T1" s="20"/>
      <c r="U1" s="20"/>
      <c r="V1" s="20"/>
      <c r="W1" s="1014" t="s">
        <v>4873</v>
      </c>
      <c r="X1" s="1125" t="s">
        <v>4067</v>
      </c>
      <c r="Y1" s="1126"/>
      <c r="Z1" s="648"/>
      <c r="AF1" s="6" t="s">
        <v>324</v>
      </c>
      <c r="AG1" t="str">
        <f ca="1">IF(LEN(Ch5GLevFinal)=1,"     ", IF(LEN(Ch5GLevFinal)=2, "   ",""))&amp;Ch5GLevFinal</f>
        <v xml:space="preserve">     0</v>
      </c>
      <c r="AH1" t="str">
        <f ca="1">IF(LEN(Ch6GLevFinal)=1,"    ", IF(LEN(Ch6GLevFinal)=2, "   ",""))&amp;Ch6GLevFinal</f>
        <v xml:space="preserve">    0</v>
      </c>
      <c r="AI1" t="str">
        <f ca="1">IF(LEN(Ch7GLevFinal)=1,"   ","")&amp;Ch7GLevFinal</f>
        <v xml:space="preserve">   0</v>
      </c>
      <c r="AJ1" t="str">
        <f ca="1">IF(LEN(Ch8GLevFinal)=1,"  ","")&amp;Ch8GLevFinal</f>
        <v xml:space="preserve">  0</v>
      </c>
      <c r="AK1" t="str">
        <f ca="1">IF(LEN(Ch9GLevFinal)=1,"   ","")&amp;Ch9GLevFinal</f>
        <v xml:space="preserve">   0</v>
      </c>
      <c r="AL1" t="str">
        <f>IF(LEN(Ch10GLevFinal)=1,"  ","")&amp;Ch10GLevFinal</f>
        <v xml:space="preserve">  0</v>
      </c>
      <c r="AM1" t="s">
        <v>317</v>
      </c>
    </row>
    <row r="2" spans="1:61" x14ac:dyDescent="0.35">
      <c r="A2" s="1115"/>
      <c r="B2" s="1115"/>
      <c r="C2" s="1115"/>
      <c r="D2" s="1115"/>
      <c r="E2" s="1115"/>
      <c r="F2" s="1115"/>
      <c r="G2" s="1115"/>
      <c r="H2" s="1116"/>
      <c r="I2" s="762" t="str">
        <f ca="1">"Goal Level: "&amp;verGoalLevel&amp;",  Overall Level: "&amp; AM2</f>
        <v>Goal Level: None Chosen,  Overall Level: None</v>
      </c>
      <c r="J2" s="762"/>
      <c r="K2" s="762"/>
      <c r="L2" s="762"/>
      <c r="M2" s="1135"/>
      <c r="N2" s="765"/>
      <c r="O2" s="1136"/>
      <c r="P2" s="20"/>
      <c r="Q2" s="20"/>
      <c r="R2" s="20"/>
      <c r="S2" s="20"/>
      <c r="T2" s="20"/>
      <c r="U2" s="20"/>
      <c r="V2" s="20"/>
      <c r="W2" s="1014"/>
      <c r="X2" s="1125" t="s">
        <v>3502</v>
      </c>
      <c r="Y2" s="1126"/>
      <c r="Z2" s="648"/>
      <c r="AF2" s="6" t="s">
        <v>316</v>
      </c>
      <c r="AG2" t="str">
        <f ca="1">IF(LEN(Ch5AddGoal)=1,"     ", IF(LEN(Ch5AddGoal)=2, "   ",""))&amp;Ch5AddGoal</f>
        <v xml:space="preserve">     0</v>
      </c>
      <c r="AH2" t="str">
        <f ca="1">IF(LEN(Ch6AddGoal)=1,"    ", IF(LEN(Ch6AddGoal)=2, "   ",""))&amp;Ch6AddGoal</f>
        <v xml:space="preserve">    0</v>
      </c>
      <c r="AI2" t="str">
        <f ca="1">IF(LEN(Ch7AddGoal)=1,"   ","")&amp;Ch7AddGoal</f>
        <v xml:space="preserve">   0</v>
      </c>
      <c r="AJ2" t="str">
        <f ca="1">IF(LEN(Ch8AddGoal)=1,"  ","")&amp;Ch8AddGoal</f>
        <v xml:space="preserve">  0</v>
      </c>
      <c r="AK2" t="str">
        <f ca="1">IF(LEN(Ch9AddGoal)=1,"   ","")&amp;Ch9AddGoal</f>
        <v xml:space="preserve">   0</v>
      </c>
      <c r="AL2" t="str">
        <f>IF(LEN(Ch10AddGoal)=1,"  ","")&amp;Ch10AddGoal</f>
        <v xml:space="preserve">  0</v>
      </c>
      <c r="AM2" t="str">
        <f ca="1">Points!AC22</f>
        <v>None</v>
      </c>
    </row>
    <row r="3" spans="1:61" x14ac:dyDescent="0.35">
      <c r="A3" s="1115"/>
      <c r="B3" s="1115"/>
      <c r="C3" s="1115"/>
      <c r="D3" s="1115"/>
      <c r="E3" s="1115"/>
      <c r="F3" s="1115"/>
      <c r="G3" s="1115"/>
      <c r="H3" s="1116"/>
      <c r="I3" s="1139" t="str">
        <f ca="1" xml:space="preserve"> "                  Points to Goal Level:     Ch5:  "&amp;AG1&amp;",    Ch6:  "&amp;AH1&amp;",    Ch7:  "&amp;AI1&amp;",    Ch8:  "&amp;AJ1&amp;",    Ch9:  "&amp;AK1&amp;",    Ch10:  "&amp;AL1</f>
        <v xml:space="preserve">                  Points to Goal Level:     Ch5:       0,    Ch6:      0,    Ch7:     0,    Ch8:    0,    Ch9:     0,    Ch10:    0</v>
      </c>
      <c r="J3" s="1139"/>
      <c r="K3" s="1139"/>
      <c r="L3" s="1139"/>
      <c r="M3" s="1135"/>
      <c r="N3" s="765"/>
      <c r="O3" s="1136"/>
      <c r="P3" s="20"/>
      <c r="Q3" s="20"/>
      <c r="R3" s="20"/>
      <c r="S3" s="20"/>
      <c r="T3" s="20"/>
      <c r="U3" s="20"/>
      <c r="V3" s="20"/>
      <c r="W3" s="1015"/>
      <c r="X3" s="1125" t="s">
        <v>3503</v>
      </c>
      <c r="Y3" s="1126"/>
      <c r="Z3" s="648"/>
      <c r="AF3" s="6" t="s">
        <v>312</v>
      </c>
      <c r="AG3" t="b">
        <f ca="1">OR(ReportType="",IF(ReportType="Rough",OR(AF:AF),OR(AE:AE)))</f>
        <v>1</v>
      </c>
      <c r="AH3" s="6" t="s">
        <v>313</v>
      </c>
      <c r="AI3" t="b">
        <f ca="1">OR(AD:AD)</f>
        <v>0</v>
      </c>
    </row>
    <row r="4" spans="1:61" ht="15" customHeight="1" x14ac:dyDescent="0.35">
      <c r="A4" s="980" t="s">
        <v>3843</v>
      </c>
      <c r="C4" s="728"/>
      <c r="D4" s="728"/>
      <c r="E4" s="728"/>
      <c r="G4" s="980" t="s">
        <v>318</v>
      </c>
      <c r="H4" s="980" t="s">
        <v>3979</v>
      </c>
      <c r="I4" s="1139" t="str">
        <f ca="1" xml:space="preserve"> "      Add'l Pts above goal level:     Ch5:  "&amp;AG2&amp;",    Ch6:  "&amp;AH2&amp;",    Ch7:  "&amp;AI2&amp;",    Ch8:  "&amp;AJ2&amp;",    Ch9:  "&amp;AK2&amp;",    Ch10:  "&amp;AL2</f>
        <v xml:space="preserve">      Add'l Pts above goal level:     Ch5:       0,    Ch6:      0,    Ch7:     0,    Ch8:    0,    Ch9:     0,    Ch10:    0</v>
      </c>
      <c r="J4" s="1139"/>
      <c r="K4" s="1139"/>
      <c r="L4" s="1139"/>
      <c r="M4" s="1135"/>
      <c r="N4" s="765"/>
      <c r="O4" s="1136"/>
      <c r="P4" s="20"/>
      <c r="Q4" s="20"/>
      <c r="R4" s="20"/>
      <c r="S4" s="20"/>
      <c r="T4" s="20"/>
      <c r="U4" s="20"/>
      <c r="V4" s="20"/>
      <c r="W4" s="214" t="s">
        <v>3501</v>
      </c>
      <c r="X4" s="1127" t="str">
        <f>IF(verCity="","",IF(dstBatch, "Various ", verHomeAddress)&amp;", "&amp;verCity&amp;", "&amp;verState&amp;"  "&amp;verZIP)</f>
        <v/>
      </c>
      <c r="Y4" s="1128"/>
      <c r="Z4" s="649"/>
      <c r="AF4" s="6"/>
      <c r="AH4" s="6"/>
    </row>
    <row r="5" spans="1:61" ht="15" customHeight="1" x14ac:dyDescent="0.35">
      <c r="A5" s="980"/>
      <c r="C5" s="729"/>
      <c r="D5" s="729"/>
      <c r="E5" s="729"/>
      <c r="G5" s="980"/>
      <c r="H5" s="980"/>
      <c r="I5" s="1131" t="s">
        <v>3962</v>
      </c>
      <c r="J5" s="1131"/>
      <c r="K5" s="1131"/>
      <c r="L5" s="583"/>
      <c r="M5" s="1137"/>
      <c r="N5" s="1043"/>
      <c r="O5" s="1138"/>
      <c r="P5" s="20"/>
      <c r="Q5" s="20"/>
      <c r="R5" s="20"/>
      <c r="S5" s="20"/>
      <c r="T5" s="20"/>
      <c r="U5" s="20"/>
      <c r="V5" s="20"/>
      <c r="W5" s="213" t="s">
        <v>130</v>
      </c>
      <c r="X5" s="1129" t="str">
        <f>IF('Overview (Verification)'!P12="","",'Overview (Verification)'!P12)</f>
        <v/>
      </c>
      <c r="Y5" s="1130"/>
      <c r="Z5" s="649"/>
      <c r="AF5" s="6"/>
      <c r="AH5" s="6"/>
    </row>
    <row r="6" spans="1:61" ht="15" customHeight="1" x14ac:dyDescent="0.35">
      <c r="A6" s="980"/>
      <c r="C6" s="729"/>
      <c r="D6" s="729"/>
      <c r="E6" s="729"/>
      <c r="G6" s="980"/>
      <c r="H6" s="980"/>
      <c r="I6" s="878" t="s">
        <v>248</v>
      </c>
      <c r="J6" s="878"/>
      <c r="K6" s="879"/>
      <c r="L6" s="880" t="s">
        <v>310</v>
      </c>
      <c r="M6" s="860" t="s">
        <v>249</v>
      </c>
      <c r="N6" s="880" t="s">
        <v>253</v>
      </c>
      <c r="O6" s="880" t="s">
        <v>320</v>
      </c>
      <c r="P6" s="22" t="s">
        <v>314</v>
      </c>
      <c r="Q6" s="22" t="s">
        <v>315</v>
      </c>
      <c r="R6" s="22" t="s">
        <v>250</v>
      </c>
      <c r="S6" s="22" t="s">
        <v>251</v>
      </c>
      <c r="T6" s="22" t="s">
        <v>0</v>
      </c>
      <c r="U6" s="22" t="s">
        <v>363</v>
      </c>
      <c r="V6" s="22"/>
      <c r="W6" s="860" t="s">
        <v>252</v>
      </c>
      <c r="X6" s="860" t="s">
        <v>4075</v>
      </c>
      <c r="Y6" s="869" t="s">
        <v>4074</v>
      </c>
      <c r="Z6" s="1110" t="s">
        <v>4103</v>
      </c>
      <c r="AA6" t="s">
        <v>5654</v>
      </c>
      <c r="AC6" s="2" t="s">
        <v>307</v>
      </c>
      <c r="AD6" s="2" t="s">
        <v>0</v>
      </c>
      <c r="AE6" s="2" t="s">
        <v>306</v>
      </c>
      <c r="AF6" s="6" t="s">
        <v>3990</v>
      </c>
    </row>
    <row r="7" spans="1:61" x14ac:dyDescent="0.35">
      <c r="B7" s="725"/>
      <c r="C7" s="725"/>
      <c r="D7" s="725"/>
      <c r="E7" s="725"/>
      <c r="I7" s="878"/>
      <c r="J7" s="878"/>
      <c r="K7" s="879"/>
      <c r="L7" s="880"/>
      <c r="M7" s="860"/>
      <c r="N7" s="880"/>
      <c r="O7" s="880"/>
      <c r="P7" s="22"/>
      <c r="Q7" s="22"/>
      <c r="R7" s="22"/>
      <c r="S7" s="22"/>
      <c r="T7" s="22"/>
      <c r="U7" s="22"/>
      <c r="V7" s="22"/>
      <c r="W7" s="860"/>
      <c r="X7" s="860"/>
      <c r="Y7" s="870"/>
      <c r="Z7" s="1111"/>
      <c r="AA7" t="s">
        <v>5655</v>
      </c>
      <c r="AC7" s="2"/>
      <c r="AD7" s="2"/>
      <c r="AE7" s="2"/>
    </row>
    <row r="8" spans="1:61" ht="18.5" x14ac:dyDescent="0.45">
      <c r="A8" s="366">
        <v>5</v>
      </c>
      <c r="B8" s="730"/>
      <c r="C8" s="730"/>
      <c r="D8" s="730"/>
      <c r="E8" s="730"/>
      <c r="F8" s="730"/>
      <c r="H8" s="366" t="s">
        <v>3970</v>
      </c>
      <c r="I8" s="14" t="s">
        <v>6087</v>
      </c>
      <c r="J8" s="14"/>
      <c r="K8" s="14"/>
      <c r="L8" s="584"/>
      <c r="M8" s="16"/>
      <c r="N8" s="16"/>
      <c r="O8" s="16"/>
      <c r="P8" t="s">
        <v>247</v>
      </c>
      <c r="Q8" t="s">
        <v>247</v>
      </c>
      <c r="R8" t="s">
        <v>247</v>
      </c>
      <c r="S8" t="s">
        <v>247</v>
      </c>
      <c r="T8" t="s">
        <v>247</v>
      </c>
      <c r="U8" t="s">
        <v>247</v>
      </c>
      <c r="V8" t="s">
        <v>247</v>
      </c>
      <c r="W8" s="15"/>
      <c r="X8" s="15"/>
      <c r="Y8" s="15"/>
      <c r="Z8" s="650" t="s">
        <v>247</v>
      </c>
      <c r="AA8" s="2" t="s">
        <v>247</v>
      </c>
      <c r="AB8" s="2" t="s">
        <v>247</v>
      </c>
      <c r="AC8" s="2" t="s">
        <v>247</v>
      </c>
      <c r="AD8" s="2" t="s">
        <v>247</v>
      </c>
      <c r="AE8" s="2" t="s">
        <v>247</v>
      </c>
      <c r="AF8" s="2" t="s">
        <v>247</v>
      </c>
      <c r="AG8" s="2" t="s">
        <v>247</v>
      </c>
      <c r="AH8" s="2" t="s">
        <v>247</v>
      </c>
      <c r="AI8" s="2" t="s">
        <v>247</v>
      </c>
      <c r="AJ8" s="2" t="s">
        <v>247</v>
      </c>
      <c r="AK8" s="2" t="s">
        <v>247</v>
      </c>
      <c r="AL8" s="2" t="s">
        <v>247</v>
      </c>
      <c r="AM8" s="2" t="s">
        <v>247</v>
      </c>
      <c r="AN8" s="2" t="s">
        <v>247</v>
      </c>
      <c r="AO8" s="2" t="s">
        <v>247</v>
      </c>
      <c r="AP8" s="2" t="s">
        <v>247</v>
      </c>
      <c r="AQ8" s="2" t="s">
        <v>247</v>
      </c>
      <c r="AR8" s="2" t="s">
        <v>247</v>
      </c>
      <c r="AS8" s="2" t="s">
        <v>247</v>
      </c>
      <c r="AT8" s="2" t="s">
        <v>247</v>
      </c>
      <c r="AU8" s="2" t="s">
        <v>247</v>
      </c>
      <c r="AV8" s="2" t="s">
        <v>247</v>
      </c>
      <c r="AW8" s="2" t="s">
        <v>247</v>
      </c>
      <c r="AX8" s="2" t="s">
        <v>247</v>
      </c>
      <c r="AY8" s="2" t="s">
        <v>247</v>
      </c>
      <c r="AZ8" s="2" t="s">
        <v>247</v>
      </c>
      <c r="BA8" s="2" t="s">
        <v>247</v>
      </c>
      <c r="BB8" s="2" t="s">
        <v>247</v>
      </c>
      <c r="BC8" s="2" t="s">
        <v>247</v>
      </c>
      <c r="BD8" s="2" t="s">
        <v>247</v>
      </c>
      <c r="BE8" s="2" t="s">
        <v>247</v>
      </c>
      <c r="BF8" s="2" t="s">
        <v>247</v>
      </c>
      <c r="BG8" s="2" t="s">
        <v>247</v>
      </c>
      <c r="BH8" s="2" t="s">
        <v>247</v>
      </c>
      <c r="BI8" s="2" t="s">
        <v>247</v>
      </c>
    </row>
    <row r="9" spans="1:61" ht="15" customHeight="1" x14ac:dyDescent="0.35">
      <c r="A9" s="366">
        <v>5</v>
      </c>
      <c r="B9" s="731" t="s">
        <v>4577</v>
      </c>
      <c r="C9" s="731"/>
      <c r="D9" s="731"/>
      <c r="E9" s="731"/>
      <c r="F9" s="731"/>
      <c r="H9" s="732"/>
      <c r="I9" s="47" t="s">
        <v>254</v>
      </c>
      <c r="J9" s="47"/>
      <c r="K9" s="47"/>
      <c r="L9" s="838" t="s">
        <v>4114</v>
      </c>
      <c r="M9" s="301"/>
      <c r="N9" s="41"/>
      <c r="O9" s="41"/>
      <c r="R9" t="b">
        <v>0</v>
      </c>
      <c r="S9" t="b">
        <v>1</v>
      </c>
      <c r="T9" t="b">
        <v>0</v>
      </c>
      <c r="AM9" s="12"/>
      <c r="AO9" s="12"/>
    </row>
    <row r="10" spans="1:61" x14ac:dyDescent="0.35">
      <c r="A10" s="366">
        <v>5</v>
      </c>
      <c r="B10" s="731" t="s">
        <v>4577</v>
      </c>
      <c r="C10" s="731"/>
      <c r="D10" s="731"/>
      <c r="E10" s="731"/>
      <c r="F10" s="731"/>
      <c r="H10" s="732"/>
      <c r="I10" s="47"/>
      <c r="J10" s="47"/>
      <c r="K10" s="47"/>
      <c r="L10" s="838"/>
      <c r="M10" s="301"/>
      <c r="N10" s="41"/>
      <c r="O10" s="41"/>
      <c r="AX10" s="6" t="str">
        <f>'Overview (Verification)'!A10</f>
        <v>Builder Name:</v>
      </c>
      <c r="AY10">
        <f>IF(LEN('Overview (Verification)'!P10)=0,0,'Overview (Verification)'!P10)</f>
        <v>0</v>
      </c>
    </row>
    <row r="11" spans="1:61" x14ac:dyDescent="0.35">
      <c r="A11" s="366">
        <v>5</v>
      </c>
      <c r="B11" s="731" t="s">
        <v>4577</v>
      </c>
      <c r="C11" s="731"/>
      <c r="D11" s="731"/>
      <c r="E11" s="731"/>
      <c r="F11" s="731"/>
      <c r="H11" s="732"/>
      <c r="I11" s="47"/>
      <c r="J11" s="47"/>
      <c r="K11" s="47"/>
      <c r="L11" s="838"/>
      <c r="M11" s="301"/>
      <c r="N11" s="41"/>
      <c r="O11" s="41"/>
      <c r="AX11" s="6" t="str">
        <f>'Overview (Verification)'!A11</f>
        <v>Physical Address of Home:</v>
      </c>
      <c r="AY11">
        <f>IF(LEN('Overview (Verification)'!P11)=0,0,'Overview (Verification)'!P11)</f>
        <v>0</v>
      </c>
    </row>
    <row r="12" spans="1:61" ht="18.5" x14ac:dyDescent="0.45">
      <c r="A12" s="366">
        <v>5</v>
      </c>
      <c r="B12" s="731" t="s">
        <v>255</v>
      </c>
      <c r="C12" s="731"/>
      <c r="D12" s="731"/>
      <c r="E12" s="731"/>
      <c r="F12" s="731"/>
      <c r="G12" s="366" t="s">
        <v>3973</v>
      </c>
      <c r="H12" s="366" t="s">
        <v>3970</v>
      </c>
      <c r="I12" s="48" t="s">
        <v>736</v>
      </c>
      <c r="J12" s="48"/>
      <c r="K12" s="48"/>
      <c r="L12" s="44"/>
      <c r="M12" s="302"/>
      <c r="N12" s="34"/>
      <c r="O12" s="34"/>
      <c r="P12" s="15"/>
      <c r="Q12" s="15"/>
      <c r="R12" s="15"/>
      <c r="S12" s="15"/>
      <c r="T12" s="15"/>
      <c r="U12" s="15"/>
      <c r="V12" s="15"/>
      <c r="W12" s="15"/>
      <c r="X12" s="15"/>
      <c r="Y12" s="15"/>
      <c r="Z12" s="651"/>
      <c r="AX12" s="6" t="str">
        <f>'Overview (Verification)'!A12</f>
        <v>Community/Lot #:</v>
      </c>
      <c r="AY12">
        <f>IF(LEN('Overview (Verification)'!P12)=0,0,'Overview (Verification)'!P12)</f>
        <v>0</v>
      </c>
    </row>
    <row r="13" spans="1:61" ht="15" customHeight="1" x14ac:dyDescent="0.35">
      <c r="A13" s="366">
        <v>5</v>
      </c>
      <c r="B13" s="731" t="s">
        <v>255</v>
      </c>
      <c r="C13" s="731"/>
      <c r="D13" s="731"/>
      <c r="E13" s="731"/>
      <c r="F13" s="731"/>
      <c r="G13" s="366" t="str">
        <f>IF(N13&gt;0,"P","")</f>
        <v>P</v>
      </c>
      <c r="H13" s="366" t="s">
        <v>3970</v>
      </c>
      <c r="I13" s="47" t="s">
        <v>255</v>
      </c>
      <c r="J13" s="47"/>
      <c r="K13" s="47"/>
      <c r="L13" s="578" t="s">
        <v>4896</v>
      </c>
      <c r="M13" s="33"/>
      <c r="N13" s="542">
        <f>'Ch5'!O14</f>
        <v>10</v>
      </c>
      <c r="O13" s="542">
        <f>MAX(M14*S14*W14,M16*S16*W16+M17*S17*W17+M18*S18*W18)</f>
        <v>0</v>
      </c>
      <c r="P13" s="51"/>
      <c r="Q13" s="51"/>
      <c r="R13" t="b">
        <v>0</v>
      </c>
      <c r="S13" t="b">
        <v>1</v>
      </c>
      <c r="T13" t="b">
        <v>0</v>
      </c>
      <c r="W13" t="s">
        <v>263</v>
      </c>
      <c r="X13" s="817"/>
      <c r="Y13" s="1100" t="str">
        <f>IF(LEN('Ch5'!X14)=0,"None",'Ch5'!X14)</f>
        <v>None</v>
      </c>
      <c r="Z13" s="1102"/>
      <c r="AL13" t="str">
        <f>SUBSTITUTE(SUBSTITUTE(SUBSTITUTE("vpa"&amp;$B13&amp;$C13&amp;$D13&amp;$E13,".","_"),"(","_"),")","")</f>
        <v>vpa501_1</v>
      </c>
      <c r="AM13">
        <f>M14</f>
        <v>15</v>
      </c>
      <c r="AN13" t="str">
        <f>SUBSTITUTE(SUBSTITUTE(SUBSTITUTE("vpc"&amp;$B13&amp;$C13&amp;$D13&amp;$E13,".","_"),"(","_"),")","")</f>
        <v>vpc501_1</v>
      </c>
      <c r="AO13">
        <f>O13</f>
        <v>0</v>
      </c>
      <c r="AR13" t="str">
        <f>SUBSTITUTE(SUBSTITUTE(SUBSTITUTE("vnt"&amp;$B13&amp;$C13&amp;$D13&amp;$E13,".","_"),"(","_"),")","")</f>
        <v>vnt501_1</v>
      </c>
      <c r="AS13" t="str">
        <f>IF(LEN(X13)=0,"",X13)</f>
        <v/>
      </c>
      <c r="AX13" s="6" t="str">
        <f>'Overview (Verification)'!A13</f>
        <v>City:</v>
      </c>
      <c r="AY13">
        <f>IF(LEN('Overview (Verification)'!P13)=0,0,'Overview (Verification)'!P13)</f>
        <v>0</v>
      </c>
    </row>
    <row r="14" spans="1:61" x14ac:dyDescent="0.35">
      <c r="A14" s="366">
        <v>5</v>
      </c>
      <c r="B14" s="731" t="s">
        <v>255</v>
      </c>
      <c r="C14" s="731" t="s">
        <v>256</v>
      </c>
      <c r="D14" s="731"/>
      <c r="E14" s="731"/>
      <c r="F14" s="731"/>
      <c r="G14" s="366" t="str">
        <f>G13</f>
        <v>P</v>
      </c>
      <c r="H14" s="366" t="s">
        <v>3970</v>
      </c>
      <c r="I14" s="47"/>
      <c r="J14" s="100" t="s">
        <v>256</v>
      </c>
      <c r="K14" s="100"/>
      <c r="L14" s="579" t="s">
        <v>4897</v>
      </c>
      <c r="M14" s="303">
        <v>15</v>
      </c>
      <c r="N14" s="542"/>
      <c r="O14" s="542"/>
      <c r="P14" s="51" t="b">
        <v>1</v>
      </c>
      <c r="Q14" s="51" t="b">
        <v>1</v>
      </c>
      <c r="R14" t="b">
        <v>0</v>
      </c>
      <c r="S14" t="b">
        <v>1</v>
      </c>
      <c r="T14" t="b">
        <v>0</v>
      </c>
      <c r="W14" s="17"/>
      <c r="X14" s="817"/>
      <c r="Y14" s="1100"/>
      <c r="Z14" s="1102"/>
      <c r="AP14" t="str">
        <f>SUBSTITUTE(SUBSTITUTE(SUBSTITUTE("vch"&amp;$B14&amp;$C14&amp;$D14&amp;$E14,".","_"),"(","_"),")","")</f>
        <v>vch501_1_1</v>
      </c>
      <c r="AQ14" t="str">
        <f>IF(LEN(W14)=0,"",W14)</f>
        <v/>
      </c>
      <c r="AX14" s="6" t="str">
        <f>'Overview (Verification)'!A14</f>
        <v>State:</v>
      </c>
      <c r="AY14">
        <f>IF(LEN('Overview (Verification)'!P14)=0,0,'Overview (Verification)'!P14)</f>
        <v>0</v>
      </c>
      <c r="BC14" t="str">
        <f>'Overview (Verification)'!T14</f>
        <v>State</v>
      </c>
      <c r="BD14" t="str">
        <f>'Overview (Verification)'!U14</f>
        <v>County</v>
      </c>
      <c r="BE14" t="str">
        <f>'Overview (Verification)'!V14</f>
        <v>Radon</v>
      </c>
      <c r="BF14" t="str">
        <f>'Overview (Verification)'!W14</f>
        <v>Climate</v>
      </c>
      <c r="BG14" t="str">
        <f>'Overview (Verification)'!X14</f>
        <v>Moist</v>
      </c>
      <c r="BH14" t="str">
        <f>'Overview (Verification)'!Y14</f>
        <v>WarmHumid</v>
      </c>
    </row>
    <row r="15" spans="1:61" x14ac:dyDescent="0.35">
      <c r="A15" s="366">
        <v>5</v>
      </c>
      <c r="B15" s="731" t="s">
        <v>255</v>
      </c>
      <c r="C15" s="731" t="s">
        <v>258</v>
      </c>
      <c r="D15" s="731"/>
      <c r="E15" s="731"/>
      <c r="F15" s="731"/>
      <c r="G15" s="366" t="str">
        <f>G14</f>
        <v>P</v>
      </c>
      <c r="H15" s="366" t="s">
        <v>3970</v>
      </c>
      <c r="I15" s="47"/>
      <c r="J15" s="468" t="s">
        <v>258</v>
      </c>
      <c r="K15" s="47"/>
      <c r="L15" s="175" t="s">
        <v>4898</v>
      </c>
      <c r="M15" s="463"/>
      <c r="N15" s="542"/>
      <c r="O15" s="542"/>
      <c r="P15" s="51"/>
      <c r="Q15" s="51"/>
      <c r="X15" s="817"/>
      <c r="Y15" s="1100"/>
      <c r="Z15" s="1102"/>
      <c r="AA15" s="350" t="str">
        <f>IF(LEN('Photo Review'!I14)&gt;0,'Photo Review'!I14,"")</f>
        <v/>
      </c>
      <c r="AX15" s="6" t="str">
        <f>'Overview (Verification)'!A15</f>
        <v>County:</v>
      </c>
      <c r="AY15">
        <f>IF(LEN('Overview (Verification)'!P15)=0,0,'Overview (Verification)'!P15)</f>
        <v>0</v>
      </c>
      <c r="BC15" t="str">
        <f>'Overview (Verification)'!T15</f>
        <v/>
      </c>
      <c r="BD15" t="str">
        <f>'Overview (Verification)'!U15</f>
        <v/>
      </c>
      <c r="BE15" t="str">
        <f>'Overview (Verification)'!V15</f>
        <v>!!</v>
      </c>
      <c r="BF15" t="str">
        <f>'Overview (Verification)'!W15</f>
        <v>!!</v>
      </c>
      <c r="BG15" t="str">
        <f>'Overview (Verification)'!X15</f>
        <v>!!</v>
      </c>
      <c r="BH15" t="str">
        <f>'Overview (Verification)'!Y15</f>
        <v>!!</v>
      </c>
    </row>
    <row r="16" spans="1:61" x14ac:dyDescent="0.35">
      <c r="A16" s="366">
        <v>5</v>
      </c>
      <c r="B16" s="731" t="s">
        <v>255</v>
      </c>
      <c r="C16" s="731" t="s">
        <v>258</v>
      </c>
      <c r="D16" s="731" t="s">
        <v>121</v>
      </c>
      <c r="E16" s="731"/>
      <c r="F16" s="731"/>
      <c r="G16" s="366" t="str">
        <f>G15</f>
        <v>P</v>
      </c>
      <c r="H16" s="366" t="s">
        <v>3970</v>
      </c>
      <c r="I16" s="47"/>
      <c r="K16" s="100" t="s">
        <v>121</v>
      </c>
      <c r="L16" s="228" t="s">
        <v>257</v>
      </c>
      <c r="M16" s="303">
        <v>10</v>
      </c>
      <c r="N16" s="542"/>
      <c r="O16" s="542"/>
      <c r="P16" s="51" t="b">
        <v>1</v>
      </c>
      <c r="Q16" s="51" t="b">
        <v>1</v>
      </c>
      <c r="R16" t="b">
        <v>0</v>
      </c>
      <c r="S16" t="b">
        <v>1</v>
      </c>
      <c r="T16" t="b">
        <v>0</v>
      </c>
      <c r="W16" s="17"/>
      <c r="X16" s="817"/>
      <c r="Y16" s="1100"/>
      <c r="Z16" s="1102"/>
      <c r="AL16" t="str">
        <f>SUBSTITUTE(SUBSTITUTE(SUBSTITUTE("vpa"&amp;$B16&amp;$C16&amp;$D16&amp;$E16,".","_"),"(","_"),")","")</f>
        <v>vpa501_1_2_a</v>
      </c>
      <c r="AM16">
        <f>M16</f>
        <v>10</v>
      </c>
      <c r="AP16" t="str">
        <f>SUBSTITUTE(SUBSTITUTE(SUBSTITUTE("vch"&amp;$B16&amp;$C16&amp;$D16&amp;$E16,".","_"),"(","_"),")","")</f>
        <v>vch501_1_2_a</v>
      </c>
      <c r="AQ16" t="str">
        <f>IF(LEN(W16)=0,"",W16)</f>
        <v/>
      </c>
      <c r="AX16" s="6" t="str">
        <f>'Overview (Verification)'!A16</f>
        <v>Zip:</v>
      </c>
      <c r="AY16">
        <f>IF(LEN('Overview (Verification)'!P16)=0,0,'Overview (Verification)'!P16)</f>
        <v>0</v>
      </c>
    </row>
    <row r="17" spans="1:52" x14ac:dyDescent="0.35">
      <c r="A17" s="366">
        <v>5</v>
      </c>
      <c r="B17" s="731" t="s">
        <v>255</v>
      </c>
      <c r="C17" s="731" t="s">
        <v>258</v>
      </c>
      <c r="D17" s="731" t="s">
        <v>122</v>
      </c>
      <c r="E17" s="731"/>
      <c r="F17" s="731"/>
      <c r="G17" s="366" t="str">
        <f>G16</f>
        <v>P</v>
      </c>
      <c r="H17" s="366" t="s">
        <v>3970</v>
      </c>
      <c r="I17" s="47"/>
      <c r="K17" s="135" t="s">
        <v>122</v>
      </c>
      <c r="L17" s="228" t="s">
        <v>259</v>
      </c>
      <c r="M17" s="303">
        <v>10</v>
      </c>
      <c r="N17" s="542"/>
      <c r="O17" s="542"/>
      <c r="P17" s="51" t="b">
        <v>1</v>
      </c>
      <c r="Q17" s="51" t="b">
        <v>1</v>
      </c>
      <c r="R17" t="b">
        <v>0</v>
      </c>
      <c r="S17" t="b">
        <f>W18&lt;&gt;TRUE</f>
        <v>1</v>
      </c>
      <c r="T17" t="b">
        <f>IF(AND(NOT(S17),W17=TRUE),TRUE,FALSE)</f>
        <v>0</v>
      </c>
      <c r="W17" s="17"/>
      <c r="X17" s="817"/>
      <c r="Y17" s="1100"/>
      <c r="Z17" s="1102"/>
      <c r="AC17" t="b">
        <f>OR(AD17:AE17)</f>
        <v>0</v>
      </c>
      <c r="AD17" t="b">
        <f>T17</f>
        <v>0</v>
      </c>
      <c r="AL17" t="str">
        <f>SUBSTITUTE(SUBSTITUTE(SUBSTITUTE("vpa"&amp;$B17&amp;$C17&amp;$D17&amp;$E17,".","_"),"(","_"),")","")</f>
        <v>vpa501_1_2_b</v>
      </c>
      <c r="AM17">
        <f>M17</f>
        <v>10</v>
      </c>
      <c r="AP17" t="str">
        <f>SUBSTITUTE(SUBSTITUTE(SUBSTITUTE("vch"&amp;$B17&amp;$C17&amp;$D17&amp;$E17,".","_"),"(","_"),")","")</f>
        <v>vch501_1_2_b</v>
      </c>
      <c r="AQ17" t="str">
        <f>IF(LEN(W17)=0,"",W17)</f>
        <v/>
      </c>
      <c r="AX17" s="6"/>
    </row>
    <row r="18" spans="1:52" ht="15" thickBot="1" x14ac:dyDescent="0.4">
      <c r="A18" s="366">
        <v>5</v>
      </c>
      <c r="B18" s="731" t="s">
        <v>255</v>
      </c>
      <c r="C18" s="731" t="s">
        <v>258</v>
      </c>
      <c r="D18" s="733" t="s">
        <v>123</v>
      </c>
      <c r="E18" s="731"/>
      <c r="F18" s="731"/>
      <c r="G18" s="366" t="str">
        <f>G17</f>
        <v>P</v>
      </c>
      <c r="H18" s="366" t="s">
        <v>3970</v>
      </c>
      <c r="I18" s="52"/>
      <c r="J18" s="55"/>
      <c r="K18" s="63" t="s">
        <v>123</v>
      </c>
      <c r="L18" s="229" t="s">
        <v>261</v>
      </c>
      <c r="M18" s="304">
        <v>15</v>
      </c>
      <c r="N18" s="543"/>
      <c r="O18" s="543"/>
      <c r="P18" s="51" t="b">
        <v>1</v>
      </c>
      <c r="Q18" s="51" t="b">
        <v>1</v>
      </c>
      <c r="R18" s="55" t="b">
        <v>0</v>
      </c>
      <c r="S18" s="55" t="b">
        <f>W17&lt;&gt;TRUE</f>
        <v>1</v>
      </c>
      <c r="T18" s="55" t="b">
        <f>IF(AND(NOT(S18),W18=TRUE),TRUE,FALSE)</f>
        <v>0</v>
      </c>
      <c r="U18" s="55"/>
      <c r="V18" s="55"/>
      <c r="W18" s="111"/>
      <c r="X18" s="829"/>
      <c r="Y18" s="1101"/>
      <c r="Z18" s="1104"/>
      <c r="AC18" t="b">
        <f>OR(AD18:AE18)</f>
        <v>0</v>
      </c>
      <c r="AD18" t="b">
        <f>T18</f>
        <v>0</v>
      </c>
      <c r="AL18" t="str">
        <f>SUBSTITUTE(SUBSTITUTE(SUBSTITUTE("vpa"&amp;$B18&amp;$C18&amp;$D18&amp;$E18,".","_"),"(","_"),")","")</f>
        <v>vpa501_1_2_c</v>
      </c>
      <c r="AM18">
        <f>M18</f>
        <v>15</v>
      </c>
      <c r="AP18" t="str">
        <f>SUBSTITUTE(SUBSTITUTE(SUBSTITUTE("vch"&amp;$B18&amp;$C18&amp;$D18&amp;$E18,".","_"),"(","_"),")","")</f>
        <v>vch501_1_2_c</v>
      </c>
      <c r="AQ18" t="str">
        <f>IF(LEN(W18)=0,"",W18)</f>
        <v/>
      </c>
      <c r="AX18" s="6" t="str">
        <f>'Overview (Verification)'!A18</f>
        <v>Single-Family or Multifamily:</v>
      </c>
      <c r="AY18" t="str">
        <f>IF(LEN('Overview (Verification)'!P18)=0,0,'Overview (Verification)'!P18)</f>
        <v>Single-Family</v>
      </c>
    </row>
    <row r="19" spans="1:52" ht="15" thickTop="1" x14ac:dyDescent="0.35">
      <c r="A19" s="366">
        <v>5</v>
      </c>
      <c r="B19" s="731" t="s">
        <v>264</v>
      </c>
      <c r="C19" s="731"/>
      <c r="D19" s="731"/>
      <c r="E19" s="731"/>
      <c r="F19" s="731"/>
      <c r="G19" s="727" t="str">
        <f ca="1">IF(COUNTIF(G21:G55,"P")&gt;0,"P","")</f>
        <v/>
      </c>
      <c r="H19" s="366" t="s">
        <v>3970</v>
      </c>
      <c r="I19" s="47" t="s">
        <v>264</v>
      </c>
      <c r="J19" s="47"/>
      <c r="K19" s="47"/>
      <c r="L19" s="838" t="s">
        <v>265</v>
      </c>
      <c r="M19" s="862"/>
      <c r="N19" s="834"/>
      <c r="O19" s="834"/>
      <c r="W19" s="110"/>
      <c r="X19" s="816"/>
      <c r="Y19" s="1118" t="str">
        <f>IF(LEN('Ch5'!X20)=0,"None",'Ch5'!X20)</f>
        <v>None</v>
      </c>
      <c r="Z19" s="1103"/>
      <c r="AR19" t="str">
        <f>SUBSTITUTE(SUBSTITUTE(SUBSTITUTE("vnt"&amp;$B19&amp;$C19&amp;$D19&amp;$E19,".","_"),"(","_"),")","")</f>
        <v>vnt501_2</v>
      </c>
      <c r="AS19" t="str">
        <f>IF(LEN(X19)=0,"",X19)</f>
        <v/>
      </c>
      <c r="AX19" s="6" t="str">
        <f>'Overview (Verification)'!A19</f>
        <v>Number of Units:</v>
      </c>
      <c r="AY19">
        <f>IF(LEN('Overview (Verification)'!P19)=0,0,'Overview (Verification)'!P19)</f>
        <v>0</v>
      </c>
    </row>
    <row r="20" spans="1:52" x14ac:dyDescent="0.35">
      <c r="A20" s="366">
        <v>5</v>
      </c>
      <c r="B20" s="731" t="s">
        <v>264</v>
      </c>
      <c r="C20" s="731"/>
      <c r="D20" s="731"/>
      <c r="E20" s="731"/>
      <c r="F20" s="731"/>
      <c r="G20" s="366" t="str">
        <f ca="1">G19</f>
        <v/>
      </c>
      <c r="H20" s="366" t="s">
        <v>3970</v>
      </c>
      <c r="I20" s="47"/>
      <c r="J20" s="47"/>
      <c r="K20" s="47"/>
      <c r="L20" s="838"/>
      <c r="M20" s="862"/>
      <c r="N20" s="834"/>
      <c r="O20" s="834"/>
      <c r="X20" s="817"/>
      <c r="Y20" s="1100"/>
      <c r="Z20" s="1102"/>
      <c r="AX20" s="6" t="str">
        <f>'Overview (Verification)'!A20</f>
        <v>Building includes commercial space pursuing Commercial Space certification?</v>
      </c>
      <c r="AY20">
        <f>IF(LEN('Overview (Verification)'!P20)=0,0,'Overview (Verification)'!P20)</f>
        <v>0</v>
      </c>
    </row>
    <row r="21" spans="1:52" x14ac:dyDescent="0.35">
      <c r="A21" s="366">
        <v>5</v>
      </c>
      <c r="B21" s="731" t="s">
        <v>264</v>
      </c>
      <c r="C21" s="731" t="s">
        <v>256</v>
      </c>
      <c r="D21" s="731"/>
      <c r="E21" s="731"/>
      <c r="F21" s="731"/>
      <c r="G21" s="366" t="str">
        <f>IF(N21&gt;0,"P","")</f>
        <v/>
      </c>
      <c r="H21" s="366" t="s">
        <v>3970</v>
      </c>
      <c r="I21" s="47"/>
      <c r="J21" s="47" t="s">
        <v>256</v>
      </c>
      <c r="K21" s="47"/>
      <c r="L21" s="848" t="s">
        <v>266</v>
      </c>
      <c r="M21" s="845">
        <v>6</v>
      </c>
      <c r="N21" s="1122">
        <f>'Ch5'!O22</f>
        <v>0</v>
      </c>
      <c r="O21" s="1122">
        <f>M21*W21</f>
        <v>0</v>
      </c>
      <c r="P21" s="51" t="b">
        <v>1</v>
      </c>
      <c r="Q21" s="51" t="b">
        <v>1</v>
      </c>
      <c r="R21" t="b">
        <v>0</v>
      </c>
      <c r="S21" t="b">
        <v>1</v>
      </c>
      <c r="T21" t="b">
        <v>0</v>
      </c>
      <c r="W21" s="17"/>
      <c r="X21" s="817"/>
      <c r="Y21" s="1100" t="str">
        <f>IF(LEN('Ch5'!X22)=0,"None",'Ch5'!X22)</f>
        <v>None</v>
      </c>
      <c r="Z21" s="1102"/>
      <c r="AL21" t="str">
        <f>SUBSTITUTE(SUBSTITUTE(SUBSTITUTE("vpa"&amp;$B21&amp;$C21&amp;$D21&amp;$E21,".","_"),"(","_"),")","")</f>
        <v>vpa501_2_1</v>
      </c>
      <c r="AM21">
        <f>M21</f>
        <v>6</v>
      </c>
      <c r="AN21" t="str">
        <f>SUBSTITUTE(SUBSTITUTE(SUBSTITUTE("vpc"&amp;$B21&amp;$C21&amp;$D21&amp;$E21,".","_"),"(","_"),")","")</f>
        <v>vpc501_2_1</v>
      </c>
      <c r="AO21">
        <f>O21</f>
        <v>0</v>
      </c>
      <c r="AP21" t="str">
        <f>SUBSTITUTE(SUBSTITUTE(SUBSTITUTE("vch"&amp;$B21&amp;$C21&amp;$D21&amp;$E21,".","_"),"(","_"),")","")</f>
        <v>vch501_2_1</v>
      </c>
      <c r="AQ21" t="str">
        <f>IF(LEN(W21)=0,"",W21)</f>
        <v/>
      </c>
      <c r="AR21" t="str">
        <f>SUBSTITUTE(SUBSTITUTE(SUBSTITUTE("vnt"&amp;$B21&amp;$C21&amp;$D21&amp;$E21,".","_"),"(","_"),")","")</f>
        <v>vnt501_2_1</v>
      </c>
      <c r="AS21" t="str">
        <f>IF(LEN(X21)=0,"",X21)</f>
        <v/>
      </c>
    </row>
    <row r="22" spans="1:52" x14ac:dyDescent="0.35">
      <c r="A22" s="366">
        <v>5</v>
      </c>
      <c r="B22" s="731" t="s">
        <v>264</v>
      </c>
      <c r="C22" s="731" t="s">
        <v>256</v>
      </c>
      <c r="D22" s="731"/>
      <c r="E22" s="731"/>
      <c r="F22" s="731"/>
      <c r="G22" s="366" t="str">
        <f>G21</f>
        <v/>
      </c>
      <c r="H22" s="366" t="s">
        <v>3970</v>
      </c>
      <c r="I22" s="47"/>
      <c r="J22" s="100"/>
      <c r="K22" s="100"/>
      <c r="L22" s="821"/>
      <c r="M22" s="846"/>
      <c r="N22" s="1123"/>
      <c r="O22" s="1123"/>
      <c r="P22" s="24"/>
      <c r="Q22" s="24"/>
      <c r="X22" s="817"/>
      <c r="Y22" s="1100"/>
      <c r="Z22" s="1102"/>
    </row>
    <row r="23" spans="1:52" x14ac:dyDescent="0.35">
      <c r="A23" s="366">
        <v>5</v>
      </c>
      <c r="B23" s="731" t="s">
        <v>264</v>
      </c>
      <c r="C23" s="731" t="s">
        <v>258</v>
      </c>
      <c r="D23" s="731"/>
      <c r="E23" s="731"/>
      <c r="F23" s="731"/>
      <c r="G23" s="366" t="str">
        <f>IF(N23&gt;0,"P","")</f>
        <v/>
      </c>
      <c r="H23" s="366" t="s">
        <v>3970</v>
      </c>
      <c r="I23" s="47"/>
      <c r="J23" s="47" t="s">
        <v>258</v>
      </c>
      <c r="K23" s="47"/>
      <c r="L23" s="814" t="s">
        <v>267</v>
      </c>
      <c r="M23" s="845">
        <v>3</v>
      </c>
      <c r="N23" s="1122">
        <f>'Ch5'!O24</f>
        <v>0</v>
      </c>
      <c r="O23" s="1122">
        <f>M23*W23</f>
        <v>0</v>
      </c>
      <c r="P23" s="51" t="b">
        <v>1</v>
      </c>
      <c r="Q23" s="51" t="b">
        <v>1</v>
      </c>
      <c r="R23" t="b">
        <v>0</v>
      </c>
      <c r="S23" t="b">
        <v>1</v>
      </c>
      <c r="T23" t="b">
        <v>0</v>
      </c>
      <c r="W23" s="17"/>
      <c r="X23" s="817"/>
      <c r="Y23" s="1100" t="str">
        <f>IF(LEN('Ch5'!X24)=0,"None",'Ch5'!X24)</f>
        <v>None</v>
      </c>
      <c r="Z23" s="1102"/>
      <c r="AL23" t="str">
        <f>SUBSTITUTE(SUBSTITUTE(SUBSTITUTE("vpa"&amp;$B23&amp;$C23&amp;$D23&amp;$E23,".","_"),"(","_"),")","")</f>
        <v>vpa501_2_2</v>
      </c>
      <c r="AM23">
        <f>M23</f>
        <v>3</v>
      </c>
      <c r="AN23" t="str">
        <f>SUBSTITUTE(SUBSTITUTE(SUBSTITUTE("vpc"&amp;$B23&amp;$C23&amp;$D23&amp;$E23,".","_"),"(","_"),")","")</f>
        <v>vpc501_2_2</v>
      </c>
      <c r="AO23">
        <f>O23</f>
        <v>0</v>
      </c>
      <c r="AP23" t="str">
        <f>SUBSTITUTE(SUBSTITUTE(SUBSTITUTE("vch"&amp;$B23&amp;$C23&amp;$D23&amp;$E23,".","_"),"(","_"),")","")</f>
        <v>vch501_2_2</v>
      </c>
      <c r="AQ23" t="str">
        <f>IF(LEN(W23)=0,"",W23)</f>
        <v/>
      </c>
      <c r="AR23" t="str">
        <f>SUBSTITUTE(SUBSTITUTE(SUBSTITUTE("vnt"&amp;$B23&amp;$C23&amp;$D23&amp;$E23,".","_"),"(","_"),")","")</f>
        <v>vnt501_2_2</v>
      </c>
      <c r="AS23" t="str">
        <f>IF(LEN(X23)=0,"",X23)</f>
        <v/>
      </c>
      <c r="AX23" s="6" t="str">
        <f>'Overview (Verification)'!A23</f>
        <v>Project Name:</v>
      </c>
      <c r="AY23">
        <f>IF(LEN('Overview (Verification)'!P23)=0,0,'Overview (Verification)'!P23)</f>
        <v>0</v>
      </c>
    </row>
    <row r="24" spans="1:52" x14ac:dyDescent="0.35">
      <c r="A24" s="366">
        <v>5</v>
      </c>
      <c r="B24" s="731" t="s">
        <v>264</v>
      </c>
      <c r="C24" s="731" t="s">
        <v>258</v>
      </c>
      <c r="D24" s="731"/>
      <c r="E24" s="731"/>
      <c r="F24" s="731"/>
      <c r="G24" s="366" t="str">
        <f>G23</f>
        <v/>
      </c>
      <c r="H24" s="366" t="s">
        <v>3970</v>
      </c>
      <c r="I24" s="47"/>
      <c r="J24" s="100"/>
      <c r="K24" s="100"/>
      <c r="L24" s="815"/>
      <c r="M24" s="846"/>
      <c r="N24" s="1123"/>
      <c r="O24" s="1123"/>
      <c r="P24" s="24"/>
      <c r="Q24" s="24"/>
      <c r="X24" s="817"/>
      <c r="Y24" s="1100"/>
      <c r="Z24" s="1102"/>
      <c r="AX24" s="6"/>
    </row>
    <row r="25" spans="1:52" x14ac:dyDescent="0.35">
      <c r="A25" s="366">
        <v>5</v>
      </c>
      <c r="B25" s="731" t="s">
        <v>264</v>
      </c>
      <c r="C25" s="731" t="s">
        <v>260</v>
      </c>
      <c r="D25" s="731"/>
      <c r="E25" s="731"/>
      <c r="F25" s="731"/>
      <c r="G25" s="366" t="str">
        <f>IF(N25&gt;0,"P","")</f>
        <v/>
      </c>
      <c r="H25" s="366" t="s">
        <v>3970</v>
      </c>
      <c r="I25" s="47"/>
      <c r="J25" s="47" t="s">
        <v>260</v>
      </c>
      <c r="K25" s="47"/>
      <c r="L25" s="848" t="s">
        <v>268</v>
      </c>
      <c r="M25" s="845">
        <v>5</v>
      </c>
      <c r="N25" s="1122">
        <f>'Ch5'!O26</f>
        <v>0</v>
      </c>
      <c r="O25" s="1122">
        <f>M25*W25</f>
        <v>0</v>
      </c>
      <c r="P25" s="51" t="b">
        <v>1</v>
      </c>
      <c r="Q25" s="51" t="b">
        <v>1</v>
      </c>
      <c r="R25" t="b">
        <v>0</v>
      </c>
      <c r="S25" t="b">
        <v>1</v>
      </c>
      <c r="T25" t="b">
        <v>0</v>
      </c>
      <c r="W25" s="17"/>
      <c r="X25" s="817"/>
      <c r="Y25" s="1100" t="str">
        <f>IF(LEN('Ch5'!X26)=0,"None",'Ch5'!X26)</f>
        <v>None</v>
      </c>
      <c r="Z25" s="1102"/>
      <c r="AA25" s="350" t="str">
        <f>IF(LEN('Photo Review'!I24)&gt;0,'Photo Review'!I24,"")</f>
        <v/>
      </c>
      <c r="AL25" t="str">
        <f>SUBSTITUTE(SUBSTITUTE(SUBSTITUTE("vpa"&amp;$B25&amp;$C25&amp;$D25&amp;$E25,".","_"),"(","_"),")","")</f>
        <v>vpa501_2_3</v>
      </c>
      <c r="AM25">
        <f>M25</f>
        <v>5</v>
      </c>
      <c r="AN25" t="str">
        <f>SUBSTITUTE(SUBSTITUTE(SUBSTITUTE("vpc"&amp;$B25&amp;$C25&amp;$D25&amp;$E25,".","_"),"(","_"),")","")</f>
        <v>vpc501_2_3</v>
      </c>
      <c r="AO25">
        <f>O25</f>
        <v>0</v>
      </c>
      <c r="AP25" t="str">
        <f>SUBSTITUTE(SUBSTITUTE(SUBSTITUTE("vch"&amp;$B25&amp;$C25&amp;$D25&amp;$E25,".","_"),"(","_"),")","")</f>
        <v>vch501_2_3</v>
      </c>
      <c r="AQ25" t="str">
        <f>IF(LEN(W25)=0,"",W25)</f>
        <v/>
      </c>
      <c r="AR25" t="str">
        <f>SUBSTITUTE(SUBSTITUTE(SUBSTITUTE("vnt"&amp;$B25&amp;$C25&amp;$D25&amp;$E25,".","_"),"(","_"),")","")</f>
        <v>vnt501_2_3</v>
      </c>
      <c r="AS25" t="str">
        <f>IF(LEN(X25)=0,"",X25)</f>
        <v/>
      </c>
      <c r="AX25" s="6" t="str">
        <f>'Overview (Verification)'!A25</f>
        <v>Above grade plane finished floor area:</v>
      </c>
      <c r="AY25">
        <f>IF(LEN('Overview (Verification)'!P25)=0,0,'Overview (Verification)'!P25)</f>
        <v>0</v>
      </c>
    </row>
    <row r="26" spans="1:52" x14ac:dyDescent="0.35">
      <c r="A26" s="366">
        <v>5</v>
      </c>
      <c r="B26" s="731" t="s">
        <v>264</v>
      </c>
      <c r="C26" s="731" t="s">
        <v>260</v>
      </c>
      <c r="D26" s="731"/>
      <c r="E26" s="731"/>
      <c r="F26" s="731"/>
      <c r="G26" s="366" t="str">
        <f>G25</f>
        <v/>
      </c>
      <c r="H26" s="366" t="s">
        <v>3970</v>
      </c>
      <c r="I26" s="47"/>
      <c r="J26" s="100"/>
      <c r="K26" s="100"/>
      <c r="L26" s="821"/>
      <c r="M26" s="846"/>
      <c r="N26" s="1123"/>
      <c r="O26" s="1123"/>
      <c r="P26" s="24"/>
      <c r="Q26" s="24"/>
      <c r="X26" s="817"/>
      <c r="Y26" s="1100"/>
      <c r="Z26" s="1102"/>
      <c r="AX26" s="6" t="str">
        <f>'Overview (Verification)'!A26</f>
        <v>Total conditioned floor area:</v>
      </c>
      <c r="AY26">
        <f>IF(LEN('Overview (Verification)'!P26)=0,0,'Overview (Verification)'!P26)</f>
        <v>0</v>
      </c>
    </row>
    <row r="27" spans="1:52" x14ac:dyDescent="0.35">
      <c r="A27" s="366">
        <v>5</v>
      </c>
      <c r="B27" s="731" t="s">
        <v>264</v>
      </c>
      <c r="C27" s="731" t="s">
        <v>269</v>
      </c>
      <c r="D27" s="731"/>
      <c r="E27" s="731"/>
      <c r="F27" s="731"/>
      <c r="G27" s="366" t="str">
        <f>IF(N27&gt;0,"P","")</f>
        <v/>
      </c>
      <c r="H27" s="366" t="s">
        <v>3970</v>
      </c>
      <c r="I27" s="47"/>
      <c r="J27" s="47" t="s">
        <v>269</v>
      </c>
      <c r="K27" s="47"/>
      <c r="L27" s="814" t="s">
        <v>270</v>
      </c>
      <c r="M27" s="845">
        <v>4</v>
      </c>
      <c r="N27" s="1124">
        <f>'Ch5'!O28</f>
        <v>0</v>
      </c>
      <c r="O27" s="1122">
        <f>M27*W27*S27</f>
        <v>0</v>
      </c>
      <c r="P27" s="51" t="b">
        <v>1</v>
      </c>
      <c r="Q27" s="51" t="b">
        <v>1</v>
      </c>
      <c r="R27" t="b">
        <v>0</v>
      </c>
      <c r="S27" t="b">
        <v>1</v>
      </c>
      <c r="T27" t="b">
        <v>0</v>
      </c>
      <c r="W27" s="17"/>
      <c r="X27" s="850"/>
      <c r="Y27" s="1100" t="str">
        <f>IF(LEN('Ch5'!X28)=0,"None",'Ch5'!X28)</f>
        <v>None</v>
      </c>
      <c r="Z27" s="1102"/>
      <c r="AC27" t="b">
        <f>OR(AD27:AE27)</f>
        <v>0</v>
      </c>
      <c r="AD27" t="b">
        <v>0</v>
      </c>
      <c r="AE27" t="b">
        <f>AND(W27=TRUE,LEN(X27)=0)</f>
        <v>0</v>
      </c>
      <c r="AF27" t="b">
        <f>AND(AE27,NOT(Q27))</f>
        <v>0</v>
      </c>
      <c r="AL27" t="str">
        <f>SUBSTITUTE(SUBSTITUTE(SUBSTITUTE("vpa"&amp;$B27&amp;$C27&amp;$D27&amp;$E27,".","_"),"(","_"),")","")</f>
        <v>vpa501_2_4</v>
      </c>
      <c r="AM27">
        <f>M27</f>
        <v>4</v>
      </c>
      <c r="AN27" t="str">
        <f>SUBSTITUTE(SUBSTITUTE(SUBSTITUTE("vpc"&amp;$B27&amp;$C27&amp;$D27&amp;$E27,".","_"),"(","_"),")","")</f>
        <v>vpc501_2_4</v>
      </c>
      <c r="AO27">
        <f>O27</f>
        <v>0</v>
      </c>
      <c r="AP27" t="str">
        <f>SUBSTITUTE(SUBSTITUTE(SUBSTITUTE("vch"&amp;$B27&amp;$C27&amp;$D27&amp;$E27,".","_"),"(","_"),")","")</f>
        <v>vch501_2_4</v>
      </c>
      <c r="AQ27" t="str">
        <f>IF(LEN(W27)=0,"",W27)</f>
        <v/>
      </c>
      <c r="AR27" t="str">
        <f>SUBSTITUTE(SUBSTITUTE(SUBSTITUTE("vnt"&amp;$B27&amp;$C27&amp;$D27&amp;$E27,".","_"),"(","_"),")","")</f>
        <v>vnt501_2_4</v>
      </c>
      <c r="AS27" t="str">
        <f>IF(LEN(X27)=0,"",X27)</f>
        <v/>
      </c>
      <c r="AX27" s="6" t="str">
        <f>'Overview (Verification)'!A27</f>
        <v>Stories above grade:</v>
      </c>
      <c r="AY27">
        <f>IF(LEN('Overview (Verification)'!P27)=0,0,'Overview (Verification)'!P27)</f>
        <v>0</v>
      </c>
    </row>
    <row r="28" spans="1:52" x14ac:dyDescent="0.35">
      <c r="A28" s="366">
        <v>5</v>
      </c>
      <c r="B28" s="731" t="s">
        <v>264</v>
      </c>
      <c r="C28" s="731" t="s">
        <v>269</v>
      </c>
      <c r="D28" s="731"/>
      <c r="E28" s="731"/>
      <c r="F28" s="731"/>
      <c r="G28" s="366" t="str">
        <f t="shared" ref="G28:G41" si="0">G27</f>
        <v/>
      </c>
      <c r="H28" s="366" t="s">
        <v>3970</v>
      </c>
      <c r="I28" s="47"/>
      <c r="J28" s="47"/>
      <c r="K28" s="47"/>
      <c r="L28" s="814"/>
      <c r="M28" s="845"/>
      <c r="N28" s="1122"/>
      <c r="O28" s="1122"/>
      <c r="P28" s="24"/>
      <c r="Q28" s="24"/>
      <c r="X28" s="851"/>
      <c r="Y28" s="1100" t="str">
        <f>IF(LEN('Ch5'!X29)=0,"None",'Ch5'!X29:X33)</f>
        <v>None</v>
      </c>
      <c r="Z28" s="1102"/>
      <c r="AX28" s="6" t="str">
        <f>'Overview (Verification)'!A28</f>
        <v>Project Elevation (ft. above sea level):</v>
      </c>
      <c r="AY28">
        <f>IF(LEN('Overview (Verification)'!P28)=0,0,'Overview (Verification)'!P28)</f>
        <v>0</v>
      </c>
    </row>
    <row r="29" spans="1:52" x14ac:dyDescent="0.35">
      <c r="A29" s="366">
        <v>5</v>
      </c>
      <c r="B29" s="731" t="s">
        <v>264</v>
      </c>
      <c r="C29" s="731" t="s">
        <v>269</v>
      </c>
      <c r="D29" s="731"/>
      <c r="E29" s="731"/>
      <c r="F29" s="731"/>
      <c r="G29" s="366" t="str">
        <f t="shared" si="0"/>
        <v/>
      </c>
      <c r="H29" s="366" t="s">
        <v>3970</v>
      </c>
      <c r="I29" s="47"/>
      <c r="J29" s="47"/>
      <c r="K29" s="47"/>
      <c r="L29" s="814"/>
      <c r="M29" s="845"/>
      <c r="N29" s="1122"/>
      <c r="O29" s="1122"/>
      <c r="P29" s="24"/>
      <c r="Q29" s="24"/>
      <c r="X29" s="851"/>
      <c r="Y29" s="1100" t="str">
        <f>IF(LEN('Ch5'!X30)=0,"None",'Ch5'!X30:X34)</f>
        <v>None</v>
      </c>
      <c r="Z29" s="1102"/>
    </row>
    <row r="30" spans="1:52" x14ac:dyDescent="0.35">
      <c r="A30" s="366">
        <v>5</v>
      </c>
      <c r="B30" s="731" t="s">
        <v>264</v>
      </c>
      <c r="C30" s="731" t="s">
        <v>269</v>
      </c>
      <c r="D30" s="731"/>
      <c r="E30" s="731"/>
      <c r="F30" s="731"/>
      <c r="G30" s="366" t="str">
        <f t="shared" si="0"/>
        <v/>
      </c>
      <c r="H30" s="366" t="s">
        <v>3970</v>
      </c>
      <c r="I30" s="47"/>
      <c r="J30" s="47"/>
      <c r="K30" s="47"/>
      <c r="L30" s="814"/>
      <c r="M30" s="845"/>
      <c r="N30" s="1122"/>
      <c r="O30" s="1122"/>
      <c r="P30" s="24"/>
      <c r="Q30" s="24"/>
      <c r="X30" s="851"/>
      <c r="Y30" s="1100" t="str">
        <f>IF(LEN('Ch5'!X31)=0,"None",'Ch5'!X31:X35)</f>
        <v>None</v>
      </c>
      <c r="Z30" s="1102"/>
      <c r="AX30" s="6" t="str">
        <f>'Overview (Verification)'!A30</f>
        <v xml:space="preserve">Project Description (optional): </v>
      </c>
      <c r="AY30">
        <f>IF(LEN('Overview (Verification)'!P30)=0,0,'Overview (Verification)'!P30)</f>
        <v>0</v>
      </c>
    </row>
    <row r="31" spans="1:52" ht="15" customHeight="1" x14ac:dyDescent="0.35">
      <c r="A31" s="366">
        <v>5</v>
      </c>
      <c r="B31" s="731" t="s">
        <v>264</v>
      </c>
      <c r="C31" s="731" t="s">
        <v>269</v>
      </c>
      <c r="D31" s="731"/>
      <c r="E31" s="731"/>
      <c r="F31" s="731"/>
      <c r="G31" s="366" t="str">
        <f t="shared" si="0"/>
        <v/>
      </c>
      <c r="H31" s="366" t="s">
        <v>3970</v>
      </c>
      <c r="I31" s="47"/>
      <c r="J31" s="47"/>
      <c r="K31" s="47"/>
      <c r="L31" s="90" t="s">
        <v>271</v>
      </c>
      <c r="M31" s="845"/>
      <c r="N31" s="1122"/>
      <c r="O31" s="1122"/>
      <c r="P31" s="24"/>
      <c r="Q31" s="24"/>
      <c r="X31" s="851"/>
      <c r="Y31" s="1100" t="str">
        <f>IF(LEN('Ch5'!X32)=0,"None",'Ch5'!X32:X36)</f>
        <v>None</v>
      </c>
      <c r="Z31" s="1102"/>
      <c r="AX31" s="6"/>
    </row>
    <row r="32" spans="1:52" x14ac:dyDescent="0.35">
      <c r="A32" s="366">
        <v>5</v>
      </c>
      <c r="B32" s="731" t="s">
        <v>264</v>
      </c>
      <c r="C32" s="731" t="s">
        <v>269</v>
      </c>
      <c r="D32" s="731"/>
      <c r="E32" s="731"/>
      <c r="F32" s="731"/>
      <c r="G32" s="366" t="str">
        <f t="shared" si="0"/>
        <v/>
      </c>
      <c r="H32" s="366" t="s">
        <v>3970</v>
      </c>
      <c r="I32" s="47"/>
      <c r="J32" s="47"/>
      <c r="K32" s="47"/>
      <c r="L32" s="90" t="s">
        <v>272</v>
      </c>
      <c r="M32" s="845"/>
      <c r="N32" s="1122"/>
      <c r="O32" s="1122"/>
      <c r="P32" s="24"/>
      <c r="Q32" s="24"/>
      <c r="X32" s="851"/>
      <c r="Y32" s="1100" t="str">
        <f>IF(LEN('Ch5'!X33)=0,"None",'Ch5'!X33:X43)</f>
        <v>None</v>
      </c>
      <c r="Z32" s="1102"/>
      <c r="AX32" s="6" t="str">
        <f>'Overview (Verification)'!A32</f>
        <v>Foundation Type:</v>
      </c>
      <c r="AY32">
        <f>IF(LEN('Overview (Verification)'!P32)=0,0,'Overview (Verification)'!P32)</f>
        <v>0</v>
      </c>
      <c r="AZ32" s="1">
        <f>IFERROR(MATCH(AY32,ddFoundation,0),0)</f>
        <v>0</v>
      </c>
    </row>
    <row r="33" spans="1:51" x14ac:dyDescent="0.35">
      <c r="A33" s="366">
        <v>5</v>
      </c>
      <c r="B33" s="731" t="s">
        <v>264</v>
      </c>
      <c r="C33" s="731" t="s">
        <v>269</v>
      </c>
      <c r="D33" s="731"/>
      <c r="E33" s="731"/>
      <c r="F33" s="731"/>
      <c r="G33" s="366" t="str">
        <f t="shared" si="0"/>
        <v/>
      </c>
      <c r="H33" s="366" t="s">
        <v>3970</v>
      </c>
      <c r="I33" s="47"/>
      <c r="J33" s="47"/>
      <c r="K33" s="47"/>
      <c r="L33" s="90" t="s">
        <v>273</v>
      </c>
      <c r="M33" s="845"/>
      <c r="N33" s="1122"/>
      <c r="O33" s="1122"/>
      <c r="P33" s="24"/>
      <c r="Q33" s="24"/>
      <c r="X33" s="851"/>
      <c r="Y33" s="1100" t="str">
        <f>IF(LEN('Ch5'!X34)=0,"None",'Ch5'!X34:X44)</f>
        <v>None</v>
      </c>
      <c r="Z33" s="1102"/>
      <c r="AX33" s="6"/>
    </row>
    <row r="34" spans="1:51" x14ac:dyDescent="0.35">
      <c r="A34" s="366">
        <v>5</v>
      </c>
      <c r="B34" s="731" t="s">
        <v>264</v>
      </c>
      <c r="C34" s="731" t="s">
        <v>269</v>
      </c>
      <c r="D34" s="731"/>
      <c r="E34" s="731"/>
      <c r="F34" s="731"/>
      <c r="G34" s="366" t="str">
        <f t="shared" si="0"/>
        <v/>
      </c>
      <c r="H34" s="366" t="s">
        <v>3970</v>
      </c>
      <c r="I34" s="47"/>
      <c r="J34" s="47"/>
      <c r="K34" s="47"/>
      <c r="L34" s="90" t="s">
        <v>274</v>
      </c>
      <c r="M34" s="845"/>
      <c r="N34" s="1122"/>
      <c r="O34" s="1122"/>
      <c r="P34" s="24"/>
      <c r="Q34" s="24"/>
      <c r="X34" s="851"/>
      <c r="Y34" s="1100" t="str">
        <f>IF(LEN('Ch5'!X35)=0,"None",'Ch5'!X35:X45)</f>
        <v>None</v>
      </c>
      <c r="Z34" s="1102"/>
      <c r="AX34" s="6" t="str">
        <f>'Overview (Verification)'!A34</f>
        <v>Type of Heating System (main system):</v>
      </c>
      <c r="AY34">
        <f>IF(LEN('Overview (Verification)'!P34)=0,0,'Overview (Verification)'!P34)</f>
        <v>0</v>
      </c>
    </row>
    <row r="35" spans="1:51" x14ac:dyDescent="0.35">
      <c r="A35" s="366">
        <v>5</v>
      </c>
      <c r="B35" s="731" t="s">
        <v>264</v>
      </c>
      <c r="C35" s="731" t="s">
        <v>269</v>
      </c>
      <c r="D35" s="731"/>
      <c r="E35" s="731"/>
      <c r="F35" s="731"/>
      <c r="G35" s="366" t="str">
        <f t="shared" si="0"/>
        <v/>
      </c>
      <c r="H35" s="366" t="s">
        <v>3970</v>
      </c>
      <c r="I35" s="47"/>
      <c r="J35" s="100"/>
      <c r="K35" s="100"/>
      <c r="L35" s="284" t="s">
        <v>284</v>
      </c>
      <c r="M35" s="845"/>
      <c r="N35" s="1122"/>
      <c r="O35" s="1122"/>
      <c r="P35" s="24"/>
      <c r="Q35" s="24"/>
      <c r="X35" s="816"/>
      <c r="Y35" s="1100" t="str">
        <f>IF(LEN('Ch5'!X36)=0,"None",'Ch5'!X36:X46)</f>
        <v>None</v>
      </c>
      <c r="Z35" s="1102"/>
      <c r="AX35" s="6" t="str">
        <f>'Overview (Verification)'!A35</f>
        <v>Type of Heating System (system 2):</v>
      </c>
      <c r="AY35">
        <f>IF(LEN('Overview (Verification)'!P35)=0,0,'Overview (Verification)'!P35)</f>
        <v>0</v>
      </c>
    </row>
    <row r="36" spans="1:51" x14ac:dyDescent="0.35">
      <c r="A36" s="366">
        <v>5</v>
      </c>
      <c r="B36" s="731" t="s">
        <v>264</v>
      </c>
      <c r="C36" s="731" t="s">
        <v>269</v>
      </c>
      <c r="G36" s="366" t="str">
        <f t="shared" si="0"/>
        <v/>
      </c>
      <c r="H36" s="366" t="s">
        <v>3970</v>
      </c>
      <c r="L36" s="866" t="s">
        <v>4115</v>
      </c>
      <c r="M36" s="32"/>
      <c r="AX36" s="6" t="str">
        <f>'Overview (Verification)'!A36</f>
        <v>Type of Heating System (system 3):</v>
      </c>
      <c r="AY36">
        <f>IF(LEN('Overview (Verification)'!P36)=0,0,'Overview (Verification)'!P36)</f>
        <v>0</v>
      </c>
    </row>
    <row r="37" spans="1:51" x14ac:dyDescent="0.35">
      <c r="A37" s="366">
        <v>5</v>
      </c>
      <c r="B37" s="731" t="s">
        <v>264</v>
      </c>
      <c r="C37" s="731" t="s">
        <v>269</v>
      </c>
      <c r="D37" s="731" t="s">
        <v>256</v>
      </c>
      <c r="F37" s="731"/>
      <c r="G37" s="366" t="str">
        <f ca="1">IF(N37&gt;0,"P","")</f>
        <v/>
      </c>
      <c r="H37" s="366" t="s">
        <v>3970</v>
      </c>
      <c r="L37" s="848"/>
      <c r="M37" s="32"/>
      <c r="N37" s="1140">
        <f ca="1">'Ch5'!O38</f>
        <v>0</v>
      </c>
      <c r="O37" s="1140">
        <f ca="1">IFERROR(INDEX({5,2},MATCH(W37,INDIRECT(U37),0)),0)*S37</f>
        <v>0</v>
      </c>
      <c r="P37" t="b">
        <v>1</v>
      </c>
      <c r="Q37" t="b">
        <v>1</v>
      </c>
      <c r="R37" t="b">
        <v>0</v>
      </c>
      <c r="S37" t="b">
        <f>NOT(W27)</f>
        <v>1</v>
      </c>
      <c r="T37" t="b">
        <f>AND(LEN(W37)&gt;0,NOT(S37))</f>
        <v>0</v>
      </c>
      <c r="U37" t="str">
        <f>SUBSTITUTE(SUBSTITUTE(SUBSTITUTE("dd"&amp;$B37&amp;$C37&amp;$D37&amp;$E37&amp;$F37,".","_"),"(","_"),")","")</f>
        <v>dd501_2_4_1</v>
      </c>
      <c r="W37" s="9"/>
      <c r="X37" s="817"/>
      <c r="Y37" s="1119" t="str">
        <f>IF(LEN('Ch5'!X38)=0,"None",'Ch5'!X38)</f>
        <v>None</v>
      </c>
      <c r="Z37" s="1102"/>
      <c r="AC37" t="b">
        <f>OR(AD37:AE37)</f>
        <v>0</v>
      </c>
      <c r="AD37" t="b">
        <f>T37</f>
        <v>0</v>
      </c>
      <c r="AN37" t="str">
        <f>SUBSTITUTE(SUBSTITUTE(SUBSTITUTE("vpc"&amp;$B37&amp;$C37&amp;$D37&amp;$E37,".","_"),"(","_"),")","")</f>
        <v>vpc501_2_4_1</v>
      </c>
      <c r="AO37">
        <f ca="1">O37</f>
        <v>0</v>
      </c>
      <c r="AP37" t="str">
        <f>SUBSTITUTE(SUBSTITUTE(SUBSTITUTE("vch"&amp;$B37&amp;$C37&amp;$D37&amp;$E37,".","_"),"(","_"),")","")</f>
        <v>vch501_2_4_1</v>
      </c>
      <c r="AQ37" t="str">
        <f>IF(LEN(W37)=0,"",W37)</f>
        <v/>
      </c>
      <c r="AR37" t="str">
        <f>SUBSTITUTE(SUBSTITUTE(SUBSTITUTE("vnt"&amp;$B37&amp;$C37&amp;$D37&amp;$E37,".","_"),"(","_"),")","")</f>
        <v>vnt501_2_4_1</v>
      </c>
      <c r="AS37" t="str">
        <f>IF(LEN(X37)=0,"",X37)</f>
        <v/>
      </c>
      <c r="AX37" s="6" t="str">
        <f>'Overview (Verification)'!A37</f>
        <v>Primary Heating Fuel:</v>
      </c>
      <c r="AY37">
        <f>IF(LEN('Overview (Verification)'!P37)=0,0,'Overview (Verification)'!P37)</f>
        <v>0</v>
      </c>
    </row>
    <row r="38" spans="1:51" x14ac:dyDescent="0.35">
      <c r="A38" s="366">
        <v>5</v>
      </c>
      <c r="B38" s="731" t="s">
        <v>264</v>
      </c>
      <c r="C38" s="731" t="s">
        <v>269</v>
      </c>
      <c r="D38" s="731" t="s">
        <v>256</v>
      </c>
      <c r="F38" s="731"/>
      <c r="G38" s="366" t="str">
        <f t="shared" ca="1" si="0"/>
        <v/>
      </c>
      <c r="H38" s="366" t="s">
        <v>3970</v>
      </c>
      <c r="L38" s="848"/>
      <c r="M38" s="32"/>
      <c r="N38" s="1140"/>
      <c r="O38" s="1140"/>
      <c r="X38" s="817"/>
      <c r="Y38" s="1120"/>
      <c r="Z38" s="1102"/>
      <c r="AX38" s="6" t="str">
        <f>'Overview (Verification)'!A38</f>
        <v>Heating Ducts:</v>
      </c>
      <c r="AY38">
        <f>IF(LEN('Overview (Verification)'!P38)=0,0,'Overview (Verification)'!P38)</f>
        <v>0</v>
      </c>
    </row>
    <row r="39" spans="1:51" x14ac:dyDescent="0.35">
      <c r="A39" s="366">
        <v>5</v>
      </c>
      <c r="B39" s="731" t="s">
        <v>264</v>
      </c>
      <c r="C39" s="731" t="s">
        <v>269</v>
      </c>
      <c r="D39" s="731" t="s">
        <v>256</v>
      </c>
      <c r="F39" s="731"/>
      <c r="G39" s="366" t="str">
        <f t="shared" ca="1" si="0"/>
        <v/>
      </c>
      <c r="H39" s="366" t="s">
        <v>3970</v>
      </c>
      <c r="L39" s="848"/>
      <c r="M39" s="32"/>
      <c r="N39" s="1140"/>
      <c r="O39" s="1140"/>
      <c r="X39" s="817"/>
      <c r="Y39" s="1120"/>
      <c r="Z39" s="1102"/>
      <c r="AX39" s="6" t="str">
        <f>'Overview (Verification)'!A39</f>
        <v>Type of Cooling System (main system):</v>
      </c>
      <c r="AY39">
        <f>IF(LEN('Overview (Verification)'!P39)=0,0,'Overview (Verification)'!P39)</f>
        <v>0</v>
      </c>
    </row>
    <row r="40" spans="1:51" x14ac:dyDescent="0.35">
      <c r="A40" s="366">
        <v>5</v>
      </c>
      <c r="B40" s="731" t="s">
        <v>264</v>
      </c>
      <c r="C40" s="731" t="s">
        <v>269</v>
      </c>
      <c r="D40" s="731" t="s">
        <v>256</v>
      </c>
      <c r="E40" s="731" t="s">
        <v>121</v>
      </c>
      <c r="F40" s="731"/>
      <c r="G40" s="366" t="str">
        <f t="shared" ca="1" si="0"/>
        <v/>
      </c>
      <c r="H40" s="366" t="s">
        <v>3970</v>
      </c>
      <c r="K40" s="467" t="s">
        <v>121</v>
      </c>
      <c r="L40" s="577" t="s">
        <v>4116</v>
      </c>
      <c r="M40" s="272">
        <v>5</v>
      </c>
      <c r="X40" s="817"/>
      <c r="Y40" s="1120"/>
      <c r="Z40" s="1102"/>
      <c r="AL40" t="str">
        <f>SUBSTITUTE(SUBSTITUTE(SUBSTITUTE("vpa"&amp;$B40&amp;$C40&amp;$D40&amp;$E40,".","_"),"(","_"),")","")</f>
        <v>vpa501_2_4_1_a</v>
      </c>
      <c r="AM40">
        <f>M40</f>
        <v>5</v>
      </c>
      <c r="AX40" s="6" t="str">
        <f>'Overview (Verification)'!A40</f>
        <v>Type of Cooling System (system 2):</v>
      </c>
      <c r="AY40">
        <f>IF(LEN('Overview (Verification)'!P40)=0,0,'Overview (Verification)'!P40)</f>
        <v>0</v>
      </c>
    </row>
    <row r="41" spans="1:51" x14ac:dyDescent="0.35">
      <c r="A41" s="366">
        <v>5</v>
      </c>
      <c r="B41" s="731" t="s">
        <v>264</v>
      </c>
      <c r="C41" s="731" t="s">
        <v>269</v>
      </c>
      <c r="D41" s="731" t="s">
        <v>256</v>
      </c>
      <c r="E41" s="731" t="s">
        <v>122</v>
      </c>
      <c r="F41" s="731"/>
      <c r="G41" s="366" t="str">
        <f t="shared" ca="1" si="0"/>
        <v/>
      </c>
      <c r="H41" s="366" t="s">
        <v>3970</v>
      </c>
      <c r="J41" s="104"/>
      <c r="K41" s="472" t="s">
        <v>122</v>
      </c>
      <c r="L41" s="477" t="s">
        <v>4117</v>
      </c>
      <c r="M41" s="303">
        <v>2</v>
      </c>
      <c r="N41" s="104"/>
      <c r="X41" s="817"/>
      <c r="Y41" s="1117"/>
      <c r="Z41" s="1102"/>
      <c r="AL41" t="str">
        <f>SUBSTITUTE(SUBSTITUTE(SUBSTITUTE("vpa"&amp;$B41&amp;$C41&amp;$D41&amp;$E41,".","_"),"(","_"),")","")</f>
        <v>vpa501_2_4_1_b</v>
      </c>
      <c r="AM41">
        <f>M41</f>
        <v>2</v>
      </c>
      <c r="AX41" s="6" t="str">
        <f>'Overview (Verification)'!A41</f>
        <v>Type of Cooling System (system 3):</v>
      </c>
      <c r="AY41">
        <f>IF(LEN('Overview (Verification)'!P41)=0,0,'Overview (Verification)'!P41)</f>
        <v>0</v>
      </c>
    </row>
    <row r="42" spans="1:51" x14ac:dyDescent="0.35">
      <c r="A42" s="366">
        <v>5</v>
      </c>
      <c r="B42" s="731" t="s">
        <v>264</v>
      </c>
      <c r="C42" s="731" t="s">
        <v>275</v>
      </c>
      <c r="D42" s="731"/>
      <c r="E42" s="731"/>
      <c r="F42" s="731"/>
      <c r="G42" s="366" t="str">
        <f>IF(N42&gt;0,"P","")</f>
        <v/>
      </c>
      <c r="H42" s="366" t="s">
        <v>3970</v>
      </c>
      <c r="I42" s="47"/>
      <c r="J42" s="47" t="s">
        <v>275</v>
      </c>
      <c r="K42" s="47"/>
      <c r="L42" s="814" t="s">
        <v>276</v>
      </c>
      <c r="M42" s="844">
        <v>5</v>
      </c>
      <c r="N42" s="1122">
        <f>'Ch5'!O43</f>
        <v>0</v>
      </c>
      <c r="O42" s="1124">
        <f>M42*W42</f>
        <v>0</v>
      </c>
      <c r="P42" s="51" t="b">
        <v>1</v>
      </c>
      <c r="Q42" s="51" t="b">
        <v>1</v>
      </c>
      <c r="R42" t="b">
        <v>0</v>
      </c>
      <c r="S42" t="b">
        <v>1</v>
      </c>
      <c r="T42" t="b">
        <v>0</v>
      </c>
      <c r="W42" s="17"/>
      <c r="X42" s="817"/>
      <c r="Y42" s="1100" t="str">
        <f>IF(LEN('Ch5'!X43)=0,"None",'Ch5'!X43)</f>
        <v>None</v>
      </c>
      <c r="Z42" s="1102"/>
      <c r="AL42" t="str">
        <f>SUBSTITUTE(SUBSTITUTE(SUBSTITUTE("vpa"&amp;$B42&amp;$C42&amp;$D42&amp;$E42,".","_"),"(","_"),")","")</f>
        <v>vpa501_2_5</v>
      </c>
      <c r="AM42">
        <f>M42</f>
        <v>5</v>
      </c>
      <c r="AN42" t="str">
        <f>SUBSTITUTE(SUBSTITUTE(SUBSTITUTE("vpc"&amp;$B42&amp;$C42&amp;$D42&amp;$E42,".","_"),"(","_"),")","")</f>
        <v>vpc501_2_5</v>
      </c>
      <c r="AO42">
        <f>O42</f>
        <v>0</v>
      </c>
      <c r="AP42" t="str">
        <f>SUBSTITUTE(SUBSTITUTE(SUBSTITUTE("vch"&amp;$B42&amp;$C42&amp;$D42&amp;$E42,".","_"),"(","_"),")","")</f>
        <v>vch501_2_5</v>
      </c>
      <c r="AQ42" t="str">
        <f>IF(LEN(W42)=0,"",W42)</f>
        <v/>
      </c>
      <c r="AR42" t="str">
        <f>SUBSTITUTE(SUBSTITUTE(SUBSTITUTE("vnt"&amp;$B42&amp;$C42&amp;$D42&amp;$E42,".","_"),"(","_"),")","")</f>
        <v>vnt501_2_5</v>
      </c>
      <c r="AS42" t="str">
        <f>IF(LEN(X42)=0,"",X42)</f>
        <v/>
      </c>
      <c r="AX42" s="6" t="str">
        <f>'Overview (Verification)'!A42</f>
        <v>Cooling Ducts:</v>
      </c>
      <c r="AY42">
        <f>IF(LEN('Overview (Verification)'!P42)=0,0,'Overview (Verification)'!P42)</f>
        <v>0</v>
      </c>
    </row>
    <row r="43" spans="1:51" x14ac:dyDescent="0.35">
      <c r="A43" s="366">
        <v>5</v>
      </c>
      <c r="B43" s="731" t="s">
        <v>264</v>
      </c>
      <c r="C43" s="731" t="s">
        <v>275</v>
      </c>
      <c r="D43" s="731"/>
      <c r="E43" s="731"/>
      <c r="F43" s="731"/>
      <c r="G43" s="366" t="str">
        <f>G42</f>
        <v/>
      </c>
      <c r="H43" s="366" t="s">
        <v>3970</v>
      </c>
      <c r="I43" s="47"/>
      <c r="J43" s="47"/>
      <c r="K43" s="47"/>
      <c r="L43" s="814"/>
      <c r="M43" s="845"/>
      <c r="N43" s="1122"/>
      <c r="O43" s="1122"/>
      <c r="P43" s="24"/>
      <c r="Q43" s="24"/>
      <c r="X43" s="817"/>
      <c r="Y43" s="1100" t="str">
        <f>IF(LEN('Ch5'!X44)=0,"None",'Ch5'!X44:X48)</f>
        <v>None</v>
      </c>
      <c r="Z43" s="1102"/>
      <c r="AX43" s="6"/>
    </row>
    <row r="44" spans="1:51" x14ac:dyDescent="0.35">
      <c r="A44" s="366">
        <v>5</v>
      </c>
      <c r="B44" s="731" t="s">
        <v>264</v>
      </c>
      <c r="C44" s="731" t="s">
        <v>275</v>
      </c>
      <c r="D44" s="731"/>
      <c r="E44" s="731"/>
      <c r="F44" s="731"/>
      <c r="G44" s="366" t="str">
        <f>G43</f>
        <v/>
      </c>
      <c r="H44" s="366" t="s">
        <v>3970</v>
      </c>
      <c r="I44" s="47"/>
      <c r="J44" s="100"/>
      <c r="K44" s="100"/>
      <c r="L44" s="815"/>
      <c r="M44" s="846"/>
      <c r="N44" s="1123"/>
      <c r="O44" s="1123"/>
      <c r="P44" s="24"/>
      <c r="Q44" s="24"/>
      <c r="X44" s="817"/>
      <c r="Y44" s="1100" t="str">
        <f>IF(LEN('Ch5'!X45)=0,"None",'Ch5'!X45:X49)</f>
        <v>None</v>
      </c>
      <c r="Z44" s="1102"/>
      <c r="AX44" s="6" t="str">
        <f>'Overview (Verification)'!A44</f>
        <v>Maximum window and door SHGC:</v>
      </c>
      <c r="AY44">
        <f>IF(LEN('Overview (Verification)'!P44)=0,0,'Overview (Verification)'!P44)</f>
        <v>0</v>
      </c>
    </row>
    <row r="45" spans="1:51" x14ac:dyDescent="0.35">
      <c r="A45" s="366">
        <v>5</v>
      </c>
      <c r="B45" s="731" t="s">
        <v>264</v>
      </c>
      <c r="C45" s="731" t="s">
        <v>277</v>
      </c>
      <c r="D45" s="731"/>
      <c r="E45" s="731"/>
      <c r="F45" s="731"/>
      <c r="G45" s="366" t="str">
        <f ca="1">IF(N45&gt;0,"P","")</f>
        <v/>
      </c>
      <c r="H45" s="366" t="s">
        <v>3970</v>
      </c>
      <c r="I45" s="47"/>
      <c r="J45" s="47" t="s">
        <v>277</v>
      </c>
      <c r="K45" s="47"/>
      <c r="L45" s="814" t="s">
        <v>278</v>
      </c>
      <c r="M45" s="862"/>
      <c r="N45" s="1140">
        <f ca="1">'Ch5'!O46</f>
        <v>0</v>
      </c>
      <c r="O45" s="1140">
        <f ca="1">IFERROR(INDEX({2,4,6},MATCH(W45,INDIRECT(U45),0)),0)*S45</f>
        <v>0</v>
      </c>
      <c r="P45" s="51" t="b">
        <v>1</v>
      </c>
      <c r="Q45" s="51" t="b">
        <v>1</v>
      </c>
      <c r="R45" t="b">
        <v>0</v>
      </c>
      <c r="S45" t="b">
        <f ca="1">IF(AY18=INDEX(INDIRECT("ddSingleOrMulti"),2),TRUE,FALSE)</f>
        <v>0</v>
      </c>
      <c r="T45" t="b">
        <f ca="1">IF(AND(NOT(S45),LEN(W45)&gt;0),TRUE,FALSE)</f>
        <v>0</v>
      </c>
      <c r="U45" t="str">
        <f>SUBSTITUTE(SUBSTITUTE(SUBSTITUTE("dd"&amp;$B45&amp;$C45&amp;$D45&amp;$E45&amp;$F45,".","_"),"(","_"),")","")</f>
        <v>dd501_2_6</v>
      </c>
      <c r="W45" s="9"/>
      <c r="X45" s="817"/>
      <c r="Y45" s="1100" t="str">
        <f>IF(LEN('Ch5'!X46)=0,"None",'Ch5'!X46)</f>
        <v>None</v>
      </c>
      <c r="Z45" s="1102"/>
      <c r="AC45" t="b">
        <f ca="1">OR(AD45:AE45)</f>
        <v>0</v>
      </c>
      <c r="AD45" t="b">
        <f ca="1">T45</f>
        <v>0</v>
      </c>
      <c r="AN45" t="str">
        <f>SUBSTITUTE(SUBSTITUTE(SUBSTITUTE("vpc"&amp;$B45&amp;$C45&amp;$D45&amp;$E45,".","_"),"(","_"),")","")</f>
        <v>vpc501_2_6</v>
      </c>
      <c r="AO45">
        <f ca="1">O45</f>
        <v>0</v>
      </c>
      <c r="AP45" t="str">
        <f>SUBSTITUTE(SUBSTITUTE(SUBSTITUTE("vch"&amp;$B45&amp;$C45&amp;$D45&amp;$E45,".","_"),"(","_"),")","")</f>
        <v>vch501_2_6</v>
      </c>
      <c r="AQ45" t="str">
        <f>IF(LEN(W45)=0,"",W45)</f>
        <v/>
      </c>
      <c r="AR45" t="str">
        <f>SUBSTITUTE(SUBSTITUTE(SUBSTITUTE("vnt"&amp;$B45&amp;$C45&amp;$D45&amp;$E45,".","_"),"(","_"),")","")</f>
        <v>vnt501_2_6</v>
      </c>
      <c r="AS45" t="str">
        <f>IF(LEN(X45)=0,"",X45)</f>
        <v/>
      </c>
      <c r="AX45" s="6" t="str">
        <f>'Overview (Verification)'!A45</f>
        <v>Maximum skylight SHGC:</v>
      </c>
      <c r="AY45">
        <f>IF(LEN('Overview (Verification)'!P45)=0,0,'Overview (Verification)'!P45)</f>
        <v>0</v>
      </c>
    </row>
    <row r="46" spans="1:51" x14ac:dyDescent="0.35">
      <c r="A46" s="366">
        <v>5</v>
      </c>
      <c r="B46" s="731" t="s">
        <v>264</v>
      </c>
      <c r="C46" s="731" t="s">
        <v>277</v>
      </c>
      <c r="D46" s="731"/>
      <c r="E46" s="731"/>
      <c r="F46" s="731"/>
      <c r="G46" s="366" t="str">
        <f ca="1">G45</f>
        <v/>
      </c>
      <c r="H46" s="366" t="s">
        <v>3970</v>
      </c>
      <c r="I46" s="47"/>
      <c r="J46" s="47"/>
      <c r="K46" s="47"/>
      <c r="L46" s="814"/>
      <c r="M46" s="862"/>
      <c r="N46" s="1140"/>
      <c r="O46" s="1140"/>
      <c r="P46" s="24"/>
      <c r="Q46" s="24"/>
      <c r="X46" s="817"/>
      <c r="Y46" s="1100" t="str">
        <f>IF(LEN('Ch5'!X47)=0,"None",'Ch5'!X47:X58)</f>
        <v>None</v>
      </c>
      <c r="Z46" s="1102"/>
      <c r="AX46" s="6" t="str">
        <f>'Overview (Verification)'!A46</f>
        <v>Maximum window and door U-value:</v>
      </c>
      <c r="AY46">
        <f>IF(LEN('Overview (Verification)'!P46)=0,0,'Overview (Verification)'!P46)</f>
        <v>0</v>
      </c>
    </row>
    <row r="47" spans="1:51" x14ac:dyDescent="0.35">
      <c r="A47" s="366">
        <v>5</v>
      </c>
      <c r="B47" s="731" t="s">
        <v>264</v>
      </c>
      <c r="C47" s="731" t="s">
        <v>277</v>
      </c>
      <c r="D47" s="731" t="s">
        <v>121</v>
      </c>
      <c r="E47" s="731"/>
      <c r="F47" s="731"/>
      <c r="G47" s="366" t="str">
        <f ca="1">G46</f>
        <v/>
      </c>
      <c r="H47" s="366" t="s">
        <v>3970</v>
      </c>
      <c r="I47" s="47"/>
      <c r="J47" s="47"/>
      <c r="K47" s="47" t="s">
        <v>121</v>
      </c>
      <c r="L47" s="90" t="s">
        <v>279</v>
      </c>
      <c r="M47" s="272">
        <v>2</v>
      </c>
      <c r="N47" s="41"/>
      <c r="O47" s="41"/>
      <c r="X47" s="817"/>
      <c r="Y47" s="1100" t="str">
        <f>IF(LEN('Ch5'!X48)=0,"None",'Ch5'!X48:X59)</f>
        <v>None</v>
      </c>
      <c r="Z47" s="1102"/>
      <c r="AL47" t="str">
        <f>SUBSTITUTE(SUBSTITUTE(SUBSTITUTE("vpa"&amp;$B47&amp;$C47&amp;$D47&amp;$E47,".","_"),"(","_"),")","")</f>
        <v>vpa501_2_6_a</v>
      </c>
      <c r="AM47">
        <f>M47</f>
        <v>2</v>
      </c>
      <c r="AX47" s="6" t="str">
        <f>'Overview (Verification)'!A47</f>
        <v>Maximum skylight U-value:</v>
      </c>
      <c r="AY47">
        <f>IF(LEN('Overview (Verification)'!P47)=0,0,'Overview (Verification)'!P47)</f>
        <v>0</v>
      </c>
    </row>
    <row r="48" spans="1:51" x14ac:dyDescent="0.35">
      <c r="A48" s="366">
        <v>5</v>
      </c>
      <c r="B48" s="731" t="s">
        <v>264</v>
      </c>
      <c r="C48" s="731" t="s">
        <v>277</v>
      </c>
      <c r="D48" s="731" t="s">
        <v>122</v>
      </c>
      <c r="E48" s="731"/>
      <c r="F48" s="731"/>
      <c r="G48" s="366" t="str">
        <f ca="1">G47</f>
        <v/>
      </c>
      <c r="H48" s="366" t="s">
        <v>3970</v>
      </c>
      <c r="I48" s="47"/>
      <c r="J48" s="47"/>
      <c r="K48" s="47" t="s">
        <v>122</v>
      </c>
      <c r="L48" s="90" t="s">
        <v>280</v>
      </c>
      <c r="M48" s="272">
        <v>4</v>
      </c>
      <c r="N48" s="41"/>
      <c r="O48" s="41"/>
      <c r="X48" s="817"/>
      <c r="Y48" s="1100" t="str">
        <f>IF(LEN('Ch5'!X49)=0,"None",'Ch5'!X49:X60)</f>
        <v>None</v>
      </c>
      <c r="Z48" s="1102"/>
      <c r="AL48" t="str">
        <f>SUBSTITUTE(SUBSTITUTE(SUBSTITUTE("vpa"&amp;$B48&amp;$C48&amp;$D48&amp;$E48,".","_"),"(","_"),")","")</f>
        <v>vpa501_2_6_b</v>
      </c>
      <c r="AM48">
        <f>M48</f>
        <v>4</v>
      </c>
      <c r="AX48" s="6" t="str">
        <f>'Overview (Verification)'!A48</f>
        <v>Renewable Energy:</v>
      </c>
      <c r="AY48">
        <f>IF(LEN('Overview (Verification)'!P48)=0,0,'Overview (Verification)'!P48)</f>
        <v>0</v>
      </c>
    </row>
    <row r="49" spans="1:51" x14ac:dyDescent="0.35">
      <c r="A49" s="366">
        <v>5</v>
      </c>
      <c r="B49" s="731" t="s">
        <v>264</v>
      </c>
      <c r="C49" s="731" t="s">
        <v>277</v>
      </c>
      <c r="D49" s="733" t="s">
        <v>123</v>
      </c>
      <c r="E49" s="733"/>
      <c r="F49" s="733"/>
      <c r="G49" s="366" t="str">
        <f ca="1">G48</f>
        <v/>
      </c>
      <c r="H49" s="366" t="s">
        <v>3970</v>
      </c>
      <c r="I49" s="47"/>
      <c r="J49" s="47"/>
      <c r="K49" s="49" t="s">
        <v>123</v>
      </c>
      <c r="L49" s="90" t="s">
        <v>281</v>
      </c>
      <c r="M49" s="272">
        <v>6</v>
      </c>
      <c r="N49" s="41"/>
      <c r="O49" s="41"/>
      <c r="X49" s="817"/>
      <c r="Y49" s="1100" t="str">
        <f>IF(LEN('Ch5'!X50)=0,"None",'Ch5'!X50:X61)</f>
        <v>None</v>
      </c>
      <c r="Z49" s="1102"/>
      <c r="AL49" t="str">
        <f>SUBSTITUTE(SUBSTITUTE(SUBSTITUTE("vpa"&amp;$B49&amp;$C49&amp;$D49&amp;$E49,".","_"),"(","_"),")","")</f>
        <v>vpa501_2_6_c</v>
      </c>
      <c r="AM49">
        <f>M49</f>
        <v>6</v>
      </c>
      <c r="AX49" s="6" t="str">
        <f>'Overview (Verification)'!A49</f>
        <v>Thermal Envelope Insulation:</v>
      </c>
      <c r="AY49">
        <f>IF(LEN('Overview (Verification)'!P49)=0,0,'Overview (Verification)'!P49)</f>
        <v>0</v>
      </c>
    </row>
    <row r="50" spans="1:51" ht="15" customHeight="1" x14ac:dyDescent="0.35">
      <c r="A50" s="366">
        <v>5</v>
      </c>
      <c r="B50" s="731" t="s">
        <v>264</v>
      </c>
      <c r="C50" s="731" t="s">
        <v>277</v>
      </c>
      <c r="D50" s="733" t="s">
        <v>401</v>
      </c>
      <c r="F50" s="733"/>
      <c r="G50" s="366" t="str">
        <f ca="1">IF(N50&gt;0,"P","")</f>
        <v/>
      </c>
      <c r="H50" s="366" t="s">
        <v>3970</v>
      </c>
      <c r="K50" s="49" t="s">
        <v>401</v>
      </c>
      <c r="L50" s="825" t="s">
        <v>4118</v>
      </c>
      <c r="M50" s="843" t="s">
        <v>4119</v>
      </c>
      <c r="N50" s="834">
        <f ca="1">'Ch5'!O51</f>
        <v>0</v>
      </c>
      <c r="O50" s="834">
        <f ca="1">2*S50*W50</f>
        <v>0</v>
      </c>
      <c r="P50" t="b">
        <v>1</v>
      </c>
      <c r="Q50" t="b">
        <v>1</v>
      </c>
      <c r="R50" t="b">
        <v>0</v>
      </c>
      <c r="S50" t="b">
        <f ca="1">O45&gt;0</f>
        <v>0</v>
      </c>
      <c r="T50" t="b">
        <f ca="1">AND(W50=TRUE,NOT(S50))</f>
        <v>0</v>
      </c>
      <c r="W50" s="17"/>
      <c r="X50" s="817"/>
      <c r="Y50" s="1100" t="str">
        <f>IF(LEN('Ch5'!X51)=0,"None",'Ch5'!X51)</f>
        <v>None</v>
      </c>
      <c r="Z50" s="1102"/>
      <c r="AC50" t="b">
        <f ca="1">OR(AD50:AE50)</f>
        <v>0</v>
      </c>
      <c r="AD50" t="b">
        <f ca="1">T50</f>
        <v>0</v>
      </c>
      <c r="AL50" t="str">
        <f>SUBSTITUTE(SUBSTITUTE(SUBSTITUTE("vpa"&amp;$B50&amp;$C50&amp;$D50&amp;$E50,".","_"),"(","_"),")","")</f>
        <v>vpa501_2_6_d</v>
      </c>
      <c r="AM50" t="str">
        <f>M50</f>
        <v>2 per
(a)-(c)</v>
      </c>
      <c r="AN50" t="str">
        <f>SUBSTITUTE(SUBSTITUTE(SUBSTITUTE("vpc"&amp;$B50&amp;$C50&amp;$D50&amp;$E50,".","_"),"(","_"),")","")</f>
        <v>vpc501_2_6_d</v>
      </c>
      <c r="AO50">
        <f ca="1">O50</f>
        <v>0</v>
      </c>
      <c r="AP50" t="str">
        <f>SUBSTITUTE(SUBSTITUTE(SUBSTITUTE("vch"&amp;$B50&amp;$C50&amp;$D50&amp;$E50,".","_"),"(","_"),")","")</f>
        <v>vch501_2_6_d</v>
      </c>
      <c r="AQ50" t="str">
        <f>IF(LEN(W50)=0,"",W50)</f>
        <v/>
      </c>
      <c r="AR50" t="str">
        <f>SUBSTITUTE(SUBSTITUTE(SUBSTITUTE("vnt"&amp;$B50&amp;$C50&amp;$D50&amp;$E50,".","_"),"(","_"),")","")</f>
        <v>vnt501_2_6_d</v>
      </c>
      <c r="AS50" t="str">
        <f>IF(LEN(X50)=0,"",X50)</f>
        <v/>
      </c>
      <c r="AX50" s="6" t="str">
        <f>'Overview (Verification)'!A50</f>
        <v>Attic Type:</v>
      </c>
      <c r="AY50">
        <f>IF(LEN('Overview (Verification)'!P50)=0,0,'Overview (Verification)'!P50)</f>
        <v>0</v>
      </c>
    </row>
    <row r="51" spans="1:51" x14ac:dyDescent="0.35">
      <c r="A51" s="366">
        <v>5</v>
      </c>
      <c r="B51" s="731" t="s">
        <v>264</v>
      </c>
      <c r="C51" s="731" t="s">
        <v>277</v>
      </c>
      <c r="D51" s="733" t="s">
        <v>401</v>
      </c>
      <c r="F51" s="733"/>
      <c r="G51" s="366" t="str">
        <f ca="1">G50</f>
        <v/>
      </c>
      <c r="H51" s="366" t="s">
        <v>3970</v>
      </c>
      <c r="L51" s="825"/>
      <c r="M51" s="843"/>
      <c r="N51" s="834"/>
      <c r="O51" s="834"/>
      <c r="X51" s="817"/>
      <c r="Y51" s="1100"/>
      <c r="Z51" s="1102"/>
      <c r="AX51" s="6" t="str">
        <f>'Overview (Verification)'!A51</f>
        <v>Attached Garage:</v>
      </c>
      <c r="AY51">
        <f>IF(LEN('Overview (Verification)'!P51)=0,0,'Overview (Verification)'!P51)</f>
        <v>0</v>
      </c>
    </row>
    <row r="52" spans="1:51" x14ac:dyDescent="0.35">
      <c r="A52" s="366">
        <v>5</v>
      </c>
      <c r="B52" s="731" t="s">
        <v>264</v>
      </c>
      <c r="C52" s="731" t="s">
        <v>383</v>
      </c>
      <c r="D52" s="733"/>
      <c r="F52" s="733"/>
      <c r="G52" s="366" t="str">
        <f>IF(N52&gt;0,"P","")</f>
        <v/>
      </c>
      <c r="H52" s="366" t="s">
        <v>3970</v>
      </c>
      <c r="J52" s="468" t="s">
        <v>383</v>
      </c>
      <c r="K52" s="471"/>
      <c r="L52" s="828" t="s">
        <v>4120</v>
      </c>
      <c r="M52" s="844">
        <v>5</v>
      </c>
      <c r="N52" s="963">
        <f>'Ch5'!O53</f>
        <v>0</v>
      </c>
      <c r="O52" s="963">
        <f>M52*W52</f>
        <v>0</v>
      </c>
      <c r="P52" t="b">
        <v>1</v>
      </c>
      <c r="Q52" t="b">
        <v>1</v>
      </c>
      <c r="R52" t="b">
        <v>0</v>
      </c>
      <c r="S52" t="b">
        <v>1</v>
      </c>
      <c r="T52" t="b">
        <v>0</v>
      </c>
      <c r="W52" s="17"/>
      <c r="X52" s="817"/>
      <c r="Y52" s="1119" t="str">
        <f>IF(LEN('Ch5'!X53)=0,"None",'Ch5'!X53)</f>
        <v>None</v>
      </c>
      <c r="Z52" s="1102"/>
      <c r="AC52" t="b">
        <f>OR(AD52:AE52)</f>
        <v>0</v>
      </c>
      <c r="AD52" t="b">
        <v>0</v>
      </c>
      <c r="AE52" t="b">
        <f>AND(W52=TRUE,LEN(X52)=0)</f>
        <v>0</v>
      </c>
      <c r="AL52" t="str">
        <f>SUBSTITUTE(SUBSTITUTE(SUBSTITUTE("vpa"&amp;$B52&amp;$C52&amp;$D52&amp;$E52,".","_"),"(","_"),")","")</f>
        <v>vpa501_2_7</v>
      </c>
      <c r="AM52">
        <f>M52</f>
        <v>5</v>
      </c>
      <c r="AN52" t="str">
        <f>SUBSTITUTE(SUBSTITUTE(SUBSTITUTE("vpc"&amp;$B52&amp;$C52&amp;$D52&amp;$E52,".","_"),"(","_"),")","")</f>
        <v>vpc501_2_7</v>
      </c>
      <c r="AO52">
        <f>O52</f>
        <v>0</v>
      </c>
      <c r="AP52" t="str">
        <f>SUBSTITUTE(SUBSTITUTE(SUBSTITUTE("vch"&amp;$B52&amp;$C52&amp;$D52&amp;$E52,".","_"),"(","_"),")","")</f>
        <v>vch501_2_7</v>
      </c>
      <c r="AQ52" t="str">
        <f>IF(LEN(W52)=0,"",W52)</f>
        <v/>
      </c>
      <c r="AR52" t="str">
        <f>SUBSTITUTE(SUBSTITUTE(SUBSTITUTE("vnt"&amp;$B52&amp;$C52&amp;$D52&amp;$E52,".","_"),"(","_"),")","")</f>
        <v>vnt501_2_7</v>
      </c>
      <c r="AS52" t="str">
        <f>IF(LEN(X52)=0,"",X52)</f>
        <v/>
      </c>
      <c r="AX52" s="6" t="str">
        <f>'Overview (Verification)'!A52</f>
        <v>Recessed Lighting:</v>
      </c>
      <c r="AY52">
        <f>IF(LEN('Overview (Verification)'!P52)=0,0,'Overview (Verification)'!P52)</f>
        <v>0</v>
      </c>
    </row>
    <row r="53" spans="1:51" x14ac:dyDescent="0.35">
      <c r="A53" s="366">
        <v>5</v>
      </c>
      <c r="B53" s="731" t="s">
        <v>264</v>
      </c>
      <c r="C53" s="731" t="s">
        <v>383</v>
      </c>
      <c r="D53" s="733"/>
      <c r="F53" s="733"/>
      <c r="G53" s="366" t="str">
        <f>G52</f>
        <v/>
      </c>
      <c r="H53" s="366" t="s">
        <v>3970</v>
      </c>
      <c r="J53" s="467"/>
      <c r="K53" s="467"/>
      <c r="L53" s="825"/>
      <c r="M53" s="845"/>
      <c r="N53" s="834"/>
      <c r="O53" s="834"/>
      <c r="X53" s="817"/>
      <c r="Y53" s="1120"/>
      <c r="Z53" s="1102"/>
      <c r="AX53" s="6"/>
    </row>
    <row r="54" spans="1:51" x14ac:dyDescent="0.35">
      <c r="A54" s="366">
        <v>5</v>
      </c>
      <c r="B54" s="731" t="s">
        <v>264</v>
      </c>
      <c r="C54" s="731" t="s">
        <v>383</v>
      </c>
      <c r="D54" s="733"/>
      <c r="F54" s="733"/>
      <c r="G54" s="366" t="str">
        <f>G53</f>
        <v/>
      </c>
      <c r="H54" s="366" t="s">
        <v>3970</v>
      </c>
      <c r="J54" s="472"/>
      <c r="K54" s="472"/>
      <c r="L54" s="284" t="s">
        <v>4123</v>
      </c>
      <c r="M54" s="846"/>
      <c r="N54" s="835"/>
      <c r="O54" s="835"/>
      <c r="X54" s="817"/>
      <c r="Y54" s="1117"/>
      <c r="Z54" s="1102"/>
      <c r="AX54" s="6" t="str">
        <f>'Overview (Verification)'!A54</f>
        <v>Special Design Features:</v>
      </c>
    </row>
    <row r="55" spans="1:51" x14ac:dyDescent="0.35">
      <c r="A55" s="366">
        <v>5</v>
      </c>
      <c r="B55" s="731" t="s">
        <v>264</v>
      </c>
      <c r="C55" s="731" t="s">
        <v>428</v>
      </c>
      <c r="D55" s="733"/>
      <c r="F55" s="733"/>
      <c r="G55" s="366" t="str">
        <f>IF(N55&gt;0,"P","")</f>
        <v/>
      </c>
      <c r="H55" s="366" t="s">
        <v>3970</v>
      </c>
      <c r="J55" s="468" t="s">
        <v>428</v>
      </c>
      <c r="K55" s="471"/>
      <c r="L55" s="573" t="s">
        <v>4121</v>
      </c>
      <c r="M55" s="844">
        <v>5</v>
      </c>
      <c r="N55" s="875">
        <f>'Ch5'!O56</f>
        <v>0</v>
      </c>
      <c r="O55" s="875">
        <f>M55*W55</f>
        <v>0</v>
      </c>
      <c r="P55" t="b">
        <v>1</v>
      </c>
      <c r="Q55" t="b">
        <v>1</v>
      </c>
      <c r="R55" t="b">
        <v>0</v>
      </c>
      <c r="S55" t="b">
        <v>1</v>
      </c>
      <c r="T55" t="b">
        <v>0</v>
      </c>
      <c r="W55" s="17"/>
      <c r="X55" s="817"/>
      <c r="Y55" s="1100" t="str">
        <f>IF(LEN('Ch5'!X56)=0,"None",'Ch5'!X56)</f>
        <v>None</v>
      </c>
      <c r="Z55" s="1102"/>
      <c r="AC55" t="b">
        <f>OR(AD55:AE55)</f>
        <v>0</v>
      </c>
      <c r="AD55" t="b">
        <v>0</v>
      </c>
      <c r="AE55" t="b">
        <f>AND(W55=TRUE,LEN(X55)=0)</f>
        <v>0</v>
      </c>
      <c r="AL55" t="str">
        <f>SUBSTITUTE(SUBSTITUTE(SUBSTITUTE("vpa"&amp;$B55&amp;$C55&amp;$D55&amp;$E55,".","_"),"(","_"),")","")</f>
        <v>vpa501_2_8</v>
      </c>
      <c r="AM55">
        <f>M55</f>
        <v>5</v>
      </c>
      <c r="AN55" t="str">
        <f>SUBSTITUTE(SUBSTITUTE(SUBSTITUTE("vpc"&amp;$B55&amp;$C55&amp;$D55&amp;$E55,".","_"),"(","_"),")","")</f>
        <v>vpc501_2_8</v>
      </c>
      <c r="AO55">
        <f>O55</f>
        <v>0</v>
      </c>
      <c r="AP55" t="str">
        <f>SUBSTITUTE(SUBSTITUTE(SUBSTITUTE("vch"&amp;$B55&amp;$C55&amp;$D55&amp;$E55,".","_"),"(","_"),")","")</f>
        <v>vch501_2_8</v>
      </c>
      <c r="AQ55" t="str">
        <f>IF(LEN(W55)=0,"",W55)</f>
        <v/>
      </c>
      <c r="AR55" t="str">
        <f>SUBSTITUTE(SUBSTITUTE(SUBSTITUTE("vnt"&amp;$B55&amp;$C55&amp;$D55&amp;$E55,".","_"),"(","_"),")","")</f>
        <v>vnt501_2_8</v>
      </c>
      <c r="AS55" t="str">
        <f>IF(LEN(X55)=0,"",X55)</f>
        <v/>
      </c>
      <c r="AX55" s="6" t="str">
        <f>'Overview (Verification)'!A55</f>
        <v>Passive Solar:</v>
      </c>
      <c r="AY55">
        <f>IF(LEN('Overview (Verification)'!P55)=0,0,'Overview (Verification)'!P55)</f>
        <v>0</v>
      </c>
    </row>
    <row r="56" spans="1:51" x14ac:dyDescent="0.35">
      <c r="A56" s="366">
        <v>5</v>
      </c>
      <c r="B56" s="731" t="s">
        <v>264</v>
      </c>
      <c r="C56" s="731" t="s">
        <v>428</v>
      </c>
      <c r="D56" s="733"/>
      <c r="F56" s="733"/>
      <c r="G56" s="366" t="str">
        <f>G55</f>
        <v/>
      </c>
      <c r="H56" s="366" t="s">
        <v>3970</v>
      </c>
      <c r="J56" s="47"/>
      <c r="K56" s="467"/>
      <c r="L56" s="218" t="s">
        <v>4122</v>
      </c>
      <c r="M56" s="845"/>
      <c r="N56" s="835"/>
      <c r="O56" s="835"/>
      <c r="X56" s="817"/>
      <c r="Y56" s="1100"/>
      <c r="Z56" s="1102"/>
      <c r="AX56" s="6" t="str">
        <f>'Overview (Verification)'!A56</f>
        <v>Mass Walls:</v>
      </c>
      <c r="AY56">
        <f>IF(LEN('Overview (Verification)'!P56)=0,0,'Overview (Verification)'!P56)</f>
        <v>0</v>
      </c>
    </row>
    <row r="57" spans="1:51" ht="18.5" x14ac:dyDescent="0.45">
      <c r="A57" s="366">
        <v>5</v>
      </c>
      <c r="B57" s="731" t="s">
        <v>497</v>
      </c>
      <c r="C57" s="731"/>
      <c r="D57" s="731"/>
      <c r="E57" s="731"/>
      <c r="F57" s="731"/>
      <c r="G57" s="366" t="s">
        <v>3973</v>
      </c>
      <c r="H57" s="366" t="s">
        <v>3970</v>
      </c>
      <c r="I57" s="35" t="s">
        <v>367</v>
      </c>
      <c r="J57" s="35"/>
      <c r="K57" s="35"/>
      <c r="L57" s="150"/>
      <c r="M57" s="243"/>
      <c r="N57" s="544"/>
      <c r="O57" s="544"/>
      <c r="P57" s="15"/>
      <c r="Q57" s="15"/>
      <c r="R57" s="15"/>
      <c r="S57" s="15"/>
      <c r="T57" s="15"/>
      <c r="U57" s="15"/>
      <c r="V57" s="15"/>
      <c r="W57" s="15"/>
      <c r="X57" s="15"/>
      <c r="Y57" s="15"/>
      <c r="Z57" s="651"/>
      <c r="AX57" s="6" t="str">
        <f>'Overview (Verification)'!A57</f>
        <v>Radiant/Hydronic:</v>
      </c>
      <c r="AY57">
        <f>IF(LEN('Overview (Verification)'!P57)=0,0,'Overview (Verification)'!P57)</f>
        <v>0</v>
      </c>
    </row>
    <row r="58" spans="1:51" x14ac:dyDescent="0.35">
      <c r="A58" s="366">
        <v>5</v>
      </c>
      <c r="B58" s="731" t="s">
        <v>368</v>
      </c>
      <c r="C58" s="731"/>
      <c r="D58" s="731"/>
      <c r="E58" s="731"/>
      <c r="F58" s="731"/>
      <c r="G58" s="366" t="str">
        <f>IF(N58&gt;0,"P","")</f>
        <v/>
      </c>
      <c r="H58" s="366" t="s">
        <v>3970</v>
      </c>
      <c r="I58" s="31">
        <v>502.1</v>
      </c>
      <c r="J58" s="50"/>
      <c r="K58" s="50"/>
      <c r="L58" s="838" t="s">
        <v>369</v>
      </c>
      <c r="M58" s="818">
        <v>4</v>
      </c>
      <c r="N58" s="834">
        <f>'Ch5'!O59</f>
        <v>0</v>
      </c>
      <c r="O58" s="834">
        <f>M58*W58</f>
        <v>0</v>
      </c>
      <c r="P58" t="b">
        <v>1</v>
      </c>
      <c r="Q58" t="b">
        <v>1</v>
      </c>
      <c r="R58" t="b">
        <v>0</v>
      </c>
      <c r="S58" t="b">
        <v>1</v>
      </c>
      <c r="T58" t="b">
        <v>0</v>
      </c>
      <c r="W58" s="17"/>
      <c r="X58" s="817"/>
      <c r="Y58" s="1100" t="str">
        <f>IF(LEN('Ch5'!X59)=0,"None",'Ch5'!X59)</f>
        <v>None</v>
      </c>
      <c r="Z58" s="1102"/>
      <c r="AL58" t="str">
        <f>SUBSTITUTE(SUBSTITUTE(SUBSTITUTE("vpa"&amp;$B58&amp;$C58&amp;$D58&amp;$E58,".","_"),"(","_"),")","")</f>
        <v>vpa502_1</v>
      </c>
      <c r="AM58">
        <f>M58</f>
        <v>4</v>
      </c>
      <c r="AN58" t="str">
        <f>SUBSTITUTE(SUBSTITUTE(SUBSTITUTE("vpc"&amp;$B58&amp;$C58&amp;$D58&amp;$E58,".","_"),"(","_"),")","")</f>
        <v>vpc502_1</v>
      </c>
      <c r="AO58">
        <f>O58</f>
        <v>0</v>
      </c>
      <c r="AP58" t="str">
        <f>SUBSTITUTE(SUBSTITUTE(SUBSTITUTE("vch"&amp;$B58&amp;$C58&amp;$D58&amp;$E58,".","_"),"(","_"),")","")</f>
        <v>vch502_1</v>
      </c>
      <c r="AQ58" t="str">
        <f>IF(LEN(W58)=0,"",W58)</f>
        <v/>
      </c>
      <c r="AR58" t="str">
        <f>SUBSTITUTE(SUBSTITUTE(SUBSTITUTE("vnt"&amp;$B58&amp;$C58&amp;$D58&amp;$E58,".","_"),"(","_"),")","")</f>
        <v>vnt502_1</v>
      </c>
      <c r="AS58" t="str">
        <f>IF(LEN(X58)=0,"",X58)</f>
        <v/>
      </c>
      <c r="AX58" s="6" t="str">
        <f>'Overview (Verification)'!A58</f>
        <v>Tankless Water Heater:</v>
      </c>
      <c r="AY58">
        <f>IF(LEN('Overview (Verification)'!P58)=0,0,'Overview (Verification)'!P58)</f>
        <v>0</v>
      </c>
    </row>
    <row r="59" spans="1:51" x14ac:dyDescent="0.35">
      <c r="A59" s="366">
        <v>5</v>
      </c>
      <c r="B59" s="731" t="s">
        <v>368</v>
      </c>
      <c r="C59" s="731"/>
      <c r="D59" s="731"/>
      <c r="E59" s="731"/>
      <c r="F59" s="731"/>
      <c r="G59" s="366" t="str">
        <f>G58</f>
        <v/>
      </c>
      <c r="H59" s="366" t="s">
        <v>3970</v>
      </c>
      <c r="I59" s="50"/>
      <c r="J59" s="50"/>
      <c r="K59" s="50"/>
      <c r="L59" s="838"/>
      <c r="M59" s="818"/>
      <c r="N59" s="834"/>
      <c r="O59" s="834"/>
      <c r="X59" s="817"/>
      <c r="Y59" s="1100"/>
      <c r="Z59" s="1102"/>
      <c r="AX59" s="6" t="str">
        <f>'Overview (Verification)'!A59</f>
        <v>Composting Toilet:</v>
      </c>
      <c r="AY59">
        <f>IF(LEN('Overview (Verification)'!P59)=0,0,'Overview (Verification)'!P59)</f>
        <v>0</v>
      </c>
    </row>
    <row r="60" spans="1:51" x14ac:dyDescent="0.35">
      <c r="A60" s="366">
        <v>5</v>
      </c>
      <c r="B60" s="731" t="s">
        <v>368</v>
      </c>
      <c r="C60" s="731"/>
      <c r="D60" s="731"/>
      <c r="E60" s="731"/>
      <c r="F60" s="731"/>
      <c r="G60" s="366" t="str">
        <f>G59</f>
        <v/>
      </c>
      <c r="H60" s="366" t="s">
        <v>3970</v>
      </c>
      <c r="I60" s="50"/>
      <c r="J60" s="50"/>
      <c r="K60" s="50"/>
      <c r="L60" s="838"/>
      <c r="M60" s="818"/>
      <c r="N60" s="834"/>
      <c r="O60" s="834"/>
      <c r="X60" s="817"/>
      <c r="Y60" s="1100"/>
      <c r="Z60" s="1102"/>
      <c r="AX60" s="6"/>
    </row>
    <row r="61" spans="1:51" x14ac:dyDescent="0.35">
      <c r="A61" s="366">
        <v>5</v>
      </c>
      <c r="B61" s="731" t="s">
        <v>368</v>
      </c>
      <c r="C61" s="731"/>
      <c r="D61" s="731"/>
      <c r="E61" s="731"/>
      <c r="F61" s="731"/>
      <c r="G61" s="366" t="str">
        <f>G60</f>
        <v/>
      </c>
      <c r="H61" s="366" t="s">
        <v>3970</v>
      </c>
      <c r="I61" s="50"/>
      <c r="J61" s="50"/>
      <c r="K61" s="50"/>
      <c r="L61" s="838"/>
      <c r="M61" s="818"/>
      <c r="N61" s="834"/>
      <c r="O61" s="834"/>
      <c r="X61" s="817"/>
      <c r="Y61" s="1100"/>
      <c r="Z61" s="1102"/>
      <c r="AX61" s="6" t="str">
        <f>'Overview (Verification)'!A61</f>
        <v>Local Energy Code:</v>
      </c>
      <c r="AY61">
        <f>IF(LEN('Overview (Verification)'!P61)=0,0,'Overview (Verification)'!P61)</f>
        <v>0</v>
      </c>
    </row>
    <row r="62" spans="1:51" ht="18.5" x14ac:dyDescent="0.45">
      <c r="A62" s="366">
        <v>5</v>
      </c>
      <c r="B62" s="731" t="s">
        <v>370</v>
      </c>
      <c r="C62" s="731"/>
      <c r="D62" s="731"/>
      <c r="E62" s="731"/>
      <c r="F62" s="731"/>
      <c r="G62" s="366" t="s">
        <v>3973</v>
      </c>
      <c r="H62" s="366" t="s">
        <v>3970</v>
      </c>
      <c r="I62" s="35" t="s">
        <v>371</v>
      </c>
      <c r="J62" s="48"/>
      <c r="K62" s="48"/>
      <c r="L62" s="44"/>
      <c r="M62" s="243"/>
      <c r="N62" s="544"/>
      <c r="O62" s="544"/>
      <c r="P62" s="15"/>
      <c r="Q62" s="15"/>
      <c r="R62" s="15"/>
      <c r="S62" s="15"/>
      <c r="T62" s="15"/>
      <c r="U62" s="15"/>
      <c r="V62" s="15"/>
      <c r="W62" s="15"/>
      <c r="X62" s="15"/>
      <c r="Y62" s="15"/>
      <c r="Z62" s="651"/>
      <c r="AX62" s="6" t="str">
        <f>'Overview (Verification)'!A62</f>
        <v>Local Building Code:</v>
      </c>
      <c r="AY62">
        <f>IF(LEN('Overview (Verification)'!P62)=0,0,'Overview (Verification)'!P62)</f>
        <v>0</v>
      </c>
    </row>
    <row r="63" spans="1:51" x14ac:dyDescent="0.35">
      <c r="A63" s="366">
        <v>5</v>
      </c>
      <c r="B63" s="731" t="s">
        <v>372</v>
      </c>
      <c r="C63" s="731"/>
      <c r="D63" s="731"/>
      <c r="E63" s="731"/>
      <c r="F63" s="731"/>
      <c r="G63" s="732"/>
      <c r="H63" s="732"/>
      <c r="I63" s="402" t="s">
        <v>372</v>
      </c>
      <c r="J63" s="50"/>
      <c r="K63" s="50"/>
      <c r="L63" s="838" t="s">
        <v>373</v>
      </c>
      <c r="M63" s="40"/>
      <c r="N63" s="41"/>
      <c r="O63" s="41"/>
      <c r="X63" s="817"/>
      <c r="Y63" s="1100" t="str">
        <f>IF(LEN('Ch5'!X64)=0,"None",'Ch5'!X64)</f>
        <v>None</v>
      </c>
      <c r="Z63" s="1102"/>
      <c r="AR63" t="str">
        <f>SUBSTITUTE(SUBSTITUTE(SUBSTITUTE("vnt"&amp;$B63&amp;$C63&amp;$D63&amp;$E63,".","_"),"(","_"),")","")</f>
        <v>vnt503_0</v>
      </c>
      <c r="AS63" t="str">
        <f>IF(LEN(X63)=0,"",X63)</f>
        <v/>
      </c>
    </row>
    <row r="64" spans="1:51" x14ac:dyDescent="0.35">
      <c r="A64" s="366">
        <v>5</v>
      </c>
      <c r="B64" s="731" t="s">
        <v>372</v>
      </c>
      <c r="C64" s="731"/>
      <c r="D64" s="731"/>
      <c r="E64" s="731"/>
      <c r="F64" s="731"/>
      <c r="G64" s="732"/>
      <c r="H64" s="732"/>
      <c r="I64" s="50"/>
      <c r="J64" s="50"/>
      <c r="K64" s="50"/>
      <c r="L64" s="838"/>
      <c r="M64" s="40"/>
      <c r="N64" s="41"/>
      <c r="O64" s="41"/>
      <c r="X64" s="817"/>
      <c r="Y64" s="1100"/>
      <c r="Z64" s="1102"/>
    </row>
    <row r="65" spans="1:50" x14ac:dyDescent="0.35">
      <c r="A65" s="366">
        <v>5</v>
      </c>
      <c r="B65" s="731" t="s">
        <v>372</v>
      </c>
      <c r="C65" s="731"/>
      <c r="D65" s="731"/>
      <c r="E65" s="731"/>
      <c r="F65" s="731"/>
      <c r="G65" s="732"/>
      <c r="H65" s="732"/>
      <c r="I65" s="50"/>
      <c r="J65" s="50"/>
      <c r="K65" s="50"/>
      <c r="L65" s="838"/>
      <c r="M65" s="40"/>
      <c r="N65" s="41"/>
      <c r="O65" s="41"/>
      <c r="X65" s="817"/>
      <c r="Y65" s="1100"/>
      <c r="Z65" s="1102"/>
    </row>
    <row r="66" spans="1:50" x14ac:dyDescent="0.35">
      <c r="A66" s="366">
        <v>5</v>
      </c>
      <c r="B66" s="731" t="s">
        <v>372</v>
      </c>
      <c r="C66" s="731"/>
      <c r="D66" s="731"/>
      <c r="E66" s="731"/>
      <c r="F66" s="731"/>
      <c r="G66" s="732"/>
      <c r="H66" s="732"/>
      <c r="I66" s="50"/>
      <c r="J66" s="50"/>
      <c r="K66" s="50"/>
      <c r="L66" s="838"/>
      <c r="M66" s="40"/>
      <c r="N66" s="41"/>
      <c r="O66" s="41"/>
      <c r="X66" s="817"/>
      <c r="Y66" s="1100"/>
      <c r="Z66" s="1102"/>
    </row>
    <row r="67" spans="1:50" ht="15" thickBot="1" x14ac:dyDescent="0.4">
      <c r="A67" s="366">
        <v>5</v>
      </c>
      <c r="B67" s="731" t="s">
        <v>372</v>
      </c>
      <c r="C67" s="731"/>
      <c r="D67" s="731"/>
      <c r="E67" s="731"/>
      <c r="F67" s="731"/>
      <c r="G67" s="732"/>
      <c r="H67" s="732"/>
      <c r="I67" s="57"/>
      <c r="J67" s="57"/>
      <c r="K67" s="57"/>
      <c r="L67" s="275" t="s">
        <v>374</v>
      </c>
      <c r="M67" s="270"/>
      <c r="N67" s="72"/>
      <c r="O67" s="72"/>
      <c r="P67" s="55"/>
      <c r="Q67" s="55"/>
      <c r="R67" s="55"/>
      <c r="S67" s="55"/>
      <c r="T67" s="55"/>
      <c r="U67" s="55"/>
      <c r="V67" s="55"/>
      <c r="W67" s="55"/>
      <c r="X67" s="829"/>
      <c r="Y67" s="1101"/>
      <c r="Z67" s="1104"/>
    </row>
    <row r="68" spans="1:50" ht="15.75" customHeight="1" thickTop="1" x14ac:dyDescent="0.35">
      <c r="A68" s="366">
        <v>5</v>
      </c>
      <c r="B68" s="731" t="s">
        <v>375</v>
      </c>
      <c r="C68" s="731"/>
      <c r="D68" s="731"/>
      <c r="E68" s="731"/>
      <c r="F68" s="731"/>
      <c r="G68" s="727" t="str">
        <f>IF(COUNTIF(G69:G83,"P")&gt;0,"P","")</f>
        <v>P</v>
      </c>
      <c r="H68" s="732" t="s">
        <v>3971</v>
      </c>
      <c r="I68" s="31">
        <v>503.1</v>
      </c>
      <c r="J68" s="172"/>
      <c r="K68" s="172"/>
      <c r="L68" s="172" t="s">
        <v>376</v>
      </c>
      <c r="M68" s="267"/>
      <c r="N68" s="545"/>
      <c r="O68" s="545"/>
      <c r="P68" s="59"/>
      <c r="Q68" s="59"/>
      <c r="R68" s="59"/>
      <c r="S68" s="59"/>
      <c r="T68" s="59"/>
      <c r="U68" s="59"/>
      <c r="V68" s="59"/>
      <c r="W68" s="59"/>
      <c r="X68" s="817"/>
      <c r="Y68" s="1141" t="str">
        <f>IF(LEN('Ch5'!X69)=0,"None",'Ch5'!X69)</f>
        <v>None</v>
      </c>
      <c r="Z68" s="1106"/>
      <c r="AR68" t="str">
        <f>SUBSTITUTE(SUBSTITUTE(SUBSTITUTE("vnt"&amp;$B68&amp;$C68&amp;$D68&amp;$E68,".","_"),"(","_"),")","")</f>
        <v>vnt503_1</v>
      </c>
      <c r="AS68" t="str">
        <f>IF(LEN(X68)=0,"",X68)</f>
        <v/>
      </c>
    </row>
    <row r="69" spans="1:50" x14ac:dyDescent="0.35">
      <c r="A69" s="366">
        <v>5</v>
      </c>
      <c r="B69" s="731" t="s">
        <v>375</v>
      </c>
      <c r="C69" s="731" t="s">
        <v>256</v>
      </c>
      <c r="D69" s="731"/>
      <c r="E69" s="731"/>
      <c r="F69" s="731"/>
      <c r="G69" s="366" t="str">
        <f>IF(N69&gt;0,"P","")</f>
        <v/>
      </c>
      <c r="H69" s="732" t="s">
        <v>3971</v>
      </c>
      <c r="I69" s="50"/>
      <c r="J69" s="47" t="s">
        <v>256</v>
      </c>
      <c r="K69" s="50"/>
      <c r="L69" s="821" t="s">
        <v>377</v>
      </c>
      <c r="M69" s="819">
        <v>5</v>
      </c>
      <c r="N69" s="835">
        <f>'Ch5'!O70</f>
        <v>0</v>
      </c>
      <c r="O69" s="835">
        <f>M69*W69</f>
        <v>0</v>
      </c>
      <c r="P69" t="b">
        <v>1</v>
      </c>
      <c r="Q69" t="b">
        <v>0</v>
      </c>
      <c r="R69" t="b">
        <v>0</v>
      </c>
      <c r="S69" t="b">
        <v>1</v>
      </c>
      <c r="T69" t="b">
        <v>0</v>
      </c>
      <c r="W69" s="17"/>
      <c r="X69" s="817"/>
      <c r="Y69" s="1120"/>
      <c r="Z69" s="1102"/>
      <c r="AL69" t="str">
        <f>SUBSTITUTE(SUBSTITUTE(SUBSTITUTE("vpa"&amp;$B69&amp;$C69&amp;$D69&amp;$E69,".","_"),"(","_"),")","")</f>
        <v>vpa503_1_1</v>
      </c>
      <c r="AM69">
        <f>M69</f>
        <v>5</v>
      </c>
      <c r="AN69" t="str">
        <f>SUBSTITUTE(SUBSTITUTE(SUBSTITUTE("vpc"&amp;$B69&amp;$C69&amp;$D69&amp;$E69,".","_"),"(","_"),")","")</f>
        <v>vpc503_1_1</v>
      </c>
      <c r="AO69">
        <f>O69</f>
        <v>0</v>
      </c>
      <c r="AP69" t="str">
        <f>SUBSTITUTE(SUBSTITUTE(SUBSTITUTE("vch"&amp;$B69&amp;$C69&amp;$D69&amp;$E69,".","_"),"(","_"),")","")</f>
        <v>vch503_1_1</v>
      </c>
      <c r="AQ69" t="str">
        <f>IF(LEN(W69)=0,"",W69)</f>
        <v/>
      </c>
    </row>
    <row r="70" spans="1:50" x14ac:dyDescent="0.35">
      <c r="A70" s="366">
        <v>5</v>
      </c>
      <c r="B70" s="731" t="s">
        <v>375</v>
      </c>
      <c r="C70" s="731" t="s">
        <v>256</v>
      </c>
      <c r="D70" s="731"/>
      <c r="E70" s="731"/>
      <c r="F70" s="731"/>
      <c r="G70" s="366" t="str">
        <f>G69</f>
        <v/>
      </c>
      <c r="H70" s="732" t="s">
        <v>3971</v>
      </c>
      <c r="I70" s="50"/>
      <c r="J70" s="100"/>
      <c r="K70" s="103"/>
      <c r="L70" s="821"/>
      <c r="M70" s="819"/>
      <c r="N70" s="835"/>
      <c r="O70" s="835"/>
      <c r="X70" s="817"/>
      <c r="Y70" s="1120"/>
      <c r="Z70" s="1102"/>
    </row>
    <row r="71" spans="1:50" x14ac:dyDescent="0.35">
      <c r="A71" s="366">
        <v>5</v>
      </c>
      <c r="B71" s="731" t="s">
        <v>375</v>
      </c>
      <c r="C71" s="731" t="s">
        <v>258</v>
      </c>
      <c r="D71" s="731"/>
      <c r="E71" s="731"/>
      <c r="F71" s="731"/>
      <c r="G71" s="366" t="str">
        <f>IF(N71&gt;0,"P","")</f>
        <v/>
      </c>
      <c r="H71" s="732" t="s">
        <v>3971</v>
      </c>
      <c r="I71" s="50"/>
      <c r="J71" s="47" t="s">
        <v>258</v>
      </c>
      <c r="K71" s="50"/>
      <c r="L71" s="814" t="s">
        <v>378</v>
      </c>
      <c r="M71" s="818">
        <v>6</v>
      </c>
      <c r="N71" s="834">
        <f>'Ch5'!O72</f>
        <v>0</v>
      </c>
      <c r="O71" s="834">
        <f>M71*S71*W71</f>
        <v>0</v>
      </c>
      <c r="P71" t="b">
        <v>1</v>
      </c>
      <c r="Q71" t="b">
        <v>0</v>
      </c>
      <c r="R71" t="b">
        <v>0</v>
      </c>
      <c r="S71" t="b">
        <f>IF(W69=TRUE,TRUE,FALSE)</f>
        <v>0</v>
      </c>
      <c r="T71" t="b">
        <f>IF(AND(NOT(S71),W71=TRUE),TRUE,FALSE)</f>
        <v>0</v>
      </c>
      <c r="W71" s="17"/>
      <c r="X71" s="817"/>
      <c r="Y71" s="1120"/>
      <c r="Z71" s="1102"/>
      <c r="AC71" t="b">
        <f>OR(AD71:AE71)</f>
        <v>0</v>
      </c>
      <c r="AD71" t="b">
        <f>T71</f>
        <v>0</v>
      </c>
      <c r="AL71" t="str">
        <f>SUBSTITUTE(SUBSTITUTE(SUBSTITUTE("vpa"&amp;$B71&amp;$C71&amp;$D71&amp;$E71,".","_"),"(","_"),")","")</f>
        <v>vpa503_1_2</v>
      </c>
      <c r="AM71">
        <f>M71</f>
        <v>6</v>
      </c>
      <c r="AN71" t="str">
        <f>SUBSTITUTE(SUBSTITUTE(SUBSTITUTE("vpc"&amp;$B71&amp;$C71&amp;$D71&amp;$E71,".","_"),"(","_"),")","")</f>
        <v>vpc503_1_2</v>
      </c>
      <c r="AO71">
        <f>O71</f>
        <v>0</v>
      </c>
      <c r="AP71" t="str">
        <f>SUBSTITUTE(SUBSTITUTE(SUBSTITUTE("vch"&amp;$B71&amp;$C71&amp;$D71&amp;$E71,".","_"),"(","_"),")","")</f>
        <v>vch503_1_2</v>
      </c>
      <c r="AQ71" t="str">
        <f>IF(LEN(W71)=0,"",W71)</f>
        <v/>
      </c>
    </row>
    <row r="72" spans="1:50" x14ac:dyDescent="0.35">
      <c r="A72" s="366">
        <v>5</v>
      </c>
      <c r="B72" s="731" t="s">
        <v>375</v>
      </c>
      <c r="C72" s="731" t="s">
        <v>258</v>
      </c>
      <c r="D72" s="731"/>
      <c r="E72" s="731"/>
      <c r="F72" s="731"/>
      <c r="G72" s="366" t="str">
        <f>G71</f>
        <v/>
      </c>
      <c r="H72" s="732" t="s">
        <v>3971</v>
      </c>
      <c r="I72" s="50"/>
      <c r="J72" s="100"/>
      <c r="K72" s="103"/>
      <c r="L72" s="815"/>
      <c r="M72" s="819"/>
      <c r="N72" s="835"/>
      <c r="O72" s="835"/>
      <c r="X72" s="817"/>
      <c r="Y72" s="1120"/>
      <c r="Z72" s="1102"/>
    </row>
    <row r="73" spans="1:50" x14ac:dyDescent="0.35">
      <c r="A73" s="366">
        <v>5</v>
      </c>
      <c r="B73" s="731" t="s">
        <v>375</v>
      </c>
      <c r="C73" s="731" t="s">
        <v>260</v>
      </c>
      <c r="D73" s="731"/>
      <c r="E73" s="731"/>
      <c r="F73" s="731"/>
      <c r="G73" s="366" t="str">
        <f>IF(N73&gt;0,"P","")</f>
        <v/>
      </c>
      <c r="H73" s="732" t="s">
        <v>3971</v>
      </c>
      <c r="I73" s="50"/>
      <c r="J73" s="47" t="s">
        <v>260</v>
      </c>
      <c r="K73" s="50"/>
      <c r="L73" s="814" t="s">
        <v>379</v>
      </c>
      <c r="M73" s="818">
        <v>4</v>
      </c>
      <c r="N73" s="834">
        <f>'Ch5'!O74</f>
        <v>0</v>
      </c>
      <c r="O73" s="834">
        <f>M73*S73*W73</f>
        <v>0</v>
      </c>
      <c r="P73" t="b">
        <v>1</v>
      </c>
      <c r="Q73" t="b">
        <v>0</v>
      </c>
      <c r="R73" t="b">
        <v>0</v>
      </c>
      <c r="S73" t="b">
        <f>IF(AND(W69=TRUE,W71=TRUE),TRUE,FALSE)</f>
        <v>0</v>
      </c>
      <c r="T73" t="b">
        <f>IF(AND(NOT(S73),W73=TRUE),TRUE,FALSE)</f>
        <v>0</v>
      </c>
      <c r="W73" s="17"/>
      <c r="X73" s="817"/>
      <c r="Y73" s="1120"/>
      <c r="Z73" s="1102"/>
      <c r="AC73" t="b">
        <f>OR(AD73:AE73)</f>
        <v>0</v>
      </c>
      <c r="AD73" t="b">
        <f>T73</f>
        <v>0</v>
      </c>
      <c r="AL73" t="str">
        <f>SUBSTITUTE(SUBSTITUTE(SUBSTITUTE("vpa"&amp;$B73&amp;$C73&amp;$D73&amp;$E73,".","_"),"(","_"),")","")</f>
        <v>vpa503_1_3</v>
      </c>
      <c r="AM73">
        <f>M73</f>
        <v>4</v>
      </c>
      <c r="AN73" t="str">
        <f>SUBSTITUTE(SUBSTITUTE(SUBSTITUTE("vpc"&amp;$B73&amp;$C73&amp;$D73&amp;$E73,".","_"),"(","_"),")","")</f>
        <v>vpc503_1_3</v>
      </c>
      <c r="AO73">
        <f>O73</f>
        <v>0</v>
      </c>
      <c r="AP73" t="str">
        <f>SUBSTITUTE(SUBSTITUTE(SUBSTITUTE("vch"&amp;$B73&amp;$C73&amp;$D73&amp;$E73,".","_"),"(","_"),")","")</f>
        <v>vch503_1_3</v>
      </c>
      <c r="AQ73" t="str">
        <f>IF(LEN(W73)=0,"",W73)</f>
        <v/>
      </c>
    </row>
    <row r="74" spans="1:50" x14ac:dyDescent="0.35">
      <c r="A74" s="366">
        <v>5</v>
      </c>
      <c r="B74" s="731" t="s">
        <v>375</v>
      </c>
      <c r="C74" s="731" t="s">
        <v>260</v>
      </c>
      <c r="D74" s="731"/>
      <c r="E74" s="731"/>
      <c r="F74" s="731"/>
      <c r="G74" s="366" t="str">
        <f>G73</f>
        <v/>
      </c>
      <c r="H74" s="732" t="s">
        <v>3971</v>
      </c>
      <c r="I74" s="50"/>
      <c r="J74" s="100"/>
      <c r="K74" s="103"/>
      <c r="L74" s="815"/>
      <c r="M74" s="819"/>
      <c r="N74" s="835"/>
      <c r="O74" s="835"/>
      <c r="X74" s="817"/>
      <c r="Y74" s="1120"/>
      <c r="Z74" s="1102"/>
    </row>
    <row r="75" spans="1:50" x14ac:dyDescent="0.35">
      <c r="A75" s="366">
        <v>5</v>
      </c>
      <c r="B75" s="731" t="s">
        <v>375</v>
      </c>
      <c r="C75" s="731" t="s">
        <v>269</v>
      </c>
      <c r="D75" s="731"/>
      <c r="E75" s="731"/>
      <c r="F75" s="731"/>
      <c r="G75" s="366" t="str">
        <f>IF(N75&gt;0,"P","")</f>
        <v>P</v>
      </c>
      <c r="H75" s="732" t="s">
        <v>3971</v>
      </c>
      <c r="I75" s="50"/>
      <c r="J75" s="47" t="s">
        <v>269</v>
      </c>
      <c r="K75" s="50"/>
      <c r="L75" s="820" t="s">
        <v>380</v>
      </c>
      <c r="M75" s="822">
        <v>4</v>
      </c>
      <c r="N75" s="963">
        <f>'Ch5'!O76</f>
        <v>4</v>
      </c>
      <c r="O75" s="963">
        <f>M75*W75</f>
        <v>0</v>
      </c>
      <c r="P75" t="b">
        <v>1</v>
      </c>
      <c r="Q75" t="b">
        <v>0</v>
      </c>
      <c r="R75" t="b">
        <v>0</v>
      </c>
      <c r="S75" t="b">
        <v>1</v>
      </c>
      <c r="T75" t="b">
        <v>0</v>
      </c>
      <c r="W75" s="17"/>
      <c r="X75" s="817"/>
      <c r="Y75" s="1120"/>
      <c r="Z75" s="1102"/>
      <c r="AL75" t="str">
        <f>SUBSTITUTE(SUBSTITUTE(SUBSTITUTE("vpa"&amp;$B75&amp;$C75&amp;$D75&amp;$E75,".","_"),"(","_"),")","")</f>
        <v>vpa503_1_4</v>
      </c>
      <c r="AM75">
        <f>M75</f>
        <v>4</v>
      </c>
      <c r="AN75" t="str">
        <f>SUBSTITUTE(SUBSTITUTE(SUBSTITUTE("vpc"&amp;$B75&amp;$C75&amp;$D75&amp;$E75,".","_"),"(","_"),")","")</f>
        <v>vpc503_1_4</v>
      </c>
      <c r="AO75">
        <f>O75</f>
        <v>0</v>
      </c>
      <c r="AP75" t="str">
        <f>SUBSTITUTE(SUBSTITUTE(SUBSTITUTE("vch"&amp;$B75&amp;$C75&amp;$D75&amp;$E75,".","_"),"(","_"),")","")</f>
        <v>vch503_1_4</v>
      </c>
      <c r="AQ75" t="str">
        <f>IF(LEN(W75)=0,"",W75)</f>
        <v/>
      </c>
    </row>
    <row r="76" spans="1:50" x14ac:dyDescent="0.35">
      <c r="A76" s="366">
        <v>5</v>
      </c>
      <c r="B76" s="731" t="s">
        <v>375</v>
      </c>
      <c r="C76" s="731" t="s">
        <v>269</v>
      </c>
      <c r="D76" s="731"/>
      <c r="E76" s="731"/>
      <c r="F76" s="731"/>
      <c r="G76" s="366" t="str">
        <f>G75</f>
        <v>P</v>
      </c>
      <c r="H76" s="732" t="s">
        <v>3971</v>
      </c>
      <c r="I76" s="50"/>
      <c r="J76" s="100"/>
      <c r="K76" s="103"/>
      <c r="L76" s="821"/>
      <c r="M76" s="819"/>
      <c r="N76" s="835"/>
      <c r="O76" s="835"/>
      <c r="X76" s="817"/>
      <c r="Y76" s="1120"/>
      <c r="Z76" s="1102"/>
    </row>
    <row r="77" spans="1:50" x14ac:dyDescent="0.35">
      <c r="A77" s="366">
        <v>5</v>
      </c>
      <c r="B77" s="731" t="s">
        <v>375</v>
      </c>
      <c r="C77" s="731" t="s">
        <v>275</v>
      </c>
      <c r="D77" s="731"/>
      <c r="E77" s="731"/>
      <c r="F77" s="731"/>
      <c r="G77" s="366" t="str">
        <f>IF(N77&gt;0,"P","")</f>
        <v/>
      </c>
      <c r="H77" s="732" t="s">
        <v>3971</v>
      </c>
      <c r="I77" s="50"/>
      <c r="J77" s="468" t="s">
        <v>275</v>
      </c>
      <c r="K77" s="587"/>
      <c r="L77" s="820" t="s">
        <v>381</v>
      </c>
      <c r="M77" s="822">
        <v>3</v>
      </c>
      <c r="N77" s="963">
        <f>'Ch5'!O78</f>
        <v>0</v>
      </c>
      <c r="O77" s="963">
        <f>M77*W77</f>
        <v>0</v>
      </c>
      <c r="P77" t="b">
        <v>1</v>
      </c>
      <c r="Q77" t="b">
        <v>0</v>
      </c>
      <c r="R77" t="b">
        <v>0</v>
      </c>
      <c r="S77" t="b">
        <v>1</v>
      </c>
      <c r="T77" t="b">
        <v>0</v>
      </c>
      <c r="W77" s="17"/>
      <c r="X77" s="817"/>
      <c r="Y77" s="1120"/>
      <c r="Z77" s="1102"/>
      <c r="AL77" t="str">
        <f>SUBSTITUTE(SUBSTITUTE(SUBSTITUTE("vpa"&amp;$B77&amp;$C77&amp;$D77&amp;$E77,".","_"),"(","_"),")","")</f>
        <v>vpa503_1_5</v>
      </c>
      <c r="AM77">
        <f>M77</f>
        <v>3</v>
      </c>
      <c r="AN77" t="str">
        <f>SUBSTITUTE(SUBSTITUTE(SUBSTITUTE("vpc"&amp;$B77&amp;$C77&amp;$D77&amp;$E77,".","_"),"(","_"),")","")</f>
        <v>vpc503_1_5</v>
      </c>
      <c r="AO77">
        <f>O77</f>
        <v>0</v>
      </c>
      <c r="AP77" t="str">
        <f>SUBSTITUTE(SUBSTITUTE(SUBSTITUTE("vch"&amp;$B77&amp;$C77&amp;$D77&amp;$E77,".","_"),"(","_"),")","")</f>
        <v>vch503_1_5</v>
      </c>
      <c r="AQ77" t="str">
        <f>IF(LEN(W77)=0,"",W77)</f>
        <v/>
      </c>
      <c r="AX77" s="6"/>
    </row>
    <row r="78" spans="1:50" x14ac:dyDescent="0.35">
      <c r="A78" s="366">
        <v>5</v>
      </c>
      <c r="B78" s="731" t="s">
        <v>375</v>
      </c>
      <c r="C78" s="731" t="s">
        <v>275</v>
      </c>
      <c r="D78" s="731"/>
      <c r="E78" s="731"/>
      <c r="F78" s="731"/>
      <c r="G78" s="366" t="str">
        <f>G77</f>
        <v/>
      </c>
      <c r="H78" s="732" t="s">
        <v>3971</v>
      </c>
      <c r="I78" s="50"/>
      <c r="J78" s="100"/>
      <c r="K78" s="103"/>
      <c r="L78" s="821"/>
      <c r="M78" s="819"/>
      <c r="N78" s="835"/>
      <c r="O78" s="835"/>
      <c r="X78" s="817"/>
      <c r="Y78" s="1120"/>
      <c r="Z78" s="1102"/>
      <c r="AX78" s="6"/>
    </row>
    <row r="79" spans="1:50" x14ac:dyDescent="0.35">
      <c r="A79" s="366">
        <v>5</v>
      </c>
      <c r="B79" s="731" t="s">
        <v>375</v>
      </c>
      <c r="C79" s="731" t="s">
        <v>277</v>
      </c>
      <c r="D79" s="731"/>
      <c r="E79" s="731"/>
      <c r="F79" s="731"/>
      <c r="G79" s="366" t="str">
        <f>IF(N79&gt;0,"P","")</f>
        <v/>
      </c>
      <c r="H79" s="732" t="s">
        <v>3971</v>
      </c>
      <c r="I79" s="50"/>
      <c r="J79" s="47" t="s">
        <v>277</v>
      </c>
      <c r="K79" s="50"/>
      <c r="L79" s="814" t="s">
        <v>382</v>
      </c>
      <c r="M79" s="818">
        <v>4</v>
      </c>
      <c r="N79" s="834">
        <f>'Ch5'!O80</f>
        <v>0</v>
      </c>
      <c r="O79" s="834">
        <f>M79*W79</f>
        <v>0</v>
      </c>
      <c r="P79" t="b">
        <v>1</v>
      </c>
      <c r="Q79" t="b">
        <v>0</v>
      </c>
      <c r="R79" t="b">
        <v>0</v>
      </c>
      <c r="S79" t="b">
        <v>1</v>
      </c>
      <c r="T79" t="b">
        <v>0</v>
      </c>
      <c r="W79" s="17"/>
      <c r="X79" s="817"/>
      <c r="Y79" s="1120"/>
      <c r="Z79" s="1102"/>
      <c r="AL79" t="str">
        <f>SUBSTITUTE(SUBSTITUTE(SUBSTITUTE("vpa"&amp;$B79&amp;$C79&amp;$D79&amp;$E79,".","_"),"(","_"),")","")</f>
        <v>vpa503_1_6</v>
      </c>
      <c r="AM79">
        <f>M79</f>
        <v>4</v>
      </c>
      <c r="AN79" t="str">
        <f>SUBSTITUTE(SUBSTITUTE(SUBSTITUTE("vpc"&amp;$B79&amp;$C79&amp;$D79&amp;$E79,".","_"),"(","_"),")","")</f>
        <v>vpc503_1_6</v>
      </c>
      <c r="AO79">
        <f>O79</f>
        <v>0</v>
      </c>
      <c r="AP79" t="str">
        <f>SUBSTITUTE(SUBSTITUTE(SUBSTITUTE("vch"&amp;$B79&amp;$C79&amp;$D79&amp;$E79,".","_"),"(","_"),")","")</f>
        <v>vch503_1_6</v>
      </c>
      <c r="AQ79" t="str">
        <f>IF(LEN(W79)=0,"",W79)</f>
        <v/>
      </c>
    </row>
    <row r="80" spans="1:50" x14ac:dyDescent="0.35">
      <c r="A80" s="366">
        <v>5</v>
      </c>
      <c r="B80" s="731" t="s">
        <v>375</v>
      </c>
      <c r="C80" s="731" t="s">
        <v>277</v>
      </c>
      <c r="D80" s="731"/>
      <c r="E80" s="731"/>
      <c r="F80" s="731"/>
      <c r="G80" s="366" t="str">
        <f>G79</f>
        <v/>
      </c>
      <c r="H80" s="732" t="s">
        <v>3971</v>
      </c>
      <c r="I80" s="50"/>
      <c r="J80" s="100"/>
      <c r="K80" s="103"/>
      <c r="L80" s="815"/>
      <c r="M80" s="819"/>
      <c r="N80" s="835"/>
      <c r="O80" s="835"/>
      <c r="X80" s="817"/>
      <c r="Y80" s="1120"/>
      <c r="Z80" s="1102"/>
    </row>
    <row r="81" spans="1:45" x14ac:dyDescent="0.35">
      <c r="A81" s="366">
        <v>5</v>
      </c>
      <c r="B81" s="731" t="s">
        <v>375</v>
      </c>
      <c r="C81" s="731" t="s">
        <v>383</v>
      </c>
      <c r="D81" s="731"/>
      <c r="E81" s="731"/>
      <c r="F81" s="731"/>
      <c r="G81" s="366" t="str">
        <f>IF(N81&gt;0,"P","")</f>
        <v/>
      </c>
      <c r="H81" s="732" t="s">
        <v>3971</v>
      </c>
      <c r="I81" s="50"/>
      <c r="J81" s="47" t="s">
        <v>383</v>
      </c>
      <c r="K81" s="50"/>
      <c r="L81" s="814" t="s">
        <v>384</v>
      </c>
      <c r="M81" s="818">
        <v>5</v>
      </c>
      <c r="N81" s="834">
        <f>'Ch5'!O82</f>
        <v>0</v>
      </c>
      <c r="O81" s="834">
        <f>M81*W81</f>
        <v>0</v>
      </c>
      <c r="P81" t="b">
        <v>1</v>
      </c>
      <c r="Q81" t="b">
        <v>0</v>
      </c>
      <c r="R81" t="b">
        <v>0</v>
      </c>
      <c r="S81" t="b">
        <v>1</v>
      </c>
      <c r="T81" t="b">
        <v>0</v>
      </c>
      <c r="W81" s="17"/>
      <c r="X81" s="817"/>
      <c r="Y81" s="1120"/>
      <c r="Z81" s="1102"/>
      <c r="AL81" t="str">
        <f>SUBSTITUTE(SUBSTITUTE(SUBSTITUTE("vpa"&amp;$B81&amp;$C81&amp;$D81&amp;$E81,".","_"),"(","_"),")","")</f>
        <v>vpa503_1_7</v>
      </c>
      <c r="AM81">
        <f>M81</f>
        <v>5</v>
      </c>
      <c r="AN81" t="str">
        <f>SUBSTITUTE(SUBSTITUTE(SUBSTITUTE("vpc"&amp;$B81&amp;$C81&amp;$D81&amp;$E81,".","_"),"(","_"),")","")</f>
        <v>vpc503_1_7</v>
      </c>
      <c r="AO81">
        <f>O81</f>
        <v>0</v>
      </c>
      <c r="AP81" t="str">
        <f>SUBSTITUTE(SUBSTITUTE(SUBSTITUTE("vch"&amp;$B81&amp;$C81&amp;$D81&amp;$E81,".","_"),"(","_"),")","")</f>
        <v>vch503_1_7</v>
      </c>
      <c r="AQ81" t="str">
        <f>IF(LEN(W81)=0,"",W81)</f>
        <v/>
      </c>
    </row>
    <row r="82" spans="1:45" x14ac:dyDescent="0.35">
      <c r="A82" s="366">
        <v>5</v>
      </c>
      <c r="B82" s="731" t="s">
        <v>375</v>
      </c>
      <c r="C82" s="731" t="s">
        <v>383</v>
      </c>
      <c r="D82" s="731"/>
      <c r="E82" s="731"/>
      <c r="F82" s="731"/>
      <c r="G82" s="366" t="str">
        <f>G81</f>
        <v/>
      </c>
      <c r="H82" s="732" t="s">
        <v>3971</v>
      </c>
      <c r="I82" s="50"/>
      <c r="J82" s="50"/>
      <c r="K82" s="50"/>
      <c r="L82" s="814"/>
      <c r="M82" s="818"/>
      <c r="N82" s="834"/>
      <c r="O82" s="834"/>
      <c r="X82" s="817"/>
      <c r="Y82" s="1120"/>
      <c r="Z82" s="1102"/>
    </row>
    <row r="83" spans="1:45" x14ac:dyDescent="0.35">
      <c r="A83" s="366">
        <v>5</v>
      </c>
      <c r="B83" s="731" t="s">
        <v>375</v>
      </c>
      <c r="C83" s="731" t="s">
        <v>428</v>
      </c>
      <c r="G83" s="366" t="str">
        <f>IF(N83&gt;0,"P","")</f>
        <v/>
      </c>
      <c r="H83" s="732" t="s">
        <v>3971</v>
      </c>
      <c r="J83" s="468" t="s">
        <v>428</v>
      </c>
      <c r="K83" s="471"/>
      <c r="L83" s="828" t="s">
        <v>4124</v>
      </c>
      <c r="M83" s="822">
        <v>6</v>
      </c>
      <c r="N83" s="963">
        <f>'Ch5'!O84</f>
        <v>0</v>
      </c>
      <c r="O83" s="963">
        <f>M83*W83</f>
        <v>0</v>
      </c>
      <c r="P83" t="b">
        <v>1</v>
      </c>
      <c r="Q83" t="b">
        <v>0</v>
      </c>
      <c r="R83" t="b">
        <v>0</v>
      </c>
      <c r="S83" t="b">
        <v>1</v>
      </c>
      <c r="T83" t="b">
        <v>0</v>
      </c>
      <c r="W83" s="17"/>
      <c r="X83" s="817"/>
      <c r="Y83" s="1120"/>
      <c r="Z83" s="1102"/>
      <c r="AL83" t="str">
        <f>SUBSTITUTE(SUBSTITUTE(SUBSTITUTE("vpa"&amp;$B83&amp;$C83&amp;$D83&amp;$E83,".","_"),"(","_"),")","")</f>
        <v>vpa503_1_8</v>
      </c>
      <c r="AM83">
        <f>M83</f>
        <v>6</v>
      </c>
      <c r="AN83" t="str">
        <f>SUBSTITUTE(SUBSTITUTE(SUBSTITUTE("vpc"&amp;$B83&amp;$C83&amp;$D83&amp;$E83,".","_"),"(","_"),")","")</f>
        <v>vpc503_1_8</v>
      </c>
      <c r="AO83">
        <f>O83</f>
        <v>0</v>
      </c>
      <c r="AP83" t="str">
        <f>SUBSTITUTE(SUBSTITUTE(SUBSTITUTE("vch"&amp;$B83&amp;$C83&amp;$D83&amp;$E83,".","_"),"(","_"),")","")</f>
        <v>vch503_1_8</v>
      </c>
      <c r="AQ83" t="str">
        <f>IF(LEN(W83)=0,"",W83)</f>
        <v/>
      </c>
    </row>
    <row r="84" spans="1:45" x14ac:dyDescent="0.35">
      <c r="A84" s="366">
        <v>5</v>
      </c>
      <c r="B84" s="731" t="s">
        <v>375</v>
      </c>
      <c r="C84" s="731" t="s">
        <v>428</v>
      </c>
      <c r="G84" s="366" t="str">
        <f>G83</f>
        <v/>
      </c>
      <c r="H84" s="732" t="s">
        <v>3971</v>
      </c>
      <c r="J84" s="467"/>
      <c r="K84" s="467"/>
      <c r="L84" s="825"/>
      <c r="M84" s="818"/>
      <c r="N84" s="834"/>
      <c r="O84" s="834"/>
      <c r="X84" s="817"/>
      <c r="Y84" s="1120"/>
      <c r="Z84" s="1102"/>
    </row>
    <row r="85" spans="1:45" x14ac:dyDescent="0.35">
      <c r="A85" s="366">
        <v>5</v>
      </c>
      <c r="B85" s="731" t="s">
        <v>375</v>
      </c>
      <c r="C85" s="731" t="s">
        <v>428</v>
      </c>
      <c r="G85" s="366" t="str">
        <f>G84</f>
        <v/>
      </c>
      <c r="H85" s="732" t="s">
        <v>3971</v>
      </c>
      <c r="J85" s="467"/>
      <c r="K85" s="467"/>
      <c r="L85" s="825"/>
      <c r="M85" s="818"/>
      <c r="N85" s="834"/>
      <c r="O85" s="834"/>
      <c r="X85" s="817"/>
      <c r="Y85" s="1120"/>
      <c r="Z85" s="1102"/>
    </row>
    <row r="86" spans="1:45" x14ac:dyDescent="0.35">
      <c r="A86" s="366">
        <v>5</v>
      </c>
      <c r="B86" s="731" t="s">
        <v>375</v>
      </c>
      <c r="C86" s="731" t="s">
        <v>428</v>
      </c>
      <c r="G86" s="366" t="str">
        <f>G85</f>
        <v/>
      </c>
      <c r="H86" s="732" t="s">
        <v>3971</v>
      </c>
      <c r="J86" s="467"/>
      <c r="K86" s="467"/>
      <c r="L86" s="825"/>
      <c r="M86" s="818"/>
      <c r="N86" s="834"/>
      <c r="O86" s="834"/>
      <c r="X86" s="817"/>
      <c r="Y86" s="1120"/>
      <c r="Z86" s="1102"/>
    </row>
    <row r="87" spans="1:45" ht="15" thickBot="1" x14ac:dyDescent="0.4">
      <c r="A87" s="366">
        <v>5</v>
      </c>
      <c r="B87" s="731" t="s">
        <v>375</v>
      </c>
      <c r="C87" s="731" t="s">
        <v>428</v>
      </c>
      <c r="G87" s="366" t="str">
        <f>G86</f>
        <v/>
      </c>
      <c r="H87" s="732" t="s">
        <v>3971</v>
      </c>
      <c r="J87" s="473"/>
      <c r="K87" s="473"/>
      <c r="L87" s="826"/>
      <c r="M87" s="827"/>
      <c r="N87" s="863"/>
      <c r="O87" s="863"/>
      <c r="P87" s="55"/>
      <c r="Q87" s="55"/>
      <c r="R87" s="55"/>
      <c r="S87" s="55"/>
      <c r="T87" s="55"/>
      <c r="X87" s="817"/>
      <c r="Y87" s="1121"/>
      <c r="Z87" s="1104"/>
    </row>
    <row r="88" spans="1:45" ht="15" customHeight="1" thickTop="1" x14ac:dyDescent="0.35">
      <c r="A88" s="366">
        <v>5</v>
      </c>
      <c r="B88" s="731" t="s">
        <v>385</v>
      </c>
      <c r="C88" s="731"/>
      <c r="D88" s="731"/>
      <c r="E88" s="731"/>
      <c r="F88" s="731"/>
      <c r="G88" s="727" t="str">
        <f ca="1">IF(COUNTIF(G90:G100,"P")&gt;0,"P","")</f>
        <v/>
      </c>
      <c r="H88" s="732" t="s">
        <v>3970</v>
      </c>
      <c r="I88" s="60">
        <v>503.2</v>
      </c>
      <c r="J88" s="61"/>
      <c r="K88" s="61"/>
      <c r="L88" s="274" t="s">
        <v>386</v>
      </c>
      <c r="M88" s="267"/>
      <c r="N88" s="545"/>
      <c r="O88" s="545"/>
      <c r="P88" s="59"/>
      <c r="Q88" s="59"/>
      <c r="R88" s="59"/>
      <c r="S88" s="59"/>
      <c r="T88" s="59"/>
      <c r="U88" s="59"/>
      <c r="V88" s="59"/>
      <c r="W88" s="59" t="s">
        <v>738</v>
      </c>
      <c r="X88" s="840"/>
      <c r="Y88" s="1118" t="str">
        <f>IF(LEN('Ch5'!X89)=0,"None",'Ch5'!X89)</f>
        <v>None</v>
      </c>
      <c r="Z88" s="1103"/>
      <c r="AR88" t="str">
        <f>SUBSTITUTE(SUBSTITUTE(SUBSTITUTE("vnt"&amp;$B88&amp;$C88&amp;$D88&amp;$E88,".","_"),"(","_"),")","")</f>
        <v>vnt503_2</v>
      </c>
      <c r="AS88" t="str">
        <f>IF(LEN(X88)=0,"",X88)</f>
        <v/>
      </c>
    </row>
    <row r="89" spans="1:45" x14ac:dyDescent="0.35">
      <c r="A89" s="366">
        <v>5</v>
      </c>
      <c r="B89" s="731" t="s">
        <v>385</v>
      </c>
      <c r="C89" s="731"/>
      <c r="D89" s="731"/>
      <c r="E89" s="731"/>
      <c r="F89" s="731"/>
      <c r="G89" s="366" t="str">
        <f ca="1">G88</f>
        <v/>
      </c>
      <c r="H89" s="732" t="s">
        <v>3970</v>
      </c>
      <c r="I89" s="31"/>
      <c r="J89" s="50"/>
      <c r="K89" s="50"/>
      <c r="L89" s="218" t="s">
        <v>3379</v>
      </c>
      <c r="M89" s="40"/>
      <c r="N89" s="41"/>
      <c r="O89" s="41"/>
      <c r="P89" t="b">
        <v>1</v>
      </c>
      <c r="Q89" t="b">
        <v>1</v>
      </c>
      <c r="R89" t="b">
        <v>1</v>
      </c>
      <c r="S89" t="b">
        <v>1</v>
      </c>
      <c r="T89" t="b">
        <v>0</v>
      </c>
      <c r="W89" s="62"/>
      <c r="X89" s="817"/>
      <c r="Y89" s="1100"/>
      <c r="Z89" s="1102"/>
      <c r="AA89" s="350" t="str">
        <f>IF(LEN('Photo Review'!I88)&gt;0,'Photo Review'!I88,"")</f>
        <v/>
      </c>
      <c r="AP89" t="str">
        <f>SUBSTITUTE(SUBSTITUTE(SUBSTITUTE("vch"&amp;$B89&amp;$C89&amp;$D89&amp;$E89,".","_"),"(","_"),")","")</f>
        <v>vch503_2</v>
      </c>
      <c r="AQ89" t="str">
        <f>IF(LEN(W89)=0,"",W89)</f>
        <v/>
      </c>
    </row>
    <row r="90" spans="1:45" x14ac:dyDescent="0.35">
      <c r="A90" s="366">
        <v>5</v>
      </c>
      <c r="B90" s="731" t="s">
        <v>385</v>
      </c>
      <c r="C90" s="731" t="s">
        <v>256</v>
      </c>
      <c r="D90" s="731"/>
      <c r="E90" s="731"/>
      <c r="F90" s="731"/>
      <c r="G90" s="366" t="str">
        <f>IF(N90&gt;0,"P","")</f>
        <v/>
      </c>
      <c r="H90" s="732" t="s">
        <v>3970</v>
      </c>
      <c r="I90" s="50"/>
      <c r="J90" s="100" t="s">
        <v>256</v>
      </c>
      <c r="K90" s="103"/>
      <c r="L90" s="228" t="s">
        <v>387</v>
      </c>
      <c r="M90" s="268">
        <v>5</v>
      </c>
      <c r="N90" s="546">
        <f>'Ch5'!O91</f>
        <v>0</v>
      </c>
      <c r="O90" s="546">
        <f>M90*W90*S90</f>
        <v>0</v>
      </c>
      <c r="P90" t="b">
        <v>1</v>
      </c>
      <c r="Q90" t="b">
        <v>1</v>
      </c>
      <c r="R90" t="b">
        <v>0</v>
      </c>
      <c r="S90" t="b">
        <f>IF(W89&gt;=0.25,TRUE,FALSE)</f>
        <v>0</v>
      </c>
      <c r="T90" t="b">
        <f>IF(AND(NOT(S90),W90=TRUE),TRUE,FALSE)</f>
        <v>0</v>
      </c>
      <c r="W90" s="17"/>
      <c r="X90" s="817"/>
      <c r="Y90" s="1100"/>
      <c r="Z90" s="1102"/>
      <c r="AC90" t="b">
        <f>OR(AD90:AE90)</f>
        <v>0</v>
      </c>
      <c r="AD90" t="b">
        <f>T90</f>
        <v>0</v>
      </c>
      <c r="AL90" t="str">
        <f>SUBSTITUTE(SUBSTITUTE(SUBSTITUTE("vpa"&amp;$B90&amp;$C90&amp;$D90&amp;$E90,".","_"),"(","_"),")","")</f>
        <v>vpa503_2_1</v>
      </c>
      <c r="AM90">
        <f>M90</f>
        <v>5</v>
      </c>
      <c r="AN90" t="str">
        <f>SUBSTITUTE(SUBSTITUTE(SUBSTITUTE("vpc"&amp;$B90&amp;$C90&amp;$D90&amp;$E90,".","_"),"(","_"),")","")</f>
        <v>vpc503_2_1</v>
      </c>
      <c r="AO90">
        <f>O90</f>
        <v>0</v>
      </c>
      <c r="AP90" t="str">
        <f>SUBSTITUTE(SUBSTITUTE(SUBSTITUTE("vch"&amp;$B90&amp;$C90&amp;$D90&amp;$E90,".","_"),"(","_"),")","")</f>
        <v>vch503_2_1</v>
      </c>
      <c r="AQ90" t="str">
        <f>IF(LEN(W90)=0,"",W90)</f>
        <v/>
      </c>
    </row>
    <row r="91" spans="1:45" x14ac:dyDescent="0.35">
      <c r="A91" s="366">
        <v>5</v>
      </c>
      <c r="B91" s="731" t="s">
        <v>385</v>
      </c>
      <c r="C91" s="731" t="s">
        <v>258</v>
      </c>
      <c r="D91" s="731"/>
      <c r="E91" s="731"/>
      <c r="F91" s="731"/>
      <c r="G91" s="366" t="str">
        <f>IF(N91&gt;0,"P","")</f>
        <v/>
      </c>
      <c r="H91" s="732" t="s">
        <v>3970</v>
      </c>
      <c r="I91" s="50"/>
      <c r="J91" s="47" t="s">
        <v>258</v>
      </c>
      <c r="K91" s="50"/>
      <c r="L91" s="814" t="s">
        <v>388</v>
      </c>
      <c r="M91" s="818">
        <v>5</v>
      </c>
      <c r="N91" s="834">
        <f>'Ch5'!O92</f>
        <v>0</v>
      </c>
      <c r="O91" s="834">
        <f>M91*W91*S91</f>
        <v>0</v>
      </c>
      <c r="P91" t="b">
        <v>1</v>
      </c>
      <c r="Q91" t="b">
        <v>1</v>
      </c>
      <c r="R91" t="b">
        <v>0</v>
      </c>
      <c r="S91" t="b">
        <f>S90</f>
        <v>0</v>
      </c>
      <c r="T91" t="b">
        <f>IF(AND(NOT(S91),W91=TRUE),TRUE,FALSE)</f>
        <v>0</v>
      </c>
      <c r="W91" s="17"/>
      <c r="X91" s="817"/>
      <c r="Y91" s="1100"/>
      <c r="Z91" s="1102"/>
      <c r="AC91" t="b">
        <f>OR(AD91:AE91)</f>
        <v>0</v>
      </c>
      <c r="AD91" t="b">
        <f>T91</f>
        <v>0</v>
      </c>
      <c r="AL91" t="str">
        <f>SUBSTITUTE(SUBSTITUTE(SUBSTITUTE("vpa"&amp;$B91&amp;$C91&amp;$D91&amp;$E91,".","_"),"(","_"),")","")</f>
        <v>vpa503_2_2</v>
      </c>
      <c r="AM91">
        <f>M91</f>
        <v>5</v>
      </c>
      <c r="AN91" t="str">
        <f>SUBSTITUTE(SUBSTITUTE(SUBSTITUTE("vpc"&amp;$B91&amp;$C91&amp;$D91&amp;$E91,".","_"),"(","_"),")","")</f>
        <v>vpc503_2_2</v>
      </c>
      <c r="AO91">
        <f>O91</f>
        <v>0</v>
      </c>
      <c r="AP91" t="str">
        <f>SUBSTITUTE(SUBSTITUTE(SUBSTITUTE("vch"&amp;$B91&amp;$C91&amp;$D91&amp;$E91,".","_"),"(","_"),")","")</f>
        <v>vch503_2_2</v>
      </c>
      <c r="AQ91" t="str">
        <f>IF(LEN(W91)=0,"",W91)</f>
        <v/>
      </c>
    </row>
    <row r="92" spans="1:45" x14ac:dyDescent="0.35">
      <c r="A92" s="366">
        <v>5</v>
      </c>
      <c r="B92" s="731" t="s">
        <v>385</v>
      </c>
      <c r="C92" s="731" t="s">
        <v>258</v>
      </c>
      <c r="D92" s="731"/>
      <c r="E92" s="731"/>
      <c r="F92" s="731"/>
      <c r="G92" s="366" t="str">
        <f>G91</f>
        <v/>
      </c>
      <c r="H92" s="732" t="s">
        <v>3970</v>
      </c>
      <c r="I92" s="50"/>
      <c r="J92" s="103"/>
      <c r="K92" s="103"/>
      <c r="L92" s="815"/>
      <c r="M92" s="819"/>
      <c r="N92" s="835"/>
      <c r="O92" s="835"/>
      <c r="X92" s="817"/>
      <c r="Y92" s="1100"/>
      <c r="Z92" s="1102"/>
    </row>
    <row r="93" spans="1:45" x14ac:dyDescent="0.35">
      <c r="A93" s="366">
        <v>5</v>
      </c>
      <c r="B93" s="731" t="s">
        <v>385</v>
      </c>
      <c r="C93" s="731" t="s">
        <v>260</v>
      </c>
      <c r="D93" s="731"/>
      <c r="E93" s="731"/>
      <c r="F93" s="731"/>
      <c r="G93" s="366" t="str">
        <f ca="1">IF(N93&gt;0,"P","")</f>
        <v/>
      </c>
      <c r="H93" s="732" t="s">
        <v>3970</v>
      </c>
      <c r="I93" s="50"/>
      <c r="J93" s="47" t="s">
        <v>260</v>
      </c>
      <c r="K93" s="50"/>
      <c r="L93" s="814" t="s">
        <v>389</v>
      </c>
      <c r="M93" s="40"/>
      <c r="N93" s="834">
        <f ca="1">'Ch5'!O94</f>
        <v>0</v>
      </c>
      <c r="O93" s="834">
        <f ca="1">S93*IFERROR(INDEX({1,4,6},MATCH(W93,INDIRECT(U93))),0)</f>
        <v>0</v>
      </c>
      <c r="P93" t="b">
        <v>1</v>
      </c>
      <c r="Q93" t="b">
        <v>1</v>
      </c>
      <c r="R93" t="b">
        <v>0</v>
      </c>
      <c r="S93" t="b">
        <f>S90</f>
        <v>0</v>
      </c>
      <c r="T93" t="b">
        <f>IF(AND(NOT(S93),LEN(W93)&gt;0),TRUE,FALSE)</f>
        <v>0</v>
      </c>
      <c r="U93" t="str">
        <f>SUBSTITUTE(SUBSTITUTE(SUBSTITUTE("dd"&amp;B93&amp;C93&amp;D93&amp;E93&amp;F93,".","_"),"(","_"),")","")</f>
        <v>dd503_2_3</v>
      </c>
      <c r="W93" s="9"/>
      <c r="X93" s="817"/>
      <c r="Y93" s="1100"/>
      <c r="Z93" s="1102"/>
      <c r="AC93" t="b">
        <f>OR(AD93:AE93)</f>
        <v>0</v>
      </c>
      <c r="AD93" t="b">
        <f>T93</f>
        <v>0</v>
      </c>
      <c r="AN93" t="str">
        <f>SUBSTITUTE(SUBSTITUTE(SUBSTITUTE("vpc"&amp;$B93&amp;$C93&amp;$D93&amp;$E93,".","_"),"(","_"),")","")</f>
        <v>vpc503_2_3</v>
      </c>
      <c r="AO93">
        <f ca="1">O93</f>
        <v>0</v>
      </c>
      <c r="AP93" t="str">
        <f>SUBSTITUTE(SUBSTITUTE(SUBSTITUTE("vch"&amp;$B93&amp;$C93&amp;$D93&amp;$E93,".","_"),"(","_"),")","")</f>
        <v>vch503_2_3</v>
      </c>
      <c r="AQ93" t="str">
        <f>IF(LEN(W93)=0,"",W93)</f>
        <v/>
      </c>
    </row>
    <row r="94" spans="1:45" x14ac:dyDescent="0.35">
      <c r="A94" s="366">
        <v>5</v>
      </c>
      <c r="B94" s="731" t="s">
        <v>385</v>
      </c>
      <c r="C94" s="731" t="s">
        <v>260</v>
      </c>
      <c r="D94" s="731"/>
      <c r="E94" s="731"/>
      <c r="F94" s="731"/>
      <c r="G94" s="366" t="str">
        <f ca="1">G93</f>
        <v/>
      </c>
      <c r="H94" s="732" t="s">
        <v>3970</v>
      </c>
      <c r="I94" s="50"/>
      <c r="J94" s="50"/>
      <c r="K94" s="50"/>
      <c r="L94" s="814"/>
      <c r="M94" s="40"/>
      <c r="N94" s="834"/>
      <c r="O94" s="834"/>
      <c r="X94" s="817"/>
      <c r="Y94" s="1100"/>
      <c r="Z94" s="1102"/>
    </row>
    <row r="95" spans="1:45" x14ac:dyDescent="0.35">
      <c r="A95" s="366">
        <v>5</v>
      </c>
      <c r="B95" s="731" t="s">
        <v>385</v>
      </c>
      <c r="C95" s="731" t="s">
        <v>260</v>
      </c>
      <c r="D95" s="731" t="s">
        <v>121</v>
      </c>
      <c r="E95" s="731"/>
      <c r="F95" s="731"/>
      <c r="G95" s="366" t="str">
        <f ca="1">G94</f>
        <v/>
      </c>
      <c r="H95" s="732" t="s">
        <v>3970</v>
      </c>
      <c r="I95" s="50"/>
      <c r="J95" s="50"/>
      <c r="K95" s="47" t="s">
        <v>121</v>
      </c>
      <c r="L95" s="90" t="s">
        <v>766</v>
      </c>
      <c r="M95" s="40">
        <v>1</v>
      </c>
      <c r="N95" s="41"/>
      <c r="O95" s="41"/>
      <c r="X95" s="817"/>
      <c r="Y95" s="1100"/>
      <c r="Z95" s="1102"/>
      <c r="AL95" t="str">
        <f>SUBSTITUTE(SUBSTITUTE(SUBSTITUTE("vpa"&amp;$B95&amp;$C95&amp;$D95&amp;$E95,".","_"),"(","_"),")","")</f>
        <v>vpa503_2_3_a</v>
      </c>
      <c r="AM95">
        <f>M95</f>
        <v>1</v>
      </c>
    </row>
    <row r="96" spans="1:45" x14ac:dyDescent="0.35">
      <c r="A96" s="366">
        <v>5</v>
      </c>
      <c r="B96" s="731" t="s">
        <v>385</v>
      </c>
      <c r="C96" s="731" t="s">
        <v>260</v>
      </c>
      <c r="D96" s="731" t="s">
        <v>122</v>
      </c>
      <c r="E96" s="731"/>
      <c r="F96" s="731"/>
      <c r="G96" s="366" t="str">
        <f ca="1">G95</f>
        <v/>
      </c>
      <c r="H96" s="732" t="s">
        <v>3970</v>
      </c>
      <c r="I96" s="50"/>
      <c r="J96" s="50"/>
      <c r="K96" s="47" t="s">
        <v>122</v>
      </c>
      <c r="L96" s="90" t="s">
        <v>390</v>
      </c>
      <c r="M96" s="40">
        <v>4</v>
      </c>
      <c r="N96" s="41"/>
      <c r="O96" s="41"/>
      <c r="X96" s="817"/>
      <c r="Y96" s="1100"/>
      <c r="Z96" s="1102"/>
      <c r="AL96" t="str">
        <f>SUBSTITUTE(SUBSTITUTE(SUBSTITUTE("vpa"&amp;$B96&amp;$C96&amp;$D96&amp;$E96,".","_"),"(","_"),")","")</f>
        <v>vpa503_2_3_b</v>
      </c>
      <c r="AM96">
        <f>M96</f>
        <v>4</v>
      </c>
    </row>
    <row r="97" spans="1:45" x14ac:dyDescent="0.35">
      <c r="A97" s="366">
        <v>5</v>
      </c>
      <c r="B97" s="731" t="s">
        <v>385</v>
      </c>
      <c r="C97" s="731" t="s">
        <v>260</v>
      </c>
      <c r="D97" s="733" t="s">
        <v>123</v>
      </c>
      <c r="E97" s="733"/>
      <c r="F97" s="733"/>
      <c r="G97" s="366" t="str">
        <f ca="1">G96</f>
        <v/>
      </c>
      <c r="H97" s="734" t="s">
        <v>3970</v>
      </c>
      <c r="I97" s="50"/>
      <c r="J97" s="103"/>
      <c r="K97" s="105" t="s">
        <v>123</v>
      </c>
      <c r="L97" s="228" t="s">
        <v>391</v>
      </c>
      <c r="M97" s="268">
        <v>6</v>
      </c>
      <c r="N97" s="546"/>
      <c r="O97" s="546"/>
      <c r="X97" s="817"/>
      <c r="Y97" s="1100"/>
      <c r="Z97" s="1102"/>
      <c r="AL97" t="str">
        <f>SUBSTITUTE(SUBSTITUTE(SUBSTITUTE("vpa"&amp;$B97&amp;$C97&amp;$D97&amp;$E97,".","_"),"(","_"),")","")</f>
        <v>vpa503_2_3_c</v>
      </c>
      <c r="AM97">
        <f>M97</f>
        <v>6</v>
      </c>
    </row>
    <row r="98" spans="1:45" x14ac:dyDescent="0.35">
      <c r="A98" s="366">
        <v>5</v>
      </c>
      <c r="B98" s="731" t="s">
        <v>385</v>
      </c>
      <c r="C98" s="731" t="s">
        <v>269</v>
      </c>
      <c r="D98" s="731"/>
      <c r="E98" s="731"/>
      <c r="F98" s="731"/>
      <c r="G98" s="366" t="str">
        <f>IF(N98&gt;0,"P","")</f>
        <v/>
      </c>
      <c r="H98" s="732" t="s">
        <v>3970</v>
      </c>
      <c r="I98" s="50"/>
      <c r="J98" s="47" t="s">
        <v>269</v>
      </c>
      <c r="K98" s="50"/>
      <c r="L98" s="814" t="s">
        <v>392</v>
      </c>
      <c r="M98" s="818">
        <v>6</v>
      </c>
      <c r="N98" s="834">
        <f>'Ch5'!O99</f>
        <v>0</v>
      </c>
      <c r="O98" s="834">
        <f>M98*W98*S98</f>
        <v>0</v>
      </c>
      <c r="P98" t="b">
        <v>1</v>
      </c>
      <c r="Q98" t="b">
        <v>1</v>
      </c>
      <c r="R98" t="b">
        <v>0</v>
      </c>
      <c r="S98" t="b">
        <f>S90</f>
        <v>0</v>
      </c>
      <c r="T98" t="b">
        <f>IF(AND(NOT(S98),W98=TRUE),TRUE,FALSE)</f>
        <v>0</v>
      </c>
      <c r="W98" s="17"/>
      <c r="X98" s="817"/>
      <c r="Y98" s="1100"/>
      <c r="Z98" s="1102"/>
      <c r="AA98" s="350" t="str">
        <f>IF(LEN('Photo Review'!I97)&gt;0,'Photo Review'!I97,"")</f>
        <v/>
      </c>
      <c r="AC98" t="b">
        <f>OR(AD98:AE98)</f>
        <v>0</v>
      </c>
      <c r="AD98" t="b">
        <f>T98</f>
        <v>0</v>
      </c>
      <c r="AL98" t="str">
        <f>SUBSTITUTE(SUBSTITUTE(SUBSTITUTE("vpa"&amp;$B98&amp;$C98&amp;$D98&amp;$E98,".","_"),"(","_"),")","")</f>
        <v>vpa503_2_4</v>
      </c>
      <c r="AM98">
        <f>M98</f>
        <v>6</v>
      </c>
      <c r="AN98" t="str">
        <f>SUBSTITUTE(SUBSTITUTE(SUBSTITUTE("vpc"&amp;$B98&amp;$C98&amp;$D98&amp;$E98,".","_"),"(","_"),")","")</f>
        <v>vpc503_2_4</v>
      </c>
      <c r="AO98">
        <f>O98</f>
        <v>0</v>
      </c>
      <c r="AP98" t="str">
        <f>SUBSTITUTE(SUBSTITUTE(SUBSTITUTE("vch"&amp;$B98&amp;$C98&amp;$D98&amp;$E98,".","_"),"(","_"),")","")</f>
        <v>vch503_2_4</v>
      </c>
      <c r="AQ98" t="str">
        <f>IF(LEN(W98)=0,"",W98)</f>
        <v/>
      </c>
    </row>
    <row r="99" spans="1:45" x14ac:dyDescent="0.35">
      <c r="A99" s="366">
        <v>5</v>
      </c>
      <c r="B99" s="731" t="s">
        <v>385</v>
      </c>
      <c r="C99" s="731" t="s">
        <v>269</v>
      </c>
      <c r="D99" s="731"/>
      <c r="E99" s="731"/>
      <c r="F99" s="731"/>
      <c r="G99" s="366" t="str">
        <f>G98</f>
        <v/>
      </c>
      <c r="H99" s="732" t="s">
        <v>3970</v>
      </c>
      <c r="I99" s="50"/>
      <c r="J99" s="103"/>
      <c r="K99" s="103"/>
      <c r="L99" s="815"/>
      <c r="M99" s="819"/>
      <c r="N99" s="835"/>
      <c r="O99" s="835"/>
      <c r="X99" s="817"/>
      <c r="Y99" s="1100"/>
      <c r="Z99" s="1102"/>
    </row>
    <row r="100" spans="1:45" ht="15" thickBot="1" x14ac:dyDescent="0.4">
      <c r="A100" s="366">
        <v>5</v>
      </c>
      <c r="B100" s="731" t="s">
        <v>385</v>
      </c>
      <c r="C100" s="731" t="s">
        <v>275</v>
      </c>
      <c r="D100" s="731"/>
      <c r="E100" s="731"/>
      <c r="F100" s="731"/>
      <c r="G100" s="366" t="str">
        <f>IF(N100&gt;0,"P","")</f>
        <v/>
      </c>
      <c r="H100" s="732" t="s">
        <v>3970</v>
      </c>
      <c r="I100" s="57"/>
      <c r="J100" s="52" t="s">
        <v>275</v>
      </c>
      <c r="K100" s="57"/>
      <c r="L100" s="229" t="s">
        <v>393</v>
      </c>
      <c r="M100" s="270">
        <v>5</v>
      </c>
      <c r="N100" s="72">
        <f>'Ch5'!O101</f>
        <v>0</v>
      </c>
      <c r="O100" s="72">
        <f>M100*W100*S100</f>
        <v>0</v>
      </c>
      <c r="P100" t="b">
        <v>1</v>
      </c>
      <c r="Q100" t="b">
        <v>1</v>
      </c>
      <c r="R100" s="55" t="b">
        <v>0</v>
      </c>
      <c r="S100" s="55" t="b">
        <f>S90</f>
        <v>0</v>
      </c>
      <c r="T100" s="55" t="b">
        <f>IF(AND(NOT(S100),W100=TRUE),TRUE,FALSE)</f>
        <v>0</v>
      </c>
      <c r="U100" s="55"/>
      <c r="V100" s="55"/>
      <c r="W100" s="17"/>
      <c r="X100" s="829"/>
      <c r="Y100" s="1101"/>
      <c r="Z100" s="1104"/>
      <c r="AC100" t="b">
        <f>OR(AD100:AE100)</f>
        <v>0</v>
      </c>
      <c r="AD100" t="b">
        <f>T100</f>
        <v>0</v>
      </c>
      <c r="AL100" t="str">
        <f>SUBSTITUTE(SUBSTITUTE(SUBSTITUTE("vpa"&amp;$B100&amp;$C100&amp;$D100&amp;$E100,".","_"),"(","_"),")","")</f>
        <v>vpa503_2_5</v>
      </c>
      <c r="AM100">
        <f>M100</f>
        <v>5</v>
      </c>
      <c r="AN100" t="str">
        <f>SUBSTITUTE(SUBSTITUTE(SUBSTITUTE("vpc"&amp;$B100&amp;$C100&amp;$D100&amp;$E100,".","_"),"(","_"),")","")</f>
        <v>vpc503_2_5</v>
      </c>
      <c r="AO100">
        <f>O100</f>
        <v>0</v>
      </c>
      <c r="AP100" t="str">
        <f>SUBSTITUTE(SUBSTITUTE(SUBSTITUTE("vch"&amp;$B100&amp;$C100&amp;$D100&amp;$E100,".","_"),"(","_"),")","")</f>
        <v>vch503_2_5</v>
      </c>
      <c r="AQ100" t="str">
        <f>IF(LEN(W100)=0,"",W100)</f>
        <v/>
      </c>
    </row>
    <row r="101" spans="1:45" ht="15" thickTop="1" x14ac:dyDescent="0.35">
      <c r="A101" s="366">
        <v>5</v>
      </c>
      <c r="B101" s="731" t="s">
        <v>394</v>
      </c>
      <c r="C101" s="731"/>
      <c r="D101" s="731"/>
      <c r="E101" s="731"/>
      <c r="F101" s="731"/>
      <c r="G101" s="727" t="str">
        <f>IF(COUNTIF(G104:G113,"P")&gt;0,"P","")</f>
        <v>P</v>
      </c>
      <c r="H101" s="732" t="s">
        <v>3971</v>
      </c>
      <c r="I101" s="60">
        <v>503.3</v>
      </c>
      <c r="J101" s="61"/>
      <c r="K101" s="61"/>
      <c r="L101" s="837" t="s">
        <v>395</v>
      </c>
      <c r="M101" s="267"/>
      <c r="N101" s="545"/>
      <c r="O101" s="545"/>
      <c r="P101" s="59"/>
      <c r="Q101" s="59"/>
      <c r="R101" s="59"/>
      <c r="S101" s="59"/>
      <c r="T101" s="59"/>
      <c r="U101" s="59"/>
      <c r="V101" s="59"/>
      <c r="W101" s="59"/>
      <c r="X101" s="840"/>
      <c r="Y101" s="1117" t="str">
        <f>IF(LEN('Ch5'!X102)=0,"None",'Ch5'!X102)</f>
        <v>None</v>
      </c>
      <c r="Z101" s="1103"/>
      <c r="AR101" t="str">
        <f>SUBSTITUTE(SUBSTITUTE(SUBSTITUTE("vnt"&amp;$B101&amp;$C101&amp;$D101&amp;$E101,".","_"),"(","_"),")","")</f>
        <v>vnt503_3</v>
      </c>
      <c r="AS101" t="str">
        <f>IF(LEN(X101)=0,"",X101)</f>
        <v/>
      </c>
    </row>
    <row r="102" spans="1:45" x14ac:dyDescent="0.35">
      <c r="A102" s="366">
        <v>5</v>
      </c>
      <c r="B102" s="731" t="s">
        <v>394</v>
      </c>
      <c r="C102" s="731"/>
      <c r="D102" s="731"/>
      <c r="E102" s="731"/>
      <c r="F102" s="731"/>
      <c r="G102" s="366" t="str">
        <f>G101</f>
        <v>P</v>
      </c>
      <c r="H102" s="732" t="s">
        <v>3971</v>
      </c>
      <c r="I102" s="50"/>
      <c r="J102" s="50"/>
      <c r="K102" s="50"/>
      <c r="L102" s="838"/>
      <c r="M102" s="40"/>
      <c r="N102" s="41"/>
      <c r="O102" s="41"/>
      <c r="X102" s="817"/>
      <c r="Y102" s="1100"/>
      <c r="Z102" s="1102"/>
    </row>
    <row r="103" spans="1:45" x14ac:dyDescent="0.35">
      <c r="A103" s="366">
        <v>5</v>
      </c>
      <c r="B103" s="731" t="s">
        <v>394</v>
      </c>
      <c r="C103" s="731"/>
      <c r="D103" s="731"/>
      <c r="E103" s="731"/>
      <c r="F103" s="731"/>
      <c r="G103" s="366" t="str">
        <f>G102</f>
        <v>P</v>
      </c>
      <c r="H103" s="732" t="s">
        <v>3971</v>
      </c>
      <c r="I103" s="50"/>
      <c r="J103" s="50"/>
      <c r="K103" s="50"/>
      <c r="L103" s="218" t="s">
        <v>767</v>
      </c>
      <c r="M103" s="40"/>
      <c r="N103" s="41"/>
      <c r="O103" s="41"/>
      <c r="X103" s="817"/>
      <c r="Y103" s="1100"/>
      <c r="Z103" s="1102"/>
    </row>
    <row r="104" spans="1:45" x14ac:dyDescent="0.35">
      <c r="A104" s="366">
        <v>5</v>
      </c>
      <c r="B104" s="731" t="s">
        <v>394</v>
      </c>
      <c r="C104" s="731" t="s">
        <v>256</v>
      </c>
      <c r="D104" s="731"/>
      <c r="E104" s="731"/>
      <c r="F104" s="731"/>
      <c r="G104" s="366" t="str">
        <f>IF(N104&gt;0,"P","")</f>
        <v/>
      </c>
      <c r="H104" s="732" t="s">
        <v>3971</v>
      </c>
      <c r="I104" s="50"/>
      <c r="J104" s="47" t="s">
        <v>256</v>
      </c>
      <c r="K104" s="50"/>
      <c r="L104" s="814" t="s">
        <v>396</v>
      </c>
      <c r="M104" s="818">
        <v>5</v>
      </c>
      <c r="N104" s="834">
        <f>'Ch5'!O105</f>
        <v>0</v>
      </c>
      <c r="O104" s="834">
        <f>M104*W104</f>
        <v>0</v>
      </c>
      <c r="P104" t="b">
        <v>1</v>
      </c>
      <c r="Q104" t="b">
        <v>0</v>
      </c>
      <c r="R104" t="b">
        <v>0</v>
      </c>
      <c r="S104" t="b">
        <v>1</v>
      </c>
      <c r="T104" t="b">
        <v>0</v>
      </c>
      <c r="W104" s="17"/>
      <c r="X104" s="817"/>
      <c r="Y104" s="1100"/>
      <c r="Z104" s="1102"/>
      <c r="AL104" t="str">
        <f>SUBSTITUTE(SUBSTITUTE(SUBSTITUTE("vpa"&amp;$B104&amp;$C104&amp;$D104&amp;$E104,".","_"),"(","_"),")","")</f>
        <v>vpa503_3_1</v>
      </c>
      <c r="AM104">
        <f>M104</f>
        <v>5</v>
      </c>
      <c r="AN104" t="str">
        <f>SUBSTITUTE(SUBSTITUTE(SUBSTITUTE("vpc"&amp;$B104&amp;$C104&amp;$D104&amp;$E104,".","_"),"(","_"),")","")</f>
        <v>vpc503_3_1</v>
      </c>
      <c r="AO104">
        <f>O104</f>
        <v>0</v>
      </c>
      <c r="AP104" t="str">
        <f>SUBSTITUTE(SUBSTITUTE(SUBSTITUTE("vch"&amp;$B104&amp;$C104&amp;$D104&amp;$E104,".","_"),"(","_"),")","")</f>
        <v>vch503_3_1</v>
      </c>
      <c r="AQ104" t="str">
        <f>IF(LEN(W104)=0,"",W104)</f>
        <v/>
      </c>
    </row>
    <row r="105" spans="1:45" x14ac:dyDescent="0.35">
      <c r="A105" s="366">
        <v>5</v>
      </c>
      <c r="B105" s="731" t="s">
        <v>394</v>
      </c>
      <c r="C105" s="731" t="s">
        <v>256</v>
      </c>
      <c r="D105" s="731"/>
      <c r="E105" s="731"/>
      <c r="F105" s="731"/>
      <c r="G105" s="366" t="str">
        <f>G104</f>
        <v/>
      </c>
      <c r="H105" s="732" t="s">
        <v>3971</v>
      </c>
      <c r="I105" s="50"/>
      <c r="J105" s="100"/>
      <c r="K105" s="103"/>
      <c r="L105" s="815"/>
      <c r="M105" s="819"/>
      <c r="N105" s="835"/>
      <c r="O105" s="835"/>
      <c r="X105" s="817"/>
      <c r="Y105" s="1100"/>
      <c r="Z105" s="1102"/>
    </row>
    <row r="106" spans="1:45" x14ac:dyDescent="0.35">
      <c r="A106" s="366">
        <v>5</v>
      </c>
      <c r="B106" s="731" t="s">
        <v>394</v>
      </c>
      <c r="C106" s="731" t="s">
        <v>258</v>
      </c>
      <c r="D106" s="731"/>
      <c r="E106" s="731"/>
      <c r="F106" s="731"/>
      <c r="G106" s="366" t="str">
        <f>IF(N106&gt;0,"P","")</f>
        <v/>
      </c>
      <c r="H106" s="732" t="s">
        <v>3971</v>
      </c>
      <c r="I106" s="50"/>
      <c r="J106" s="47" t="s">
        <v>258</v>
      </c>
      <c r="K106" s="50"/>
      <c r="L106" s="814" t="s">
        <v>397</v>
      </c>
      <c r="M106" s="822">
        <v>5</v>
      </c>
      <c r="N106" s="963">
        <f>'Ch5'!O107</f>
        <v>0</v>
      </c>
      <c r="O106" s="963">
        <f>M106*MIN(W108+W109+W111+W112,1)</f>
        <v>0</v>
      </c>
      <c r="P106" t="b">
        <v>1</v>
      </c>
      <c r="Q106" t="b">
        <v>0</v>
      </c>
      <c r="R106" t="b">
        <v>0</v>
      </c>
      <c r="S106" t="b">
        <v>1</v>
      </c>
      <c r="T106" t="b">
        <v>0</v>
      </c>
      <c r="X106" s="817"/>
      <c r="Y106" s="1100"/>
      <c r="Z106" s="1102"/>
      <c r="AL106" t="str">
        <f>SUBSTITUTE(SUBSTITUTE(SUBSTITUTE("vpa"&amp;$B106&amp;$C106&amp;$D106&amp;$E106,".","_"),"(","_"),")","")</f>
        <v>vpa503_3_2</v>
      </c>
      <c r="AM106">
        <f>M106</f>
        <v>5</v>
      </c>
      <c r="AN106" t="str">
        <f>SUBSTITUTE(SUBSTITUTE(SUBSTITUTE("vpc"&amp;$B106&amp;$C106&amp;$D106&amp;$E106,".","_"),"(","_"),")","")</f>
        <v>vpc503_3_2</v>
      </c>
      <c r="AO106">
        <f>O106</f>
        <v>0</v>
      </c>
    </row>
    <row r="107" spans="1:45" x14ac:dyDescent="0.35">
      <c r="A107" s="366">
        <v>5</v>
      </c>
      <c r="B107" s="731" t="s">
        <v>394</v>
      </c>
      <c r="C107" s="731" t="s">
        <v>258</v>
      </c>
      <c r="D107" s="731"/>
      <c r="E107" s="731"/>
      <c r="F107" s="731"/>
      <c r="G107" s="366" t="str">
        <f t="shared" ref="G107:G112" si="1">G106</f>
        <v/>
      </c>
      <c r="H107" s="732" t="s">
        <v>3971</v>
      </c>
      <c r="I107" s="50"/>
      <c r="J107" s="50"/>
      <c r="K107" s="50"/>
      <c r="L107" s="814"/>
      <c r="M107" s="818"/>
      <c r="N107" s="834"/>
      <c r="O107" s="834"/>
      <c r="X107" s="817"/>
      <c r="Y107" s="1100"/>
      <c r="Z107" s="1102"/>
    </row>
    <row r="108" spans="1:45" x14ac:dyDescent="0.35">
      <c r="A108" s="366">
        <v>5</v>
      </c>
      <c r="B108" s="731" t="s">
        <v>394</v>
      </c>
      <c r="C108" s="731" t="s">
        <v>258</v>
      </c>
      <c r="D108" s="731" t="s">
        <v>121</v>
      </c>
      <c r="E108" s="731"/>
      <c r="F108" s="731"/>
      <c r="G108" s="366" t="str">
        <f t="shared" si="1"/>
        <v/>
      </c>
      <c r="H108" s="732" t="s">
        <v>3971</v>
      </c>
      <c r="I108" s="50"/>
      <c r="J108" s="50"/>
      <c r="K108" s="47" t="s">
        <v>121</v>
      </c>
      <c r="L108" s="90" t="s">
        <v>398</v>
      </c>
      <c r="M108" s="818"/>
      <c r="N108" s="834"/>
      <c r="O108" s="834"/>
      <c r="P108" t="b">
        <v>1</v>
      </c>
      <c r="Q108" t="b">
        <v>0</v>
      </c>
      <c r="R108" t="b">
        <v>0</v>
      </c>
      <c r="S108" t="b">
        <v>1</v>
      </c>
      <c r="T108" t="b">
        <v>0</v>
      </c>
      <c r="W108" s="17"/>
      <c r="X108" s="817"/>
      <c r="Y108" s="1100"/>
      <c r="Z108" s="1102"/>
      <c r="AP108" t="str">
        <f>SUBSTITUTE(SUBSTITUTE(SUBSTITUTE("vch"&amp;$B108&amp;$C108&amp;$D108&amp;$E108,".","_"),"(","_"),")","")</f>
        <v>vch503_3_2_a</v>
      </c>
      <c r="AQ108" t="str">
        <f>IF(LEN(W108)=0,"",W108)</f>
        <v/>
      </c>
    </row>
    <row r="109" spans="1:45" x14ac:dyDescent="0.35">
      <c r="A109" s="366">
        <v>5</v>
      </c>
      <c r="B109" s="731" t="s">
        <v>394</v>
      </c>
      <c r="C109" s="731" t="s">
        <v>258</v>
      </c>
      <c r="D109" s="731" t="s">
        <v>122</v>
      </c>
      <c r="E109" s="731"/>
      <c r="F109" s="731"/>
      <c r="G109" s="366" t="str">
        <f t="shared" si="1"/>
        <v/>
      </c>
      <c r="H109" s="732" t="s">
        <v>3971</v>
      </c>
      <c r="I109" s="50"/>
      <c r="J109" s="50"/>
      <c r="K109" s="47" t="s">
        <v>122</v>
      </c>
      <c r="L109" s="814" t="s">
        <v>399</v>
      </c>
      <c r="M109" s="818"/>
      <c r="N109" s="834"/>
      <c r="O109" s="834"/>
      <c r="P109" t="b">
        <v>1</v>
      </c>
      <c r="Q109" t="b">
        <v>0</v>
      </c>
      <c r="R109" t="b">
        <v>0</v>
      </c>
      <c r="S109" t="b">
        <v>1</v>
      </c>
      <c r="T109" t="b">
        <v>0</v>
      </c>
      <c r="W109" s="17"/>
      <c r="X109" s="817"/>
      <c r="Y109" s="1100"/>
      <c r="Z109" s="1102"/>
      <c r="AP109" t="str">
        <f>SUBSTITUTE(SUBSTITUTE(SUBSTITUTE("vch"&amp;$B109&amp;$C109&amp;$D109&amp;$E109,".","_"),"(","_"),")","")</f>
        <v>vch503_3_2_b</v>
      </c>
      <c r="AQ109" t="str">
        <f>IF(LEN(W109)=0,"",W109)</f>
        <v/>
      </c>
    </row>
    <row r="110" spans="1:45" x14ac:dyDescent="0.35">
      <c r="A110" s="366">
        <v>5</v>
      </c>
      <c r="B110" s="731" t="s">
        <v>394</v>
      </c>
      <c r="C110" s="731" t="s">
        <v>258</v>
      </c>
      <c r="D110" s="731" t="s">
        <v>122</v>
      </c>
      <c r="E110" s="731"/>
      <c r="F110" s="731"/>
      <c r="G110" s="366" t="str">
        <f t="shared" si="1"/>
        <v/>
      </c>
      <c r="H110" s="732" t="s">
        <v>3971</v>
      </c>
      <c r="I110" s="50"/>
      <c r="J110" s="50"/>
      <c r="K110" s="50"/>
      <c r="L110" s="814"/>
      <c r="M110" s="818"/>
      <c r="N110" s="834"/>
      <c r="O110" s="834"/>
      <c r="X110" s="817"/>
      <c r="Y110" s="1100"/>
      <c r="Z110" s="1102"/>
    </row>
    <row r="111" spans="1:45" x14ac:dyDescent="0.35">
      <c r="A111" s="366">
        <v>5</v>
      </c>
      <c r="B111" s="731" t="s">
        <v>394</v>
      </c>
      <c r="C111" s="731" t="s">
        <v>258</v>
      </c>
      <c r="D111" s="733" t="s">
        <v>123</v>
      </c>
      <c r="E111" s="733"/>
      <c r="F111" s="733"/>
      <c r="G111" s="366" t="str">
        <f t="shared" si="1"/>
        <v/>
      </c>
      <c r="H111" s="734" t="s">
        <v>3971</v>
      </c>
      <c r="I111" s="50"/>
      <c r="J111" s="50"/>
      <c r="K111" s="49" t="s">
        <v>123</v>
      </c>
      <c r="L111" s="90" t="s">
        <v>400</v>
      </c>
      <c r="M111" s="818"/>
      <c r="N111" s="834"/>
      <c r="O111" s="834"/>
      <c r="P111" t="b">
        <v>1</v>
      </c>
      <c r="Q111" t="b">
        <v>0</v>
      </c>
      <c r="R111" t="b">
        <v>0</v>
      </c>
      <c r="S111" t="b">
        <v>1</v>
      </c>
      <c r="T111" t="b">
        <v>0</v>
      </c>
      <c r="W111" s="17"/>
      <c r="X111" s="817"/>
      <c r="Y111" s="1100"/>
      <c r="Z111" s="1102"/>
      <c r="AP111" t="str">
        <f>SUBSTITUTE(SUBSTITUTE(SUBSTITUTE("vch"&amp;$B111&amp;$C111&amp;$D111&amp;$E111,".","_"),"(","_"),")","")</f>
        <v>vch503_3_2_c</v>
      </c>
      <c r="AQ111" t="str">
        <f>IF(LEN(W111)=0,"",W111)</f>
        <v/>
      </c>
    </row>
    <row r="112" spans="1:45" x14ac:dyDescent="0.35">
      <c r="A112" s="366">
        <v>5</v>
      </c>
      <c r="B112" s="731" t="s">
        <v>394</v>
      </c>
      <c r="C112" s="731" t="s">
        <v>258</v>
      </c>
      <c r="D112" s="733" t="s">
        <v>401</v>
      </c>
      <c r="E112" s="733"/>
      <c r="F112" s="733"/>
      <c r="G112" s="366" t="str">
        <f t="shared" si="1"/>
        <v/>
      </c>
      <c r="H112" s="734" t="s">
        <v>3971</v>
      </c>
      <c r="I112" s="50"/>
      <c r="J112" s="103"/>
      <c r="K112" s="105" t="s">
        <v>401</v>
      </c>
      <c r="L112" s="228" t="s">
        <v>402</v>
      </c>
      <c r="M112" s="819"/>
      <c r="N112" s="835"/>
      <c r="O112" s="835"/>
      <c r="P112" t="b">
        <v>1</v>
      </c>
      <c r="Q112" t="b">
        <v>0</v>
      </c>
      <c r="R112" t="b">
        <v>0</v>
      </c>
      <c r="S112" t="b">
        <v>1</v>
      </c>
      <c r="T112" t="b">
        <v>0</v>
      </c>
      <c r="W112" s="17"/>
      <c r="X112" s="817"/>
      <c r="Y112" s="1100"/>
      <c r="Z112" s="1102"/>
      <c r="AP112" t="str">
        <f>SUBSTITUTE(SUBSTITUTE(SUBSTITUTE("vch"&amp;$B112&amp;$C112&amp;$D112&amp;$E112,".","_"),"(","_"),")","")</f>
        <v>vch503_3_2_d</v>
      </c>
      <c r="AQ112" t="str">
        <f>IF(LEN(W112)=0,"",W112)</f>
        <v/>
      </c>
    </row>
    <row r="113" spans="1:45" ht="15" thickBot="1" x14ac:dyDescent="0.4">
      <c r="A113" s="366">
        <v>5</v>
      </c>
      <c r="B113" s="731" t="s">
        <v>394</v>
      </c>
      <c r="C113" s="731" t="s">
        <v>260</v>
      </c>
      <c r="D113" s="731"/>
      <c r="E113" s="731"/>
      <c r="F113" s="731"/>
      <c r="G113" s="366" t="str">
        <f>IF(N113&gt;0,"P","")</f>
        <v>P</v>
      </c>
      <c r="H113" s="732" t="s">
        <v>3971</v>
      </c>
      <c r="I113" s="57"/>
      <c r="J113" s="52" t="s">
        <v>260</v>
      </c>
      <c r="K113" s="57"/>
      <c r="L113" s="229" t="s">
        <v>403</v>
      </c>
      <c r="M113" s="270">
        <v>5</v>
      </c>
      <c r="N113" s="72">
        <f>'Ch5'!O114</f>
        <v>5</v>
      </c>
      <c r="O113" s="72">
        <f>M113*W113</f>
        <v>0</v>
      </c>
      <c r="P113" t="b">
        <v>1</v>
      </c>
      <c r="Q113" t="b">
        <v>0</v>
      </c>
      <c r="R113" s="55" t="b">
        <v>0</v>
      </c>
      <c r="S113" s="55" t="b">
        <v>1</v>
      </c>
      <c r="T113" s="55" t="b">
        <v>0</v>
      </c>
      <c r="U113" s="55"/>
      <c r="V113" s="55"/>
      <c r="W113" s="111"/>
      <c r="X113" s="829"/>
      <c r="Y113" s="1101"/>
      <c r="Z113" s="1104"/>
      <c r="AL113" t="str">
        <f>SUBSTITUTE(SUBSTITUTE(SUBSTITUTE("vpa"&amp;$B113&amp;$C113&amp;$D113&amp;$E113,".","_"),"(","_"),")","")</f>
        <v>vpa503_3_3</v>
      </c>
      <c r="AM113">
        <f>M113</f>
        <v>5</v>
      </c>
      <c r="AN113" t="str">
        <f>SUBSTITUTE(SUBSTITUTE(SUBSTITUTE("vpc"&amp;$B113&amp;$C113&amp;$D113&amp;$E113,".","_"),"(","_"),")","")</f>
        <v>vpc503_3_3</v>
      </c>
      <c r="AO113">
        <f>O113</f>
        <v>0</v>
      </c>
      <c r="AP113" t="str">
        <f>SUBSTITUTE(SUBSTITUTE(SUBSTITUTE("vch"&amp;$B113&amp;$C113&amp;$D113&amp;$E113,".","_"),"(","_"),")","")</f>
        <v>vch503_3_3</v>
      </c>
      <c r="AQ113" t="str">
        <f>IF(LEN(W113)=0,"",W113)</f>
        <v/>
      </c>
    </row>
    <row r="114" spans="1:45" ht="15" thickTop="1" x14ac:dyDescent="0.35">
      <c r="A114" s="366">
        <v>5</v>
      </c>
      <c r="B114" s="731" t="s">
        <v>404</v>
      </c>
      <c r="C114" s="731"/>
      <c r="D114" s="731"/>
      <c r="E114" s="731"/>
      <c r="F114" s="731"/>
      <c r="G114" s="727" t="str">
        <f ca="1">IF(COUNTIF(G121:G142,"P")&gt;0,"P","")</f>
        <v>P</v>
      </c>
      <c r="H114" s="732" t="s">
        <v>3970</v>
      </c>
      <c r="I114" s="31">
        <v>503.4</v>
      </c>
      <c r="J114" s="50"/>
      <c r="K114" s="50"/>
      <c r="L114" s="837" t="s">
        <v>405</v>
      </c>
      <c r="M114" s="40"/>
      <c r="N114" s="41"/>
      <c r="O114" s="41"/>
      <c r="W114" s="110"/>
      <c r="X114" s="864"/>
      <c r="Y114" s="1118" t="str">
        <f>IF(LEN('Ch5'!X115)=0,"None",'Ch5'!X115)</f>
        <v>None</v>
      </c>
      <c r="Z114" s="1103"/>
      <c r="AR114" t="str">
        <f>SUBSTITUTE(SUBSTITUTE(SUBSTITUTE("vnt"&amp;$B114&amp;$C114&amp;$D114&amp;$E114,".","_"),"(","_"),")","")</f>
        <v>vnt503_4</v>
      </c>
      <c r="AS114" t="str">
        <f>IF(LEN(X114)=0,"",X114)</f>
        <v/>
      </c>
    </row>
    <row r="115" spans="1:45" x14ac:dyDescent="0.35">
      <c r="A115" s="366">
        <v>5</v>
      </c>
      <c r="B115" s="731" t="s">
        <v>404</v>
      </c>
      <c r="C115" s="731"/>
      <c r="D115" s="731"/>
      <c r="E115" s="731"/>
      <c r="F115" s="731"/>
      <c r="G115" s="366" t="str">
        <f ca="1">G114</f>
        <v>P</v>
      </c>
      <c r="H115" s="732" t="s">
        <v>3970</v>
      </c>
      <c r="I115" s="50"/>
      <c r="J115" s="50"/>
      <c r="K115" s="50"/>
      <c r="L115" s="838"/>
      <c r="M115" s="40"/>
      <c r="N115" s="41"/>
      <c r="O115" s="41"/>
      <c r="X115" s="851"/>
      <c r="Y115" s="1100"/>
      <c r="Z115" s="1102"/>
    </row>
    <row r="116" spans="1:45" x14ac:dyDescent="0.35">
      <c r="A116" s="366">
        <v>5</v>
      </c>
      <c r="B116" s="731" t="s">
        <v>404</v>
      </c>
      <c r="C116" s="731"/>
      <c r="D116" s="731"/>
      <c r="E116" s="731"/>
      <c r="F116" s="731"/>
      <c r="G116" s="366" t="str">
        <f ca="1">G115</f>
        <v>P</v>
      </c>
      <c r="H116" s="732" t="s">
        <v>3970</v>
      </c>
      <c r="I116" s="50"/>
      <c r="J116" s="50"/>
      <c r="K116" s="50"/>
      <c r="L116" s="838"/>
      <c r="M116" s="40"/>
      <c r="N116" s="41"/>
      <c r="O116" s="41"/>
      <c r="X116" s="851"/>
      <c r="Y116" s="1100"/>
      <c r="Z116" s="1102"/>
    </row>
    <row r="117" spans="1:45" x14ac:dyDescent="0.35">
      <c r="A117" s="366">
        <v>5</v>
      </c>
      <c r="B117" s="731" t="s">
        <v>404</v>
      </c>
      <c r="C117" s="731"/>
      <c r="D117" s="731"/>
      <c r="E117" s="731"/>
      <c r="F117" s="731"/>
      <c r="G117" s="366" t="str">
        <f ca="1">G116</f>
        <v>P</v>
      </c>
      <c r="H117" s="732" t="s">
        <v>3970</v>
      </c>
      <c r="I117" s="50"/>
      <c r="J117" s="50"/>
      <c r="K117" s="50"/>
      <c r="L117" s="838"/>
      <c r="M117" s="40"/>
      <c r="N117" s="41"/>
      <c r="O117" s="41"/>
      <c r="X117" s="851"/>
      <c r="Y117" s="1100"/>
      <c r="Z117" s="1102"/>
    </row>
    <row r="118" spans="1:45" x14ac:dyDescent="0.35">
      <c r="A118" s="366">
        <v>5</v>
      </c>
      <c r="B118" s="731" t="s">
        <v>404</v>
      </c>
      <c r="C118" s="731"/>
      <c r="D118" s="731"/>
      <c r="E118" s="731"/>
      <c r="F118" s="731"/>
      <c r="H118" s="732"/>
      <c r="I118" s="50"/>
      <c r="J118" s="50"/>
      <c r="K118" s="50"/>
      <c r="L118" s="855" t="s">
        <v>2964</v>
      </c>
      <c r="M118" s="40"/>
      <c r="N118" s="41"/>
      <c r="O118" s="41"/>
      <c r="X118" s="851"/>
      <c r="Y118" s="1100"/>
      <c r="Z118" s="1102"/>
    </row>
    <row r="119" spans="1:45" x14ac:dyDescent="0.35">
      <c r="A119" s="366">
        <v>5</v>
      </c>
      <c r="B119" s="731" t="s">
        <v>404</v>
      </c>
      <c r="C119" s="731"/>
      <c r="D119" s="731"/>
      <c r="E119" s="731"/>
      <c r="F119" s="731"/>
      <c r="H119" s="732"/>
      <c r="I119" s="50"/>
      <c r="J119" s="50"/>
      <c r="K119" s="50"/>
      <c r="L119" s="855"/>
      <c r="M119" s="40"/>
      <c r="N119" s="41"/>
      <c r="O119" s="41"/>
      <c r="X119" s="851"/>
      <c r="Y119" s="1100"/>
      <c r="Z119" s="1102"/>
    </row>
    <row r="120" spans="1:45" x14ac:dyDescent="0.35">
      <c r="A120" s="366">
        <v>5</v>
      </c>
      <c r="B120" s="731" t="s">
        <v>404</v>
      </c>
      <c r="C120" s="731"/>
      <c r="D120" s="731"/>
      <c r="E120" s="731"/>
      <c r="F120" s="731"/>
      <c r="H120" s="732"/>
      <c r="I120" s="50"/>
      <c r="J120" s="50"/>
      <c r="K120" s="50"/>
      <c r="L120" s="855"/>
      <c r="M120" s="40"/>
      <c r="N120" s="41"/>
      <c r="O120" s="41"/>
      <c r="X120" s="816"/>
      <c r="Y120" s="1100"/>
      <c r="Z120" s="1102"/>
    </row>
    <row r="121" spans="1:45" x14ac:dyDescent="0.35">
      <c r="A121" s="366">
        <v>5</v>
      </c>
      <c r="B121" s="731" t="s">
        <v>404</v>
      </c>
      <c r="C121" s="731" t="s">
        <v>256</v>
      </c>
      <c r="D121" s="731"/>
      <c r="E121" s="731"/>
      <c r="F121" s="731"/>
      <c r="G121" s="366" t="str">
        <f>IF(N121&gt;0,"P","")</f>
        <v/>
      </c>
      <c r="H121" s="732" t="s">
        <v>3971</v>
      </c>
      <c r="I121" s="50"/>
      <c r="J121" s="47" t="s">
        <v>256</v>
      </c>
      <c r="K121" s="50"/>
      <c r="L121" s="814" t="s">
        <v>406</v>
      </c>
      <c r="M121" s="818">
        <v>7</v>
      </c>
      <c r="N121" s="834">
        <f>'Ch5'!O122</f>
        <v>0</v>
      </c>
      <c r="O121" s="834">
        <f>M121*W121</f>
        <v>0</v>
      </c>
      <c r="P121" t="b">
        <v>1</v>
      </c>
      <c r="Q121" t="b">
        <v>0</v>
      </c>
      <c r="R121" t="b">
        <v>0</v>
      </c>
      <c r="S121" t="b">
        <v>1</v>
      </c>
      <c r="T121" t="b">
        <v>0</v>
      </c>
      <c r="W121" s="17"/>
      <c r="X121" s="817"/>
      <c r="Y121" s="1100" t="str">
        <f>IF(LEN('Ch5'!X122)=0,"None",'Ch5'!X122)</f>
        <v>None</v>
      </c>
      <c r="Z121" s="1102"/>
      <c r="AL121" t="str">
        <f>SUBSTITUTE(SUBSTITUTE(SUBSTITUTE("vpa"&amp;$B121&amp;$C121&amp;$D121&amp;$E121,".","_"),"(","_"),")","")</f>
        <v>vpa503_4_1</v>
      </c>
      <c r="AM121">
        <f>M121</f>
        <v>7</v>
      </c>
      <c r="AN121" t="str">
        <f>SUBSTITUTE(SUBSTITUTE(SUBSTITUTE("vpc"&amp;$B121&amp;$C121&amp;$D121&amp;$E121,".","_"),"(","_"),")","")</f>
        <v>vpc503_4_1</v>
      </c>
      <c r="AO121">
        <f>O121</f>
        <v>0</v>
      </c>
      <c r="AP121" t="str">
        <f>SUBSTITUTE(SUBSTITUTE(SUBSTITUTE("vch"&amp;$B121&amp;$C121&amp;$D121&amp;$E121,".","_"),"(","_"),")","")</f>
        <v>vch503_4_1</v>
      </c>
      <c r="AQ121" t="str">
        <f>IF(LEN(W121)=0,"",W121)</f>
        <v/>
      </c>
      <c r="AR121" t="str">
        <f>SUBSTITUTE(SUBSTITUTE(SUBSTITUTE("vnt"&amp;$B121&amp;$C121&amp;$D121&amp;$E121,".","_"),"(","_"),")","")</f>
        <v>vnt503_4_1</v>
      </c>
      <c r="AS121" t="str">
        <f>IF(LEN(X121)=0,"",X121)</f>
        <v/>
      </c>
    </row>
    <row r="122" spans="1:45" x14ac:dyDescent="0.35">
      <c r="A122" s="366">
        <v>5</v>
      </c>
      <c r="B122" s="731" t="s">
        <v>404</v>
      </c>
      <c r="C122" s="731" t="s">
        <v>256</v>
      </c>
      <c r="D122" s="731"/>
      <c r="E122" s="731"/>
      <c r="F122" s="731"/>
      <c r="G122" s="366" t="str">
        <f>G121</f>
        <v/>
      </c>
      <c r="H122" s="732" t="s">
        <v>3971</v>
      </c>
      <c r="I122" s="50"/>
      <c r="J122" s="47"/>
      <c r="K122" s="50"/>
      <c r="L122" s="814"/>
      <c r="M122" s="818"/>
      <c r="N122" s="834"/>
      <c r="O122" s="834"/>
      <c r="X122" s="817"/>
      <c r="Y122" s="1100"/>
      <c r="Z122" s="1102"/>
    </row>
    <row r="123" spans="1:45" x14ac:dyDescent="0.35">
      <c r="A123" s="366">
        <v>5</v>
      </c>
      <c r="B123" s="731" t="s">
        <v>404</v>
      </c>
      <c r="C123" s="731" t="s">
        <v>256</v>
      </c>
      <c r="D123" s="731"/>
      <c r="E123" s="731"/>
      <c r="F123" s="731"/>
      <c r="G123" s="366" t="str">
        <f>G122</f>
        <v/>
      </c>
      <c r="H123" s="732" t="s">
        <v>3971</v>
      </c>
      <c r="I123" s="50"/>
      <c r="J123" s="103"/>
      <c r="K123" s="103"/>
      <c r="L123" s="815"/>
      <c r="M123" s="819"/>
      <c r="N123" s="835"/>
      <c r="O123" s="835"/>
      <c r="X123" s="817"/>
      <c r="Y123" s="1100"/>
      <c r="Z123" s="1102"/>
    </row>
    <row r="124" spans="1:45" x14ac:dyDescent="0.35">
      <c r="A124" s="366">
        <v>5</v>
      </c>
      <c r="B124" s="731" t="s">
        <v>404</v>
      </c>
      <c r="C124" s="731" t="s">
        <v>258</v>
      </c>
      <c r="D124" s="731"/>
      <c r="E124" s="731"/>
      <c r="F124" s="731"/>
      <c r="G124" s="366" t="str">
        <f>IF(N124&gt;0,"P","")</f>
        <v/>
      </c>
      <c r="H124" s="732" t="s">
        <v>3971</v>
      </c>
      <c r="I124" s="50"/>
      <c r="J124" s="47" t="s">
        <v>258</v>
      </c>
      <c r="K124" s="50"/>
      <c r="L124" s="814" t="s">
        <v>407</v>
      </c>
      <c r="M124" s="818">
        <v>10</v>
      </c>
      <c r="N124" s="834">
        <f>'Ch5'!O125</f>
        <v>0</v>
      </c>
      <c r="O124" s="834">
        <f>M124*W124</f>
        <v>0</v>
      </c>
      <c r="P124" t="b">
        <v>1</v>
      </c>
      <c r="Q124" t="b">
        <v>0</v>
      </c>
      <c r="R124" t="b">
        <v>0</v>
      </c>
      <c r="S124" t="b">
        <v>1</v>
      </c>
      <c r="T124" t="b">
        <v>0</v>
      </c>
      <c r="W124" s="17"/>
      <c r="X124" s="817"/>
      <c r="Y124" s="1100" t="str">
        <f>IF(LEN('Ch5'!X125)=0,"None",'Ch5'!X125)</f>
        <v>None</v>
      </c>
      <c r="Z124" s="1102"/>
      <c r="AL124" t="str">
        <f>SUBSTITUTE(SUBSTITUTE(SUBSTITUTE("vpa"&amp;$B124&amp;$C124&amp;$D124&amp;$E124,".","_"),"(","_"),")","")</f>
        <v>vpa503_4_2</v>
      </c>
      <c r="AM124">
        <f>M124</f>
        <v>10</v>
      </c>
      <c r="AN124" t="str">
        <f>SUBSTITUTE(SUBSTITUTE(SUBSTITUTE("vpc"&amp;$B124&amp;$C124&amp;$D124&amp;$E124,".","_"),"(","_"),")","")</f>
        <v>vpc503_4_2</v>
      </c>
      <c r="AO124">
        <f>O124</f>
        <v>0</v>
      </c>
      <c r="AP124" t="str">
        <f>SUBSTITUTE(SUBSTITUTE(SUBSTITUTE("vch"&amp;$B124&amp;$C124&amp;$D124&amp;$E124,".","_"),"(","_"),")","")</f>
        <v>vch503_4_2</v>
      </c>
      <c r="AQ124" t="str">
        <f>IF(LEN(W124)=0,"",W124)</f>
        <v/>
      </c>
      <c r="AR124" t="str">
        <f>SUBSTITUTE(SUBSTITUTE(SUBSTITUTE("vnt"&amp;$B124&amp;$C124&amp;$D124&amp;$E124,".","_"),"(","_"),")","")</f>
        <v>vnt503_4_2</v>
      </c>
      <c r="AS124" t="str">
        <f>IF(LEN(X124)=0,"",X124)</f>
        <v/>
      </c>
    </row>
    <row r="125" spans="1:45" x14ac:dyDescent="0.35">
      <c r="A125" s="366">
        <v>5</v>
      </c>
      <c r="B125" s="731" t="s">
        <v>404</v>
      </c>
      <c r="C125" s="731" t="s">
        <v>258</v>
      </c>
      <c r="D125" s="731"/>
      <c r="E125" s="731"/>
      <c r="F125" s="731"/>
      <c r="G125" s="366" t="str">
        <f>G124</f>
        <v/>
      </c>
      <c r="H125" s="732" t="s">
        <v>3971</v>
      </c>
      <c r="I125" s="50"/>
      <c r="J125" s="50"/>
      <c r="K125" s="50"/>
      <c r="L125" s="814"/>
      <c r="M125" s="818"/>
      <c r="N125" s="834"/>
      <c r="O125" s="834"/>
      <c r="X125" s="817"/>
      <c r="Y125" s="1100"/>
      <c r="Z125" s="1102"/>
    </row>
    <row r="126" spans="1:45" x14ac:dyDescent="0.35">
      <c r="A126" s="366">
        <v>5</v>
      </c>
      <c r="B126" s="731" t="s">
        <v>404</v>
      </c>
      <c r="C126" s="731" t="s">
        <v>258</v>
      </c>
      <c r="D126" s="731"/>
      <c r="E126" s="731"/>
      <c r="F126" s="731"/>
      <c r="G126" s="366" t="str">
        <f>G125</f>
        <v/>
      </c>
      <c r="H126" s="732" t="s">
        <v>3971</v>
      </c>
      <c r="I126" s="50"/>
      <c r="J126" s="50"/>
      <c r="K126" s="50"/>
      <c r="L126" s="814"/>
      <c r="M126" s="818"/>
      <c r="N126" s="834"/>
      <c r="O126" s="834"/>
      <c r="X126" s="817"/>
      <c r="Y126" s="1100"/>
      <c r="Z126" s="1102"/>
    </row>
    <row r="127" spans="1:45" x14ac:dyDescent="0.35">
      <c r="A127" s="366">
        <v>5</v>
      </c>
      <c r="B127" s="731" t="s">
        <v>404</v>
      </c>
      <c r="C127" s="731" t="s">
        <v>258</v>
      </c>
      <c r="D127" s="731"/>
      <c r="E127" s="731"/>
      <c r="F127" s="731"/>
      <c r="G127" s="366" t="str">
        <f>G126</f>
        <v/>
      </c>
      <c r="H127" s="732" t="s">
        <v>3971</v>
      </c>
      <c r="I127" s="50"/>
      <c r="J127" s="103"/>
      <c r="K127" s="103"/>
      <c r="L127" s="815"/>
      <c r="M127" s="819"/>
      <c r="N127" s="835"/>
      <c r="O127" s="835"/>
      <c r="X127" s="817"/>
      <c r="Y127" s="1100"/>
      <c r="Z127" s="1102"/>
    </row>
    <row r="128" spans="1:45" x14ac:dyDescent="0.35">
      <c r="A128" s="366">
        <v>5</v>
      </c>
      <c r="B128" s="731" t="s">
        <v>404</v>
      </c>
      <c r="C128" s="731" t="s">
        <v>260</v>
      </c>
      <c r="D128" s="731"/>
      <c r="E128" s="731"/>
      <c r="F128" s="731"/>
      <c r="G128" s="366" t="str">
        <f ca="1">IF(N128&gt;0,"P","")</f>
        <v/>
      </c>
      <c r="H128" s="732" t="s">
        <v>3971</v>
      </c>
      <c r="I128" s="50"/>
      <c r="J128" s="47" t="s">
        <v>260</v>
      </c>
      <c r="K128" s="50"/>
      <c r="L128" s="814" t="s">
        <v>408</v>
      </c>
      <c r="M128" s="40"/>
      <c r="N128" s="834">
        <f ca="1">'Ch5'!O129</f>
        <v>0</v>
      </c>
      <c r="O128" s="834">
        <f ca="1">S128*IFERROR(INDEX({5,8,10},MATCH(W128,INDIRECT(U128))),0)</f>
        <v>0</v>
      </c>
      <c r="P128" t="b">
        <v>1</v>
      </c>
      <c r="Q128" t="b">
        <v>0</v>
      </c>
      <c r="R128" t="b">
        <v>0</v>
      </c>
      <c r="S128" t="b">
        <v>1</v>
      </c>
      <c r="T128" t="b">
        <v>0</v>
      </c>
      <c r="U128" t="str">
        <f>SUBSTITUTE(SUBSTITUTE(SUBSTITUTE("dd"&amp;B128&amp;C128&amp;D128&amp;E128&amp;F128,".","_"),"(","_"),")","")</f>
        <v>dd503_4_3</v>
      </c>
      <c r="W128" s="9"/>
      <c r="X128" s="817"/>
      <c r="Y128" s="1100" t="str">
        <f>IF(LEN('Ch5'!X129)=0,"None",'Ch5'!X129)</f>
        <v>None</v>
      </c>
      <c r="Z128" s="1102"/>
      <c r="AN128" t="str">
        <f>SUBSTITUTE(SUBSTITUTE(SUBSTITUTE("vpc"&amp;$B128&amp;$C128&amp;$D128&amp;$E128,".","_"),"(","_"),")","")</f>
        <v>vpc503_4_3</v>
      </c>
      <c r="AO128">
        <f ca="1">O128</f>
        <v>0</v>
      </c>
      <c r="AP128" t="str">
        <f>SUBSTITUTE(SUBSTITUTE(SUBSTITUTE("vch"&amp;$B128&amp;$C128&amp;$D128&amp;$E128,".","_"),"(","_"),")","")</f>
        <v>vch503_4_3</v>
      </c>
      <c r="AQ128" t="str">
        <f>IF(LEN(W128)=0,"",W128)</f>
        <v/>
      </c>
      <c r="AR128" t="str">
        <f>SUBSTITUTE(SUBSTITUTE(SUBSTITUTE("vnt"&amp;$B128&amp;$C128&amp;$D128&amp;$E128,".","_"),"(","_"),")","")</f>
        <v>vnt503_4_3</v>
      </c>
      <c r="AS128" t="str">
        <f>IF(LEN(X128)=0,"",X128)</f>
        <v/>
      </c>
    </row>
    <row r="129" spans="1:45" x14ac:dyDescent="0.35">
      <c r="A129" s="366">
        <v>5</v>
      </c>
      <c r="B129" s="731" t="s">
        <v>404</v>
      </c>
      <c r="C129" s="731" t="s">
        <v>260</v>
      </c>
      <c r="D129" s="731"/>
      <c r="E129" s="731"/>
      <c r="F129" s="731"/>
      <c r="G129" s="366" t="str">
        <f t="shared" ref="G129:G134" ca="1" si="2">G128</f>
        <v/>
      </c>
      <c r="H129" s="732" t="s">
        <v>3971</v>
      </c>
      <c r="I129" s="50"/>
      <c r="J129" s="50"/>
      <c r="K129" s="50"/>
      <c r="L129" s="814"/>
      <c r="M129" s="40"/>
      <c r="N129" s="834"/>
      <c r="O129" s="834"/>
      <c r="X129" s="817"/>
      <c r="Y129" s="1100"/>
      <c r="Z129" s="1102"/>
    </row>
    <row r="130" spans="1:45" x14ac:dyDescent="0.35">
      <c r="A130" s="366">
        <v>5</v>
      </c>
      <c r="B130" s="731" t="s">
        <v>404</v>
      </c>
      <c r="C130" s="731" t="s">
        <v>260</v>
      </c>
      <c r="D130" s="731"/>
      <c r="E130" s="731"/>
      <c r="F130" s="731"/>
      <c r="G130" s="366" t="str">
        <f t="shared" ca="1" si="2"/>
        <v/>
      </c>
      <c r="H130" s="732" t="s">
        <v>3971</v>
      </c>
      <c r="I130" s="50"/>
      <c r="J130" s="50"/>
      <c r="K130" s="50"/>
      <c r="L130" s="814"/>
      <c r="M130" s="40"/>
      <c r="N130" s="834"/>
      <c r="O130" s="834"/>
      <c r="X130" s="817"/>
      <c r="Y130" s="1100"/>
      <c r="Z130" s="1102"/>
    </row>
    <row r="131" spans="1:45" x14ac:dyDescent="0.35">
      <c r="A131" s="366">
        <v>5</v>
      </c>
      <c r="B131" s="731" t="s">
        <v>404</v>
      </c>
      <c r="C131" s="731" t="s">
        <v>260</v>
      </c>
      <c r="D131" s="731"/>
      <c r="E131" s="731"/>
      <c r="F131" s="731"/>
      <c r="G131" s="366" t="str">
        <f t="shared" ca="1" si="2"/>
        <v/>
      </c>
      <c r="H131" s="732" t="s">
        <v>3971</v>
      </c>
      <c r="I131" s="50"/>
      <c r="J131" s="50"/>
      <c r="K131" s="50"/>
      <c r="L131" s="814"/>
      <c r="M131" s="40"/>
      <c r="N131" s="834"/>
      <c r="O131" s="834"/>
      <c r="X131" s="817"/>
      <c r="Y131" s="1100"/>
      <c r="Z131" s="1102"/>
    </row>
    <row r="132" spans="1:45" x14ac:dyDescent="0.35">
      <c r="A132" s="366">
        <v>5</v>
      </c>
      <c r="B132" s="731" t="s">
        <v>404</v>
      </c>
      <c r="C132" s="731" t="s">
        <v>260</v>
      </c>
      <c r="D132" s="731" t="s">
        <v>121</v>
      </c>
      <c r="E132" s="731"/>
      <c r="F132" s="731"/>
      <c r="G132" s="366" t="str">
        <f t="shared" ca="1" si="2"/>
        <v/>
      </c>
      <c r="H132" s="732" t="s">
        <v>3971</v>
      </c>
      <c r="I132" s="50"/>
      <c r="J132" s="50"/>
      <c r="K132" s="47" t="s">
        <v>121</v>
      </c>
      <c r="L132" s="90" t="s">
        <v>409</v>
      </c>
      <c r="M132" s="40">
        <v>5</v>
      </c>
      <c r="N132" s="41"/>
      <c r="O132" s="41"/>
      <c r="X132" s="817"/>
      <c r="Y132" s="1100"/>
      <c r="Z132" s="1102"/>
      <c r="AL132" t="str">
        <f>SUBSTITUTE(SUBSTITUTE(SUBSTITUTE("vpa"&amp;$B132&amp;$C132&amp;$D132&amp;$E132,".","_"),"(","_"),")","")</f>
        <v>vpa503_4_3_a</v>
      </c>
      <c r="AM132">
        <f>M132</f>
        <v>5</v>
      </c>
    </row>
    <row r="133" spans="1:45" x14ac:dyDescent="0.35">
      <c r="A133" s="366">
        <v>5</v>
      </c>
      <c r="B133" s="731" t="s">
        <v>404</v>
      </c>
      <c r="C133" s="731" t="s">
        <v>260</v>
      </c>
      <c r="D133" s="731" t="s">
        <v>122</v>
      </c>
      <c r="E133" s="731"/>
      <c r="F133" s="731"/>
      <c r="G133" s="366" t="str">
        <f t="shared" ca="1" si="2"/>
        <v/>
      </c>
      <c r="H133" s="732" t="s">
        <v>3971</v>
      </c>
      <c r="I133" s="50"/>
      <c r="J133" s="50"/>
      <c r="K133" s="47" t="s">
        <v>122</v>
      </c>
      <c r="L133" s="90" t="s">
        <v>410</v>
      </c>
      <c r="M133" s="40">
        <v>8</v>
      </c>
      <c r="N133" s="41"/>
      <c r="O133" s="41"/>
      <c r="X133" s="817"/>
      <c r="Y133" s="1100"/>
      <c r="Z133" s="1102"/>
      <c r="AL133" t="str">
        <f>SUBSTITUTE(SUBSTITUTE(SUBSTITUTE("vpa"&amp;$B133&amp;$C133&amp;$D133&amp;$E133,".","_"),"(","_"),")","")</f>
        <v>vpa503_4_3_b</v>
      </c>
      <c r="AM133">
        <f>M133</f>
        <v>8</v>
      </c>
    </row>
    <row r="134" spans="1:45" x14ac:dyDescent="0.35">
      <c r="A134" s="366">
        <v>5</v>
      </c>
      <c r="B134" s="731" t="s">
        <v>404</v>
      </c>
      <c r="C134" s="731" t="s">
        <v>260</v>
      </c>
      <c r="D134" s="731" t="s">
        <v>123</v>
      </c>
      <c r="E134" s="731"/>
      <c r="F134" s="731"/>
      <c r="G134" s="366" t="str">
        <f t="shared" ca="1" si="2"/>
        <v/>
      </c>
      <c r="H134" s="732" t="s">
        <v>3971</v>
      </c>
      <c r="I134" s="50"/>
      <c r="J134" s="103"/>
      <c r="K134" s="105" t="s">
        <v>123</v>
      </c>
      <c r="L134" s="228" t="s">
        <v>411</v>
      </c>
      <c r="M134" s="268">
        <v>10</v>
      </c>
      <c r="N134" s="546"/>
      <c r="O134" s="546"/>
      <c r="X134" s="817"/>
      <c r="Y134" s="1100"/>
      <c r="Z134" s="1102"/>
      <c r="AL134" t="str">
        <f>SUBSTITUTE(SUBSTITUTE(SUBSTITUTE("vpa"&amp;$B134&amp;$C134&amp;$D134&amp;$E134,".","_"),"(","_"),")","")</f>
        <v>vpa503_4_3_c</v>
      </c>
      <c r="AM134">
        <f>M134</f>
        <v>10</v>
      </c>
    </row>
    <row r="135" spans="1:45" x14ac:dyDescent="0.35">
      <c r="A135" s="366">
        <v>5</v>
      </c>
      <c r="B135" s="731" t="s">
        <v>404</v>
      </c>
      <c r="C135" s="731" t="s">
        <v>269</v>
      </c>
      <c r="D135" s="731"/>
      <c r="E135" s="731"/>
      <c r="F135" s="731"/>
      <c r="G135" s="366" t="str">
        <f ca="1">IF(N135&gt;0,"P","")</f>
        <v/>
      </c>
      <c r="H135" s="732" t="s">
        <v>3970</v>
      </c>
      <c r="I135" s="50"/>
      <c r="J135" s="47" t="s">
        <v>269</v>
      </c>
      <c r="K135" s="49"/>
      <c r="L135" s="814" t="s">
        <v>412</v>
      </c>
      <c r="M135" s="40"/>
      <c r="N135" s="834">
        <f ca="1">'Ch5'!O136</f>
        <v>0</v>
      </c>
      <c r="O135" s="834">
        <f ca="1">S135*IFERROR(INDEX({5,8,10},MATCH(W135,INDIRECT(U135))),0)</f>
        <v>0</v>
      </c>
      <c r="P135" t="b">
        <v>1</v>
      </c>
      <c r="Q135" t="b">
        <v>1</v>
      </c>
      <c r="R135" t="b">
        <v>0</v>
      </c>
      <c r="S135" t="b">
        <v>1</v>
      </c>
      <c r="T135" t="b">
        <v>0</v>
      </c>
      <c r="U135" t="str">
        <f>SUBSTITUTE(SUBSTITUTE(SUBSTITUTE("dd"&amp;B135&amp;C135&amp;D135&amp;E135&amp;F135,".","_"),"(","_"),")","")</f>
        <v>dd503_4_4</v>
      </c>
      <c r="W135" s="9"/>
      <c r="X135" s="817"/>
      <c r="Y135" s="1100" t="str">
        <f>IF(LEN('Ch5'!X136)=0,"None",'Ch5'!X136)</f>
        <v>None</v>
      </c>
      <c r="Z135" s="1102"/>
      <c r="AN135" t="str">
        <f>SUBSTITUTE(SUBSTITUTE(SUBSTITUTE("vpc"&amp;$B135&amp;$C135&amp;$D135&amp;$E135,".","_"),"(","_"),")","")</f>
        <v>vpc503_4_4</v>
      </c>
      <c r="AO135">
        <f ca="1">O135</f>
        <v>0</v>
      </c>
      <c r="AP135" t="str">
        <f>SUBSTITUTE(SUBSTITUTE(SUBSTITUTE("vch"&amp;$B135&amp;$C135&amp;$D135&amp;$E135,".","_"),"(","_"),")","")</f>
        <v>vch503_4_4</v>
      </c>
      <c r="AQ135" t="str">
        <f>IF(LEN(W135)=0,"",W135)</f>
        <v/>
      </c>
      <c r="AR135" t="str">
        <f>SUBSTITUTE(SUBSTITUTE(SUBSTITUTE("vnt"&amp;$B135&amp;$C135&amp;$D135&amp;$E135,".","_"),"(","_"),")","")</f>
        <v>vnt503_4_4</v>
      </c>
      <c r="AS135" t="str">
        <f>IF(LEN(X135)=0,"",X135)</f>
        <v/>
      </c>
    </row>
    <row r="136" spans="1:45" x14ac:dyDescent="0.35">
      <c r="A136" s="366">
        <v>5</v>
      </c>
      <c r="B136" s="731" t="s">
        <v>404</v>
      </c>
      <c r="C136" s="731" t="s">
        <v>269</v>
      </c>
      <c r="D136" s="731"/>
      <c r="E136" s="731"/>
      <c r="F136" s="731"/>
      <c r="G136" s="366" t="str">
        <f ca="1">G135</f>
        <v/>
      </c>
      <c r="H136" s="732" t="s">
        <v>3970</v>
      </c>
      <c r="I136" s="50"/>
      <c r="J136" s="50"/>
      <c r="K136" s="50"/>
      <c r="L136" s="814"/>
      <c r="M136" s="40"/>
      <c r="N136" s="834"/>
      <c r="O136" s="834"/>
      <c r="X136" s="817"/>
      <c r="Y136" s="1100"/>
      <c r="Z136" s="1102"/>
    </row>
    <row r="137" spans="1:45" x14ac:dyDescent="0.35">
      <c r="A137" s="366">
        <v>5</v>
      </c>
      <c r="B137" s="731" t="s">
        <v>404</v>
      </c>
      <c r="C137" s="731" t="s">
        <v>269</v>
      </c>
      <c r="D137" s="731" t="s">
        <v>121</v>
      </c>
      <c r="E137" s="731"/>
      <c r="F137" s="731"/>
      <c r="G137" s="366" t="str">
        <f ca="1">G136</f>
        <v/>
      </c>
      <c r="H137" s="732" t="s">
        <v>3970</v>
      </c>
      <c r="I137" s="50"/>
      <c r="J137" s="50"/>
      <c r="K137" s="47" t="s">
        <v>121</v>
      </c>
      <c r="L137" s="90" t="s">
        <v>4125</v>
      </c>
      <c r="M137" s="40">
        <v>5</v>
      </c>
      <c r="N137" s="41"/>
      <c r="O137" s="41"/>
      <c r="X137" s="817"/>
      <c r="Y137" s="1100"/>
      <c r="Z137" s="1102"/>
      <c r="AL137" t="str">
        <f>SUBSTITUTE(SUBSTITUTE(SUBSTITUTE("vpa"&amp;$B137&amp;$C137&amp;$D137&amp;$E137,".","_"),"(","_"),")","")</f>
        <v>vpa503_4_4_a</v>
      </c>
      <c r="AM137">
        <f>M137</f>
        <v>5</v>
      </c>
    </row>
    <row r="138" spans="1:45" x14ac:dyDescent="0.35">
      <c r="A138" s="366">
        <v>5</v>
      </c>
      <c r="B138" s="731" t="s">
        <v>404</v>
      </c>
      <c r="C138" s="731" t="s">
        <v>269</v>
      </c>
      <c r="D138" s="731" t="s">
        <v>122</v>
      </c>
      <c r="E138" s="731"/>
      <c r="F138" s="731"/>
      <c r="G138" s="366" t="str">
        <f ca="1">G137</f>
        <v/>
      </c>
      <c r="H138" s="732" t="s">
        <v>3970</v>
      </c>
      <c r="I138" s="50"/>
      <c r="J138" s="50"/>
      <c r="K138" s="47" t="s">
        <v>122</v>
      </c>
      <c r="L138" s="90" t="s">
        <v>4126</v>
      </c>
      <c r="M138" s="40">
        <v>8</v>
      </c>
      <c r="N138" s="41"/>
      <c r="O138" s="41"/>
      <c r="X138" s="817"/>
      <c r="Y138" s="1100"/>
      <c r="Z138" s="1102"/>
      <c r="AL138" t="str">
        <f>SUBSTITUTE(SUBSTITUTE(SUBSTITUTE("vpa"&amp;$B138&amp;$C138&amp;$D138&amp;$E138,".","_"),"(","_"),")","")</f>
        <v>vpa503_4_4_b</v>
      </c>
      <c r="AM138">
        <f>M138</f>
        <v>8</v>
      </c>
    </row>
    <row r="139" spans="1:45" x14ac:dyDescent="0.35">
      <c r="A139" s="366">
        <v>5</v>
      </c>
      <c r="B139" s="731" t="s">
        <v>404</v>
      </c>
      <c r="C139" s="731" t="s">
        <v>269</v>
      </c>
      <c r="D139" s="731" t="s">
        <v>123</v>
      </c>
      <c r="E139" s="731"/>
      <c r="F139" s="731"/>
      <c r="G139" s="366" t="str">
        <f ca="1">G138</f>
        <v/>
      </c>
      <c r="H139" s="732" t="s">
        <v>3970</v>
      </c>
      <c r="I139" s="50"/>
      <c r="J139" s="50"/>
      <c r="K139" s="49" t="s">
        <v>123</v>
      </c>
      <c r="L139" s="90" t="s">
        <v>4127</v>
      </c>
      <c r="M139" s="40">
        <v>10</v>
      </c>
      <c r="N139" s="41"/>
      <c r="O139" s="41"/>
      <c r="X139" s="817"/>
      <c r="Y139" s="1119"/>
      <c r="Z139" s="1105"/>
      <c r="AL139" t="str">
        <f>SUBSTITUTE(SUBSTITUTE(SUBSTITUTE("vpa"&amp;$B139&amp;$C139&amp;$D139&amp;$E139,".","_"),"(","_"),")","")</f>
        <v>vpa503_4_4_c</v>
      </c>
      <c r="AM139">
        <f>M139</f>
        <v>10</v>
      </c>
    </row>
    <row r="140" spans="1:45" x14ac:dyDescent="0.35">
      <c r="A140" s="366">
        <v>5</v>
      </c>
      <c r="B140" s="731" t="s">
        <v>404</v>
      </c>
      <c r="C140" s="731" t="s">
        <v>269</v>
      </c>
      <c r="D140" s="731" t="s">
        <v>123</v>
      </c>
      <c r="E140" s="731" t="s">
        <v>4856</v>
      </c>
      <c r="F140" s="731"/>
      <c r="G140" s="366" t="str">
        <f ca="1">IF(N140&gt;0,"P","")</f>
        <v/>
      </c>
      <c r="H140" s="732" t="s">
        <v>3970</v>
      </c>
      <c r="L140" s="848" t="s">
        <v>4128</v>
      </c>
      <c r="M140" s="818">
        <f ca="1">S135*IFERROR(INDEX({2,4,6},MATCH(W135,INDIRECT(U135))),0)</f>
        <v>0</v>
      </c>
      <c r="N140" s="834">
        <f ca="1">'Ch5'!O141</f>
        <v>0</v>
      </c>
      <c r="O140" s="834">
        <f ca="1">M140*S140*W140</f>
        <v>0</v>
      </c>
      <c r="P140" t="b">
        <v>1</v>
      </c>
      <c r="Q140" t="b">
        <v>1</v>
      </c>
      <c r="R140" t="b">
        <v>0</v>
      </c>
      <c r="S140" t="b">
        <f>LEN(W135)&gt;0</f>
        <v>0</v>
      </c>
      <c r="T140" t="b">
        <f>AND(W140=TRUE,LEN(W135)=0)</f>
        <v>0</v>
      </c>
      <c r="W140" s="17"/>
      <c r="X140" s="817"/>
      <c r="Y140" s="1100" t="str">
        <f>IF(LEN('Ch5'!X141)=0,"None",'Ch5'!X141)</f>
        <v>None</v>
      </c>
      <c r="Z140" s="1102"/>
      <c r="AC140" t="b">
        <f>OR(AD140:AE140)</f>
        <v>0</v>
      </c>
      <c r="AD140" t="b">
        <f>T140</f>
        <v>0</v>
      </c>
      <c r="AL140" t="str">
        <f>SUBSTITUTE(SUBSTITUTE(SUBSTITUTE("vpa"&amp;$B140&amp;$C140&amp;$D140&amp;$E140,".","_"),"(","_"),")","")</f>
        <v>vpa503_4_4_c_1</v>
      </c>
      <c r="AM140">
        <f ca="1">M140</f>
        <v>0</v>
      </c>
      <c r="AN140" t="str">
        <f>SUBSTITUTE(SUBSTITUTE(SUBSTITUTE("vpc"&amp;$B140&amp;$C140&amp;$D140&amp;$E140,".","_"),"(","_"),")","")</f>
        <v>vpc503_4_4_c_1</v>
      </c>
      <c r="AO140">
        <f ca="1">O140</f>
        <v>0</v>
      </c>
      <c r="AP140" t="str">
        <f>SUBSTITUTE(SUBSTITUTE(SUBSTITUTE("vch"&amp;$B140&amp;$C140&amp;$D140&amp;$E140,".","_"),"(","_"),")","")</f>
        <v>vch503_4_4_c_1</v>
      </c>
      <c r="AQ140" t="str">
        <f>IF(LEN(W140)=0,"",W140)</f>
        <v/>
      </c>
      <c r="AR140" t="str">
        <f>SUBSTITUTE(SUBSTITUTE(SUBSTITUTE("vnt"&amp;$B140&amp;$C140&amp;$D140&amp;$E140,".","_"),"(","_"),")","")</f>
        <v>vnt503_4_4_c_1</v>
      </c>
      <c r="AS140" t="str">
        <f>IF(LEN(X140)=0,"",X140)</f>
        <v/>
      </c>
    </row>
    <row r="141" spans="1:45" x14ac:dyDescent="0.35">
      <c r="A141" s="366">
        <v>5</v>
      </c>
      <c r="B141" s="731" t="s">
        <v>404</v>
      </c>
      <c r="C141" s="731" t="s">
        <v>269</v>
      </c>
      <c r="D141" s="731" t="s">
        <v>123</v>
      </c>
      <c r="E141" s="731"/>
      <c r="F141" s="731"/>
      <c r="G141" s="366" t="str">
        <f ca="1">G140</f>
        <v/>
      </c>
      <c r="H141" s="732" t="s">
        <v>3970</v>
      </c>
      <c r="J141" s="104"/>
      <c r="K141" s="104"/>
      <c r="L141" s="821"/>
      <c r="M141" s="819"/>
      <c r="N141" s="835"/>
      <c r="O141" s="835"/>
      <c r="X141" s="817"/>
      <c r="Y141" s="1100"/>
      <c r="Z141" s="1102"/>
    </row>
    <row r="142" spans="1:45" x14ac:dyDescent="0.35">
      <c r="A142" s="366">
        <v>5</v>
      </c>
      <c r="B142" s="731" t="s">
        <v>404</v>
      </c>
      <c r="C142" s="731" t="s">
        <v>275</v>
      </c>
      <c r="D142" s="731"/>
      <c r="E142" s="731"/>
      <c r="F142" s="731"/>
      <c r="G142" s="366" t="str">
        <f>IF(N142&gt;0,"P","")</f>
        <v>P</v>
      </c>
      <c r="H142" s="732" t="s">
        <v>3970</v>
      </c>
      <c r="J142" s="47" t="s">
        <v>275</v>
      </c>
      <c r="K142" s="467"/>
      <c r="L142" s="825" t="s">
        <v>4129</v>
      </c>
      <c r="M142" s="818">
        <v>3</v>
      </c>
      <c r="N142" s="834">
        <f>'Ch5'!O143</f>
        <v>3</v>
      </c>
      <c r="O142" s="834">
        <f>M142*S142*W142</f>
        <v>0</v>
      </c>
      <c r="P142" t="b">
        <v>1</v>
      </c>
      <c r="Q142" t="b">
        <v>1</v>
      </c>
      <c r="R142" t="b">
        <v>0</v>
      </c>
      <c r="S142" t="b">
        <v>1</v>
      </c>
      <c r="T142" t="b">
        <v>0</v>
      </c>
      <c r="W142" s="17"/>
      <c r="X142" s="817"/>
      <c r="Y142" s="1119" t="str">
        <f>IF(LEN('Ch5'!X143)=0,"None",'Ch5'!X143)</f>
        <v>None</v>
      </c>
      <c r="Z142" s="1105"/>
      <c r="AA142" s="350" t="str">
        <f>IF(LEN('Photo Review'!I141)&gt;0,'Photo Review'!I141,"")</f>
        <v/>
      </c>
      <c r="AL142" t="str">
        <f>SUBSTITUTE(SUBSTITUTE(SUBSTITUTE("vpa"&amp;$B142&amp;$C142&amp;$D142&amp;$E142,".","_"),"(","_"),")","")</f>
        <v>vpa503_4_5</v>
      </c>
      <c r="AM142">
        <f>M142</f>
        <v>3</v>
      </c>
      <c r="AN142" t="str">
        <f>SUBSTITUTE(SUBSTITUTE(SUBSTITUTE("vpc"&amp;$B142&amp;$C142&amp;$D142&amp;$E142,".","_"),"(","_"),")","")</f>
        <v>vpc503_4_5</v>
      </c>
      <c r="AO142">
        <f>O142</f>
        <v>0</v>
      </c>
      <c r="AP142" t="str">
        <f>SUBSTITUTE(SUBSTITUTE(SUBSTITUTE("vch"&amp;$B142&amp;$C142&amp;$D142&amp;$E142,".","_"),"(","_"),")","")</f>
        <v>vch503_4_5</v>
      </c>
      <c r="AQ142" t="str">
        <f>IF(LEN(W142)=0,"",W142)</f>
        <v/>
      </c>
      <c r="AR142" t="str">
        <f>SUBSTITUTE(SUBSTITUTE(SUBSTITUTE("vnt"&amp;$B142&amp;$C142&amp;$D142&amp;$E142,".","_"),"(","_"),")","")</f>
        <v>vnt503_4_5</v>
      </c>
      <c r="AS142" t="str">
        <f>IF(LEN(X142)=0,"",X142)</f>
        <v/>
      </c>
    </row>
    <row r="143" spans="1:45" x14ac:dyDescent="0.35">
      <c r="A143" s="366">
        <v>5</v>
      </c>
      <c r="B143" s="731" t="s">
        <v>404</v>
      </c>
      <c r="C143" s="731" t="s">
        <v>275</v>
      </c>
      <c r="D143" s="731"/>
      <c r="E143" s="731"/>
      <c r="F143" s="731"/>
      <c r="G143" s="366" t="str">
        <f>G142</f>
        <v>P</v>
      </c>
      <c r="H143" s="732" t="s">
        <v>3970</v>
      </c>
      <c r="J143" s="467"/>
      <c r="K143" s="467"/>
      <c r="L143" s="825"/>
      <c r="M143" s="818"/>
      <c r="N143" s="834"/>
      <c r="O143" s="834"/>
      <c r="X143" s="817"/>
      <c r="Y143" s="1120"/>
      <c r="Z143" s="1109"/>
    </row>
    <row r="144" spans="1:45" ht="15" thickBot="1" x14ac:dyDescent="0.4">
      <c r="A144" s="366">
        <v>5</v>
      </c>
      <c r="B144" s="731" t="s">
        <v>404</v>
      </c>
      <c r="C144" s="731" t="s">
        <v>275</v>
      </c>
      <c r="D144" s="731"/>
      <c r="E144" s="731"/>
      <c r="F144" s="731"/>
      <c r="G144" s="366" t="str">
        <f>G143</f>
        <v>P</v>
      </c>
      <c r="H144" s="732" t="s">
        <v>3970</v>
      </c>
      <c r="J144" s="473"/>
      <c r="K144" s="473"/>
      <c r="L144" s="826"/>
      <c r="M144" s="827"/>
      <c r="N144" s="863"/>
      <c r="O144" s="863"/>
      <c r="P144" s="55"/>
      <c r="Q144" s="55"/>
      <c r="R144" s="55"/>
      <c r="S144" s="55"/>
      <c r="T144" s="55"/>
      <c r="U144" s="55"/>
      <c r="V144" s="55"/>
      <c r="W144" s="64"/>
      <c r="X144" s="829"/>
      <c r="Y144" s="1121"/>
      <c r="Z144" s="1108"/>
    </row>
    <row r="145" spans="1:45" ht="15" thickTop="1" x14ac:dyDescent="0.35">
      <c r="A145" s="366">
        <v>5</v>
      </c>
      <c r="B145" s="731" t="s">
        <v>413</v>
      </c>
      <c r="C145" s="731"/>
      <c r="D145" s="731"/>
      <c r="E145" s="731"/>
      <c r="F145" s="731"/>
      <c r="G145" s="727" t="str">
        <f ca="1">IF(COUNTIF(G149:G185,"P")&gt;0,"P","")</f>
        <v>P</v>
      </c>
      <c r="H145" s="732" t="s">
        <v>3972</v>
      </c>
      <c r="I145" s="31">
        <v>503.5</v>
      </c>
      <c r="J145" s="50"/>
      <c r="K145" s="50"/>
      <c r="L145" s="838" t="s">
        <v>414</v>
      </c>
      <c r="M145" s="40"/>
      <c r="X145" s="816"/>
      <c r="Y145" s="1117" t="str">
        <f>IF(LEN('Ch5'!X146)=0,"None",'Ch5'!X146)</f>
        <v>None</v>
      </c>
      <c r="Z145" s="1103"/>
      <c r="AR145" t="str">
        <f>SUBSTITUTE(SUBSTITUTE(SUBSTITUTE("vnt"&amp;$B145&amp;$C145&amp;$D145&amp;$E145,".","_"),"(","_"),")","")</f>
        <v>vnt503_5</v>
      </c>
      <c r="AS145" t="str">
        <f>IF(LEN(X145)=0,"",X145)</f>
        <v/>
      </c>
    </row>
    <row r="146" spans="1:45" x14ac:dyDescent="0.35">
      <c r="A146" s="366">
        <v>5</v>
      </c>
      <c r="B146" s="731" t="s">
        <v>413</v>
      </c>
      <c r="C146" s="731"/>
      <c r="D146" s="731"/>
      <c r="E146" s="731"/>
      <c r="F146" s="731"/>
      <c r="G146" s="366" t="str">
        <f ca="1">G145</f>
        <v>P</v>
      </c>
      <c r="H146" s="732" t="s">
        <v>3972</v>
      </c>
      <c r="I146" s="50"/>
      <c r="J146" s="50"/>
      <c r="K146" s="50"/>
      <c r="L146" s="838"/>
      <c r="M146" s="40"/>
      <c r="X146" s="817"/>
      <c r="Y146" s="1100"/>
      <c r="Z146" s="1102"/>
    </row>
    <row r="147" spans="1:45" ht="15" customHeight="1" x14ac:dyDescent="0.35">
      <c r="A147" s="366">
        <v>5</v>
      </c>
      <c r="B147" s="731" t="s">
        <v>413</v>
      </c>
      <c r="C147" s="731"/>
      <c r="D147" s="731"/>
      <c r="E147" s="731"/>
      <c r="F147" s="731"/>
      <c r="G147" s="732"/>
      <c r="H147" s="732"/>
      <c r="I147" s="50"/>
      <c r="J147" s="50"/>
      <c r="K147" s="50"/>
      <c r="L147" s="855" t="s">
        <v>4130</v>
      </c>
      <c r="M147" s="40"/>
      <c r="P147" t="b">
        <v>0</v>
      </c>
      <c r="Q147" t="b">
        <v>1</v>
      </c>
      <c r="R147" t="b">
        <v>0</v>
      </c>
      <c r="S147" t="b">
        <v>1</v>
      </c>
      <c r="T147" t="b">
        <v>0</v>
      </c>
      <c r="U147" t="str">
        <f>SUBSTITUTE(SUBSTITUTE(SUBSTITUTE("dd"&amp;B147&amp;C147&amp;D147&amp;E147&amp;F147,".","_"),"(","_"),")","")</f>
        <v>dd503_5</v>
      </c>
      <c r="W147" s="9"/>
      <c r="X147" s="817"/>
      <c r="Y147" s="1100"/>
      <c r="Z147" s="1102"/>
      <c r="AP147" t="str">
        <f>SUBSTITUTE(SUBSTITUTE(SUBSTITUTE("vch"&amp;$B147&amp;$C147&amp;$D147&amp;$E147,".","_"),"(","_"),")","")</f>
        <v>vch503_5</v>
      </c>
      <c r="AQ147" t="str">
        <f>IF(LEN(W147)=0,"",W147)</f>
        <v/>
      </c>
    </row>
    <row r="148" spans="1:45" x14ac:dyDescent="0.35">
      <c r="A148" s="366">
        <v>5</v>
      </c>
      <c r="B148" s="731" t="s">
        <v>413</v>
      </c>
      <c r="C148" s="731"/>
      <c r="D148" s="731"/>
      <c r="E148" s="731"/>
      <c r="F148" s="731"/>
      <c r="G148" s="732"/>
      <c r="H148" s="732"/>
      <c r="I148" s="50"/>
      <c r="J148" s="50"/>
      <c r="K148" s="50"/>
      <c r="L148" s="855"/>
      <c r="M148" s="40"/>
      <c r="X148" s="817"/>
      <c r="Y148" s="1100"/>
      <c r="Z148" s="1102"/>
    </row>
    <row r="149" spans="1:45" x14ac:dyDescent="0.35">
      <c r="A149" s="366">
        <v>5</v>
      </c>
      <c r="B149" s="731" t="s">
        <v>413</v>
      </c>
      <c r="C149" s="731" t="s">
        <v>256</v>
      </c>
      <c r="D149" s="731"/>
      <c r="E149" s="731"/>
      <c r="F149" s="731"/>
      <c r="G149" s="366" t="str">
        <f ca="1">IF(N149&gt;0,"P","")</f>
        <v/>
      </c>
      <c r="H149" s="732" t="s">
        <v>3972</v>
      </c>
      <c r="I149" s="50"/>
      <c r="J149" s="47" t="s">
        <v>256</v>
      </c>
      <c r="K149" s="50"/>
      <c r="L149" s="814" t="s">
        <v>415</v>
      </c>
      <c r="M149" s="40"/>
      <c r="N149" s="834">
        <f ca="1">'Ch5'!O150</f>
        <v>0</v>
      </c>
      <c r="O149" s="834">
        <f ca="1">S149*IFERROR(INDEX(M151:M154,MATCH(W149,INDIRECT(U149))),0)</f>
        <v>0</v>
      </c>
      <c r="P149" t="b">
        <v>0</v>
      </c>
      <c r="Q149" t="b">
        <v>1</v>
      </c>
      <c r="R149" t="b">
        <v>0</v>
      </c>
      <c r="S149" t="b">
        <f>NOT(ISBLANK(W147))</f>
        <v>0</v>
      </c>
      <c r="T149" t="b">
        <f>IF(AND(NOT(S149),LEN(W149)&gt;0),TRUE,FALSE)</f>
        <v>0</v>
      </c>
      <c r="U149" t="str">
        <f>SUBSTITUTE(SUBSTITUTE(SUBSTITUTE("dd"&amp;B149&amp;C149&amp;D149&amp;E149&amp;F149,".","_"),"(","_"),")","")</f>
        <v>dd503_5_1</v>
      </c>
      <c r="W149" s="9"/>
      <c r="X149" s="817"/>
      <c r="Y149" s="1100" t="str">
        <f>IF(LEN('Ch5'!X150)=0,"None",'Ch5'!X150)</f>
        <v>None</v>
      </c>
      <c r="Z149" s="1102"/>
      <c r="AC149" t="b">
        <f>OR(AD149:AE149)</f>
        <v>0</v>
      </c>
      <c r="AD149" t="b">
        <f>T149</f>
        <v>0</v>
      </c>
      <c r="AN149" t="str">
        <f>SUBSTITUTE(SUBSTITUTE(SUBSTITUTE("vpc"&amp;$B149&amp;$C149&amp;$D149&amp;$E149,".","_"),"(","_"),")","")</f>
        <v>vpc503_5_1</v>
      </c>
      <c r="AO149">
        <f ca="1">O149</f>
        <v>0</v>
      </c>
      <c r="AP149" t="str">
        <f>SUBSTITUTE(SUBSTITUTE(SUBSTITUTE("vch"&amp;$B149&amp;$C149&amp;$D149&amp;$E149,".","_"),"(","_"),")","")</f>
        <v>vch503_5_1</v>
      </c>
      <c r="AQ149" t="str">
        <f>IF(LEN(W149)=0,"",W149)</f>
        <v/>
      </c>
      <c r="AR149" t="str">
        <f>SUBSTITUTE(SUBSTITUTE(SUBSTITUTE("vnt"&amp;$B149&amp;$C149&amp;$D149&amp;$E149,".","_"),"(","_"),")","")</f>
        <v>vnt503_5_1</v>
      </c>
      <c r="AS149" t="str">
        <f>IF(LEN(X149)=0,"",X149)</f>
        <v/>
      </c>
    </row>
    <row r="150" spans="1:45" x14ac:dyDescent="0.35">
      <c r="A150" s="366">
        <v>5</v>
      </c>
      <c r="B150" s="731" t="s">
        <v>413</v>
      </c>
      <c r="C150" s="731" t="s">
        <v>256</v>
      </c>
      <c r="D150" s="731"/>
      <c r="E150" s="731"/>
      <c r="F150" s="731"/>
      <c r="G150" s="366" t="str">
        <f ca="1">G149</f>
        <v/>
      </c>
      <c r="H150" s="732" t="s">
        <v>3972</v>
      </c>
      <c r="I150" s="50"/>
      <c r="J150" s="47"/>
      <c r="K150" s="50"/>
      <c r="L150" s="814"/>
      <c r="M150" s="40"/>
      <c r="N150" s="834"/>
      <c r="O150" s="834"/>
      <c r="X150" s="817"/>
      <c r="Y150" s="1100"/>
      <c r="Z150" s="1102"/>
    </row>
    <row r="151" spans="1:45" x14ac:dyDescent="0.35">
      <c r="A151" s="366">
        <v>5</v>
      </c>
      <c r="B151" s="731" t="s">
        <v>413</v>
      </c>
      <c r="C151" s="731" t="s">
        <v>256</v>
      </c>
      <c r="D151" s="731" t="s">
        <v>121</v>
      </c>
      <c r="E151" s="731"/>
      <c r="F151" s="731"/>
      <c r="G151" s="366" t="str">
        <f ca="1">G150</f>
        <v/>
      </c>
      <c r="H151" s="732" t="s">
        <v>3972</v>
      </c>
      <c r="I151" s="50"/>
      <c r="J151" s="50"/>
      <c r="K151" s="47" t="s">
        <v>121</v>
      </c>
      <c r="L151" s="90" t="s">
        <v>416</v>
      </c>
      <c r="M151" s="40">
        <f ca="1">4*IFERROR(INDEX({0.5,0.5,1},MATCH(W147,INDIRECT(U147),0)),0)</f>
        <v>0</v>
      </c>
      <c r="N151" s="41"/>
      <c r="O151" s="41"/>
      <c r="X151" s="817"/>
      <c r="Y151" s="1100"/>
      <c r="Z151" s="1102"/>
      <c r="AL151" t="str">
        <f>SUBSTITUTE(SUBSTITUTE(SUBSTITUTE("vpa"&amp;$B151&amp;$C151&amp;$D151&amp;$E151,".","_"),"(","_"),")","")</f>
        <v>vpa503_5_1_a</v>
      </c>
      <c r="AM151">
        <f ca="1">M151</f>
        <v>0</v>
      </c>
    </row>
    <row r="152" spans="1:45" x14ac:dyDescent="0.35">
      <c r="A152" s="366">
        <v>5</v>
      </c>
      <c r="B152" s="731" t="s">
        <v>413</v>
      </c>
      <c r="C152" s="731" t="s">
        <v>256</v>
      </c>
      <c r="D152" s="731" t="s">
        <v>122</v>
      </c>
      <c r="E152" s="731"/>
      <c r="F152" s="731"/>
      <c r="G152" s="366" t="str">
        <f ca="1">G151</f>
        <v/>
      </c>
      <c r="H152" s="732" t="s">
        <v>3972</v>
      </c>
      <c r="I152" s="50"/>
      <c r="J152" s="50"/>
      <c r="K152" s="47" t="s">
        <v>122</v>
      </c>
      <c r="L152" s="90" t="s">
        <v>417</v>
      </c>
      <c r="M152" s="40">
        <f ca="1">3*IFERROR(INDEX({0.5,0.5,1},MATCH(W147,INDIRECT(U147),0)),0)</f>
        <v>0</v>
      </c>
      <c r="N152" s="41"/>
      <c r="O152" s="41"/>
      <c r="X152" s="817"/>
      <c r="Y152" s="1100"/>
      <c r="Z152" s="1102"/>
      <c r="AL152" t="str">
        <f>SUBSTITUTE(SUBSTITUTE(SUBSTITUTE("vpa"&amp;$B152&amp;$C152&amp;$D152&amp;$E152,".","_"),"(","_"),")","")</f>
        <v>vpa503_5_1_b</v>
      </c>
      <c r="AM152">
        <f ca="1">M152</f>
        <v>0</v>
      </c>
    </row>
    <row r="153" spans="1:45" x14ac:dyDescent="0.35">
      <c r="A153" s="366">
        <v>5</v>
      </c>
      <c r="B153" s="731" t="s">
        <v>413</v>
      </c>
      <c r="C153" s="731" t="s">
        <v>256</v>
      </c>
      <c r="D153" s="731" t="s">
        <v>123</v>
      </c>
      <c r="E153" s="731"/>
      <c r="F153" s="731"/>
      <c r="G153" s="366" t="str">
        <f ca="1">G152</f>
        <v/>
      </c>
      <c r="H153" s="732" t="s">
        <v>3972</v>
      </c>
      <c r="I153" s="50"/>
      <c r="J153" s="50"/>
      <c r="K153" s="49" t="s">
        <v>123</v>
      </c>
      <c r="L153" s="90" t="s">
        <v>418</v>
      </c>
      <c r="M153" s="40">
        <f ca="1">2*IFERROR(INDEX({0.5,0.5,1},MATCH(W147,INDIRECT(U147),0)),0)</f>
        <v>0</v>
      </c>
      <c r="N153" s="41"/>
      <c r="O153" s="41"/>
      <c r="X153" s="817"/>
      <c r="Y153" s="1100"/>
      <c r="Z153" s="1102"/>
      <c r="AL153" t="str">
        <f>SUBSTITUTE(SUBSTITUTE(SUBSTITUTE("vpa"&amp;$B153&amp;$C153&amp;$D153&amp;$E153,".","_"),"(","_"),")","")</f>
        <v>vpa503_5_1_c</v>
      </c>
      <c r="AM153">
        <f ca="1">M153</f>
        <v>0</v>
      </c>
    </row>
    <row r="154" spans="1:45" x14ac:dyDescent="0.35">
      <c r="A154" s="366">
        <v>5</v>
      </c>
      <c r="B154" s="731" t="s">
        <v>413</v>
      </c>
      <c r="C154" s="731" t="s">
        <v>256</v>
      </c>
      <c r="D154" s="731" t="s">
        <v>401</v>
      </c>
      <c r="E154" s="731"/>
      <c r="F154" s="731"/>
      <c r="G154" s="366" t="str">
        <f ca="1">G153</f>
        <v/>
      </c>
      <c r="H154" s="732" t="s">
        <v>3972</v>
      </c>
      <c r="I154" s="50"/>
      <c r="J154" s="103"/>
      <c r="K154" s="105" t="s">
        <v>401</v>
      </c>
      <c r="L154" s="228" t="s">
        <v>419</v>
      </c>
      <c r="M154" s="268">
        <f ca="1">1*IFERROR(INDEX({0.5,0.5,1},MATCH(W147,INDIRECT(U147),0)),0)</f>
        <v>0</v>
      </c>
      <c r="N154" s="546"/>
      <c r="O154" s="546"/>
      <c r="X154" s="817"/>
      <c r="Y154" s="1100"/>
      <c r="Z154" s="1102"/>
      <c r="AL154" t="str">
        <f>SUBSTITUTE(SUBSTITUTE(SUBSTITUTE("vpa"&amp;$B154&amp;$C154&amp;$D154&amp;$E154,".","_"),"(","_"),")","")</f>
        <v>vpa503_5_1_d</v>
      </c>
      <c r="AM154">
        <f ca="1">M154</f>
        <v>0</v>
      </c>
    </row>
    <row r="155" spans="1:45" ht="15" customHeight="1" x14ac:dyDescent="0.35">
      <c r="A155" s="366">
        <v>5</v>
      </c>
      <c r="B155" s="731" t="s">
        <v>413</v>
      </c>
      <c r="C155" s="731" t="s">
        <v>258</v>
      </c>
      <c r="D155" s="731"/>
      <c r="E155" s="731"/>
      <c r="F155" s="731"/>
      <c r="G155" s="366" t="str">
        <f ca="1">IF(N155&gt;0,"P","")</f>
        <v>P</v>
      </c>
      <c r="H155" s="732" t="s">
        <v>3972</v>
      </c>
      <c r="I155" s="50"/>
      <c r="J155" s="47" t="s">
        <v>258</v>
      </c>
      <c r="K155" s="50"/>
      <c r="L155" s="814" t="s">
        <v>420</v>
      </c>
      <c r="M155" s="818">
        <f ca="1">7*IFERROR(INDEX({0.5,0.5,1},MATCH(W147,INDIRECT(U147),0)),0)</f>
        <v>0</v>
      </c>
      <c r="N155" s="834">
        <f ca="1">'Ch5'!O156</f>
        <v>7</v>
      </c>
      <c r="O155" s="834">
        <f ca="1">M155*S155*W155</f>
        <v>0</v>
      </c>
      <c r="P155" t="b">
        <v>0</v>
      </c>
      <c r="Q155" t="b">
        <v>1</v>
      </c>
      <c r="R155" t="b">
        <v>0</v>
      </c>
      <c r="S155" t="b">
        <f>NOT(ISBLANK(W147))</f>
        <v>0</v>
      </c>
      <c r="T155" t="b">
        <f>IF(AND(NOT(S155),W155=TRUE),TRUE,FALSE)</f>
        <v>0</v>
      </c>
      <c r="W155" s="17"/>
      <c r="X155" s="817"/>
      <c r="Y155" s="1100" t="str">
        <f>IF(LEN('Ch5'!X156)=0,"None",'Ch5'!X156)</f>
        <v>None</v>
      </c>
      <c r="Z155" s="1102"/>
      <c r="AA155" s="350" t="str">
        <f>IF(LEN('Photo Review'!I154)&gt;0,'Photo Review'!I154,"")</f>
        <v/>
      </c>
      <c r="AC155" t="b">
        <f>OR(AD155:AE155)</f>
        <v>0</v>
      </c>
      <c r="AD155" t="b">
        <f>T155</f>
        <v>0</v>
      </c>
      <c r="AL155" t="str">
        <f>SUBSTITUTE(SUBSTITUTE(SUBSTITUTE("vpa"&amp;$B155&amp;$C155&amp;$D155&amp;$E155,".","_"),"(","_"),")","")</f>
        <v>vpa503_5_2</v>
      </c>
      <c r="AM155">
        <f ca="1">M155</f>
        <v>0</v>
      </c>
      <c r="AN155" t="str">
        <f>SUBSTITUTE(SUBSTITUTE(SUBSTITUTE("vpc"&amp;$B155&amp;$C155&amp;$D155&amp;$E155,".","_"),"(","_"),")","")</f>
        <v>vpc503_5_2</v>
      </c>
      <c r="AO155">
        <f ca="1">O155</f>
        <v>0</v>
      </c>
      <c r="AP155" t="str">
        <f>SUBSTITUTE(SUBSTITUTE(SUBSTITUTE("vch"&amp;$B155&amp;$C155&amp;$D155&amp;$E155,".","_"),"(","_"),")","")</f>
        <v>vch503_5_2</v>
      </c>
      <c r="AQ155" t="str">
        <f>IF(LEN(W155)=0,"",W155)</f>
        <v/>
      </c>
      <c r="AR155" t="str">
        <f>SUBSTITUTE(SUBSTITUTE(SUBSTITUTE("vnt"&amp;$B155&amp;$C155&amp;$D155&amp;$E155,".","_"),"(","_"),")","")</f>
        <v>vnt503_5_2</v>
      </c>
      <c r="AS155" t="str">
        <f>IF(LEN(X155)=0,"",X155)</f>
        <v/>
      </c>
    </row>
    <row r="156" spans="1:45" x14ac:dyDescent="0.35">
      <c r="A156" s="366">
        <v>5</v>
      </c>
      <c r="B156" s="731" t="s">
        <v>413</v>
      </c>
      <c r="C156" s="731" t="s">
        <v>258</v>
      </c>
      <c r="D156" s="731"/>
      <c r="E156" s="731"/>
      <c r="F156" s="731"/>
      <c r="G156" s="366" t="str">
        <f ca="1">G155</f>
        <v>P</v>
      </c>
      <c r="H156" s="732" t="s">
        <v>3972</v>
      </c>
      <c r="I156" s="50"/>
      <c r="J156" s="103"/>
      <c r="K156" s="103"/>
      <c r="L156" s="815"/>
      <c r="M156" s="819"/>
      <c r="N156" s="835"/>
      <c r="O156" s="835"/>
      <c r="X156" s="817"/>
      <c r="Y156" s="1100"/>
      <c r="Z156" s="1102"/>
    </row>
    <row r="157" spans="1:45" ht="15" customHeight="1" x14ac:dyDescent="0.35">
      <c r="A157" s="366">
        <v>5</v>
      </c>
      <c r="B157" s="731" t="s">
        <v>413</v>
      </c>
      <c r="C157" s="731" t="s">
        <v>260</v>
      </c>
      <c r="D157" s="731"/>
      <c r="E157" s="731"/>
      <c r="F157" s="731"/>
      <c r="G157" s="366" t="str">
        <f ca="1">IF(N157&gt;0,"P","")</f>
        <v/>
      </c>
      <c r="H157" s="732" t="s">
        <v>3972</v>
      </c>
      <c r="I157" s="50"/>
      <c r="J157" s="47" t="s">
        <v>260</v>
      </c>
      <c r="K157" s="50"/>
      <c r="L157" s="814" t="s">
        <v>4131</v>
      </c>
      <c r="M157" s="818">
        <f ca="1">3*IFERROR(INDEX({0.5,0.5,1},MATCH(W147,INDIRECT(U147),0)),0)</f>
        <v>0</v>
      </c>
      <c r="N157" s="834">
        <f ca="1">'Ch5'!O158</f>
        <v>0</v>
      </c>
      <c r="O157" s="834">
        <f ca="1">M157*S157*W157</f>
        <v>0</v>
      </c>
      <c r="P157" t="b">
        <v>0</v>
      </c>
      <c r="Q157" t="b">
        <v>1</v>
      </c>
      <c r="R157" t="b">
        <v>0</v>
      </c>
      <c r="S157" t="b">
        <f>NOT(ISBLANK(W147))</f>
        <v>0</v>
      </c>
      <c r="T157" t="b">
        <f>IF(AND(NOT(S157),W157=TRUE),TRUE,FALSE)</f>
        <v>0</v>
      </c>
      <c r="W157" s="17"/>
      <c r="X157" s="817"/>
      <c r="Y157" s="1100" t="str">
        <f>IF(LEN('Ch5'!X158)=0,"None",'Ch5'!X158)</f>
        <v>None</v>
      </c>
      <c r="Z157" s="1102"/>
      <c r="AA157" s="350" t="str">
        <f>IF(LEN('Photo Review'!I156)&gt;0,'Photo Review'!I156,"")</f>
        <v/>
      </c>
      <c r="AC157" t="b">
        <f>OR(AD157:AE157)</f>
        <v>0</v>
      </c>
      <c r="AD157" t="b">
        <f>T157</f>
        <v>0</v>
      </c>
      <c r="AL157" t="str">
        <f>SUBSTITUTE(SUBSTITUTE(SUBSTITUTE("vpa"&amp;$B157&amp;$C157&amp;$D157&amp;$E157,".","_"),"(","_"),")","")</f>
        <v>vpa503_5_3</v>
      </c>
      <c r="AM157">
        <f ca="1">M157</f>
        <v>0</v>
      </c>
      <c r="AN157" t="str">
        <f>SUBSTITUTE(SUBSTITUTE(SUBSTITUTE("vpc"&amp;$B157&amp;$C157&amp;$D157&amp;$E157,".","_"),"(","_"),")","")</f>
        <v>vpc503_5_3</v>
      </c>
      <c r="AO157">
        <f ca="1">O157</f>
        <v>0</v>
      </c>
      <c r="AP157" t="str">
        <f>SUBSTITUTE(SUBSTITUTE(SUBSTITUTE("vch"&amp;$B157&amp;$C157&amp;$D157&amp;$E157,".","_"),"(","_"),")","")</f>
        <v>vch503_5_3</v>
      </c>
      <c r="AQ157" t="str">
        <f>IF(LEN(W157)=0,"",W157)</f>
        <v/>
      </c>
      <c r="AR157" t="str">
        <f>SUBSTITUTE(SUBSTITUTE(SUBSTITUTE("vnt"&amp;$B157&amp;$C157&amp;$D157&amp;$E157,".","_"),"(","_"),")","")</f>
        <v>vnt503_5_3</v>
      </c>
      <c r="AS157" t="str">
        <f>IF(LEN(X157)=0,"",X157)</f>
        <v/>
      </c>
    </row>
    <row r="158" spans="1:45" x14ac:dyDescent="0.35">
      <c r="A158" s="366">
        <v>5</v>
      </c>
      <c r="B158" s="731" t="s">
        <v>413</v>
      </c>
      <c r="C158" s="731" t="s">
        <v>260</v>
      </c>
      <c r="D158" s="731"/>
      <c r="E158" s="731"/>
      <c r="F158" s="731"/>
      <c r="G158" s="366" t="str">
        <f ca="1">G157</f>
        <v/>
      </c>
      <c r="H158" s="732" t="s">
        <v>3972</v>
      </c>
      <c r="I158" s="50"/>
      <c r="J158" s="47"/>
      <c r="K158" s="50"/>
      <c r="L158" s="814"/>
      <c r="M158" s="818"/>
      <c r="N158" s="834"/>
      <c r="O158" s="834"/>
      <c r="X158" s="817"/>
      <c r="Y158" s="1100"/>
      <c r="Z158" s="1102"/>
    </row>
    <row r="159" spans="1:45" x14ac:dyDescent="0.35">
      <c r="A159" s="366">
        <v>5</v>
      </c>
      <c r="B159" s="731" t="s">
        <v>413</v>
      </c>
      <c r="C159" s="731" t="s">
        <v>260</v>
      </c>
      <c r="D159" s="731"/>
      <c r="E159" s="731"/>
      <c r="F159" s="731"/>
      <c r="G159" s="366" t="str">
        <f ca="1">G158</f>
        <v/>
      </c>
      <c r="H159" s="732" t="s">
        <v>3972</v>
      </c>
      <c r="I159" s="50"/>
      <c r="J159" s="103"/>
      <c r="K159" s="103"/>
      <c r="L159" s="815"/>
      <c r="M159" s="819"/>
      <c r="N159" s="835"/>
      <c r="O159" s="835"/>
      <c r="X159" s="817"/>
      <c r="Y159" s="1100"/>
      <c r="Z159" s="1102"/>
    </row>
    <row r="160" spans="1:45" ht="15" customHeight="1" x14ac:dyDescent="0.35">
      <c r="A160" s="366">
        <v>5</v>
      </c>
      <c r="B160" s="731" t="s">
        <v>413</v>
      </c>
      <c r="C160" s="731" t="s">
        <v>269</v>
      </c>
      <c r="D160" s="731"/>
      <c r="E160" s="731"/>
      <c r="F160" s="731"/>
      <c r="G160" s="366" t="str">
        <f ca="1">IF(N160&gt;0,"P","")</f>
        <v/>
      </c>
      <c r="H160" s="732" t="s">
        <v>3972</v>
      </c>
      <c r="I160" s="50"/>
      <c r="J160" s="47" t="s">
        <v>269</v>
      </c>
      <c r="K160" s="50"/>
      <c r="L160" s="814" t="s">
        <v>4132</v>
      </c>
      <c r="M160" s="818">
        <f ca="1">5*IFERROR(INDEX({0.5,0.5,1},MATCH(W147,INDIRECT(U147),0)),0)</f>
        <v>0</v>
      </c>
      <c r="N160" s="834">
        <f ca="1">'Ch5'!O161</f>
        <v>0</v>
      </c>
      <c r="O160" s="834">
        <f ca="1">M160*S160*W160</f>
        <v>0</v>
      </c>
      <c r="P160" t="b">
        <v>0</v>
      </c>
      <c r="Q160" t="b">
        <v>1</v>
      </c>
      <c r="R160" t="b">
        <v>0</v>
      </c>
      <c r="S160" t="b">
        <f>NOT(ISBLANK(W147))</f>
        <v>0</v>
      </c>
      <c r="T160" t="b">
        <f>IF(AND(NOT(S160),W160=TRUE),TRUE,FALSE)</f>
        <v>0</v>
      </c>
      <c r="W160" s="17"/>
      <c r="X160" s="817"/>
      <c r="Y160" s="1100" t="str">
        <f>IF(LEN('Ch5'!X161)=0,"None",'Ch5'!X161)</f>
        <v>None</v>
      </c>
      <c r="Z160" s="1102"/>
      <c r="AA160" s="350" t="str">
        <f>IF(LEN('Photo Review'!I159)&gt;0,'Photo Review'!I159,"")</f>
        <v/>
      </c>
      <c r="AC160" t="b">
        <f>OR(AD160:AE160)</f>
        <v>0</v>
      </c>
      <c r="AD160" t="b">
        <f>T160</f>
        <v>0</v>
      </c>
      <c r="AL160" t="str">
        <f>SUBSTITUTE(SUBSTITUTE(SUBSTITUTE("vpa"&amp;$B160&amp;$C160&amp;$D160&amp;$E160,".","_"),"(","_"),")","")</f>
        <v>vpa503_5_4</v>
      </c>
      <c r="AM160">
        <f ca="1">M160</f>
        <v>0</v>
      </c>
      <c r="AN160" t="str">
        <f>SUBSTITUTE(SUBSTITUTE(SUBSTITUTE("vpc"&amp;$B160&amp;$C160&amp;$D160&amp;$E160,".","_"),"(","_"),")","")</f>
        <v>vpc503_5_4</v>
      </c>
      <c r="AO160">
        <f ca="1">O160</f>
        <v>0</v>
      </c>
      <c r="AP160" t="str">
        <f>SUBSTITUTE(SUBSTITUTE(SUBSTITUTE("vch"&amp;$B160&amp;$C160&amp;$D160&amp;$E160,".","_"),"(","_"),")","")</f>
        <v>vch503_5_4</v>
      </c>
      <c r="AQ160" t="str">
        <f>IF(LEN(W160)=0,"",W160)</f>
        <v/>
      </c>
      <c r="AR160" t="str">
        <f>SUBSTITUTE(SUBSTITUTE(SUBSTITUTE("vnt"&amp;$B160&amp;$C160&amp;$D160&amp;$E160,".","_"),"(","_"),")","")</f>
        <v>vnt503_5_4</v>
      </c>
      <c r="AS160" t="str">
        <f>IF(LEN(X160)=0,"",X160)</f>
        <v/>
      </c>
    </row>
    <row r="161" spans="1:45" x14ac:dyDescent="0.35">
      <c r="A161" s="366">
        <v>5</v>
      </c>
      <c r="B161" s="731" t="s">
        <v>413</v>
      </c>
      <c r="C161" s="731" t="s">
        <v>269</v>
      </c>
      <c r="D161" s="731"/>
      <c r="E161" s="731"/>
      <c r="F161" s="731"/>
      <c r="G161" s="366" t="str">
        <f ca="1">G160</f>
        <v/>
      </c>
      <c r="H161" s="732" t="s">
        <v>3972</v>
      </c>
      <c r="I161" s="50"/>
      <c r="J161" s="103"/>
      <c r="K161" s="103"/>
      <c r="L161" s="815"/>
      <c r="M161" s="819"/>
      <c r="N161" s="835"/>
      <c r="O161" s="835"/>
      <c r="X161" s="817"/>
      <c r="Y161" s="1100"/>
      <c r="Z161" s="1102"/>
    </row>
    <row r="162" spans="1:45" x14ac:dyDescent="0.35">
      <c r="A162" s="366">
        <v>5</v>
      </c>
      <c r="B162" s="731" t="s">
        <v>413</v>
      </c>
      <c r="C162" s="731" t="s">
        <v>275</v>
      </c>
      <c r="G162" s="366" t="str">
        <f ca="1">IF(N162&gt;0,"P","")</f>
        <v>P</v>
      </c>
      <c r="H162" s="732" t="s">
        <v>3972</v>
      </c>
      <c r="J162" s="468" t="s">
        <v>275</v>
      </c>
      <c r="K162" s="120"/>
      <c r="L162" s="820" t="s">
        <v>4133</v>
      </c>
      <c r="M162" s="818">
        <f ca="1">3*IFERROR(INDEX({0.5,0.5,1},MATCH(W147,INDIRECT(U147),0)),0)</f>
        <v>0</v>
      </c>
      <c r="N162" s="963">
        <f ca="1">'Ch5'!O163</f>
        <v>3</v>
      </c>
      <c r="O162" s="963">
        <f ca="1">M162*S162*W162</f>
        <v>0</v>
      </c>
      <c r="P162" t="b">
        <v>0</v>
      </c>
      <c r="Q162" t="b">
        <v>1</v>
      </c>
      <c r="R162" t="b">
        <v>0</v>
      </c>
      <c r="S162" t="b">
        <f>NOT(ISBLANK(W147))</f>
        <v>0</v>
      </c>
      <c r="T162" t="b">
        <f>AND(NOT(S162),W162=TRUE)</f>
        <v>0</v>
      </c>
      <c r="W162" s="17"/>
      <c r="X162" s="817"/>
      <c r="Y162" s="1119" t="str">
        <f>IF(LEN('Ch5'!X163)=0,"None",'Ch5'!X163)</f>
        <v>None</v>
      </c>
      <c r="Z162" s="1105"/>
      <c r="AA162" s="350" t="str">
        <f>IF(LEN('Photo Review'!I161)&gt;0,'Photo Review'!I161,"")</f>
        <v/>
      </c>
      <c r="AC162" t="b">
        <f>OR(AD162:AE162)</f>
        <v>0</v>
      </c>
      <c r="AD162" t="b">
        <f>T162</f>
        <v>0</v>
      </c>
      <c r="AL162" t="str">
        <f>SUBSTITUTE(SUBSTITUTE(SUBSTITUTE("vpa"&amp;$B162&amp;$C162&amp;$D162&amp;$E162,".","_"),"(","_"),")","")</f>
        <v>vpa503_5_5</v>
      </c>
      <c r="AM162">
        <f ca="1">M162</f>
        <v>0</v>
      </c>
      <c r="AN162" t="str">
        <f>SUBSTITUTE(SUBSTITUTE(SUBSTITUTE("vpc"&amp;$B162&amp;$C162&amp;$D162&amp;$E162,".","_"),"(","_"),")","")</f>
        <v>vpc503_5_5</v>
      </c>
      <c r="AO162">
        <f ca="1">O162</f>
        <v>0</v>
      </c>
      <c r="AP162" t="str">
        <f>SUBSTITUTE(SUBSTITUTE(SUBSTITUTE("vch"&amp;$B162&amp;$C162&amp;$D162&amp;$E162,".","_"),"(","_"),")","")</f>
        <v>vch503_5_5</v>
      </c>
      <c r="AQ162" t="str">
        <f>IF(LEN(W162)=0,"",W162)</f>
        <v/>
      </c>
      <c r="AR162" t="str">
        <f>SUBSTITUTE(SUBSTITUTE(SUBSTITUTE("vnt"&amp;$B162&amp;$C162&amp;$D162&amp;$E162,".","_"),"(","_"),")","")</f>
        <v>vnt503_5_5</v>
      </c>
      <c r="AS162" t="str">
        <f>IF(LEN(X162)=0,"",X162)</f>
        <v/>
      </c>
    </row>
    <row r="163" spans="1:45" x14ac:dyDescent="0.35">
      <c r="A163" s="366">
        <v>5</v>
      </c>
      <c r="B163" s="731" t="s">
        <v>413</v>
      </c>
      <c r="C163" s="731" t="s">
        <v>275</v>
      </c>
      <c r="G163" s="366" t="str">
        <f ca="1">G162</f>
        <v>P</v>
      </c>
      <c r="H163" s="732" t="s">
        <v>3972</v>
      </c>
      <c r="L163" s="848"/>
      <c r="M163" s="818"/>
      <c r="N163" s="834"/>
      <c r="O163" s="834"/>
      <c r="X163" s="817"/>
      <c r="Y163" s="1120"/>
      <c r="Z163" s="1109"/>
    </row>
    <row r="164" spans="1:45" x14ac:dyDescent="0.35">
      <c r="A164" s="366">
        <v>5</v>
      </c>
      <c r="B164" s="731" t="s">
        <v>413</v>
      </c>
      <c r="C164" s="731" t="s">
        <v>275</v>
      </c>
      <c r="G164" s="366" t="str">
        <f ca="1">G163</f>
        <v>P</v>
      </c>
      <c r="H164" s="732" t="s">
        <v>3972</v>
      </c>
      <c r="J164" s="104"/>
      <c r="K164" s="104"/>
      <c r="L164" s="821"/>
      <c r="M164" s="819"/>
      <c r="N164" s="835"/>
      <c r="O164" s="835"/>
      <c r="X164" s="817"/>
      <c r="Y164" s="1117"/>
      <c r="Z164" s="1103"/>
    </row>
    <row r="165" spans="1:45" x14ac:dyDescent="0.35">
      <c r="A165" s="366">
        <v>5</v>
      </c>
      <c r="B165" s="731" t="s">
        <v>413</v>
      </c>
      <c r="C165" s="731" t="s">
        <v>277</v>
      </c>
      <c r="D165" s="731"/>
      <c r="E165" s="731"/>
      <c r="F165" s="731"/>
      <c r="G165" s="366" t="str">
        <f ca="1">IF(N165&gt;0,"P","")</f>
        <v>P</v>
      </c>
      <c r="H165" s="732" t="s">
        <v>3972</v>
      </c>
      <c r="I165" s="50"/>
      <c r="J165" s="47" t="s">
        <v>277</v>
      </c>
      <c r="K165" s="50"/>
      <c r="L165" s="90" t="s">
        <v>421</v>
      </c>
      <c r="M165" s="40"/>
      <c r="N165" s="41">
        <f ca="1">'Ch5'!O166</f>
        <v>2</v>
      </c>
      <c r="O165" s="41">
        <f ca="1">S165*IFERROR(INDEX(M166:M169,MATCH(W165,INDIRECT(U165))),0)</f>
        <v>0</v>
      </c>
      <c r="P165" t="b">
        <v>0</v>
      </c>
      <c r="Q165" t="b">
        <v>1</v>
      </c>
      <c r="R165" t="b">
        <v>0</v>
      </c>
      <c r="S165" t="b">
        <f>NOT(ISBLANK(W147))</f>
        <v>0</v>
      </c>
      <c r="T165" t="b">
        <f>IF(AND(NOT(S165),LEN(W165)&gt;0),TRUE,FALSE)</f>
        <v>0</v>
      </c>
      <c r="U165" t="str">
        <f>SUBSTITUTE(SUBSTITUTE(SUBSTITUTE("dd"&amp;B165&amp;C165&amp;D165&amp;E165&amp;F165,".","_"),"(","_"),")","")</f>
        <v>dd503_5_6</v>
      </c>
      <c r="W165" s="9"/>
      <c r="X165" s="817"/>
      <c r="Y165" s="1119" t="str">
        <f>IF(LEN('Ch5'!X166)=0,"None",'Ch5'!X166)</f>
        <v>None</v>
      </c>
      <c r="Z165" s="1105"/>
      <c r="AA165" s="350" t="str">
        <f>IF(LEN('Photo Review'!I164)&gt;0,'Photo Review'!I164,"")</f>
        <v/>
      </c>
      <c r="AC165" t="b">
        <f>OR(AD165:AE165)</f>
        <v>0</v>
      </c>
      <c r="AD165" t="b">
        <f>T165</f>
        <v>0</v>
      </c>
      <c r="AN165" t="str">
        <f>SUBSTITUTE(SUBSTITUTE(SUBSTITUTE("vpc"&amp;$B165&amp;$C165&amp;$D165&amp;$E165,".","_"),"(","_"),")","")</f>
        <v>vpc503_5_6</v>
      </c>
      <c r="AO165">
        <f ca="1">O165</f>
        <v>0</v>
      </c>
      <c r="AP165" t="str">
        <f>SUBSTITUTE(SUBSTITUTE(SUBSTITUTE("vch"&amp;$B165&amp;$C165&amp;$D165&amp;$E165,".","_"),"(","_"),")","")</f>
        <v>vch503_5_6</v>
      </c>
      <c r="AQ165" t="str">
        <f>IF(LEN(W165)=0,"",W165)</f>
        <v/>
      </c>
      <c r="AR165" t="str">
        <f>SUBSTITUTE(SUBSTITUTE(SUBSTITUTE("vnt"&amp;$B165&amp;$C165&amp;$D165&amp;$E165,".","_"),"(","_"),")","")</f>
        <v>vnt503_5_6</v>
      </c>
      <c r="AS165" t="str">
        <f>IF(LEN(X165)=0,"",X165)</f>
        <v/>
      </c>
    </row>
    <row r="166" spans="1:45" x14ac:dyDescent="0.35">
      <c r="A166" s="366">
        <v>5</v>
      </c>
      <c r="B166" s="731" t="s">
        <v>413</v>
      </c>
      <c r="C166" s="731" t="s">
        <v>277</v>
      </c>
      <c r="D166" s="731" t="s">
        <v>121</v>
      </c>
      <c r="E166" s="731"/>
      <c r="F166" s="731"/>
      <c r="G166" s="366" t="str">
        <f ca="1">G165</f>
        <v>P</v>
      </c>
      <c r="H166" s="732" t="s">
        <v>3972</v>
      </c>
      <c r="I166" s="50"/>
      <c r="J166" s="50"/>
      <c r="K166" s="47" t="s">
        <v>121</v>
      </c>
      <c r="L166" s="90" t="s">
        <v>422</v>
      </c>
      <c r="M166" s="40">
        <f ca="1">5*IFERROR(INDEX({0.5,0.5,1},MATCH(W147,INDIRECT(U147),0)),0)</f>
        <v>0</v>
      </c>
      <c r="N166" s="41"/>
      <c r="O166" s="41"/>
      <c r="X166" s="817"/>
      <c r="Y166" s="1120"/>
      <c r="Z166" s="1109"/>
      <c r="AL166" t="str">
        <f t="shared" ref="AL166:AL171" si="3">SUBSTITUTE(SUBSTITUTE(SUBSTITUTE("vpa"&amp;$B166&amp;$C166&amp;$D166&amp;$E166,".","_"),"(","_"),")","")</f>
        <v>vpa503_5_6_a</v>
      </c>
      <c r="AM166">
        <f t="shared" ref="AM166:AM171" ca="1" si="4">M166</f>
        <v>0</v>
      </c>
    </row>
    <row r="167" spans="1:45" x14ac:dyDescent="0.35">
      <c r="A167" s="366">
        <v>5</v>
      </c>
      <c r="B167" s="731" t="s">
        <v>413</v>
      </c>
      <c r="C167" s="731" t="s">
        <v>277</v>
      </c>
      <c r="D167" s="731" t="s">
        <v>122</v>
      </c>
      <c r="E167" s="731"/>
      <c r="F167" s="731"/>
      <c r="G167" s="366" t="str">
        <f ca="1">G166</f>
        <v>P</v>
      </c>
      <c r="H167" s="732" t="s">
        <v>3972</v>
      </c>
      <c r="I167" s="50"/>
      <c r="J167" s="50"/>
      <c r="K167" s="47" t="s">
        <v>122</v>
      </c>
      <c r="L167" s="90" t="s">
        <v>423</v>
      </c>
      <c r="M167" s="40">
        <f ca="1">4*IFERROR(INDEX({0.5,0.5,1},MATCH(W147,INDIRECT(U147),0)),0)</f>
        <v>0</v>
      </c>
      <c r="N167" s="41"/>
      <c r="O167" s="41"/>
      <c r="X167" s="817"/>
      <c r="Y167" s="1120"/>
      <c r="Z167" s="1109"/>
      <c r="AL167" t="str">
        <f t="shared" si="3"/>
        <v>vpa503_5_6_b</v>
      </c>
      <c r="AM167">
        <f t="shared" ca="1" si="4"/>
        <v>0</v>
      </c>
    </row>
    <row r="168" spans="1:45" x14ac:dyDescent="0.35">
      <c r="A168" s="366">
        <v>5</v>
      </c>
      <c r="B168" s="731" t="s">
        <v>413</v>
      </c>
      <c r="C168" s="731" t="s">
        <v>277</v>
      </c>
      <c r="D168" s="731" t="s">
        <v>123</v>
      </c>
      <c r="E168" s="731"/>
      <c r="F168" s="731"/>
      <c r="G168" s="366" t="str">
        <f ca="1">G167</f>
        <v>P</v>
      </c>
      <c r="H168" s="732" t="s">
        <v>3972</v>
      </c>
      <c r="I168" s="50"/>
      <c r="J168" s="50"/>
      <c r="K168" s="49" t="s">
        <v>123</v>
      </c>
      <c r="L168" s="90" t="s">
        <v>424</v>
      </c>
      <c r="M168" s="40">
        <f ca="1">3*IFERROR(INDEX({0.5,0.5,1},MATCH(W147,INDIRECT(U147),0)),0)</f>
        <v>0</v>
      </c>
      <c r="N168" s="41"/>
      <c r="O168" s="41"/>
      <c r="X168" s="817"/>
      <c r="Y168" s="1120"/>
      <c r="Z168" s="1109"/>
      <c r="AL168" t="str">
        <f t="shared" si="3"/>
        <v>vpa503_5_6_c</v>
      </c>
      <c r="AM168">
        <f t="shared" ca="1" si="4"/>
        <v>0</v>
      </c>
    </row>
    <row r="169" spans="1:45" x14ac:dyDescent="0.35">
      <c r="A169" s="366">
        <v>5</v>
      </c>
      <c r="B169" s="731" t="s">
        <v>413</v>
      </c>
      <c r="C169" s="731" t="s">
        <v>277</v>
      </c>
      <c r="D169" s="731" t="s">
        <v>401</v>
      </c>
      <c r="E169" s="731"/>
      <c r="F169" s="731"/>
      <c r="G169" s="366" t="str">
        <f ca="1">G168</f>
        <v>P</v>
      </c>
      <c r="H169" s="732" t="s">
        <v>3972</v>
      </c>
      <c r="I169" s="50"/>
      <c r="J169" s="103"/>
      <c r="K169" s="105" t="s">
        <v>401</v>
      </c>
      <c r="L169" s="228" t="s">
        <v>425</v>
      </c>
      <c r="M169" s="268">
        <f ca="1">2*IFERROR(INDEX({0.5,0.5,1},MATCH(W147,INDIRECT(U147),0)),0)</f>
        <v>0</v>
      </c>
      <c r="N169" s="546"/>
      <c r="O169" s="546"/>
      <c r="X169" s="817"/>
      <c r="Y169" s="1117"/>
      <c r="Z169" s="1103"/>
      <c r="AL169" t="str">
        <f t="shared" si="3"/>
        <v>vpa503_5_6_d</v>
      </c>
      <c r="AM169">
        <f t="shared" ca="1" si="4"/>
        <v>0</v>
      </c>
    </row>
    <row r="170" spans="1:45" ht="15" customHeight="1" x14ac:dyDescent="0.35">
      <c r="A170" s="366">
        <v>5</v>
      </c>
      <c r="B170" s="731" t="s">
        <v>413</v>
      </c>
      <c r="C170" s="731" t="s">
        <v>383</v>
      </c>
      <c r="D170" s="731"/>
      <c r="E170" s="731"/>
      <c r="F170" s="731"/>
      <c r="G170" s="366" t="str">
        <f ca="1">IF(N170&gt;0,"P","")</f>
        <v>P</v>
      </c>
      <c r="H170" s="732" t="s">
        <v>3972</v>
      </c>
      <c r="I170" s="50"/>
      <c r="J170" s="100" t="s">
        <v>383</v>
      </c>
      <c r="K170" s="103"/>
      <c r="L170" s="228" t="s">
        <v>426</v>
      </c>
      <c r="M170" s="268">
        <f ca="1">5*IFERROR(INDEX({0.5,0.5,1},MATCH(W147,INDIRECT(U147),0)),0)</f>
        <v>0</v>
      </c>
      <c r="N170" s="546">
        <f ca="1">'Ch5'!O171</f>
        <v>5</v>
      </c>
      <c r="O170" s="546">
        <f ca="1">M170*S170*W170</f>
        <v>0</v>
      </c>
      <c r="P170" t="b">
        <v>0</v>
      </c>
      <c r="Q170" t="b">
        <v>1</v>
      </c>
      <c r="R170" t="b">
        <v>0</v>
      </c>
      <c r="S170" t="b">
        <f>NOT(ISBLANK(W147))</f>
        <v>0</v>
      </c>
      <c r="T170" t="b">
        <f>IF(AND(NOT(S170),W170=TRUE),TRUE,FALSE)</f>
        <v>0</v>
      </c>
      <c r="W170" s="17"/>
      <c r="X170" s="36"/>
      <c r="Y170" s="396" t="str">
        <f>IF(LEN('Ch5'!X171)=0,"None",'Ch5'!X171)</f>
        <v>None</v>
      </c>
      <c r="Z170" s="652"/>
      <c r="AA170" s="350" t="str">
        <f>IF(LEN('Photo Review'!I169)&gt;0,'Photo Review'!I169,"")</f>
        <v/>
      </c>
      <c r="AC170" t="b">
        <f>OR(AD170:AE170)</f>
        <v>0</v>
      </c>
      <c r="AD170" t="b">
        <f>T170</f>
        <v>0</v>
      </c>
      <c r="AL170" t="str">
        <f t="shared" si="3"/>
        <v>vpa503_5_7</v>
      </c>
      <c r="AM170">
        <f t="shared" ca="1" si="4"/>
        <v>0</v>
      </c>
      <c r="AN170" t="str">
        <f>SUBSTITUTE(SUBSTITUTE(SUBSTITUTE("vpc"&amp;$B170&amp;$C170&amp;$D170&amp;$E170,".","_"),"(","_"),")","")</f>
        <v>vpc503_5_7</v>
      </c>
      <c r="AO170">
        <f ca="1">O170</f>
        <v>0</v>
      </c>
      <c r="AP170" t="str">
        <f>SUBSTITUTE(SUBSTITUTE(SUBSTITUTE("vch"&amp;$B170&amp;$C170&amp;$D170&amp;$E170,".","_"),"(","_"),")","")</f>
        <v>vch503_5_7</v>
      </c>
      <c r="AQ170" t="str">
        <f>IF(LEN(W170)=0,"",W170)</f>
        <v/>
      </c>
      <c r="AR170" t="str">
        <f>SUBSTITUTE(SUBSTITUTE(SUBSTITUTE("vnt"&amp;$B170&amp;$C170&amp;$D170&amp;$E170,".","_"),"(","_"),")","")</f>
        <v>vnt503_5_7</v>
      </c>
      <c r="AS170" t="str">
        <f>IF(LEN(X170)=0,"",X170)</f>
        <v/>
      </c>
    </row>
    <row r="171" spans="1:45" x14ac:dyDescent="0.35">
      <c r="A171" s="366">
        <v>5</v>
      </c>
      <c r="B171" s="731" t="s">
        <v>413</v>
      </c>
      <c r="C171" s="731" t="s">
        <v>428</v>
      </c>
      <c r="D171" s="731"/>
      <c r="E171" s="731"/>
      <c r="F171" s="731"/>
      <c r="G171" s="366" t="str">
        <f ca="1">IF(N171&gt;0,"P","")</f>
        <v/>
      </c>
      <c r="H171" s="732" t="s">
        <v>3972</v>
      </c>
      <c r="I171" s="50"/>
      <c r="J171" s="47" t="s">
        <v>428</v>
      </c>
      <c r="K171" s="50"/>
      <c r="L171" s="814" t="s">
        <v>427</v>
      </c>
      <c r="M171" s="818">
        <f ca="1">5*IFERROR(INDEX({0.5,0.5,1},MATCH(W147,INDIRECT(U147),0)),0)</f>
        <v>0</v>
      </c>
      <c r="N171" s="834">
        <f ca="1">'Ch5'!O172</f>
        <v>0</v>
      </c>
      <c r="O171" s="834">
        <f ca="1">M171*S171*W171</f>
        <v>0</v>
      </c>
      <c r="P171" t="b">
        <v>0</v>
      </c>
      <c r="Q171" t="b">
        <v>1</v>
      </c>
      <c r="R171" t="b">
        <v>0</v>
      </c>
      <c r="S171" t="b">
        <f>NOT(ISBLANK(W147))</f>
        <v>0</v>
      </c>
      <c r="T171" t="b">
        <f>IF(AND(NOT(S171),W171=TRUE),TRUE,FALSE)</f>
        <v>0</v>
      </c>
      <c r="W171" s="17"/>
      <c r="X171" s="817"/>
      <c r="Y171" s="1100" t="str">
        <f>IF(LEN('Ch5'!X172)=0,"None",'Ch5'!X172)</f>
        <v>None</v>
      </c>
      <c r="Z171" s="1102"/>
      <c r="AA171" s="350" t="str">
        <f>IF(LEN('Photo Review'!I170)&gt;0,'Photo Review'!I170,"")</f>
        <v/>
      </c>
      <c r="AC171" t="b">
        <f>OR(AD171:AE171)</f>
        <v>0</v>
      </c>
      <c r="AD171" t="b">
        <f>T171</f>
        <v>0</v>
      </c>
      <c r="AL171" t="str">
        <f t="shared" si="3"/>
        <v>vpa503_5_8</v>
      </c>
      <c r="AM171">
        <f t="shared" ca="1" si="4"/>
        <v>0</v>
      </c>
      <c r="AN171" t="str">
        <f>SUBSTITUTE(SUBSTITUTE(SUBSTITUTE("vpc"&amp;$B171&amp;$C171&amp;$D171&amp;$E171,".","_"),"(","_"),")","")</f>
        <v>vpc503_5_8</v>
      </c>
      <c r="AO171">
        <f ca="1">O171</f>
        <v>0</v>
      </c>
      <c r="AP171" t="str">
        <f>SUBSTITUTE(SUBSTITUTE(SUBSTITUTE("vch"&amp;$B171&amp;$C171&amp;$D171&amp;$E171,".","_"),"(","_"),")","")</f>
        <v>vch503_5_8</v>
      </c>
      <c r="AQ171" t="str">
        <f>IF(LEN(W171)=0,"",W171)</f>
        <v/>
      </c>
      <c r="AR171" t="str">
        <f>SUBSTITUTE(SUBSTITUTE(SUBSTITUTE("vnt"&amp;$B171&amp;$C171&amp;$D171&amp;$E171,".","_"),"(","_"),")","")</f>
        <v>vnt503_5_8</v>
      </c>
      <c r="AS171" t="str">
        <f>IF(LEN(X171)=0,"",X171)</f>
        <v/>
      </c>
    </row>
    <row r="172" spans="1:45" x14ac:dyDescent="0.35">
      <c r="A172" s="366">
        <v>5</v>
      </c>
      <c r="B172" s="731" t="s">
        <v>413</v>
      </c>
      <c r="C172" s="731" t="s">
        <v>428</v>
      </c>
      <c r="D172" s="731"/>
      <c r="E172" s="731"/>
      <c r="F172" s="731"/>
      <c r="G172" s="366" t="str">
        <f ca="1">G171</f>
        <v/>
      </c>
      <c r="H172" s="732" t="s">
        <v>3972</v>
      </c>
      <c r="I172" s="50"/>
      <c r="J172" s="50"/>
      <c r="K172" s="50"/>
      <c r="L172" s="814"/>
      <c r="M172" s="818"/>
      <c r="N172" s="834"/>
      <c r="O172" s="834"/>
      <c r="X172" s="817"/>
      <c r="Y172" s="1100"/>
      <c r="Z172" s="1102"/>
    </row>
    <row r="173" spans="1:45" x14ac:dyDescent="0.35">
      <c r="A173" s="366">
        <v>5</v>
      </c>
      <c r="B173" s="731" t="s">
        <v>413</v>
      </c>
      <c r="C173" s="731" t="s">
        <v>428</v>
      </c>
      <c r="D173" s="731"/>
      <c r="E173" s="731"/>
      <c r="F173" s="731"/>
      <c r="G173" s="366" t="str">
        <f ca="1">G172</f>
        <v/>
      </c>
      <c r="H173" s="732" t="s">
        <v>3972</v>
      </c>
      <c r="I173" s="50"/>
      <c r="J173" s="50"/>
      <c r="K173" s="50"/>
      <c r="L173" s="814"/>
      <c r="M173" s="818"/>
      <c r="N173" s="834"/>
      <c r="O173" s="834"/>
      <c r="X173" s="817"/>
      <c r="Y173" s="1100"/>
      <c r="Z173" s="1102"/>
    </row>
    <row r="174" spans="1:45" x14ac:dyDescent="0.35">
      <c r="A174" s="366">
        <v>5</v>
      </c>
      <c r="B174" s="731" t="s">
        <v>413</v>
      </c>
      <c r="C174" s="731" t="s">
        <v>428</v>
      </c>
      <c r="D174" s="731"/>
      <c r="E174" s="731"/>
      <c r="F174" s="731"/>
      <c r="G174" s="366" t="str">
        <f ca="1">G173</f>
        <v/>
      </c>
      <c r="H174" s="732" t="s">
        <v>3972</v>
      </c>
      <c r="I174" s="50"/>
      <c r="J174" s="50"/>
      <c r="K174" s="50"/>
      <c r="L174" s="814"/>
      <c r="M174" s="818"/>
      <c r="N174" s="834"/>
      <c r="O174" s="834"/>
      <c r="X174" s="817"/>
      <c r="Y174" s="1100"/>
      <c r="Z174" s="1102"/>
    </row>
    <row r="175" spans="1:45" x14ac:dyDescent="0.35">
      <c r="A175" s="366">
        <v>5</v>
      </c>
      <c r="B175" s="731" t="s">
        <v>413</v>
      </c>
      <c r="C175" s="731" t="s">
        <v>428</v>
      </c>
      <c r="D175" s="731"/>
      <c r="E175" s="731"/>
      <c r="F175" s="731"/>
      <c r="G175" s="366" t="str">
        <f ca="1">G174</f>
        <v/>
      </c>
      <c r="H175" s="732" t="s">
        <v>3972</v>
      </c>
      <c r="I175" s="50"/>
      <c r="J175" s="103"/>
      <c r="K175" s="103"/>
      <c r="L175" s="815"/>
      <c r="M175" s="819"/>
      <c r="N175" s="835"/>
      <c r="O175" s="835"/>
      <c r="X175" s="817"/>
      <c r="Y175" s="1100"/>
      <c r="Z175" s="1102"/>
    </row>
    <row r="176" spans="1:45" x14ac:dyDescent="0.35">
      <c r="A176" s="366">
        <v>5</v>
      </c>
      <c r="B176" s="731" t="s">
        <v>413</v>
      </c>
      <c r="C176" s="731" t="s">
        <v>430</v>
      </c>
      <c r="D176" s="731"/>
      <c r="E176" s="731"/>
      <c r="F176" s="731"/>
      <c r="G176" s="366" t="str">
        <f ca="1">IF(N176&gt;0,"P","")</f>
        <v/>
      </c>
      <c r="H176" s="732" t="s">
        <v>3972</v>
      </c>
      <c r="I176" s="50"/>
      <c r="J176" s="47" t="s">
        <v>430</v>
      </c>
      <c r="K176" s="50"/>
      <c r="L176" s="814" t="s">
        <v>429</v>
      </c>
      <c r="M176" s="818">
        <f ca="1">5*IFERROR(INDEX({0.5,0.5,1},MATCH(W147,INDIRECT(U147),0)),0)</f>
        <v>0</v>
      </c>
      <c r="N176" s="834">
        <f ca="1">'Ch5'!O177</f>
        <v>0</v>
      </c>
      <c r="O176" s="834">
        <f ca="1">M176*S176*W176</f>
        <v>0</v>
      </c>
      <c r="P176" t="b">
        <v>0</v>
      </c>
      <c r="Q176" t="b">
        <v>1</v>
      </c>
      <c r="R176" t="b">
        <v>0</v>
      </c>
      <c r="S176" t="b">
        <f>NOT(ISBLANK(W147))</f>
        <v>0</v>
      </c>
      <c r="T176" t="b">
        <f>IF(AND(NOT(S176),W176=TRUE),TRUE,FALSE)</f>
        <v>0</v>
      </c>
      <c r="W176" s="17"/>
      <c r="X176" s="817"/>
      <c r="Y176" s="1100" t="str">
        <f>IF(LEN('Ch5'!X177)=0,"None",'Ch5'!X177)</f>
        <v>None</v>
      </c>
      <c r="Z176" s="1102"/>
      <c r="AA176" s="350" t="str">
        <f>IF(LEN('Photo Review'!I175)&gt;0,'Photo Review'!I175,"")</f>
        <v/>
      </c>
      <c r="AC176" t="b">
        <f>OR(AD176:AE176)</f>
        <v>0</v>
      </c>
      <c r="AD176" t="b">
        <f>T176</f>
        <v>0</v>
      </c>
      <c r="AL176" t="str">
        <f>SUBSTITUTE(SUBSTITUTE(SUBSTITUTE("vpa"&amp;$B176&amp;$C176&amp;$D176&amp;$E176,".","_"),"(","_"),")","")</f>
        <v>vpa503_5_9</v>
      </c>
      <c r="AM176">
        <f ca="1">M176</f>
        <v>0</v>
      </c>
      <c r="AN176" t="str">
        <f>SUBSTITUTE(SUBSTITUTE(SUBSTITUTE("vpc"&amp;$B176&amp;$C176&amp;$D176&amp;$E176,".","_"),"(","_"),")","")</f>
        <v>vpc503_5_9</v>
      </c>
      <c r="AO176">
        <f ca="1">O176</f>
        <v>0</v>
      </c>
      <c r="AP176" t="str">
        <f>SUBSTITUTE(SUBSTITUTE(SUBSTITUTE("vch"&amp;$B176&amp;$C176&amp;$D176&amp;$E176,".","_"),"(","_"),")","")</f>
        <v>vch503_5_9</v>
      </c>
      <c r="AQ176" t="str">
        <f>IF(LEN(W176)=0,"",W176)</f>
        <v/>
      </c>
      <c r="AR176" t="str">
        <f>SUBSTITUTE(SUBSTITUTE(SUBSTITUTE("vnt"&amp;$B176&amp;$C176&amp;$D176&amp;$E176,".","_"),"(","_"),")","")</f>
        <v>vnt503_5_9</v>
      </c>
      <c r="AS176" t="str">
        <f>IF(LEN(X176)=0,"",X176)</f>
        <v/>
      </c>
    </row>
    <row r="177" spans="1:45" x14ac:dyDescent="0.35">
      <c r="A177" s="366">
        <v>5</v>
      </c>
      <c r="B177" s="731" t="s">
        <v>413</v>
      </c>
      <c r="C177" s="731" t="s">
        <v>430</v>
      </c>
      <c r="D177" s="731"/>
      <c r="E177" s="731"/>
      <c r="F177" s="731"/>
      <c r="G177" s="366" t="str">
        <f ca="1">G176</f>
        <v/>
      </c>
      <c r="H177" s="732" t="s">
        <v>3972</v>
      </c>
      <c r="I177" s="50"/>
      <c r="J177" s="103"/>
      <c r="K177" s="103"/>
      <c r="L177" s="815"/>
      <c r="M177" s="819"/>
      <c r="N177" s="835"/>
      <c r="O177" s="835"/>
      <c r="X177" s="817"/>
      <c r="Y177" s="1100"/>
      <c r="Z177" s="1102"/>
    </row>
    <row r="178" spans="1:45" x14ac:dyDescent="0.35">
      <c r="A178" s="366">
        <v>5</v>
      </c>
      <c r="B178" s="731" t="s">
        <v>413</v>
      </c>
      <c r="C178" s="731" t="s">
        <v>432</v>
      </c>
      <c r="D178" s="731"/>
      <c r="E178" s="731"/>
      <c r="F178" s="731"/>
      <c r="G178" s="366" t="str">
        <f>IF(N178&gt;0,"P","")</f>
        <v/>
      </c>
      <c r="H178" s="732" t="s">
        <v>3972</v>
      </c>
      <c r="I178" s="50"/>
      <c r="J178" s="47" t="s">
        <v>432</v>
      </c>
      <c r="K178" s="50"/>
      <c r="L178" s="814" t="s">
        <v>431</v>
      </c>
      <c r="M178" s="822">
        <v>3</v>
      </c>
      <c r="N178" s="963">
        <f>'Ch5'!O179</f>
        <v>0</v>
      </c>
      <c r="O178" s="963">
        <f>M178*S178*W178</f>
        <v>0</v>
      </c>
      <c r="P178" t="b">
        <v>0</v>
      </c>
      <c r="Q178" t="b">
        <v>1</v>
      </c>
      <c r="R178" t="b">
        <v>0</v>
      </c>
      <c r="S178" t="b">
        <f>NOT(ISBLANK(W147))</f>
        <v>0</v>
      </c>
      <c r="T178" t="b">
        <f>IF(AND(NOT(S178),W178=TRUE),TRUE,FALSE)</f>
        <v>0</v>
      </c>
      <c r="W178" s="17"/>
      <c r="X178" s="850"/>
      <c r="Y178" s="1100" t="str">
        <f>IF(LEN('Ch5'!X179)=0,"None",'Ch5'!X179)</f>
        <v>None</v>
      </c>
      <c r="Z178" s="1102"/>
      <c r="AA178" s="350" t="str">
        <f>IF(LEN('Photo Review'!I177)&gt;0,'Photo Review'!I177,"")</f>
        <v/>
      </c>
      <c r="AC178" t="b">
        <f>OR(AD178:AE178)</f>
        <v>0</v>
      </c>
      <c r="AD178" t="b">
        <f>T178</f>
        <v>0</v>
      </c>
      <c r="AL178" t="str">
        <f>SUBSTITUTE(SUBSTITUTE(SUBSTITUTE("vpa"&amp;$B178&amp;$C178&amp;$D178&amp;$E178,".","_"),"(","_"),")","")</f>
        <v>vpa503_5_10</v>
      </c>
      <c r="AM178">
        <f>M178</f>
        <v>3</v>
      </c>
      <c r="AN178" t="str">
        <f>SUBSTITUTE(SUBSTITUTE(SUBSTITUTE("vpc"&amp;$B178&amp;$C178&amp;$D178&amp;$E178,".","_"),"(","_"),")","")</f>
        <v>vpc503_5_10</v>
      </c>
      <c r="AO178">
        <f>O178</f>
        <v>0</v>
      </c>
      <c r="AP178" t="str">
        <f>SUBSTITUTE(SUBSTITUTE(SUBSTITUTE("vch"&amp;$B178&amp;$C178&amp;$D178&amp;$E178,".","_"),"(","_"),")","")</f>
        <v>vch503_5_10</v>
      </c>
      <c r="AQ178" t="str">
        <f>IF(LEN(W178)=0,"",W178)</f>
        <v/>
      </c>
      <c r="AR178" t="str">
        <f>SUBSTITUTE(SUBSTITUTE(SUBSTITUTE("vnt"&amp;$B178&amp;$C178&amp;$D178&amp;$E178,".","_"),"(","_"),")","")</f>
        <v>vnt503_5_10</v>
      </c>
      <c r="AS178" t="str">
        <f>IF(LEN(X178)=0,"",X178)</f>
        <v/>
      </c>
    </row>
    <row r="179" spans="1:45" x14ac:dyDescent="0.35">
      <c r="A179" s="366">
        <v>5</v>
      </c>
      <c r="B179" s="731" t="s">
        <v>413</v>
      </c>
      <c r="C179" s="731" t="s">
        <v>432</v>
      </c>
      <c r="D179" s="731"/>
      <c r="E179" s="731"/>
      <c r="F179" s="731"/>
      <c r="G179" s="366" t="str">
        <f>G178</f>
        <v/>
      </c>
      <c r="H179" s="732" t="s">
        <v>3972</v>
      </c>
      <c r="I179" s="50"/>
      <c r="J179" s="50"/>
      <c r="K179" s="50"/>
      <c r="L179" s="814"/>
      <c r="M179" s="818"/>
      <c r="N179" s="834"/>
      <c r="O179" s="834"/>
      <c r="X179" s="851"/>
      <c r="Y179" s="1100"/>
      <c r="Z179" s="1102"/>
    </row>
    <row r="180" spans="1:45" x14ac:dyDescent="0.35">
      <c r="A180" s="366">
        <v>5</v>
      </c>
      <c r="B180" s="731" t="s">
        <v>413</v>
      </c>
      <c r="C180" s="731" t="s">
        <v>432</v>
      </c>
      <c r="D180" s="731"/>
      <c r="E180" s="731"/>
      <c r="F180" s="731"/>
      <c r="G180" s="366" t="str">
        <f>G179</f>
        <v/>
      </c>
      <c r="H180" s="732" t="s">
        <v>3972</v>
      </c>
      <c r="I180" s="50"/>
      <c r="J180" s="103"/>
      <c r="K180" s="103"/>
      <c r="L180" s="815"/>
      <c r="M180" s="819"/>
      <c r="N180" s="835"/>
      <c r="O180" s="835"/>
      <c r="X180" s="816"/>
      <c r="Y180" s="1100"/>
      <c r="Z180" s="1102"/>
    </row>
    <row r="181" spans="1:45" x14ac:dyDescent="0.35">
      <c r="A181" s="366">
        <v>5</v>
      </c>
      <c r="B181" s="731" t="s">
        <v>413</v>
      </c>
      <c r="C181" s="731" t="s">
        <v>434</v>
      </c>
      <c r="D181" s="731"/>
      <c r="E181" s="731"/>
      <c r="F181" s="731"/>
      <c r="G181" s="366" t="str">
        <f>IF(N181&gt;0,"P","")</f>
        <v/>
      </c>
      <c r="H181" s="732" t="s">
        <v>3972</v>
      </c>
      <c r="I181" s="50"/>
      <c r="J181" s="47" t="s">
        <v>434</v>
      </c>
      <c r="K181" s="50"/>
      <c r="L181" s="814" t="s">
        <v>433</v>
      </c>
      <c r="M181" s="818">
        <v>4</v>
      </c>
      <c r="N181" s="834">
        <f>'Ch5'!O182</f>
        <v>0</v>
      </c>
      <c r="O181" s="834">
        <f>M181*S181*W181</f>
        <v>0</v>
      </c>
      <c r="P181" t="b">
        <v>0</v>
      </c>
      <c r="Q181" t="b">
        <v>1</v>
      </c>
      <c r="R181" t="b">
        <v>0</v>
      </c>
      <c r="S181" t="b">
        <f>NOT(ISBLANK(W147))</f>
        <v>0</v>
      </c>
      <c r="T181" t="b">
        <f>IF(AND(NOT(S181),W181=TRUE),TRUE,FALSE)</f>
        <v>0</v>
      </c>
      <c r="W181" s="17"/>
      <c r="X181" s="817"/>
      <c r="Y181" s="1100" t="str">
        <f>IF(LEN('Ch5'!X182)=0,"None",'Ch5'!X182)</f>
        <v>None</v>
      </c>
      <c r="Z181" s="1102"/>
      <c r="AC181" t="b">
        <f>OR(AD181:AE181)</f>
        <v>0</v>
      </c>
      <c r="AD181" t="b">
        <f>T181</f>
        <v>0</v>
      </c>
      <c r="AL181" t="str">
        <f>SUBSTITUTE(SUBSTITUTE(SUBSTITUTE("vpa"&amp;$B181&amp;$C181&amp;$D181&amp;$E181,".","_"),"(","_"),")","")</f>
        <v>vpa503_5_11</v>
      </c>
      <c r="AM181">
        <f>M181</f>
        <v>4</v>
      </c>
      <c r="AN181" t="str">
        <f>SUBSTITUTE(SUBSTITUTE(SUBSTITUTE("vpc"&amp;$B181&amp;$C181&amp;$D181&amp;$E181,".","_"),"(","_"),")","")</f>
        <v>vpc503_5_11</v>
      </c>
      <c r="AO181">
        <f>O181</f>
        <v>0</v>
      </c>
      <c r="AP181" t="str">
        <f>SUBSTITUTE(SUBSTITUTE(SUBSTITUTE("vch"&amp;$B181&amp;$C181&amp;$D181&amp;$E181,".","_"),"(","_"),")","")</f>
        <v>vch503_5_11</v>
      </c>
      <c r="AQ181" t="str">
        <f>IF(LEN(W181)=0,"",W181)</f>
        <v/>
      </c>
      <c r="AR181" t="str">
        <f>SUBSTITUTE(SUBSTITUTE(SUBSTITUTE("vnt"&amp;$B181&amp;$C181&amp;$D181&amp;$E181,".","_"),"(","_"),")","")</f>
        <v>vnt503_5_11</v>
      </c>
      <c r="AS181" t="str">
        <f>IF(LEN(X181)=0,"",X181)</f>
        <v/>
      </c>
    </row>
    <row r="182" spans="1:45" x14ac:dyDescent="0.35">
      <c r="A182" s="366">
        <v>5</v>
      </c>
      <c r="B182" s="731" t="s">
        <v>413</v>
      </c>
      <c r="C182" s="731" t="s">
        <v>434</v>
      </c>
      <c r="D182" s="731"/>
      <c r="E182" s="731"/>
      <c r="F182" s="731"/>
      <c r="G182" s="366" t="str">
        <f>G181</f>
        <v/>
      </c>
      <c r="H182" s="732" t="s">
        <v>3972</v>
      </c>
      <c r="I182" s="50"/>
      <c r="J182" s="103"/>
      <c r="K182" s="103"/>
      <c r="L182" s="815"/>
      <c r="M182" s="819"/>
      <c r="N182" s="835"/>
      <c r="O182" s="835"/>
      <c r="X182" s="817"/>
      <c r="Y182" s="1100"/>
      <c r="Z182" s="1102"/>
    </row>
    <row r="183" spans="1:45" x14ac:dyDescent="0.35">
      <c r="A183" s="366">
        <v>5</v>
      </c>
      <c r="B183" s="731" t="s">
        <v>413</v>
      </c>
      <c r="C183" s="731" t="s">
        <v>436</v>
      </c>
      <c r="D183" s="731"/>
      <c r="E183" s="731"/>
      <c r="F183" s="731"/>
      <c r="G183" s="366" t="str">
        <f>IF(N183&gt;0,"P","")</f>
        <v/>
      </c>
      <c r="H183" s="732" t="s">
        <v>3972</v>
      </c>
      <c r="I183" s="50"/>
      <c r="J183" s="47" t="s">
        <v>436</v>
      </c>
      <c r="K183" s="50"/>
      <c r="L183" s="814" t="s">
        <v>435</v>
      </c>
      <c r="M183" s="818">
        <v>3</v>
      </c>
      <c r="N183" s="834">
        <f>'Ch5'!O184</f>
        <v>0</v>
      </c>
      <c r="O183" s="834">
        <f>M183*S183*W183</f>
        <v>0</v>
      </c>
      <c r="P183" t="b">
        <v>0</v>
      </c>
      <c r="Q183" t="b">
        <v>1</v>
      </c>
      <c r="R183" t="b">
        <v>0</v>
      </c>
      <c r="S183" t="b">
        <f>NOT(ISBLANK(W147))</f>
        <v>0</v>
      </c>
      <c r="T183" t="b">
        <f>IF(AND(NOT(S183),W183=TRUE),TRUE,FALSE)</f>
        <v>0</v>
      </c>
      <c r="W183" s="17"/>
      <c r="X183" s="817"/>
      <c r="Y183" s="1100" t="str">
        <f>IF(LEN('Ch5'!X184)=0,"None",'Ch5'!X184)</f>
        <v>None</v>
      </c>
      <c r="Z183" s="1102"/>
      <c r="AC183" t="b">
        <f>OR(AD183:AE183)</f>
        <v>0</v>
      </c>
      <c r="AD183" t="b">
        <f>T183</f>
        <v>0</v>
      </c>
      <c r="AL183" t="str">
        <f>SUBSTITUTE(SUBSTITUTE(SUBSTITUTE("vpa"&amp;$B183&amp;$C183&amp;$D183&amp;$E183,".","_"),"(","_"),")","")</f>
        <v>vpa503_5_12</v>
      </c>
      <c r="AM183">
        <f>M183</f>
        <v>3</v>
      </c>
      <c r="AN183" t="str">
        <f>SUBSTITUTE(SUBSTITUTE(SUBSTITUTE("vpc"&amp;$B183&amp;$C183&amp;$D183&amp;$E183,".","_"),"(","_"),")","")</f>
        <v>vpc503_5_12</v>
      </c>
      <c r="AO183">
        <f>O183</f>
        <v>0</v>
      </c>
      <c r="AP183" t="str">
        <f>SUBSTITUTE(SUBSTITUTE(SUBSTITUTE("vch"&amp;$B183&amp;$C183&amp;$D183&amp;$E183,".","_"),"(","_"),")","")</f>
        <v>vch503_5_12</v>
      </c>
      <c r="AQ183" t="str">
        <f>IF(LEN(W183)=0,"",W183)</f>
        <v/>
      </c>
      <c r="AR183" t="str">
        <f>SUBSTITUTE(SUBSTITUTE(SUBSTITUTE("vnt"&amp;$B183&amp;$C183&amp;$D183&amp;$E183,".","_"),"(","_"),")","")</f>
        <v>vnt503_5_12</v>
      </c>
      <c r="AS183" t="str">
        <f>IF(LEN(X183)=0,"",X183)</f>
        <v/>
      </c>
    </row>
    <row r="184" spans="1:45" x14ac:dyDescent="0.35">
      <c r="A184" s="366">
        <v>5</v>
      </c>
      <c r="B184" s="731" t="s">
        <v>413</v>
      </c>
      <c r="C184" s="731" t="s">
        <v>436</v>
      </c>
      <c r="D184" s="731"/>
      <c r="E184" s="731"/>
      <c r="F184" s="731"/>
      <c r="G184" s="366" t="str">
        <f>G183</f>
        <v/>
      </c>
      <c r="H184" s="732" t="s">
        <v>3972</v>
      </c>
      <c r="I184" s="50"/>
      <c r="J184" s="103"/>
      <c r="K184" s="103"/>
      <c r="L184" s="815"/>
      <c r="M184" s="819"/>
      <c r="N184" s="835"/>
      <c r="O184" s="835"/>
      <c r="X184" s="817"/>
      <c r="Y184" s="1100"/>
      <c r="Z184" s="1102"/>
    </row>
    <row r="185" spans="1:45" x14ac:dyDescent="0.35">
      <c r="A185" s="366">
        <v>5</v>
      </c>
      <c r="B185" s="731" t="s">
        <v>413</v>
      </c>
      <c r="C185" s="731" t="s">
        <v>3294</v>
      </c>
      <c r="D185" s="731"/>
      <c r="E185" s="731"/>
      <c r="F185" s="731"/>
      <c r="G185" s="366" t="str">
        <f>IF(N185&gt;0,"P","")</f>
        <v/>
      </c>
      <c r="H185" s="732" t="s">
        <v>3972</v>
      </c>
      <c r="I185" s="50"/>
      <c r="J185" s="47" t="s">
        <v>3294</v>
      </c>
      <c r="K185" s="50"/>
      <c r="L185" s="814" t="s">
        <v>437</v>
      </c>
      <c r="M185" s="818">
        <v>6</v>
      </c>
      <c r="N185" s="834">
        <f>'Ch5'!O186</f>
        <v>0</v>
      </c>
      <c r="O185" s="834">
        <f>M185*S185*W185</f>
        <v>0</v>
      </c>
      <c r="P185" t="b">
        <v>0</v>
      </c>
      <c r="Q185" t="b">
        <v>1</v>
      </c>
      <c r="R185" t="b">
        <v>0</v>
      </c>
      <c r="S185" t="b">
        <f>NOT(ISBLANK(W147))</f>
        <v>0</v>
      </c>
      <c r="T185" t="b">
        <f>IF(AND(NOT(S185),W185=TRUE),TRUE,FALSE)</f>
        <v>0</v>
      </c>
      <c r="W185" s="17"/>
      <c r="X185" s="817"/>
      <c r="Y185" s="1100" t="str">
        <f>IF(LEN('Ch5'!X186)=0,"None",'Ch5'!X186)</f>
        <v>None</v>
      </c>
      <c r="Z185" s="1102"/>
      <c r="AC185" t="b">
        <f>OR(AD185:AE185)</f>
        <v>0</v>
      </c>
      <c r="AD185" t="b">
        <f>T185</f>
        <v>0</v>
      </c>
      <c r="AL185" t="str">
        <f>SUBSTITUTE(SUBSTITUTE(SUBSTITUTE("vpa"&amp;$B185&amp;$C185&amp;$D185&amp;$E185,".","_"),"(","_"),")","")</f>
        <v>vpa503_5_13</v>
      </c>
      <c r="AM185">
        <f>M185</f>
        <v>6</v>
      </c>
      <c r="AN185" t="str">
        <f>SUBSTITUTE(SUBSTITUTE(SUBSTITUTE("vpc"&amp;$B185&amp;$C185&amp;$D185&amp;$E185,".","_"),"(","_"),")","")</f>
        <v>vpc503_5_13</v>
      </c>
      <c r="AO185">
        <f>O185</f>
        <v>0</v>
      </c>
      <c r="AP185" t="str">
        <f>SUBSTITUTE(SUBSTITUTE(SUBSTITUTE("vch"&amp;$B185&amp;$C185&amp;$D185&amp;$E185,".","_"),"(","_"),")","")</f>
        <v>vch503_5_13</v>
      </c>
      <c r="AQ185" t="str">
        <f>IF(LEN(W185)=0,"",W185)</f>
        <v/>
      </c>
      <c r="AR185" t="str">
        <f>SUBSTITUTE(SUBSTITUTE(SUBSTITUTE("vnt"&amp;$B185&amp;$C185&amp;$D185&amp;$E185,".","_"),"(","_"),")","")</f>
        <v>vnt503_5_13</v>
      </c>
      <c r="AS185" t="str">
        <f>IF(LEN(X185)=0,"",X185)</f>
        <v/>
      </c>
    </row>
    <row r="186" spans="1:45" ht="15" thickBot="1" x14ac:dyDescent="0.4">
      <c r="A186" s="366">
        <v>5</v>
      </c>
      <c r="B186" s="731" t="s">
        <v>413</v>
      </c>
      <c r="C186" s="731" t="s">
        <v>3294</v>
      </c>
      <c r="D186" s="731"/>
      <c r="E186" s="731"/>
      <c r="F186" s="731"/>
      <c r="G186" s="366" t="str">
        <f>G185</f>
        <v/>
      </c>
      <c r="H186" s="732" t="s">
        <v>3972</v>
      </c>
      <c r="I186" s="57"/>
      <c r="J186" s="57"/>
      <c r="K186" s="57"/>
      <c r="L186" s="839"/>
      <c r="M186" s="827"/>
      <c r="N186" s="863"/>
      <c r="O186" s="863"/>
      <c r="P186" s="55"/>
      <c r="Q186" s="55"/>
      <c r="R186" s="55"/>
      <c r="S186" s="55"/>
      <c r="T186" s="55"/>
      <c r="U186" s="55"/>
      <c r="V186" s="55"/>
      <c r="W186" s="55"/>
      <c r="X186" s="829"/>
      <c r="Y186" s="1101"/>
      <c r="Z186" s="1104"/>
    </row>
    <row r="187" spans="1:45" ht="15" thickTop="1" x14ac:dyDescent="0.35">
      <c r="A187" s="366">
        <v>5</v>
      </c>
      <c r="B187" s="731" t="s">
        <v>438</v>
      </c>
      <c r="C187" s="731"/>
      <c r="D187" s="731"/>
      <c r="E187" s="731"/>
      <c r="F187" s="731"/>
      <c r="G187" s="366" t="str">
        <f>IF(N187&gt;0,"P","")</f>
        <v>P</v>
      </c>
      <c r="H187" s="732" t="s">
        <v>3972</v>
      </c>
      <c r="I187" s="31">
        <v>503.6</v>
      </c>
      <c r="J187" s="50"/>
      <c r="K187" s="50"/>
      <c r="L187" s="838" t="s">
        <v>439</v>
      </c>
      <c r="M187" s="40"/>
      <c r="N187" s="959">
        <f>'Ch5'!O188</f>
        <v>6</v>
      </c>
      <c r="O187" s="959">
        <f>IF((M189*W189+M190*W190+M191*W191+M193*W193)&gt;=6,(M189*W189+M190*W190+M191*W191+M193*W193),0)</f>
        <v>0</v>
      </c>
      <c r="X187" s="840"/>
      <c r="Y187" s="1117" t="str">
        <f>IF(LEN('Ch5'!X188)=0,"None",'Ch5'!X188)</f>
        <v>None</v>
      </c>
      <c r="Z187" s="1103"/>
      <c r="AA187" s="350" t="str">
        <f>IF(LEN('Photo Review'!I186)&gt;0,'Photo Review'!I186,"")</f>
        <v/>
      </c>
      <c r="AN187" t="str">
        <f>SUBSTITUTE(SUBSTITUTE(SUBSTITUTE("vpc"&amp;$B187&amp;$C187&amp;$D187&amp;$E187,".","_"),"(","_"),")","")</f>
        <v>vpc503_6</v>
      </c>
      <c r="AO187">
        <f>O187</f>
        <v>0</v>
      </c>
      <c r="AR187" t="str">
        <f>SUBSTITUTE(SUBSTITUTE(SUBSTITUTE("vnt"&amp;$B187&amp;$C187&amp;$D187&amp;$E187,".","_"),"(","_"),")","")</f>
        <v>vnt503_6</v>
      </c>
      <c r="AS187" t="str">
        <f>IF(LEN(X187)=0,"",X187)</f>
        <v/>
      </c>
    </row>
    <row r="188" spans="1:45" x14ac:dyDescent="0.35">
      <c r="A188" s="366">
        <v>5</v>
      </c>
      <c r="B188" s="731" t="s">
        <v>438</v>
      </c>
      <c r="C188" s="731"/>
      <c r="D188" s="731"/>
      <c r="E188" s="731"/>
      <c r="F188" s="731"/>
      <c r="G188" s="366" t="str">
        <f t="shared" ref="G188:G193" si="5">G187</f>
        <v>P</v>
      </c>
      <c r="H188" s="732" t="s">
        <v>3972</v>
      </c>
      <c r="I188" s="50"/>
      <c r="J188" s="50"/>
      <c r="K188" s="50"/>
      <c r="L188" s="838"/>
      <c r="M188" s="40"/>
      <c r="N188" s="834"/>
      <c r="O188" s="834"/>
      <c r="X188" s="817"/>
      <c r="Y188" s="1100"/>
      <c r="Z188" s="1102"/>
    </row>
    <row r="189" spans="1:45" x14ac:dyDescent="0.35">
      <c r="A189" s="366">
        <v>5</v>
      </c>
      <c r="B189" s="731" t="s">
        <v>438</v>
      </c>
      <c r="C189" s="731" t="s">
        <v>256</v>
      </c>
      <c r="D189" s="731"/>
      <c r="E189" s="731"/>
      <c r="F189" s="731"/>
      <c r="G189" s="366" t="str">
        <f t="shared" si="5"/>
        <v>P</v>
      </c>
      <c r="H189" s="732" t="s">
        <v>3972</v>
      </c>
      <c r="I189" s="50"/>
      <c r="J189" s="100" t="s">
        <v>256</v>
      </c>
      <c r="K189" s="103"/>
      <c r="L189" s="228" t="s">
        <v>440</v>
      </c>
      <c r="M189" s="268">
        <v>3</v>
      </c>
      <c r="N189" s="546"/>
      <c r="O189" s="546"/>
      <c r="P189" t="b">
        <v>0</v>
      </c>
      <c r="Q189" t="b">
        <v>1</v>
      </c>
      <c r="R189" t="b">
        <v>0</v>
      </c>
      <c r="S189" t="b">
        <v>1</v>
      </c>
      <c r="T189" t="b">
        <v>0</v>
      </c>
      <c r="W189" s="17"/>
      <c r="X189" s="817"/>
      <c r="Y189" s="1100"/>
      <c r="Z189" s="1102"/>
      <c r="AL189" t="str">
        <f>SUBSTITUTE(SUBSTITUTE(SUBSTITUTE("vpa"&amp;$B189&amp;$C189&amp;$D189&amp;$E189,".","_"),"(","_"),")","")</f>
        <v>vpa503_6_1</v>
      </c>
      <c r="AM189">
        <f>M189</f>
        <v>3</v>
      </c>
      <c r="AP189" t="str">
        <f>SUBSTITUTE(SUBSTITUTE(SUBSTITUTE("vch"&amp;$B189&amp;$C189&amp;$D189&amp;$E189,".","_"),"(","_"),")","")</f>
        <v>vch503_6_1</v>
      </c>
      <c r="AQ189" t="str">
        <f>IF(LEN(W189)=0,"",W189)</f>
        <v/>
      </c>
    </row>
    <row r="190" spans="1:45" x14ac:dyDescent="0.35">
      <c r="A190" s="366">
        <v>5</v>
      </c>
      <c r="B190" s="731" t="s">
        <v>438</v>
      </c>
      <c r="C190" s="731" t="s">
        <v>258</v>
      </c>
      <c r="D190" s="731"/>
      <c r="E190" s="731"/>
      <c r="F190" s="731"/>
      <c r="G190" s="366" t="str">
        <f t="shared" si="5"/>
        <v>P</v>
      </c>
      <c r="H190" s="732" t="s">
        <v>3972</v>
      </c>
      <c r="I190" s="50"/>
      <c r="J190" s="100" t="s">
        <v>258</v>
      </c>
      <c r="K190" s="103"/>
      <c r="L190" s="228" t="s">
        <v>441</v>
      </c>
      <c r="M190" s="268">
        <v>3</v>
      </c>
      <c r="N190" s="546"/>
      <c r="O190" s="546"/>
      <c r="P190" t="b">
        <v>0</v>
      </c>
      <c r="Q190" t="b">
        <v>1</v>
      </c>
      <c r="R190" t="b">
        <v>0</v>
      </c>
      <c r="S190" t="b">
        <v>1</v>
      </c>
      <c r="T190" t="b">
        <v>0</v>
      </c>
      <c r="W190" s="17"/>
      <c r="X190" s="817"/>
      <c r="Y190" s="1100"/>
      <c r="Z190" s="1102"/>
      <c r="AL190" t="str">
        <f>SUBSTITUTE(SUBSTITUTE(SUBSTITUTE("vpa"&amp;$B190&amp;$C190&amp;$D190&amp;$E190,".","_"),"(","_"),")","")</f>
        <v>vpa503_6_2</v>
      </c>
      <c r="AM190">
        <f>M190</f>
        <v>3</v>
      </c>
      <c r="AP190" t="str">
        <f>SUBSTITUTE(SUBSTITUTE(SUBSTITUTE("vch"&amp;$B190&amp;$C190&amp;$D190&amp;$E190,".","_"),"(","_"),")","")</f>
        <v>vch503_6_2</v>
      </c>
      <c r="AQ190" t="str">
        <f>IF(LEN(W190)=0,"",W190)</f>
        <v/>
      </c>
    </row>
    <row r="191" spans="1:45" x14ac:dyDescent="0.35">
      <c r="A191" s="366">
        <v>5</v>
      </c>
      <c r="B191" s="731" t="s">
        <v>438</v>
      </c>
      <c r="C191" s="731" t="s">
        <v>260</v>
      </c>
      <c r="D191" s="731"/>
      <c r="E191" s="731"/>
      <c r="F191" s="731"/>
      <c r="G191" s="366" t="str">
        <f t="shared" si="5"/>
        <v>P</v>
      </c>
      <c r="H191" s="732" t="s">
        <v>3972</v>
      </c>
      <c r="I191" s="50"/>
      <c r="J191" s="47" t="s">
        <v>260</v>
      </c>
      <c r="K191" s="50"/>
      <c r="L191" s="814" t="s">
        <v>442</v>
      </c>
      <c r="M191" s="818">
        <v>3</v>
      </c>
      <c r="N191" s="41"/>
      <c r="O191" s="41"/>
      <c r="P191" t="b">
        <v>0</v>
      </c>
      <c r="Q191" t="b">
        <v>1</v>
      </c>
      <c r="R191" t="b">
        <v>0</v>
      </c>
      <c r="S191" t="b">
        <v>1</v>
      </c>
      <c r="T191" t="b">
        <v>0</v>
      </c>
      <c r="W191" s="17"/>
      <c r="X191" s="817"/>
      <c r="Y191" s="1100"/>
      <c r="Z191" s="1102"/>
      <c r="AL191" t="str">
        <f>SUBSTITUTE(SUBSTITUTE(SUBSTITUTE("vpa"&amp;$B191&amp;$C191&amp;$D191&amp;$E191,".","_"),"(","_"),")","")</f>
        <v>vpa503_6_3</v>
      </c>
      <c r="AM191">
        <f>M191</f>
        <v>3</v>
      </c>
      <c r="AP191" t="str">
        <f>SUBSTITUTE(SUBSTITUTE(SUBSTITUTE("vch"&amp;$B191&amp;$C191&amp;$D191&amp;$E191,".","_"),"(","_"),")","")</f>
        <v>vch503_6_3</v>
      </c>
      <c r="AQ191" t="str">
        <f>IF(LEN(W191)=0,"",W191)</f>
        <v/>
      </c>
    </row>
    <row r="192" spans="1:45" x14ac:dyDescent="0.35">
      <c r="A192" s="366">
        <v>5</v>
      </c>
      <c r="B192" s="731" t="s">
        <v>438</v>
      </c>
      <c r="C192" s="731" t="s">
        <v>260</v>
      </c>
      <c r="D192" s="731"/>
      <c r="E192" s="731"/>
      <c r="F192" s="731"/>
      <c r="G192" s="366" t="str">
        <f t="shared" si="5"/>
        <v>P</v>
      </c>
      <c r="H192" s="732" t="s">
        <v>3972</v>
      </c>
      <c r="I192" s="50"/>
      <c r="J192" s="103"/>
      <c r="K192" s="103"/>
      <c r="L192" s="815"/>
      <c r="M192" s="819"/>
      <c r="N192" s="546"/>
      <c r="O192" s="546"/>
      <c r="X192" s="817"/>
      <c r="Y192" s="1100"/>
      <c r="Z192" s="1102"/>
    </row>
    <row r="193" spans="1:56" ht="15" thickBot="1" x14ac:dyDescent="0.4">
      <c r="A193" s="366">
        <v>5</v>
      </c>
      <c r="B193" s="731" t="s">
        <v>438</v>
      </c>
      <c r="C193" s="731" t="s">
        <v>269</v>
      </c>
      <c r="D193" s="731"/>
      <c r="E193" s="731"/>
      <c r="F193" s="731"/>
      <c r="G193" s="366" t="str">
        <f t="shared" si="5"/>
        <v>P</v>
      </c>
      <c r="H193" s="732" t="s">
        <v>3972</v>
      </c>
      <c r="I193" s="57"/>
      <c r="J193" s="52" t="s">
        <v>269</v>
      </c>
      <c r="K193" s="57"/>
      <c r="L193" s="229" t="s">
        <v>443</v>
      </c>
      <c r="M193" s="270">
        <v>3</v>
      </c>
      <c r="N193" s="72"/>
      <c r="O193" s="72"/>
      <c r="P193" t="b">
        <v>0</v>
      </c>
      <c r="Q193" t="b">
        <v>1</v>
      </c>
      <c r="R193" s="55" t="b">
        <v>0</v>
      </c>
      <c r="S193" s="55" t="b">
        <v>1</v>
      </c>
      <c r="T193" s="55" t="b">
        <v>0</v>
      </c>
      <c r="U193" s="55"/>
      <c r="V193" s="55"/>
      <c r="W193" s="111"/>
      <c r="X193" s="829"/>
      <c r="Y193" s="1101"/>
      <c r="Z193" s="1104"/>
      <c r="AL193" t="str">
        <f>SUBSTITUTE(SUBSTITUTE(SUBSTITUTE("vpa"&amp;$B193&amp;$C193&amp;$D193&amp;$E193,".","_"),"(","_"),")","")</f>
        <v>vpa503_6_4</v>
      </c>
      <c r="AM193">
        <f>M193</f>
        <v>3</v>
      </c>
      <c r="AP193" t="str">
        <f>SUBSTITUTE(SUBSTITUTE(SUBSTITUTE("vch"&amp;$B193&amp;$C193&amp;$D193&amp;$E193,".","_"),"(","_"),")","")</f>
        <v>vch503_6_4</v>
      </c>
      <c r="AQ193" t="str">
        <f>IF(LEN(W193)=0,"",W193)</f>
        <v/>
      </c>
    </row>
    <row r="194" spans="1:56" ht="15" thickTop="1" x14ac:dyDescent="0.35">
      <c r="A194" s="366">
        <v>5</v>
      </c>
      <c r="B194" s="731" t="s">
        <v>444</v>
      </c>
      <c r="C194" s="731"/>
      <c r="D194" s="731"/>
      <c r="E194" s="731"/>
      <c r="F194" s="731"/>
      <c r="G194" s="727" t="str">
        <f>IF(COUNTIF(G196:G198,"P")&gt;0,"P","")</f>
        <v/>
      </c>
      <c r="H194" s="732" t="s">
        <v>3970</v>
      </c>
      <c r="I194" s="31">
        <v>503.7</v>
      </c>
      <c r="J194" s="50"/>
      <c r="K194" s="50"/>
      <c r="L194" s="838" t="s">
        <v>445</v>
      </c>
      <c r="M194" s="40"/>
      <c r="N194" s="959">
        <f>'Ch5'!O195</f>
        <v>0</v>
      </c>
      <c r="O194" s="959">
        <f>IF(LEN(W194)&gt;0,4,0)*S194</f>
        <v>0</v>
      </c>
      <c r="P194" t="b">
        <v>1</v>
      </c>
      <c r="Q194" t="b">
        <v>1</v>
      </c>
      <c r="R194" t="b">
        <v>0</v>
      </c>
      <c r="S194" t="b">
        <v>1</v>
      </c>
      <c r="T194" t="b">
        <v>0</v>
      </c>
      <c r="U194" t="str">
        <f>SUBSTITUTE(SUBSTITUTE(SUBSTITUTE("dd"&amp;B194&amp;C194&amp;D194&amp;E194&amp;F194,".","_"),"(","_"),")","")</f>
        <v>dd503_7</v>
      </c>
      <c r="W194" s="9"/>
      <c r="X194" s="816"/>
      <c r="Y194" s="1117" t="str">
        <f>IF(LEN('Ch5'!X195)=0,"None",'Ch5'!X195)</f>
        <v>None</v>
      </c>
      <c r="Z194" s="1103"/>
      <c r="AA194" s="350" t="str">
        <f>IF(LEN('Photo Review'!I193)&gt;0,'Photo Review'!I193,"")</f>
        <v/>
      </c>
      <c r="AL194" t="str">
        <f>SUBSTITUTE(SUBSTITUTE(SUBSTITUTE("vpa"&amp;$B194&amp;$C194&amp;$D194&amp;$E194,".","_"),"(","_"),")","")</f>
        <v>vpa503_7</v>
      </c>
      <c r="AM194">
        <f>M194</f>
        <v>0</v>
      </c>
      <c r="AN194" t="str">
        <f>SUBSTITUTE(SUBSTITUTE(SUBSTITUTE("vpc"&amp;$B194&amp;$C194&amp;$D194&amp;$E194,".","_"),"(","_"),")","")</f>
        <v>vpc503_7</v>
      </c>
      <c r="AO194">
        <f>O194</f>
        <v>0</v>
      </c>
      <c r="AP194" t="str">
        <f>SUBSTITUTE(SUBSTITUTE(SUBSTITUTE("vch"&amp;$B194&amp;$C194&amp;$D194&amp;$E194,".","_"),"(","_"),")","")</f>
        <v>vch503_7</v>
      </c>
      <c r="AQ194" t="str">
        <f>IF(LEN(W194)=0,"",W194)</f>
        <v/>
      </c>
      <c r="AR194" t="str">
        <f>SUBSTITUTE(SUBSTITUTE(SUBSTITUTE("vnt"&amp;$B194&amp;$C194&amp;$D194&amp;$E194,".","_"),"(","_"),")","")</f>
        <v>vnt503_7</v>
      </c>
      <c r="AS194" t="str">
        <f>IF(LEN(X194)=0,"",X194)</f>
        <v/>
      </c>
    </row>
    <row r="195" spans="1:56" x14ac:dyDescent="0.35">
      <c r="A195" s="366">
        <v>5</v>
      </c>
      <c r="B195" s="731" t="s">
        <v>444</v>
      </c>
      <c r="C195" s="731"/>
      <c r="D195" s="731"/>
      <c r="E195" s="731"/>
      <c r="F195" s="731"/>
      <c r="G195" s="366" t="str">
        <f>G194</f>
        <v/>
      </c>
      <c r="H195" s="732" t="s">
        <v>3970</v>
      </c>
      <c r="I195" s="50"/>
      <c r="J195" s="50"/>
      <c r="K195" s="50"/>
      <c r="L195" s="838"/>
      <c r="M195" s="40"/>
      <c r="N195" s="834"/>
      <c r="O195" s="834"/>
      <c r="X195" s="817"/>
      <c r="Y195" s="1100"/>
      <c r="Z195" s="1102"/>
      <c r="BD195" s="462" t="s">
        <v>4106</v>
      </c>
    </row>
    <row r="196" spans="1:56" x14ac:dyDescent="0.35">
      <c r="A196" s="366">
        <v>5</v>
      </c>
      <c r="B196" s="731" t="s">
        <v>444</v>
      </c>
      <c r="C196" s="731" t="s">
        <v>256</v>
      </c>
      <c r="D196" s="731"/>
      <c r="E196" s="731"/>
      <c r="F196" s="731"/>
      <c r="G196" s="366" t="str">
        <f>IF(N196&gt;0,"P","")</f>
        <v/>
      </c>
      <c r="H196" s="732" t="s">
        <v>3970</v>
      </c>
      <c r="I196" s="50"/>
      <c r="J196" s="47" t="s">
        <v>256</v>
      </c>
      <c r="K196" s="50"/>
      <c r="L196" s="814" t="s">
        <v>446</v>
      </c>
      <c r="M196" s="818">
        <v>4</v>
      </c>
      <c r="X196" s="817"/>
      <c r="Y196" s="1100"/>
      <c r="Z196" s="1102"/>
      <c r="BD196" s="462" t="s">
        <v>4106</v>
      </c>
    </row>
    <row r="197" spans="1:56" x14ac:dyDescent="0.35">
      <c r="A197" s="366">
        <v>5</v>
      </c>
      <c r="B197" s="731" t="s">
        <v>444</v>
      </c>
      <c r="C197" s="731" t="s">
        <v>256</v>
      </c>
      <c r="D197" s="731"/>
      <c r="E197" s="731"/>
      <c r="F197" s="731"/>
      <c r="G197" s="366" t="str">
        <f>G196</f>
        <v/>
      </c>
      <c r="H197" s="732" t="s">
        <v>3970</v>
      </c>
      <c r="I197" s="50"/>
      <c r="J197" s="100"/>
      <c r="K197" s="103"/>
      <c r="L197" s="815"/>
      <c r="M197" s="819"/>
      <c r="X197" s="817"/>
      <c r="Y197" s="1100"/>
      <c r="Z197" s="1102"/>
      <c r="BD197" s="462" t="s">
        <v>4106</v>
      </c>
    </row>
    <row r="198" spans="1:56" x14ac:dyDescent="0.35">
      <c r="A198" s="366">
        <v>5</v>
      </c>
      <c r="B198" s="731" t="s">
        <v>444</v>
      </c>
      <c r="C198" s="731" t="s">
        <v>258</v>
      </c>
      <c r="D198" s="731"/>
      <c r="E198" s="731"/>
      <c r="F198" s="731"/>
      <c r="G198" s="366" t="str">
        <f>IF(N198&gt;0,"P","")</f>
        <v/>
      </c>
      <c r="H198" s="732" t="s">
        <v>3970</v>
      </c>
      <c r="I198" s="50"/>
      <c r="J198" s="47" t="s">
        <v>258</v>
      </c>
      <c r="K198" s="50"/>
      <c r="L198" s="814" t="s">
        <v>447</v>
      </c>
      <c r="M198" s="818">
        <v>4</v>
      </c>
      <c r="X198" s="817"/>
      <c r="Y198" s="1100"/>
      <c r="Z198" s="1102"/>
      <c r="BD198" s="462" t="s">
        <v>4106</v>
      </c>
    </row>
    <row r="199" spans="1:56" ht="15" thickBot="1" x14ac:dyDescent="0.4">
      <c r="A199" s="366">
        <v>5</v>
      </c>
      <c r="B199" s="731" t="s">
        <v>444</v>
      </c>
      <c r="C199" s="731" t="s">
        <v>258</v>
      </c>
      <c r="D199" s="731"/>
      <c r="E199" s="731"/>
      <c r="F199" s="731"/>
      <c r="G199" s="366" t="str">
        <f>G198</f>
        <v/>
      </c>
      <c r="H199" s="732" t="s">
        <v>3970</v>
      </c>
      <c r="I199" s="57"/>
      <c r="J199" s="57"/>
      <c r="K199" s="57"/>
      <c r="L199" s="839"/>
      <c r="M199" s="827"/>
      <c r="P199" s="55"/>
      <c r="Q199" s="55"/>
      <c r="R199" s="55"/>
      <c r="S199" s="55"/>
      <c r="T199" s="55"/>
      <c r="U199" s="55"/>
      <c r="V199" s="55"/>
      <c r="W199" s="55"/>
      <c r="X199" s="829"/>
      <c r="Y199" s="1101"/>
      <c r="Z199" s="1104"/>
    </row>
    <row r="200" spans="1:56" ht="15" thickTop="1" x14ac:dyDescent="0.35">
      <c r="A200" s="366">
        <v>5</v>
      </c>
      <c r="B200" s="731" t="s">
        <v>448</v>
      </c>
      <c r="C200" s="731"/>
      <c r="D200" s="731"/>
      <c r="E200" s="731"/>
      <c r="F200" s="731"/>
      <c r="G200" s="366" t="str">
        <f ca="1">IF(N200&gt;0,"P","")</f>
        <v/>
      </c>
      <c r="H200" s="732" t="s">
        <v>3971</v>
      </c>
      <c r="I200" s="31">
        <v>503.8</v>
      </c>
      <c r="J200" s="50"/>
      <c r="K200" s="50"/>
      <c r="L200" s="838" t="s">
        <v>449</v>
      </c>
      <c r="M200" s="818">
        <v>5</v>
      </c>
      <c r="N200" s="959">
        <f ca="1">'Ch5'!O201</f>
        <v>0</v>
      </c>
      <c r="O200" s="959">
        <f ca="1">IFERROR(INDEX({5,6,7,8,9,10},MATCH(W201,INDIRECT(U201),0)),0)</f>
        <v>0</v>
      </c>
      <c r="X200" s="816"/>
      <c r="Y200" s="1117" t="str">
        <f>IF(LEN('Ch5'!X201)=0,"None",'Ch5'!X201)</f>
        <v>None</v>
      </c>
      <c r="Z200" s="1103"/>
      <c r="AL200" t="str">
        <f>SUBSTITUTE(SUBSTITUTE(SUBSTITUTE("vpa"&amp;$B200&amp;$C200&amp;$D200&amp;$E200,".","_"),"(","_"),")","")</f>
        <v>vpa503_8</v>
      </c>
      <c r="AM200">
        <f>M200</f>
        <v>5</v>
      </c>
      <c r="AN200" t="str">
        <f>SUBSTITUTE(SUBSTITUTE(SUBSTITUTE("vpc"&amp;$B200&amp;$C200&amp;$D200&amp;$E200,".","_"),"(","_"),")","")</f>
        <v>vpc503_8</v>
      </c>
      <c r="AO200">
        <f ca="1">O200</f>
        <v>0</v>
      </c>
      <c r="AR200" t="str">
        <f>SUBSTITUTE(SUBSTITUTE(SUBSTITUTE("vnt"&amp;$B200&amp;$C200&amp;$D200&amp;$E200,".","_"),"(","_"),")","")</f>
        <v>vnt503_8</v>
      </c>
      <c r="AS200" t="str">
        <f>IF(LEN(X200)=0,"",X200)</f>
        <v/>
      </c>
    </row>
    <row r="201" spans="1:56" x14ac:dyDescent="0.35">
      <c r="A201" s="366">
        <v>5</v>
      </c>
      <c r="B201" s="731" t="s">
        <v>448</v>
      </c>
      <c r="C201" s="731"/>
      <c r="D201" s="731"/>
      <c r="E201" s="731"/>
      <c r="F201" s="731"/>
      <c r="G201" s="366" t="str">
        <f ca="1">G200</f>
        <v/>
      </c>
      <c r="H201" s="732" t="s">
        <v>3971</v>
      </c>
      <c r="I201" s="50"/>
      <c r="J201" s="50"/>
      <c r="K201" s="50"/>
      <c r="L201" s="838"/>
      <c r="M201" s="818"/>
      <c r="N201" s="834"/>
      <c r="O201" s="834"/>
      <c r="P201" t="b">
        <v>1</v>
      </c>
      <c r="Q201" t="b">
        <v>0</v>
      </c>
      <c r="R201" t="b">
        <v>0</v>
      </c>
      <c r="S201" t="b">
        <v>1</v>
      </c>
      <c r="T201" t="b">
        <v>0</v>
      </c>
      <c r="U201" t="str">
        <f>SUBSTITUTE(SUBSTITUTE(SUBSTITUTE("dd"&amp;B201&amp;C201&amp;D201&amp;E201&amp;F201,".","_"),"(","_"),")","")</f>
        <v>dd503_8</v>
      </c>
      <c r="W201" s="9"/>
      <c r="X201" s="817"/>
      <c r="Y201" s="1100"/>
      <c r="Z201" s="1102"/>
      <c r="AP201" t="str">
        <f>SUBSTITUTE(SUBSTITUTE(SUBSTITUTE("vch"&amp;$B201&amp;$C201&amp;$D201&amp;$E201,".","_"),"(","_"),")","")</f>
        <v>vch503_8</v>
      </c>
      <c r="AQ201" t="str">
        <f>IF(LEN(W201)=0,"",W201)</f>
        <v/>
      </c>
    </row>
    <row r="202" spans="1:56" x14ac:dyDescent="0.35">
      <c r="A202" s="366">
        <v>5</v>
      </c>
      <c r="B202" s="731" t="s">
        <v>448</v>
      </c>
      <c r="C202" s="731"/>
      <c r="D202" s="731"/>
      <c r="E202" s="731"/>
      <c r="F202" s="731"/>
      <c r="G202" s="366" t="str">
        <f ca="1">G201</f>
        <v/>
      </c>
      <c r="H202" s="732" t="s">
        <v>3971</v>
      </c>
      <c r="I202" s="50"/>
      <c r="J202" s="50"/>
      <c r="K202" s="50"/>
      <c r="L202" s="838"/>
      <c r="M202" s="818"/>
      <c r="N202" s="834"/>
      <c r="O202" s="834"/>
      <c r="X202" s="817"/>
      <c r="Y202" s="1100"/>
      <c r="Z202" s="1102"/>
    </row>
    <row r="203" spans="1:56" x14ac:dyDescent="0.35">
      <c r="A203" s="366">
        <v>5</v>
      </c>
      <c r="B203" s="731" t="s">
        <v>448</v>
      </c>
      <c r="C203" s="731" t="s">
        <v>4856</v>
      </c>
      <c r="D203" s="731"/>
      <c r="E203" s="731"/>
      <c r="F203" s="731"/>
      <c r="G203" s="366" t="str">
        <f ca="1">G202</f>
        <v/>
      </c>
      <c r="H203" s="732" t="s">
        <v>3971</v>
      </c>
      <c r="I203" s="50"/>
      <c r="J203" s="50"/>
      <c r="K203" s="50"/>
      <c r="L203" s="814" t="s">
        <v>450</v>
      </c>
      <c r="M203" s="818" t="s">
        <v>761</v>
      </c>
      <c r="N203" s="41"/>
      <c r="O203" s="41"/>
      <c r="X203" s="817"/>
      <c r="Y203" s="1100"/>
      <c r="Z203" s="1102"/>
      <c r="AL203" t="str">
        <f>SUBSTITUTE(SUBSTITUTE(SUBSTITUTE("vpa"&amp;$B203&amp;$C203&amp;$D203&amp;$E203,".","_"),"(","_"),")","")</f>
        <v>vpa503_8_1</v>
      </c>
      <c r="AM203" t="str">
        <f>M203</f>
        <v>1 additional</v>
      </c>
    </row>
    <row r="204" spans="1:56" x14ac:dyDescent="0.35">
      <c r="A204" s="366">
        <v>5</v>
      </c>
      <c r="B204" s="731" t="s">
        <v>448</v>
      </c>
      <c r="C204" s="731"/>
      <c r="D204" s="731"/>
      <c r="E204" s="731"/>
      <c r="F204" s="731"/>
      <c r="G204" s="366" t="str">
        <f ca="1">G203</f>
        <v/>
      </c>
      <c r="H204" s="732" t="s">
        <v>3971</v>
      </c>
      <c r="I204" s="50"/>
      <c r="J204" s="50"/>
      <c r="K204" s="50"/>
      <c r="L204" s="814"/>
      <c r="M204" s="818"/>
      <c r="N204" s="41"/>
      <c r="O204" s="41"/>
      <c r="X204" s="817"/>
      <c r="Y204" s="1100"/>
      <c r="Z204" s="1102"/>
    </row>
    <row r="205" spans="1:56" ht="18.5" x14ac:dyDescent="0.45">
      <c r="A205" s="366">
        <v>5</v>
      </c>
      <c r="B205" s="731" t="s">
        <v>4580</v>
      </c>
      <c r="C205" s="731"/>
      <c r="D205" s="731"/>
      <c r="E205" s="731"/>
      <c r="F205" s="731"/>
      <c r="G205" s="366" t="s">
        <v>3973</v>
      </c>
      <c r="H205" s="366" t="s">
        <v>3970</v>
      </c>
      <c r="I205" s="48" t="s">
        <v>452</v>
      </c>
      <c r="J205" s="48"/>
      <c r="K205" s="48"/>
      <c r="L205" s="44"/>
      <c r="M205" s="243"/>
      <c r="N205" s="544"/>
      <c r="O205" s="544"/>
      <c r="P205" s="15"/>
      <c r="Q205" s="15"/>
      <c r="R205" s="15"/>
      <c r="S205" s="15"/>
      <c r="T205" s="15"/>
      <c r="U205" s="15"/>
      <c r="V205" s="15"/>
      <c r="W205" s="15"/>
      <c r="X205" s="15"/>
      <c r="Y205" s="15"/>
      <c r="Z205" s="651"/>
    </row>
    <row r="206" spans="1:56" x14ac:dyDescent="0.35">
      <c r="A206" s="366">
        <v>5</v>
      </c>
      <c r="B206" s="731" t="s">
        <v>451</v>
      </c>
      <c r="C206" s="731"/>
      <c r="D206" s="731"/>
      <c r="E206" s="731"/>
      <c r="F206" s="731"/>
      <c r="G206" s="732"/>
      <c r="H206" s="732"/>
      <c r="I206" s="47" t="s">
        <v>451</v>
      </c>
      <c r="J206" s="50"/>
      <c r="K206" s="50"/>
      <c r="L206" s="838" t="s">
        <v>453</v>
      </c>
      <c r="M206" s="40"/>
      <c r="N206" s="41"/>
      <c r="O206" s="41"/>
    </row>
    <row r="207" spans="1:56" ht="15" thickBot="1" x14ac:dyDescent="0.4">
      <c r="A207" s="366">
        <v>5</v>
      </c>
      <c r="B207" s="731" t="s">
        <v>451</v>
      </c>
      <c r="C207" s="731"/>
      <c r="D207" s="731"/>
      <c r="E207" s="731"/>
      <c r="F207" s="731"/>
      <c r="G207" s="732"/>
      <c r="H207" s="732"/>
      <c r="I207" s="57"/>
      <c r="J207" s="57"/>
      <c r="K207" s="57"/>
      <c r="L207" s="849"/>
      <c r="M207" s="270"/>
      <c r="N207" s="72"/>
      <c r="O207" s="72"/>
      <c r="P207" s="55"/>
      <c r="Q207" s="55"/>
      <c r="R207" s="55"/>
      <c r="S207" s="55"/>
      <c r="T207" s="55"/>
      <c r="U207" s="55"/>
      <c r="V207" s="55"/>
      <c r="W207" s="55"/>
      <c r="X207" s="55"/>
      <c r="Y207" s="55"/>
      <c r="Z207" s="653"/>
    </row>
    <row r="208" spans="1:56" ht="15" thickTop="1" x14ac:dyDescent="0.35">
      <c r="A208" s="366">
        <v>5</v>
      </c>
      <c r="B208" s="731" t="s">
        <v>454</v>
      </c>
      <c r="C208" s="731"/>
      <c r="D208" s="731"/>
      <c r="E208" s="731"/>
      <c r="F208" s="731"/>
      <c r="G208" s="366" t="str">
        <f>IF(N208&gt;0,"P","")</f>
        <v>P</v>
      </c>
      <c r="H208" s="732" t="s">
        <v>3970</v>
      </c>
      <c r="I208" s="66" t="s">
        <v>454</v>
      </c>
      <c r="J208" s="61"/>
      <c r="K208" s="61"/>
      <c r="L208" s="837" t="s">
        <v>455</v>
      </c>
      <c r="M208" s="830">
        <v>4</v>
      </c>
      <c r="N208" s="959">
        <f>'Ch5'!O209</f>
        <v>4</v>
      </c>
      <c r="O208" s="959">
        <f>M208*W208*S208</f>
        <v>0</v>
      </c>
      <c r="P208" t="b">
        <v>1</v>
      </c>
      <c r="Q208" t="b">
        <v>1</v>
      </c>
      <c r="R208" s="59" t="b">
        <v>0</v>
      </c>
      <c r="S208" s="59" t="b">
        <f>IF((O104+O106+O113)&gt;0,TRUE,FALSE)</f>
        <v>0</v>
      </c>
      <c r="T208" t="b">
        <f>IF(AND(NOT(S208),W208=TRUE),TRUE,FALSE)</f>
        <v>0</v>
      </c>
      <c r="U208" s="59"/>
      <c r="V208" s="59"/>
      <c r="W208" s="17"/>
      <c r="X208" s="840"/>
      <c r="Y208" s="1118" t="str">
        <f>IF(LEN('Ch5'!X209)=0,"None",'Ch5'!X209)</f>
        <v>None</v>
      </c>
      <c r="Z208" s="1103"/>
      <c r="AC208" t="b">
        <f>OR(AD208:AE208)</f>
        <v>0</v>
      </c>
      <c r="AD208" t="b">
        <f>T208</f>
        <v>0</v>
      </c>
      <c r="AL208" t="str">
        <f>SUBSTITUTE(SUBSTITUTE(SUBSTITUTE("vpa"&amp;$B208&amp;$C208&amp;$D208&amp;$E208,".","_"),"(","_"),")","")</f>
        <v>vpa504_1</v>
      </c>
      <c r="AM208">
        <f>M208</f>
        <v>4</v>
      </c>
      <c r="AN208" t="str">
        <f>SUBSTITUTE(SUBSTITUTE(SUBSTITUTE("vpc"&amp;$B208&amp;$C208&amp;$D208&amp;$E208,".","_"),"(","_"),")","")</f>
        <v>vpc504_1</v>
      </c>
      <c r="AO208">
        <f>O208</f>
        <v>0</v>
      </c>
      <c r="AP208" t="str">
        <f>SUBSTITUTE(SUBSTITUTE(SUBSTITUTE("vch"&amp;$B208&amp;$C208&amp;$D208&amp;$E208,".","_"),"(","_"),")","")</f>
        <v>vch504_1</v>
      </c>
      <c r="AQ208" t="str">
        <f>IF(LEN(W208)=0,"",W208)</f>
        <v/>
      </c>
      <c r="AR208" t="str">
        <f>SUBSTITUTE(SUBSTITUTE(SUBSTITUTE("vnt"&amp;$B208&amp;$C208&amp;$D208&amp;$E208,".","_"),"(","_"),")","")</f>
        <v>vnt504_1</v>
      </c>
      <c r="AS208" t="str">
        <f>IF(LEN(X208)=0,"",X208)</f>
        <v/>
      </c>
    </row>
    <row r="209" spans="1:45" x14ac:dyDescent="0.35">
      <c r="A209" s="366">
        <v>5</v>
      </c>
      <c r="B209" s="731" t="s">
        <v>454</v>
      </c>
      <c r="C209" s="731"/>
      <c r="D209" s="731"/>
      <c r="E209" s="731"/>
      <c r="F209" s="731"/>
      <c r="G209" s="366" t="str">
        <f>G208</f>
        <v>P</v>
      </c>
      <c r="H209" s="732" t="s">
        <v>3970</v>
      </c>
      <c r="I209" s="50"/>
      <c r="J209" s="50"/>
      <c r="K209" s="50"/>
      <c r="L209" s="838"/>
      <c r="M209" s="818"/>
      <c r="N209" s="834"/>
      <c r="O209" s="834"/>
      <c r="X209" s="817"/>
      <c r="Y209" s="1100"/>
      <c r="Z209" s="1102"/>
    </row>
    <row r="210" spans="1:45" x14ac:dyDescent="0.35">
      <c r="A210" s="366">
        <v>5</v>
      </c>
      <c r="B210" s="731" t="s">
        <v>454</v>
      </c>
      <c r="C210" s="731"/>
      <c r="D210" s="731"/>
      <c r="E210" s="731"/>
      <c r="F210" s="731"/>
      <c r="G210" s="366" t="str">
        <f>G209</f>
        <v>P</v>
      </c>
      <c r="H210" s="732" t="s">
        <v>3970</v>
      </c>
      <c r="I210" s="50"/>
      <c r="J210" s="50"/>
      <c r="K210" s="50"/>
      <c r="L210" s="838"/>
      <c r="M210" s="818"/>
      <c r="N210" s="834"/>
      <c r="O210" s="834"/>
      <c r="X210" s="817"/>
      <c r="Y210" s="1100"/>
      <c r="Z210" s="1102"/>
    </row>
    <row r="211" spans="1:45" x14ac:dyDescent="0.35">
      <c r="A211" s="366">
        <v>5</v>
      </c>
      <c r="B211" s="731" t="s">
        <v>454</v>
      </c>
      <c r="C211" s="731"/>
      <c r="D211" s="731"/>
      <c r="E211" s="731"/>
      <c r="F211" s="731"/>
      <c r="G211" s="366" t="str">
        <f>G210</f>
        <v>P</v>
      </c>
      <c r="H211" s="732" t="s">
        <v>3970</v>
      </c>
      <c r="I211" s="50"/>
      <c r="J211" s="50"/>
      <c r="K211" s="50"/>
      <c r="L211" s="838"/>
      <c r="M211" s="818"/>
      <c r="N211" s="834"/>
      <c r="O211" s="834"/>
      <c r="X211" s="817"/>
      <c r="Y211" s="1100"/>
      <c r="Z211" s="1102"/>
    </row>
    <row r="212" spans="1:45" ht="15" thickBot="1" x14ac:dyDescent="0.4">
      <c r="A212" s="366">
        <v>5</v>
      </c>
      <c r="B212" s="731" t="s">
        <v>454</v>
      </c>
      <c r="C212" s="731"/>
      <c r="D212" s="731"/>
      <c r="E212" s="731"/>
      <c r="F212" s="731"/>
      <c r="G212" s="366" t="str">
        <f>G211</f>
        <v>P</v>
      </c>
      <c r="H212" s="732" t="s">
        <v>3970</v>
      </c>
      <c r="I212" s="57"/>
      <c r="J212" s="57"/>
      <c r="K212" s="57"/>
      <c r="L212" s="180" t="s">
        <v>768</v>
      </c>
      <c r="M212" s="827"/>
      <c r="N212" s="863"/>
      <c r="O212" s="863"/>
      <c r="P212" s="55"/>
      <c r="Q212" s="55"/>
      <c r="R212" s="55"/>
      <c r="S212" s="55"/>
      <c r="T212" s="55"/>
      <c r="U212" s="55"/>
      <c r="V212" s="55"/>
      <c r="W212" s="55"/>
      <c r="X212" s="829"/>
      <c r="Y212" s="1101"/>
      <c r="Z212" s="1104"/>
    </row>
    <row r="213" spans="1:45" ht="15" thickTop="1" x14ac:dyDescent="0.35">
      <c r="A213" s="366">
        <v>5</v>
      </c>
      <c r="B213" s="731" t="s">
        <v>456</v>
      </c>
      <c r="C213" s="731"/>
      <c r="D213" s="731"/>
      <c r="E213" s="731"/>
      <c r="F213" s="731"/>
      <c r="G213" s="727" t="str">
        <f>IF(COUNTIF(G215:G218,"P")&gt;0,"P","")</f>
        <v>P</v>
      </c>
      <c r="H213" s="732" t="s">
        <v>3971</v>
      </c>
      <c r="I213" s="47" t="s">
        <v>456</v>
      </c>
      <c r="J213" s="50"/>
      <c r="K213" s="50"/>
      <c r="L213" s="838" t="s">
        <v>457</v>
      </c>
      <c r="M213" s="40"/>
      <c r="N213" s="41"/>
      <c r="O213" s="41"/>
      <c r="X213" s="816"/>
      <c r="Y213" s="1117" t="str">
        <f>IF(LEN('Ch5'!X214)=0,"None",'Ch5'!X214)</f>
        <v>None</v>
      </c>
      <c r="Z213" s="1103"/>
      <c r="AR213" t="str">
        <f>SUBSTITUTE(SUBSTITUTE(SUBSTITUTE("vnt"&amp;$B213&amp;$C213&amp;$D213&amp;$E213,".","_"),"(","_"),")","")</f>
        <v>vnt504_2</v>
      </c>
      <c r="AS213" t="str">
        <f>IF(LEN(X213)=0,"",X213)</f>
        <v/>
      </c>
    </row>
    <row r="214" spans="1:45" x14ac:dyDescent="0.35">
      <c r="A214" s="366">
        <v>5</v>
      </c>
      <c r="B214" s="731" t="s">
        <v>456</v>
      </c>
      <c r="C214" s="731"/>
      <c r="D214" s="731"/>
      <c r="E214" s="731"/>
      <c r="F214" s="731"/>
      <c r="G214" s="366" t="str">
        <f>G213</f>
        <v>P</v>
      </c>
      <c r="H214" s="732" t="s">
        <v>3971</v>
      </c>
      <c r="I214" s="50"/>
      <c r="J214" s="50"/>
      <c r="K214" s="50"/>
      <c r="L214" s="838"/>
      <c r="M214" s="40"/>
      <c r="N214" s="41"/>
      <c r="O214" s="41"/>
      <c r="X214" s="817"/>
      <c r="Y214" s="1100"/>
      <c r="Z214" s="1102"/>
      <c r="AA214" s="350" t="str">
        <f>IF(LEN('Photo Review'!I213)&gt;0,'Photo Review'!I213,"")</f>
        <v/>
      </c>
    </row>
    <row r="215" spans="1:45" x14ac:dyDescent="0.35">
      <c r="A215" s="366">
        <v>5</v>
      </c>
      <c r="B215" s="731" t="s">
        <v>456</v>
      </c>
      <c r="C215" s="731" t="s">
        <v>256</v>
      </c>
      <c r="D215" s="731"/>
      <c r="E215" s="731"/>
      <c r="F215" s="731"/>
      <c r="G215" s="366" t="str">
        <f>IF(N215&gt;0,"P","")</f>
        <v>P</v>
      </c>
      <c r="H215" s="732" t="s">
        <v>3971</v>
      </c>
      <c r="I215" s="50"/>
      <c r="J215" s="100" t="s">
        <v>256</v>
      </c>
      <c r="K215" s="103"/>
      <c r="L215" s="228" t="s">
        <v>458</v>
      </c>
      <c r="M215" s="268">
        <v>3</v>
      </c>
      <c r="N215" s="546">
        <f>'Ch5'!O216</f>
        <v>3</v>
      </c>
      <c r="O215" s="546">
        <f>M215*W215</f>
        <v>0</v>
      </c>
      <c r="P215" t="b">
        <v>1</v>
      </c>
      <c r="Q215" t="b">
        <v>0</v>
      </c>
      <c r="R215" t="b">
        <v>0</v>
      </c>
      <c r="S215" t="b">
        <v>1</v>
      </c>
      <c r="T215" t="b">
        <v>0</v>
      </c>
      <c r="W215" s="17"/>
      <c r="X215" s="817"/>
      <c r="Y215" s="1100"/>
      <c r="Z215" s="1102"/>
      <c r="AL215" t="str">
        <f>SUBSTITUTE(SUBSTITUTE(SUBSTITUTE("vpa"&amp;$B215&amp;$C215&amp;$D215&amp;$E215,".","_"),"(","_"),")","")</f>
        <v>vpa504_2_1</v>
      </c>
      <c r="AM215">
        <f>M215</f>
        <v>3</v>
      </c>
      <c r="AN215" t="str">
        <f>SUBSTITUTE(SUBSTITUTE(SUBSTITUTE("vpc"&amp;$B215&amp;$C215&amp;$D215&amp;$E215,".","_"),"(","_"),")","")</f>
        <v>vpc504_2_1</v>
      </c>
      <c r="AO215">
        <f>O215</f>
        <v>0</v>
      </c>
      <c r="AP215" t="str">
        <f>SUBSTITUTE(SUBSTITUTE(SUBSTITUTE("vch"&amp;$B215&amp;$C215&amp;$D215&amp;$E215,".","_"),"(","_"),")","")</f>
        <v>vch504_2_1</v>
      </c>
      <c r="AQ215" t="str">
        <f>IF(LEN(W215)=0,"",W215)</f>
        <v/>
      </c>
    </row>
    <row r="216" spans="1:45" x14ac:dyDescent="0.35">
      <c r="A216" s="366">
        <v>5</v>
      </c>
      <c r="B216" s="731" t="s">
        <v>456</v>
      </c>
      <c r="C216" s="731" t="s">
        <v>258</v>
      </c>
      <c r="D216" s="731"/>
      <c r="E216" s="731"/>
      <c r="F216" s="731"/>
      <c r="G216" s="366" t="str">
        <f>IF(N216&gt;0,"P","")</f>
        <v/>
      </c>
      <c r="H216" s="732" t="s">
        <v>3971</v>
      </c>
      <c r="I216" s="50"/>
      <c r="J216" s="47" t="s">
        <v>258</v>
      </c>
      <c r="K216" s="50"/>
      <c r="L216" s="814" t="s">
        <v>459</v>
      </c>
      <c r="M216" s="818">
        <v>5</v>
      </c>
      <c r="N216" s="834">
        <f>'Ch5'!O217</f>
        <v>0</v>
      </c>
      <c r="O216" s="834">
        <f>M216*W216</f>
        <v>0</v>
      </c>
      <c r="P216" t="b">
        <v>1</v>
      </c>
      <c r="Q216" t="b">
        <v>0</v>
      </c>
      <c r="R216" t="b">
        <v>0</v>
      </c>
      <c r="S216" t="b">
        <v>1</v>
      </c>
      <c r="T216" t="b">
        <v>0</v>
      </c>
      <c r="W216" s="17"/>
      <c r="X216" s="817"/>
      <c r="Y216" s="1100"/>
      <c r="Z216" s="1102"/>
      <c r="AL216" t="str">
        <f>SUBSTITUTE(SUBSTITUTE(SUBSTITUTE("vpa"&amp;$B216&amp;$C216&amp;$D216&amp;$E216,".","_"),"(","_"),")","")</f>
        <v>vpa504_2_2</v>
      </c>
      <c r="AM216">
        <f>M216</f>
        <v>5</v>
      </c>
      <c r="AN216" t="str">
        <f>SUBSTITUTE(SUBSTITUTE(SUBSTITUTE("vpc"&amp;$B216&amp;$C216&amp;$D216&amp;$E216,".","_"),"(","_"),")","")</f>
        <v>vpc504_2_2</v>
      </c>
      <c r="AO216">
        <f>O216</f>
        <v>0</v>
      </c>
      <c r="AP216" t="str">
        <f>SUBSTITUTE(SUBSTITUTE(SUBSTITUTE("vch"&amp;$B216&amp;$C216&amp;$D216&amp;$E216,".","_"),"(","_"),")","")</f>
        <v>vch504_2_2</v>
      </c>
      <c r="AQ216" t="str">
        <f>IF(LEN(W216)=0,"",W216)</f>
        <v/>
      </c>
    </row>
    <row r="217" spans="1:45" x14ac:dyDescent="0.35">
      <c r="A217" s="366">
        <v>5</v>
      </c>
      <c r="B217" s="731" t="s">
        <v>456</v>
      </c>
      <c r="C217" s="731" t="s">
        <v>258</v>
      </c>
      <c r="D217" s="731"/>
      <c r="E217" s="731"/>
      <c r="F217" s="731"/>
      <c r="G217" s="366" t="str">
        <f>G216</f>
        <v/>
      </c>
      <c r="H217" s="732" t="s">
        <v>3971</v>
      </c>
      <c r="I217" s="50"/>
      <c r="J217" s="100"/>
      <c r="K217" s="103"/>
      <c r="L217" s="815"/>
      <c r="M217" s="819"/>
      <c r="N217" s="835"/>
      <c r="O217" s="835"/>
      <c r="X217" s="817"/>
      <c r="Y217" s="1100"/>
      <c r="Z217" s="1102"/>
    </row>
    <row r="218" spans="1:45" x14ac:dyDescent="0.35">
      <c r="A218" s="366">
        <v>5</v>
      </c>
      <c r="B218" s="731" t="s">
        <v>456</v>
      </c>
      <c r="C218" s="731" t="s">
        <v>260</v>
      </c>
      <c r="D218" s="731"/>
      <c r="E218" s="731"/>
      <c r="F218" s="731"/>
      <c r="G218" s="366" t="str">
        <f>IF(N218&gt;0,"P","")</f>
        <v/>
      </c>
      <c r="H218" s="732" t="s">
        <v>3971</v>
      </c>
      <c r="I218" s="50"/>
      <c r="J218" s="47" t="s">
        <v>260</v>
      </c>
      <c r="K218" s="50"/>
      <c r="L218" s="814" t="s">
        <v>460</v>
      </c>
      <c r="M218" s="818">
        <v>4</v>
      </c>
      <c r="N218" s="834">
        <f>'Ch5'!O219</f>
        <v>0</v>
      </c>
      <c r="O218" s="834">
        <f>M218*W218</f>
        <v>0</v>
      </c>
      <c r="P218" t="b">
        <v>1</v>
      </c>
      <c r="Q218" t="b">
        <v>0</v>
      </c>
      <c r="R218" t="b">
        <v>0</v>
      </c>
      <c r="S218" t="b">
        <v>1</v>
      </c>
      <c r="T218" t="b">
        <v>0</v>
      </c>
      <c r="W218" s="17"/>
      <c r="X218" s="817"/>
      <c r="Y218" s="1100"/>
      <c r="Z218" s="1102"/>
      <c r="AL218" t="str">
        <f>SUBSTITUTE(SUBSTITUTE(SUBSTITUTE("vpa"&amp;$B218&amp;$C218&amp;$D218&amp;$E218,".","_"),"(","_"),")","")</f>
        <v>vpa504_2_3</v>
      </c>
      <c r="AM218">
        <f>M218</f>
        <v>4</v>
      </c>
      <c r="AN218" t="str">
        <f>SUBSTITUTE(SUBSTITUTE(SUBSTITUTE("vpc"&amp;$B218&amp;$C218&amp;$D218&amp;$E218,".","_"),"(","_"),")","")</f>
        <v>vpc504_2_3</v>
      </c>
      <c r="AO218">
        <f>O218</f>
        <v>0</v>
      </c>
      <c r="AP218" t="str">
        <f>SUBSTITUTE(SUBSTITUTE(SUBSTITUTE("vch"&amp;$B218&amp;$C218&amp;$D218&amp;$E218,".","_"),"(","_"),")","")</f>
        <v>vch504_2_3</v>
      </c>
      <c r="AQ218" t="str">
        <f>IF(LEN(W218)=0,"",W218)</f>
        <v/>
      </c>
    </row>
    <row r="219" spans="1:45" ht="15" thickBot="1" x14ac:dyDescent="0.4">
      <c r="A219" s="366">
        <v>5</v>
      </c>
      <c r="B219" s="731" t="s">
        <v>456</v>
      </c>
      <c r="C219" s="731" t="s">
        <v>260</v>
      </c>
      <c r="D219" s="731"/>
      <c r="E219" s="731"/>
      <c r="F219" s="731"/>
      <c r="G219" s="366" t="str">
        <f>G218</f>
        <v/>
      </c>
      <c r="H219" s="732" t="s">
        <v>3971</v>
      </c>
      <c r="I219" s="57"/>
      <c r="J219" s="57"/>
      <c r="K219" s="57"/>
      <c r="L219" s="839"/>
      <c r="M219" s="827"/>
      <c r="N219" s="863"/>
      <c r="O219" s="863"/>
      <c r="P219" s="55"/>
      <c r="Q219" s="55"/>
      <c r="R219" s="55"/>
      <c r="S219" s="55"/>
      <c r="T219" s="55"/>
      <c r="U219" s="55"/>
      <c r="V219" s="55"/>
      <c r="W219" s="55"/>
      <c r="X219" s="829"/>
      <c r="Y219" s="1101"/>
      <c r="Z219" s="1104"/>
    </row>
    <row r="220" spans="1:45" ht="15" thickTop="1" x14ac:dyDescent="0.35">
      <c r="A220" s="366">
        <v>5</v>
      </c>
      <c r="B220" s="731" t="s">
        <v>461</v>
      </c>
      <c r="C220" s="731"/>
      <c r="D220" s="731"/>
      <c r="E220" s="731"/>
      <c r="F220" s="731"/>
      <c r="G220" s="727" t="str">
        <f>IF(COUNTIF(G223:G246,"P")&gt;0,"P","")</f>
        <v>P</v>
      </c>
      <c r="H220" s="732" t="s">
        <v>3970</v>
      </c>
      <c r="I220" s="47" t="s">
        <v>461</v>
      </c>
      <c r="J220" s="50"/>
      <c r="K220" s="50"/>
      <c r="L220" s="838" t="s">
        <v>462</v>
      </c>
      <c r="M220" s="40"/>
      <c r="N220" s="41"/>
      <c r="O220" s="41"/>
      <c r="X220" s="816"/>
      <c r="Y220" s="1117" t="str">
        <f>IF(LEN('Ch5'!X221)=0,"None",'Ch5'!X221)</f>
        <v>None</v>
      </c>
      <c r="Z220" s="1103"/>
      <c r="AR220" t="str">
        <f>SUBSTITUTE(SUBSTITUTE(SUBSTITUTE("vnt"&amp;$B220&amp;$C220&amp;$D220&amp;$E220,".","_"),"(","_"),")","")</f>
        <v>vnt504_3</v>
      </c>
      <c r="AS220" t="str">
        <f>IF(LEN(X220)=0,"",X220)</f>
        <v/>
      </c>
    </row>
    <row r="221" spans="1:45" x14ac:dyDescent="0.35">
      <c r="A221" s="366">
        <v>5</v>
      </c>
      <c r="B221" s="731" t="s">
        <v>461</v>
      </c>
      <c r="C221" s="731"/>
      <c r="D221" s="731"/>
      <c r="E221" s="731"/>
      <c r="F221" s="731"/>
      <c r="G221" s="366" t="str">
        <f>G220</f>
        <v>P</v>
      </c>
      <c r="H221" s="732" t="s">
        <v>3970</v>
      </c>
      <c r="I221" s="50"/>
      <c r="J221" s="50"/>
      <c r="K221" s="50"/>
      <c r="L221" s="838"/>
      <c r="M221" s="40"/>
      <c r="N221" s="41"/>
      <c r="O221" s="41"/>
      <c r="X221" s="817"/>
      <c r="Y221" s="1100"/>
      <c r="Z221" s="1102"/>
    </row>
    <row r="222" spans="1:45" x14ac:dyDescent="0.35">
      <c r="A222" s="366">
        <v>5</v>
      </c>
      <c r="B222" s="731" t="s">
        <v>461</v>
      </c>
      <c r="C222" s="731"/>
      <c r="D222" s="731"/>
      <c r="E222" s="731"/>
      <c r="F222" s="731"/>
      <c r="G222" s="366" t="str">
        <f>G221</f>
        <v>P</v>
      </c>
      <c r="H222" s="732" t="s">
        <v>3970</v>
      </c>
      <c r="I222" s="50"/>
      <c r="J222" s="50"/>
      <c r="K222" s="50"/>
      <c r="L222" s="838"/>
      <c r="M222" s="40"/>
      <c r="N222" s="41"/>
      <c r="O222" s="41"/>
      <c r="X222" s="817"/>
      <c r="Y222" s="1100"/>
      <c r="Z222" s="1102"/>
    </row>
    <row r="223" spans="1:45" x14ac:dyDescent="0.35">
      <c r="A223" s="366">
        <v>5</v>
      </c>
      <c r="B223" s="731" t="s">
        <v>461</v>
      </c>
      <c r="C223" s="731" t="s">
        <v>256</v>
      </c>
      <c r="D223" s="731"/>
      <c r="E223" s="731"/>
      <c r="F223" s="731"/>
      <c r="G223" s="366" t="str">
        <f>IF(N223&gt;0,"P","")</f>
        <v/>
      </c>
      <c r="H223" s="732" t="s">
        <v>3971</v>
      </c>
      <c r="I223" s="50"/>
      <c r="J223" s="47" t="s">
        <v>256</v>
      </c>
      <c r="K223" s="50"/>
      <c r="L223" s="814" t="s">
        <v>463</v>
      </c>
      <c r="M223" s="818">
        <v>5</v>
      </c>
      <c r="N223" s="834">
        <f>'Ch5'!O224</f>
        <v>0</v>
      </c>
      <c r="O223" s="834">
        <f>M223*W223</f>
        <v>0</v>
      </c>
      <c r="P223" t="b">
        <v>1</v>
      </c>
      <c r="Q223" t="b">
        <v>0</v>
      </c>
      <c r="R223" t="b">
        <v>0</v>
      </c>
      <c r="S223" t="b">
        <v>1</v>
      </c>
      <c r="T223" t="b">
        <v>0</v>
      </c>
      <c r="W223" s="17"/>
      <c r="X223" s="817"/>
      <c r="Y223" s="1100" t="str">
        <f>IF(LEN('Ch5'!X224)=0,"None",'Ch5'!X224)</f>
        <v>None</v>
      </c>
      <c r="Z223" s="1102"/>
      <c r="AA223" s="350" t="str">
        <f>IF(LEN('Photo Review'!I222)&gt;0,'Photo Review'!I222,"")</f>
        <v/>
      </c>
      <c r="AL223" t="str">
        <f>SUBSTITUTE(SUBSTITUTE(SUBSTITUTE("vpa"&amp;$B223&amp;$C223&amp;$D223&amp;$E223,".","_"),"(","_"),")","")</f>
        <v>vpa504_3_1</v>
      </c>
      <c r="AM223">
        <f>M223</f>
        <v>5</v>
      </c>
      <c r="AN223" t="str">
        <f>SUBSTITUTE(SUBSTITUTE(SUBSTITUTE("vpc"&amp;$B223&amp;$C223&amp;$D223&amp;$E223,".","_"),"(","_"),")","")</f>
        <v>vpc504_3_1</v>
      </c>
      <c r="AO223">
        <f>O223</f>
        <v>0</v>
      </c>
      <c r="AP223" t="str">
        <f>SUBSTITUTE(SUBSTITUTE(SUBSTITUTE("vch"&amp;$B223&amp;$C223&amp;$D223&amp;$E223,".","_"),"(","_"),")","")</f>
        <v>vch504_3_1</v>
      </c>
      <c r="AQ223" t="str">
        <f>IF(LEN(W223)=0,"",W223)</f>
        <v/>
      </c>
      <c r="AR223" t="str">
        <f>SUBSTITUTE(SUBSTITUTE(SUBSTITUTE("vnt"&amp;$B223&amp;$C223&amp;$D223&amp;$E223,".","_"),"(","_"),")","")</f>
        <v>vnt504_3_1</v>
      </c>
      <c r="AS223" t="str">
        <f>IF(LEN(X223)=0,"",X223)</f>
        <v/>
      </c>
    </row>
    <row r="224" spans="1:45" x14ac:dyDescent="0.35">
      <c r="A224" s="366">
        <v>5</v>
      </c>
      <c r="B224" s="731" t="s">
        <v>461</v>
      </c>
      <c r="C224" s="731" t="s">
        <v>256</v>
      </c>
      <c r="D224" s="731"/>
      <c r="E224" s="731"/>
      <c r="F224" s="731"/>
      <c r="G224" s="366" t="str">
        <f>G223</f>
        <v/>
      </c>
      <c r="H224" s="732" t="s">
        <v>3971</v>
      </c>
      <c r="I224" s="50"/>
      <c r="J224" s="100"/>
      <c r="K224" s="103"/>
      <c r="L224" s="815"/>
      <c r="M224" s="819"/>
      <c r="N224" s="835"/>
      <c r="O224" s="835"/>
      <c r="X224" s="817"/>
      <c r="Y224" s="1100"/>
      <c r="Z224" s="1102"/>
    </row>
    <row r="225" spans="1:45" x14ac:dyDescent="0.35">
      <c r="A225" s="366">
        <v>5</v>
      </c>
      <c r="B225" s="731" t="s">
        <v>461</v>
      </c>
      <c r="C225" s="731" t="s">
        <v>258</v>
      </c>
      <c r="D225" s="731"/>
      <c r="E225" s="731"/>
      <c r="F225" s="731"/>
      <c r="G225" s="366" t="str">
        <f>IF(N225&gt;0,"P","")</f>
        <v>P</v>
      </c>
      <c r="H225" s="732" t="s">
        <v>3971</v>
      </c>
      <c r="I225" s="50"/>
      <c r="J225" s="100" t="s">
        <v>258</v>
      </c>
      <c r="K225" s="103"/>
      <c r="L225" s="228" t="s">
        <v>464</v>
      </c>
      <c r="M225" s="268">
        <v>5</v>
      </c>
      <c r="N225" s="546">
        <f>'Ch5'!O226</f>
        <v>5</v>
      </c>
      <c r="O225" s="546">
        <f>M225*W225</f>
        <v>0</v>
      </c>
      <c r="P225" t="b">
        <v>1</v>
      </c>
      <c r="Q225" t="b">
        <v>0</v>
      </c>
      <c r="R225" t="b">
        <v>0</v>
      </c>
      <c r="S225" t="b">
        <v>1</v>
      </c>
      <c r="T225" t="b">
        <v>0</v>
      </c>
      <c r="W225" s="17"/>
      <c r="X225" s="36"/>
      <c r="Y225" s="396" t="str">
        <f>IF(LEN('Ch5'!X226)=0,"None",'Ch5'!X226)</f>
        <v>None</v>
      </c>
      <c r="Z225" s="652"/>
      <c r="AA225" s="350" t="str">
        <f>IF(LEN('Photo Review'!I224)&gt;0,'Photo Review'!I224,"")</f>
        <v/>
      </c>
      <c r="AL225" t="str">
        <f>SUBSTITUTE(SUBSTITUTE(SUBSTITUTE("vpa"&amp;$B225&amp;$C225&amp;$D225&amp;$E225,".","_"),"(","_"),")","")</f>
        <v>vpa504_3_2</v>
      </c>
      <c r="AM225">
        <f>M225</f>
        <v>5</v>
      </c>
      <c r="AN225" t="str">
        <f>SUBSTITUTE(SUBSTITUTE(SUBSTITUTE("vpc"&amp;$B225&amp;$C225&amp;$D225&amp;$E225,".","_"),"(","_"),")","")</f>
        <v>vpc504_3_2</v>
      </c>
      <c r="AO225">
        <f>O225</f>
        <v>0</v>
      </c>
      <c r="AP225" t="str">
        <f>SUBSTITUTE(SUBSTITUTE(SUBSTITUTE("vch"&amp;$B225&amp;$C225&amp;$D225&amp;$E225,".","_"),"(","_"),")","")</f>
        <v>vch504_3_2</v>
      </c>
      <c r="AQ225" t="str">
        <f>IF(LEN(W225)=0,"",W225)</f>
        <v/>
      </c>
      <c r="AR225" t="str">
        <f>SUBSTITUTE(SUBSTITUTE(SUBSTITUTE("vnt"&amp;$B225&amp;$C225&amp;$D225&amp;$E225,".","_"),"(","_"),")","")</f>
        <v>vnt504_3_2</v>
      </c>
      <c r="AS225" t="str">
        <f>IF(LEN(X225)=0,"",X225)</f>
        <v/>
      </c>
    </row>
    <row r="226" spans="1:45" x14ac:dyDescent="0.35">
      <c r="A226" s="366">
        <v>5</v>
      </c>
      <c r="B226" s="731" t="s">
        <v>461</v>
      </c>
      <c r="C226" s="731" t="s">
        <v>260</v>
      </c>
      <c r="D226" s="731"/>
      <c r="E226" s="731"/>
      <c r="F226" s="731"/>
      <c r="G226" s="366" t="str">
        <f>IF(N226&gt;0,"P","")</f>
        <v/>
      </c>
      <c r="H226" s="732" t="s">
        <v>3971</v>
      </c>
      <c r="I226" s="50"/>
      <c r="J226" s="47" t="s">
        <v>260</v>
      </c>
      <c r="K226" s="50"/>
      <c r="L226" s="814" t="s">
        <v>465</v>
      </c>
      <c r="M226" s="818">
        <v>5</v>
      </c>
      <c r="N226" s="834">
        <f>'Ch5'!O227</f>
        <v>0</v>
      </c>
      <c r="O226" s="834">
        <f>M226*W226</f>
        <v>0</v>
      </c>
      <c r="P226" t="b">
        <v>1</v>
      </c>
      <c r="Q226" t="b">
        <v>0</v>
      </c>
      <c r="R226" t="b">
        <v>0</v>
      </c>
      <c r="S226" t="b">
        <v>1</v>
      </c>
      <c r="T226" t="b">
        <v>0</v>
      </c>
      <c r="W226" s="17"/>
      <c r="X226" s="817"/>
      <c r="Y226" s="1100" t="str">
        <f>IF(LEN('Ch5'!X227)=0,"None",'Ch5'!X227)</f>
        <v>None</v>
      </c>
      <c r="Z226" s="1102"/>
      <c r="AA226" s="350" t="str">
        <f>IF(LEN('Photo Review'!I225)&gt;0,'Photo Review'!I225,"")</f>
        <v/>
      </c>
      <c r="AL226" t="str">
        <f>SUBSTITUTE(SUBSTITUTE(SUBSTITUTE("vpa"&amp;$B226&amp;$C226&amp;$D226&amp;$E226,".","_"),"(","_"),")","")</f>
        <v>vpa504_3_3</v>
      </c>
      <c r="AM226">
        <f>M226</f>
        <v>5</v>
      </c>
      <c r="AN226" t="str">
        <f>SUBSTITUTE(SUBSTITUTE(SUBSTITUTE("vpc"&amp;$B226&amp;$C226&amp;$D226&amp;$E226,".","_"),"(","_"),")","")</f>
        <v>vpc504_3_3</v>
      </c>
      <c r="AO226">
        <f>O226</f>
        <v>0</v>
      </c>
      <c r="AP226" t="str">
        <f>SUBSTITUTE(SUBSTITUTE(SUBSTITUTE("vch"&amp;$B226&amp;$C226&amp;$D226&amp;$E226,".","_"),"(","_"),")","")</f>
        <v>vch504_3_3</v>
      </c>
      <c r="AQ226" t="str">
        <f>IF(LEN(W226)=0,"",W226)</f>
        <v/>
      </c>
      <c r="AR226" t="str">
        <f>SUBSTITUTE(SUBSTITUTE(SUBSTITUTE("vnt"&amp;$B226&amp;$C226&amp;$D226&amp;$E226,".","_"),"(","_"),")","")</f>
        <v>vnt504_3_3</v>
      </c>
      <c r="AS226" t="str">
        <f>IF(LEN(X226)=0,"",X226)</f>
        <v/>
      </c>
    </row>
    <row r="227" spans="1:45" x14ac:dyDescent="0.35">
      <c r="A227" s="366">
        <v>5</v>
      </c>
      <c r="B227" s="731" t="s">
        <v>461</v>
      </c>
      <c r="C227" s="731" t="s">
        <v>260</v>
      </c>
      <c r="D227" s="731"/>
      <c r="E227" s="731"/>
      <c r="F227" s="731"/>
      <c r="G227" s="366" t="str">
        <f>G226</f>
        <v/>
      </c>
      <c r="H227" s="732" t="s">
        <v>3971</v>
      </c>
      <c r="I227" s="50"/>
      <c r="J227" s="103"/>
      <c r="K227" s="103"/>
      <c r="L227" s="815"/>
      <c r="M227" s="819"/>
      <c r="N227" s="835"/>
      <c r="O227" s="835"/>
      <c r="X227" s="817"/>
      <c r="Y227" s="1100"/>
      <c r="Z227" s="1102"/>
    </row>
    <row r="228" spans="1:45" x14ac:dyDescent="0.35">
      <c r="A228" s="366">
        <v>5</v>
      </c>
      <c r="B228" s="731" t="s">
        <v>461</v>
      </c>
      <c r="C228" s="731" t="s">
        <v>269</v>
      </c>
      <c r="D228" s="731"/>
      <c r="E228" s="731"/>
      <c r="F228" s="731"/>
      <c r="G228" s="366" t="str">
        <f>IF(N228&gt;0,"P","")</f>
        <v/>
      </c>
      <c r="H228" s="732" t="s">
        <v>3971</v>
      </c>
      <c r="I228" s="50"/>
      <c r="J228" s="47" t="s">
        <v>269</v>
      </c>
      <c r="K228" s="50"/>
      <c r="L228" s="814" t="s">
        <v>466</v>
      </c>
      <c r="M228" s="818">
        <v>5</v>
      </c>
      <c r="N228" s="834">
        <f>'Ch5'!O229</f>
        <v>0</v>
      </c>
      <c r="O228" s="834">
        <f>M228*W228</f>
        <v>0</v>
      </c>
      <c r="P228" t="b">
        <v>1</v>
      </c>
      <c r="Q228" t="b">
        <v>0</v>
      </c>
      <c r="R228" t="b">
        <v>0</v>
      </c>
      <c r="S228" t="b">
        <v>1</v>
      </c>
      <c r="T228" t="b">
        <v>0</v>
      </c>
      <c r="W228" s="17"/>
      <c r="X228" s="817"/>
      <c r="Y228" s="1100" t="str">
        <f>IF(LEN('Ch5'!X229)=0,"None",'Ch5'!X229)</f>
        <v>None</v>
      </c>
      <c r="Z228" s="1102"/>
      <c r="AA228" s="350" t="str">
        <f>IF(LEN('Photo Review'!I227)&gt;0,'Photo Review'!I227,"")</f>
        <v/>
      </c>
      <c r="AL228" t="str">
        <f>SUBSTITUTE(SUBSTITUTE(SUBSTITUTE("vpa"&amp;$B228&amp;$C228&amp;$D228&amp;$E228,".","_"),"(","_"),")","")</f>
        <v>vpa504_3_4</v>
      </c>
      <c r="AM228">
        <f>M228</f>
        <v>5</v>
      </c>
      <c r="AN228" t="str">
        <f>SUBSTITUTE(SUBSTITUTE(SUBSTITUTE("vpc"&amp;$B228&amp;$C228&amp;$D228&amp;$E228,".","_"),"(","_"),")","")</f>
        <v>vpc504_3_4</v>
      </c>
      <c r="AO228">
        <f>O228</f>
        <v>0</v>
      </c>
      <c r="AP228" t="str">
        <f>SUBSTITUTE(SUBSTITUTE(SUBSTITUTE("vch"&amp;$B228&amp;$C228&amp;$D228&amp;$E228,".","_"),"(","_"),")","")</f>
        <v>vch504_3_4</v>
      </c>
      <c r="AQ228" t="str">
        <f>IF(LEN(W228)=0,"",W228)</f>
        <v/>
      </c>
      <c r="AR228" t="str">
        <f>SUBSTITUTE(SUBSTITUTE(SUBSTITUTE("vnt"&amp;$B228&amp;$C228&amp;$D228&amp;$E228,".","_"),"(","_"),")","")</f>
        <v>vnt504_3_4</v>
      </c>
      <c r="AS228" t="str">
        <f>IF(LEN(X228)=0,"",X228)</f>
        <v/>
      </c>
    </row>
    <row r="229" spans="1:45" x14ac:dyDescent="0.35">
      <c r="A229" s="366">
        <v>5</v>
      </c>
      <c r="B229" s="731" t="s">
        <v>461</v>
      </c>
      <c r="C229" s="731" t="s">
        <v>269</v>
      </c>
      <c r="D229" s="731"/>
      <c r="E229" s="731"/>
      <c r="F229" s="731"/>
      <c r="G229" s="366" t="str">
        <f>G228</f>
        <v/>
      </c>
      <c r="H229" s="732" t="s">
        <v>3971</v>
      </c>
      <c r="I229" s="50"/>
      <c r="J229" s="103"/>
      <c r="K229" s="103"/>
      <c r="L229" s="815"/>
      <c r="M229" s="819"/>
      <c r="N229" s="835"/>
      <c r="O229" s="835"/>
      <c r="X229" s="817"/>
      <c r="Y229" s="1100"/>
      <c r="Z229" s="1102"/>
    </row>
    <row r="230" spans="1:45" x14ac:dyDescent="0.35">
      <c r="A230" s="366">
        <v>5</v>
      </c>
      <c r="B230" s="731" t="s">
        <v>461</v>
      </c>
      <c r="C230" s="731" t="s">
        <v>275</v>
      </c>
      <c r="D230" s="731"/>
      <c r="E230" s="731"/>
      <c r="F230" s="731"/>
      <c r="G230" s="366" t="str">
        <f>IF(N230&gt;0,"P","")</f>
        <v/>
      </c>
      <c r="H230" s="732" t="s">
        <v>3971</v>
      </c>
      <c r="I230" s="50"/>
      <c r="J230" s="47" t="s">
        <v>275</v>
      </c>
      <c r="K230" s="50"/>
      <c r="L230" s="814" t="s">
        <v>467</v>
      </c>
      <c r="M230" s="818">
        <v>4</v>
      </c>
      <c r="N230" s="834">
        <f>'Ch5'!O231</f>
        <v>0</v>
      </c>
      <c r="O230" s="834">
        <f>M230*W230</f>
        <v>0</v>
      </c>
      <c r="P230" t="b">
        <v>1</v>
      </c>
      <c r="Q230" t="b">
        <v>0</v>
      </c>
      <c r="R230" t="b">
        <v>0</v>
      </c>
      <c r="S230" t="b">
        <v>1</v>
      </c>
      <c r="T230" t="b">
        <v>0</v>
      </c>
      <c r="W230" s="17"/>
      <c r="X230" s="817"/>
      <c r="Y230" s="1100" t="str">
        <f>IF(LEN('Ch5'!X231)=0,"None",'Ch5'!X231)</f>
        <v>None</v>
      </c>
      <c r="Z230" s="1102"/>
      <c r="AL230" t="str">
        <f>SUBSTITUTE(SUBSTITUTE(SUBSTITUTE("vpa"&amp;$B230&amp;$C230&amp;$D230&amp;$E230,".","_"),"(","_"),")","")</f>
        <v>vpa504_3_5</v>
      </c>
      <c r="AM230">
        <f>M230</f>
        <v>4</v>
      </c>
      <c r="AN230" t="str">
        <f>SUBSTITUTE(SUBSTITUTE(SUBSTITUTE("vpc"&amp;$B230&amp;$C230&amp;$D230&amp;$E230,".","_"),"(","_"),")","")</f>
        <v>vpc504_3_5</v>
      </c>
      <c r="AO230">
        <f>O230</f>
        <v>0</v>
      </c>
      <c r="AP230" t="str">
        <f>SUBSTITUTE(SUBSTITUTE(SUBSTITUTE("vch"&amp;$B230&amp;$C230&amp;$D230&amp;$E230,".","_"),"(","_"),")","")</f>
        <v>vch504_3_5</v>
      </c>
      <c r="AQ230" t="str">
        <f>IF(LEN(W230)=0,"",W230)</f>
        <v/>
      </c>
      <c r="AR230" t="str">
        <f>SUBSTITUTE(SUBSTITUTE(SUBSTITUTE("vnt"&amp;$B230&amp;$C230&amp;$D230&amp;$E230,".","_"),"(","_"),")","")</f>
        <v>vnt504_3_5</v>
      </c>
      <c r="AS230" t="str">
        <f>IF(LEN(X230)=0,"",X230)</f>
        <v/>
      </c>
    </row>
    <row r="231" spans="1:45" x14ac:dyDescent="0.35">
      <c r="A231" s="366">
        <v>5</v>
      </c>
      <c r="B231" s="731" t="s">
        <v>461</v>
      </c>
      <c r="C231" s="731" t="s">
        <v>275</v>
      </c>
      <c r="D231" s="731"/>
      <c r="E231" s="731"/>
      <c r="F231" s="731"/>
      <c r="G231" s="366" t="str">
        <f>G230</f>
        <v/>
      </c>
      <c r="H231" s="732" t="s">
        <v>3971</v>
      </c>
      <c r="I231" s="50"/>
      <c r="J231" s="50"/>
      <c r="K231" s="50"/>
      <c r="L231" s="814"/>
      <c r="M231" s="818"/>
      <c r="N231" s="834"/>
      <c r="O231" s="834"/>
      <c r="X231" s="817"/>
      <c r="Y231" s="1100"/>
      <c r="Z231" s="1102"/>
    </row>
    <row r="232" spans="1:45" x14ac:dyDescent="0.35">
      <c r="A232" s="366">
        <v>5</v>
      </c>
      <c r="B232" s="731" t="s">
        <v>461</v>
      </c>
      <c r="C232" s="731" t="s">
        <v>275</v>
      </c>
      <c r="D232" s="731"/>
      <c r="E232" s="731"/>
      <c r="F232" s="731"/>
      <c r="G232" s="366" t="str">
        <f>G231</f>
        <v/>
      </c>
      <c r="H232" s="732" t="s">
        <v>3971</v>
      </c>
      <c r="I232" s="50"/>
      <c r="J232" s="50"/>
      <c r="K232" s="50"/>
      <c r="L232" s="814"/>
      <c r="M232" s="818"/>
      <c r="N232" s="834"/>
      <c r="O232" s="834"/>
      <c r="X232" s="817"/>
      <c r="Y232" s="1100"/>
      <c r="Z232" s="1102"/>
    </row>
    <row r="233" spans="1:45" x14ac:dyDescent="0.35">
      <c r="A233" s="366">
        <v>5</v>
      </c>
      <c r="B233" s="731" t="s">
        <v>461</v>
      </c>
      <c r="C233" s="731" t="s">
        <v>275</v>
      </c>
      <c r="D233" s="731"/>
      <c r="E233" s="731"/>
      <c r="F233" s="731"/>
      <c r="G233" s="366" t="str">
        <f>G232</f>
        <v/>
      </c>
      <c r="H233" s="732" t="s">
        <v>3971</v>
      </c>
      <c r="I233" s="50"/>
      <c r="J233" s="103"/>
      <c r="K233" s="103"/>
      <c r="L233" s="815"/>
      <c r="M233" s="819"/>
      <c r="N233" s="835"/>
      <c r="O233" s="835"/>
      <c r="X233" s="817"/>
      <c r="Y233" s="1100"/>
      <c r="Z233" s="1102"/>
    </row>
    <row r="234" spans="1:45" x14ac:dyDescent="0.35">
      <c r="A234" s="366">
        <v>5</v>
      </c>
      <c r="B234" s="731" t="s">
        <v>461</v>
      </c>
      <c r="C234" s="731" t="s">
        <v>277</v>
      </c>
      <c r="D234" s="731"/>
      <c r="E234" s="731"/>
      <c r="F234" s="731"/>
      <c r="G234" s="366" t="str">
        <f>IF(N234&gt;0,"P","")</f>
        <v/>
      </c>
      <c r="H234" s="732" t="s">
        <v>3971</v>
      </c>
      <c r="I234" s="50"/>
      <c r="J234" s="47" t="s">
        <v>277</v>
      </c>
      <c r="K234" s="50"/>
      <c r="L234" s="814" t="s">
        <v>468</v>
      </c>
      <c r="M234" s="818">
        <v>3</v>
      </c>
      <c r="N234" s="834">
        <f>'Ch5'!O235</f>
        <v>0</v>
      </c>
      <c r="O234" s="834">
        <f>M234*W234</f>
        <v>0</v>
      </c>
      <c r="P234" t="b">
        <v>1</v>
      </c>
      <c r="Q234" t="b">
        <v>0</v>
      </c>
      <c r="R234" t="b">
        <v>0</v>
      </c>
      <c r="S234" t="b">
        <v>1</v>
      </c>
      <c r="T234" t="b">
        <v>0</v>
      </c>
      <c r="W234" s="17"/>
      <c r="X234" s="817"/>
      <c r="Y234" s="1100" t="str">
        <f>IF(LEN('Ch5'!X235)=0,"None",'Ch5'!X235)</f>
        <v>None</v>
      </c>
      <c r="Z234" s="1102"/>
      <c r="AL234" t="str">
        <f>SUBSTITUTE(SUBSTITUTE(SUBSTITUTE("vpa"&amp;$B234&amp;$C234&amp;$D234&amp;$E234,".","_"),"(","_"),")","")</f>
        <v>vpa504_3_6</v>
      </c>
      <c r="AM234">
        <f>M234</f>
        <v>3</v>
      </c>
      <c r="AN234" t="str">
        <f>SUBSTITUTE(SUBSTITUTE(SUBSTITUTE("vpc"&amp;$B234&amp;$C234&amp;$D234&amp;$E234,".","_"),"(","_"),")","")</f>
        <v>vpc504_3_6</v>
      </c>
      <c r="AO234">
        <f>O234</f>
        <v>0</v>
      </c>
      <c r="AP234" t="str">
        <f>SUBSTITUTE(SUBSTITUTE(SUBSTITUTE("vch"&amp;$B234&amp;$C234&amp;$D234&amp;$E234,".","_"),"(","_"),")","")</f>
        <v>vch504_3_6</v>
      </c>
      <c r="AQ234" t="str">
        <f>IF(LEN(W234)=0,"",W234)</f>
        <v/>
      </c>
      <c r="AR234" t="str">
        <f>SUBSTITUTE(SUBSTITUTE(SUBSTITUTE("vnt"&amp;$B234&amp;$C234&amp;$D234&amp;$E234,".","_"),"(","_"),")","")</f>
        <v>vnt504_3_6</v>
      </c>
      <c r="AS234" t="str">
        <f>IF(LEN(X234)=0,"",X234)</f>
        <v/>
      </c>
    </row>
    <row r="235" spans="1:45" x14ac:dyDescent="0.35">
      <c r="A235" s="366">
        <v>5</v>
      </c>
      <c r="B235" s="731" t="s">
        <v>461</v>
      </c>
      <c r="C235" s="731" t="s">
        <v>277</v>
      </c>
      <c r="D235" s="731"/>
      <c r="E235" s="731"/>
      <c r="F235" s="731"/>
      <c r="G235" s="366" t="str">
        <f>G234</f>
        <v/>
      </c>
      <c r="H235" s="732" t="s">
        <v>3971</v>
      </c>
      <c r="I235" s="50"/>
      <c r="J235" s="50"/>
      <c r="K235" s="50"/>
      <c r="L235" s="814"/>
      <c r="M235" s="818"/>
      <c r="N235" s="834"/>
      <c r="O235" s="834"/>
      <c r="X235" s="817"/>
      <c r="Y235" s="1100"/>
      <c r="Z235" s="1102"/>
    </row>
    <row r="236" spans="1:45" x14ac:dyDescent="0.35">
      <c r="A236" s="366">
        <v>5</v>
      </c>
      <c r="B236" s="731" t="s">
        <v>461</v>
      </c>
      <c r="C236" s="731" t="s">
        <v>277</v>
      </c>
      <c r="D236" s="731"/>
      <c r="E236" s="731"/>
      <c r="F236" s="731"/>
      <c r="G236" s="366" t="str">
        <f>G235</f>
        <v/>
      </c>
      <c r="H236" s="732" t="s">
        <v>3971</v>
      </c>
      <c r="I236" s="50"/>
      <c r="J236" s="103"/>
      <c r="K236" s="103"/>
      <c r="L236" s="815"/>
      <c r="M236" s="819"/>
      <c r="N236" s="835"/>
      <c r="O236" s="835"/>
      <c r="X236" s="817"/>
      <c r="Y236" s="1100"/>
      <c r="Z236" s="1102"/>
    </row>
    <row r="237" spans="1:45" x14ac:dyDescent="0.35">
      <c r="A237" s="366">
        <v>5</v>
      </c>
      <c r="B237" s="731" t="s">
        <v>461</v>
      </c>
      <c r="C237" s="731" t="s">
        <v>383</v>
      </c>
      <c r="D237" s="731"/>
      <c r="E237" s="731"/>
      <c r="F237" s="731"/>
      <c r="G237" s="366" t="str">
        <f>IF(N237&gt;0,"P","")</f>
        <v/>
      </c>
      <c r="H237" s="732" t="s">
        <v>3970</v>
      </c>
      <c r="I237" s="50"/>
      <c r="J237" s="100" t="s">
        <v>383</v>
      </c>
      <c r="K237" s="103"/>
      <c r="L237" s="228" t="s">
        <v>469</v>
      </c>
      <c r="M237" s="268">
        <v>3</v>
      </c>
      <c r="N237" s="546">
        <f>'Ch5'!O238</f>
        <v>0</v>
      </c>
      <c r="O237" s="546">
        <f>M237*W237</f>
        <v>0</v>
      </c>
      <c r="P237" t="b">
        <v>1</v>
      </c>
      <c r="Q237" t="b">
        <v>1</v>
      </c>
      <c r="R237" t="b">
        <v>0</v>
      </c>
      <c r="S237" t="b">
        <v>1</v>
      </c>
      <c r="T237" t="b">
        <v>0</v>
      </c>
      <c r="W237" s="17"/>
      <c r="X237" s="36"/>
      <c r="Y237" s="396" t="str">
        <f>IF(LEN('Ch5'!X238)=0,"None",'Ch5'!X238)</f>
        <v>None</v>
      </c>
      <c r="Z237" s="652"/>
      <c r="AL237" t="str">
        <f>SUBSTITUTE(SUBSTITUTE(SUBSTITUTE("vpa"&amp;$B237&amp;$C237&amp;$D237&amp;$E237,".","_"),"(","_"),")","")</f>
        <v>vpa504_3_7</v>
      </c>
      <c r="AM237">
        <f>M237</f>
        <v>3</v>
      </c>
      <c r="AN237" t="str">
        <f>SUBSTITUTE(SUBSTITUTE(SUBSTITUTE("vpc"&amp;$B237&amp;$C237&amp;$D237&amp;$E237,".","_"),"(","_"),")","")</f>
        <v>vpc504_3_7</v>
      </c>
      <c r="AO237">
        <f>O237</f>
        <v>0</v>
      </c>
      <c r="AP237" t="str">
        <f>SUBSTITUTE(SUBSTITUTE(SUBSTITUTE("vch"&amp;$B237&amp;$C237&amp;$D237&amp;$E237,".","_"),"(","_"),")","")</f>
        <v>vch504_3_7</v>
      </c>
      <c r="AQ237" t="str">
        <f>IF(LEN(W237)=0,"",W237)</f>
        <v/>
      </c>
      <c r="AR237" t="str">
        <f>SUBSTITUTE(SUBSTITUTE(SUBSTITUTE("vnt"&amp;$B237&amp;$C237&amp;$D237&amp;$E237,".","_"),"(","_"),")","")</f>
        <v>vnt504_3_7</v>
      </c>
      <c r="AS237" t="str">
        <f>IF(LEN(X237)=0,"",X237)</f>
        <v/>
      </c>
    </row>
    <row r="238" spans="1:45" x14ac:dyDescent="0.35">
      <c r="A238" s="366">
        <v>5</v>
      </c>
      <c r="B238" s="731" t="s">
        <v>461</v>
      </c>
      <c r="C238" s="731" t="s">
        <v>428</v>
      </c>
      <c r="D238" s="731"/>
      <c r="E238" s="731"/>
      <c r="F238" s="731"/>
      <c r="G238" s="366" t="str">
        <f>IF(N238&gt;0,"P","")</f>
        <v/>
      </c>
      <c r="H238" s="732" t="s">
        <v>3970</v>
      </c>
      <c r="I238" s="50"/>
      <c r="J238" s="47" t="s">
        <v>428</v>
      </c>
      <c r="K238" s="50"/>
      <c r="L238" s="266" t="s">
        <v>2977</v>
      </c>
      <c r="M238" s="818">
        <v>5</v>
      </c>
      <c r="N238" s="834">
        <f>'Ch5'!O239</f>
        <v>0</v>
      </c>
      <c r="O238" s="834">
        <f>M238*MIN(1,(W239+W240+W241+W242+W243+W244))</f>
        <v>0</v>
      </c>
      <c r="X238" s="817"/>
      <c r="Y238" s="1100" t="str">
        <f>IF(LEN('Ch5'!X239)=0,"None",'Ch5'!X239)</f>
        <v>None</v>
      </c>
      <c r="Z238" s="1102"/>
      <c r="AL238" t="str">
        <f>SUBSTITUTE(SUBSTITUTE(SUBSTITUTE("vpa"&amp;$B238&amp;$C238&amp;$D238&amp;$E238,".","_"),"(","_"),")","")</f>
        <v>vpa504_3_8</v>
      </c>
      <c r="AM238">
        <f>M238</f>
        <v>5</v>
      </c>
      <c r="AN238" t="str">
        <f>SUBSTITUTE(SUBSTITUTE(SUBSTITUTE("vpc"&amp;$B238&amp;$C238&amp;$D238&amp;$E238,".","_"),"(","_"),")","")</f>
        <v>vpc504_3_8</v>
      </c>
      <c r="AO238">
        <f>O238</f>
        <v>0</v>
      </c>
      <c r="AR238" t="str">
        <f>SUBSTITUTE(SUBSTITUTE(SUBSTITUTE("vnt"&amp;$B238&amp;$C238&amp;$D238&amp;$E238,".","_"),"(","_"),")","")</f>
        <v>vnt504_3_8</v>
      </c>
      <c r="AS238" t="str">
        <f>IF(LEN(X238)=0,"",X238)</f>
        <v/>
      </c>
    </row>
    <row r="239" spans="1:45" x14ac:dyDescent="0.35">
      <c r="A239" s="366">
        <v>5</v>
      </c>
      <c r="B239" s="731" t="s">
        <v>461</v>
      </c>
      <c r="C239" s="731" t="s">
        <v>428</v>
      </c>
      <c r="D239" s="731" t="s">
        <v>2970</v>
      </c>
      <c r="E239" s="731"/>
      <c r="F239" s="731"/>
      <c r="G239" s="366" t="str">
        <f t="shared" ref="G239:G245" si="6">G238</f>
        <v/>
      </c>
      <c r="H239" s="732" t="s">
        <v>3970</v>
      </c>
      <c r="I239" s="50"/>
      <c r="J239" s="50"/>
      <c r="K239" s="50"/>
      <c r="L239" s="266" t="s">
        <v>2983</v>
      </c>
      <c r="M239" s="818"/>
      <c r="N239" s="834"/>
      <c r="O239" s="834"/>
      <c r="P239" t="b">
        <v>1</v>
      </c>
      <c r="Q239" t="b">
        <v>1</v>
      </c>
      <c r="R239" t="b">
        <v>0</v>
      </c>
      <c r="S239" t="b">
        <v>1</v>
      </c>
      <c r="T239" t="b">
        <v>0</v>
      </c>
      <c r="W239" s="17"/>
      <c r="X239" s="817"/>
      <c r="Y239" s="1100"/>
      <c r="Z239" s="1102"/>
      <c r="AP239" t="str">
        <f t="shared" ref="AP239:AP244" si="7">SUBSTITUTE(SUBSTITUTE(SUBSTITUTE("vch"&amp;$B239&amp;$C239&amp;$D239&amp;$E239,".","_"),"(","_"),")","")</f>
        <v>vch504_3_8a</v>
      </c>
      <c r="AQ239" t="str">
        <f t="shared" ref="AQ239:AQ244" si="8">IF(LEN(W239)=0,"",W239)</f>
        <v/>
      </c>
    </row>
    <row r="240" spans="1:45" x14ac:dyDescent="0.35">
      <c r="A240" s="366">
        <v>5</v>
      </c>
      <c r="B240" s="731" t="s">
        <v>461</v>
      </c>
      <c r="C240" s="731" t="s">
        <v>428</v>
      </c>
      <c r="D240" s="731" t="s">
        <v>2971</v>
      </c>
      <c r="E240" s="731"/>
      <c r="F240" s="731"/>
      <c r="G240" s="366" t="str">
        <f t="shared" si="6"/>
        <v/>
      </c>
      <c r="H240" s="732" t="s">
        <v>3970</v>
      </c>
      <c r="I240" s="50"/>
      <c r="J240" s="50"/>
      <c r="K240" s="50"/>
      <c r="L240" s="266" t="s">
        <v>2982</v>
      </c>
      <c r="M240" s="818"/>
      <c r="N240" s="834"/>
      <c r="O240" s="834"/>
      <c r="P240" t="b">
        <v>1</v>
      </c>
      <c r="Q240" t="b">
        <v>1</v>
      </c>
      <c r="R240" t="b">
        <v>0</v>
      </c>
      <c r="S240" t="b">
        <v>1</v>
      </c>
      <c r="T240" t="b">
        <v>0</v>
      </c>
      <c r="W240" s="17"/>
      <c r="X240" s="817"/>
      <c r="Y240" s="1100"/>
      <c r="Z240" s="1102"/>
      <c r="AP240" t="str">
        <f t="shared" si="7"/>
        <v>vch504_3_8b</v>
      </c>
      <c r="AQ240" t="str">
        <f t="shared" si="8"/>
        <v/>
      </c>
    </row>
    <row r="241" spans="1:45" x14ac:dyDescent="0.35">
      <c r="A241" s="366">
        <v>5</v>
      </c>
      <c r="B241" s="731" t="s">
        <v>461</v>
      </c>
      <c r="C241" s="731" t="s">
        <v>428</v>
      </c>
      <c r="D241" s="731" t="s">
        <v>2972</v>
      </c>
      <c r="E241" s="731"/>
      <c r="F241" s="731"/>
      <c r="G241" s="366" t="str">
        <f t="shared" si="6"/>
        <v/>
      </c>
      <c r="H241" s="732" t="s">
        <v>3970</v>
      </c>
      <c r="I241" s="50"/>
      <c r="J241" s="50"/>
      <c r="K241" s="50"/>
      <c r="L241" s="266" t="s">
        <v>2981</v>
      </c>
      <c r="M241" s="818"/>
      <c r="N241" s="834"/>
      <c r="O241" s="834"/>
      <c r="P241" t="b">
        <v>1</v>
      </c>
      <c r="Q241" t="b">
        <v>1</v>
      </c>
      <c r="R241" t="b">
        <v>0</v>
      </c>
      <c r="S241" t="b">
        <v>1</v>
      </c>
      <c r="T241" t="b">
        <v>0</v>
      </c>
      <c r="W241" s="17"/>
      <c r="X241" s="817"/>
      <c r="Y241" s="1100"/>
      <c r="Z241" s="1102"/>
      <c r="AP241" t="str">
        <f t="shared" si="7"/>
        <v>vch504_3_8c</v>
      </c>
      <c r="AQ241" t="str">
        <f t="shared" si="8"/>
        <v/>
      </c>
    </row>
    <row r="242" spans="1:45" x14ac:dyDescent="0.35">
      <c r="A242" s="366">
        <v>5</v>
      </c>
      <c r="B242" s="731" t="s">
        <v>461</v>
      </c>
      <c r="C242" s="731" t="s">
        <v>428</v>
      </c>
      <c r="D242" s="731" t="s">
        <v>2973</v>
      </c>
      <c r="E242" s="731"/>
      <c r="F242" s="731"/>
      <c r="G242" s="366" t="str">
        <f t="shared" si="6"/>
        <v/>
      </c>
      <c r="H242" s="732" t="s">
        <v>3970</v>
      </c>
      <c r="I242" s="50"/>
      <c r="J242" s="50"/>
      <c r="K242" s="50"/>
      <c r="L242" s="266" t="s">
        <v>2980</v>
      </c>
      <c r="M242" s="818"/>
      <c r="N242" s="834"/>
      <c r="O242" s="834"/>
      <c r="P242" t="b">
        <v>1</v>
      </c>
      <c r="Q242" t="b">
        <v>1</v>
      </c>
      <c r="R242" t="b">
        <v>0</v>
      </c>
      <c r="S242" t="b">
        <v>1</v>
      </c>
      <c r="T242" t="b">
        <v>0</v>
      </c>
      <c r="W242" s="17"/>
      <c r="X242" s="817"/>
      <c r="Y242" s="1100"/>
      <c r="Z242" s="1102"/>
      <c r="AP242" t="str">
        <f t="shared" si="7"/>
        <v>vch504_3_8d</v>
      </c>
      <c r="AQ242" t="str">
        <f t="shared" si="8"/>
        <v/>
      </c>
    </row>
    <row r="243" spans="1:45" x14ac:dyDescent="0.35">
      <c r="A243" s="366">
        <v>5</v>
      </c>
      <c r="B243" s="731" t="s">
        <v>461</v>
      </c>
      <c r="C243" s="731" t="s">
        <v>428</v>
      </c>
      <c r="D243" s="731" t="s">
        <v>2974</v>
      </c>
      <c r="E243" s="731"/>
      <c r="F243" s="731"/>
      <c r="G243" s="366" t="str">
        <f t="shared" si="6"/>
        <v/>
      </c>
      <c r="H243" s="732" t="s">
        <v>3970</v>
      </c>
      <c r="I243" s="50"/>
      <c r="J243" s="50"/>
      <c r="K243" s="50"/>
      <c r="L243" s="266" t="s">
        <v>2979</v>
      </c>
      <c r="M243" s="818"/>
      <c r="N243" s="834"/>
      <c r="O243" s="834"/>
      <c r="P243" t="b">
        <v>1</v>
      </c>
      <c r="Q243" t="b">
        <v>1</v>
      </c>
      <c r="R243" t="b">
        <v>0</v>
      </c>
      <c r="S243" t="b">
        <v>1</v>
      </c>
      <c r="T243" t="b">
        <v>0</v>
      </c>
      <c r="W243" s="17"/>
      <c r="X243" s="817"/>
      <c r="Y243" s="1100"/>
      <c r="Z243" s="1102"/>
      <c r="AP243" t="str">
        <f t="shared" si="7"/>
        <v>vch504_3_8e</v>
      </c>
      <c r="AQ243" t="str">
        <f t="shared" si="8"/>
        <v/>
      </c>
    </row>
    <row r="244" spans="1:45" x14ac:dyDescent="0.35">
      <c r="A244" s="366">
        <v>5</v>
      </c>
      <c r="B244" s="731" t="s">
        <v>461</v>
      </c>
      <c r="C244" s="731" t="s">
        <v>428</v>
      </c>
      <c r="D244" s="731" t="s">
        <v>2975</v>
      </c>
      <c r="E244" s="731"/>
      <c r="F244" s="731"/>
      <c r="G244" s="366" t="str">
        <f t="shared" si="6"/>
        <v/>
      </c>
      <c r="H244" s="732" t="s">
        <v>3970</v>
      </c>
      <c r="I244" s="50"/>
      <c r="J244" s="50"/>
      <c r="K244" s="50"/>
      <c r="L244" s="266" t="s">
        <v>2978</v>
      </c>
      <c r="M244" s="818"/>
      <c r="N244" s="834"/>
      <c r="O244" s="834"/>
      <c r="P244" t="b">
        <v>1</v>
      </c>
      <c r="Q244" t="b">
        <v>1</v>
      </c>
      <c r="R244" t="b">
        <v>0</v>
      </c>
      <c r="S244" t="b">
        <v>1</v>
      </c>
      <c r="T244" t="b">
        <v>0</v>
      </c>
      <c r="W244" s="17"/>
      <c r="X244" s="817"/>
      <c r="Y244" s="1100"/>
      <c r="Z244" s="1102"/>
      <c r="AC244" t="b">
        <f>OR(AD244:AE244)</f>
        <v>0</v>
      </c>
      <c r="AD244" t="b">
        <v>0</v>
      </c>
      <c r="AE244" t="b">
        <f>AND(W244=TRUE,LEN(X238)=0)</f>
        <v>0</v>
      </c>
      <c r="AP244" t="str">
        <f t="shared" si="7"/>
        <v>vch504_3_8f</v>
      </c>
      <c r="AQ244" t="str">
        <f t="shared" si="8"/>
        <v/>
      </c>
    </row>
    <row r="245" spans="1:45" x14ac:dyDescent="0.35">
      <c r="A245" s="366">
        <v>5</v>
      </c>
      <c r="B245" s="731" t="s">
        <v>461</v>
      </c>
      <c r="C245" s="731" t="s">
        <v>428</v>
      </c>
      <c r="D245" s="731"/>
      <c r="E245" s="731"/>
      <c r="F245" s="731"/>
      <c r="G245" s="366" t="str">
        <f t="shared" si="6"/>
        <v/>
      </c>
      <c r="H245" s="732" t="s">
        <v>3970</v>
      </c>
      <c r="I245" s="50"/>
      <c r="J245" s="103"/>
      <c r="K245" s="103"/>
      <c r="L245" s="284" t="s">
        <v>2976</v>
      </c>
      <c r="M245" s="819"/>
      <c r="N245" s="835"/>
      <c r="O245" s="835"/>
      <c r="X245" s="817"/>
      <c r="Y245" s="1100"/>
      <c r="Z245" s="1102"/>
    </row>
    <row r="246" spans="1:45" x14ac:dyDescent="0.35">
      <c r="A246" s="366">
        <v>5</v>
      </c>
      <c r="B246" s="731" t="s">
        <v>461</v>
      </c>
      <c r="C246" s="731" t="s">
        <v>430</v>
      </c>
      <c r="D246" s="731"/>
      <c r="E246" s="731"/>
      <c r="F246" s="731"/>
      <c r="G246" s="366" t="str">
        <f>IF(N246&gt;0,"P","")</f>
        <v/>
      </c>
      <c r="H246" s="732" t="s">
        <v>3970</v>
      </c>
      <c r="I246" s="50"/>
      <c r="J246" s="47" t="s">
        <v>430</v>
      </c>
      <c r="K246" s="50"/>
      <c r="L246" s="90" t="s">
        <v>470</v>
      </c>
      <c r="M246" s="40">
        <v>3</v>
      </c>
      <c r="N246" s="41">
        <f>'Ch5'!O247</f>
        <v>0</v>
      </c>
      <c r="O246" s="41">
        <f>M246*W246</f>
        <v>0</v>
      </c>
      <c r="P246" t="b">
        <v>1</v>
      </c>
      <c r="Q246" t="b">
        <v>1</v>
      </c>
      <c r="R246" t="b">
        <v>0</v>
      </c>
      <c r="S246" t="b">
        <v>1</v>
      </c>
      <c r="T246" t="b">
        <v>0</v>
      </c>
      <c r="W246" s="17"/>
      <c r="X246" s="36"/>
      <c r="Y246" s="396" t="str">
        <f>IF(LEN('Ch5'!X247)=0,"None",'Ch5'!X247)</f>
        <v>None</v>
      </c>
      <c r="Z246" s="652"/>
      <c r="AL246" t="str">
        <f>SUBSTITUTE(SUBSTITUTE(SUBSTITUTE("vpa"&amp;$B246&amp;$C246&amp;$D246&amp;$E246,".","_"),"(","_"),")","")</f>
        <v>vpa504_3_9</v>
      </c>
      <c r="AM246">
        <f>M246</f>
        <v>3</v>
      </c>
      <c r="AN246" t="str">
        <f>SUBSTITUTE(SUBSTITUTE(SUBSTITUTE("vpc"&amp;$B246&amp;$C246&amp;$D246&amp;$E246,".","_"),"(","_"),")","")</f>
        <v>vpc504_3_9</v>
      </c>
      <c r="AO246">
        <f>O246</f>
        <v>0</v>
      </c>
      <c r="AP246" t="str">
        <f>SUBSTITUTE(SUBSTITUTE(SUBSTITUTE("vch"&amp;$B246&amp;$C246&amp;$D246&amp;$E246,".","_"),"(","_"),")","")</f>
        <v>vch504_3_9</v>
      </c>
      <c r="AQ246" t="str">
        <f>IF(LEN(W246)=0,"",W246)</f>
        <v/>
      </c>
      <c r="AR246" t="str">
        <f>SUBSTITUTE(SUBSTITUTE(SUBSTITUTE("vnt"&amp;$B246&amp;$C246&amp;$D246&amp;$E246,".","_"),"(","_"),")","")</f>
        <v>vnt504_3_9</v>
      </c>
      <c r="AS246" t="str">
        <f>IF(LEN(X246)=0,"",X246)</f>
        <v/>
      </c>
    </row>
    <row r="247" spans="1:45" ht="18.5" x14ac:dyDescent="0.45">
      <c r="A247" s="366">
        <v>5</v>
      </c>
      <c r="B247" s="731" t="s">
        <v>471</v>
      </c>
      <c r="C247" s="731"/>
      <c r="D247" s="731"/>
      <c r="E247" s="731"/>
      <c r="F247" s="731"/>
      <c r="G247" s="366" t="s">
        <v>3973</v>
      </c>
      <c r="H247" s="366" t="s">
        <v>3970</v>
      </c>
      <c r="I247" s="35" t="s">
        <v>472</v>
      </c>
      <c r="J247" s="35"/>
      <c r="K247" s="35"/>
      <c r="L247" s="44"/>
      <c r="M247" s="243"/>
      <c r="N247" s="544"/>
      <c r="O247" s="544"/>
      <c r="P247" s="15"/>
      <c r="Q247" s="15"/>
      <c r="R247" s="15"/>
      <c r="S247" s="15"/>
      <c r="T247" s="15"/>
      <c r="U247" s="15"/>
      <c r="V247" s="15"/>
      <c r="W247" s="15"/>
      <c r="X247" s="15"/>
      <c r="Y247" s="15"/>
      <c r="Z247" s="651"/>
    </row>
    <row r="248" spans="1:45" x14ac:dyDescent="0.35">
      <c r="A248" s="366">
        <v>5</v>
      </c>
      <c r="B248" s="731" t="s">
        <v>3983</v>
      </c>
      <c r="C248" s="731"/>
      <c r="D248" s="731"/>
      <c r="E248" s="731"/>
      <c r="F248" s="731"/>
      <c r="G248" s="732"/>
      <c r="H248" s="732"/>
      <c r="I248" s="47" t="s">
        <v>3983</v>
      </c>
      <c r="J248" s="50"/>
      <c r="K248" s="50"/>
      <c r="L248" s="838" t="s">
        <v>473</v>
      </c>
      <c r="M248" s="40"/>
      <c r="N248" s="41"/>
      <c r="O248" s="41"/>
    </row>
    <row r="249" spans="1:45" x14ac:dyDescent="0.35">
      <c r="A249" s="366">
        <v>5</v>
      </c>
      <c r="B249" s="731" t="s">
        <v>3983</v>
      </c>
      <c r="C249" s="731"/>
      <c r="D249" s="731"/>
      <c r="E249" s="731"/>
      <c r="F249" s="731"/>
      <c r="G249" s="732"/>
      <c r="H249" s="732"/>
      <c r="I249" s="50"/>
      <c r="J249" s="50"/>
      <c r="K249" s="50"/>
      <c r="L249" s="838"/>
      <c r="M249" s="40"/>
      <c r="N249" s="41"/>
      <c r="O249" s="41"/>
    </row>
    <row r="250" spans="1:45" ht="15" thickBot="1" x14ac:dyDescent="0.4">
      <c r="A250" s="366">
        <v>5</v>
      </c>
      <c r="B250" s="731" t="s">
        <v>3983</v>
      </c>
      <c r="C250" s="731"/>
      <c r="D250" s="731"/>
      <c r="E250" s="731"/>
      <c r="F250" s="731"/>
      <c r="G250" s="732"/>
      <c r="H250" s="732"/>
      <c r="I250" s="57"/>
      <c r="J250" s="57"/>
      <c r="K250" s="57"/>
      <c r="L250" s="849"/>
      <c r="M250" s="270"/>
      <c r="N250" s="72"/>
      <c r="O250" s="72"/>
      <c r="P250" s="55"/>
      <c r="Q250" s="55"/>
      <c r="R250" s="55"/>
      <c r="S250" s="55"/>
      <c r="T250" s="55"/>
      <c r="U250" s="55"/>
      <c r="V250" s="55"/>
      <c r="W250" s="55"/>
      <c r="X250" s="55"/>
      <c r="Y250" s="55"/>
      <c r="Z250" s="653"/>
    </row>
    <row r="251" spans="1:45" ht="15" thickTop="1" x14ac:dyDescent="0.35">
      <c r="A251" s="366">
        <v>5</v>
      </c>
      <c r="B251" s="731" t="s">
        <v>474</v>
      </c>
      <c r="C251" s="731"/>
      <c r="D251" s="731"/>
      <c r="E251" s="731"/>
      <c r="F251" s="731"/>
      <c r="G251" s="727" t="str">
        <f ca="1">IF(COUNTIF(G253:G260,"P")&gt;0,"P","")</f>
        <v/>
      </c>
      <c r="H251" s="732" t="s">
        <v>3972</v>
      </c>
      <c r="I251" s="47" t="s">
        <v>474</v>
      </c>
      <c r="J251" s="50"/>
      <c r="K251" s="50"/>
      <c r="L251" s="838" t="s">
        <v>475</v>
      </c>
      <c r="M251" s="40"/>
      <c r="N251" s="41"/>
      <c r="O251" s="41"/>
    </row>
    <row r="252" spans="1:45" x14ac:dyDescent="0.35">
      <c r="A252" s="366">
        <v>5</v>
      </c>
      <c r="B252" s="731" t="s">
        <v>474</v>
      </c>
      <c r="C252" s="731"/>
      <c r="D252" s="731"/>
      <c r="E252" s="731"/>
      <c r="F252" s="731"/>
      <c r="G252" s="366" t="str">
        <f ca="1">G251</f>
        <v/>
      </c>
      <c r="H252" s="732" t="s">
        <v>3972</v>
      </c>
      <c r="I252" s="50"/>
      <c r="J252" s="50"/>
      <c r="K252" s="50"/>
      <c r="L252" s="838"/>
      <c r="M252" s="40"/>
      <c r="N252" s="41"/>
      <c r="O252" s="41"/>
    </row>
    <row r="253" spans="1:45" x14ac:dyDescent="0.35">
      <c r="A253" s="366">
        <v>5</v>
      </c>
      <c r="B253" s="731" t="s">
        <v>474</v>
      </c>
      <c r="C253" s="731" t="s">
        <v>256</v>
      </c>
      <c r="D253" s="731"/>
      <c r="E253" s="731"/>
      <c r="F253" s="731"/>
      <c r="G253" s="366" t="str">
        <f>IF(N253&gt;0,"P","")</f>
        <v/>
      </c>
      <c r="H253" s="732" t="s">
        <v>3972</v>
      </c>
      <c r="I253" s="50"/>
      <c r="J253" s="47" t="s">
        <v>256</v>
      </c>
      <c r="K253" s="50"/>
      <c r="L253" s="814" t="s">
        <v>476</v>
      </c>
      <c r="M253" s="818">
        <v>5</v>
      </c>
      <c r="N253" s="834">
        <f>'Ch5'!O254</f>
        <v>0</v>
      </c>
      <c r="O253" s="834">
        <f>M253*S253*W253</f>
        <v>0</v>
      </c>
      <c r="P253" t="b">
        <v>0</v>
      </c>
      <c r="Q253" t="b">
        <v>1</v>
      </c>
      <c r="R253" t="b">
        <v>0</v>
      </c>
      <c r="S253" t="b">
        <v>1</v>
      </c>
      <c r="T253" t="b">
        <v>0</v>
      </c>
      <c r="W253" s="17"/>
      <c r="X253" s="850"/>
      <c r="Y253" s="1119" t="str">
        <f>IF(LEN('Ch5'!X254)=0,"None",'Ch5'!X254)</f>
        <v>None</v>
      </c>
      <c r="Z253" s="1105"/>
      <c r="AA253" s="350" t="str">
        <f>IF(LEN('Photo Review'!I252)&gt;0,'Photo Review'!I252,"")</f>
        <v/>
      </c>
      <c r="AL253" t="str">
        <f>SUBSTITUTE(SUBSTITUTE(SUBSTITUTE("vpa"&amp;$B253&amp;$C253&amp;$D253&amp;$E253,".","_"),"(","_"),")","")</f>
        <v>vpa505_1_1</v>
      </c>
      <c r="AM253">
        <f>M253</f>
        <v>5</v>
      </c>
      <c r="AN253" t="str">
        <f>SUBSTITUTE(SUBSTITUTE(SUBSTITUTE("vpc"&amp;$B253&amp;$C253&amp;$D253&amp;$E253,".","_"),"(","_"),")","")</f>
        <v>vpc505_1_1</v>
      </c>
      <c r="AO253">
        <f>O253</f>
        <v>0</v>
      </c>
      <c r="AP253" t="str">
        <f>SUBSTITUTE(SUBSTITUTE(SUBSTITUTE("vch"&amp;$B253&amp;$C253&amp;$D253&amp;$E253,".","_"),"(","_"),")","")</f>
        <v>vch505_1_1</v>
      </c>
      <c r="AQ253" t="str">
        <f>IF(LEN(W253)=0,"",W253)</f>
        <v/>
      </c>
      <c r="AR253" t="str">
        <f>SUBSTITUTE(SUBSTITUTE(SUBSTITUTE("vnt"&amp;$B253&amp;$C253&amp;$D253&amp;$E253,".","_"),"(","_"),")","")</f>
        <v>vnt505_1_1</v>
      </c>
      <c r="AS253" t="str">
        <f>IF(LEN(X253)=0,"",X253)</f>
        <v/>
      </c>
    </row>
    <row r="254" spans="1:45" x14ac:dyDescent="0.35">
      <c r="A254" s="366">
        <v>5</v>
      </c>
      <c r="B254" s="731" t="s">
        <v>474</v>
      </c>
      <c r="C254" s="731" t="s">
        <v>256</v>
      </c>
      <c r="D254" s="731"/>
      <c r="E254" s="731"/>
      <c r="F254" s="731"/>
      <c r="G254" s="366" t="str">
        <f>G253</f>
        <v/>
      </c>
      <c r="H254" s="732" t="s">
        <v>3972</v>
      </c>
      <c r="I254" s="50"/>
      <c r="J254" s="100"/>
      <c r="K254" s="103"/>
      <c r="L254" s="815"/>
      <c r="M254" s="819"/>
      <c r="N254" s="835"/>
      <c r="O254" s="835"/>
      <c r="X254" s="816"/>
      <c r="Y254" s="1117"/>
      <c r="Z254" s="1103"/>
    </row>
    <row r="255" spans="1:45" x14ac:dyDescent="0.35">
      <c r="A255" s="366">
        <v>5</v>
      </c>
      <c r="B255" s="731" t="s">
        <v>474</v>
      </c>
      <c r="C255" s="731" t="s">
        <v>258</v>
      </c>
      <c r="D255" s="731"/>
      <c r="E255" s="731"/>
      <c r="F255" s="731"/>
      <c r="G255" s="366" t="str">
        <f ca="1">IF(N255&gt;0,"P","")</f>
        <v/>
      </c>
      <c r="H255" s="732" t="s">
        <v>3972</v>
      </c>
      <c r="I255" s="50"/>
      <c r="J255" s="468" t="s">
        <v>258</v>
      </c>
      <c r="K255" s="587"/>
      <c r="L255" s="820" t="s">
        <v>477</v>
      </c>
      <c r="M255" s="822">
        <v>5</v>
      </c>
      <c r="N255" s="963">
        <f ca="1">'Ch5'!O256</f>
        <v>0</v>
      </c>
      <c r="O255" s="963">
        <f ca="1">M255*S255*W255</f>
        <v>0</v>
      </c>
      <c r="P255" t="b">
        <v>0</v>
      </c>
      <c r="Q255" t="b">
        <v>1</v>
      </c>
      <c r="R255" t="b">
        <v>0</v>
      </c>
      <c r="S255" t="b">
        <f ca="1">IF(AY18=INDEX(INDIRECT("ddSingleOrMulti"),2),TRUE,FALSE)</f>
        <v>0</v>
      </c>
      <c r="T255" t="b">
        <f ca="1">IF(AND(NOT(S255),W255=TRUE),TRUE,FALSE)</f>
        <v>0</v>
      </c>
      <c r="W255" s="17"/>
      <c r="X255" s="817"/>
      <c r="Y255" s="396" t="str">
        <f>IF(LEN('Ch5'!X256)=0,"None",'Ch5'!X256)</f>
        <v>None</v>
      </c>
      <c r="Z255" s="652"/>
      <c r="AC255" t="b">
        <f ca="1">OR(AD255:AE255)</f>
        <v>0</v>
      </c>
      <c r="AD255" t="b">
        <f ca="1">T255</f>
        <v>0</v>
      </c>
      <c r="AL255" t="str">
        <f>SUBSTITUTE(SUBSTITUTE(SUBSTITUTE("vpa"&amp;$B255&amp;$C255&amp;$D255&amp;$E255,".","_"),"(","_"),")","")</f>
        <v>vpa505_1_2</v>
      </c>
      <c r="AM255">
        <f>M255</f>
        <v>5</v>
      </c>
      <c r="AN255" t="str">
        <f>SUBSTITUTE(SUBSTITUTE(SUBSTITUTE("vpc"&amp;$B255&amp;$C255&amp;$D255&amp;$E255,".","_"),"(","_"),")","")</f>
        <v>vpc505_1_2</v>
      </c>
      <c r="AO255">
        <f ca="1">O255</f>
        <v>0</v>
      </c>
      <c r="AP255" t="str">
        <f>SUBSTITUTE(SUBSTITUTE(SUBSTITUTE("vch"&amp;$B255&amp;$C255&amp;$D255&amp;$E255,".","_"),"(","_"),")","")</f>
        <v>vch505_1_2</v>
      </c>
      <c r="AQ255" t="str">
        <f>IF(LEN(W255)=0,"",W255)</f>
        <v/>
      </c>
      <c r="AR255" t="str">
        <f>SUBSTITUTE(SUBSTITUTE(SUBSTITUTE("vnt"&amp;$B255&amp;$C255&amp;$D255&amp;$E255,".","_"),"(","_"),")","")</f>
        <v>vnt505_1_2</v>
      </c>
      <c r="AS255" t="str">
        <f>IF(LEN(X255)=0,"",X255)</f>
        <v/>
      </c>
    </row>
    <row r="256" spans="1:45" x14ac:dyDescent="0.35">
      <c r="A256" s="366">
        <v>5</v>
      </c>
      <c r="B256" s="731" t="s">
        <v>474</v>
      </c>
      <c r="C256" s="731" t="s">
        <v>258</v>
      </c>
      <c r="D256" s="731"/>
      <c r="E256" s="731"/>
      <c r="F256" s="731"/>
      <c r="G256" s="366" t="str">
        <f ca="1">G255</f>
        <v/>
      </c>
      <c r="H256" s="732" t="s">
        <v>3972</v>
      </c>
      <c r="J256" s="104"/>
      <c r="K256" s="104"/>
      <c r="L256" s="821"/>
      <c r="M256" s="819"/>
      <c r="N256" s="835"/>
      <c r="O256" s="835"/>
      <c r="X256" s="817"/>
    </row>
    <row r="257" spans="1:45" x14ac:dyDescent="0.35">
      <c r="A257" s="366">
        <v>5</v>
      </c>
      <c r="B257" s="731" t="s">
        <v>474</v>
      </c>
      <c r="C257" s="731" t="s">
        <v>260</v>
      </c>
      <c r="D257" s="731"/>
      <c r="E257" s="731"/>
      <c r="F257" s="731"/>
      <c r="G257" s="366" t="str">
        <f ca="1">IF(N257&gt;0,"P","")</f>
        <v/>
      </c>
      <c r="H257" s="732" t="s">
        <v>3972</v>
      </c>
      <c r="I257" s="50"/>
      <c r="J257" s="47" t="s">
        <v>260</v>
      </c>
      <c r="K257" s="50"/>
      <c r="L257" s="90" t="s">
        <v>478</v>
      </c>
      <c r="M257" s="40"/>
      <c r="N257" s="41">
        <f ca="1">'Ch5'!O258</f>
        <v>0</v>
      </c>
      <c r="O257" s="41">
        <f ca="1">S257*IFERROR(INDEX({4,5,6},MATCH(W257,INDIRECT(U257),0)),0)</f>
        <v>0</v>
      </c>
      <c r="P257" t="b">
        <v>0</v>
      </c>
      <c r="Q257" t="b">
        <v>1</v>
      </c>
      <c r="R257" t="b">
        <v>0</v>
      </c>
      <c r="S257" t="b">
        <v>1</v>
      </c>
      <c r="T257" t="b">
        <v>0</v>
      </c>
      <c r="U257" t="str">
        <f>SUBSTITUTE(SUBSTITUTE(SUBSTITUTE("dd"&amp;B257&amp;C257&amp;D257&amp;E257&amp;F257,".","_"),"(","_"),")","")</f>
        <v>dd505_1_3</v>
      </c>
      <c r="W257" s="9"/>
      <c r="X257" s="850"/>
      <c r="Y257" s="1119" t="str">
        <f>IF(LEN('Ch5'!X258)=0,"None",'Ch5'!X258)</f>
        <v>None</v>
      </c>
      <c r="Z257" s="1105"/>
      <c r="AA257" s="350" t="str">
        <f>IF(LEN('Photo Review'!I256)&gt;0,'Photo Review'!I256,"")</f>
        <v/>
      </c>
      <c r="AN257" t="str">
        <f>SUBSTITUTE(SUBSTITUTE(SUBSTITUTE("vpc"&amp;$B257&amp;$C257&amp;$D257&amp;$E257,".","_"),"(","_"),")","")</f>
        <v>vpc505_1_3</v>
      </c>
      <c r="AO257">
        <f ca="1">O257</f>
        <v>0</v>
      </c>
      <c r="AP257" t="str">
        <f>SUBSTITUTE(SUBSTITUTE(SUBSTITUTE("vch"&amp;$B257&amp;$C257&amp;$D257&amp;$E257,".","_"),"(","_"),")","")</f>
        <v>vch505_1_3</v>
      </c>
      <c r="AQ257" t="str">
        <f>IF(LEN(W257)=0,"",W257)</f>
        <v/>
      </c>
      <c r="AR257" t="str">
        <f>SUBSTITUTE(SUBSTITUTE(SUBSTITUTE("vnt"&amp;$B257&amp;$C257&amp;$D257&amp;$E257,".","_"),"(","_"),")","")</f>
        <v>vnt505_1_3</v>
      </c>
      <c r="AS257" t="str">
        <f>IF(LEN(X257)=0,"",X257)</f>
        <v/>
      </c>
    </row>
    <row r="258" spans="1:45" x14ac:dyDescent="0.35">
      <c r="A258" s="366">
        <v>5</v>
      </c>
      <c r="B258" s="731" t="s">
        <v>474</v>
      </c>
      <c r="C258" s="731" t="s">
        <v>260</v>
      </c>
      <c r="D258" s="731" t="s">
        <v>121</v>
      </c>
      <c r="E258" s="732"/>
      <c r="F258" s="731"/>
      <c r="G258" s="366" t="str">
        <f ca="1">G257</f>
        <v/>
      </c>
      <c r="H258" s="366" t="s">
        <v>3972</v>
      </c>
      <c r="I258" s="46"/>
      <c r="J258" s="50"/>
      <c r="K258" s="47" t="s">
        <v>121</v>
      </c>
      <c r="L258" s="90" t="s">
        <v>479</v>
      </c>
      <c r="M258" s="40">
        <v>4</v>
      </c>
      <c r="N258" s="41"/>
      <c r="O258" s="41"/>
      <c r="R258" t="b">
        <v>0</v>
      </c>
      <c r="S258" t="b">
        <v>1</v>
      </c>
      <c r="T258" t="b">
        <v>0</v>
      </c>
      <c r="X258" s="851"/>
      <c r="Y258" s="1120"/>
      <c r="Z258" s="1109"/>
      <c r="AL258" t="str">
        <f>SUBSTITUTE(SUBSTITUTE(SUBSTITUTE("vpa"&amp;$B258&amp;$C258&amp;$D258&amp;$E258,".","_"),"(","_"),")","")</f>
        <v>vpa505_1_3_a</v>
      </c>
      <c r="AM258">
        <f>M258</f>
        <v>4</v>
      </c>
    </row>
    <row r="259" spans="1:45" x14ac:dyDescent="0.35">
      <c r="A259" s="366">
        <v>5</v>
      </c>
      <c r="B259" s="731" t="s">
        <v>474</v>
      </c>
      <c r="C259" s="731" t="s">
        <v>260</v>
      </c>
      <c r="D259" s="731" t="s">
        <v>122</v>
      </c>
      <c r="E259" s="732"/>
      <c r="F259" s="731"/>
      <c r="G259" s="366" t="str">
        <f ca="1">G258</f>
        <v/>
      </c>
      <c r="H259" s="366" t="s">
        <v>3972</v>
      </c>
      <c r="I259" s="46"/>
      <c r="J259" s="50"/>
      <c r="K259" s="47" t="s">
        <v>122</v>
      </c>
      <c r="L259" s="90" t="s">
        <v>480</v>
      </c>
      <c r="M259" s="40">
        <v>5</v>
      </c>
      <c r="N259" s="41"/>
      <c r="O259" s="41"/>
      <c r="R259" t="b">
        <v>0</v>
      </c>
      <c r="S259" t="b">
        <v>1</v>
      </c>
      <c r="T259" t="b">
        <v>0</v>
      </c>
      <c r="X259" s="851"/>
      <c r="Y259" s="1120"/>
      <c r="Z259" s="1109"/>
      <c r="AL259" t="str">
        <f>SUBSTITUTE(SUBSTITUTE(SUBSTITUTE("vpa"&amp;$B259&amp;$C259&amp;$D259&amp;$E259,".","_"),"(","_"),")","")</f>
        <v>vpa505_1_3_b</v>
      </c>
      <c r="AM259">
        <f>M259</f>
        <v>5</v>
      </c>
    </row>
    <row r="260" spans="1:45" ht="15" thickBot="1" x14ac:dyDescent="0.4">
      <c r="A260" s="366">
        <v>5</v>
      </c>
      <c r="B260" s="731" t="s">
        <v>474</v>
      </c>
      <c r="C260" s="731" t="s">
        <v>260</v>
      </c>
      <c r="D260" s="731" t="s">
        <v>123</v>
      </c>
      <c r="E260" s="732"/>
      <c r="F260" s="731"/>
      <c r="G260" s="366" t="str">
        <f ca="1">G259</f>
        <v/>
      </c>
      <c r="H260" s="366" t="s">
        <v>3972</v>
      </c>
      <c r="I260" s="67"/>
      <c r="J260" s="57"/>
      <c r="K260" s="63" t="s">
        <v>123</v>
      </c>
      <c r="L260" s="229" t="s">
        <v>391</v>
      </c>
      <c r="M260" s="270">
        <v>6</v>
      </c>
      <c r="N260" s="72"/>
      <c r="O260" s="72"/>
      <c r="P260" s="55"/>
      <c r="Q260" s="55"/>
      <c r="R260" s="55" t="b">
        <v>0</v>
      </c>
      <c r="S260" s="55" t="b">
        <v>1</v>
      </c>
      <c r="T260" s="55" t="b">
        <v>0</v>
      </c>
      <c r="U260" s="55"/>
      <c r="V260" s="55"/>
      <c r="W260" s="55"/>
      <c r="X260" s="852"/>
      <c r="Y260" s="1121"/>
      <c r="Z260" s="1108"/>
      <c r="AL260" t="str">
        <f>SUBSTITUTE(SUBSTITUTE(SUBSTITUTE("vpa"&amp;$B260&amp;$C260&amp;$D260&amp;$E260,".","_"),"(","_"),")","")</f>
        <v>vpa505_1_3_c</v>
      </c>
      <c r="AM260">
        <f>M260</f>
        <v>6</v>
      </c>
    </row>
    <row r="261" spans="1:45" ht="15" thickTop="1" x14ac:dyDescent="0.35">
      <c r="A261" s="366">
        <v>5</v>
      </c>
      <c r="B261" s="731" t="s">
        <v>481</v>
      </c>
      <c r="C261" s="731"/>
      <c r="D261" s="731"/>
      <c r="E261" s="731"/>
      <c r="F261" s="731"/>
      <c r="G261" s="727" t="str">
        <f>IF(COUNTIF(G262:G272,"P")&gt;0,"P","")</f>
        <v/>
      </c>
      <c r="H261" s="732" t="s">
        <v>3972</v>
      </c>
      <c r="I261" s="47" t="s">
        <v>482</v>
      </c>
      <c r="J261" s="50"/>
      <c r="K261" s="50"/>
      <c r="L261" s="95" t="s">
        <v>483</v>
      </c>
      <c r="M261" s="40"/>
      <c r="N261" s="41"/>
      <c r="O261" s="41"/>
    </row>
    <row r="262" spans="1:45" x14ac:dyDescent="0.35">
      <c r="A262" s="366">
        <v>5</v>
      </c>
      <c r="B262" s="731" t="s">
        <v>481</v>
      </c>
      <c r="C262" s="731" t="s">
        <v>256</v>
      </c>
      <c r="D262" s="731"/>
      <c r="E262" s="731"/>
      <c r="F262" s="731"/>
      <c r="G262" s="366" t="str">
        <f>IF(N262&gt;0,"P","")</f>
        <v/>
      </c>
      <c r="H262" s="732" t="s">
        <v>3972</v>
      </c>
      <c r="I262" s="50"/>
      <c r="J262" s="47" t="s">
        <v>256</v>
      </c>
      <c r="K262" s="50"/>
      <c r="L262" s="814" t="s">
        <v>484</v>
      </c>
      <c r="M262" s="818">
        <v>5</v>
      </c>
      <c r="N262" s="834">
        <f>'Ch5'!O263</f>
        <v>0</v>
      </c>
      <c r="O262" s="834">
        <f>M262*MIN(1,W264+W267+W271)</f>
        <v>0</v>
      </c>
      <c r="R262" t="b">
        <v>0</v>
      </c>
      <c r="S262" t="b">
        <v>1</v>
      </c>
      <c r="T262" t="b">
        <v>0</v>
      </c>
      <c r="X262" s="850"/>
      <c r="Y262" s="1119" t="str">
        <f>IF(LEN('Ch5'!X263)=0,"None",'Ch5'!X263)</f>
        <v>None</v>
      </c>
      <c r="Z262" s="1105"/>
      <c r="AL262" t="str">
        <f>SUBSTITUTE(SUBSTITUTE(SUBSTITUTE("vpa"&amp;$B262&amp;$C262&amp;$D262&amp;$E262,".","_"),"(","_"),")","")</f>
        <v>vpa505_2_1</v>
      </c>
      <c r="AM262">
        <f>M262</f>
        <v>5</v>
      </c>
      <c r="AN262" t="str">
        <f>SUBSTITUTE(SUBSTITUTE(SUBSTITUTE("vpc"&amp;$B262&amp;$C262&amp;$D262&amp;$E262,".","_"),"(","_"),")","")</f>
        <v>vpc505_2_1</v>
      </c>
      <c r="AO262">
        <f>O262</f>
        <v>0</v>
      </c>
      <c r="AR262" t="str">
        <f>SUBSTITUTE(SUBSTITUTE(SUBSTITUTE("vnt"&amp;$B262&amp;$C262&amp;$D262&amp;$E262,".","_"),"(","_"),")","")</f>
        <v>vnt505_2_1</v>
      </c>
      <c r="AS262" t="str">
        <f>IF(LEN(X262)=0,"",X262)</f>
        <v/>
      </c>
    </row>
    <row r="263" spans="1:45" x14ac:dyDescent="0.35">
      <c r="A263" s="366">
        <v>5</v>
      </c>
      <c r="B263" s="731" t="s">
        <v>481</v>
      </c>
      <c r="C263" s="731" t="s">
        <v>256</v>
      </c>
      <c r="D263" s="731"/>
      <c r="E263" s="731"/>
      <c r="F263" s="731"/>
      <c r="G263" s="366" t="str">
        <f t="shared" ref="G263:G271" si="9">G262</f>
        <v/>
      </c>
      <c r="H263" s="732" t="s">
        <v>3972</v>
      </c>
      <c r="I263" s="50"/>
      <c r="J263" s="50"/>
      <c r="K263" s="50"/>
      <c r="L263" s="814"/>
      <c r="M263" s="818"/>
      <c r="N263" s="834"/>
      <c r="O263" s="834"/>
      <c r="X263" s="851"/>
      <c r="Y263" s="1120"/>
      <c r="Z263" s="1109"/>
    </row>
    <row r="264" spans="1:45" x14ac:dyDescent="0.35">
      <c r="A264" s="366">
        <v>5</v>
      </c>
      <c r="B264" s="731" t="s">
        <v>481</v>
      </c>
      <c r="C264" s="731" t="s">
        <v>256</v>
      </c>
      <c r="D264" s="731" t="s">
        <v>121</v>
      </c>
      <c r="E264" s="732"/>
      <c r="F264" s="731"/>
      <c r="G264" s="366" t="str">
        <f t="shared" si="9"/>
        <v/>
      </c>
      <c r="H264" s="366" t="s">
        <v>3972</v>
      </c>
      <c r="I264" s="46"/>
      <c r="J264" s="50"/>
      <c r="K264" s="47" t="s">
        <v>121</v>
      </c>
      <c r="L264" s="814" t="s">
        <v>485</v>
      </c>
      <c r="M264" s="40"/>
      <c r="N264" s="41"/>
      <c r="O264" s="41"/>
      <c r="P264" t="b">
        <v>0</v>
      </c>
      <c r="Q264" t="b">
        <v>1</v>
      </c>
      <c r="R264" t="b">
        <v>0</v>
      </c>
      <c r="S264" t="b">
        <v>1</v>
      </c>
      <c r="T264" t="b">
        <v>0</v>
      </c>
      <c r="W264" s="17"/>
      <c r="X264" s="851"/>
      <c r="Y264" s="1120"/>
      <c r="Z264" s="1109"/>
      <c r="AA264" s="350" t="str">
        <f>IF(LEN('Photo Review'!I263)&gt;0,'Photo Review'!I263,"")</f>
        <v/>
      </c>
      <c r="AP264" t="str">
        <f>SUBSTITUTE(SUBSTITUTE(SUBSTITUTE("vch"&amp;$B264&amp;$C264&amp;$D264&amp;$E264,".","_"),"(","_"),")","")</f>
        <v>vch505_2_1_a</v>
      </c>
      <c r="AQ264" t="str">
        <f>IF(LEN(W264)=0,"",W264)</f>
        <v/>
      </c>
    </row>
    <row r="265" spans="1:45" x14ac:dyDescent="0.35">
      <c r="A265" s="366">
        <v>5</v>
      </c>
      <c r="B265" s="731" t="s">
        <v>481</v>
      </c>
      <c r="C265" s="731" t="s">
        <v>256</v>
      </c>
      <c r="D265" s="731" t="s">
        <v>121</v>
      </c>
      <c r="E265" s="732"/>
      <c r="F265" s="731"/>
      <c r="G265" s="366" t="str">
        <f t="shared" si="9"/>
        <v/>
      </c>
      <c r="H265" s="366" t="s">
        <v>3972</v>
      </c>
      <c r="I265" s="46"/>
      <c r="J265" s="50"/>
      <c r="K265" s="50"/>
      <c r="L265" s="814"/>
      <c r="M265" s="40"/>
      <c r="N265" s="41"/>
      <c r="O265" s="41"/>
      <c r="X265" s="851"/>
      <c r="Y265" s="1120"/>
      <c r="Z265" s="1109"/>
    </row>
    <row r="266" spans="1:45" x14ac:dyDescent="0.35">
      <c r="A266" s="366">
        <v>5</v>
      </c>
      <c r="B266" s="731" t="s">
        <v>481</v>
      </c>
      <c r="C266" s="731" t="s">
        <v>256</v>
      </c>
      <c r="D266" s="731" t="s">
        <v>121</v>
      </c>
      <c r="E266" s="732"/>
      <c r="F266" s="731"/>
      <c r="G266" s="366" t="str">
        <f t="shared" si="9"/>
        <v/>
      </c>
      <c r="H266" s="366" t="s">
        <v>3972</v>
      </c>
      <c r="I266" s="46"/>
      <c r="J266" s="50"/>
      <c r="K266" s="50"/>
      <c r="L266" s="814"/>
      <c r="M266" s="40"/>
      <c r="N266" s="41"/>
      <c r="O266" s="41"/>
      <c r="X266" s="851"/>
      <c r="Y266" s="1120"/>
      <c r="Z266" s="1109"/>
    </row>
    <row r="267" spans="1:45" x14ac:dyDescent="0.35">
      <c r="A267" s="366">
        <v>5</v>
      </c>
      <c r="B267" s="731" t="s">
        <v>481</v>
      </c>
      <c r="C267" s="731" t="s">
        <v>256</v>
      </c>
      <c r="D267" s="731" t="s">
        <v>122</v>
      </c>
      <c r="E267" s="732"/>
      <c r="F267" s="731"/>
      <c r="G267" s="366" t="str">
        <f t="shared" si="9"/>
        <v/>
      </c>
      <c r="H267" s="366" t="s">
        <v>3972</v>
      </c>
      <c r="I267" s="46"/>
      <c r="J267" s="50"/>
      <c r="K267" s="47" t="s">
        <v>122</v>
      </c>
      <c r="L267" s="814" t="s">
        <v>486</v>
      </c>
      <c r="M267" s="40"/>
      <c r="N267" s="41"/>
      <c r="O267" s="41"/>
      <c r="P267" t="b">
        <v>0</v>
      </c>
      <c r="Q267" t="b">
        <v>1</v>
      </c>
      <c r="R267" t="b">
        <v>0</v>
      </c>
      <c r="S267" t="b">
        <v>1</v>
      </c>
      <c r="T267" t="b">
        <v>0</v>
      </c>
      <c r="W267" s="17"/>
      <c r="X267" s="851"/>
      <c r="Y267" s="1120"/>
      <c r="Z267" s="1109"/>
      <c r="AA267" s="350" t="str">
        <f>IF(LEN('Photo Review'!I266)&gt;0,'Photo Review'!I266,"")</f>
        <v/>
      </c>
      <c r="AP267" t="str">
        <f>SUBSTITUTE(SUBSTITUTE(SUBSTITUTE("vch"&amp;$B267&amp;$C267&amp;$D267&amp;$E267,".","_"),"(","_"),")","")</f>
        <v>vch505_2_1_b</v>
      </c>
      <c r="AQ267" t="str">
        <f>IF(LEN(W267)=0,"",W267)</f>
        <v/>
      </c>
    </row>
    <row r="268" spans="1:45" x14ac:dyDescent="0.35">
      <c r="A268" s="366">
        <v>5</v>
      </c>
      <c r="B268" s="731" t="s">
        <v>481</v>
      </c>
      <c r="C268" s="731" t="s">
        <v>256</v>
      </c>
      <c r="D268" s="731" t="s">
        <v>122</v>
      </c>
      <c r="E268" s="732"/>
      <c r="F268" s="731"/>
      <c r="G268" s="366" t="str">
        <f t="shared" si="9"/>
        <v/>
      </c>
      <c r="H268" s="366" t="s">
        <v>3972</v>
      </c>
      <c r="I268" s="46"/>
      <c r="J268" s="50"/>
      <c r="K268" s="50"/>
      <c r="L268" s="814"/>
      <c r="M268" s="40"/>
      <c r="N268" s="41"/>
      <c r="O268" s="41"/>
      <c r="X268" s="851"/>
      <c r="Y268" s="1120"/>
      <c r="Z268" s="1109"/>
    </row>
    <row r="269" spans="1:45" x14ac:dyDescent="0.35">
      <c r="A269" s="366">
        <v>5</v>
      </c>
      <c r="B269" s="731" t="s">
        <v>481</v>
      </c>
      <c r="C269" s="731" t="s">
        <v>256</v>
      </c>
      <c r="D269" s="731" t="s">
        <v>122</v>
      </c>
      <c r="E269" s="732"/>
      <c r="F269" s="731"/>
      <c r="G269" s="366" t="str">
        <f t="shared" si="9"/>
        <v/>
      </c>
      <c r="H269" s="366" t="s">
        <v>3972</v>
      </c>
      <c r="I269" s="46"/>
      <c r="J269" s="50"/>
      <c r="K269" s="50"/>
      <c r="L269" s="814"/>
      <c r="M269" s="40"/>
      <c r="N269" s="41"/>
      <c r="O269" s="41"/>
      <c r="X269" s="851"/>
      <c r="Y269" s="1120"/>
      <c r="Z269" s="1109"/>
    </row>
    <row r="270" spans="1:45" x14ac:dyDescent="0.35">
      <c r="A270" s="366">
        <v>5</v>
      </c>
      <c r="B270" s="731" t="s">
        <v>481</v>
      </c>
      <c r="C270" s="731" t="s">
        <v>256</v>
      </c>
      <c r="D270" s="731" t="s">
        <v>122</v>
      </c>
      <c r="E270" s="732"/>
      <c r="F270" s="731"/>
      <c r="G270" s="366" t="str">
        <f t="shared" si="9"/>
        <v/>
      </c>
      <c r="H270" s="366" t="s">
        <v>3972</v>
      </c>
      <c r="I270" s="46"/>
      <c r="J270" s="50"/>
      <c r="K270" s="50"/>
      <c r="L270" s="814"/>
      <c r="M270" s="40"/>
      <c r="N270" s="41"/>
      <c r="O270" s="41"/>
      <c r="X270" s="851"/>
      <c r="Y270" s="1120"/>
      <c r="Z270" s="1109"/>
    </row>
    <row r="271" spans="1:45" x14ac:dyDescent="0.35">
      <c r="A271" s="366">
        <v>5</v>
      </c>
      <c r="B271" s="731" t="s">
        <v>481</v>
      </c>
      <c r="C271" s="731" t="s">
        <v>256</v>
      </c>
      <c r="D271" s="731" t="s">
        <v>123</v>
      </c>
      <c r="E271" s="732"/>
      <c r="F271" s="731"/>
      <c r="G271" s="366" t="str">
        <f t="shared" si="9"/>
        <v/>
      </c>
      <c r="H271" s="366" t="s">
        <v>3972</v>
      </c>
      <c r="I271" s="46"/>
      <c r="J271" s="103"/>
      <c r="K271" s="105" t="s">
        <v>123</v>
      </c>
      <c r="L271" s="228" t="s">
        <v>487</v>
      </c>
      <c r="M271" s="268"/>
      <c r="N271" s="546"/>
      <c r="O271" s="546"/>
      <c r="P271" t="b">
        <v>0</v>
      </c>
      <c r="Q271" t="b">
        <v>1</v>
      </c>
      <c r="R271" t="b">
        <v>0</v>
      </c>
      <c r="S271" t="b">
        <v>1</v>
      </c>
      <c r="T271" t="b">
        <v>0</v>
      </c>
      <c r="W271" s="17"/>
      <c r="X271" s="816"/>
      <c r="Y271" s="1117"/>
      <c r="Z271" s="1103"/>
      <c r="AP271" t="str">
        <f>SUBSTITUTE(SUBSTITUTE(SUBSTITUTE("vch"&amp;$B271&amp;$C271&amp;$D271&amp;$E271,".","_"),"(","_"),")","")</f>
        <v>vch505_2_1_c</v>
      </c>
      <c r="AQ271" t="str">
        <f>IF(LEN(W271)=0,"",W271)</f>
        <v/>
      </c>
    </row>
    <row r="272" spans="1:45" x14ac:dyDescent="0.35">
      <c r="A272" s="366">
        <v>5</v>
      </c>
      <c r="B272" s="731" t="s">
        <v>481</v>
      </c>
      <c r="C272" s="731" t="s">
        <v>258</v>
      </c>
      <c r="D272" s="731"/>
      <c r="E272" s="731"/>
      <c r="F272" s="731"/>
      <c r="G272" s="366" t="str">
        <f>IF(N272&gt;0,"P","")</f>
        <v/>
      </c>
      <c r="H272" s="732" t="s">
        <v>3972</v>
      </c>
      <c r="I272" s="50"/>
      <c r="J272" s="47" t="s">
        <v>258</v>
      </c>
      <c r="K272" s="50"/>
      <c r="L272" s="814" t="s">
        <v>488</v>
      </c>
      <c r="M272" s="818">
        <v>5</v>
      </c>
      <c r="N272" s="834">
        <f>'Ch5'!O273</f>
        <v>0</v>
      </c>
      <c r="O272" s="834">
        <f>M272*W272</f>
        <v>0</v>
      </c>
      <c r="P272" t="b">
        <v>0</v>
      </c>
      <c r="Q272" t="b">
        <v>1</v>
      </c>
      <c r="R272" t="b">
        <v>0</v>
      </c>
      <c r="S272" t="b">
        <v>1</v>
      </c>
      <c r="T272" t="b">
        <v>0</v>
      </c>
      <c r="W272" s="17"/>
      <c r="X272" s="850"/>
      <c r="Y272" s="1119" t="str">
        <f>IF(LEN('Ch5'!X273)=0,"None",'Ch5'!X273)</f>
        <v>None</v>
      </c>
      <c r="Z272" s="1105"/>
      <c r="AA272" s="350" t="str">
        <f>IF(LEN('Photo Review'!I271)&gt;0,'Photo Review'!I271,"")</f>
        <v/>
      </c>
      <c r="AL272" t="str">
        <f>SUBSTITUTE(SUBSTITUTE(SUBSTITUTE("vpa"&amp;$B272&amp;$C272&amp;$D272&amp;$E272,".","_"),"(","_"),")","")</f>
        <v>vpa505_2_2</v>
      </c>
      <c r="AM272">
        <f>M272</f>
        <v>5</v>
      </c>
      <c r="AN272" t="str">
        <f>SUBSTITUTE(SUBSTITUTE(SUBSTITUTE("vpc"&amp;$B272&amp;$C272&amp;$D272&amp;$E272,".","_"),"(","_"),")","")</f>
        <v>vpc505_2_2</v>
      </c>
      <c r="AO272">
        <f>O272</f>
        <v>0</v>
      </c>
      <c r="AP272" t="str">
        <f>SUBSTITUTE(SUBSTITUTE(SUBSTITUTE("vch"&amp;$B272&amp;$C272&amp;$D272&amp;$E272,".","_"),"(","_"),")","")</f>
        <v>vch505_2_2</v>
      </c>
      <c r="AQ272" t="str">
        <f>IF(LEN(W272)=0,"",W272)</f>
        <v/>
      </c>
      <c r="AR272" t="str">
        <f>SUBSTITUTE(SUBSTITUTE(SUBSTITUTE("vnt"&amp;$B272&amp;$C272&amp;$D272&amp;$E272,".","_"),"(","_"),")","")</f>
        <v>vnt505_2_2</v>
      </c>
      <c r="AS272" t="str">
        <f>IF(LEN(X272)=0,"",X272)</f>
        <v/>
      </c>
    </row>
    <row r="273" spans="1:45" x14ac:dyDescent="0.35">
      <c r="A273" s="366">
        <v>5</v>
      </c>
      <c r="B273" s="731" t="s">
        <v>481</v>
      </c>
      <c r="C273" s="731" t="s">
        <v>258</v>
      </c>
      <c r="D273" s="731"/>
      <c r="E273" s="731"/>
      <c r="F273" s="731"/>
      <c r="G273" s="366" t="str">
        <f>G272</f>
        <v/>
      </c>
      <c r="H273" s="732" t="s">
        <v>3972</v>
      </c>
      <c r="I273" s="50"/>
      <c r="J273" s="50"/>
      <c r="K273" s="50"/>
      <c r="L273" s="814"/>
      <c r="M273" s="818"/>
      <c r="N273" s="834"/>
      <c r="O273" s="834"/>
      <c r="X273" s="851"/>
      <c r="Y273" s="1120"/>
      <c r="Z273" s="1109"/>
    </row>
    <row r="274" spans="1:45" ht="15" thickBot="1" x14ac:dyDescent="0.4">
      <c r="A274" s="366">
        <v>5</v>
      </c>
      <c r="B274" s="731" t="s">
        <v>481</v>
      </c>
      <c r="C274" s="731" t="s">
        <v>258</v>
      </c>
      <c r="D274" s="731"/>
      <c r="E274" s="731"/>
      <c r="F274" s="731"/>
      <c r="G274" s="366" t="str">
        <f>G273</f>
        <v/>
      </c>
      <c r="H274" s="732" t="s">
        <v>3972</v>
      </c>
      <c r="I274" s="57"/>
      <c r="J274" s="57"/>
      <c r="K274" s="57"/>
      <c r="L274" s="839"/>
      <c r="M274" s="827"/>
      <c r="N274" s="863"/>
      <c r="O274" s="863"/>
      <c r="P274" s="55"/>
      <c r="Q274" s="55"/>
      <c r="R274" s="55"/>
      <c r="S274" s="55"/>
      <c r="T274" s="55"/>
      <c r="U274" s="55"/>
      <c r="V274" s="55"/>
      <c r="W274" s="55"/>
      <c r="X274" s="852"/>
      <c r="Y274" s="1121"/>
      <c r="Z274" s="1108"/>
    </row>
    <row r="275" spans="1:45" ht="15" thickTop="1" x14ac:dyDescent="0.35">
      <c r="A275" s="366">
        <v>5</v>
      </c>
      <c r="B275" s="731" t="s">
        <v>489</v>
      </c>
      <c r="C275" s="731"/>
      <c r="D275" s="731"/>
      <c r="E275" s="731"/>
      <c r="F275" s="731"/>
      <c r="G275" s="366" t="str">
        <f ca="1">IF(N275&gt;0,"P","")</f>
        <v/>
      </c>
      <c r="H275" s="732" t="s">
        <v>3970</v>
      </c>
      <c r="I275" s="47" t="s">
        <v>489</v>
      </c>
      <c r="J275" s="50"/>
      <c r="K275" s="50"/>
      <c r="L275" s="95" t="s">
        <v>490</v>
      </c>
      <c r="M275" s="40"/>
      <c r="N275" s="41">
        <f ca="1">'Ch5'!O276</f>
        <v>0</v>
      </c>
      <c r="O275" s="75">
        <f ca="1">S275*IFERROR(INDEX({4,5,6,7,8},MATCH(W275,INDIRECT(U275),0)),0)</f>
        <v>0</v>
      </c>
      <c r="P275" t="b">
        <v>1</v>
      </c>
      <c r="Q275" t="b">
        <v>1</v>
      </c>
      <c r="R275" t="b">
        <v>0</v>
      </c>
      <c r="S275" t="b">
        <v>1</v>
      </c>
      <c r="T275" t="b">
        <v>0</v>
      </c>
      <c r="U275" t="str">
        <f>SUBSTITUTE(SUBSTITUTE(SUBSTITUTE("dd"&amp;B275&amp;C275&amp;D275&amp;E275&amp;F275,".","_"),"(","_"),")","")</f>
        <v>dd505_3</v>
      </c>
      <c r="W275" s="9"/>
      <c r="X275" s="840"/>
      <c r="Y275" s="1117" t="str">
        <f>IF(LEN('Ch5'!X276)=0,"None",'Ch5'!X276)</f>
        <v>None</v>
      </c>
      <c r="Z275" s="1103"/>
      <c r="AA275" s="350" t="str">
        <f>IF(LEN('Photo Review'!I274)&gt;0,'Photo Review'!I274,"")</f>
        <v/>
      </c>
      <c r="AN275" t="str">
        <f>SUBSTITUTE(SUBSTITUTE(SUBSTITUTE("vpc"&amp;$B275&amp;$C275&amp;$D275&amp;$E275,".","_"),"(","_"),")","")</f>
        <v>vpc505_3</v>
      </c>
      <c r="AO275">
        <f ca="1">O275</f>
        <v>0</v>
      </c>
      <c r="AR275" t="str">
        <f>SUBSTITUTE(SUBSTITUTE(SUBSTITUTE("vnt"&amp;$B275&amp;$C275&amp;$D275&amp;$E275,".","_"),"(","_"),")","")</f>
        <v>vnt505_3</v>
      </c>
      <c r="AS275" t="str">
        <f>IF(LEN(X275)=0,"",X275)</f>
        <v/>
      </c>
    </row>
    <row r="276" spans="1:45" x14ac:dyDescent="0.35">
      <c r="A276" s="366">
        <v>5</v>
      </c>
      <c r="B276" s="731" t="s">
        <v>489</v>
      </c>
      <c r="C276" s="731" t="s">
        <v>256</v>
      </c>
      <c r="D276" s="731"/>
      <c r="E276" s="731"/>
      <c r="F276" s="731"/>
      <c r="G276" s="366" t="str">
        <f ca="1">G275</f>
        <v/>
      </c>
      <c r="H276" s="732" t="s">
        <v>3970</v>
      </c>
      <c r="I276" s="50"/>
      <c r="J276" s="100" t="s">
        <v>256</v>
      </c>
      <c r="K276" s="103"/>
      <c r="L276" s="228" t="s">
        <v>4134</v>
      </c>
      <c r="M276" s="268">
        <v>4</v>
      </c>
      <c r="N276" s="41"/>
      <c r="O276" s="75"/>
      <c r="X276" s="817"/>
      <c r="Y276" s="1100"/>
      <c r="Z276" s="1102"/>
      <c r="AL276" t="str">
        <f>SUBSTITUTE(SUBSTITUTE(SUBSTITUTE("vpa"&amp;$B276&amp;$C276&amp;$D276&amp;$E276,".","_"),"(","_"),")","")</f>
        <v>vpa505_3_1</v>
      </c>
      <c r="AM276">
        <f t="shared" ref="AM276:AM282" si="10">M276</f>
        <v>4</v>
      </c>
      <c r="AP276" t="str">
        <f>SUBSTITUTE(SUBSTITUTE(SUBSTITUTE("vch"&amp;$B276&amp;$C276&amp;$D276&amp;$E276,".","_"),"(","_"),")","")</f>
        <v>vch505_3_1</v>
      </c>
      <c r="AQ276" t="str">
        <f>IF(LEN(W276)=0,"",W276)</f>
        <v/>
      </c>
    </row>
    <row r="277" spans="1:45" x14ac:dyDescent="0.35">
      <c r="A277" s="366">
        <v>5</v>
      </c>
      <c r="B277" s="731" t="s">
        <v>489</v>
      </c>
      <c r="C277" s="731" t="s">
        <v>258</v>
      </c>
      <c r="D277" s="731"/>
      <c r="E277" s="731"/>
      <c r="F277" s="731"/>
      <c r="G277" s="366" t="str">
        <f ca="1">G276</f>
        <v/>
      </c>
      <c r="H277" s="732" t="s">
        <v>3970</v>
      </c>
      <c r="I277" s="50"/>
      <c r="J277" s="100" t="s">
        <v>258</v>
      </c>
      <c r="K277" s="103"/>
      <c r="L277" s="228" t="s">
        <v>4135</v>
      </c>
      <c r="M277" s="268">
        <v>5</v>
      </c>
      <c r="N277" s="41"/>
      <c r="O277" s="75"/>
      <c r="X277" s="817"/>
      <c r="Y277" s="1100"/>
      <c r="Z277" s="1102"/>
      <c r="AL277" t="str">
        <f>SUBSTITUTE(SUBSTITUTE(SUBSTITUTE("vpa"&amp;$B277&amp;$C277&amp;$D277&amp;$E277,".","_"),"(","_"),")","")</f>
        <v>vpa505_3_2</v>
      </c>
      <c r="AM277">
        <f t="shared" si="10"/>
        <v>5</v>
      </c>
    </row>
    <row r="278" spans="1:45" x14ac:dyDescent="0.35">
      <c r="A278" s="366">
        <v>5</v>
      </c>
      <c r="B278" s="731" t="s">
        <v>489</v>
      </c>
      <c r="C278" s="731" t="s">
        <v>260</v>
      </c>
      <c r="D278" s="731"/>
      <c r="E278" s="731"/>
      <c r="F278" s="731"/>
      <c r="G278" s="366" t="str">
        <f ca="1">G277</f>
        <v/>
      </c>
      <c r="H278" s="732" t="s">
        <v>3970</v>
      </c>
      <c r="I278" s="50"/>
      <c r="J278" s="100" t="s">
        <v>260</v>
      </c>
      <c r="K278" s="103"/>
      <c r="L278" s="228" t="s">
        <v>4136</v>
      </c>
      <c r="M278" s="268">
        <v>6</v>
      </c>
      <c r="N278" s="41"/>
      <c r="O278" s="75"/>
      <c r="X278" s="817"/>
      <c r="Y278" s="1100"/>
      <c r="Z278" s="1102"/>
      <c r="AL278" t="str">
        <f>SUBSTITUTE(SUBSTITUTE(SUBSTITUTE("vpa"&amp;$B278&amp;$C278&amp;$D278&amp;$E278,".","_"),"(","_"),")","")</f>
        <v>vpa505_3_3</v>
      </c>
      <c r="AM278">
        <f t="shared" si="10"/>
        <v>6</v>
      </c>
    </row>
    <row r="279" spans="1:45" x14ac:dyDescent="0.35">
      <c r="A279" s="366">
        <v>5</v>
      </c>
      <c r="B279" s="731" t="s">
        <v>489</v>
      </c>
      <c r="C279" s="731" t="s">
        <v>269</v>
      </c>
      <c r="D279" s="731"/>
      <c r="E279" s="731"/>
      <c r="F279" s="731"/>
      <c r="G279" s="366" t="str">
        <f ca="1">G278</f>
        <v/>
      </c>
      <c r="H279" s="732" t="s">
        <v>3970</v>
      </c>
      <c r="I279" s="50"/>
      <c r="J279" s="100" t="s">
        <v>269</v>
      </c>
      <c r="K279" s="103"/>
      <c r="L279" s="228" t="s">
        <v>4137</v>
      </c>
      <c r="M279" s="268">
        <v>7</v>
      </c>
      <c r="N279" s="41"/>
      <c r="O279" s="75"/>
      <c r="X279" s="817"/>
      <c r="Y279" s="1100"/>
      <c r="Z279" s="1102"/>
      <c r="AL279" t="str">
        <f>SUBSTITUTE(SUBSTITUTE(SUBSTITUTE("vpa"&amp;$B279&amp;$C279&amp;$D279&amp;$E279,".","_"),"(","_"),")","")</f>
        <v>vpa505_3_4</v>
      </c>
      <c r="AM279">
        <f t="shared" si="10"/>
        <v>7</v>
      </c>
    </row>
    <row r="280" spans="1:45" ht="15" thickBot="1" x14ac:dyDescent="0.4">
      <c r="A280" s="366">
        <v>5</v>
      </c>
      <c r="B280" s="731" t="s">
        <v>489</v>
      </c>
      <c r="C280" s="731" t="s">
        <v>275</v>
      </c>
      <c r="D280" s="731"/>
      <c r="E280" s="731"/>
      <c r="F280" s="731"/>
      <c r="G280" s="366" t="str">
        <f ca="1">G279</f>
        <v/>
      </c>
      <c r="H280" s="732" t="s">
        <v>3970</v>
      </c>
      <c r="I280" s="57"/>
      <c r="J280" s="52" t="s">
        <v>275</v>
      </c>
      <c r="K280" s="57"/>
      <c r="L280" s="229" t="s">
        <v>4138</v>
      </c>
      <c r="M280" s="270">
        <v>8</v>
      </c>
      <c r="N280" s="72"/>
      <c r="O280" s="161"/>
      <c r="P280" s="55"/>
      <c r="Q280" s="55"/>
      <c r="R280" s="55"/>
      <c r="S280" s="55"/>
      <c r="T280" s="55"/>
      <c r="U280" s="55"/>
      <c r="V280" s="55"/>
      <c r="W280" s="55"/>
      <c r="X280" s="829"/>
      <c r="Y280" s="1101"/>
      <c r="Z280" s="1104"/>
      <c r="AL280" t="str">
        <f>SUBSTITUTE(SUBSTITUTE(SUBSTITUTE("vpa"&amp;$B280&amp;$C280&amp;$D280&amp;$E280,".","_"),"(","_"),")","")</f>
        <v>vpa505_3_5</v>
      </c>
      <c r="AM280">
        <f t="shared" si="10"/>
        <v>8</v>
      </c>
    </row>
    <row r="281" spans="1:45" ht="15" thickTop="1" x14ac:dyDescent="0.35">
      <c r="A281" s="366">
        <v>5</v>
      </c>
      <c r="B281" s="731" t="s">
        <v>491</v>
      </c>
      <c r="C281" s="731"/>
      <c r="D281" s="731"/>
      <c r="E281" s="731"/>
      <c r="F281" s="731"/>
      <c r="G281" s="366" t="str">
        <f ca="1">G282</f>
        <v/>
      </c>
      <c r="H281" s="732" t="s">
        <v>3970</v>
      </c>
      <c r="I281" s="66" t="s">
        <v>491</v>
      </c>
      <c r="J281" s="61"/>
      <c r="K281" s="61"/>
      <c r="L281" s="274" t="s">
        <v>4139</v>
      </c>
      <c r="M281" s="40"/>
      <c r="N281" s="59"/>
      <c r="O281" s="41"/>
      <c r="P281" s="59"/>
      <c r="Q281" s="59"/>
      <c r="R281" s="59"/>
      <c r="S281" s="59"/>
      <c r="T281" s="59"/>
      <c r="U281" s="59"/>
      <c r="V281" s="59"/>
      <c r="W281" s="173"/>
      <c r="X281" s="173"/>
      <c r="Y281" s="173"/>
      <c r="Z281" s="654"/>
      <c r="AA281" s="350" t="str">
        <f>IF(LEN('Photo Review'!I280)&gt;0,'Photo Review'!I280,"")</f>
        <v/>
      </c>
    </row>
    <row r="282" spans="1:45" ht="15" thickBot="1" x14ac:dyDescent="0.4">
      <c r="A282" s="366">
        <v>5</v>
      </c>
      <c r="B282" s="731" t="s">
        <v>491</v>
      </c>
      <c r="C282" s="731" t="s">
        <v>256</v>
      </c>
      <c r="D282" s="731"/>
      <c r="E282" s="731"/>
      <c r="F282" s="731"/>
      <c r="G282" s="366" t="str">
        <f ca="1">IF(N282&gt;0,"P","")</f>
        <v/>
      </c>
      <c r="H282" s="732" t="s">
        <v>3970</v>
      </c>
      <c r="I282" s="55"/>
      <c r="J282" s="52" t="s">
        <v>256</v>
      </c>
      <c r="K282" s="57"/>
      <c r="L282" s="229" t="s">
        <v>4140</v>
      </c>
      <c r="M282" s="270">
        <v>8</v>
      </c>
      <c r="N282" s="72">
        <f ca="1">'Ch5'!O283</f>
        <v>0</v>
      </c>
      <c r="O282" s="72">
        <f ca="1">M282*S282*W282</f>
        <v>0</v>
      </c>
      <c r="P282" s="55" t="b">
        <v>1</v>
      </c>
      <c r="Q282" s="55" t="b">
        <v>1</v>
      </c>
      <c r="R282" s="55" t="b">
        <v>0</v>
      </c>
      <c r="S282" t="b">
        <f ca="1">IF(AY18=INDEX(INDIRECT("ddSingleOrMulti"),2),TRUE,FALSE)</f>
        <v>0</v>
      </c>
      <c r="T282" t="b">
        <f ca="1">IF(AND(NOT(S282),W282=TRUE),TRUE,FALSE)</f>
        <v>0</v>
      </c>
      <c r="U282" s="55"/>
      <c r="V282" s="55"/>
      <c r="W282" s="322"/>
      <c r="X282" s="280"/>
      <c r="Y282" s="397" t="str">
        <f>IF(LEN('Ch5'!X283)=0,"None",'Ch5'!X283)</f>
        <v>None</v>
      </c>
      <c r="Z282" s="655"/>
      <c r="AC282" t="b">
        <f ca="1">OR(AD282:AE282)</f>
        <v>0</v>
      </c>
      <c r="AD282" t="b">
        <f ca="1">T282</f>
        <v>0</v>
      </c>
      <c r="AL282" t="str">
        <f>SUBSTITUTE(SUBSTITUTE(SUBSTITUTE("vpa"&amp;$B282&amp;$C282&amp;$D282&amp;$E282,".","_"),"(","_"),")","")</f>
        <v>vpa505_4_1</v>
      </c>
      <c r="AM282">
        <f t="shared" si="10"/>
        <v>8</v>
      </c>
      <c r="AN282" t="str">
        <f>SUBSTITUTE(SUBSTITUTE(SUBSTITUTE("vpc"&amp;$B282&amp;$C282&amp;$D282&amp;$E282,".","_"),"(","_"),")","")</f>
        <v>vpc505_4_1</v>
      </c>
      <c r="AO282">
        <f ca="1">O282</f>
        <v>0</v>
      </c>
      <c r="AP282" t="str">
        <f>SUBSTITUTE(SUBSTITUTE(SUBSTITUTE("vch"&amp;$B282&amp;$C282&amp;$D282&amp;$E282,".","_"),"(","_"),")","")</f>
        <v>vch505_4_1</v>
      </c>
      <c r="AQ282" t="str">
        <f>IF(LEN(W282)=0,"",W282)</f>
        <v/>
      </c>
      <c r="AR282" t="str">
        <f>SUBSTITUTE(SUBSTITUTE(SUBSTITUTE("vnt"&amp;$B282&amp;$C282&amp;$D282&amp;$E282,".","_"),"(","_"),")","")</f>
        <v>vnt505_4_1</v>
      </c>
      <c r="AS282" t="str">
        <f>IF(LEN(X282)=0,"",X282)</f>
        <v/>
      </c>
    </row>
    <row r="283" spans="1:45" ht="15.75" customHeight="1" thickTop="1" x14ac:dyDescent="0.35">
      <c r="A283" s="366">
        <v>5</v>
      </c>
      <c r="B283" s="731" t="s">
        <v>492</v>
      </c>
      <c r="C283" s="731"/>
      <c r="D283" s="731"/>
      <c r="E283" s="731"/>
      <c r="F283" s="731"/>
      <c r="G283" s="727" t="str">
        <f ca="1">IF(COUNTIF(G286:G292,"P")&gt;0,"P","")</f>
        <v/>
      </c>
      <c r="H283" s="732" t="s">
        <v>3970</v>
      </c>
      <c r="I283" s="66" t="s">
        <v>492</v>
      </c>
      <c r="J283" s="61"/>
      <c r="K283" s="61"/>
      <c r="L283" s="837" t="s">
        <v>4848</v>
      </c>
      <c r="M283" s="32"/>
      <c r="U283" s="59"/>
      <c r="V283" s="59"/>
      <c r="W283" s="59"/>
      <c r="Y283" s="59"/>
      <c r="Z283" s="656"/>
    </row>
    <row r="284" spans="1:45" ht="15.75" customHeight="1" x14ac:dyDescent="0.35">
      <c r="A284" s="366">
        <v>5</v>
      </c>
      <c r="B284" s="731" t="s">
        <v>492</v>
      </c>
      <c r="C284" s="731"/>
      <c r="D284" s="731"/>
      <c r="E284" s="731"/>
      <c r="F284" s="731"/>
      <c r="G284" s="366" t="str">
        <f t="shared" ref="G284:G290" ca="1" si="11">G283</f>
        <v/>
      </c>
      <c r="H284" s="732" t="s">
        <v>3970</v>
      </c>
      <c r="I284" s="47"/>
      <c r="J284" s="50"/>
      <c r="K284" s="50"/>
      <c r="L284" s="838"/>
      <c r="M284" s="32"/>
    </row>
    <row r="285" spans="1:45" x14ac:dyDescent="0.35">
      <c r="A285" s="366">
        <v>5</v>
      </c>
      <c r="B285" s="731" t="s">
        <v>492</v>
      </c>
      <c r="C285" s="731"/>
      <c r="D285" s="731"/>
      <c r="E285" s="731"/>
      <c r="F285" s="731"/>
      <c r="G285" s="366" t="str">
        <f t="shared" ca="1" si="11"/>
        <v/>
      </c>
      <c r="H285" s="732" t="s">
        <v>3970</v>
      </c>
      <c r="I285" s="50"/>
      <c r="J285" s="50"/>
      <c r="K285" s="50"/>
      <c r="L285" s="838"/>
      <c r="M285" s="32"/>
      <c r="W285" s="2" t="s">
        <v>4146</v>
      </c>
      <c r="Y285" s="104"/>
      <c r="Z285" s="657"/>
    </row>
    <row r="286" spans="1:45" x14ac:dyDescent="0.35">
      <c r="A286" s="366">
        <v>5</v>
      </c>
      <c r="B286" s="731" t="s">
        <v>492</v>
      </c>
      <c r="D286" s="731" t="s">
        <v>121</v>
      </c>
      <c r="F286" s="731"/>
      <c r="G286" s="366" t="str">
        <f ca="1">IF(N286&gt;0,"P","")</f>
        <v/>
      </c>
      <c r="H286" s="732" t="s">
        <v>3970</v>
      </c>
      <c r="K286" s="32" t="s">
        <v>121</v>
      </c>
      <c r="L286" s="814" t="s">
        <v>4141</v>
      </c>
      <c r="M286" s="818" t="s">
        <v>4142</v>
      </c>
      <c r="N286" s="834">
        <f ca="1">'Ch5'!O287</f>
        <v>0</v>
      </c>
      <c r="O286" s="834">
        <f ca="1">IFERROR(INDEX({0,3,6,9},MATCH(W286,{0,250,500,750},1)),0)*S286</f>
        <v>0</v>
      </c>
      <c r="P286" t="b">
        <v>1</v>
      </c>
      <c r="Q286" t="b">
        <v>1</v>
      </c>
      <c r="R286" t="b">
        <v>0</v>
      </c>
      <c r="S286" t="b">
        <f ca="1">IF(AY18=INDEX(INDIRECT("ddSingleOrMulti"),2),TRUE,FALSE)</f>
        <v>0</v>
      </c>
      <c r="T286" t="b">
        <f ca="1">AND(LEN(W286)&gt;0,NOT(S286))</f>
        <v>0</v>
      </c>
      <c r="W286" s="476"/>
      <c r="X286" s="817"/>
      <c r="Y286" s="1100" t="str">
        <f>IF(LEN('Ch5'!X287)=0,"None",'Ch5'!X287)</f>
        <v>None</v>
      </c>
      <c r="Z286" s="1102"/>
      <c r="AC286" t="b">
        <f ca="1">OR(AD286:AE286)</f>
        <v>0</v>
      </c>
      <c r="AD286" t="b">
        <f ca="1">T286</f>
        <v>0</v>
      </c>
      <c r="AL286" t="str">
        <f>SUBSTITUTE(SUBSTITUTE(SUBSTITUTE("vpa"&amp;$B286&amp;$C286&amp;$D286&amp;$E286,".","_"),"(","_"),")","")</f>
        <v>vpa505_5_a</v>
      </c>
      <c r="AM286" t="str">
        <f>M286</f>
        <v>9 max</v>
      </c>
      <c r="AN286" t="str">
        <f>SUBSTITUTE(SUBSTITUTE(SUBSTITUTE("vpc"&amp;$B286&amp;$C286&amp;$D286&amp;$E286,".","_"),"(","_"),")","")</f>
        <v>vpc505_5_a</v>
      </c>
      <c r="AO286">
        <f ca="1">O286</f>
        <v>0</v>
      </c>
      <c r="AP286" t="str">
        <f>SUBSTITUTE(SUBSTITUTE(SUBSTITUTE("vch"&amp;$B286&amp;$C286&amp;$D286&amp;$E286,".","_"),"(","_"),")","")</f>
        <v>vch505_5_a</v>
      </c>
      <c r="AQ286" t="str">
        <f>IF(LEN(W286)=0,"",W286)</f>
        <v/>
      </c>
      <c r="AR286" t="str">
        <f>SUBSTITUTE(SUBSTITUTE(SUBSTITUTE("vnt"&amp;$B286&amp;$C286&amp;$D286&amp;$E286,".","_"),"(","_"),")","")</f>
        <v>vnt505_5_a</v>
      </c>
      <c r="AS286" t="str">
        <f>IF(LEN(X286)=0,"",X286)</f>
        <v/>
      </c>
    </row>
    <row r="287" spans="1:45" x14ac:dyDescent="0.35">
      <c r="A287" s="366">
        <v>5</v>
      </c>
      <c r="B287" s="731" t="s">
        <v>492</v>
      </c>
      <c r="D287" s="731" t="s">
        <v>121</v>
      </c>
      <c r="F287" s="731"/>
      <c r="G287" s="366" t="str">
        <f t="shared" ca="1" si="11"/>
        <v/>
      </c>
      <c r="H287" s="732" t="s">
        <v>3970</v>
      </c>
      <c r="K287" s="331"/>
      <c r="L287" s="815"/>
      <c r="M287" s="819"/>
      <c r="N287" s="835"/>
      <c r="O287" s="835"/>
      <c r="X287" s="817"/>
      <c r="Y287" s="1100"/>
      <c r="Z287" s="1102"/>
    </row>
    <row r="288" spans="1:45" x14ac:dyDescent="0.35">
      <c r="A288" s="366">
        <v>5</v>
      </c>
      <c r="B288" s="731" t="s">
        <v>492</v>
      </c>
      <c r="D288" s="731" t="s">
        <v>122</v>
      </c>
      <c r="F288" s="731"/>
      <c r="G288" s="366" t="str">
        <f ca="1">IF(N288&gt;0,"P","")</f>
        <v/>
      </c>
      <c r="H288" s="732" t="s">
        <v>3970</v>
      </c>
      <c r="K288" s="330" t="s">
        <v>122</v>
      </c>
      <c r="L288" s="836" t="s">
        <v>4143</v>
      </c>
      <c r="M288" s="822">
        <v>3</v>
      </c>
      <c r="N288" s="963">
        <f ca="1">'Ch5'!O289</f>
        <v>0</v>
      </c>
      <c r="O288" s="963">
        <f ca="1">M288*S288*W288</f>
        <v>0</v>
      </c>
      <c r="P288" t="b">
        <v>1</v>
      </c>
      <c r="Q288" t="b">
        <v>1</v>
      </c>
      <c r="R288" t="b">
        <v>0</v>
      </c>
      <c r="S288" t="b">
        <f ca="1">IF(AY18=INDEX(INDIRECT("ddSingleOrMulti"),2),TRUE,FALSE)</f>
        <v>0</v>
      </c>
      <c r="T288" t="b">
        <f ca="1">AND(W288=TRUE,NOT(S288))</f>
        <v>0</v>
      </c>
      <c r="W288" s="17"/>
      <c r="X288" s="817"/>
      <c r="Y288" s="1100" t="str">
        <f>IF(LEN('Ch5'!X289)=0,"None",'Ch5'!X289)</f>
        <v>None</v>
      </c>
      <c r="Z288" s="1102"/>
      <c r="AC288" t="b">
        <f ca="1">OR(AD288:AE288)</f>
        <v>0</v>
      </c>
      <c r="AD288" t="b">
        <f ca="1">T288</f>
        <v>0</v>
      </c>
      <c r="AL288" t="str">
        <f>SUBSTITUTE(SUBSTITUTE(SUBSTITUTE("vpa"&amp;$B288&amp;$C288&amp;$D288&amp;$E288,".","_"),"(","_"),")","")</f>
        <v>vpa505_5_b</v>
      </c>
      <c r="AM288">
        <f>M288</f>
        <v>3</v>
      </c>
      <c r="AN288" t="str">
        <f>SUBSTITUTE(SUBSTITUTE(SUBSTITUTE("vpc"&amp;$B288&amp;$C288&amp;$D288&amp;$E288,".","_"),"(","_"),")","")</f>
        <v>vpc505_5_b</v>
      </c>
      <c r="AO288">
        <f ca="1">O288</f>
        <v>0</v>
      </c>
      <c r="AP288" t="str">
        <f>SUBSTITUTE(SUBSTITUTE(SUBSTITUTE("vch"&amp;$B288&amp;$C288&amp;$D288&amp;$E288,".","_"),"(","_"),")","")</f>
        <v>vch505_5_b</v>
      </c>
      <c r="AQ288" t="str">
        <f>IF(LEN(W288)=0,"",W288)</f>
        <v/>
      </c>
      <c r="AR288" t="str">
        <f>SUBSTITUTE(SUBSTITUTE(SUBSTITUTE("vnt"&amp;$B288&amp;$C288&amp;$D288&amp;$E288,".","_"),"(","_"),")","")</f>
        <v>vnt505_5_b</v>
      </c>
      <c r="AS288" t="str">
        <f>IF(LEN(X288)=0,"",X288)</f>
        <v/>
      </c>
    </row>
    <row r="289" spans="1:45" x14ac:dyDescent="0.35">
      <c r="A289" s="366">
        <v>5</v>
      </c>
      <c r="B289" s="731" t="s">
        <v>492</v>
      </c>
      <c r="D289" s="731" t="s">
        <v>122</v>
      </c>
      <c r="F289" s="731"/>
      <c r="G289" s="366" t="str">
        <f t="shared" ca="1" si="11"/>
        <v/>
      </c>
      <c r="H289" s="732" t="s">
        <v>3970</v>
      </c>
      <c r="K289" s="32"/>
      <c r="L289" s="814"/>
      <c r="M289" s="818"/>
      <c r="N289" s="834"/>
      <c r="O289" s="834"/>
      <c r="X289" s="817"/>
      <c r="Y289" s="1100"/>
      <c r="Z289" s="1102"/>
    </row>
    <row r="290" spans="1:45" x14ac:dyDescent="0.35">
      <c r="A290" s="366">
        <v>5</v>
      </c>
      <c r="B290" s="731" t="s">
        <v>492</v>
      </c>
      <c r="D290" s="731" t="s">
        <v>122</v>
      </c>
      <c r="F290" s="731"/>
      <c r="G290" s="366" t="str">
        <f t="shared" ca="1" si="11"/>
        <v/>
      </c>
      <c r="H290" s="732" t="s">
        <v>3970</v>
      </c>
      <c r="K290" s="331"/>
      <c r="L290" s="815"/>
      <c r="M290" s="819"/>
      <c r="N290" s="835"/>
      <c r="O290" s="835"/>
      <c r="X290" s="817"/>
      <c r="Y290" s="1100"/>
      <c r="Z290" s="1102"/>
    </row>
    <row r="291" spans="1:45" x14ac:dyDescent="0.35">
      <c r="A291" s="366">
        <v>5</v>
      </c>
      <c r="B291" s="731" t="s">
        <v>492</v>
      </c>
      <c r="D291" s="731" t="s">
        <v>123</v>
      </c>
      <c r="F291" s="731"/>
      <c r="G291" s="366" t="str">
        <f ca="1">IF(N291&gt;0,"P","")</f>
        <v/>
      </c>
      <c r="H291" s="732" t="s">
        <v>3970</v>
      </c>
      <c r="K291" s="332" t="s">
        <v>123</v>
      </c>
      <c r="L291" s="177" t="s">
        <v>4144</v>
      </c>
      <c r="M291" s="278">
        <v>1</v>
      </c>
      <c r="N291" s="547">
        <f ca="1">'Ch5'!O292</f>
        <v>0</v>
      </c>
      <c r="O291" s="547">
        <f ca="1">M291*S291*W291</f>
        <v>0</v>
      </c>
      <c r="P291" t="b">
        <v>1</v>
      </c>
      <c r="Q291" t="b">
        <v>1</v>
      </c>
      <c r="R291" t="b">
        <v>0</v>
      </c>
      <c r="S291" t="b">
        <f ca="1">IF(AY18=INDEX(INDIRECT("ddSingleOrMulti"),2),TRUE,FALSE)</f>
        <v>0</v>
      </c>
      <c r="T291" t="b">
        <f ca="1">AND(W291=TRUE,NOT(S291))</f>
        <v>0</v>
      </c>
      <c r="W291" s="17"/>
      <c r="X291" s="36"/>
      <c r="Y291" s="396" t="str">
        <f>IF(LEN('Ch5'!X292)=0,"None",'Ch5'!X292)</f>
        <v>None</v>
      </c>
      <c r="Z291" s="652"/>
      <c r="AC291" t="b">
        <f ca="1">OR(AD291:AE291)</f>
        <v>0</v>
      </c>
      <c r="AD291" t="b">
        <f ca="1">T291</f>
        <v>0</v>
      </c>
      <c r="AL291" t="str">
        <f>SUBSTITUTE(SUBSTITUTE(SUBSTITUTE("vpa"&amp;$B291&amp;$C291&amp;$D291&amp;$E291,".","_"),"(","_"),")","")</f>
        <v>vpa505_5_c</v>
      </c>
      <c r="AM291">
        <f>M291</f>
        <v>1</v>
      </c>
      <c r="AN291" t="str">
        <f>SUBSTITUTE(SUBSTITUTE(SUBSTITUTE("vpc"&amp;$B291&amp;$C291&amp;$D291&amp;$E291,".","_"),"(","_"),")","")</f>
        <v>vpc505_5_c</v>
      </c>
      <c r="AO291">
        <f ca="1">O291</f>
        <v>0</v>
      </c>
      <c r="AP291" t="str">
        <f>SUBSTITUTE(SUBSTITUTE(SUBSTITUTE("vch"&amp;$B291&amp;$C291&amp;$D291&amp;$E291,".","_"),"(","_"),")","")</f>
        <v>vch505_5_c</v>
      </c>
      <c r="AQ291" t="str">
        <f>IF(LEN(W291)=0,"",W291)</f>
        <v/>
      </c>
      <c r="AR291" t="str">
        <f>SUBSTITUTE(SUBSTITUTE(SUBSTITUTE("vnt"&amp;$B291&amp;$C291&amp;$D291&amp;$E291,".","_"),"(","_"),")","")</f>
        <v>vnt505_5_c</v>
      </c>
      <c r="AS291" t="str">
        <f>IF(LEN(X291)=0,"",X291)</f>
        <v/>
      </c>
    </row>
    <row r="292" spans="1:45" ht="15" thickBot="1" x14ac:dyDescent="0.4">
      <c r="A292" s="366">
        <v>5</v>
      </c>
      <c r="B292" s="731" t="s">
        <v>492</v>
      </c>
      <c r="D292" s="731" t="s">
        <v>401</v>
      </c>
      <c r="F292" s="731"/>
      <c r="G292" s="366" t="str">
        <f ca="1">IF(N292&gt;0,"P","")</f>
        <v/>
      </c>
      <c r="H292" s="732" t="s">
        <v>3970</v>
      </c>
      <c r="K292" s="475" t="s">
        <v>401</v>
      </c>
      <c r="L292" s="486" t="s">
        <v>4145</v>
      </c>
      <c r="M292" s="270">
        <v>1</v>
      </c>
      <c r="N292" s="72">
        <f ca="1">'Ch5'!O293</f>
        <v>0</v>
      </c>
      <c r="O292" s="72">
        <f ca="1">M292*S292*W292</f>
        <v>0</v>
      </c>
      <c r="P292" s="55" t="b">
        <v>1</v>
      </c>
      <c r="Q292" s="55" t="b">
        <v>1</v>
      </c>
      <c r="R292" s="55" t="b">
        <v>0</v>
      </c>
      <c r="S292" s="55" t="b">
        <f ca="1">IF(AY18=INDEX(INDIRECT("ddSingleOrMulti"),2),TRUE,FALSE)</f>
        <v>0</v>
      </c>
      <c r="T292" s="55" t="b">
        <f ca="1">AND(W292=TRUE,NOT(S292))</f>
        <v>0</v>
      </c>
      <c r="W292" s="56"/>
      <c r="X292" s="36"/>
      <c r="Y292" s="525" t="str">
        <f>IF(LEN('Ch5'!X293)=0,"None",'Ch5'!X293)</f>
        <v>None</v>
      </c>
      <c r="Z292" s="655"/>
      <c r="AC292" t="b">
        <f ca="1">OR(AD292:AE292)</f>
        <v>0</v>
      </c>
      <c r="AD292" t="b">
        <f ca="1">T292</f>
        <v>0</v>
      </c>
      <c r="AL292" t="str">
        <f>SUBSTITUTE(SUBSTITUTE(SUBSTITUTE("vpa"&amp;$B292&amp;$C292&amp;$D292&amp;$E292,".","_"),"(","_"),")","")</f>
        <v>vpa505_5_d</v>
      </c>
      <c r="AM292">
        <f>M292</f>
        <v>1</v>
      </c>
      <c r="AN292" t="str">
        <f>SUBSTITUTE(SUBSTITUTE(SUBSTITUTE("vpc"&amp;$B292&amp;$C292&amp;$D292&amp;$E292,".","_"),"(","_"),")","")</f>
        <v>vpc505_5_d</v>
      </c>
      <c r="AO292">
        <f ca="1">O292</f>
        <v>0</v>
      </c>
      <c r="AP292" t="str">
        <f>SUBSTITUTE(SUBSTITUTE(SUBSTITUTE("vch"&amp;$B292&amp;$C292&amp;$D292&amp;$E292,".","_"),"(","_"),")","")</f>
        <v>vch505_5_d</v>
      </c>
      <c r="AQ292" t="str">
        <f>IF(LEN(W292)=0,"",W292)</f>
        <v/>
      </c>
      <c r="AR292" t="str">
        <f>SUBSTITUTE(SUBSTITUTE(SUBSTITUTE("vnt"&amp;$B292&amp;$C292&amp;$D292&amp;$E292,".","_"),"(","_"),")","")</f>
        <v>vnt505_5_d</v>
      </c>
      <c r="AS292" t="str">
        <f>IF(LEN(X292)=0,"",X292)</f>
        <v/>
      </c>
    </row>
    <row r="293" spans="1:45" ht="15.75" customHeight="1" thickTop="1" x14ac:dyDescent="0.35">
      <c r="A293" s="366">
        <v>5</v>
      </c>
      <c r="B293" s="731" t="s">
        <v>493</v>
      </c>
      <c r="C293" s="731"/>
      <c r="D293" s="731"/>
      <c r="E293" s="731"/>
      <c r="F293" s="731"/>
      <c r="G293" s="366" t="str">
        <f ca="1">G294</f>
        <v/>
      </c>
      <c r="H293" s="732" t="s">
        <v>3972</v>
      </c>
      <c r="I293" s="66" t="s">
        <v>493</v>
      </c>
      <c r="J293" s="61"/>
      <c r="K293" s="61"/>
      <c r="L293" s="837" t="s">
        <v>4147</v>
      </c>
      <c r="M293" s="830" t="s">
        <v>4149</v>
      </c>
      <c r="N293" s="59"/>
      <c r="O293" s="59"/>
      <c r="P293" s="59"/>
      <c r="Q293" s="59"/>
      <c r="R293" s="59"/>
      <c r="S293" s="59"/>
      <c r="T293" s="59"/>
      <c r="U293" s="59"/>
      <c r="V293" s="59"/>
      <c r="X293" s="840"/>
      <c r="Y293" s="1118" t="str">
        <f>IF(LEN('Ch5'!X294)=0,"None",'Ch5'!X294)</f>
        <v>None</v>
      </c>
      <c r="Z293" s="1106"/>
      <c r="AL293" t="str">
        <f>SUBSTITUTE(SUBSTITUTE(SUBSTITUTE("vpa"&amp;$B293&amp;$C293&amp;$D293&amp;$E293,".","_"),"(","_"),")","")</f>
        <v>vpa505_6</v>
      </c>
      <c r="AM293" t="str">
        <f>M293</f>
        <v>4 (10 max)</v>
      </c>
      <c r="AN293" t="str">
        <f>SUBSTITUTE(SUBSTITUTE(SUBSTITUTE("vpc"&amp;$B293&amp;$C293&amp;$D293&amp;$E293,".","_"),"(","_"),")","")</f>
        <v>vpc505_6</v>
      </c>
      <c r="AO293">
        <f>O293</f>
        <v>0</v>
      </c>
      <c r="AR293" t="str">
        <f>SUBSTITUTE(SUBSTITUTE(SUBSTITUTE("vnt"&amp;$B293&amp;$C293&amp;$D293&amp;$E293,".","_"),"(","_"),")","")</f>
        <v>vnt505_6</v>
      </c>
      <c r="AS293" t="str">
        <f>IF(LEN(X293)=0,"",X293)</f>
        <v/>
      </c>
    </row>
    <row r="294" spans="1:45" x14ac:dyDescent="0.35">
      <c r="A294" s="366">
        <v>5</v>
      </c>
      <c r="B294" s="731" t="s">
        <v>493</v>
      </c>
      <c r="C294" s="731"/>
      <c r="D294" s="731"/>
      <c r="E294" s="731"/>
      <c r="F294" s="731"/>
      <c r="G294" s="366" t="str">
        <f ca="1">IF(N294&gt;0,"P","")</f>
        <v/>
      </c>
      <c r="H294" s="732" t="s">
        <v>3972</v>
      </c>
      <c r="I294" s="50"/>
      <c r="J294" s="50"/>
      <c r="K294" s="50"/>
      <c r="L294" s="838"/>
      <c r="M294" s="818"/>
      <c r="N294" s="41">
        <f ca="1">'Ch5'!O295</f>
        <v>0</v>
      </c>
      <c r="O294" s="41">
        <f ca="1">IFERROR(INDEX({0,4,6,8,10},MATCH(W294,{0,0.02,0.03,0.04,0.05},1)),0)*S294</f>
        <v>0</v>
      </c>
      <c r="P294" t="b">
        <v>0</v>
      </c>
      <c r="Q294" t="b">
        <v>1</v>
      </c>
      <c r="R294" t="b">
        <v>0</v>
      </c>
      <c r="S294" t="b">
        <f ca="1">IF(AY18=INDEX(INDIRECT("ddSingleOrMulti"),2),TRUE,FALSE)</f>
        <v>0</v>
      </c>
      <c r="T294" t="b">
        <v>0</v>
      </c>
      <c r="W294" s="97"/>
      <c r="X294" s="817"/>
      <c r="Y294" s="1100"/>
      <c r="Z294" s="1102"/>
      <c r="AP294" t="str">
        <f>SUBSTITUTE(SUBSTITUTE(SUBSTITUTE("vch"&amp;$B294&amp;$C294&amp;$D294&amp;$E294,".","_"),"(","_"),")","")</f>
        <v>vch505_6</v>
      </c>
      <c r="AQ294" t="str">
        <f>IF(LEN(W294)=0,"",W294)</f>
        <v/>
      </c>
    </row>
    <row r="295" spans="1:45" x14ac:dyDescent="0.35">
      <c r="A295" s="366">
        <v>5</v>
      </c>
      <c r="B295" s="731" t="s">
        <v>493</v>
      </c>
      <c r="C295" s="731"/>
      <c r="D295" s="731"/>
      <c r="E295" s="731"/>
      <c r="F295" s="731"/>
      <c r="G295" s="366" t="str">
        <f t="shared" ref="G295:G304" ca="1" si="12">G294</f>
        <v/>
      </c>
      <c r="H295" s="732" t="s">
        <v>3972</v>
      </c>
      <c r="I295" s="50"/>
      <c r="J295" s="50"/>
      <c r="K295" s="50"/>
      <c r="L295" s="838"/>
      <c r="M295" s="818"/>
      <c r="N295" s="41"/>
      <c r="O295" s="41"/>
      <c r="X295" s="817"/>
      <c r="Y295" s="1100"/>
      <c r="Z295" s="1102"/>
    </row>
    <row r="296" spans="1:45" x14ac:dyDescent="0.35">
      <c r="A296" s="366">
        <v>5</v>
      </c>
      <c r="B296" s="731" t="s">
        <v>493</v>
      </c>
      <c r="C296" s="731"/>
      <c r="D296" s="731"/>
      <c r="E296" s="731"/>
      <c r="F296" s="731"/>
      <c r="G296" s="366" t="str">
        <f t="shared" ca="1" si="12"/>
        <v/>
      </c>
      <c r="H296" s="732" t="s">
        <v>3972</v>
      </c>
      <c r="I296" s="50"/>
      <c r="J296" s="50"/>
      <c r="K296" s="50"/>
      <c r="L296" s="838"/>
      <c r="M296" s="32"/>
      <c r="N296" s="41"/>
      <c r="O296" s="41"/>
      <c r="X296" s="817"/>
      <c r="Y296" s="1100"/>
      <c r="Z296" s="1102"/>
    </row>
    <row r="297" spans="1:45" x14ac:dyDescent="0.35">
      <c r="A297" s="366">
        <v>5</v>
      </c>
      <c r="B297" s="731" t="s">
        <v>493</v>
      </c>
      <c r="C297" s="731"/>
      <c r="D297" s="731"/>
      <c r="E297" s="731"/>
      <c r="F297" s="731"/>
      <c r="G297" s="366" t="str">
        <f t="shared" ca="1" si="12"/>
        <v/>
      </c>
      <c r="H297" s="732" t="s">
        <v>3972</v>
      </c>
      <c r="I297" s="50"/>
      <c r="J297" s="50"/>
      <c r="K297" s="50"/>
      <c r="L297" s="814" t="s">
        <v>4148</v>
      </c>
      <c r="M297" s="32"/>
      <c r="N297" s="41"/>
      <c r="O297" s="41"/>
      <c r="X297" s="817"/>
      <c r="Y297" s="1100"/>
      <c r="Z297" s="1102"/>
    </row>
    <row r="298" spans="1:45" x14ac:dyDescent="0.35">
      <c r="A298" s="366">
        <v>5</v>
      </c>
      <c r="B298" s="731" t="s">
        <v>493</v>
      </c>
      <c r="C298" s="731"/>
      <c r="D298" s="731"/>
      <c r="E298" s="731"/>
      <c r="F298" s="731"/>
      <c r="G298" s="366" t="str">
        <f t="shared" ca="1" si="12"/>
        <v/>
      </c>
      <c r="H298" s="732" t="s">
        <v>3972</v>
      </c>
      <c r="I298" s="50"/>
      <c r="J298" s="50"/>
      <c r="K298" s="50"/>
      <c r="L298" s="814"/>
      <c r="M298" s="32"/>
      <c r="N298" s="41"/>
      <c r="O298" s="41"/>
      <c r="X298" s="817"/>
      <c r="Y298" s="1100"/>
      <c r="Z298" s="1102"/>
    </row>
    <row r="299" spans="1:45" x14ac:dyDescent="0.35">
      <c r="A299" s="366">
        <v>5</v>
      </c>
      <c r="B299" s="731" t="s">
        <v>493</v>
      </c>
      <c r="C299" s="731"/>
      <c r="D299" s="731"/>
      <c r="E299" s="731"/>
      <c r="F299" s="731"/>
      <c r="G299" s="366" t="str">
        <f t="shared" ca="1" si="12"/>
        <v/>
      </c>
      <c r="H299" s="732" t="s">
        <v>3972</v>
      </c>
      <c r="I299" s="50"/>
      <c r="J299" s="50"/>
      <c r="K299" s="50"/>
      <c r="L299" s="814"/>
      <c r="M299" s="32"/>
      <c r="N299" s="41"/>
      <c r="O299" s="41"/>
      <c r="X299" s="817"/>
      <c r="Y299" s="1100"/>
      <c r="Z299" s="1102"/>
    </row>
    <row r="300" spans="1:45" x14ac:dyDescent="0.35">
      <c r="A300" s="366">
        <v>5</v>
      </c>
      <c r="B300" s="731" t="s">
        <v>493</v>
      </c>
      <c r="C300" s="731"/>
      <c r="D300" s="731"/>
      <c r="E300" s="731"/>
      <c r="F300" s="731"/>
      <c r="G300" s="366" t="str">
        <f t="shared" ca="1" si="12"/>
        <v/>
      </c>
      <c r="H300" s="732" t="s">
        <v>3972</v>
      </c>
      <c r="I300" s="50"/>
      <c r="J300" s="50"/>
      <c r="K300" s="50"/>
      <c r="L300" s="814"/>
      <c r="M300" s="32"/>
      <c r="N300" s="41"/>
      <c r="O300" s="41"/>
      <c r="X300" s="817"/>
      <c r="Y300" s="1100"/>
      <c r="Z300" s="1102"/>
    </row>
    <row r="301" spans="1:45" x14ac:dyDescent="0.35">
      <c r="A301" s="366">
        <v>5</v>
      </c>
      <c r="B301" s="731" t="s">
        <v>493</v>
      </c>
      <c r="C301" s="731"/>
      <c r="D301" s="731"/>
      <c r="E301" s="731"/>
      <c r="F301" s="731"/>
      <c r="G301" s="366" t="str">
        <f t="shared" ca="1" si="12"/>
        <v/>
      </c>
      <c r="H301" s="732" t="s">
        <v>3972</v>
      </c>
      <c r="I301" s="50"/>
      <c r="J301" s="50"/>
      <c r="K301" s="50"/>
      <c r="L301" s="814"/>
      <c r="M301" s="32"/>
      <c r="N301" s="41"/>
      <c r="O301" s="41"/>
      <c r="X301" s="817"/>
      <c r="Y301" s="1100"/>
      <c r="Z301" s="1102"/>
    </row>
    <row r="302" spans="1:45" x14ac:dyDescent="0.35">
      <c r="A302" s="366">
        <v>5</v>
      </c>
      <c r="B302" s="731" t="s">
        <v>493</v>
      </c>
      <c r="C302" s="731"/>
      <c r="D302" s="731"/>
      <c r="E302" s="731"/>
      <c r="F302" s="731"/>
      <c r="G302" s="366" t="str">
        <f t="shared" ca="1" si="12"/>
        <v/>
      </c>
      <c r="H302" s="732" t="s">
        <v>3972</v>
      </c>
      <c r="I302" s="50"/>
      <c r="J302" s="50"/>
      <c r="K302" s="50"/>
      <c r="L302" s="814"/>
      <c r="M302" s="32"/>
      <c r="N302" s="41"/>
      <c r="O302" s="41"/>
      <c r="X302" s="817"/>
      <c r="Y302" s="1100"/>
      <c r="Z302" s="1102"/>
    </row>
    <row r="303" spans="1:45" x14ac:dyDescent="0.35">
      <c r="A303" s="366">
        <v>5</v>
      </c>
      <c r="B303" s="731" t="s">
        <v>493</v>
      </c>
      <c r="C303" s="731"/>
      <c r="D303" s="731"/>
      <c r="E303" s="731"/>
      <c r="F303" s="731"/>
      <c r="G303" s="366" t="str">
        <f t="shared" ca="1" si="12"/>
        <v/>
      </c>
      <c r="H303" s="732" t="s">
        <v>3972</v>
      </c>
      <c r="I303" s="50"/>
      <c r="J303" s="50"/>
      <c r="K303" s="50"/>
      <c r="L303" s="814"/>
      <c r="M303" s="32"/>
      <c r="N303" s="41"/>
      <c r="O303" s="41"/>
      <c r="X303" s="817"/>
      <c r="Y303" s="1100"/>
      <c r="Z303" s="1102"/>
    </row>
    <row r="304" spans="1:45" ht="15" thickBot="1" x14ac:dyDescent="0.4">
      <c r="A304" s="366">
        <v>5</v>
      </c>
      <c r="B304" s="731" t="s">
        <v>493</v>
      </c>
      <c r="C304" s="731"/>
      <c r="D304" s="731"/>
      <c r="E304" s="731"/>
      <c r="F304" s="731"/>
      <c r="G304" s="366" t="str">
        <f t="shared" ca="1" si="12"/>
        <v/>
      </c>
      <c r="H304" s="732" t="s">
        <v>3972</v>
      </c>
      <c r="I304" s="57"/>
      <c r="J304" s="57"/>
      <c r="K304" s="57"/>
      <c r="L304" s="839"/>
      <c r="M304" s="32"/>
      <c r="N304" s="72"/>
      <c r="O304" s="72"/>
      <c r="P304" s="55"/>
      <c r="Q304" s="55"/>
      <c r="R304" s="55"/>
      <c r="S304" s="55"/>
      <c r="T304" s="55"/>
      <c r="U304" s="55"/>
      <c r="V304" s="55"/>
      <c r="W304" s="55"/>
      <c r="X304" s="829"/>
      <c r="Y304" s="1101"/>
      <c r="Z304" s="1104"/>
    </row>
    <row r="305" spans="1:45" ht="15" thickTop="1" x14ac:dyDescent="0.35">
      <c r="A305" s="366">
        <v>5</v>
      </c>
      <c r="B305" s="735" t="s">
        <v>4150</v>
      </c>
      <c r="G305" s="366" t="str">
        <f ca="1">IF(N305&gt;0,"P","")</f>
        <v/>
      </c>
      <c r="H305" s="366" t="s">
        <v>3972</v>
      </c>
      <c r="I305" s="312" t="s">
        <v>4150</v>
      </c>
      <c r="J305" s="312"/>
      <c r="K305" s="59"/>
      <c r="L305" s="853" t="s">
        <v>4154</v>
      </c>
      <c r="M305" s="830">
        <v>4</v>
      </c>
      <c r="N305" s="959">
        <f ca="1">'Ch5'!O306</f>
        <v>0</v>
      </c>
      <c r="O305" s="959">
        <f ca="1">M305*S305*W305</f>
        <v>0</v>
      </c>
      <c r="P305" s="59" t="b">
        <v>0</v>
      </c>
      <c r="Q305" s="59" t="b">
        <v>1</v>
      </c>
      <c r="R305" s="59" t="b">
        <v>0</v>
      </c>
      <c r="S305" s="59" t="b">
        <f ca="1">IF(AY18=INDEX(INDIRECT("ddSingleOrMulti"),2),TRUE,FALSE)</f>
        <v>0</v>
      </c>
      <c r="T305" s="59" t="b">
        <f ca="1">AND(W305=TRUE,NOT(S305))</f>
        <v>0</v>
      </c>
      <c r="W305" s="236"/>
      <c r="X305" s="840"/>
      <c r="Y305" s="1141" t="str">
        <f>IF(LEN('Ch5'!X306)=0,"None",'Ch5'!X306)</f>
        <v>None</v>
      </c>
      <c r="Z305" s="1107"/>
      <c r="AC305" t="b">
        <f ca="1">OR(AD305:AE305)</f>
        <v>0</v>
      </c>
      <c r="AD305" t="b">
        <f ca="1">T305</f>
        <v>0</v>
      </c>
      <c r="AL305" t="str">
        <f>SUBSTITUTE(SUBSTITUTE(SUBSTITUTE("vpa"&amp;$B305&amp;$C305&amp;$D305&amp;$E305,".","_"),"(","_"),")","")</f>
        <v>vpa505_7</v>
      </c>
      <c r="AM305">
        <f>M305</f>
        <v>4</v>
      </c>
      <c r="AN305" t="str">
        <f>SUBSTITUTE(SUBSTITUTE(SUBSTITUTE("vpc"&amp;$B305&amp;$C305&amp;$D305&amp;$E305,".","_"),"(","_"),")","")</f>
        <v>vpc505_7</v>
      </c>
      <c r="AO305">
        <f ca="1">O305</f>
        <v>0</v>
      </c>
      <c r="AP305" t="str">
        <f>SUBSTITUTE(SUBSTITUTE(SUBSTITUTE("vch"&amp;$B305&amp;$C305&amp;$D305&amp;$E305,".","_"),"(","_"),")","")</f>
        <v>vch505_7</v>
      </c>
      <c r="AQ305" t="str">
        <f>IF(LEN(W305)=0,"",W305)</f>
        <v/>
      </c>
      <c r="AR305" t="str">
        <f>SUBSTITUTE(SUBSTITUTE(SUBSTITUTE("vnt"&amp;$B305&amp;$C305&amp;$D305&amp;$E305,".","_"),"(","_"),")","")</f>
        <v>vnt505_7</v>
      </c>
      <c r="AS305" t="str">
        <f>IF(LEN(X305)=0,"",X305)</f>
        <v/>
      </c>
    </row>
    <row r="306" spans="1:45" x14ac:dyDescent="0.35">
      <c r="A306" s="366">
        <v>5</v>
      </c>
      <c r="B306" s="735" t="s">
        <v>4150</v>
      </c>
      <c r="G306" s="366" t="str">
        <f ca="1">G305</f>
        <v/>
      </c>
      <c r="H306" s="366" t="s">
        <v>3972</v>
      </c>
      <c r="I306" s="32"/>
      <c r="J306" s="32"/>
      <c r="L306" s="841"/>
      <c r="M306" s="818"/>
      <c r="N306" s="834"/>
      <c r="O306" s="834"/>
      <c r="X306" s="817"/>
      <c r="Y306" s="1120"/>
      <c r="Z306" s="1109"/>
    </row>
    <row r="307" spans="1:45" x14ac:dyDescent="0.35">
      <c r="A307" s="366">
        <v>5</v>
      </c>
      <c r="B307" s="735" t="s">
        <v>4150</v>
      </c>
      <c r="G307" s="366" t="str">
        <f ca="1">G306</f>
        <v/>
      </c>
      <c r="H307" s="366" t="s">
        <v>3972</v>
      </c>
      <c r="I307" s="32"/>
      <c r="J307" s="32"/>
      <c r="L307" s="841"/>
      <c r="M307" s="818"/>
      <c r="N307" s="834"/>
      <c r="O307" s="834"/>
      <c r="X307" s="817"/>
      <c r="Y307" s="1120"/>
      <c r="Z307" s="1109"/>
    </row>
    <row r="308" spans="1:45" ht="15" thickBot="1" x14ac:dyDescent="0.4">
      <c r="A308" s="366">
        <v>5</v>
      </c>
      <c r="B308" s="735" t="s">
        <v>4150</v>
      </c>
      <c r="G308" s="366" t="str">
        <f ca="1">G307</f>
        <v/>
      </c>
      <c r="H308" s="366" t="s">
        <v>3972</v>
      </c>
      <c r="I308" s="475"/>
      <c r="J308" s="475"/>
      <c r="K308" s="55"/>
      <c r="L308" s="854"/>
      <c r="M308" s="827"/>
      <c r="N308" s="863"/>
      <c r="O308" s="863"/>
      <c r="P308" s="55"/>
      <c r="Q308" s="55"/>
      <c r="R308" s="55"/>
      <c r="S308" s="55"/>
      <c r="T308" s="55"/>
      <c r="W308" s="55"/>
      <c r="X308" s="829"/>
      <c r="Y308" s="1121"/>
      <c r="Z308" s="1103"/>
    </row>
    <row r="309" spans="1:45" ht="15.5" thickTop="1" thickBot="1" x14ac:dyDescent="0.4">
      <c r="A309" s="366">
        <v>5</v>
      </c>
      <c r="B309" s="735" t="s">
        <v>4151</v>
      </c>
      <c r="G309" s="366" t="str">
        <f>IF(N309&gt;0,"P","")</f>
        <v/>
      </c>
      <c r="H309" s="366" t="s">
        <v>3970</v>
      </c>
      <c r="I309" s="475" t="s">
        <v>4151</v>
      </c>
      <c r="J309" s="475"/>
      <c r="K309" s="55"/>
      <c r="L309" s="576" t="s">
        <v>4155</v>
      </c>
      <c r="M309" s="235">
        <v>5</v>
      </c>
      <c r="N309" s="548">
        <f>'Ch5'!O310</f>
        <v>0</v>
      </c>
      <c r="O309" s="548">
        <f>M309*S309*W309</f>
        <v>0</v>
      </c>
      <c r="P309" s="68" t="b">
        <v>1</v>
      </c>
      <c r="Q309" s="68" t="b">
        <v>1</v>
      </c>
      <c r="R309" s="68" t="b">
        <v>0</v>
      </c>
      <c r="S309" s="68" t="b">
        <v>1</v>
      </c>
      <c r="T309" s="68" t="b">
        <v>0</v>
      </c>
      <c r="W309" s="70"/>
      <c r="X309" s="73"/>
      <c r="Y309" s="539" t="str">
        <f>IF(LEN('Ch5'!X310)=0,"None",'Ch5'!X310)</f>
        <v>None</v>
      </c>
      <c r="Z309" s="652"/>
      <c r="AL309" t="str">
        <f>SUBSTITUTE(SUBSTITUTE(SUBSTITUTE("vpa"&amp;$B309&amp;$C309&amp;$D309&amp;$E309,".","_"),"(","_"),")","")</f>
        <v>vpa505_8</v>
      </c>
      <c r="AM309">
        <f>M309</f>
        <v>5</v>
      </c>
      <c r="AN309" t="str">
        <f>SUBSTITUTE(SUBSTITUTE(SUBSTITUTE("vpc"&amp;$B309&amp;$C309&amp;$D309&amp;$E309,".","_"),"(","_"),")","")</f>
        <v>vpc505_8</v>
      </c>
      <c r="AO309">
        <f>O309</f>
        <v>0</v>
      </c>
      <c r="AP309" t="str">
        <f>SUBSTITUTE(SUBSTITUTE(SUBSTITUTE("vch"&amp;$B309&amp;$C309&amp;$D309&amp;$E309,".","_"),"(","_"),")","")</f>
        <v>vch505_8</v>
      </c>
      <c r="AQ309" t="str">
        <f>IF(LEN(W309)=0,"",W309)</f>
        <v/>
      </c>
      <c r="AR309" t="str">
        <f>SUBSTITUTE(SUBSTITUTE(SUBSTITUTE("vnt"&amp;$B309&amp;$C309&amp;$D309&amp;$E309,".","_"),"(","_"),")","")</f>
        <v>vnt505_8</v>
      </c>
      <c r="AS309" t="str">
        <f>IF(LEN(X309)=0,"",X309)</f>
        <v/>
      </c>
    </row>
    <row r="310" spans="1:45" ht="15" thickTop="1" x14ac:dyDescent="0.35">
      <c r="A310" s="366">
        <v>5</v>
      </c>
      <c r="B310" s="735" t="s">
        <v>4152</v>
      </c>
      <c r="G310" s="727" t="str">
        <f ca="1">IF(COUNTIF(G312:G316,"P")&gt;0,"P","")</f>
        <v/>
      </c>
      <c r="H310" s="366" t="s">
        <v>3972</v>
      </c>
      <c r="I310" s="32" t="s">
        <v>4152</v>
      </c>
      <c r="J310" s="32"/>
      <c r="L310" s="841" t="s">
        <v>4156</v>
      </c>
      <c r="M310" s="40"/>
      <c r="N310" s="41"/>
      <c r="O310" s="41"/>
    </row>
    <row r="311" spans="1:45" x14ac:dyDescent="0.35">
      <c r="A311" s="366">
        <v>5</v>
      </c>
      <c r="B311" s="735" t="s">
        <v>4152</v>
      </c>
      <c r="G311" s="366" t="str">
        <f ca="1">G310</f>
        <v/>
      </c>
      <c r="H311" s="366" t="s">
        <v>3972</v>
      </c>
      <c r="I311" s="32"/>
      <c r="J311" s="32"/>
      <c r="L311" s="841"/>
      <c r="M311" s="40"/>
      <c r="N311" s="41"/>
      <c r="O311" s="41"/>
    </row>
    <row r="312" spans="1:45" x14ac:dyDescent="0.35">
      <c r="A312" s="366">
        <v>5</v>
      </c>
      <c r="B312" s="735" t="s">
        <v>4152</v>
      </c>
      <c r="D312" s="736" t="s">
        <v>121</v>
      </c>
      <c r="F312" s="736"/>
      <c r="G312" s="366" t="str">
        <f ca="1">IF(N312&gt;0,"P","")</f>
        <v/>
      </c>
      <c r="H312" s="366" t="s">
        <v>3972</v>
      </c>
      <c r="I312" s="32"/>
      <c r="J312" s="32" t="s">
        <v>121</v>
      </c>
      <c r="L312" s="825" t="s">
        <v>4157</v>
      </c>
      <c r="M312" s="818">
        <v>3</v>
      </c>
      <c r="N312" s="834">
        <f ca="1">'Ch5'!O313</f>
        <v>0</v>
      </c>
      <c r="O312" s="834">
        <f ca="1">M312*S312*W312</f>
        <v>0</v>
      </c>
      <c r="P312" t="b">
        <v>0</v>
      </c>
      <c r="Q312" t="b">
        <v>1</v>
      </c>
      <c r="R312" t="b">
        <v>0</v>
      </c>
      <c r="S312" t="b">
        <f ca="1">IF(AY18=INDEX(INDIRECT("ddSingleOrMulti"),2),TRUE,FALSE)</f>
        <v>0</v>
      </c>
      <c r="T312" t="b">
        <f ca="1">AND(W312=TRUE,NOT(S312))</f>
        <v>0</v>
      </c>
      <c r="W312" s="17"/>
      <c r="X312" s="817"/>
      <c r="Y312" s="1100" t="str">
        <f>IF(LEN('Ch5'!X313)=0,"None",'Ch5'!X313)</f>
        <v>None</v>
      </c>
      <c r="Z312" s="1102"/>
      <c r="AC312" t="b">
        <f ca="1">OR(AD312:AE312)</f>
        <v>0</v>
      </c>
      <c r="AD312" t="b">
        <f ca="1">T312</f>
        <v>0</v>
      </c>
      <c r="AL312" t="str">
        <f>SUBSTITUTE(SUBSTITUTE(SUBSTITUTE("vpa"&amp;$B312&amp;$C312&amp;$D312&amp;$E312,".","_"),"(","_"),")","")</f>
        <v>vpa505_9_a</v>
      </c>
      <c r="AM312">
        <f>M312</f>
        <v>3</v>
      </c>
      <c r="AN312" t="str">
        <f>SUBSTITUTE(SUBSTITUTE(SUBSTITUTE("vpc"&amp;$B312&amp;$C312&amp;$D312&amp;$E312,".","_"),"(","_"),")","")</f>
        <v>vpc505_9_a</v>
      </c>
      <c r="AO312">
        <f ca="1">O312</f>
        <v>0</v>
      </c>
      <c r="AP312" t="str">
        <f>SUBSTITUTE(SUBSTITUTE(SUBSTITUTE("vch"&amp;$B312&amp;$C312&amp;$D312&amp;$E312,".","_"),"(","_"),")","")</f>
        <v>vch505_9_a</v>
      </c>
      <c r="AQ312" t="str">
        <f>IF(LEN(W312)=0,"",W312)</f>
        <v/>
      </c>
      <c r="AR312" t="str">
        <f>SUBSTITUTE(SUBSTITUTE(SUBSTITUTE("vnt"&amp;$B312&amp;$C312&amp;$D312&amp;$E312,".","_"),"(","_"),")","")</f>
        <v>vnt505_9_a</v>
      </c>
      <c r="AS312" t="str">
        <f>IF(LEN(X312)=0,"",X312)</f>
        <v/>
      </c>
    </row>
    <row r="313" spans="1:45" x14ac:dyDescent="0.35">
      <c r="A313" s="366">
        <v>5</v>
      </c>
      <c r="B313" s="735" t="s">
        <v>4152</v>
      </c>
      <c r="D313" s="736" t="s">
        <v>121</v>
      </c>
      <c r="F313" s="736"/>
      <c r="G313" s="366" t="str">
        <f ca="1">G312</f>
        <v/>
      </c>
      <c r="H313" s="366" t="s">
        <v>3972</v>
      </c>
      <c r="I313" s="32"/>
      <c r="J313" s="32"/>
      <c r="L313" s="825"/>
      <c r="M313" s="818"/>
      <c r="N313" s="834"/>
      <c r="O313" s="834"/>
      <c r="X313" s="817"/>
      <c r="Y313" s="1100"/>
      <c r="Z313" s="1102"/>
    </row>
    <row r="314" spans="1:45" x14ac:dyDescent="0.35">
      <c r="A314" s="366">
        <v>5</v>
      </c>
      <c r="B314" s="735" t="s">
        <v>4152</v>
      </c>
      <c r="D314" s="736" t="s">
        <v>121</v>
      </c>
      <c r="F314" s="736"/>
      <c r="G314" s="366" t="str">
        <f ca="1">G313</f>
        <v/>
      </c>
      <c r="H314" s="366" t="s">
        <v>3972</v>
      </c>
      <c r="I314" s="32"/>
      <c r="J314" s="331"/>
      <c r="K314" s="104"/>
      <c r="L314" s="842"/>
      <c r="M314" s="819"/>
      <c r="N314" s="835"/>
      <c r="O314" s="835"/>
      <c r="X314" s="817"/>
      <c r="Y314" s="1100"/>
      <c r="Z314" s="1102"/>
    </row>
    <row r="315" spans="1:45" x14ac:dyDescent="0.35">
      <c r="A315" s="366">
        <v>5</v>
      </c>
      <c r="B315" s="735" t="s">
        <v>4152</v>
      </c>
      <c r="D315" s="736" t="s">
        <v>122</v>
      </c>
      <c r="F315" s="736"/>
      <c r="G315" s="366" t="str">
        <f ca="1">IF(N315&gt;0,"P","")</f>
        <v/>
      </c>
      <c r="H315" s="366" t="s">
        <v>3972</v>
      </c>
      <c r="I315" s="32"/>
      <c r="J315" s="332" t="s">
        <v>122</v>
      </c>
      <c r="K315" s="134"/>
      <c r="L315" s="478" t="s">
        <v>4158</v>
      </c>
      <c r="M315" s="278">
        <v>3</v>
      </c>
      <c r="N315" s="547">
        <f ca="1">'Ch5'!O316</f>
        <v>0</v>
      </c>
      <c r="O315" s="547">
        <f ca="1">M315*S315*W315</f>
        <v>0</v>
      </c>
      <c r="P315" t="b">
        <v>0</v>
      </c>
      <c r="Q315" t="b">
        <v>1</v>
      </c>
      <c r="R315" t="b">
        <v>0</v>
      </c>
      <c r="S315" t="b">
        <f ca="1">IF(AY18=INDEX(INDIRECT("ddSingleOrMulti"),2),TRUE,FALSE)</f>
        <v>0</v>
      </c>
      <c r="T315" t="b">
        <f ca="1">AND(W315=TRUE,NOT(S315))</f>
        <v>0</v>
      </c>
      <c r="W315" s="17"/>
      <c r="X315" s="36"/>
      <c r="Y315" s="396" t="str">
        <f>IF(LEN('Ch5'!X316)=0,"None",'Ch5'!X316)</f>
        <v>None</v>
      </c>
      <c r="Z315" s="652"/>
      <c r="AC315" t="b">
        <f ca="1">OR(AD315:AE315)</f>
        <v>0</v>
      </c>
      <c r="AD315" t="b">
        <f ca="1">T315</f>
        <v>0</v>
      </c>
      <c r="AL315" t="str">
        <f>SUBSTITUTE(SUBSTITUTE(SUBSTITUTE("vpa"&amp;$B315&amp;$C315&amp;$D315&amp;$E315,".","_"),"(","_"),")","")</f>
        <v>vpa505_9_b</v>
      </c>
      <c r="AM315">
        <f>M315</f>
        <v>3</v>
      </c>
      <c r="AN315" t="str">
        <f>SUBSTITUTE(SUBSTITUTE(SUBSTITUTE("vpc"&amp;$B315&amp;$C315&amp;$D315&amp;$E315,".","_"),"(","_"),")","")</f>
        <v>vpc505_9_b</v>
      </c>
      <c r="AO315">
        <f ca="1">O315</f>
        <v>0</v>
      </c>
      <c r="AP315" t="str">
        <f>SUBSTITUTE(SUBSTITUTE(SUBSTITUTE("vch"&amp;$B315&amp;$C315&amp;$D315&amp;$E315,".","_"),"(","_"),")","")</f>
        <v>vch505_9_b</v>
      </c>
      <c r="AQ315" t="str">
        <f>IF(LEN(W315)=0,"",W315)</f>
        <v/>
      </c>
      <c r="AR315" t="str">
        <f>SUBSTITUTE(SUBSTITUTE(SUBSTITUTE("vnt"&amp;$B315&amp;$C315&amp;$D315&amp;$E315,".","_"),"(","_"),")","")</f>
        <v>vnt505_9_b</v>
      </c>
      <c r="AS315" t="str">
        <f>IF(LEN(X315)=0,"",X315)</f>
        <v/>
      </c>
    </row>
    <row r="316" spans="1:45" x14ac:dyDescent="0.35">
      <c r="A316" s="366">
        <v>5</v>
      </c>
      <c r="B316" s="735" t="s">
        <v>4152</v>
      </c>
      <c r="D316" s="736" t="s">
        <v>123</v>
      </c>
      <c r="F316" s="736"/>
      <c r="G316" s="366" t="str">
        <f ca="1">IF(N316&gt;0,"P","")</f>
        <v/>
      </c>
      <c r="H316" s="366" t="s">
        <v>3972</v>
      </c>
      <c r="I316" s="32"/>
      <c r="J316" s="32" t="s">
        <v>123</v>
      </c>
      <c r="L316" s="825" t="s">
        <v>4159</v>
      </c>
      <c r="M316" s="818">
        <v>3</v>
      </c>
      <c r="N316" s="834">
        <f ca="1">'Ch5'!O317</f>
        <v>0</v>
      </c>
      <c r="O316" s="834">
        <f ca="1">M316*S316*W316</f>
        <v>0</v>
      </c>
      <c r="P316" t="b">
        <v>0</v>
      </c>
      <c r="Q316" t="b">
        <v>1</v>
      </c>
      <c r="R316" t="b">
        <v>0</v>
      </c>
      <c r="S316" t="b">
        <f ca="1">IF(AY18=INDEX(INDIRECT("ddSingleOrMulti"),2),TRUE,FALSE)</f>
        <v>0</v>
      </c>
      <c r="T316" t="b">
        <f ca="1">AND(W316=TRUE,NOT(S316))</f>
        <v>0</v>
      </c>
      <c r="W316" s="17"/>
      <c r="X316" s="817"/>
      <c r="Y316" s="1100" t="str">
        <f>IF(LEN('Ch5'!X317)=0,"None",'Ch5'!X317)</f>
        <v>None</v>
      </c>
      <c r="Z316" s="1102"/>
      <c r="AC316" t="b">
        <f ca="1">OR(AD316:AE316)</f>
        <v>0</v>
      </c>
      <c r="AD316" t="b">
        <f ca="1">T316</f>
        <v>0</v>
      </c>
      <c r="AL316" t="str">
        <f>SUBSTITUTE(SUBSTITUTE(SUBSTITUTE("vpa"&amp;$B316&amp;$C316&amp;$D316&amp;$E316,".","_"),"(","_"),")","")</f>
        <v>vpa505_9_c</v>
      </c>
      <c r="AM316">
        <f>M316</f>
        <v>3</v>
      </c>
      <c r="AN316" t="str">
        <f>SUBSTITUTE(SUBSTITUTE(SUBSTITUTE("vpc"&amp;$B316&amp;$C316&amp;$D316&amp;$E316,".","_"),"(","_"),")","")</f>
        <v>vpc505_9_c</v>
      </c>
      <c r="AO316">
        <f ca="1">O316</f>
        <v>0</v>
      </c>
      <c r="AP316" t="str">
        <f>SUBSTITUTE(SUBSTITUTE(SUBSTITUTE("vch"&amp;$B316&amp;$C316&amp;$D316&amp;$E316,".","_"),"(","_"),")","")</f>
        <v>vch505_9_c</v>
      </c>
      <c r="AQ316" t="str">
        <f>IF(LEN(W316)=0,"",W316)</f>
        <v/>
      </c>
      <c r="AR316" t="str">
        <f>SUBSTITUTE(SUBSTITUTE(SUBSTITUTE("vnt"&amp;$B316&amp;$C316&amp;$D316&amp;$E316,".","_"),"(","_"),")","")</f>
        <v>vnt505_9_c</v>
      </c>
      <c r="AS316" t="str">
        <f>IF(LEN(X316)=0,"",X316)</f>
        <v/>
      </c>
    </row>
    <row r="317" spans="1:45" ht="15" thickBot="1" x14ac:dyDescent="0.4">
      <c r="A317" s="366">
        <v>5</v>
      </c>
      <c r="B317" s="735" t="s">
        <v>4152</v>
      </c>
      <c r="D317" s="736" t="s">
        <v>123</v>
      </c>
      <c r="F317" s="736"/>
      <c r="G317" s="366" t="str">
        <f ca="1">G316</f>
        <v/>
      </c>
      <c r="H317" s="366" t="s">
        <v>3972</v>
      </c>
      <c r="I317" s="475"/>
      <c r="J317" s="475"/>
      <c r="K317" s="55"/>
      <c r="L317" s="826"/>
      <c r="M317" s="827"/>
      <c r="N317" s="863"/>
      <c r="O317" s="863"/>
      <c r="P317" s="55"/>
      <c r="Q317" s="55"/>
      <c r="R317" s="55"/>
      <c r="S317" s="55"/>
      <c r="T317" s="55"/>
      <c r="W317" s="55"/>
      <c r="X317" s="829"/>
      <c r="Y317" s="1101"/>
      <c r="Z317" s="1102"/>
    </row>
    <row r="318" spans="1:45" ht="15" thickTop="1" x14ac:dyDescent="0.35">
      <c r="A318" s="366">
        <v>5</v>
      </c>
      <c r="B318" s="735" t="s">
        <v>4153</v>
      </c>
      <c r="D318" s="736"/>
      <c r="F318" s="736"/>
      <c r="G318" s="727" t="str">
        <f ca="1">IF(COUNTIF(G321:G325,"P")&gt;0,"P","")</f>
        <v/>
      </c>
      <c r="H318" s="366" t="s">
        <v>3972</v>
      </c>
      <c r="I318" s="32" t="s">
        <v>4153</v>
      </c>
      <c r="J318" s="32"/>
      <c r="L318" s="841" t="s">
        <v>4163</v>
      </c>
      <c r="M318" s="40"/>
      <c r="N318" s="41"/>
      <c r="O318" s="41"/>
    </row>
    <row r="319" spans="1:45" x14ac:dyDescent="0.35">
      <c r="A319" s="366">
        <v>5</v>
      </c>
      <c r="B319" s="735" t="s">
        <v>4153</v>
      </c>
      <c r="D319" s="736"/>
      <c r="F319" s="736"/>
      <c r="G319" s="366" t="str">
        <f ca="1">G318</f>
        <v/>
      </c>
      <c r="H319" s="366" t="s">
        <v>3972</v>
      </c>
      <c r="I319" s="32"/>
      <c r="J319" s="32"/>
      <c r="L319" s="841"/>
      <c r="M319" s="40"/>
      <c r="N319" s="41"/>
      <c r="O319" s="41"/>
    </row>
    <row r="320" spans="1:45" x14ac:dyDescent="0.35">
      <c r="A320" s="366">
        <v>5</v>
      </c>
      <c r="B320" s="735" t="s">
        <v>4153</v>
      </c>
      <c r="D320" s="736"/>
      <c r="F320" s="736"/>
      <c r="G320" s="366" t="str">
        <f ca="1">G319</f>
        <v/>
      </c>
      <c r="H320" s="366" t="s">
        <v>3972</v>
      </c>
      <c r="I320" s="32"/>
      <c r="J320" s="32"/>
      <c r="L320" s="841"/>
      <c r="M320" s="40"/>
      <c r="N320" s="41"/>
      <c r="O320" s="41"/>
    </row>
    <row r="321" spans="1:61" x14ac:dyDescent="0.35">
      <c r="A321" s="366">
        <v>5</v>
      </c>
      <c r="B321" s="735" t="s">
        <v>4153</v>
      </c>
      <c r="D321" s="736" t="s">
        <v>121</v>
      </c>
      <c r="F321" s="736"/>
      <c r="G321" s="366" t="str">
        <f ca="1">IF(N321&gt;0,"P","")</f>
        <v/>
      </c>
      <c r="H321" s="366" t="s">
        <v>3972</v>
      </c>
      <c r="I321" s="32"/>
      <c r="J321" s="32" t="s">
        <v>121</v>
      </c>
      <c r="L321" s="825" t="s">
        <v>4160</v>
      </c>
      <c r="M321" s="818">
        <v>3</v>
      </c>
      <c r="N321" s="834">
        <f ca="1">'Ch5'!O322</f>
        <v>0</v>
      </c>
      <c r="O321" s="834">
        <f ca="1">M321*S321*W321</f>
        <v>0</v>
      </c>
      <c r="P321" t="b">
        <v>0</v>
      </c>
      <c r="Q321" t="b">
        <v>1</v>
      </c>
      <c r="R321" t="b">
        <v>0</v>
      </c>
      <c r="S321" t="b">
        <f ca="1">IF(AY18=INDEX(INDIRECT("ddSingleOrMulti"),2),TRUE,FALSE)</f>
        <v>0</v>
      </c>
      <c r="T321" t="b">
        <f ca="1">AND(W321=TRUE,NOT(S321))</f>
        <v>0</v>
      </c>
      <c r="W321" s="17"/>
      <c r="X321" s="817"/>
      <c r="Y321" s="1100" t="str">
        <f>IF(LEN('Ch5'!X322)=0,"None",'Ch5'!X322)</f>
        <v>None</v>
      </c>
      <c r="Z321" s="1102"/>
      <c r="AC321" t="b">
        <f ca="1">OR(AD321:AE321)</f>
        <v>0</v>
      </c>
      <c r="AD321" t="b">
        <f ca="1">T321</f>
        <v>0</v>
      </c>
      <c r="AL321" t="str">
        <f>SUBSTITUTE(SUBSTITUTE(SUBSTITUTE("vpa"&amp;$B321&amp;$C321&amp;$D321&amp;$E321,".","_"),"(","_"),")","")</f>
        <v>vpa505_10_a</v>
      </c>
      <c r="AM321">
        <f>M321</f>
        <v>3</v>
      </c>
      <c r="AN321" t="str">
        <f>SUBSTITUTE(SUBSTITUTE(SUBSTITUTE("vpc"&amp;$B321&amp;$C321&amp;$D321&amp;$E321,".","_"),"(","_"),")","")</f>
        <v>vpc505_10_a</v>
      </c>
      <c r="AO321">
        <f ca="1">O321</f>
        <v>0</v>
      </c>
      <c r="AP321" t="str">
        <f>SUBSTITUTE(SUBSTITUTE(SUBSTITUTE("vch"&amp;$B321&amp;$C321&amp;$D321&amp;$E321,".","_"),"(","_"),")","")</f>
        <v>vch505_10_a</v>
      </c>
      <c r="AQ321" t="str">
        <f>IF(LEN(W321)=0,"",W321)</f>
        <v/>
      </c>
      <c r="AR321" t="str">
        <f>SUBSTITUTE(SUBSTITUTE(SUBSTITUTE("vnt"&amp;$B321&amp;$C321&amp;$D321&amp;$E321,".","_"),"(","_"),")","")</f>
        <v>vnt505_10_a</v>
      </c>
      <c r="AS321" t="str">
        <f>IF(LEN(X321)=0,"",X321)</f>
        <v/>
      </c>
    </row>
    <row r="322" spans="1:61" x14ac:dyDescent="0.35">
      <c r="A322" s="366">
        <v>5</v>
      </c>
      <c r="B322" s="735" t="s">
        <v>4153</v>
      </c>
      <c r="D322" s="736" t="s">
        <v>121</v>
      </c>
      <c r="F322" s="736"/>
      <c r="G322" s="366" t="str">
        <f ca="1">G321</f>
        <v/>
      </c>
      <c r="H322" s="366" t="s">
        <v>3972</v>
      </c>
      <c r="I322" s="32"/>
      <c r="J322" s="331"/>
      <c r="K322" s="104"/>
      <c r="L322" s="842"/>
      <c r="M322" s="819"/>
      <c r="N322" s="835"/>
      <c r="O322" s="835"/>
      <c r="X322" s="817"/>
      <c r="Y322" s="1100"/>
      <c r="Z322" s="1102"/>
    </row>
    <row r="323" spans="1:61" x14ac:dyDescent="0.35">
      <c r="A323" s="366">
        <v>5</v>
      </c>
      <c r="B323" s="735" t="s">
        <v>4153</v>
      </c>
      <c r="D323" s="736" t="s">
        <v>122</v>
      </c>
      <c r="F323" s="736"/>
      <c r="G323" s="366" t="str">
        <f ca="1">IF(N323&gt;0,"P","")</f>
        <v/>
      </c>
      <c r="H323" s="366" t="s">
        <v>3972</v>
      </c>
      <c r="I323" s="32"/>
      <c r="J323" s="330" t="s">
        <v>122</v>
      </c>
      <c r="K323" s="120"/>
      <c r="L323" s="828" t="s">
        <v>4161</v>
      </c>
      <c r="M323" s="822">
        <v>3</v>
      </c>
      <c r="N323" s="963">
        <f ca="1">'Ch5'!O324</f>
        <v>0</v>
      </c>
      <c r="O323" s="963">
        <f ca="1">M323*S323*W323</f>
        <v>0</v>
      </c>
      <c r="P323" t="b">
        <v>0</v>
      </c>
      <c r="Q323" t="b">
        <v>1</v>
      </c>
      <c r="R323" t="b">
        <v>0</v>
      </c>
      <c r="S323" t="b">
        <f ca="1">IF(AY18=INDEX(INDIRECT("ddSingleOrMulti"),2),TRUE,FALSE)</f>
        <v>0</v>
      </c>
      <c r="T323" t="b">
        <f ca="1">AND(W323=TRUE,NOT(S323))</f>
        <v>0</v>
      </c>
      <c r="W323" s="17"/>
      <c r="X323" s="817"/>
      <c r="Y323" s="1100" t="str">
        <f>IF(LEN('Ch5'!X324)=0,"None",'Ch5'!X324)</f>
        <v>None</v>
      </c>
      <c r="Z323" s="1102"/>
      <c r="AC323" t="b">
        <f ca="1">OR(AD323:AE323)</f>
        <v>0</v>
      </c>
      <c r="AD323" t="b">
        <f ca="1">T323</f>
        <v>0</v>
      </c>
      <c r="AL323" t="str">
        <f>SUBSTITUTE(SUBSTITUTE(SUBSTITUTE("vpa"&amp;$B323&amp;$C323&amp;$D323&amp;$E323,".","_"),"(","_"),")","")</f>
        <v>vpa505_10_b</v>
      </c>
      <c r="AM323">
        <f>M323</f>
        <v>3</v>
      </c>
      <c r="AN323" t="str">
        <f>SUBSTITUTE(SUBSTITUTE(SUBSTITUTE("vpc"&amp;$B323&amp;$C323&amp;$D323&amp;$E323,".","_"),"(","_"),")","")</f>
        <v>vpc505_10_b</v>
      </c>
      <c r="AO323">
        <f ca="1">O323</f>
        <v>0</v>
      </c>
      <c r="AP323" t="str">
        <f>SUBSTITUTE(SUBSTITUTE(SUBSTITUTE("vch"&amp;$B323&amp;$C323&amp;$D323&amp;$E323,".","_"),"(","_"),")","")</f>
        <v>vch505_10_b</v>
      </c>
      <c r="AQ323" t="str">
        <f>IF(LEN(W323)=0,"",W323)</f>
        <v/>
      </c>
      <c r="AR323" t="str">
        <f>SUBSTITUTE(SUBSTITUTE(SUBSTITUTE("vnt"&amp;$B323&amp;$C323&amp;$D323&amp;$E323,".","_"),"(","_"),")","")</f>
        <v>vnt505_10_b</v>
      </c>
      <c r="AS323" t="str">
        <f>IF(LEN(X323)=0,"",X323)</f>
        <v/>
      </c>
    </row>
    <row r="324" spans="1:61" x14ac:dyDescent="0.35">
      <c r="A324" s="366">
        <v>5</v>
      </c>
      <c r="B324" s="735" t="s">
        <v>4153</v>
      </c>
      <c r="D324" s="736" t="s">
        <v>122</v>
      </c>
      <c r="F324" s="736"/>
      <c r="G324" s="366" t="str">
        <f ca="1">G323</f>
        <v/>
      </c>
      <c r="H324" s="366" t="s">
        <v>3972</v>
      </c>
      <c r="I324" s="32"/>
      <c r="J324" s="331"/>
      <c r="K324" s="104"/>
      <c r="L324" s="842"/>
      <c r="M324" s="819"/>
      <c r="N324" s="835"/>
      <c r="O324" s="835"/>
      <c r="X324" s="817"/>
      <c r="Y324" s="1100"/>
      <c r="Z324" s="1102"/>
    </row>
    <row r="325" spans="1:61" x14ac:dyDescent="0.35">
      <c r="A325" s="366">
        <v>5</v>
      </c>
      <c r="B325" s="735" t="s">
        <v>4153</v>
      </c>
      <c r="D325" s="736" t="s">
        <v>123</v>
      </c>
      <c r="F325" s="736"/>
      <c r="G325" s="366" t="str">
        <f ca="1">IF(N325&gt;0,"P","")</f>
        <v/>
      </c>
      <c r="H325" s="366" t="s">
        <v>3972</v>
      </c>
      <c r="I325" s="32"/>
      <c r="J325" s="32" t="s">
        <v>123</v>
      </c>
      <c r="L325" s="825" t="s">
        <v>4162</v>
      </c>
      <c r="M325" s="818">
        <v>3</v>
      </c>
      <c r="N325" s="834">
        <f ca="1">'Ch5'!O326</f>
        <v>0</v>
      </c>
      <c r="O325" s="834">
        <f ca="1">M325*S325*W325</f>
        <v>0</v>
      </c>
      <c r="P325" t="b">
        <v>0</v>
      </c>
      <c r="Q325" t="b">
        <v>1</v>
      </c>
      <c r="R325" t="b">
        <v>0</v>
      </c>
      <c r="S325" t="b">
        <f ca="1">IF(AY18=INDEX(INDIRECT("ddSingleOrMulti"),2),TRUE,FALSE)</f>
        <v>0</v>
      </c>
      <c r="T325" t="b">
        <f ca="1">AND(W325=TRUE,NOT(S325))</f>
        <v>0</v>
      </c>
      <c r="W325" s="17"/>
      <c r="X325" s="817"/>
      <c r="Y325" s="1100" t="str">
        <f>IF(LEN('Ch5'!X326)=0,"None",'Ch5'!X326)</f>
        <v>None</v>
      </c>
      <c r="Z325" s="1102"/>
      <c r="AC325" t="b">
        <f ca="1">OR(AD325:AE325)</f>
        <v>0</v>
      </c>
      <c r="AD325" t="b">
        <f ca="1">T325</f>
        <v>0</v>
      </c>
      <c r="AL325" t="str">
        <f>SUBSTITUTE(SUBSTITUTE(SUBSTITUTE("vpa"&amp;$B325&amp;$C325&amp;$D325&amp;$E325,".","_"),"(","_"),")","")</f>
        <v>vpa505_10_c</v>
      </c>
      <c r="AM325">
        <f>M325</f>
        <v>3</v>
      </c>
      <c r="AN325" t="str">
        <f>SUBSTITUTE(SUBSTITUTE(SUBSTITUTE("vpc"&amp;$B325&amp;$C325&amp;$D325&amp;$E325,".","_"),"(","_"),")","")</f>
        <v>vpc505_10_c</v>
      </c>
      <c r="AO325">
        <f ca="1">O325</f>
        <v>0</v>
      </c>
      <c r="AP325" t="str">
        <f>SUBSTITUTE(SUBSTITUTE(SUBSTITUTE("vch"&amp;$B325&amp;$C325&amp;$D325&amp;$E325,".","_"),"(","_"),")","")</f>
        <v>vch505_10_c</v>
      </c>
      <c r="AQ325" t="str">
        <f>IF(LEN(W325)=0,"",W325)</f>
        <v/>
      </c>
      <c r="AR325" t="str">
        <f>SUBSTITUTE(SUBSTITUTE(SUBSTITUTE("vnt"&amp;$B325&amp;$C325&amp;$D325&amp;$E325,".","_"),"(","_"),")","")</f>
        <v>vnt505_10_c</v>
      </c>
      <c r="AS325" t="str">
        <f>IF(LEN(X325)=0,"",X325)</f>
        <v/>
      </c>
    </row>
    <row r="326" spans="1:61" x14ac:dyDescent="0.35">
      <c r="A326" s="366">
        <v>5</v>
      </c>
      <c r="B326" s="735" t="s">
        <v>4153</v>
      </c>
      <c r="D326" s="736" t="s">
        <v>123</v>
      </c>
      <c r="F326" s="736"/>
      <c r="G326" s="366" t="str">
        <f ca="1">G325</f>
        <v/>
      </c>
      <c r="H326" s="366" t="s">
        <v>3972</v>
      </c>
      <c r="I326" s="133"/>
      <c r="J326" s="133"/>
      <c r="K326" s="104"/>
      <c r="L326" s="842"/>
      <c r="M326" s="818"/>
      <c r="N326" s="834"/>
      <c r="O326" s="834"/>
      <c r="X326" s="817"/>
      <c r="Y326" s="1100"/>
      <c r="Z326" s="1102"/>
    </row>
    <row r="327" spans="1:61" ht="18.5" x14ac:dyDescent="0.45">
      <c r="A327" s="366">
        <v>6</v>
      </c>
      <c r="B327" s="737" t="s">
        <v>4083</v>
      </c>
      <c r="G327" s="366" t="s">
        <v>3973</v>
      </c>
      <c r="H327" s="366" t="s">
        <v>3970</v>
      </c>
      <c r="I327" s="14" t="s">
        <v>498</v>
      </c>
      <c r="J327" s="14"/>
      <c r="K327" s="14"/>
      <c r="L327" s="584"/>
      <c r="M327" s="554"/>
      <c r="N327" s="549"/>
      <c r="O327" s="549"/>
      <c r="P327" t="s">
        <v>247</v>
      </c>
      <c r="Q327" t="s">
        <v>247</v>
      </c>
      <c r="R327" t="s">
        <v>247</v>
      </c>
      <c r="S327" t="s">
        <v>247</v>
      </c>
      <c r="T327" t="s">
        <v>247</v>
      </c>
      <c r="U327" t="s">
        <v>247</v>
      </c>
      <c r="V327" t="s">
        <v>247</v>
      </c>
      <c r="W327" s="15"/>
      <c r="X327" s="15"/>
      <c r="Y327" s="15"/>
      <c r="Z327" s="651"/>
      <c r="AB327" s="2" t="s">
        <v>247</v>
      </c>
      <c r="AC327" s="2" t="s">
        <v>247</v>
      </c>
      <c r="AD327" s="2" t="s">
        <v>247</v>
      </c>
      <c r="AE327" s="2" t="s">
        <v>247</v>
      </c>
      <c r="AF327" s="2" t="s">
        <v>247</v>
      </c>
      <c r="AG327" s="2" t="s">
        <v>247</v>
      </c>
      <c r="AH327" s="2" t="s">
        <v>247</v>
      </c>
      <c r="AI327" s="2" t="s">
        <v>247</v>
      </c>
      <c r="AJ327" s="2" t="s">
        <v>247</v>
      </c>
      <c r="AK327" s="2" t="s">
        <v>247</v>
      </c>
      <c r="AL327" s="2"/>
      <c r="AM327" s="2"/>
      <c r="AN327" s="2"/>
      <c r="AO327" s="2"/>
      <c r="AP327" s="2"/>
      <c r="AQ327" s="2"/>
      <c r="AR327" s="2"/>
      <c r="AS327" s="2"/>
      <c r="AT327" s="2" t="s">
        <v>247</v>
      </c>
      <c r="AU327" s="2" t="s">
        <v>247</v>
      </c>
      <c r="AV327" s="2" t="s">
        <v>247</v>
      </c>
      <c r="AW327" s="2" t="s">
        <v>247</v>
      </c>
      <c r="AX327" s="2" t="s">
        <v>247</v>
      </c>
      <c r="AY327" s="2" t="s">
        <v>247</v>
      </c>
      <c r="AZ327" s="2" t="s">
        <v>247</v>
      </c>
      <c r="BA327" s="2" t="s">
        <v>247</v>
      </c>
      <c r="BB327" s="2" t="s">
        <v>247</v>
      </c>
      <c r="BC327" s="2" t="s">
        <v>247</v>
      </c>
      <c r="BD327" s="2" t="s">
        <v>247</v>
      </c>
      <c r="BE327" s="2" t="s">
        <v>247</v>
      </c>
      <c r="BF327" s="2" t="s">
        <v>247</v>
      </c>
      <c r="BG327" s="2" t="s">
        <v>247</v>
      </c>
      <c r="BH327" s="2" t="s">
        <v>247</v>
      </c>
      <c r="BI327" s="2" t="s">
        <v>247</v>
      </c>
    </row>
    <row r="328" spans="1:61" x14ac:dyDescent="0.35">
      <c r="A328" s="366">
        <v>6</v>
      </c>
      <c r="B328" s="737" t="s">
        <v>499</v>
      </c>
      <c r="C328" s="731"/>
      <c r="D328" s="731"/>
      <c r="E328" s="731"/>
      <c r="F328" s="731"/>
      <c r="G328" s="732"/>
      <c r="H328" s="732"/>
      <c r="I328" s="38" t="s">
        <v>499</v>
      </c>
      <c r="J328" s="19"/>
      <c r="K328" s="47"/>
      <c r="L328" s="838" t="s">
        <v>500</v>
      </c>
      <c r="M328" s="40"/>
      <c r="N328" s="41"/>
      <c r="O328" s="41"/>
    </row>
    <row r="329" spans="1:61" x14ac:dyDescent="0.35">
      <c r="A329" s="366">
        <v>6</v>
      </c>
      <c r="B329" s="737" t="s">
        <v>499</v>
      </c>
      <c r="C329" s="731"/>
      <c r="D329" s="731"/>
      <c r="E329" s="731"/>
      <c r="F329" s="731"/>
      <c r="I329" s="30"/>
      <c r="J329" s="4"/>
      <c r="K329" s="43"/>
      <c r="L329" s="838"/>
      <c r="M329" s="40"/>
      <c r="N329" s="41"/>
      <c r="O329" s="41"/>
      <c r="AX329" s="6" t="str">
        <f>'Overview (Verification)'!A10</f>
        <v>Builder Name:</v>
      </c>
      <c r="AY329">
        <f>IF(LEN('Overview (Verification)'!P10)=0,0,'Overview (Verification)'!P10)</f>
        <v>0</v>
      </c>
    </row>
    <row r="330" spans="1:61" ht="15" thickBot="1" x14ac:dyDescent="0.4">
      <c r="A330" s="366">
        <v>6</v>
      </c>
      <c r="B330" s="737" t="s">
        <v>499</v>
      </c>
      <c r="C330" s="731"/>
      <c r="D330" s="731"/>
      <c r="E330" s="731"/>
      <c r="F330" s="731"/>
      <c r="I330" s="30"/>
      <c r="J330" s="4"/>
      <c r="K330" s="43"/>
      <c r="L330" s="838"/>
      <c r="M330" s="40"/>
      <c r="N330" s="41"/>
      <c r="O330" s="41"/>
      <c r="Y330" s="55"/>
      <c r="Z330" s="653"/>
      <c r="AX330" s="6" t="str">
        <f>'Overview (Verification)'!A11</f>
        <v>Physical Address of Home:</v>
      </c>
      <c r="AY330">
        <f>IF(LEN('Overview (Verification)'!P11)=0,0,'Overview (Verification)'!P11)</f>
        <v>0</v>
      </c>
    </row>
    <row r="331" spans="1:61" ht="15.75" customHeight="1" thickTop="1" x14ac:dyDescent="0.35">
      <c r="A331" s="366">
        <v>6</v>
      </c>
      <c r="B331" s="737">
        <v>601.1</v>
      </c>
      <c r="C331" s="731"/>
      <c r="D331" s="731"/>
      <c r="E331" s="731"/>
      <c r="F331" s="731"/>
      <c r="G331" s="366" t="str">
        <f>IF(N331&gt;0,"P","")</f>
        <v/>
      </c>
      <c r="H331" s="366" t="s">
        <v>3971</v>
      </c>
      <c r="I331" s="106">
        <v>601.1</v>
      </c>
      <c r="J331" s="107"/>
      <c r="K331" s="108"/>
      <c r="L331" s="837" t="s">
        <v>4164</v>
      </c>
      <c r="M331" s="267"/>
      <c r="N331" s="959">
        <f>'Ch6'!O13</f>
        <v>0</v>
      </c>
      <c r="O331" s="959">
        <f>IFERROR(INDEX({14,12,9,6,3,0},MATCH(AY344,{1,701,1001,1501,2001,2501,100000},1)),0)</f>
        <v>0</v>
      </c>
      <c r="P331" s="59"/>
      <c r="Q331" s="59"/>
      <c r="R331" s="59"/>
      <c r="S331" s="59"/>
      <c r="T331" s="59"/>
      <c r="U331" s="59"/>
      <c r="V331" s="59"/>
      <c r="W331" s="59"/>
      <c r="X331" s="840"/>
      <c r="Y331" s="1118" t="str">
        <f>IF(LEN('Ch6'!X13)=0,"None",'Ch6'!X13)</f>
        <v>None</v>
      </c>
      <c r="Z331" s="1103"/>
      <c r="AA331" s="350" t="str">
        <f>IF(LEN('Photo Review'!I330)&gt;0,'Photo Review'!I330,"")</f>
        <v/>
      </c>
      <c r="AN331" t="str">
        <f>SUBSTITUTE(SUBSTITUTE(SUBSTITUTE("vpc"&amp;$B331&amp;$C331&amp;$D331&amp;$E331,".","_"),"(","_"),")","")</f>
        <v>vpc601_1</v>
      </c>
      <c r="AO331">
        <f>O331</f>
        <v>0</v>
      </c>
      <c r="AR331" t="str">
        <f>SUBSTITUTE(SUBSTITUTE(SUBSTITUTE("vnt"&amp;$B331&amp;$C331&amp;$D331&amp;$E331,".","_"),"(","_"),")","")</f>
        <v>vnt601_1</v>
      </c>
      <c r="AS331" t="str">
        <f>IF(LEN(X331)=0,"",X331)</f>
        <v/>
      </c>
      <c r="AX331" s="6" t="str">
        <f>'Overview (Verification)'!A12</f>
        <v>Community/Lot #:</v>
      </c>
      <c r="AY331">
        <f>IF(LEN('Overview (Verification)'!P12)=0,0,'Overview (Verification)'!P12)</f>
        <v>0</v>
      </c>
    </row>
    <row r="332" spans="1:61" x14ac:dyDescent="0.35">
      <c r="A332" s="366">
        <v>6</v>
      </c>
      <c r="B332" s="737">
        <v>601.1</v>
      </c>
      <c r="C332" s="731"/>
      <c r="D332" s="731"/>
      <c r="E332" s="731"/>
      <c r="F332" s="731"/>
      <c r="G332" s="366" t="str">
        <f t="shared" ref="G332:G344" si="13">G331</f>
        <v/>
      </c>
      <c r="H332" s="366" t="s">
        <v>3971</v>
      </c>
      <c r="I332" s="30"/>
      <c r="J332" s="4"/>
      <c r="K332" s="43"/>
      <c r="L332" s="838"/>
      <c r="M332" s="40"/>
      <c r="N332" s="834"/>
      <c r="O332" s="834"/>
      <c r="X332" s="817"/>
      <c r="Y332" s="1100"/>
      <c r="Z332" s="1102"/>
      <c r="AX332" s="6" t="str">
        <f>'Overview (Verification)'!A13</f>
        <v>City:</v>
      </c>
      <c r="AY332">
        <f>IF(LEN('Overview (Verification)'!P13)=0,0,'Overview (Verification)'!P13)</f>
        <v>0</v>
      </c>
    </row>
    <row r="333" spans="1:61" x14ac:dyDescent="0.35">
      <c r="A333" s="366">
        <v>6</v>
      </c>
      <c r="B333" s="737">
        <v>601.1</v>
      </c>
      <c r="C333" s="731"/>
      <c r="D333" s="731"/>
      <c r="E333" s="731"/>
      <c r="F333" s="731"/>
      <c r="G333" s="366" t="str">
        <f t="shared" si="13"/>
        <v/>
      </c>
      <c r="H333" s="366" t="s">
        <v>3971</v>
      </c>
      <c r="I333" s="30"/>
      <c r="J333" s="4"/>
      <c r="K333" s="43"/>
      <c r="L333" s="838"/>
      <c r="M333" s="40"/>
      <c r="N333" s="834"/>
      <c r="O333" s="834"/>
      <c r="X333" s="817"/>
      <c r="Y333" s="1100"/>
      <c r="Z333" s="1102"/>
      <c r="AX333" s="6" t="str">
        <f>'Overview (Verification)'!A14</f>
        <v>State:</v>
      </c>
      <c r="AY333">
        <f>IF(LEN('Overview (Verification)'!P14)=0,0,'Overview (Verification)'!P14)</f>
        <v>0</v>
      </c>
      <c r="BC333" t="str">
        <f>'Overview (Verification)'!T14</f>
        <v>State</v>
      </c>
      <c r="BD333" t="str">
        <f>'Overview (Verification)'!U14</f>
        <v>County</v>
      </c>
      <c r="BE333" t="str">
        <f>'Overview (Verification)'!V14</f>
        <v>Radon</v>
      </c>
      <c r="BF333" t="str">
        <f>'Overview (Verification)'!W14</f>
        <v>Climate</v>
      </c>
      <c r="BG333" t="str">
        <f>'Overview (Verification)'!X14</f>
        <v>Moist</v>
      </c>
      <c r="BH333" t="str">
        <f>'Overview (Verification)'!Y14</f>
        <v>WarmHumid</v>
      </c>
    </row>
    <row r="334" spans="1:61" x14ac:dyDescent="0.35">
      <c r="A334" s="366">
        <v>6</v>
      </c>
      <c r="B334" s="737">
        <v>601.1</v>
      </c>
      <c r="C334" s="731"/>
      <c r="D334" s="731"/>
      <c r="E334" s="731"/>
      <c r="F334" s="731"/>
      <c r="G334" s="366" t="str">
        <f t="shared" si="13"/>
        <v/>
      </c>
      <c r="H334" s="366" t="s">
        <v>3971</v>
      </c>
      <c r="I334" s="30"/>
      <c r="J334" s="4"/>
      <c r="K334" s="43"/>
      <c r="L334" s="838"/>
      <c r="M334" s="40"/>
      <c r="N334" s="834"/>
      <c r="O334" s="834"/>
      <c r="X334" s="817"/>
      <c r="Y334" s="1100"/>
      <c r="Z334" s="1102"/>
      <c r="AX334" s="6" t="str">
        <f>'Overview (Verification)'!A15</f>
        <v>County:</v>
      </c>
      <c r="AY334">
        <f>IF(LEN('Overview (Verification)'!P15)=0,0,'Overview (Verification)'!P15)</f>
        <v>0</v>
      </c>
      <c r="BC334" t="str">
        <f>'Overview (Verification)'!T15</f>
        <v/>
      </c>
      <c r="BD334" t="str">
        <f>'Overview (Verification)'!U15</f>
        <v/>
      </c>
      <c r="BE334" t="str">
        <f>'Overview (Verification)'!V15</f>
        <v>!!</v>
      </c>
      <c r="BF334" t="str">
        <f>'Overview (Verification)'!W15</f>
        <v>!!</v>
      </c>
      <c r="BG334" t="str">
        <f>'Overview (Verification)'!X15</f>
        <v>!!</v>
      </c>
      <c r="BH334" t="str">
        <f>'Overview (Verification)'!Y15</f>
        <v>!!</v>
      </c>
    </row>
    <row r="335" spans="1:61" x14ac:dyDescent="0.35">
      <c r="A335" s="366">
        <v>6</v>
      </c>
      <c r="B335" s="737">
        <v>601.1</v>
      </c>
      <c r="C335" s="731"/>
      <c r="D335" s="731"/>
      <c r="E335" s="731"/>
      <c r="F335" s="731"/>
      <c r="G335" s="366" t="str">
        <f t="shared" si="13"/>
        <v/>
      </c>
      <c r="H335" s="366" t="s">
        <v>3971</v>
      </c>
      <c r="I335" s="30"/>
      <c r="J335" s="4"/>
      <c r="K335" s="43"/>
      <c r="L335" s="838"/>
      <c r="M335" s="40"/>
      <c r="N335" s="834"/>
      <c r="O335" s="834"/>
      <c r="X335" s="817"/>
      <c r="Y335" s="1100"/>
      <c r="Z335" s="1102"/>
      <c r="AX335" s="6" t="str">
        <f>'Overview (Verification)'!A16</f>
        <v>Zip:</v>
      </c>
      <c r="AY335">
        <f>IF(LEN('Overview (Verification)'!P16)=0,0,'Overview (Verification)'!P16)</f>
        <v>0</v>
      </c>
    </row>
    <row r="336" spans="1:61" x14ac:dyDescent="0.35">
      <c r="A336" s="366">
        <v>6</v>
      </c>
      <c r="B336" s="737">
        <v>601.1</v>
      </c>
      <c r="C336" s="731"/>
      <c r="D336" s="731"/>
      <c r="E336" s="731"/>
      <c r="F336" s="731"/>
      <c r="G336" s="366" t="str">
        <f t="shared" si="13"/>
        <v/>
      </c>
      <c r="H336" s="366" t="s">
        <v>3971</v>
      </c>
      <c r="I336" s="30"/>
      <c r="J336" s="4"/>
      <c r="K336" s="43"/>
      <c r="L336" s="838"/>
      <c r="M336" s="40"/>
      <c r="N336" s="834"/>
      <c r="O336" s="834"/>
      <c r="X336" s="817"/>
      <c r="Y336" s="1100"/>
      <c r="Z336" s="1102"/>
      <c r="AX336" s="6"/>
    </row>
    <row r="337" spans="1:52" x14ac:dyDescent="0.35">
      <c r="A337" s="366">
        <v>6</v>
      </c>
      <c r="B337" s="737">
        <v>601.1</v>
      </c>
      <c r="C337" s="731" t="s">
        <v>256</v>
      </c>
      <c r="D337" s="731"/>
      <c r="E337" s="731"/>
      <c r="F337" s="731"/>
      <c r="G337" s="366" t="str">
        <f t="shared" si="13"/>
        <v/>
      </c>
      <c r="H337" s="366" t="s">
        <v>3971</v>
      </c>
      <c r="I337" s="30"/>
      <c r="J337" s="129" t="s">
        <v>256</v>
      </c>
      <c r="K337" s="101"/>
      <c r="L337" s="281" t="s">
        <v>501</v>
      </c>
      <c r="M337" s="268">
        <v>14</v>
      </c>
      <c r="N337" s="41"/>
      <c r="O337" s="41"/>
      <c r="X337" s="817"/>
      <c r="Y337" s="1100"/>
      <c r="Z337" s="1102"/>
      <c r="AL337" t="str">
        <f>SUBSTITUTE(SUBSTITUTE(SUBSTITUTE("vpa"&amp;$B337&amp;$C337&amp;$D337&amp;$E337,".","_"),"(","_"),")","")</f>
        <v>vpa601_1_1</v>
      </c>
      <c r="AM337">
        <f>M337</f>
        <v>14</v>
      </c>
      <c r="AX337" s="6" t="str">
        <f>'Overview (Verification)'!A18</f>
        <v>Single-Family or Multifamily:</v>
      </c>
      <c r="AY337" t="str">
        <f>IF(LEN('Overview (Verification)'!P18)=0,0,'Overview (Verification)'!P18)</f>
        <v>Single-Family</v>
      </c>
    </row>
    <row r="338" spans="1:52" x14ac:dyDescent="0.35">
      <c r="A338" s="366">
        <v>6</v>
      </c>
      <c r="B338" s="737">
        <v>601.1</v>
      </c>
      <c r="C338" s="731" t="s">
        <v>258</v>
      </c>
      <c r="D338" s="731"/>
      <c r="E338" s="731"/>
      <c r="F338" s="731"/>
      <c r="G338" s="366" t="str">
        <f t="shared" si="13"/>
        <v/>
      </c>
      <c r="H338" s="366" t="s">
        <v>3971</v>
      </c>
      <c r="I338" s="30"/>
      <c r="J338" s="130" t="s">
        <v>258</v>
      </c>
      <c r="K338" s="131"/>
      <c r="L338" s="177" t="s">
        <v>502</v>
      </c>
      <c r="M338" s="278">
        <v>12</v>
      </c>
      <c r="N338" s="41"/>
      <c r="O338" s="41"/>
      <c r="X338" s="817"/>
      <c r="Y338" s="1100"/>
      <c r="Z338" s="1102"/>
      <c r="AL338" t="str">
        <f>SUBSTITUTE(SUBSTITUTE(SUBSTITUTE("vpa"&amp;$B338&amp;$C338&amp;$D338&amp;$E338,".","_"),"(","_"),")","")</f>
        <v>vpa601_1_2</v>
      </c>
      <c r="AM338">
        <f>M338</f>
        <v>12</v>
      </c>
      <c r="AX338" s="6" t="str">
        <f>'Overview (Verification)'!A19</f>
        <v>Number of Units:</v>
      </c>
      <c r="AY338">
        <f>IF(LEN('Overview (Verification)'!P19)=0,0,'Overview (Verification)'!P19)</f>
        <v>0</v>
      </c>
    </row>
    <row r="339" spans="1:52" x14ac:dyDescent="0.35">
      <c r="A339" s="366">
        <v>6</v>
      </c>
      <c r="B339" s="737">
        <v>601.1</v>
      </c>
      <c r="C339" s="731" t="s">
        <v>260</v>
      </c>
      <c r="D339" s="731"/>
      <c r="E339" s="731"/>
      <c r="F339" s="731"/>
      <c r="G339" s="366" t="str">
        <f t="shared" si="13"/>
        <v/>
      </c>
      <c r="H339" s="366" t="s">
        <v>3971</v>
      </c>
      <c r="I339" s="30"/>
      <c r="J339" s="130" t="s">
        <v>260</v>
      </c>
      <c r="K339" s="131"/>
      <c r="L339" s="177" t="s">
        <v>503</v>
      </c>
      <c r="M339" s="278">
        <v>9</v>
      </c>
      <c r="N339" s="41"/>
      <c r="O339" s="41"/>
      <c r="X339" s="817"/>
      <c r="Y339" s="1100"/>
      <c r="Z339" s="1102"/>
      <c r="AL339" t="str">
        <f>SUBSTITUTE(SUBSTITUTE(SUBSTITUTE("vpa"&amp;$B339&amp;$C339&amp;$D339&amp;$E339,".","_"),"(","_"),")","")</f>
        <v>vpa601_1_3</v>
      </c>
      <c r="AM339">
        <f>M339</f>
        <v>9</v>
      </c>
      <c r="AX339" s="6" t="str">
        <f>'Overview (Verification)'!A20</f>
        <v>Building includes commercial space pursuing Commercial Space certification?</v>
      </c>
      <c r="AY339">
        <f>IF(LEN('Overview (Verification)'!P20)=0,0,'Overview (Verification)'!P20)</f>
        <v>0</v>
      </c>
    </row>
    <row r="340" spans="1:52" x14ac:dyDescent="0.35">
      <c r="A340" s="366">
        <v>6</v>
      </c>
      <c r="B340" s="737">
        <v>601.1</v>
      </c>
      <c r="C340" s="731" t="s">
        <v>269</v>
      </c>
      <c r="D340" s="731"/>
      <c r="E340" s="731"/>
      <c r="F340" s="731"/>
      <c r="G340" s="366" t="str">
        <f t="shared" si="13"/>
        <v/>
      </c>
      <c r="H340" s="366" t="s">
        <v>3971</v>
      </c>
      <c r="I340" s="30"/>
      <c r="J340" s="130" t="s">
        <v>269</v>
      </c>
      <c r="K340" s="131"/>
      <c r="L340" s="177" t="s">
        <v>504</v>
      </c>
      <c r="M340" s="278">
        <v>6</v>
      </c>
      <c r="N340" s="41"/>
      <c r="O340" s="41"/>
      <c r="X340" s="817"/>
      <c r="Y340" s="1100"/>
      <c r="Z340" s="1102"/>
      <c r="AL340" t="str">
        <f>SUBSTITUTE(SUBSTITUTE(SUBSTITUTE("vpa"&amp;$B340&amp;$C340&amp;$D340&amp;$E340,".","_"),"(","_"),")","")</f>
        <v>vpa601_1_4</v>
      </c>
      <c r="AM340">
        <f>M340</f>
        <v>6</v>
      </c>
    </row>
    <row r="341" spans="1:52" x14ac:dyDescent="0.35">
      <c r="A341" s="366">
        <v>6</v>
      </c>
      <c r="B341" s="737">
        <v>601.1</v>
      </c>
      <c r="C341" s="731" t="s">
        <v>275</v>
      </c>
      <c r="D341" s="731"/>
      <c r="E341" s="731"/>
      <c r="F341" s="731"/>
      <c r="G341" s="366" t="str">
        <f t="shared" si="13"/>
        <v/>
      </c>
      <c r="H341" s="366" t="s">
        <v>3971</v>
      </c>
      <c r="I341" s="30"/>
      <c r="J341" s="130" t="s">
        <v>275</v>
      </c>
      <c r="K341" s="131"/>
      <c r="L341" s="177" t="s">
        <v>505</v>
      </c>
      <c r="M341" s="278">
        <v>3</v>
      </c>
      <c r="N341" s="41"/>
      <c r="O341" s="41"/>
      <c r="X341" s="817"/>
      <c r="Y341" s="1100"/>
      <c r="Z341" s="1102"/>
      <c r="AL341" t="str">
        <f>SUBSTITUTE(SUBSTITUTE(SUBSTITUTE("vpa"&amp;$B341&amp;$C341&amp;$D341&amp;$E341,".","_"),"(","_"),")","")</f>
        <v>vpa601_1_5</v>
      </c>
      <c r="AM341">
        <f>M341</f>
        <v>3</v>
      </c>
    </row>
    <row r="342" spans="1:52" x14ac:dyDescent="0.35">
      <c r="A342" s="366">
        <v>6</v>
      </c>
      <c r="B342" s="737">
        <v>601.1</v>
      </c>
      <c r="C342" s="731" t="s">
        <v>277</v>
      </c>
      <c r="D342" s="731"/>
      <c r="E342" s="731"/>
      <c r="F342" s="731"/>
      <c r="G342" s="366" t="str">
        <f t="shared" si="13"/>
        <v/>
      </c>
      <c r="H342" s="366" t="s">
        <v>3971</v>
      </c>
      <c r="I342" s="30"/>
      <c r="J342" s="19" t="s">
        <v>277</v>
      </c>
      <c r="K342" s="43"/>
      <c r="L342" s="266" t="s">
        <v>506</v>
      </c>
      <c r="M342" s="459" t="str">
        <f>IF(AY344&gt;4000,"Mandatory","N/A")</f>
        <v>N/A</v>
      </c>
      <c r="N342" s="41"/>
      <c r="O342" s="41"/>
      <c r="X342" s="817"/>
      <c r="Y342" s="1100"/>
      <c r="Z342" s="1102"/>
      <c r="AX342" s="6" t="str">
        <f>'Overview (Verification)'!A23</f>
        <v>Project Name:</v>
      </c>
      <c r="AY342">
        <f>IF(LEN('Overview (Verification)'!P23)=0,0,'Overview (Verification)'!P23)</f>
        <v>0</v>
      </c>
    </row>
    <row r="343" spans="1:52" x14ac:dyDescent="0.35">
      <c r="A343" s="366">
        <v>6</v>
      </c>
      <c r="B343" s="737">
        <v>601.1</v>
      </c>
      <c r="C343" s="731" t="s">
        <v>277</v>
      </c>
      <c r="D343" s="731"/>
      <c r="E343" s="731"/>
      <c r="F343" s="731"/>
      <c r="G343" s="366" t="str">
        <f t="shared" si="13"/>
        <v/>
      </c>
      <c r="H343" s="366" t="s">
        <v>3971</v>
      </c>
      <c r="I343" s="30"/>
      <c r="J343" s="4"/>
      <c r="K343" s="43"/>
      <c r="L343" s="838" t="s">
        <v>507</v>
      </c>
      <c r="M343" s="109" t="s">
        <v>1101</v>
      </c>
      <c r="N343" s="41"/>
      <c r="O343" s="41"/>
      <c r="X343" s="817"/>
      <c r="Y343" s="1100"/>
      <c r="Z343" s="1102"/>
      <c r="AX343" s="6"/>
    </row>
    <row r="344" spans="1:52" x14ac:dyDescent="0.35">
      <c r="A344" s="366">
        <v>6</v>
      </c>
      <c r="B344" s="737">
        <v>601.1</v>
      </c>
      <c r="C344" s="731" t="s">
        <v>277</v>
      </c>
      <c r="D344" s="731"/>
      <c r="E344" s="731"/>
      <c r="F344" s="731"/>
      <c r="G344" s="366" t="str">
        <f t="shared" si="13"/>
        <v/>
      </c>
      <c r="H344" s="366" t="s">
        <v>3971</v>
      </c>
      <c r="I344" s="30"/>
      <c r="J344" s="4"/>
      <c r="K344" s="43"/>
      <c r="L344" s="838"/>
      <c r="M344" s="109">
        <f>MAX(0,ROUNDDOWN((AY344-4000)/100,0))</f>
        <v>0</v>
      </c>
      <c r="N344" s="41"/>
      <c r="O344" s="41"/>
      <c r="X344" s="817"/>
      <c r="Y344" s="1100"/>
      <c r="Z344" s="1102"/>
      <c r="AX344" s="6" t="str">
        <f>'Overview (Verification)'!A25</f>
        <v>Above grade plane finished floor area:</v>
      </c>
      <c r="AY344">
        <f>IF(LEN('Overview (Verification)'!P25)=0,0,'Overview (Verification)'!P25)</f>
        <v>0</v>
      </c>
    </row>
    <row r="345" spans="1:52" x14ac:dyDescent="0.35">
      <c r="A345" s="366">
        <v>6</v>
      </c>
      <c r="B345" s="737">
        <v>601.1</v>
      </c>
      <c r="C345" s="731" t="s">
        <v>277</v>
      </c>
      <c r="D345" s="731"/>
      <c r="E345" s="731"/>
      <c r="F345" s="731"/>
      <c r="G345" s="732"/>
      <c r="H345" s="732"/>
      <c r="I345" s="30"/>
      <c r="J345" s="4"/>
      <c r="L345" s="855" t="s">
        <v>3832</v>
      </c>
      <c r="M345" s="40"/>
      <c r="N345" s="41"/>
      <c r="O345" s="41"/>
      <c r="X345" s="817"/>
      <c r="Y345" s="1100"/>
      <c r="Z345" s="1102"/>
      <c r="AX345" s="6" t="str">
        <f>'Overview (Verification)'!A26</f>
        <v>Total conditioned floor area:</v>
      </c>
      <c r="AY345">
        <f>IF(LEN('Overview (Verification)'!P26)=0,0,'Overview (Verification)'!P26)</f>
        <v>0</v>
      </c>
    </row>
    <row r="346" spans="1:52" ht="15" thickBot="1" x14ac:dyDescent="0.4">
      <c r="A346" s="366">
        <v>6</v>
      </c>
      <c r="B346" s="737">
        <v>601.1</v>
      </c>
      <c r="C346" s="731" t="s">
        <v>277</v>
      </c>
      <c r="D346" s="731"/>
      <c r="E346" s="731"/>
      <c r="F346" s="731"/>
      <c r="G346" s="732"/>
      <c r="H346" s="732"/>
      <c r="I346" s="30"/>
      <c r="J346" s="4"/>
      <c r="K346" s="128"/>
      <c r="L346" s="855"/>
      <c r="M346" s="40"/>
      <c r="N346" s="41"/>
      <c r="O346" s="41"/>
      <c r="X346" s="850"/>
      <c r="Y346" s="1101"/>
      <c r="Z346" s="1104"/>
      <c r="AX346" s="6" t="str">
        <f>'Overview (Verification)'!A27</f>
        <v>Stories above grade:</v>
      </c>
      <c r="AY346">
        <f>IF(LEN('Overview (Verification)'!P27)=0,0,'Overview (Verification)'!P27)</f>
        <v>0</v>
      </c>
    </row>
    <row r="347" spans="1:52" ht="15" thickTop="1" x14ac:dyDescent="0.35">
      <c r="A347" s="366">
        <v>6</v>
      </c>
      <c r="B347" s="737">
        <v>601.20000000000005</v>
      </c>
      <c r="C347" s="731"/>
      <c r="D347" s="731"/>
      <c r="E347" s="731"/>
      <c r="F347" s="731"/>
      <c r="G347" s="727" t="str">
        <f>IF(COUNTIF(G349:G355,"P")&gt;0,"P","")</f>
        <v/>
      </c>
      <c r="H347" s="366" t="s">
        <v>3971</v>
      </c>
      <c r="I347" s="106">
        <v>601.20000000000005</v>
      </c>
      <c r="J347" s="107"/>
      <c r="K347" s="108"/>
      <c r="L347" s="837" t="s">
        <v>508</v>
      </c>
      <c r="M347" s="267"/>
      <c r="N347" s="545"/>
      <c r="O347" s="545"/>
      <c r="P347" s="59"/>
      <c r="Q347" s="59"/>
      <c r="R347" s="59"/>
      <c r="S347" s="59"/>
      <c r="T347" s="59"/>
      <c r="U347" s="59"/>
      <c r="V347" s="59"/>
      <c r="W347" s="59"/>
      <c r="X347" s="110"/>
      <c r="AX347" s="6" t="str">
        <f>'Overview (Verification)'!A28</f>
        <v>Project Elevation (ft. above sea level):</v>
      </c>
      <c r="AY347">
        <f>IF(LEN('Overview (Verification)'!P28)=0,0,'Overview (Verification)'!P28)</f>
        <v>0</v>
      </c>
    </row>
    <row r="348" spans="1:52" x14ac:dyDescent="0.35">
      <c r="A348" s="366">
        <v>6</v>
      </c>
      <c r="B348" s="737">
        <v>601.20000000000005</v>
      </c>
      <c r="C348" s="731"/>
      <c r="D348" s="731"/>
      <c r="E348" s="731"/>
      <c r="F348" s="731"/>
      <c r="G348" s="366" t="str">
        <f>G347</f>
        <v/>
      </c>
      <c r="H348" s="366" t="s">
        <v>3971</v>
      </c>
      <c r="I348" s="30"/>
      <c r="J348" s="4"/>
      <c r="K348" s="43"/>
      <c r="L348" s="838"/>
      <c r="M348" s="40"/>
      <c r="N348" s="41"/>
      <c r="O348" s="41"/>
      <c r="X348" s="65"/>
      <c r="AX348" s="6"/>
    </row>
    <row r="349" spans="1:52" x14ac:dyDescent="0.35">
      <c r="A349" s="366">
        <v>6</v>
      </c>
      <c r="B349" s="737">
        <v>601.20000000000005</v>
      </c>
      <c r="C349" s="731" t="s">
        <v>256</v>
      </c>
      <c r="D349" s="731"/>
      <c r="E349" s="731"/>
      <c r="F349" s="731"/>
      <c r="G349" s="366" t="str">
        <f>IF(N349&gt;0,"P","")</f>
        <v/>
      </c>
      <c r="H349" s="366" t="s">
        <v>3971</v>
      </c>
      <c r="I349" s="30"/>
      <c r="J349" s="19" t="s">
        <v>256</v>
      </c>
      <c r="K349" s="43"/>
      <c r="L349" s="814" t="s">
        <v>510</v>
      </c>
      <c r="M349" s="818">
        <v>3</v>
      </c>
      <c r="N349" s="834">
        <f>'Ch6'!O31</f>
        <v>0</v>
      </c>
      <c r="O349" s="834">
        <f>M349*S349*W349</f>
        <v>0</v>
      </c>
      <c r="P349" t="b">
        <v>1</v>
      </c>
      <c r="Q349" t="b">
        <v>0</v>
      </c>
      <c r="R349" t="b">
        <v>0</v>
      </c>
      <c r="S349" t="b">
        <v>1</v>
      </c>
      <c r="T349" t="b">
        <v>0</v>
      </c>
      <c r="W349" s="17"/>
      <c r="X349" s="817"/>
      <c r="Y349" s="1100" t="str">
        <f>IF(LEN('Ch6'!X31)=0,"None",'Ch6'!X31)</f>
        <v>None</v>
      </c>
      <c r="Z349" s="1102"/>
      <c r="AL349" t="str">
        <f>SUBSTITUTE(SUBSTITUTE(SUBSTITUTE("vpa"&amp;$B349&amp;$C349&amp;$D349&amp;$E349,".","_"),"(","_"),")","")</f>
        <v>vpa601_2_1</v>
      </c>
      <c r="AM349">
        <f>M349</f>
        <v>3</v>
      </c>
      <c r="AN349" t="str">
        <f>SUBSTITUTE(SUBSTITUTE(SUBSTITUTE("vpc"&amp;$B349&amp;$C349&amp;$D349&amp;$E349,".","_"),"(","_"),")","")</f>
        <v>vpc601_2_1</v>
      </c>
      <c r="AO349">
        <f>O349</f>
        <v>0</v>
      </c>
      <c r="AP349" t="str">
        <f>SUBSTITUTE(SUBSTITUTE(SUBSTITUTE("vch"&amp;$B349&amp;$C349&amp;$D349&amp;$E349,".","_"),"(","_"),")","")</f>
        <v>vch601_2_1</v>
      </c>
      <c r="AQ349" t="str">
        <f>IF(LEN(W349)=0,"",W349)</f>
        <v/>
      </c>
      <c r="AR349" t="str">
        <f>SUBSTITUTE(SUBSTITUTE(SUBSTITUTE("vnt"&amp;$B349&amp;$C349&amp;$D349&amp;$E349,".","_"),"(","_"),")","")</f>
        <v>vnt601_2_1</v>
      </c>
      <c r="AS349" t="str">
        <f>IF(LEN(X349)=0,"",X349)</f>
        <v/>
      </c>
      <c r="AX349" s="6" t="str">
        <f>'Overview (Verification)'!A30</f>
        <v xml:space="preserve">Project Description (optional): </v>
      </c>
      <c r="AY349">
        <f>IF(LEN('Overview (Verification)'!P30)=0,0,'Overview (Verification)'!P30)</f>
        <v>0</v>
      </c>
    </row>
    <row r="350" spans="1:52" x14ac:dyDescent="0.35">
      <c r="A350" s="366">
        <v>6</v>
      </c>
      <c r="B350" s="737">
        <v>601.20000000000005</v>
      </c>
      <c r="C350" s="731" t="s">
        <v>256</v>
      </c>
      <c r="D350" s="731"/>
      <c r="E350" s="731"/>
      <c r="F350" s="731"/>
      <c r="G350" s="366" t="str">
        <f>G349</f>
        <v/>
      </c>
      <c r="H350" s="366" t="s">
        <v>3971</v>
      </c>
      <c r="I350" s="30"/>
      <c r="J350" s="4"/>
      <c r="K350" s="43"/>
      <c r="L350" s="814"/>
      <c r="M350" s="818"/>
      <c r="N350" s="834"/>
      <c r="O350" s="834"/>
      <c r="X350" s="817"/>
      <c r="Y350" s="1100"/>
      <c r="Z350" s="1102"/>
    </row>
    <row r="351" spans="1:52" x14ac:dyDescent="0.35">
      <c r="A351" s="366">
        <v>6</v>
      </c>
      <c r="B351" s="737">
        <v>601.20000000000005</v>
      </c>
      <c r="C351" s="731" t="s">
        <v>256</v>
      </c>
      <c r="D351" s="731"/>
      <c r="E351" s="731"/>
      <c r="F351" s="731"/>
      <c r="G351" s="366" t="str">
        <f>G350</f>
        <v/>
      </c>
      <c r="H351" s="366" t="s">
        <v>3971</v>
      </c>
      <c r="I351" s="30"/>
      <c r="J351" s="133"/>
      <c r="K351" s="101"/>
      <c r="L351" s="815"/>
      <c r="M351" s="819"/>
      <c r="N351" s="835"/>
      <c r="O351" s="835"/>
      <c r="X351" s="817"/>
      <c r="Y351" s="1100"/>
      <c r="Z351" s="1102"/>
      <c r="AX351" s="6" t="str">
        <f>'Overview (Verification)'!A32</f>
        <v>Foundation Type:</v>
      </c>
      <c r="AY351">
        <f>IF(LEN('Overview (Verification)'!P32)=0,0,'Overview (Verification)'!P32)</f>
        <v>0</v>
      </c>
      <c r="AZ351" s="1">
        <f>IFERROR(MATCH(AY351,ddFoundation,0),0)</f>
        <v>0</v>
      </c>
    </row>
    <row r="352" spans="1:52" x14ac:dyDescent="0.35">
      <c r="A352" s="366">
        <v>6</v>
      </c>
      <c r="B352" s="737">
        <v>601.20000000000005</v>
      </c>
      <c r="C352" s="731" t="s">
        <v>258</v>
      </c>
      <c r="D352" s="731"/>
      <c r="E352" s="731"/>
      <c r="F352" s="731"/>
      <c r="G352" s="366" t="str">
        <f>IF(N352&gt;0,"P","")</f>
        <v/>
      </c>
      <c r="H352" s="366" t="s">
        <v>3971</v>
      </c>
      <c r="I352" s="30"/>
      <c r="J352" s="19" t="s">
        <v>258</v>
      </c>
      <c r="K352" s="43"/>
      <c r="L352" s="814" t="s">
        <v>511</v>
      </c>
      <c r="M352" s="818">
        <v>3</v>
      </c>
      <c r="N352" s="963">
        <f>'Ch6'!O34</f>
        <v>0</v>
      </c>
      <c r="O352" s="834">
        <f>M352*S352*W352</f>
        <v>0</v>
      </c>
      <c r="P352" t="b">
        <v>1</v>
      </c>
      <c r="Q352" t="b">
        <v>0</v>
      </c>
      <c r="R352" t="b">
        <v>0</v>
      </c>
      <c r="S352" t="b">
        <v>1</v>
      </c>
      <c r="T352" t="b">
        <v>0</v>
      </c>
      <c r="W352" s="17"/>
      <c r="X352" s="817"/>
      <c r="Y352" s="1100" t="str">
        <f>IF(LEN('Ch6'!X34)=0,"None",'Ch6'!X34)</f>
        <v>None</v>
      </c>
      <c r="Z352" s="1102"/>
      <c r="AL352" t="str">
        <f>SUBSTITUTE(SUBSTITUTE(SUBSTITUTE("vpa"&amp;$B352&amp;$C352&amp;$D352&amp;$E352,".","_"),"(","_"),")","")</f>
        <v>vpa601_2_2</v>
      </c>
      <c r="AM352">
        <f>M352</f>
        <v>3</v>
      </c>
      <c r="AN352" t="str">
        <f>SUBSTITUTE(SUBSTITUTE(SUBSTITUTE("vpc"&amp;$B352&amp;$C352&amp;$D352&amp;$E352,".","_"),"(","_"),")","")</f>
        <v>vpc601_2_2</v>
      </c>
      <c r="AO352">
        <f>O352</f>
        <v>0</v>
      </c>
      <c r="AP352" t="str">
        <f>SUBSTITUTE(SUBSTITUTE(SUBSTITUTE("vch"&amp;$B352&amp;$C352&amp;$D352&amp;$E352,".","_"),"(","_"),")","")</f>
        <v>vch601_2_2</v>
      </c>
      <c r="AQ352" t="str">
        <f>IF(LEN(W352)=0,"",W352)</f>
        <v/>
      </c>
      <c r="AR352" t="str">
        <f>SUBSTITUTE(SUBSTITUTE(SUBSTITUTE("vnt"&amp;$B352&amp;$C352&amp;$D352&amp;$E352,".","_"),"(","_"),")","")</f>
        <v>vnt601_2_2</v>
      </c>
      <c r="AS352" t="str">
        <f>IF(LEN(X352)=0,"",X352)</f>
        <v/>
      </c>
      <c r="AX352" s="6"/>
    </row>
    <row r="353" spans="1:51" x14ac:dyDescent="0.35">
      <c r="A353" s="366">
        <v>6</v>
      </c>
      <c r="B353" s="737">
        <v>601.20000000000005</v>
      </c>
      <c r="C353" s="731" t="s">
        <v>258</v>
      </c>
      <c r="D353" s="731"/>
      <c r="E353" s="731"/>
      <c r="F353" s="731"/>
      <c r="G353" s="366" t="str">
        <f>G352</f>
        <v/>
      </c>
      <c r="H353" s="366" t="s">
        <v>3971</v>
      </c>
      <c r="I353" s="30"/>
      <c r="J353" s="4"/>
      <c r="K353" s="43"/>
      <c r="L353" s="814"/>
      <c r="M353" s="818"/>
      <c r="N353" s="834"/>
      <c r="O353" s="834"/>
      <c r="X353" s="817"/>
      <c r="Y353" s="1100"/>
      <c r="Z353" s="1102"/>
      <c r="AX353" s="6" t="str">
        <f>'Overview (Verification)'!A34</f>
        <v>Type of Heating System (main system):</v>
      </c>
      <c r="AY353">
        <f>IF(LEN('Overview (Verification)'!P34)=0,0,'Overview (Verification)'!P34)</f>
        <v>0</v>
      </c>
    </row>
    <row r="354" spans="1:51" x14ac:dyDescent="0.35">
      <c r="A354" s="366">
        <v>6</v>
      </c>
      <c r="B354" s="737">
        <v>601.20000000000005</v>
      </c>
      <c r="C354" s="731" t="s">
        <v>258</v>
      </c>
      <c r="D354" s="731"/>
      <c r="E354" s="731"/>
      <c r="F354" s="731"/>
      <c r="G354" s="366" t="str">
        <f>G353</f>
        <v/>
      </c>
      <c r="H354" s="366" t="s">
        <v>3971</v>
      </c>
      <c r="I354" s="30"/>
      <c r="J354" s="133"/>
      <c r="K354" s="101"/>
      <c r="L354" s="815"/>
      <c r="M354" s="819"/>
      <c r="N354" s="835"/>
      <c r="O354" s="835"/>
      <c r="X354" s="817"/>
      <c r="Y354" s="1100"/>
      <c r="Z354" s="1102"/>
      <c r="AX354" s="6" t="str">
        <f>'Overview (Verification)'!A35</f>
        <v>Type of Heating System (system 2):</v>
      </c>
      <c r="AY354">
        <f>IF(LEN('Overview (Verification)'!P35)=0,0,'Overview (Verification)'!P35)</f>
        <v>0</v>
      </c>
    </row>
    <row r="355" spans="1:51" ht="15" customHeight="1" thickBot="1" x14ac:dyDescent="0.4">
      <c r="A355" s="366">
        <v>6</v>
      </c>
      <c r="B355" s="737">
        <v>601.20000000000005</v>
      </c>
      <c r="C355" s="731" t="s">
        <v>260</v>
      </c>
      <c r="D355" s="731"/>
      <c r="E355" s="731"/>
      <c r="F355" s="731"/>
      <c r="G355" s="366" t="str">
        <f>IF(N355&gt;0,"P","")</f>
        <v/>
      </c>
      <c r="H355" s="366" t="s">
        <v>3971</v>
      </c>
      <c r="I355" s="30"/>
      <c r="J355" s="19" t="s">
        <v>260</v>
      </c>
      <c r="K355" s="43"/>
      <c r="L355" s="90" t="s">
        <v>512</v>
      </c>
      <c r="M355" s="40">
        <v>3</v>
      </c>
      <c r="N355" s="41">
        <f>'Ch6'!O37</f>
        <v>0</v>
      </c>
      <c r="O355" s="41">
        <f>M355*S355*W355</f>
        <v>0</v>
      </c>
      <c r="P355" t="b">
        <v>1</v>
      </c>
      <c r="Q355" t="b">
        <v>0</v>
      </c>
      <c r="R355" t="b">
        <v>0</v>
      </c>
      <c r="S355" t="b">
        <v>1</v>
      </c>
      <c r="T355" t="b">
        <v>0</v>
      </c>
      <c r="W355" s="17"/>
      <c r="X355" s="96"/>
      <c r="Y355" s="397" t="str">
        <f>IF(LEN('Ch6'!X37)=0,"None",'Ch6'!X37)</f>
        <v>None</v>
      </c>
      <c r="Z355" s="658"/>
      <c r="AL355" t="str">
        <f>SUBSTITUTE(SUBSTITUTE(SUBSTITUTE("vpa"&amp;$B355&amp;$C355&amp;$D355&amp;$E355,".","_"),"(","_"),")","")</f>
        <v>vpa601_2_3</v>
      </c>
      <c r="AM355">
        <f>M355</f>
        <v>3</v>
      </c>
      <c r="AN355" t="str">
        <f>SUBSTITUTE(SUBSTITUTE(SUBSTITUTE("vpc"&amp;$B355&amp;$C355&amp;$D355&amp;$E355,".","_"),"(","_"),")","")</f>
        <v>vpc601_2_3</v>
      </c>
      <c r="AO355">
        <f>O355</f>
        <v>0</v>
      </c>
      <c r="AP355" t="str">
        <f>SUBSTITUTE(SUBSTITUTE(SUBSTITUTE("vch"&amp;$B355&amp;$C355&amp;$D355&amp;$E355,".","_"),"(","_"),")","")</f>
        <v>vch601_2_3</v>
      </c>
      <c r="AQ355" t="str">
        <f>IF(LEN(W355)=0,"",W355)</f>
        <v/>
      </c>
      <c r="AR355" t="str">
        <f>SUBSTITUTE(SUBSTITUTE(SUBSTITUTE("vnt"&amp;$B355&amp;$C355&amp;$D355&amp;$E355,".","_"),"(","_"),")","")</f>
        <v>vnt601_2_3</v>
      </c>
      <c r="AS355" t="str">
        <f>IF(LEN(X355)=0,"",X355)</f>
        <v/>
      </c>
      <c r="AX355" s="6" t="str">
        <f>'Overview (Verification)'!A36</f>
        <v>Type of Heating System (system 3):</v>
      </c>
      <c r="AY355">
        <f>IF(LEN('Overview (Verification)'!P36)=0,0,'Overview (Verification)'!P36)</f>
        <v>0</v>
      </c>
    </row>
    <row r="356" spans="1:51" ht="15" thickTop="1" x14ac:dyDescent="0.35">
      <c r="A356" s="366">
        <v>6</v>
      </c>
      <c r="B356" s="737">
        <v>601.29999999999995</v>
      </c>
      <c r="C356" s="731"/>
      <c r="D356" s="731"/>
      <c r="E356" s="731"/>
      <c r="F356" s="731"/>
      <c r="G356" s="727" t="str">
        <f>IF(COUNTIF(G359:G363,"P")&gt;0,"P","")</f>
        <v>P</v>
      </c>
      <c r="H356" s="366" t="s">
        <v>3971</v>
      </c>
      <c r="I356" s="106">
        <v>601.29999999999995</v>
      </c>
      <c r="J356" s="107"/>
      <c r="K356" s="108"/>
      <c r="L356" s="837" t="s">
        <v>513</v>
      </c>
      <c r="M356" s="267"/>
      <c r="N356" s="545"/>
      <c r="O356" s="545"/>
      <c r="P356" s="59"/>
      <c r="Q356" s="59"/>
      <c r="R356" s="59"/>
      <c r="S356" s="59"/>
      <c r="T356" s="59"/>
      <c r="U356" s="59"/>
      <c r="V356" s="59"/>
      <c r="W356" s="59"/>
      <c r="X356" s="110"/>
      <c r="AX356" s="6" t="str">
        <f>'Overview (Verification)'!A37</f>
        <v>Primary Heating Fuel:</v>
      </c>
      <c r="AY356">
        <f>IF(LEN('Overview (Verification)'!P37)=0,0,'Overview (Verification)'!P37)</f>
        <v>0</v>
      </c>
    </row>
    <row r="357" spans="1:51" x14ac:dyDescent="0.35">
      <c r="A357" s="366">
        <v>6</v>
      </c>
      <c r="B357" s="737">
        <v>601.29999999999995</v>
      </c>
      <c r="C357" s="731"/>
      <c r="D357" s="731"/>
      <c r="E357" s="731"/>
      <c r="F357" s="731"/>
      <c r="G357" s="366" t="str">
        <f>G356</f>
        <v>P</v>
      </c>
      <c r="H357" s="366" t="s">
        <v>3971</v>
      </c>
      <c r="I357" s="30"/>
      <c r="J357" s="4"/>
      <c r="K357" s="43"/>
      <c r="L357" s="838"/>
      <c r="M357" s="40"/>
      <c r="N357" s="41"/>
      <c r="O357" s="41"/>
      <c r="X357" s="65"/>
      <c r="AX357" s="6" t="str">
        <f>'Overview (Verification)'!A38</f>
        <v>Heating Ducts:</v>
      </c>
      <c r="AY357">
        <f>IF(LEN('Overview (Verification)'!P38)=0,0,'Overview (Verification)'!P38)</f>
        <v>0</v>
      </c>
    </row>
    <row r="358" spans="1:51" x14ac:dyDescent="0.35">
      <c r="A358" s="366">
        <v>6</v>
      </c>
      <c r="B358" s="737">
        <v>601.29999999999995</v>
      </c>
      <c r="C358" s="731"/>
      <c r="D358" s="731"/>
      <c r="E358" s="731"/>
      <c r="F358" s="731"/>
      <c r="G358" s="366" t="str">
        <f>G357</f>
        <v>P</v>
      </c>
      <c r="H358" s="366" t="s">
        <v>3971</v>
      </c>
      <c r="I358" s="30"/>
      <c r="J358" s="4"/>
      <c r="K358" s="43"/>
      <c r="L358" s="838"/>
      <c r="M358" s="40"/>
      <c r="N358" s="41"/>
      <c r="O358" s="41"/>
      <c r="X358" s="65"/>
      <c r="AX358" s="6" t="str">
        <f>'Overview (Verification)'!A39</f>
        <v>Type of Cooling System (main system):</v>
      </c>
      <c r="AY358">
        <f>IF(LEN('Overview (Verification)'!P39)=0,0,'Overview (Verification)'!P39)</f>
        <v>0</v>
      </c>
    </row>
    <row r="359" spans="1:51" x14ac:dyDescent="0.35">
      <c r="A359" s="366">
        <v>6</v>
      </c>
      <c r="B359" s="737">
        <v>601.29999999999995</v>
      </c>
      <c r="C359" s="731" t="s">
        <v>256</v>
      </c>
      <c r="D359" s="731"/>
      <c r="E359" s="731"/>
      <c r="F359" s="731"/>
      <c r="G359" s="366" t="str">
        <f t="shared" ref="G359:G364" si="14">IF(N359&gt;0,"P","")</f>
        <v>P</v>
      </c>
      <c r="H359" s="366" t="s">
        <v>3971</v>
      </c>
      <c r="I359" s="30"/>
      <c r="J359" s="129" t="s">
        <v>256</v>
      </c>
      <c r="K359" s="101"/>
      <c r="L359" s="228" t="s">
        <v>514</v>
      </c>
      <c r="M359" s="268">
        <v>3</v>
      </c>
      <c r="N359" s="546">
        <f>'Ch6'!O41</f>
        <v>3</v>
      </c>
      <c r="O359" s="546">
        <f t="shared" ref="O359:O364" si="15">M359*S359*W359</f>
        <v>0</v>
      </c>
      <c r="P359" t="b">
        <v>1</v>
      </c>
      <c r="Q359" t="b">
        <v>0</v>
      </c>
      <c r="R359" t="b">
        <v>0</v>
      </c>
      <c r="S359" t="b">
        <v>1</v>
      </c>
      <c r="T359" t="b">
        <v>0</v>
      </c>
      <c r="W359" s="17"/>
      <c r="X359" s="36"/>
      <c r="Y359" s="396" t="str">
        <f>IF(LEN('Ch6'!X41)=0,"None",'Ch6'!X41)</f>
        <v>None</v>
      </c>
      <c r="Z359" s="652"/>
      <c r="AL359" t="str">
        <f t="shared" ref="AL359:AL364" si="16">SUBSTITUTE(SUBSTITUTE(SUBSTITUTE("vpa"&amp;$B359&amp;$C359&amp;$D359&amp;$E359,".","_"),"(","_"),")","")</f>
        <v>vpa601_3_1</v>
      </c>
      <c r="AM359">
        <f t="shared" ref="AM359:AM364" si="17">M359</f>
        <v>3</v>
      </c>
      <c r="AN359" t="str">
        <f t="shared" ref="AN359:AN364" si="18">SUBSTITUTE(SUBSTITUTE(SUBSTITUTE("vpc"&amp;$B359&amp;$C359&amp;$D359&amp;$E359,".","_"),"(","_"),")","")</f>
        <v>vpc601_3_1</v>
      </c>
      <c r="AO359">
        <f t="shared" ref="AO359:AO364" si="19">O359</f>
        <v>0</v>
      </c>
      <c r="AP359" t="str">
        <f t="shared" ref="AP359:AP364" si="20">SUBSTITUTE(SUBSTITUTE(SUBSTITUTE("vch"&amp;$B359&amp;$C359&amp;$D359&amp;$E359,".","_"),"(","_"),")","")</f>
        <v>vch601_3_1</v>
      </c>
      <c r="AQ359" t="str">
        <f t="shared" ref="AQ359:AQ364" si="21">IF(LEN(W359)=0,"",W359)</f>
        <v/>
      </c>
      <c r="AR359" t="str">
        <f t="shared" ref="AR359:AR364" si="22">SUBSTITUTE(SUBSTITUTE(SUBSTITUTE("vnt"&amp;$B359&amp;$C359&amp;$D359&amp;$E359,".","_"),"(","_"),")","")</f>
        <v>vnt601_3_1</v>
      </c>
      <c r="AS359" t="str">
        <f t="shared" ref="AS359:AS364" si="23">IF(LEN(X359)=0,"",X359)</f>
        <v/>
      </c>
      <c r="AX359" s="6" t="str">
        <f>'Overview (Verification)'!A40</f>
        <v>Type of Cooling System (system 2):</v>
      </c>
      <c r="AY359">
        <f>IF(LEN('Overview (Verification)'!P40)=0,0,'Overview (Verification)'!P40)</f>
        <v>0</v>
      </c>
    </row>
    <row r="360" spans="1:51" x14ac:dyDescent="0.35">
      <c r="A360" s="366">
        <v>6</v>
      </c>
      <c r="B360" s="737">
        <v>601.29999999999995</v>
      </c>
      <c r="C360" s="731" t="s">
        <v>258</v>
      </c>
      <c r="D360" s="731"/>
      <c r="E360" s="731"/>
      <c r="F360" s="731"/>
      <c r="G360" s="366" t="str">
        <f t="shared" si="14"/>
        <v>P</v>
      </c>
      <c r="H360" s="366" t="s">
        <v>3971</v>
      </c>
      <c r="I360" s="30"/>
      <c r="J360" s="130" t="s">
        <v>258</v>
      </c>
      <c r="K360" s="131"/>
      <c r="L360" s="178" t="s">
        <v>515</v>
      </c>
      <c r="M360" s="278">
        <v>3</v>
      </c>
      <c r="N360" s="547">
        <f>'Ch6'!O42</f>
        <v>3</v>
      </c>
      <c r="O360" s="547">
        <f t="shared" si="15"/>
        <v>0</v>
      </c>
      <c r="P360" t="b">
        <v>1</v>
      </c>
      <c r="Q360" t="b">
        <v>0</v>
      </c>
      <c r="R360" t="b">
        <v>0</v>
      </c>
      <c r="S360" t="b">
        <v>1</v>
      </c>
      <c r="T360" t="b">
        <v>0</v>
      </c>
      <c r="W360" s="17"/>
      <c r="X360" s="36"/>
      <c r="Y360" s="396" t="str">
        <f>IF(LEN('Ch6'!X42)=0,"None",'Ch6'!X42)</f>
        <v>BamCore Prime Wall System</v>
      </c>
      <c r="Z360" s="652"/>
      <c r="AL360" t="str">
        <f t="shared" si="16"/>
        <v>vpa601_3_2</v>
      </c>
      <c r="AM360">
        <f t="shared" si="17"/>
        <v>3</v>
      </c>
      <c r="AN360" t="str">
        <f t="shared" si="18"/>
        <v>vpc601_3_2</v>
      </c>
      <c r="AO360">
        <f t="shared" si="19"/>
        <v>0</v>
      </c>
      <c r="AP360" t="str">
        <f t="shared" si="20"/>
        <v>vch601_3_2</v>
      </c>
      <c r="AQ360" t="str">
        <f t="shared" si="21"/>
        <v/>
      </c>
      <c r="AR360" t="str">
        <f t="shared" si="22"/>
        <v>vnt601_3_2</v>
      </c>
      <c r="AS360" t="str">
        <f t="shared" si="23"/>
        <v/>
      </c>
      <c r="AX360" s="6" t="str">
        <f>'Overview (Verification)'!A41</f>
        <v>Type of Cooling System (system 3):</v>
      </c>
      <c r="AY360">
        <f>IF(LEN('Overview (Verification)'!P41)=0,0,'Overview (Verification)'!P41)</f>
        <v>0</v>
      </c>
    </row>
    <row r="361" spans="1:51" x14ac:dyDescent="0.35">
      <c r="A361" s="366">
        <v>6</v>
      </c>
      <c r="B361" s="737">
        <v>601.29999999999995</v>
      </c>
      <c r="C361" s="731" t="s">
        <v>260</v>
      </c>
      <c r="D361" s="731"/>
      <c r="E361" s="731"/>
      <c r="F361" s="731"/>
      <c r="G361" s="366" t="str">
        <f t="shared" si="14"/>
        <v>P</v>
      </c>
      <c r="H361" s="366" t="s">
        <v>3971</v>
      </c>
      <c r="I361" s="30"/>
      <c r="J361" s="130" t="s">
        <v>260</v>
      </c>
      <c r="K361" s="131"/>
      <c r="L361" s="178" t="s">
        <v>516</v>
      </c>
      <c r="M361" s="278">
        <v>3</v>
      </c>
      <c r="N361" s="547">
        <f>'Ch6'!O43</f>
        <v>3</v>
      </c>
      <c r="O361" s="547">
        <f t="shared" si="15"/>
        <v>0</v>
      </c>
      <c r="P361" t="b">
        <v>1</v>
      </c>
      <c r="Q361" t="b">
        <v>0</v>
      </c>
      <c r="R361" t="b">
        <v>0</v>
      </c>
      <c r="S361" t="b">
        <v>1</v>
      </c>
      <c r="T361" t="b">
        <v>0</v>
      </c>
      <c r="W361" s="17"/>
      <c r="X361" s="36"/>
      <c r="Y361" s="396" t="str">
        <f>IF(LEN('Ch6'!X43)=0,"None",'Ch6'!X43)</f>
        <v>None</v>
      </c>
      <c r="Z361" s="652"/>
      <c r="AL361" t="str">
        <f t="shared" si="16"/>
        <v>vpa601_3_3</v>
      </c>
      <c r="AM361">
        <f t="shared" si="17"/>
        <v>3</v>
      </c>
      <c r="AN361" t="str">
        <f t="shared" si="18"/>
        <v>vpc601_3_3</v>
      </c>
      <c r="AO361">
        <f t="shared" si="19"/>
        <v>0</v>
      </c>
      <c r="AP361" t="str">
        <f t="shared" si="20"/>
        <v>vch601_3_3</v>
      </c>
      <c r="AQ361" t="str">
        <f t="shared" si="21"/>
        <v/>
      </c>
      <c r="AR361" t="str">
        <f t="shared" si="22"/>
        <v>vnt601_3_3</v>
      </c>
      <c r="AS361" t="str">
        <f t="shared" si="23"/>
        <v/>
      </c>
      <c r="AX361" s="6" t="str">
        <f>'Overview (Verification)'!A42</f>
        <v>Cooling Ducts:</v>
      </c>
      <c r="AY361">
        <f>IF(LEN('Overview (Verification)'!P42)=0,0,'Overview (Verification)'!P42)</f>
        <v>0</v>
      </c>
    </row>
    <row r="362" spans="1:51" x14ac:dyDescent="0.35">
      <c r="A362" s="366">
        <v>6</v>
      </c>
      <c r="B362" s="737">
        <v>601.29999999999995</v>
      </c>
      <c r="C362" s="731" t="s">
        <v>269</v>
      </c>
      <c r="D362" s="731"/>
      <c r="E362" s="731"/>
      <c r="F362" s="731"/>
      <c r="G362" s="366" t="str">
        <f t="shared" si="14"/>
        <v/>
      </c>
      <c r="H362" s="366" t="s">
        <v>3971</v>
      </c>
      <c r="I362" s="30"/>
      <c r="J362" s="130" t="s">
        <v>269</v>
      </c>
      <c r="K362" s="131"/>
      <c r="L362" s="178" t="s">
        <v>517</v>
      </c>
      <c r="M362" s="278">
        <v>3</v>
      </c>
      <c r="N362" s="547">
        <f>'Ch6'!O44</f>
        <v>0</v>
      </c>
      <c r="O362" s="547">
        <f t="shared" si="15"/>
        <v>0</v>
      </c>
      <c r="P362" t="b">
        <v>1</v>
      </c>
      <c r="Q362" t="b">
        <v>0</v>
      </c>
      <c r="R362" t="b">
        <v>0</v>
      </c>
      <c r="S362" t="b">
        <v>1</v>
      </c>
      <c r="T362" t="b">
        <v>0</v>
      </c>
      <c r="W362" s="17"/>
      <c r="X362" s="36"/>
      <c r="Y362" s="396" t="str">
        <f>IF(LEN('Ch6'!X44)=0,"None",'Ch6'!X44)</f>
        <v>None</v>
      </c>
      <c r="Z362" s="652"/>
      <c r="AL362" t="str">
        <f t="shared" si="16"/>
        <v>vpa601_3_4</v>
      </c>
      <c r="AM362">
        <f t="shared" si="17"/>
        <v>3</v>
      </c>
      <c r="AN362" t="str">
        <f t="shared" si="18"/>
        <v>vpc601_3_4</v>
      </c>
      <c r="AO362">
        <f t="shared" si="19"/>
        <v>0</v>
      </c>
      <c r="AP362" t="str">
        <f t="shared" si="20"/>
        <v>vch601_3_4</v>
      </c>
      <c r="AQ362" t="str">
        <f t="shared" si="21"/>
        <v/>
      </c>
      <c r="AR362" t="str">
        <f t="shared" si="22"/>
        <v>vnt601_3_4</v>
      </c>
      <c r="AS362" t="str">
        <f t="shared" si="23"/>
        <v/>
      </c>
      <c r="AX362" s="6"/>
    </row>
    <row r="363" spans="1:51" ht="15" thickBot="1" x14ac:dyDescent="0.4">
      <c r="A363" s="366">
        <v>6</v>
      </c>
      <c r="B363" s="737">
        <v>601.29999999999995</v>
      </c>
      <c r="C363" s="731" t="s">
        <v>275</v>
      </c>
      <c r="D363" s="731"/>
      <c r="E363" s="731"/>
      <c r="F363" s="731"/>
      <c r="G363" s="366" t="str">
        <f t="shared" si="14"/>
        <v/>
      </c>
      <c r="H363" s="366" t="s">
        <v>3971</v>
      </c>
      <c r="I363" s="30"/>
      <c r="J363" s="19" t="s">
        <v>275</v>
      </c>
      <c r="K363" s="43"/>
      <c r="L363" s="90" t="s">
        <v>518</v>
      </c>
      <c r="M363" s="40">
        <v>1</v>
      </c>
      <c r="N363" s="41">
        <f>'Ch6'!O45</f>
        <v>0</v>
      </c>
      <c r="O363" s="41">
        <f t="shared" si="15"/>
        <v>0</v>
      </c>
      <c r="P363" t="b">
        <v>1</v>
      </c>
      <c r="Q363" t="b">
        <v>0</v>
      </c>
      <c r="R363" t="b">
        <v>0</v>
      </c>
      <c r="S363" t="b">
        <v>1</v>
      </c>
      <c r="T363" t="b">
        <v>0</v>
      </c>
      <c r="W363" s="56"/>
      <c r="X363" s="96"/>
      <c r="Y363" s="397" t="str">
        <f>IF(LEN('Ch6'!X45)=0,"None",'Ch6'!X45)</f>
        <v>None</v>
      </c>
      <c r="Z363" s="658"/>
      <c r="AL363" t="str">
        <f t="shared" si="16"/>
        <v>vpa601_3_5</v>
      </c>
      <c r="AM363">
        <f t="shared" si="17"/>
        <v>1</v>
      </c>
      <c r="AN363" t="str">
        <f t="shared" si="18"/>
        <v>vpc601_3_5</v>
      </c>
      <c r="AO363">
        <f t="shared" si="19"/>
        <v>0</v>
      </c>
      <c r="AP363" t="str">
        <f t="shared" si="20"/>
        <v>vch601_3_5</v>
      </c>
      <c r="AQ363" t="str">
        <f t="shared" si="21"/>
        <v/>
      </c>
      <c r="AR363" t="str">
        <f t="shared" si="22"/>
        <v>vnt601_3_5</v>
      </c>
      <c r="AS363" t="str">
        <f t="shared" si="23"/>
        <v/>
      </c>
      <c r="AX363" s="6" t="str">
        <f>'Overview (Verification)'!A44</f>
        <v>Maximum window and door SHGC:</v>
      </c>
      <c r="AY363">
        <f>IF(LEN('Overview (Verification)'!P44)=0,0,'Overview (Verification)'!P44)</f>
        <v>0</v>
      </c>
    </row>
    <row r="364" spans="1:51" ht="15" thickTop="1" x14ac:dyDescent="0.35">
      <c r="A364" s="366">
        <v>6</v>
      </c>
      <c r="B364" s="737">
        <v>601.4</v>
      </c>
      <c r="C364" s="731"/>
      <c r="D364" s="731"/>
      <c r="E364" s="731"/>
      <c r="F364" s="731"/>
      <c r="G364" s="366" t="str">
        <f t="shared" si="14"/>
        <v>P</v>
      </c>
      <c r="H364" s="366" t="s">
        <v>3971</v>
      </c>
      <c r="I364" s="106">
        <v>601.4</v>
      </c>
      <c r="J364" s="107"/>
      <c r="K364" s="108"/>
      <c r="L364" s="837" t="s">
        <v>519</v>
      </c>
      <c r="M364" s="830">
        <v>4</v>
      </c>
      <c r="N364" s="959">
        <f>'Ch6'!O46</f>
        <v>4</v>
      </c>
      <c r="O364" s="959">
        <f t="shared" si="15"/>
        <v>0</v>
      </c>
      <c r="P364" t="b">
        <v>1</v>
      </c>
      <c r="Q364" t="b">
        <v>0</v>
      </c>
      <c r="R364" s="59" t="b">
        <v>0</v>
      </c>
      <c r="S364" s="59" t="b">
        <v>1</v>
      </c>
      <c r="T364" s="59" t="b">
        <v>0</v>
      </c>
      <c r="U364" s="59"/>
      <c r="V364" s="59"/>
      <c r="W364" s="69"/>
      <c r="X364" s="840"/>
      <c r="Y364" s="1117" t="str">
        <f>IF(LEN('Ch6'!X46)=0,"None",'Ch6'!X46)</f>
        <v>Weyerhaeuser NextPhase Site Solutions</v>
      </c>
      <c r="Z364" s="1103"/>
      <c r="AL364" t="str">
        <f t="shared" si="16"/>
        <v>vpa601_4</v>
      </c>
      <c r="AM364">
        <f t="shared" si="17"/>
        <v>4</v>
      </c>
      <c r="AN364" t="str">
        <f t="shared" si="18"/>
        <v>vpc601_4</v>
      </c>
      <c r="AO364">
        <f t="shared" si="19"/>
        <v>0</v>
      </c>
      <c r="AP364" t="str">
        <f t="shared" si="20"/>
        <v>vch601_4</v>
      </c>
      <c r="AQ364" t="str">
        <f t="shared" si="21"/>
        <v/>
      </c>
      <c r="AR364" t="str">
        <f t="shared" si="22"/>
        <v>vnt601_4</v>
      </c>
      <c r="AS364" t="str">
        <f t="shared" si="23"/>
        <v/>
      </c>
      <c r="AX364" s="6" t="str">
        <f>'Overview (Verification)'!A45</f>
        <v>Maximum skylight SHGC:</v>
      </c>
      <c r="AY364">
        <f>IF(LEN('Overview (Verification)'!P45)=0,0,'Overview (Verification)'!P45)</f>
        <v>0</v>
      </c>
    </row>
    <row r="365" spans="1:51" x14ac:dyDescent="0.35">
      <c r="A365" s="366">
        <v>6</v>
      </c>
      <c r="B365" s="737">
        <v>601.4</v>
      </c>
      <c r="C365" s="731"/>
      <c r="D365" s="731"/>
      <c r="E365" s="731"/>
      <c r="F365" s="731"/>
      <c r="G365" s="366" t="str">
        <f>G364</f>
        <v>P</v>
      </c>
      <c r="H365" s="366" t="s">
        <v>3971</v>
      </c>
      <c r="I365" s="30"/>
      <c r="J365" s="4"/>
      <c r="K365" s="43"/>
      <c r="L365" s="838"/>
      <c r="M365" s="818"/>
      <c r="N365" s="834"/>
      <c r="O365" s="834"/>
      <c r="X365" s="817"/>
      <c r="Y365" s="1100"/>
      <c r="Z365" s="1102"/>
      <c r="AX365" s="6" t="str">
        <f>'Overview (Verification)'!A46</f>
        <v>Maximum window and door U-value:</v>
      </c>
      <c r="AY365">
        <f>IF(LEN('Overview (Verification)'!P46)=0,0,'Overview (Verification)'!P46)</f>
        <v>0</v>
      </c>
    </row>
    <row r="366" spans="1:51" ht="15" thickBot="1" x14ac:dyDescent="0.4">
      <c r="A366" s="366">
        <v>6</v>
      </c>
      <c r="B366" s="737">
        <v>601.4</v>
      </c>
      <c r="C366" s="731"/>
      <c r="D366" s="731"/>
      <c r="E366" s="731"/>
      <c r="F366" s="731"/>
      <c r="G366" s="366" t="str">
        <f>G365</f>
        <v>P</v>
      </c>
      <c r="H366" s="366" t="s">
        <v>3971</v>
      </c>
      <c r="I366" s="30"/>
      <c r="J366" s="4"/>
      <c r="K366" s="43"/>
      <c r="L366" s="838"/>
      <c r="M366" s="818"/>
      <c r="N366" s="863"/>
      <c r="O366" s="834"/>
      <c r="X366" s="850"/>
      <c r="Y366" s="1101"/>
      <c r="Z366" s="1104"/>
      <c r="AX366" s="6" t="str">
        <f>'Overview (Verification)'!A47</f>
        <v>Maximum skylight U-value:</v>
      </c>
      <c r="AY366">
        <f>IF(LEN('Overview (Verification)'!P47)=0,0,'Overview (Verification)'!P47)</f>
        <v>0</v>
      </c>
    </row>
    <row r="367" spans="1:51" ht="15" thickTop="1" x14ac:dyDescent="0.35">
      <c r="A367" s="366">
        <v>6</v>
      </c>
      <c r="B367" s="737">
        <v>601.5</v>
      </c>
      <c r="C367" s="731"/>
      <c r="D367" s="731"/>
      <c r="E367" s="731"/>
      <c r="F367" s="731"/>
      <c r="G367" s="727" t="str">
        <f>IF(COUNTIF(G370:G374,"P")&gt;0,"P","")</f>
        <v>P</v>
      </c>
      <c r="H367" s="366" t="s">
        <v>3971</v>
      </c>
      <c r="I367" s="60">
        <v>601.5</v>
      </c>
      <c r="J367" s="107"/>
      <c r="K367" s="108"/>
      <c r="L367" s="837" t="s">
        <v>520</v>
      </c>
      <c r="M367" s="830" t="s">
        <v>521</v>
      </c>
      <c r="N367" s="545"/>
      <c r="O367" s="545"/>
      <c r="P367" s="59"/>
      <c r="Q367" s="59"/>
      <c r="R367" s="59"/>
      <c r="S367" s="59"/>
      <c r="T367" s="59"/>
      <c r="U367" s="59"/>
      <c r="V367" s="59"/>
      <c r="W367" s="59"/>
      <c r="X367" s="110"/>
      <c r="AL367" t="str">
        <f>SUBSTITUTE(SUBSTITUTE(SUBSTITUTE("vpa"&amp;$B367&amp;$C367&amp;$D367&amp;$E367,".","_"),"(","_"),")","")</f>
        <v>vpa601_5</v>
      </c>
      <c r="AM367" t="str">
        <f>M367</f>
        <v>13 Max</v>
      </c>
      <c r="AX367" s="6" t="str">
        <f>'Overview (Verification)'!A48</f>
        <v>Renewable Energy:</v>
      </c>
      <c r="AY367">
        <f>IF(LEN('Overview (Verification)'!P48)=0,0,'Overview (Verification)'!P48)</f>
        <v>0</v>
      </c>
    </row>
    <row r="368" spans="1:51" x14ac:dyDescent="0.35">
      <c r="A368" s="366">
        <v>6</v>
      </c>
      <c r="B368" s="737">
        <v>601.5</v>
      </c>
      <c r="C368" s="731"/>
      <c r="D368" s="731"/>
      <c r="E368" s="731"/>
      <c r="F368" s="731"/>
      <c r="G368" s="366" t="str">
        <f>G367</f>
        <v>P</v>
      </c>
      <c r="H368" s="366" t="s">
        <v>3971</v>
      </c>
      <c r="I368" s="30"/>
      <c r="J368" s="4"/>
      <c r="K368" s="43"/>
      <c r="L368" s="838"/>
      <c r="M368" s="818"/>
      <c r="N368" s="41"/>
      <c r="O368" s="41"/>
      <c r="X368" s="65"/>
      <c r="AX368" s="6" t="str">
        <f>'Overview (Verification)'!A49</f>
        <v>Thermal Envelope Insulation:</v>
      </c>
      <c r="AY368">
        <f>IF(LEN('Overview (Verification)'!P49)=0,0,'Overview (Verification)'!P49)</f>
        <v>0</v>
      </c>
    </row>
    <row r="369" spans="1:51" x14ac:dyDescent="0.35">
      <c r="A369" s="366">
        <v>6</v>
      </c>
      <c r="B369" s="737">
        <v>601.5</v>
      </c>
      <c r="C369" s="731"/>
      <c r="D369" s="731"/>
      <c r="E369" s="731"/>
      <c r="F369" s="731"/>
      <c r="G369" s="366" t="str">
        <f>G368</f>
        <v>P</v>
      </c>
      <c r="H369" s="366" t="s">
        <v>3971</v>
      </c>
      <c r="I369" s="30"/>
      <c r="J369" s="4"/>
      <c r="K369" s="43"/>
      <c r="L369" s="838"/>
      <c r="M369" s="818"/>
      <c r="N369" s="41"/>
      <c r="O369" s="41"/>
      <c r="X369" s="65"/>
      <c r="AX369" s="6" t="str">
        <f>'Overview (Verification)'!A50</f>
        <v>Attic Type:</v>
      </c>
      <c r="AY369">
        <f>IF(LEN('Overview (Verification)'!P50)=0,0,'Overview (Verification)'!P50)</f>
        <v>0</v>
      </c>
    </row>
    <row r="370" spans="1:51" x14ac:dyDescent="0.35">
      <c r="A370" s="366">
        <v>6</v>
      </c>
      <c r="B370" s="737">
        <v>601.5</v>
      </c>
      <c r="C370" s="731" t="s">
        <v>256</v>
      </c>
      <c r="D370" s="731"/>
      <c r="E370" s="731"/>
      <c r="F370" s="731"/>
      <c r="G370" s="366" t="str">
        <f t="shared" ref="G370:G375" si="24">IF(N370&gt;0,"P","")</f>
        <v/>
      </c>
      <c r="H370" s="366" t="s">
        <v>3971</v>
      </c>
      <c r="I370" s="30"/>
      <c r="J370" s="129" t="s">
        <v>256</v>
      </c>
      <c r="K370" s="101"/>
      <c r="L370" s="228" t="s">
        <v>522</v>
      </c>
      <c r="M370" s="268">
        <v>4</v>
      </c>
      <c r="N370" s="546">
        <f>'Ch6'!O52</f>
        <v>0</v>
      </c>
      <c r="O370" s="546">
        <f>M370*S370*W370</f>
        <v>0</v>
      </c>
      <c r="P370" t="b">
        <v>1</v>
      </c>
      <c r="Q370" t="b">
        <v>0</v>
      </c>
      <c r="R370" t="b">
        <v>0</v>
      </c>
      <c r="S370" t="b">
        <f>AND(NOT(W373=TRUE),NOT(W374=TRUE))</f>
        <v>1</v>
      </c>
      <c r="T370" t="b">
        <f>IF(AND(NOT(S370),W370=TRUE),TRUE,FALSE)</f>
        <v>0</v>
      </c>
      <c r="W370" s="17"/>
      <c r="X370" s="36"/>
      <c r="Y370" s="396" t="str">
        <f>IF(LEN('Ch6'!X52)=0,"None",'Ch6'!X52)</f>
        <v>None</v>
      </c>
      <c r="Z370" s="652"/>
      <c r="AC370" t="b">
        <f>OR(AD370:AE370)</f>
        <v>0</v>
      </c>
      <c r="AD370" t="b">
        <f>T370</f>
        <v>0</v>
      </c>
      <c r="AE370" t="b">
        <v>0</v>
      </c>
      <c r="AF370" t="b">
        <f>AND(AE370,NOT(Q370))</f>
        <v>0</v>
      </c>
      <c r="AL370" t="str">
        <f t="shared" ref="AL370:AL375" si="25">SUBSTITUTE(SUBSTITUTE(SUBSTITUTE("vpa"&amp;$B370&amp;$C370&amp;$D370&amp;$E370,".","_"),"(","_"),")","")</f>
        <v>vpa601_5_1</v>
      </c>
      <c r="AM370">
        <f t="shared" ref="AM370:AM375" si="26">M370</f>
        <v>4</v>
      </c>
      <c r="AN370" t="str">
        <f t="shared" ref="AN370:AN375" si="27">SUBSTITUTE(SUBSTITUTE(SUBSTITUTE("vpc"&amp;$B370&amp;$C370&amp;$D370&amp;$E370,".","_"),"(","_"),")","")</f>
        <v>vpc601_5_1</v>
      </c>
      <c r="AO370">
        <f t="shared" ref="AO370:AO375" si="28">O370</f>
        <v>0</v>
      </c>
      <c r="AP370" t="str">
        <f>SUBSTITUTE(SUBSTITUTE(SUBSTITUTE("vch"&amp;$B370&amp;$C370&amp;$D370&amp;$E370,".","_"),"(","_"),")","")</f>
        <v>vch601_5_1</v>
      </c>
      <c r="AQ370" t="str">
        <f>IF(LEN(W370)=0,"",W370)</f>
        <v/>
      </c>
      <c r="AR370" t="str">
        <f t="shared" ref="AR370:AR375" si="29">SUBSTITUTE(SUBSTITUTE(SUBSTITUTE("vnt"&amp;$B370&amp;$C370&amp;$D370&amp;$E370,".","_"),"(","_"),")","")</f>
        <v>vnt601_5_1</v>
      </c>
      <c r="AS370" t="str">
        <f t="shared" ref="AS370:AS375" si="30">IF(LEN(X370)=0,"",X370)</f>
        <v/>
      </c>
      <c r="AX370" s="6" t="str">
        <f>'Overview (Verification)'!A51</f>
        <v>Attached Garage:</v>
      </c>
      <c r="AY370">
        <f>IF(LEN('Overview (Verification)'!P51)=0,0,'Overview (Verification)'!P51)</f>
        <v>0</v>
      </c>
    </row>
    <row r="371" spans="1:51" ht="29" x14ac:dyDescent="0.35">
      <c r="A371" s="366">
        <v>6</v>
      </c>
      <c r="B371" s="737">
        <v>601.5</v>
      </c>
      <c r="C371" s="731" t="s">
        <v>258</v>
      </c>
      <c r="D371" s="731"/>
      <c r="E371" s="731"/>
      <c r="F371" s="731"/>
      <c r="G371" s="366" t="str">
        <f t="shared" si="24"/>
        <v>P</v>
      </c>
      <c r="H371" s="366" t="s">
        <v>3971</v>
      </c>
      <c r="I371" s="30"/>
      <c r="J371" s="130" t="s">
        <v>258</v>
      </c>
      <c r="K371" s="131"/>
      <c r="L371" s="178" t="s">
        <v>523</v>
      </c>
      <c r="M371" s="278">
        <v>4</v>
      </c>
      <c r="N371" s="547">
        <f>'Ch6'!O53</f>
        <v>4</v>
      </c>
      <c r="O371" s="547">
        <f>M371*S371*W371</f>
        <v>0</v>
      </c>
      <c r="P371" t="b">
        <v>1</v>
      </c>
      <c r="Q371" t="b">
        <v>0</v>
      </c>
      <c r="R371" t="b">
        <v>0</v>
      </c>
      <c r="S371" t="b">
        <f>AND(NOT(W373=TRUE),NOT(W374=TRUE))</f>
        <v>1</v>
      </c>
      <c r="T371" t="b">
        <f>IF(AND(NOT(S371),W371=TRUE),TRUE,FALSE)</f>
        <v>0</v>
      </c>
      <c r="W371" s="17"/>
      <c r="X371" s="36"/>
      <c r="Y371" s="396" t="str">
        <f>IF(LEN('Ch6'!X53)=0,"None",'Ch6'!X53)</f>
        <v>BamCore Prime Wall System / Superior Walls Insulated Precast Concrete Walls</v>
      </c>
      <c r="Z371" s="652"/>
      <c r="AC371" t="b">
        <f>OR(AD371:AE371)</f>
        <v>0</v>
      </c>
      <c r="AD371" t="b">
        <f>T371</f>
        <v>0</v>
      </c>
      <c r="AE371" t="b">
        <v>0</v>
      </c>
      <c r="AF371" t="b">
        <f>AND(AE371,NOT(Q371))</f>
        <v>0</v>
      </c>
      <c r="AL371" t="str">
        <f t="shared" si="25"/>
        <v>vpa601_5_2</v>
      </c>
      <c r="AM371">
        <f t="shared" si="26"/>
        <v>4</v>
      </c>
      <c r="AN371" t="str">
        <f t="shared" si="27"/>
        <v>vpc601_5_2</v>
      </c>
      <c r="AO371">
        <f t="shared" si="28"/>
        <v>0</v>
      </c>
      <c r="AP371" t="str">
        <f>SUBSTITUTE(SUBSTITUTE(SUBSTITUTE("vch"&amp;$B371&amp;$C371&amp;$D371&amp;$E371,".","_"),"(","_"),")","")</f>
        <v>vch601_5_2</v>
      </c>
      <c r="AQ371" t="str">
        <f>IF(LEN(W371)=0,"",W371)</f>
        <v/>
      </c>
      <c r="AR371" t="str">
        <f t="shared" si="29"/>
        <v>vnt601_5_2</v>
      </c>
      <c r="AS371" t="str">
        <f t="shared" si="30"/>
        <v/>
      </c>
      <c r="AX371" s="6" t="str">
        <f>'Overview (Verification)'!A52</f>
        <v>Recessed Lighting:</v>
      </c>
      <c r="AY371">
        <f>IF(LEN('Overview (Verification)'!P52)=0,0,'Overview (Verification)'!P52)</f>
        <v>0</v>
      </c>
    </row>
    <row r="372" spans="1:51" x14ac:dyDescent="0.35">
      <c r="A372" s="366">
        <v>6</v>
      </c>
      <c r="B372" s="737">
        <v>601.5</v>
      </c>
      <c r="C372" s="731" t="s">
        <v>260</v>
      </c>
      <c r="D372" s="731"/>
      <c r="E372" s="731"/>
      <c r="F372" s="731"/>
      <c r="G372" s="366" t="str">
        <f t="shared" si="24"/>
        <v/>
      </c>
      <c r="H372" s="366" t="s">
        <v>3971</v>
      </c>
      <c r="I372" s="30"/>
      <c r="J372" s="130" t="s">
        <v>260</v>
      </c>
      <c r="K372" s="131"/>
      <c r="L372" s="178" t="s">
        <v>524</v>
      </c>
      <c r="M372" s="278">
        <v>4</v>
      </c>
      <c r="N372" s="547">
        <f>'Ch6'!O54</f>
        <v>0</v>
      </c>
      <c r="O372" s="547">
        <f>M372*S372*W372</f>
        <v>0</v>
      </c>
      <c r="P372" t="b">
        <v>1</v>
      </c>
      <c r="Q372" t="b">
        <v>0</v>
      </c>
      <c r="R372" t="b">
        <v>0</v>
      </c>
      <c r="S372" t="b">
        <f>AND(NOT(W373=TRUE),NOT(W374=TRUE))</f>
        <v>1</v>
      </c>
      <c r="T372" t="b">
        <f>IF(AND(NOT(S372),W372=TRUE),TRUE,FALSE)</f>
        <v>0</v>
      </c>
      <c r="W372" s="17"/>
      <c r="X372" s="36"/>
      <c r="Y372" s="396" t="str">
        <f>IF(LEN('Ch6'!X54)=0,"None",'Ch6'!X54)</f>
        <v>None</v>
      </c>
      <c r="Z372" s="652"/>
      <c r="AC372" t="b">
        <f>OR(AD372:AE372)</f>
        <v>0</v>
      </c>
      <c r="AD372" t="b">
        <f>T372</f>
        <v>0</v>
      </c>
      <c r="AE372" t="b">
        <v>0</v>
      </c>
      <c r="AF372" t="b">
        <f>AND(AE372,NOT(Q372))</f>
        <v>0</v>
      </c>
      <c r="AL372" t="str">
        <f t="shared" si="25"/>
        <v>vpa601_5_3</v>
      </c>
      <c r="AM372">
        <f t="shared" si="26"/>
        <v>4</v>
      </c>
      <c r="AN372" t="str">
        <f t="shared" si="27"/>
        <v>vpc601_5_3</v>
      </c>
      <c r="AO372">
        <f t="shared" si="28"/>
        <v>0</v>
      </c>
      <c r="AP372" t="str">
        <f>SUBSTITUTE(SUBSTITUTE(SUBSTITUTE("vch"&amp;$B372&amp;$C372&amp;$D372&amp;$E372,".","_"),"(","_"),")","")</f>
        <v>vch601_5_3</v>
      </c>
      <c r="AQ372" t="str">
        <f>IF(LEN(W372)=0,"",W372)</f>
        <v/>
      </c>
      <c r="AR372" t="str">
        <f t="shared" si="29"/>
        <v>vnt601_5_3</v>
      </c>
      <c r="AS372" t="str">
        <f t="shared" si="30"/>
        <v/>
      </c>
      <c r="AX372" s="6"/>
    </row>
    <row r="373" spans="1:51" x14ac:dyDescent="0.35">
      <c r="A373" s="366">
        <v>6</v>
      </c>
      <c r="B373" s="737">
        <v>601.5</v>
      </c>
      <c r="C373" s="731" t="s">
        <v>269</v>
      </c>
      <c r="D373" s="731"/>
      <c r="E373" s="731"/>
      <c r="F373" s="731"/>
      <c r="G373" s="366" t="str">
        <f t="shared" si="24"/>
        <v/>
      </c>
      <c r="H373" s="366" t="s">
        <v>3971</v>
      </c>
      <c r="I373" s="30"/>
      <c r="J373" s="130" t="s">
        <v>269</v>
      </c>
      <c r="K373" s="131"/>
      <c r="L373" s="178" t="s">
        <v>525</v>
      </c>
      <c r="M373" s="278">
        <v>13</v>
      </c>
      <c r="N373" s="547">
        <f>'Ch6'!O55</f>
        <v>0</v>
      </c>
      <c r="O373" s="547">
        <f>M373*S373*W373</f>
        <v>0</v>
      </c>
      <c r="P373" t="b">
        <v>1</v>
      </c>
      <c r="Q373" t="b">
        <v>0</v>
      </c>
      <c r="R373" t="b">
        <v>0</v>
      </c>
      <c r="S373" t="b">
        <f>NOT(OR(W370=TRUE,W371=TRUE,W372=TRUE,W374=TRUE))</f>
        <v>1</v>
      </c>
      <c r="T373" t="b">
        <f>IF(AND(NOT(S373),W373=TRUE),TRUE,FALSE)</f>
        <v>0</v>
      </c>
      <c r="W373" s="17"/>
      <c r="X373" s="36"/>
      <c r="Y373" s="396" t="str">
        <f>IF(LEN('Ch6'!X55)=0,"None",'Ch6'!X55)</f>
        <v>None</v>
      </c>
      <c r="Z373" s="652"/>
      <c r="AC373" t="b">
        <f>OR(AD373:AE373)</f>
        <v>0</v>
      </c>
      <c r="AD373" t="b">
        <f>T373</f>
        <v>0</v>
      </c>
      <c r="AE373" t="b">
        <v>0</v>
      </c>
      <c r="AF373" t="b">
        <f>AND(AE373,NOT(Q373))</f>
        <v>0</v>
      </c>
      <c r="AL373" t="str">
        <f t="shared" si="25"/>
        <v>vpa601_5_4</v>
      </c>
      <c r="AM373">
        <f t="shared" si="26"/>
        <v>13</v>
      </c>
      <c r="AN373" t="str">
        <f t="shared" si="27"/>
        <v>vpc601_5_4</v>
      </c>
      <c r="AO373">
        <f t="shared" si="28"/>
        <v>0</v>
      </c>
      <c r="AP373" t="str">
        <f>SUBSTITUTE(SUBSTITUTE(SUBSTITUTE("vch"&amp;$B373&amp;$C373&amp;$D373&amp;$E373,".","_"),"(","_"),")","")</f>
        <v>vch601_5_4</v>
      </c>
      <c r="AQ373" t="str">
        <f>IF(LEN(W373)=0,"",W373)</f>
        <v/>
      </c>
      <c r="AR373" t="str">
        <f t="shared" si="29"/>
        <v>vnt601_5_4</v>
      </c>
      <c r="AS373" t="str">
        <f t="shared" si="30"/>
        <v/>
      </c>
      <c r="AX373" s="6" t="str">
        <f>'Overview (Verification)'!A54</f>
        <v>Special Design Features:</v>
      </c>
    </row>
    <row r="374" spans="1:51" ht="15" thickBot="1" x14ac:dyDescent="0.4">
      <c r="A374" s="366">
        <v>6</v>
      </c>
      <c r="B374" s="737">
        <v>601.5</v>
      </c>
      <c r="C374" s="731" t="s">
        <v>275</v>
      </c>
      <c r="D374" s="731"/>
      <c r="E374" s="731"/>
      <c r="F374" s="731"/>
      <c r="G374" s="366" t="str">
        <f t="shared" si="24"/>
        <v/>
      </c>
      <c r="H374" s="366" t="s">
        <v>3971</v>
      </c>
      <c r="I374" s="30"/>
      <c r="J374" s="19" t="s">
        <v>275</v>
      </c>
      <c r="K374" s="43"/>
      <c r="L374" s="90" t="s">
        <v>526</v>
      </c>
      <c r="M374" s="40">
        <v>13</v>
      </c>
      <c r="N374" s="41">
        <f>'Ch6'!O56</f>
        <v>0</v>
      </c>
      <c r="O374" s="41">
        <f>M374*S374*W374</f>
        <v>0</v>
      </c>
      <c r="P374" t="b">
        <v>1</v>
      </c>
      <c r="Q374" t="b">
        <v>0</v>
      </c>
      <c r="R374" t="b">
        <v>0</v>
      </c>
      <c r="S374" t="b">
        <f>NOT(OR(W370=TRUE,W371=TRUE,W372=TRUE,W373=TRUE))</f>
        <v>1</v>
      </c>
      <c r="T374" t="b">
        <f>IF(AND(NOT(S374),W374=TRUE),TRUE,FALSE)</f>
        <v>0</v>
      </c>
      <c r="W374" s="17"/>
      <c r="X374" s="96"/>
      <c r="Y374" s="397" t="str">
        <f>IF(LEN('Ch6'!X56)=0,"None",'Ch6'!X56)</f>
        <v>None</v>
      </c>
      <c r="Z374" s="658"/>
      <c r="AC374" t="b">
        <f>OR(AD374:AE374)</f>
        <v>0</v>
      </c>
      <c r="AD374" t="b">
        <f>T374</f>
        <v>0</v>
      </c>
      <c r="AE374" t="b">
        <v>0</v>
      </c>
      <c r="AF374" t="b">
        <f>AND(AE374,NOT(Q374))</f>
        <v>0</v>
      </c>
      <c r="AL374" t="str">
        <f t="shared" si="25"/>
        <v>vpa601_5_5</v>
      </c>
      <c r="AM374">
        <f t="shared" si="26"/>
        <v>13</v>
      </c>
      <c r="AN374" t="str">
        <f t="shared" si="27"/>
        <v>vpc601_5_5</v>
      </c>
      <c r="AO374">
        <f t="shared" si="28"/>
        <v>0</v>
      </c>
      <c r="AP374" t="str">
        <f>SUBSTITUTE(SUBSTITUTE(SUBSTITUTE("vch"&amp;$B374&amp;$C374&amp;$D374&amp;$E374,".","_"),"(","_"),")","")</f>
        <v>vch601_5_5</v>
      </c>
      <c r="AQ374" t="str">
        <f>IF(LEN(W374)=0,"",W374)</f>
        <v/>
      </c>
      <c r="AR374" t="str">
        <f t="shared" si="29"/>
        <v>vnt601_5_5</v>
      </c>
      <c r="AS374" t="str">
        <f t="shared" si="30"/>
        <v/>
      </c>
      <c r="AX374" s="6" t="str">
        <f>'Overview (Verification)'!A55</f>
        <v>Passive Solar:</v>
      </c>
      <c r="AY374">
        <f>IF(LEN('Overview (Verification)'!P55)=0,0,'Overview (Verification)'!P55)</f>
        <v>0</v>
      </c>
    </row>
    <row r="375" spans="1:51" ht="15" thickTop="1" x14ac:dyDescent="0.35">
      <c r="A375" s="366">
        <v>6</v>
      </c>
      <c r="B375" s="737">
        <v>601.6</v>
      </c>
      <c r="C375" s="731"/>
      <c r="D375" s="731"/>
      <c r="E375" s="731"/>
      <c r="F375" s="731"/>
      <c r="G375" s="366" t="str">
        <f t="shared" ca="1" si="24"/>
        <v>P</v>
      </c>
      <c r="H375" s="366" t="s">
        <v>3971</v>
      </c>
      <c r="I375" s="106">
        <v>601.6</v>
      </c>
      <c r="J375" s="107"/>
      <c r="K375" s="108"/>
      <c r="L375" s="837" t="s">
        <v>527</v>
      </c>
      <c r="M375" s="830" t="s">
        <v>528</v>
      </c>
      <c r="N375" s="959">
        <f ca="1">'Ch6'!O57</f>
        <v>4</v>
      </c>
      <c r="O375" s="831">
        <f ca="1">IFERROR(INDEX({4,6,8},MATCH(W376,INDIRECT(U376),0)),0)</f>
        <v>0</v>
      </c>
      <c r="P375" s="59"/>
      <c r="Q375" s="59"/>
      <c r="R375" s="59"/>
      <c r="S375" s="59"/>
      <c r="T375" s="59"/>
      <c r="U375" s="59"/>
      <c r="V375" s="59"/>
      <c r="W375" s="59" t="s">
        <v>4588</v>
      </c>
      <c r="X375" s="840"/>
      <c r="Y375" s="1117" t="str">
        <f>IF(LEN('Ch6'!X57)=0,"None",'Ch6'!X57)</f>
        <v>None</v>
      </c>
      <c r="Z375" s="1103"/>
      <c r="AA375" s="350" t="str">
        <f>IF(LEN('Photo Review'!I374)&gt;0,'Photo Review'!I374,"")</f>
        <v/>
      </c>
      <c r="AL375" t="str">
        <f t="shared" si="25"/>
        <v>vpa601_6</v>
      </c>
      <c r="AM375" t="str">
        <f t="shared" si="26"/>
        <v>8 Max</v>
      </c>
      <c r="AN375" t="str">
        <f t="shared" si="27"/>
        <v>vpc601_6</v>
      </c>
      <c r="AO375">
        <f t="shared" ca="1" si="28"/>
        <v>0</v>
      </c>
      <c r="AR375" t="str">
        <f t="shared" si="29"/>
        <v>vnt601_6</v>
      </c>
      <c r="AS375" t="str">
        <f t="shared" si="30"/>
        <v/>
      </c>
      <c r="AX375" s="6" t="str">
        <f>'Overview (Verification)'!A56</f>
        <v>Mass Walls:</v>
      </c>
      <c r="AY375">
        <f>IF(LEN('Overview (Verification)'!P56)=0,0,'Overview (Verification)'!P56)</f>
        <v>0</v>
      </c>
    </row>
    <row r="376" spans="1:51" x14ac:dyDescent="0.35">
      <c r="A376" s="366">
        <v>6</v>
      </c>
      <c r="B376" s="737">
        <v>601.6</v>
      </c>
      <c r="C376" s="731"/>
      <c r="D376" s="731"/>
      <c r="E376" s="731"/>
      <c r="F376" s="731"/>
      <c r="G376" s="366" t="str">
        <f ca="1">G375</f>
        <v>P</v>
      </c>
      <c r="H376" s="366" t="s">
        <v>3971</v>
      </c>
      <c r="I376" s="30"/>
      <c r="J376" s="4"/>
      <c r="K376" s="43"/>
      <c r="L376" s="838"/>
      <c r="M376" s="818"/>
      <c r="N376" s="834"/>
      <c r="O376" s="832"/>
      <c r="P376" t="b">
        <v>1</v>
      </c>
      <c r="Q376" t="b">
        <v>0</v>
      </c>
      <c r="R376" t="b">
        <v>0</v>
      </c>
      <c r="S376" t="b">
        <v>1</v>
      </c>
      <c r="T376" t="b">
        <v>0</v>
      </c>
      <c r="U376" t="str">
        <f>SUBSTITUTE(SUBSTITUTE(SUBSTITUTE("dd"&amp;B376&amp;C376&amp;D376&amp;E376&amp;F376,".","_"),"(","_"),")","")</f>
        <v>dd601_6</v>
      </c>
      <c r="W376" s="350" t="str">
        <f ca="1">IFERROR(INDEX(INDIRECT(U376),MIN(S378-1,3)),"no stacked stories")</f>
        <v>no stacked stories</v>
      </c>
      <c r="X376" s="817"/>
      <c r="Y376" s="1100"/>
      <c r="Z376" s="1102"/>
      <c r="AX376" s="6" t="str">
        <f>'Overview (Verification)'!A57</f>
        <v>Radiant/Hydronic:</v>
      </c>
      <c r="AY376">
        <f>IF(LEN('Overview (Verification)'!P57)=0,0,'Overview (Verification)'!P57)</f>
        <v>0</v>
      </c>
    </row>
    <row r="377" spans="1:51" x14ac:dyDescent="0.35">
      <c r="A377" s="366">
        <v>6</v>
      </c>
      <c r="B377" s="737">
        <v>601.6</v>
      </c>
      <c r="C377" s="731"/>
      <c r="D377" s="731"/>
      <c r="E377" s="731"/>
      <c r="F377" s="731"/>
      <c r="G377" s="366" t="str">
        <f ca="1">G376</f>
        <v>P</v>
      </c>
      <c r="H377" s="366" t="s">
        <v>3971</v>
      </c>
      <c r="I377" s="30"/>
      <c r="J377" s="4"/>
      <c r="K377" s="43"/>
      <c r="L377" s="838"/>
      <c r="M377" s="818"/>
      <c r="N377" s="834"/>
      <c r="O377" s="832"/>
      <c r="S377" s="1" t="s">
        <v>4587</v>
      </c>
      <c r="X377" s="817"/>
      <c r="Y377" s="1100"/>
      <c r="Z377" s="1102"/>
      <c r="AX377" s="6" t="str">
        <f>'Overview (Verification)'!A58</f>
        <v>Tankless Water Heater:</v>
      </c>
      <c r="AY377">
        <f>IF(LEN('Overview (Verification)'!P58)=0,0,'Overview (Verification)'!P58)</f>
        <v>0</v>
      </c>
    </row>
    <row r="378" spans="1:51" x14ac:dyDescent="0.35">
      <c r="A378" s="366">
        <v>6</v>
      </c>
      <c r="B378" s="737">
        <v>601.6</v>
      </c>
      <c r="C378" s="731" t="s">
        <v>256</v>
      </c>
      <c r="D378" s="731"/>
      <c r="E378" s="731"/>
      <c r="F378" s="731"/>
      <c r="G378" s="366" t="str">
        <f ca="1">G377</f>
        <v>P</v>
      </c>
      <c r="H378" s="366" t="s">
        <v>3971</v>
      </c>
      <c r="I378" s="30"/>
      <c r="J378" s="129" t="s">
        <v>256</v>
      </c>
      <c r="K378" s="101"/>
      <c r="L378" s="228" t="s">
        <v>529</v>
      </c>
      <c r="M378" s="268">
        <v>4</v>
      </c>
      <c r="N378" s="41"/>
      <c r="O378" s="75"/>
      <c r="S378" s="1">
        <f>AY346</f>
        <v>0</v>
      </c>
      <c r="X378" s="817"/>
      <c r="Y378" s="1100"/>
      <c r="Z378" s="1102"/>
      <c r="AL378" t="str">
        <f>SUBSTITUTE(SUBSTITUTE(SUBSTITUTE("vpa"&amp;$B378&amp;$C378&amp;$D378&amp;$E378,".","_"),"(","_"),")","")</f>
        <v>vpa601_6_1</v>
      </c>
      <c r="AM378">
        <f>M378</f>
        <v>4</v>
      </c>
      <c r="AX378" s="6" t="str">
        <f>'Overview (Verification)'!A59</f>
        <v>Composting Toilet:</v>
      </c>
      <c r="AY378">
        <f>IF(LEN('Overview (Verification)'!P59)=0,0,'Overview (Verification)'!P59)</f>
        <v>0</v>
      </c>
    </row>
    <row r="379" spans="1:51" ht="15" thickBot="1" x14ac:dyDescent="0.4">
      <c r="A379" s="366">
        <v>6</v>
      </c>
      <c r="B379" s="737">
        <v>601.6</v>
      </c>
      <c r="C379" s="731" t="s">
        <v>258</v>
      </c>
      <c r="D379" s="731"/>
      <c r="E379" s="731"/>
      <c r="F379" s="731"/>
      <c r="G379" s="366" t="str">
        <f ca="1">G378</f>
        <v>P</v>
      </c>
      <c r="H379" s="366" t="s">
        <v>3971</v>
      </c>
      <c r="I379" s="30"/>
      <c r="J379" s="19" t="s">
        <v>258</v>
      </c>
      <c r="K379" s="43"/>
      <c r="L379" s="90" t="s">
        <v>530</v>
      </c>
      <c r="M379" s="40">
        <v>2</v>
      </c>
      <c r="N379" s="41"/>
      <c r="O379" s="41"/>
      <c r="X379" s="850"/>
      <c r="Y379" s="1101"/>
      <c r="Z379" s="1104"/>
      <c r="AL379" t="str">
        <f>SUBSTITUTE(SUBSTITUTE(SUBSTITUTE("vpa"&amp;$B379&amp;$C379&amp;$D379&amp;$E379,".","_"),"(","_"),")","")</f>
        <v>vpa601_6_2</v>
      </c>
      <c r="AM379">
        <f>M379</f>
        <v>2</v>
      </c>
      <c r="AX379" s="6"/>
    </row>
    <row r="380" spans="1:51" ht="15" thickTop="1" x14ac:dyDescent="0.35">
      <c r="A380" s="366">
        <v>6</v>
      </c>
      <c r="B380" s="737">
        <v>601.70000000000005</v>
      </c>
      <c r="C380" s="731"/>
      <c r="D380" s="731"/>
      <c r="E380" s="731"/>
      <c r="F380" s="731"/>
      <c r="G380" s="366" t="str">
        <f ca="1">IF(N380&gt;0,"P","")</f>
        <v/>
      </c>
      <c r="H380" s="366" t="s">
        <v>3970</v>
      </c>
      <c r="I380" s="106">
        <v>601.70000000000005</v>
      </c>
      <c r="J380" s="107"/>
      <c r="K380" s="108"/>
      <c r="L380" s="837" t="s">
        <v>531</v>
      </c>
      <c r="M380" s="830" t="s">
        <v>532</v>
      </c>
      <c r="N380" s="959">
        <f ca="1">'Ch6'!O62</f>
        <v>0</v>
      </c>
      <c r="O380" s="959">
        <f ca="1">MIN(12,IFERROR(INDEX({1,2,5},MATCH(W383,INDIRECT(U383),0)),0)+IFERROR(INDEX({1,2,5},MATCH(W384,INDIRECT(U384),0)),0)+IFERROR(INDEX({1,2,5},MATCH(W385,INDIRECT(U385),0)),0)+IFERROR(INDEX({1,2,5},MATCH(W389,INDIRECT(U389),0)),0)+IFERROR(INDEX({1,2,5},MATCH(W391,INDIRECT(U391),0)),0))</f>
        <v>0</v>
      </c>
      <c r="P380" s="59"/>
      <c r="Q380" s="59"/>
      <c r="R380" s="59"/>
      <c r="S380" s="59"/>
      <c r="T380" s="59"/>
      <c r="U380" s="59"/>
      <c r="V380" s="59"/>
      <c r="W380" s="59"/>
      <c r="X380" s="864"/>
      <c r="Y380" s="1141" t="str">
        <f>IF(LEN('Ch6'!X62)=0,"None",'Ch6'!X62)</f>
        <v>None</v>
      </c>
      <c r="Z380" s="1107"/>
      <c r="AL380" t="str">
        <f>SUBSTITUTE(SUBSTITUTE(SUBSTITUTE("vpa"&amp;$B380&amp;$C380&amp;$D380&amp;$E380,".","_"),"(","_"),")","")</f>
        <v>vpa601_7</v>
      </c>
      <c r="AM380" t="str">
        <f>M380</f>
        <v>12 Max</v>
      </c>
      <c r="AN380" t="str">
        <f>SUBSTITUTE(SUBSTITUTE(SUBSTITUTE("vpc"&amp;$B380&amp;$C380&amp;$D380&amp;$E380,".","_"),"(","_"),")","")</f>
        <v>vpc601_7</v>
      </c>
      <c r="AO380">
        <f ca="1">O380</f>
        <v>0</v>
      </c>
      <c r="AR380" t="str">
        <f>SUBSTITUTE(SUBSTITUTE(SUBSTITUTE("vnt"&amp;$B380&amp;$C380&amp;$D380&amp;$E380,".","_"),"(","_"),")","")</f>
        <v>vnt601_7</v>
      </c>
      <c r="AS380" t="str">
        <f>IF(LEN(X380)=0,"",X380)</f>
        <v/>
      </c>
      <c r="AX380" s="6" t="str">
        <f>'Overview (Verification)'!A61</f>
        <v>Local Energy Code:</v>
      </c>
      <c r="AY380">
        <f>IF(LEN('Overview (Verification)'!P61)=0,0,'Overview (Verification)'!P61)</f>
        <v>0</v>
      </c>
    </row>
    <row r="381" spans="1:51" x14ac:dyDescent="0.35">
      <c r="A381" s="366">
        <v>6</v>
      </c>
      <c r="B381" s="737">
        <v>601.70000000000005</v>
      </c>
      <c r="C381" s="731"/>
      <c r="D381" s="731"/>
      <c r="E381" s="731"/>
      <c r="F381" s="731"/>
      <c r="G381" s="366" t="str">
        <f t="shared" ref="G381:G397" ca="1" si="31">G380</f>
        <v/>
      </c>
      <c r="H381" s="366" t="s">
        <v>3970</v>
      </c>
      <c r="I381" s="30"/>
      <c r="J381" s="4"/>
      <c r="K381" s="43"/>
      <c r="L381" s="838"/>
      <c r="M381" s="818"/>
      <c r="N381" s="834"/>
      <c r="O381" s="834"/>
      <c r="X381" s="851"/>
      <c r="Y381" s="1120"/>
      <c r="Z381" s="1109"/>
      <c r="AX381" s="6" t="str">
        <f>'Overview (Verification)'!A62</f>
        <v>Local Building Code:</v>
      </c>
      <c r="AY381">
        <f>IF(LEN('Overview (Verification)'!P62)=0,0,'Overview (Verification)'!P62)</f>
        <v>0</v>
      </c>
    </row>
    <row r="382" spans="1:51" x14ac:dyDescent="0.35">
      <c r="A382" s="366">
        <v>6</v>
      </c>
      <c r="B382" s="737">
        <v>601.70000000000005</v>
      </c>
      <c r="C382" s="731"/>
      <c r="D382" s="731"/>
      <c r="E382" s="731"/>
      <c r="F382" s="731"/>
      <c r="G382" s="366" t="str">
        <f t="shared" ca="1" si="31"/>
        <v/>
      </c>
      <c r="H382" s="366" t="s">
        <v>3970</v>
      </c>
      <c r="I382" s="30"/>
      <c r="J382" s="4"/>
      <c r="K382" s="43"/>
      <c r="L382" s="92" t="s">
        <v>542</v>
      </c>
      <c r="M382" s="40"/>
      <c r="N382" s="41"/>
      <c r="O382" s="41"/>
      <c r="X382" s="851"/>
      <c r="Y382" s="1120"/>
      <c r="Z382" s="1109"/>
    </row>
    <row r="383" spans="1:51" x14ac:dyDescent="0.35">
      <c r="A383" s="366">
        <v>6</v>
      </c>
      <c r="B383" s="737">
        <v>601.70000000000005</v>
      </c>
      <c r="C383" s="731"/>
      <c r="D383" s="731" t="s">
        <v>121</v>
      </c>
      <c r="E383" s="731"/>
      <c r="F383" s="731"/>
      <c r="G383" s="366" t="str">
        <f t="shared" ca="1" si="31"/>
        <v/>
      </c>
      <c r="H383" s="732" t="s">
        <v>3970</v>
      </c>
      <c r="I383" s="30"/>
      <c r="J383" s="4"/>
      <c r="K383" s="100" t="s">
        <v>121</v>
      </c>
      <c r="L383" s="228" t="s">
        <v>533</v>
      </c>
      <c r="M383" s="40"/>
      <c r="N383" s="41"/>
      <c r="O383" s="41"/>
      <c r="P383" t="b">
        <v>1</v>
      </c>
      <c r="Q383" t="b">
        <v>1</v>
      </c>
      <c r="R383" t="b">
        <v>0</v>
      </c>
      <c r="S383" t="b">
        <v>1</v>
      </c>
      <c r="T383" t="b">
        <v>0</v>
      </c>
      <c r="U383" t="str">
        <f>SUBSTITUTE(SUBSTITUTE(SUBSTITUTE("dd"&amp;B383&amp;C383&amp;D383&amp;E383&amp;F383,".","_"),"(","_"),")","")</f>
        <v>dd601_7_a</v>
      </c>
      <c r="W383" s="9"/>
      <c r="X383" s="851"/>
      <c r="Y383" s="1120"/>
      <c r="Z383" s="1109"/>
      <c r="AP383" t="str">
        <f>SUBSTITUTE(SUBSTITUTE(SUBSTITUTE("vch"&amp;$B383&amp;$C383&amp;$D383&amp;$E383,".","_"),"(","_"),")","")</f>
        <v>vch601_7_a</v>
      </c>
      <c r="AQ383" t="str">
        <f>IF(LEN(W383)=0,"",W383)</f>
        <v/>
      </c>
    </row>
    <row r="384" spans="1:51" x14ac:dyDescent="0.35">
      <c r="A384" s="366">
        <v>6</v>
      </c>
      <c r="B384" s="737">
        <v>601.70000000000005</v>
      </c>
      <c r="C384" s="731"/>
      <c r="D384" s="731" t="s">
        <v>122</v>
      </c>
      <c r="E384" s="731"/>
      <c r="F384" s="731"/>
      <c r="G384" s="366" t="str">
        <f t="shared" ca="1" si="31"/>
        <v/>
      </c>
      <c r="H384" s="732" t="s">
        <v>3970</v>
      </c>
      <c r="I384" s="30"/>
      <c r="J384" s="4"/>
      <c r="K384" s="135" t="s">
        <v>122</v>
      </c>
      <c r="L384" s="178" t="s">
        <v>534</v>
      </c>
      <c r="M384" s="40"/>
      <c r="N384" s="41"/>
      <c r="O384" s="41"/>
      <c r="P384" t="b">
        <v>1</v>
      </c>
      <c r="Q384" t="b">
        <v>1</v>
      </c>
      <c r="R384" t="b">
        <v>0</v>
      </c>
      <c r="S384" t="b">
        <v>1</v>
      </c>
      <c r="T384" t="b">
        <v>0</v>
      </c>
      <c r="U384" t="str">
        <f>SUBSTITUTE(SUBSTITUTE(SUBSTITUTE("dd"&amp;B384&amp;C384&amp;D384&amp;E384&amp;F384,".","_"),"(","_"),")","")</f>
        <v>dd601_7_b</v>
      </c>
      <c r="W384" s="9"/>
      <c r="X384" s="851"/>
      <c r="Y384" s="1120"/>
      <c r="Z384" s="1109"/>
      <c r="AP384" t="str">
        <f>SUBSTITUTE(SUBSTITUTE(SUBSTITUTE("vch"&amp;$B384&amp;$C384&amp;$D384&amp;$E384,".","_"),"(","_"),")","")</f>
        <v>vch601_7_b</v>
      </c>
      <c r="AQ384" t="str">
        <f>IF(LEN(W384)=0,"",W384)</f>
        <v/>
      </c>
    </row>
    <row r="385" spans="1:45" x14ac:dyDescent="0.35">
      <c r="A385" s="366">
        <v>6</v>
      </c>
      <c r="B385" s="737">
        <v>601.70000000000005</v>
      </c>
      <c r="C385" s="731"/>
      <c r="D385" s="733" t="s">
        <v>123</v>
      </c>
      <c r="E385" s="731"/>
      <c r="F385" s="733"/>
      <c r="G385" s="366" t="str">
        <f t="shared" ca="1" si="31"/>
        <v/>
      </c>
      <c r="H385" s="734" t="s">
        <v>3970</v>
      </c>
      <c r="I385" s="30"/>
      <c r="J385" s="4"/>
      <c r="K385" s="136" t="s">
        <v>123</v>
      </c>
      <c r="L385" s="897" t="s">
        <v>535</v>
      </c>
      <c r="M385" s="40"/>
      <c r="N385" s="41"/>
      <c r="O385" s="41"/>
      <c r="P385" t="b">
        <v>1</v>
      </c>
      <c r="Q385" t="b">
        <v>1</v>
      </c>
      <c r="R385" t="b">
        <v>0</v>
      </c>
      <c r="S385" t="b">
        <v>1</v>
      </c>
      <c r="T385" t="b">
        <v>0</v>
      </c>
      <c r="U385" t="str">
        <f>SUBSTITUTE(SUBSTITUTE(SUBSTITUTE("dd"&amp;B385&amp;C385&amp;D385&amp;E385&amp;F385,".","_"),"(","_"),")","")</f>
        <v>dd601_7_c</v>
      </c>
      <c r="W385" s="9"/>
      <c r="X385" s="851"/>
      <c r="Y385" s="1120"/>
      <c r="Z385" s="1109"/>
      <c r="AP385" t="str">
        <f>SUBSTITUTE(SUBSTITUTE(SUBSTITUTE("vch"&amp;$B385&amp;$C385&amp;$D385&amp;$E385,".","_"),"(","_"),")","")</f>
        <v>vch601_7_c</v>
      </c>
      <c r="AQ385" t="str">
        <f>IF(LEN(W385)=0,"",W385)</f>
        <v/>
      </c>
    </row>
    <row r="386" spans="1:45" x14ac:dyDescent="0.35">
      <c r="A386" s="366">
        <v>6</v>
      </c>
      <c r="B386" s="737">
        <v>601.70000000000005</v>
      </c>
      <c r="C386" s="731"/>
      <c r="D386" s="733" t="s">
        <v>123</v>
      </c>
      <c r="E386" s="731"/>
      <c r="F386" s="733"/>
      <c r="G386" s="366" t="str">
        <f t="shared" ca="1" si="31"/>
        <v/>
      </c>
      <c r="H386" s="734" t="s">
        <v>3970</v>
      </c>
      <c r="I386" s="30"/>
      <c r="J386" s="4"/>
      <c r="K386" s="43"/>
      <c r="L386" s="898"/>
      <c r="M386" s="40"/>
      <c r="N386" s="41"/>
      <c r="O386" s="41"/>
      <c r="X386" s="851"/>
      <c r="Y386" s="1120"/>
      <c r="Z386" s="1109"/>
    </row>
    <row r="387" spans="1:45" x14ac:dyDescent="0.35">
      <c r="A387" s="366">
        <v>6</v>
      </c>
      <c r="B387" s="737">
        <v>601.70000000000005</v>
      </c>
      <c r="C387" s="731"/>
      <c r="D387" s="733" t="s">
        <v>123</v>
      </c>
      <c r="E387" s="731"/>
      <c r="F387" s="733"/>
      <c r="G387" s="366" t="str">
        <f t="shared" ca="1" si="31"/>
        <v/>
      </c>
      <c r="H387" s="734" t="s">
        <v>3970</v>
      </c>
      <c r="I387" s="30"/>
      <c r="J387" s="4"/>
      <c r="K387" s="43"/>
      <c r="L387" s="179" t="s">
        <v>536</v>
      </c>
      <c r="M387" s="40"/>
      <c r="N387" s="41"/>
      <c r="O387" s="41"/>
      <c r="X387" s="851"/>
      <c r="Y387" s="1120"/>
      <c r="Z387" s="1109"/>
    </row>
    <row r="388" spans="1:45" x14ac:dyDescent="0.35">
      <c r="A388" s="366">
        <v>6</v>
      </c>
      <c r="B388" s="737">
        <v>601.70000000000005</v>
      </c>
      <c r="C388" s="731"/>
      <c r="D388" s="733" t="s">
        <v>123</v>
      </c>
      <c r="E388" s="731"/>
      <c r="F388" s="733"/>
      <c r="G388" s="366" t="str">
        <f t="shared" ca="1" si="31"/>
        <v/>
      </c>
      <c r="H388" s="734" t="s">
        <v>3970</v>
      </c>
      <c r="I388" s="30"/>
      <c r="J388" s="4"/>
      <c r="K388" s="101"/>
      <c r="L388" s="281" t="s">
        <v>537</v>
      </c>
      <c r="M388" s="40"/>
      <c r="N388" s="41"/>
      <c r="O388" s="41"/>
      <c r="X388" s="851"/>
      <c r="Y388" s="1120"/>
      <c r="Z388" s="1109"/>
    </row>
    <row r="389" spans="1:45" x14ac:dyDescent="0.35">
      <c r="A389" s="366">
        <v>6</v>
      </c>
      <c r="B389" s="737">
        <v>601.70000000000005</v>
      </c>
      <c r="C389" s="731"/>
      <c r="D389" s="731" t="s">
        <v>401</v>
      </c>
      <c r="E389" s="731"/>
      <c r="F389" s="731"/>
      <c r="G389" s="366" t="str">
        <f t="shared" ca="1" si="31"/>
        <v/>
      </c>
      <c r="H389" s="366" t="s">
        <v>3970</v>
      </c>
      <c r="I389" s="30"/>
      <c r="J389" s="4"/>
      <c r="K389" s="137" t="s">
        <v>401</v>
      </c>
      <c r="L389" s="836" t="s">
        <v>538</v>
      </c>
      <c r="M389" s="40"/>
      <c r="N389" s="41"/>
      <c r="O389" s="41"/>
      <c r="P389" t="b">
        <v>1</v>
      </c>
      <c r="Q389" t="b">
        <v>1</v>
      </c>
      <c r="R389" t="b">
        <v>0</v>
      </c>
      <c r="S389" t="b">
        <v>1</v>
      </c>
      <c r="T389" t="b">
        <v>0</v>
      </c>
      <c r="U389" t="str">
        <f>SUBSTITUTE(SUBSTITUTE(SUBSTITUTE("dd"&amp;B389&amp;C389&amp;D389&amp;E389&amp;F389,".","_"),"(","_"),")","")</f>
        <v>dd601_7_d</v>
      </c>
      <c r="W389" s="9"/>
      <c r="X389" s="851"/>
      <c r="Y389" s="1120"/>
      <c r="Z389" s="1109"/>
      <c r="AP389" t="str">
        <f>SUBSTITUTE(SUBSTITUTE(SUBSTITUTE("vch"&amp;$B389&amp;$C389&amp;$D389&amp;$E389,".","_"),"(","_"),")","")</f>
        <v>vch601_7_d</v>
      </c>
      <c r="AQ389" t="str">
        <f>IF(LEN(W389)=0,"",W389)</f>
        <v/>
      </c>
    </row>
    <row r="390" spans="1:45" x14ac:dyDescent="0.35">
      <c r="A390" s="366">
        <v>6</v>
      </c>
      <c r="B390" s="737">
        <v>601.70000000000005</v>
      </c>
      <c r="C390" s="731"/>
      <c r="D390" s="731" t="s">
        <v>401</v>
      </c>
      <c r="E390" s="731"/>
      <c r="F390" s="731"/>
      <c r="G390" s="366" t="str">
        <f t="shared" ca="1" si="31"/>
        <v/>
      </c>
      <c r="H390" s="366" t="s">
        <v>3970</v>
      </c>
      <c r="I390" s="30"/>
      <c r="J390" s="4"/>
      <c r="K390" s="101"/>
      <c r="L390" s="815"/>
      <c r="M390" s="40"/>
      <c r="N390" s="41"/>
      <c r="O390" s="41"/>
      <c r="X390" s="851"/>
      <c r="Y390" s="1120"/>
      <c r="Z390" s="1109"/>
    </row>
    <row r="391" spans="1:45" x14ac:dyDescent="0.35">
      <c r="A391" s="366">
        <v>6</v>
      </c>
      <c r="B391" s="737">
        <v>601.70000000000005</v>
      </c>
      <c r="C391" s="731"/>
      <c r="D391" s="731" t="s">
        <v>539</v>
      </c>
      <c r="E391" s="731"/>
      <c r="F391" s="731"/>
      <c r="G391" s="366" t="str">
        <f t="shared" ca="1" si="31"/>
        <v/>
      </c>
      <c r="H391" s="366" t="s">
        <v>3970</v>
      </c>
      <c r="I391" s="30"/>
      <c r="J391" s="4"/>
      <c r="K391" s="137" t="s">
        <v>539</v>
      </c>
      <c r="L391" s="836" t="s">
        <v>540</v>
      </c>
      <c r="M391" s="40"/>
      <c r="N391" s="41"/>
      <c r="O391" s="41"/>
      <c r="P391" t="b">
        <v>1</v>
      </c>
      <c r="Q391" t="b">
        <v>1</v>
      </c>
      <c r="R391" t="b">
        <v>0</v>
      </c>
      <c r="S391" t="b">
        <v>1</v>
      </c>
      <c r="T391" t="b">
        <v>0</v>
      </c>
      <c r="U391" t="str">
        <f>SUBSTITUTE(SUBSTITUTE(SUBSTITUTE("dd"&amp;B391&amp;C391&amp;D391&amp;E391&amp;F391,".","_"),"(","_"),")","")</f>
        <v>dd601_7_e</v>
      </c>
      <c r="W391" s="9"/>
      <c r="X391" s="851"/>
      <c r="Y391" s="1120"/>
      <c r="Z391" s="1109"/>
      <c r="AP391" t="str">
        <f>SUBSTITUTE(SUBSTITUTE(SUBSTITUTE("vch"&amp;$B391&amp;$C391&amp;$D391&amp;$E391,".","_"),"(","_"),")","")</f>
        <v>vch601_7_e</v>
      </c>
      <c r="AQ391" t="str">
        <f>IF(LEN(W391)=0,"",W391)</f>
        <v/>
      </c>
    </row>
    <row r="392" spans="1:45" x14ac:dyDescent="0.35">
      <c r="A392" s="366">
        <v>6</v>
      </c>
      <c r="B392" s="737">
        <v>601.70000000000005</v>
      </c>
      <c r="C392" s="731"/>
      <c r="D392" s="731" t="s">
        <v>539</v>
      </c>
      <c r="E392" s="731"/>
      <c r="F392" s="731"/>
      <c r="G392" s="366" t="str">
        <f t="shared" ca="1" si="31"/>
        <v/>
      </c>
      <c r="H392" s="366" t="s">
        <v>3970</v>
      </c>
      <c r="I392" s="30"/>
      <c r="J392" s="4"/>
      <c r="K392" s="101"/>
      <c r="L392" s="815"/>
      <c r="M392" s="40"/>
      <c r="N392" s="41"/>
      <c r="O392" s="41"/>
      <c r="X392" s="851"/>
      <c r="Y392" s="1120"/>
      <c r="Z392" s="1109"/>
    </row>
    <row r="393" spans="1:45" x14ac:dyDescent="0.35">
      <c r="A393" s="366">
        <v>6</v>
      </c>
      <c r="B393" s="737">
        <v>601.70000000000005</v>
      </c>
      <c r="C393" s="731" t="s">
        <v>256</v>
      </c>
      <c r="D393" s="731"/>
      <c r="E393" s="731"/>
      <c r="F393" s="731"/>
      <c r="G393" s="366" t="str">
        <f t="shared" ca="1" si="31"/>
        <v/>
      </c>
      <c r="H393" s="366" t="s">
        <v>3970</v>
      </c>
      <c r="I393" s="30"/>
      <c r="J393" s="129" t="s">
        <v>256</v>
      </c>
      <c r="K393" s="43"/>
      <c r="L393" s="228" t="s">
        <v>541</v>
      </c>
      <c r="M393" s="268">
        <v>5</v>
      </c>
      <c r="N393" s="41"/>
      <c r="O393" s="41"/>
      <c r="X393" s="851"/>
      <c r="Y393" s="1120"/>
      <c r="Z393" s="1109"/>
      <c r="AL393" t="str">
        <f>SUBSTITUTE(SUBSTITUTE(SUBSTITUTE("vpa"&amp;$B393&amp;$C393&amp;$D393&amp;$E393,".","_"),"(","_"),")","")</f>
        <v>vpa601_7_1</v>
      </c>
      <c r="AM393">
        <f>M393</f>
        <v>5</v>
      </c>
    </row>
    <row r="394" spans="1:45" x14ac:dyDescent="0.35">
      <c r="A394" s="366">
        <v>6</v>
      </c>
      <c r="B394" s="737">
        <v>601.70000000000005</v>
      </c>
      <c r="C394" s="731" t="s">
        <v>258</v>
      </c>
      <c r="D394" s="731"/>
      <c r="E394" s="731"/>
      <c r="F394" s="731"/>
      <c r="G394" s="366" t="str">
        <f t="shared" ca="1" si="31"/>
        <v/>
      </c>
      <c r="H394" s="366" t="s">
        <v>3970</v>
      </c>
      <c r="I394" s="30"/>
      <c r="J394" s="19" t="s">
        <v>258</v>
      </c>
      <c r="K394" s="120"/>
      <c r="L394" s="820" t="s">
        <v>543</v>
      </c>
      <c r="M394" s="822">
        <v>2</v>
      </c>
      <c r="N394" s="41"/>
      <c r="O394" s="41"/>
      <c r="X394" s="851"/>
      <c r="Y394" s="1120"/>
      <c r="Z394" s="1109"/>
      <c r="AL394" t="str">
        <f>SUBSTITUTE(SUBSTITUTE(SUBSTITUTE("vpa"&amp;$B394&amp;$C394&amp;$D394&amp;$E394,".","_"),"(","_"),")","")</f>
        <v>vpa601_7_2</v>
      </c>
      <c r="AM394">
        <f>M394</f>
        <v>2</v>
      </c>
    </row>
    <row r="395" spans="1:45" x14ac:dyDescent="0.35">
      <c r="A395" s="366">
        <v>6</v>
      </c>
      <c r="B395" s="737">
        <v>601.70000000000005</v>
      </c>
      <c r="C395" s="731" t="s">
        <v>258</v>
      </c>
      <c r="D395" s="731"/>
      <c r="E395" s="731"/>
      <c r="F395" s="731"/>
      <c r="G395" s="366" t="str">
        <f t="shared" ca="1" si="31"/>
        <v/>
      </c>
      <c r="H395" s="366" t="s">
        <v>3970</v>
      </c>
      <c r="I395" s="30"/>
      <c r="J395" s="104"/>
      <c r="K395" s="101"/>
      <c r="L395" s="821"/>
      <c r="M395" s="819"/>
      <c r="N395" s="41"/>
      <c r="O395" s="41"/>
      <c r="X395" s="851"/>
      <c r="Y395" s="1120"/>
      <c r="Z395" s="1109"/>
    </row>
    <row r="396" spans="1:45" x14ac:dyDescent="0.35">
      <c r="A396" s="366">
        <v>6</v>
      </c>
      <c r="B396" s="737">
        <v>601.70000000000005</v>
      </c>
      <c r="C396" s="731" t="s">
        <v>260</v>
      </c>
      <c r="D396" s="731"/>
      <c r="E396" s="731"/>
      <c r="F396" s="731"/>
      <c r="G396" s="366" t="str">
        <f t="shared" ca="1" si="31"/>
        <v/>
      </c>
      <c r="H396" s="366" t="s">
        <v>3970</v>
      </c>
      <c r="I396" s="30"/>
      <c r="J396" s="19" t="s">
        <v>260</v>
      </c>
      <c r="K396" s="43"/>
      <c r="L396" s="848" t="s">
        <v>544</v>
      </c>
      <c r="M396" s="40">
        <v>1</v>
      </c>
      <c r="N396" s="41"/>
      <c r="O396" s="41"/>
      <c r="X396" s="851"/>
      <c r="Y396" s="1120"/>
      <c r="Z396" s="1109"/>
      <c r="AL396" t="str">
        <f>SUBSTITUTE(SUBSTITUTE(SUBSTITUTE("vpa"&amp;$B396&amp;$C396&amp;$D396&amp;$E396,".","_"),"(","_"),")","")</f>
        <v>vpa601_7_3</v>
      </c>
      <c r="AM396">
        <f>M396</f>
        <v>1</v>
      </c>
    </row>
    <row r="397" spans="1:45" ht="15" thickBot="1" x14ac:dyDescent="0.4">
      <c r="A397" s="366">
        <v>6</v>
      </c>
      <c r="B397" s="737">
        <v>601.70000000000005</v>
      </c>
      <c r="C397" s="731" t="s">
        <v>260</v>
      </c>
      <c r="D397" s="731"/>
      <c r="E397" s="731"/>
      <c r="F397" s="731"/>
      <c r="G397" s="366" t="str">
        <f t="shared" ca="1" si="31"/>
        <v/>
      </c>
      <c r="H397" s="366" t="s">
        <v>3970</v>
      </c>
      <c r="I397" s="30"/>
      <c r="J397" s="19"/>
      <c r="K397" s="43"/>
      <c r="L397" s="888"/>
      <c r="M397" s="40"/>
      <c r="N397" s="41"/>
      <c r="O397" s="41"/>
      <c r="W397" s="64"/>
      <c r="X397" s="852"/>
      <c r="Y397" s="1121"/>
      <c r="Z397" s="1108"/>
    </row>
    <row r="398" spans="1:45" ht="15" thickTop="1" x14ac:dyDescent="0.35">
      <c r="A398" s="366">
        <v>6</v>
      </c>
      <c r="B398" s="737">
        <v>601.79999999999995</v>
      </c>
      <c r="C398" s="731"/>
      <c r="D398" s="731"/>
      <c r="E398" s="731"/>
      <c r="F398" s="731"/>
      <c r="G398" s="366" t="str">
        <f>IF(N398&gt;0,"P","")</f>
        <v/>
      </c>
      <c r="H398" s="366" t="s">
        <v>3971</v>
      </c>
      <c r="I398" s="106">
        <v>601.79999999999995</v>
      </c>
      <c r="J398" s="107"/>
      <c r="K398" s="108"/>
      <c r="L398" s="837" t="s">
        <v>545</v>
      </c>
      <c r="M398" s="830">
        <v>3</v>
      </c>
      <c r="N398" s="959">
        <f>'Ch6'!O80</f>
        <v>0</v>
      </c>
      <c r="O398" s="959">
        <f>M398*S398*W398</f>
        <v>0</v>
      </c>
      <c r="P398" t="b">
        <v>1</v>
      </c>
      <c r="Q398" t="b">
        <v>0</v>
      </c>
      <c r="R398" s="59" t="b">
        <v>0</v>
      </c>
      <c r="S398" s="59" t="b">
        <f>NOT(AZ351=1)</f>
        <v>1</v>
      </c>
      <c r="T398" s="59" t="b">
        <f>IF(AND(NOT(S398),W398=TRUE),TRUE,FALSE)</f>
        <v>0</v>
      </c>
      <c r="U398" s="59"/>
      <c r="V398" s="59"/>
      <c r="W398" s="236"/>
      <c r="X398" s="840"/>
      <c r="Y398" s="1118" t="str">
        <f>IF(LEN('Ch6'!X80)=0,"None",'Ch6'!X80)</f>
        <v>None</v>
      </c>
      <c r="Z398" s="1106"/>
      <c r="AC398" t="b">
        <f>OR(AD398:AE398)</f>
        <v>0</v>
      </c>
      <c r="AD398" t="b">
        <v>0</v>
      </c>
      <c r="AE398" t="b">
        <f>AND(W398=TRUE,LEN(X398)=0)</f>
        <v>0</v>
      </c>
      <c r="AF398" t="b">
        <f>AND(AE398,NOT(Q398))</f>
        <v>0</v>
      </c>
      <c r="AL398" t="str">
        <f>SUBSTITUTE(SUBSTITUTE(SUBSTITUTE("vpa"&amp;$B398&amp;$C398&amp;$D398&amp;$E398,".","_"),"(","_"),")","")</f>
        <v>vpa601_8</v>
      </c>
      <c r="AM398">
        <f>M398</f>
        <v>3</v>
      </c>
      <c r="AN398" t="str">
        <f>SUBSTITUTE(SUBSTITUTE(SUBSTITUTE("vpc"&amp;$B398&amp;$C398&amp;$D398&amp;$E398,".","_"),"(","_"),")","")</f>
        <v>vpc601_8</v>
      </c>
      <c r="AO398">
        <f>O398</f>
        <v>0</v>
      </c>
      <c r="AP398" t="str">
        <f>SUBSTITUTE(SUBSTITUTE(SUBSTITUTE("vch"&amp;$B398&amp;$C398&amp;$D398&amp;$E398,".","_"),"(","_"),")","")</f>
        <v>vch601_8</v>
      </c>
      <c r="AQ398" t="str">
        <f>IF(LEN(W398)=0,"",W398)</f>
        <v/>
      </c>
      <c r="AR398" t="str">
        <f>SUBSTITUTE(SUBSTITUTE(SUBSTITUTE("vnt"&amp;$B398&amp;$C398&amp;$D398&amp;$E398,".","_"),"(","_"),")","")</f>
        <v>vnt601_8</v>
      </c>
      <c r="AS398" t="str">
        <f>IF(LEN(X398)=0,"",X398)</f>
        <v/>
      </c>
    </row>
    <row r="399" spans="1:45" x14ac:dyDescent="0.35">
      <c r="A399" s="366">
        <v>6</v>
      </c>
      <c r="B399" s="737">
        <v>601.79999999999995</v>
      </c>
      <c r="C399" s="731"/>
      <c r="D399" s="731"/>
      <c r="E399" s="731"/>
      <c r="F399" s="731"/>
      <c r="G399" s="366" t="str">
        <f t="shared" ref="G399:G405" si="32">G398</f>
        <v/>
      </c>
      <c r="H399" s="366" t="s">
        <v>3971</v>
      </c>
      <c r="I399" s="30"/>
      <c r="J399" s="4"/>
      <c r="K399" s="43"/>
      <c r="L399" s="838"/>
      <c r="M399" s="818"/>
      <c r="N399" s="834"/>
      <c r="O399" s="834"/>
      <c r="X399" s="817"/>
      <c r="Y399" s="1100"/>
      <c r="Z399" s="1102"/>
    </row>
    <row r="400" spans="1:45" x14ac:dyDescent="0.35">
      <c r="A400" s="366">
        <v>6</v>
      </c>
      <c r="B400" s="737">
        <v>601.79999999999995</v>
      </c>
      <c r="C400" s="731"/>
      <c r="D400" s="731"/>
      <c r="E400" s="731"/>
      <c r="F400" s="731"/>
      <c r="G400" s="366" t="str">
        <f t="shared" si="32"/>
        <v/>
      </c>
      <c r="H400" s="366" t="s">
        <v>3971</v>
      </c>
      <c r="I400" s="30"/>
      <c r="J400" s="4"/>
      <c r="K400" s="43"/>
      <c r="L400" s="838"/>
      <c r="M400" s="818"/>
      <c r="N400" s="834"/>
      <c r="O400" s="834"/>
      <c r="X400" s="817"/>
      <c r="Y400" s="1100"/>
      <c r="Z400" s="1102"/>
    </row>
    <row r="401" spans="1:45" x14ac:dyDescent="0.35">
      <c r="A401" s="366">
        <v>6</v>
      </c>
      <c r="B401" s="737">
        <v>601.79999999999995</v>
      </c>
      <c r="C401" s="731"/>
      <c r="D401" s="731"/>
      <c r="E401" s="731"/>
      <c r="F401" s="731"/>
      <c r="G401" s="366" t="str">
        <f t="shared" si="32"/>
        <v/>
      </c>
      <c r="H401" s="366" t="s">
        <v>3971</v>
      </c>
      <c r="I401" s="30"/>
      <c r="J401" s="4"/>
      <c r="K401" s="43"/>
      <c r="L401" s="838"/>
      <c r="M401" s="818"/>
      <c r="N401" s="834"/>
      <c r="O401" s="834"/>
      <c r="X401" s="817"/>
      <c r="Y401" s="1100"/>
      <c r="Z401" s="1102"/>
    </row>
    <row r="402" spans="1:45" x14ac:dyDescent="0.35">
      <c r="A402" s="366">
        <v>6</v>
      </c>
      <c r="B402" s="737">
        <v>601.79999999999995</v>
      </c>
      <c r="C402" s="731"/>
      <c r="D402" s="731"/>
      <c r="E402" s="731"/>
      <c r="F402" s="731"/>
      <c r="G402" s="366" t="str">
        <f t="shared" si="32"/>
        <v/>
      </c>
      <c r="H402" s="366" t="s">
        <v>3971</v>
      </c>
      <c r="I402" s="30"/>
      <c r="J402" s="4"/>
      <c r="K402" s="43"/>
      <c r="L402" s="838"/>
      <c r="M402" s="818"/>
      <c r="N402" s="834"/>
      <c r="O402" s="834"/>
      <c r="X402" s="817"/>
      <c r="Y402" s="1100"/>
      <c r="Z402" s="1102"/>
    </row>
    <row r="403" spans="1:45" x14ac:dyDescent="0.35">
      <c r="A403" s="366">
        <v>6</v>
      </c>
      <c r="B403" s="737">
        <v>601.79999999999995</v>
      </c>
      <c r="C403" s="731"/>
      <c r="D403" s="731"/>
      <c r="E403" s="731"/>
      <c r="F403" s="731"/>
      <c r="G403" s="366" t="str">
        <f t="shared" si="32"/>
        <v/>
      </c>
      <c r="H403" s="366" t="s">
        <v>3971</v>
      </c>
      <c r="I403" s="30"/>
      <c r="J403" s="4"/>
      <c r="K403" s="43"/>
      <c r="L403" s="855" t="s">
        <v>1102</v>
      </c>
      <c r="M403" s="818"/>
      <c r="N403" s="834"/>
      <c r="O403" s="834"/>
      <c r="X403" s="817"/>
      <c r="Y403" s="1100"/>
      <c r="Z403" s="1102"/>
    </row>
    <row r="404" spans="1:45" x14ac:dyDescent="0.35">
      <c r="A404" s="366">
        <v>6</v>
      </c>
      <c r="B404" s="737">
        <v>601.79999999999995</v>
      </c>
      <c r="C404" s="731"/>
      <c r="D404" s="731"/>
      <c r="E404" s="731"/>
      <c r="F404" s="731"/>
      <c r="G404" s="366" t="str">
        <f t="shared" si="32"/>
        <v/>
      </c>
      <c r="H404" s="366" t="s">
        <v>3971</v>
      </c>
      <c r="I404" s="30"/>
      <c r="J404" s="4"/>
      <c r="K404" s="43"/>
      <c r="L404" s="855"/>
      <c r="M404" s="818"/>
      <c r="N404" s="834"/>
      <c r="O404" s="834"/>
      <c r="X404" s="817"/>
      <c r="Y404" s="1100"/>
      <c r="Z404" s="1102"/>
    </row>
    <row r="405" spans="1:45" x14ac:dyDescent="0.35">
      <c r="A405" s="366">
        <v>6</v>
      </c>
      <c r="B405" s="737">
        <v>601.79999999999995</v>
      </c>
      <c r="C405" s="731"/>
      <c r="D405" s="731"/>
      <c r="E405" s="731"/>
      <c r="F405" s="731"/>
      <c r="G405" s="366" t="str">
        <f t="shared" si="32"/>
        <v/>
      </c>
      <c r="H405" s="366" t="s">
        <v>3971</v>
      </c>
      <c r="I405" s="30"/>
      <c r="J405" s="4"/>
      <c r="K405" s="43"/>
      <c r="L405" s="893"/>
      <c r="M405" s="818"/>
      <c r="N405" s="834"/>
      <c r="O405" s="834"/>
      <c r="W405" s="65"/>
      <c r="X405" s="850"/>
      <c r="Y405" s="1119"/>
      <c r="Z405" s="1105"/>
    </row>
    <row r="406" spans="1:45" ht="18.5" x14ac:dyDescent="0.45">
      <c r="A406" s="366">
        <v>6</v>
      </c>
      <c r="B406" s="737">
        <v>602</v>
      </c>
      <c r="C406" s="731"/>
      <c r="D406" s="731"/>
      <c r="E406" s="731"/>
      <c r="F406" s="731"/>
      <c r="G406" s="366" t="s">
        <v>3973</v>
      </c>
      <c r="H406" s="366" t="s">
        <v>3970</v>
      </c>
      <c r="I406" s="35" t="s">
        <v>546</v>
      </c>
      <c r="J406" s="35"/>
      <c r="K406" s="35"/>
      <c r="L406" s="151"/>
      <c r="M406" s="243"/>
      <c r="N406" s="544"/>
      <c r="O406" s="544"/>
      <c r="P406" s="15"/>
      <c r="Q406" s="15"/>
      <c r="R406" s="15"/>
      <c r="S406" s="15"/>
      <c r="T406" s="15"/>
      <c r="U406" s="15"/>
      <c r="V406" s="15"/>
      <c r="W406" s="15"/>
      <c r="X406" s="15"/>
      <c r="Y406" s="15"/>
      <c r="Z406" s="651"/>
    </row>
    <row r="407" spans="1:45" x14ac:dyDescent="0.35">
      <c r="A407" s="366">
        <v>6</v>
      </c>
      <c r="B407" s="737" t="s">
        <v>3140</v>
      </c>
      <c r="C407" s="731"/>
      <c r="D407" s="731"/>
      <c r="E407" s="731"/>
      <c r="F407" s="731"/>
      <c r="G407" s="732"/>
      <c r="I407" s="38" t="s">
        <v>3140</v>
      </c>
      <c r="J407" s="4"/>
      <c r="K407" s="43"/>
      <c r="L407" s="838" t="s">
        <v>547</v>
      </c>
      <c r="M407" s="40"/>
      <c r="N407" s="41"/>
      <c r="O407" s="41"/>
    </row>
    <row r="408" spans="1:45" ht="15" thickBot="1" x14ac:dyDescent="0.4">
      <c r="A408" s="366">
        <v>6</v>
      </c>
      <c r="B408" s="737" t="s">
        <v>3140</v>
      </c>
      <c r="C408" s="731"/>
      <c r="D408" s="731"/>
      <c r="E408" s="731"/>
      <c r="F408" s="731"/>
      <c r="G408" s="732"/>
      <c r="I408" s="30"/>
      <c r="J408" s="4"/>
      <c r="K408" s="43"/>
      <c r="L408" s="838"/>
      <c r="M408" s="40"/>
      <c r="N408" s="41"/>
      <c r="O408" s="41"/>
      <c r="Y408" s="55"/>
      <c r="Z408" s="653"/>
    </row>
    <row r="409" spans="1:45" ht="15.5" thickTop="1" thickBot="1" x14ac:dyDescent="0.4">
      <c r="A409" s="366">
        <v>6</v>
      </c>
      <c r="B409" s="737">
        <v>602.1</v>
      </c>
      <c r="C409" s="731"/>
      <c r="D409" s="731"/>
      <c r="E409" s="731"/>
      <c r="F409" s="731"/>
      <c r="G409" s="366" t="s">
        <v>3973</v>
      </c>
      <c r="H409" s="366" t="s">
        <v>3970</v>
      </c>
      <c r="I409" s="106">
        <v>602.1</v>
      </c>
      <c r="J409" s="107"/>
      <c r="K409" s="108"/>
      <c r="L409" s="274" t="s">
        <v>548</v>
      </c>
      <c r="M409" s="267"/>
      <c r="N409" s="545"/>
      <c r="O409" s="545"/>
      <c r="P409" s="59"/>
      <c r="Q409" s="59"/>
      <c r="R409" s="59"/>
      <c r="S409" s="59"/>
      <c r="T409" s="59"/>
      <c r="U409" s="59"/>
      <c r="V409" s="59"/>
      <c r="W409" s="59"/>
      <c r="X409" s="59"/>
      <c r="Y409" s="55"/>
      <c r="Z409" s="653"/>
    </row>
    <row r="410" spans="1:45" ht="15" thickTop="1" x14ac:dyDescent="0.35">
      <c r="A410" s="366">
        <v>6</v>
      </c>
      <c r="B410" s="737" t="s">
        <v>549</v>
      </c>
      <c r="C410" s="731"/>
      <c r="D410" s="731"/>
      <c r="E410" s="731"/>
      <c r="F410" s="731"/>
      <c r="G410" s="366" t="s">
        <v>3973</v>
      </c>
      <c r="H410" s="366" t="s">
        <v>3971</v>
      </c>
      <c r="I410" s="106" t="s">
        <v>549</v>
      </c>
      <c r="J410" s="107"/>
      <c r="K410" s="108"/>
      <c r="L410" s="274" t="s">
        <v>550</v>
      </c>
      <c r="M410" s="267"/>
      <c r="N410" s="545"/>
      <c r="O410" s="545"/>
      <c r="P410" s="59"/>
      <c r="Q410" s="59"/>
      <c r="R410" s="59"/>
      <c r="S410" s="59"/>
      <c r="T410" s="59"/>
      <c r="U410" s="59"/>
      <c r="V410" s="59"/>
      <c r="W410" s="59"/>
      <c r="X410" s="59"/>
    </row>
    <row r="411" spans="1:45" x14ac:dyDescent="0.35">
      <c r="A411" s="366">
        <v>6</v>
      </c>
      <c r="B411" s="737" t="s">
        <v>551</v>
      </c>
      <c r="C411" s="737"/>
      <c r="D411" s="731"/>
      <c r="E411" s="731"/>
      <c r="F411" s="731"/>
      <c r="G411" s="366" t="s">
        <v>3973</v>
      </c>
      <c r="H411" s="366" t="s">
        <v>3971</v>
      </c>
      <c r="I411" s="30" t="s">
        <v>551</v>
      </c>
      <c r="J411" s="4"/>
      <c r="K411" s="43"/>
      <c r="L411" s="838" t="s">
        <v>4849</v>
      </c>
      <c r="M411" s="885" t="str">
        <f>IF(R411,"Mandatory","N/A")</f>
        <v>Mandatory</v>
      </c>
      <c r="N411" s="41"/>
      <c r="O411" s="41"/>
      <c r="P411" t="b">
        <v>1</v>
      </c>
      <c r="Q411" t="b">
        <v>0</v>
      </c>
      <c r="R411" t="b">
        <f>S411</f>
        <v>1</v>
      </c>
      <c r="S411" t="b">
        <f>IF(OR(AZ351=2,AZ351=3),FALSE,TRUE)</f>
        <v>1</v>
      </c>
      <c r="T411" t="b">
        <f>IF(AND(NOT(S411),W411=TRUE),TRUE,FALSE)</f>
        <v>0</v>
      </c>
      <c r="U411" t="str">
        <f>SUBSTITUTE(SUBSTITUTE(SUBSTITUTE("dd"&amp;B411&amp;C411&amp;D411&amp;E411&amp;F411,".","_"),"(","_"),")","")</f>
        <v>dd602_1_1_1</v>
      </c>
      <c r="W411" s="9"/>
      <c r="X411" s="817"/>
      <c r="Y411" s="1100" t="str">
        <f>IF(LEN('Ch6'!X93)=0,"None",'Ch6'!X93)</f>
        <v>None</v>
      </c>
      <c r="Z411" s="1102"/>
      <c r="AC411" t="b">
        <f>OR(AD411:AE411)</f>
        <v>1</v>
      </c>
      <c r="AD411" t="b">
        <f>T411</f>
        <v>0</v>
      </c>
      <c r="AE411" t="b">
        <f>OR(AND(R411,NOT(W411="Met"),NOT(W411="N/A")),AND(W411="N/A",ISBLANK(X411)))</f>
        <v>1</v>
      </c>
      <c r="AF411" t="b">
        <f>AND(AE411,NOT(Q411))</f>
        <v>1</v>
      </c>
      <c r="AL411" t="str">
        <f>SUBSTITUTE(SUBSTITUTE(SUBSTITUTE("vpa"&amp;$B411&amp;$C411&amp;$D411&amp;$E411,".","_"),"(","_"),")","")</f>
        <v>vpa602_1_1_1</v>
      </c>
      <c r="AM411" t="str">
        <f>M411</f>
        <v>Mandatory</v>
      </c>
      <c r="AP411" t="str">
        <f>SUBSTITUTE(SUBSTITUTE(SUBSTITUTE("vch"&amp;$B411&amp;$C411&amp;$D411&amp;$E411,".","_"),"(","_"),")","")</f>
        <v>vch602_1_1_1</v>
      </c>
      <c r="AQ411" t="str">
        <f>IF(LEN(W411)=0,"",W411)</f>
        <v/>
      </c>
      <c r="AR411" t="str">
        <f>SUBSTITUTE(SUBSTITUTE(SUBSTITUTE("vnt"&amp;$B411&amp;$C411&amp;$D411&amp;$E411,".","_"),"(","_"),")","")</f>
        <v>vnt602_1_1_1</v>
      </c>
      <c r="AS411" t="str">
        <f>IF(LEN(X411)=0,"",X411)</f>
        <v/>
      </c>
    </row>
    <row r="412" spans="1:45" x14ac:dyDescent="0.35">
      <c r="A412" s="366">
        <v>6</v>
      </c>
      <c r="B412" s="737" t="s">
        <v>551</v>
      </c>
      <c r="C412" s="737"/>
      <c r="D412" s="731"/>
      <c r="E412" s="731"/>
      <c r="F412" s="731"/>
      <c r="G412" s="366" t="s">
        <v>3973</v>
      </c>
      <c r="H412" s="366" t="s">
        <v>3971</v>
      </c>
      <c r="I412" s="30"/>
      <c r="J412" s="4"/>
      <c r="K412" s="43"/>
      <c r="L412" s="838"/>
      <c r="M412" s="885"/>
      <c r="N412" s="41"/>
      <c r="O412" s="41"/>
      <c r="X412" s="817"/>
      <c r="Y412" s="1100"/>
      <c r="Z412" s="1102"/>
    </row>
    <row r="413" spans="1:45" x14ac:dyDescent="0.35">
      <c r="A413" s="366">
        <v>6</v>
      </c>
      <c r="B413" s="737" t="s">
        <v>551</v>
      </c>
      <c r="C413" s="737"/>
      <c r="D413" s="731"/>
      <c r="E413" s="731"/>
      <c r="F413" s="731"/>
      <c r="G413" s="366" t="s">
        <v>3973</v>
      </c>
      <c r="H413" s="366" t="s">
        <v>3971</v>
      </c>
      <c r="I413" s="138"/>
      <c r="J413" s="133"/>
      <c r="K413" s="101"/>
      <c r="L413" s="889"/>
      <c r="M413" s="890"/>
      <c r="N413" s="41"/>
      <c r="O413" s="41"/>
      <c r="X413" s="817"/>
      <c r="Y413" s="1100"/>
      <c r="Z413" s="1102"/>
    </row>
    <row r="414" spans="1:45" x14ac:dyDescent="0.35">
      <c r="A414" s="366">
        <v>6</v>
      </c>
      <c r="B414" s="737" t="s">
        <v>552</v>
      </c>
      <c r="C414" s="737"/>
      <c r="D414" s="731"/>
      <c r="E414" s="731"/>
      <c r="F414" s="731"/>
      <c r="G414" s="366" t="str">
        <f>IF(N414&gt;0,"P","")</f>
        <v/>
      </c>
      <c r="H414" s="366" t="s">
        <v>3971</v>
      </c>
      <c r="I414" s="30" t="s">
        <v>552</v>
      </c>
      <c r="J414" s="4"/>
      <c r="K414" s="43"/>
      <c r="L414" s="838" t="s">
        <v>553</v>
      </c>
      <c r="M414" s="818">
        <v>3</v>
      </c>
      <c r="N414" s="834">
        <f>'Ch6'!O96</f>
        <v>0</v>
      </c>
      <c r="O414" s="834">
        <f>M414*S414*W414</f>
        <v>0</v>
      </c>
      <c r="P414" t="b">
        <v>1</v>
      </c>
      <c r="Q414" t="b">
        <v>0</v>
      </c>
      <c r="R414" t="b">
        <v>0</v>
      </c>
      <c r="S414" t="b">
        <v>1</v>
      </c>
      <c r="T414" t="b">
        <v>0</v>
      </c>
      <c r="W414" s="17"/>
      <c r="X414" s="817"/>
      <c r="Y414" s="1100" t="str">
        <f>IF(LEN('Ch6'!X96)=0,"None",'Ch6'!X96)</f>
        <v>None</v>
      </c>
      <c r="Z414" s="1102"/>
      <c r="AL414" t="str">
        <f>SUBSTITUTE(SUBSTITUTE(SUBSTITUTE("vpa"&amp;$B414&amp;$C414&amp;$D414&amp;$E414,".","_"),"(","_"),")","")</f>
        <v xml:space="preserve">vpa602_1_1_2 </v>
      </c>
      <c r="AM414">
        <f>M414</f>
        <v>3</v>
      </c>
      <c r="AN414" t="str">
        <f>SUBSTITUTE(SUBSTITUTE(SUBSTITUTE("vpc"&amp;$B414&amp;$C414&amp;$D414&amp;$E414,".","_"),"(","_"),")","")</f>
        <v xml:space="preserve">vpc602_1_1_2 </v>
      </c>
      <c r="AO414">
        <f>O414</f>
        <v>0</v>
      </c>
      <c r="AP414" t="str">
        <f>SUBSTITUTE(SUBSTITUTE(SUBSTITUTE("vch"&amp;$B414&amp;$C414&amp;$D414&amp;$E414,".","_"),"(","_"),")","")</f>
        <v xml:space="preserve">vch602_1_1_2 </v>
      </c>
      <c r="AQ414" t="str">
        <f>IF(LEN(W414)=0,"",W414)</f>
        <v/>
      </c>
      <c r="AR414" t="str">
        <f>SUBSTITUTE(SUBSTITUTE(SUBSTITUTE("vnt"&amp;$B414&amp;$C414&amp;$D414&amp;$E414,".","_"),"(","_"),")","")</f>
        <v xml:space="preserve">vnt602_1_1_2 </v>
      </c>
      <c r="AS414" t="str">
        <f>IF(LEN(X414)=0,"",X414)</f>
        <v/>
      </c>
    </row>
    <row r="415" spans="1:45" ht="15" thickBot="1" x14ac:dyDescent="0.4">
      <c r="A415" s="366">
        <v>6</v>
      </c>
      <c r="B415" s="737" t="s">
        <v>552</v>
      </c>
      <c r="C415" s="737"/>
      <c r="D415" s="731"/>
      <c r="E415" s="731"/>
      <c r="F415" s="731"/>
      <c r="G415" s="366" t="str">
        <f>G414</f>
        <v/>
      </c>
      <c r="H415" s="366" t="s">
        <v>3971</v>
      </c>
      <c r="I415" s="30"/>
      <c r="J415" s="4"/>
      <c r="K415" s="43"/>
      <c r="L415" s="838"/>
      <c r="M415" s="818"/>
      <c r="N415" s="863"/>
      <c r="O415" s="834"/>
      <c r="X415" s="850"/>
      <c r="Y415" s="1101"/>
      <c r="Z415" s="1104"/>
    </row>
    <row r="416" spans="1:45" ht="15" thickTop="1" x14ac:dyDescent="0.35">
      <c r="A416" s="366">
        <v>6</v>
      </c>
      <c r="B416" s="731" t="s">
        <v>554</v>
      </c>
      <c r="C416" s="731"/>
      <c r="D416" s="731"/>
      <c r="E416" s="731"/>
      <c r="F416" s="731"/>
      <c r="G416" s="366" t="str">
        <f>IF(N416&gt;0,"P","")</f>
        <v/>
      </c>
      <c r="H416" s="366" t="s">
        <v>3971</v>
      </c>
      <c r="I416" s="106" t="s">
        <v>3141</v>
      </c>
      <c r="J416" s="107"/>
      <c r="K416" s="108"/>
      <c r="L416" s="837" t="s">
        <v>555</v>
      </c>
      <c r="M416" s="830">
        <v>4</v>
      </c>
      <c r="N416" s="959">
        <f>'Ch6'!O98</f>
        <v>0</v>
      </c>
      <c r="O416" s="959">
        <f>M416*OR(S418*W418,S419*W419)</f>
        <v>0</v>
      </c>
      <c r="P416" s="59"/>
      <c r="Q416" s="59"/>
      <c r="R416" s="59"/>
      <c r="S416" s="59"/>
      <c r="T416" s="59"/>
      <c r="U416" s="59"/>
      <c r="V416" s="59"/>
      <c r="W416" s="59"/>
      <c r="X416" s="840"/>
      <c r="Y416" s="1117" t="str">
        <f>IF(LEN('Ch6'!X98)=0,"None",'Ch6'!X98)</f>
        <v>None</v>
      </c>
      <c r="Z416" s="1103"/>
      <c r="AL416" t="str">
        <f>SUBSTITUTE(SUBSTITUTE(SUBSTITUTE("vpa"&amp;$B416&amp;$C416&amp;$D416&amp;$E416,".","_"),"(","_"),")","")</f>
        <v xml:space="preserve">vpa602_1_2 </v>
      </c>
      <c r="AM416">
        <f>M416</f>
        <v>4</v>
      </c>
      <c r="AN416" t="str">
        <f>SUBSTITUTE(SUBSTITUTE(SUBSTITUTE("vpc"&amp;$B416&amp;$C416&amp;$D416&amp;$E416,".","_"),"(","_"),")","")</f>
        <v xml:space="preserve">vpc602_1_2 </v>
      </c>
      <c r="AO416">
        <f>O416</f>
        <v>0</v>
      </c>
      <c r="AR416" t="str">
        <f>SUBSTITUTE(SUBSTITUTE(SUBSTITUTE("vnt"&amp;$B416&amp;$C416&amp;$D416&amp;$E416,".","_"),"(","_"),")","")</f>
        <v xml:space="preserve">vnt602_1_2 </v>
      </c>
      <c r="AS416" t="str">
        <f>IF(LEN(X416)=0,"",X416)</f>
        <v/>
      </c>
    </row>
    <row r="417" spans="1:45" x14ac:dyDescent="0.35">
      <c r="A417" s="366">
        <v>6</v>
      </c>
      <c r="B417" s="731" t="s">
        <v>554</v>
      </c>
      <c r="C417" s="731"/>
      <c r="D417" s="731"/>
      <c r="E417" s="731"/>
      <c r="F417" s="731"/>
      <c r="G417" s="366" t="str">
        <f>G416</f>
        <v/>
      </c>
      <c r="H417" s="366" t="s">
        <v>3971</v>
      </c>
      <c r="I417" s="30"/>
      <c r="J417" s="4"/>
      <c r="K417" s="43"/>
      <c r="L417" s="838"/>
      <c r="M417" s="818"/>
      <c r="N417" s="834"/>
      <c r="O417" s="834"/>
      <c r="X417" s="817"/>
      <c r="Y417" s="1100"/>
      <c r="Z417" s="1102"/>
    </row>
    <row r="418" spans="1:45" x14ac:dyDescent="0.35">
      <c r="A418" s="366">
        <v>6</v>
      </c>
      <c r="B418" s="731" t="s">
        <v>554</v>
      </c>
      <c r="C418" s="731" t="s">
        <v>256</v>
      </c>
      <c r="D418" s="731"/>
      <c r="E418" s="731"/>
      <c r="F418" s="731"/>
      <c r="G418" s="366" t="str">
        <f>G417</f>
        <v/>
      </c>
      <c r="H418" s="366" t="s">
        <v>3971</v>
      </c>
      <c r="I418" s="30"/>
      <c r="J418" s="129" t="s">
        <v>256</v>
      </c>
      <c r="K418" s="101"/>
      <c r="L418" s="228" t="s">
        <v>556</v>
      </c>
      <c r="M418" s="818"/>
      <c r="N418" s="834"/>
      <c r="O418" s="834"/>
      <c r="P418" t="b">
        <v>1</v>
      </c>
      <c r="Q418" t="b">
        <v>0</v>
      </c>
      <c r="R418" t="b">
        <v>0</v>
      </c>
      <c r="S418" t="b">
        <f>NOT(AZ351=4)</f>
        <v>1</v>
      </c>
      <c r="T418" t="b">
        <f>IF(AND(NOT(S418),W418=TRUE),TRUE,FALSE)</f>
        <v>0</v>
      </c>
      <c r="W418" s="17"/>
      <c r="X418" s="817"/>
      <c r="Y418" s="1100"/>
      <c r="Z418" s="1102"/>
      <c r="AC418" t="b">
        <f>OR(AD418:AE418)</f>
        <v>0</v>
      </c>
      <c r="AD418" t="b">
        <f>T418</f>
        <v>0</v>
      </c>
      <c r="AP418" t="str">
        <f>SUBSTITUTE(SUBSTITUTE(SUBSTITUTE("vch"&amp;$B418&amp;$C418&amp;$D418&amp;$E418,".","_"),"(","_"),")","")</f>
        <v>vch602_1_2 _1</v>
      </c>
      <c r="AQ418" t="str">
        <f>IF(LEN(W418)=0,"",W418)</f>
        <v/>
      </c>
    </row>
    <row r="419" spans="1:45" ht="15" thickBot="1" x14ac:dyDescent="0.4">
      <c r="A419" s="366">
        <v>6</v>
      </c>
      <c r="B419" s="731" t="s">
        <v>554</v>
      </c>
      <c r="C419" s="731" t="s">
        <v>258</v>
      </c>
      <c r="D419" s="731"/>
      <c r="E419" s="731"/>
      <c r="F419" s="731"/>
      <c r="G419" s="366" t="str">
        <f>G418</f>
        <v/>
      </c>
      <c r="H419" s="366" t="s">
        <v>3971</v>
      </c>
      <c r="I419" s="114"/>
      <c r="J419" s="115" t="s">
        <v>258</v>
      </c>
      <c r="K419" s="53"/>
      <c r="L419" s="229" t="s">
        <v>557</v>
      </c>
      <c r="M419" s="827"/>
      <c r="N419" s="863"/>
      <c r="O419" s="863"/>
      <c r="P419" s="55"/>
      <c r="Q419" s="55"/>
      <c r="R419" s="55" t="b">
        <v>0</v>
      </c>
      <c r="S419" s="55" t="b">
        <f>NOT(AZ351=4)</f>
        <v>1</v>
      </c>
      <c r="T419" s="55" t="b">
        <f>IF(AND(NOT(S419),W419=TRUE),TRUE,FALSE)</f>
        <v>0</v>
      </c>
      <c r="U419" s="55"/>
      <c r="V419" s="55"/>
      <c r="W419" s="17"/>
      <c r="X419" s="829"/>
      <c r="Y419" s="1101"/>
      <c r="Z419" s="1104"/>
      <c r="AC419" t="b">
        <f>OR(AD419:AE419)</f>
        <v>0</v>
      </c>
      <c r="AD419" t="b">
        <f>T419</f>
        <v>0</v>
      </c>
      <c r="AP419" t="str">
        <f>SUBSTITUTE(SUBSTITUTE(SUBSTITUTE("vch"&amp;$B419&amp;$C419&amp;$D419&amp;$E419,".","_"),"(","_"),")","")</f>
        <v>vch602_1_2 _2</v>
      </c>
      <c r="AQ419" t="str">
        <f>IF(LEN(W419)=0,"",W419)</f>
        <v/>
      </c>
    </row>
    <row r="420" spans="1:45" ht="15" thickTop="1" x14ac:dyDescent="0.35">
      <c r="A420" s="366">
        <v>6</v>
      </c>
      <c r="B420" s="737" t="s">
        <v>558</v>
      </c>
      <c r="C420" s="731"/>
      <c r="D420" s="731"/>
      <c r="E420" s="731"/>
      <c r="F420" s="731"/>
      <c r="G420" s="366" t="s">
        <v>3973</v>
      </c>
      <c r="H420" s="366" t="s">
        <v>3971</v>
      </c>
      <c r="I420" s="106" t="s">
        <v>558</v>
      </c>
      <c r="J420" s="107"/>
      <c r="K420" s="108"/>
      <c r="L420" s="274" t="s">
        <v>559</v>
      </c>
      <c r="M420" s="267"/>
      <c r="N420" s="545"/>
      <c r="O420" s="545"/>
      <c r="P420" s="59"/>
      <c r="Q420" s="59"/>
      <c r="R420" s="59"/>
      <c r="S420" s="59"/>
      <c r="T420" s="59"/>
      <c r="U420" s="59"/>
      <c r="V420" s="59"/>
      <c r="W420" s="59"/>
      <c r="X420" s="59"/>
    </row>
    <row r="421" spans="1:45" x14ac:dyDescent="0.35">
      <c r="A421" s="366">
        <v>6</v>
      </c>
      <c r="B421" s="737" t="s">
        <v>560</v>
      </c>
      <c r="C421" s="737"/>
      <c r="D421" s="731"/>
      <c r="E421" s="731"/>
      <c r="F421" s="731"/>
      <c r="G421" s="366" t="s">
        <v>3973</v>
      </c>
      <c r="H421" s="366" t="s">
        <v>3971</v>
      </c>
      <c r="I421" s="30" t="s">
        <v>560</v>
      </c>
      <c r="J421" s="4"/>
      <c r="K421" s="43"/>
      <c r="L421" s="838" t="s">
        <v>561</v>
      </c>
      <c r="M421" s="885" t="str">
        <f>IF(R421,"Mandatory","N/A")</f>
        <v>N/A</v>
      </c>
      <c r="N421" s="41"/>
      <c r="O421" s="41"/>
      <c r="P421" t="b">
        <v>1</v>
      </c>
      <c r="Q421" t="b">
        <v>0</v>
      </c>
      <c r="R421" t="b">
        <f>S421</f>
        <v>0</v>
      </c>
      <c r="S421" t="b">
        <f>OR(AZ351=1,AZ351=5,AZ351=6)</f>
        <v>0</v>
      </c>
      <c r="T421" t="b">
        <f>IF(AND(NOT(S421),W421=TRUE),TRUE,FALSE)</f>
        <v>0</v>
      </c>
      <c r="W421" s="17"/>
      <c r="X421" s="817"/>
      <c r="Y421" s="1100" t="str">
        <f>IF(LEN('Ch6'!X103)=0,"None",'Ch6'!X103)</f>
        <v>None</v>
      </c>
      <c r="Z421" s="1102"/>
      <c r="AC421" t="b">
        <f>OR(AD421:AE421)</f>
        <v>0</v>
      </c>
      <c r="AD421" t="b">
        <f>T421</f>
        <v>0</v>
      </c>
      <c r="AE421" t="b">
        <f>AND(R421,NOT(W421))</f>
        <v>0</v>
      </c>
      <c r="AF421" t="b">
        <f>AND(AE421,NOT(Q421))</f>
        <v>0</v>
      </c>
      <c r="AL421" t="str">
        <f>SUBSTITUTE(SUBSTITUTE(SUBSTITUTE("vpa"&amp;$B421&amp;$C421&amp;$D421&amp;$E421,".","_"),"(","_"),")","")</f>
        <v>vpa602_1_3_1</v>
      </c>
      <c r="AM421" t="str">
        <f>M421</f>
        <v>N/A</v>
      </c>
      <c r="AP421" t="str">
        <f>SUBSTITUTE(SUBSTITUTE(SUBSTITUTE("vch"&amp;$B421&amp;$C421&amp;$D421&amp;$E421,".","_"),"(","_"),")","")</f>
        <v>vch602_1_3_1</v>
      </c>
      <c r="AQ421" t="str">
        <f>IF(LEN(W421)=0,"",W421)</f>
        <v/>
      </c>
      <c r="AR421" t="str">
        <f>SUBSTITUTE(SUBSTITUTE(SUBSTITUTE("vnt"&amp;$B421&amp;$C421&amp;$D421&amp;$E421,".","_"),"(","_"),")","")</f>
        <v>vnt602_1_3_1</v>
      </c>
      <c r="AS421" t="str">
        <f>IF(LEN(X421)=0,"",X421)</f>
        <v/>
      </c>
    </row>
    <row r="422" spans="1:45" x14ac:dyDescent="0.35">
      <c r="A422" s="366">
        <v>6</v>
      </c>
      <c r="B422" s="737" t="s">
        <v>560</v>
      </c>
      <c r="C422" s="737"/>
      <c r="D422" s="731"/>
      <c r="E422" s="731"/>
      <c r="F422" s="731"/>
      <c r="G422" s="366" t="s">
        <v>3973</v>
      </c>
      <c r="H422" s="366" t="s">
        <v>3971</v>
      </c>
      <c r="I422" s="138"/>
      <c r="J422" s="133"/>
      <c r="K422" s="101"/>
      <c r="L422" s="889"/>
      <c r="M422" s="890"/>
      <c r="N422" s="41"/>
      <c r="O422" s="41"/>
      <c r="X422" s="817"/>
      <c r="Y422" s="1100"/>
      <c r="Z422" s="1102"/>
    </row>
    <row r="423" spans="1:45" x14ac:dyDescent="0.35">
      <c r="A423" s="366">
        <v>6</v>
      </c>
      <c r="B423" s="738" t="s">
        <v>562</v>
      </c>
      <c r="C423" s="738"/>
      <c r="D423" s="731"/>
      <c r="E423" s="731"/>
      <c r="F423" s="731"/>
      <c r="G423" s="366" t="str">
        <f>IF(N423&gt;0,"P","")</f>
        <v>P</v>
      </c>
      <c r="H423" s="366" t="s">
        <v>3971</v>
      </c>
      <c r="I423" s="30" t="s">
        <v>562</v>
      </c>
      <c r="J423" s="4"/>
      <c r="K423" s="43"/>
      <c r="L423" s="838" t="s">
        <v>563</v>
      </c>
      <c r="M423" s="818">
        <v>4</v>
      </c>
      <c r="N423" s="834">
        <f>'Ch6'!O105</f>
        <v>4</v>
      </c>
      <c r="O423" s="834">
        <f>M423*S423*W423</f>
        <v>0</v>
      </c>
      <c r="P423" t="b">
        <v>1</v>
      </c>
      <c r="Q423" t="b">
        <v>0</v>
      </c>
      <c r="R423" t="b">
        <v>0</v>
      </c>
      <c r="S423" t="b">
        <v>1</v>
      </c>
      <c r="T423" t="b">
        <v>0</v>
      </c>
      <c r="W423" s="17"/>
      <c r="X423" s="817"/>
      <c r="Y423" s="1100" t="str">
        <f>IF(LEN('Ch6'!X105)=0,"None",'Ch6'!X105)</f>
        <v>None</v>
      </c>
      <c r="Z423" s="1102"/>
      <c r="AL423" t="str">
        <f>SUBSTITUTE(SUBSTITUTE(SUBSTITUTE("vpa"&amp;$B423&amp;$C423&amp;$D423&amp;$E423,".","_"),"(","_"),")","")</f>
        <v>vpa602_1_3_2</v>
      </c>
      <c r="AM423">
        <f>M423</f>
        <v>4</v>
      </c>
      <c r="AN423" t="str">
        <f>SUBSTITUTE(SUBSTITUTE(SUBSTITUTE("vpc"&amp;$B423&amp;$C423&amp;$D423&amp;$E423,".","_"),"(","_"),")","")</f>
        <v>vpc602_1_3_2</v>
      </c>
      <c r="AO423">
        <f>O423</f>
        <v>0</v>
      </c>
      <c r="AP423" t="str">
        <f>SUBSTITUTE(SUBSTITUTE(SUBSTITUTE("vch"&amp;$B423&amp;$C423&amp;$D423&amp;$E423,".","_"),"(","_"),")","")</f>
        <v>vch602_1_3_2</v>
      </c>
      <c r="AQ423" t="str">
        <f>IF(LEN(W423)=0,"",W423)</f>
        <v/>
      </c>
      <c r="AR423" t="str">
        <f>SUBSTITUTE(SUBSTITUTE(SUBSTITUTE("vnt"&amp;$B423&amp;$C423&amp;$D423&amp;$E423,".","_"),"(","_"),")","")</f>
        <v>vnt602_1_3_2</v>
      </c>
      <c r="AS423" t="str">
        <f>IF(LEN(X423)=0,"",X423)</f>
        <v/>
      </c>
    </row>
    <row r="424" spans="1:45" ht="15" thickBot="1" x14ac:dyDescent="0.4">
      <c r="A424" s="366">
        <v>6</v>
      </c>
      <c r="B424" s="738" t="s">
        <v>562</v>
      </c>
      <c r="C424" s="738"/>
      <c r="D424" s="731"/>
      <c r="E424" s="731"/>
      <c r="F424" s="731"/>
      <c r="G424" s="366" t="str">
        <f>G423</f>
        <v>P</v>
      </c>
      <c r="H424" s="366" t="s">
        <v>3971</v>
      </c>
      <c r="I424" s="30"/>
      <c r="J424" s="4"/>
      <c r="K424" s="43"/>
      <c r="L424" s="838"/>
      <c r="M424" s="818"/>
      <c r="N424" s="863"/>
      <c r="O424" s="834"/>
      <c r="X424" s="850"/>
      <c r="Y424" s="1101"/>
      <c r="Z424" s="1104"/>
    </row>
    <row r="425" spans="1:45" ht="15" thickTop="1" x14ac:dyDescent="0.35">
      <c r="A425" s="366">
        <v>6</v>
      </c>
      <c r="B425" s="737" t="s">
        <v>564</v>
      </c>
      <c r="C425" s="731"/>
      <c r="D425" s="731"/>
      <c r="E425" s="731"/>
      <c r="F425" s="731"/>
      <c r="G425" s="366" t="s">
        <v>3973</v>
      </c>
      <c r="H425" s="366" t="s">
        <v>3971</v>
      </c>
      <c r="I425" s="106" t="s">
        <v>564</v>
      </c>
      <c r="J425" s="107"/>
      <c r="K425" s="108"/>
      <c r="L425" s="274" t="s">
        <v>565</v>
      </c>
      <c r="M425" s="267"/>
      <c r="N425" s="545"/>
      <c r="O425" s="545"/>
      <c r="P425" s="59"/>
      <c r="Q425" s="59"/>
      <c r="R425" s="59"/>
      <c r="S425" s="59"/>
      <c r="T425" s="59"/>
      <c r="U425" s="59"/>
      <c r="V425" s="59"/>
      <c r="W425" s="59"/>
      <c r="X425" s="59"/>
    </row>
    <row r="426" spans="1:45" x14ac:dyDescent="0.35">
      <c r="A426" s="366">
        <v>6</v>
      </c>
      <c r="B426" s="738" t="s">
        <v>566</v>
      </c>
      <c r="C426" s="738"/>
      <c r="D426" s="731"/>
      <c r="E426" s="731"/>
      <c r="F426" s="731"/>
      <c r="G426" s="366" t="s">
        <v>3973</v>
      </c>
      <c r="H426" s="366" t="s">
        <v>3971</v>
      </c>
      <c r="I426" s="30" t="s">
        <v>566</v>
      </c>
      <c r="J426" s="4"/>
      <c r="K426" s="43"/>
      <c r="L426" s="838" t="s">
        <v>567</v>
      </c>
      <c r="M426" s="40"/>
      <c r="N426" s="41"/>
      <c r="O426" s="41"/>
    </row>
    <row r="427" spans="1:45" x14ac:dyDescent="0.35">
      <c r="A427" s="366">
        <v>6</v>
      </c>
      <c r="B427" s="738" t="s">
        <v>566</v>
      </c>
      <c r="C427" s="738"/>
      <c r="D427" s="731"/>
      <c r="E427" s="731"/>
      <c r="F427" s="731"/>
      <c r="G427" s="366" t="s">
        <v>3973</v>
      </c>
      <c r="H427" s="366" t="s">
        <v>3971</v>
      </c>
      <c r="I427" s="30"/>
      <c r="J427" s="4"/>
      <c r="K427" s="43"/>
      <c r="L427" s="838"/>
      <c r="M427" s="40"/>
      <c r="N427" s="41"/>
      <c r="O427" s="41"/>
    </row>
    <row r="428" spans="1:45" x14ac:dyDescent="0.35">
      <c r="A428" s="366">
        <v>6</v>
      </c>
      <c r="B428" s="738" t="s">
        <v>566</v>
      </c>
      <c r="C428" s="738"/>
      <c r="D428" s="731"/>
      <c r="E428" s="731"/>
      <c r="F428" s="731"/>
      <c r="G428" s="366" t="s">
        <v>3973</v>
      </c>
      <c r="H428" s="366" t="s">
        <v>3971</v>
      </c>
      <c r="I428" s="30"/>
      <c r="J428" s="4"/>
      <c r="K428" s="43"/>
      <c r="L428" s="838"/>
      <c r="M428" s="40"/>
      <c r="N428" s="41"/>
      <c r="O428" s="41"/>
    </row>
    <row r="429" spans="1:45" x14ac:dyDescent="0.35">
      <c r="A429" s="366">
        <v>6</v>
      </c>
      <c r="B429" s="738" t="s">
        <v>566</v>
      </c>
      <c r="C429" s="731" t="s">
        <v>256</v>
      </c>
      <c r="D429" s="731"/>
      <c r="E429" s="731"/>
      <c r="F429" s="731"/>
      <c r="G429" s="366" t="str">
        <f>IF(N429&gt;0,"P","")</f>
        <v/>
      </c>
      <c r="H429" s="366" t="s">
        <v>3971</v>
      </c>
      <c r="I429" s="30"/>
      <c r="J429" s="19" t="s">
        <v>256</v>
      </c>
      <c r="K429" s="43"/>
      <c r="L429" s="814" t="s">
        <v>568</v>
      </c>
      <c r="M429" s="818">
        <v>6</v>
      </c>
      <c r="N429" s="834">
        <f>'Ch6'!O111</f>
        <v>0</v>
      </c>
      <c r="O429" s="834">
        <f>M429*S429*W429</f>
        <v>0</v>
      </c>
      <c r="P429" t="b">
        <v>1</v>
      </c>
      <c r="Q429" t="b">
        <v>0</v>
      </c>
      <c r="R429" t="b">
        <v>0</v>
      </c>
      <c r="S429" t="b">
        <f>OR(AZ351=2,AZ351=7)</f>
        <v>0</v>
      </c>
      <c r="T429" t="b">
        <f>IF(AND(NOT(S429),W429=TRUE),TRUE,FALSE)</f>
        <v>0</v>
      </c>
      <c r="W429" s="17"/>
      <c r="X429" s="817"/>
      <c r="Y429" s="1100" t="str">
        <f>IF(LEN('Ch6'!X111)=0,"None",'Ch6'!X111)</f>
        <v>None</v>
      </c>
      <c r="Z429" s="1102"/>
      <c r="AC429" t="b">
        <f>OR(AD429:AE429)</f>
        <v>0</v>
      </c>
      <c r="AD429" t="b">
        <f>T429</f>
        <v>0</v>
      </c>
      <c r="AL429" t="str">
        <f>SUBSTITUTE(SUBSTITUTE(SUBSTITUTE("vpa"&amp;$B429&amp;$C429&amp;$D429&amp;$E429,".","_"),"(","_"),")","")</f>
        <v>vpa602_1_4_1_1</v>
      </c>
      <c r="AM429">
        <f>M429</f>
        <v>6</v>
      </c>
      <c r="AN429" t="str">
        <f>SUBSTITUTE(SUBSTITUTE(SUBSTITUTE("vpc"&amp;$B429&amp;$C429&amp;$D429&amp;$E429,".","_"),"(","_"),")","")</f>
        <v>vpc602_1_4_1_1</v>
      </c>
      <c r="AO429">
        <f>O429</f>
        <v>0</v>
      </c>
      <c r="AP429" t="str">
        <f>SUBSTITUTE(SUBSTITUTE(SUBSTITUTE("vch"&amp;$B429&amp;$C429&amp;$D429&amp;$E429,".","_"),"(","_"),")","")</f>
        <v>vch602_1_4_1_1</v>
      </c>
      <c r="AQ429" t="str">
        <f>IF(LEN(W429)=0,"",W429)</f>
        <v/>
      </c>
      <c r="AR429" t="str">
        <f>SUBSTITUTE(SUBSTITUTE(SUBSTITUTE("vnt"&amp;$B429&amp;$C429&amp;$D429&amp;$E429,".","_"),"(","_"),")","")</f>
        <v>vnt602_1_4_1_1</v>
      </c>
      <c r="AS429" t="str">
        <f>IF(LEN(X429)=0,"",X429)</f>
        <v/>
      </c>
    </row>
    <row r="430" spans="1:45" x14ac:dyDescent="0.35">
      <c r="A430" s="366">
        <v>6</v>
      </c>
      <c r="B430" s="738" t="s">
        <v>566</v>
      </c>
      <c r="C430" s="731" t="s">
        <v>256</v>
      </c>
      <c r="D430" s="731"/>
      <c r="E430" s="731"/>
      <c r="F430" s="731"/>
      <c r="G430" s="366" t="str">
        <f>G429</f>
        <v/>
      </c>
      <c r="H430" s="366" t="s">
        <v>3971</v>
      </c>
      <c r="I430" s="30"/>
      <c r="J430" s="133"/>
      <c r="K430" s="101"/>
      <c r="L430" s="815"/>
      <c r="M430" s="819"/>
      <c r="N430" s="835"/>
      <c r="O430" s="835"/>
      <c r="X430" s="817"/>
      <c r="Y430" s="1100"/>
      <c r="Z430" s="1102"/>
    </row>
    <row r="431" spans="1:45" x14ac:dyDescent="0.35">
      <c r="A431" s="366">
        <v>6</v>
      </c>
      <c r="B431" s="738" t="s">
        <v>566</v>
      </c>
      <c r="C431" s="731" t="s">
        <v>258</v>
      </c>
      <c r="D431" s="731"/>
      <c r="E431" s="731"/>
      <c r="F431" s="731"/>
      <c r="G431" s="366" t="s">
        <v>3973</v>
      </c>
      <c r="H431" s="366" t="s">
        <v>3971</v>
      </c>
      <c r="I431" s="138"/>
      <c r="J431" s="129" t="s">
        <v>258</v>
      </c>
      <c r="K431" s="101"/>
      <c r="L431" s="228" t="s">
        <v>569</v>
      </c>
      <c r="M431" s="458" t="str">
        <f>IF(R431,"Mandatory","N/A")</f>
        <v>N/A</v>
      </c>
      <c r="N431" s="41"/>
      <c r="O431" s="41"/>
      <c r="P431" t="b">
        <v>1</v>
      </c>
      <c r="Q431" t="b">
        <v>0</v>
      </c>
      <c r="R431" t="b">
        <f>S431</f>
        <v>0</v>
      </c>
      <c r="S431" t="b">
        <f>OR(AZ351=2,AZ351=7)</f>
        <v>0</v>
      </c>
      <c r="T431" t="b">
        <f>IF(AND(NOT(S431),LEN(W431)&gt;0),TRUE,FALSE)</f>
        <v>0</v>
      </c>
      <c r="U431" t="str">
        <f>SUBSTITUTE(SUBSTITUTE(SUBSTITUTE("dd"&amp;B431&amp;C431&amp;D431&amp;E431&amp;F431,".","_"),"(","_"),")","")</f>
        <v>dd602_1_4_1_2</v>
      </c>
      <c r="W431" s="9"/>
      <c r="X431" s="36"/>
      <c r="Y431" s="396" t="str">
        <f>IF(LEN('Ch6'!X113)=0,"None",'Ch6'!X113)</f>
        <v>None</v>
      </c>
      <c r="Z431" s="652"/>
      <c r="AC431" t="b">
        <f>OR(AD431:AE431)</f>
        <v>0</v>
      </c>
      <c r="AD431" t="b">
        <f>T431</f>
        <v>0</v>
      </c>
      <c r="AE431" t="b">
        <f>AND(R431,NOT(W431="Met"),NOT(W431="N/A"))</f>
        <v>0</v>
      </c>
      <c r="AF431" t="b">
        <f>AND(AE431,NOT(Q431))</f>
        <v>0</v>
      </c>
      <c r="AL431" t="str">
        <f>SUBSTITUTE(SUBSTITUTE(SUBSTITUTE("vpa"&amp;$B431&amp;$C431&amp;$D431&amp;$E431,".","_"),"(","_"),")","")</f>
        <v>vpa602_1_4_1_2</v>
      </c>
      <c r="AM431" t="str">
        <f>M431</f>
        <v>N/A</v>
      </c>
      <c r="AP431" t="str">
        <f>SUBSTITUTE(SUBSTITUTE(SUBSTITUTE("vch"&amp;$B431&amp;$C431&amp;$D431&amp;$E431,".","_"),"(","_"),")","")</f>
        <v>vch602_1_4_1_2</v>
      </c>
      <c r="AQ431" t="str">
        <f>IF(LEN(W431)=0,"",W431)</f>
        <v/>
      </c>
      <c r="AR431" t="str">
        <f>SUBSTITUTE(SUBSTITUTE(SUBSTITUTE("vnt"&amp;$B431&amp;$C431&amp;$D431&amp;$E431,".","_"),"(","_"),")","")</f>
        <v>vnt602_1_4_1_2</v>
      </c>
      <c r="AS431" t="str">
        <f>IF(LEN(X431)=0,"",X431)</f>
        <v/>
      </c>
    </row>
    <row r="432" spans="1:45" x14ac:dyDescent="0.35">
      <c r="A432" s="366">
        <v>6</v>
      </c>
      <c r="B432" s="737" t="s">
        <v>570</v>
      </c>
      <c r="C432" s="731"/>
      <c r="D432" s="731"/>
      <c r="E432" s="731"/>
      <c r="F432" s="731"/>
      <c r="G432" s="366" t="s">
        <v>3973</v>
      </c>
      <c r="H432" s="366" t="s">
        <v>3971</v>
      </c>
      <c r="I432" s="30" t="s">
        <v>570</v>
      </c>
      <c r="J432" s="4"/>
      <c r="K432" s="43"/>
      <c r="L432" s="838" t="s">
        <v>571</v>
      </c>
      <c r="M432" s="40"/>
      <c r="N432" s="41"/>
      <c r="O432" s="75"/>
    </row>
    <row r="433" spans="1:45" x14ac:dyDescent="0.35">
      <c r="A433" s="366">
        <v>6</v>
      </c>
      <c r="B433" s="737" t="s">
        <v>570</v>
      </c>
      <c r="C433" s="731"/>
      <c r="D433" s="731"/>
      <c r="E433" s="731"/>
      <c r="F433" s="731"/>
      <c r="G433" s="366" t="s">
        <v>3973</v>
      </c>
      <c r="H433" s="366" t="s">
        <v>3971</v>
      </c>
      <c r="I433" s="30"/>
      <c r="J433" s="4"/>
      <c r="K433" s="43"/>
      <c r="L433" s="838"/>
      <c r="M433" s="40"/>
      <c r="N433" s="41"/>
      <c r="O433" s="75"/>
    </row>
    <row r="434" spans="1:45" x14ac:dyDescent="0.35">
      <c r="A434" s="366">
        <v>6</v>
      </c>
      <c r="B434" s="737" t="s">
        <v>570</v>
      </c>
      <c r="C434" s="731"/>
      <c r="D434" s="731"/>
      <c r="E434" s="731"/>
      <c r="F434" s="731"/>
      <c r="G434" s="366" t="s">
        <v>3973</v>
      </c>
      <c r="H434" s="366" t="s">
        <v>3971</v>
      </c>
      <c r="I434" s="30"/>
      <c r="J434" s="4"/>
      <c r="K434" s="43"/>
      <c r="L434" s="838"/>
      <c r="M434" s="40"/>
      <c r="N434" s="41"/>
      <c r="O434" s="75"/>
    </row>
    <row r="435" spans="1:45" x14ac:dyDescent="0.35">
      <c r="A435" s="366">
        <v>6</v>
      </c>
      <c r="B435" s="737" t="s">
        <v>570</v>
      </c>
      <c r="C435" s="731" t="s">
        <v>256</v>
      </c>
      <c r="D435" s="731"/>
      <c r="E435" s="731"/>
      <c r="F435" s="731"/>
      <c r="G435" s="366" t="str">
        <f>IF(N435&gt;0,"P","")</f>
        <v/>
      </c>
      <c r="H435" s="366" t="s">
        <v>3971</v>
      </c>
      <c r="I435" s="30"/>
      <c r="J435" s="19" t="s">
        <v>256</v>
      </c>
      <c r="K435" s="43"/>
      <c r="L435" s="814" t="s">
        <v>3041</v>
      </c>
      <c r="M435" s="818">
        <v>8</v>
      </c>
      <c r="N435" s="834">
        <f>'Ch6'!O117</f>
        <v>0</v>
      </c>
      <c r="O435" s="834">
        <f>M435*S435*W435</f>
        <v>0</v>
      </c>
      <c r="P435" t="b">
        <v>1</v>
      </c>
      <c r="Q435" t="b">
        <v>0</v>
      </c>
      <c r="R435" t="b">
        <v>0</v>
      </c>
      <c r="S435" t="b">
        <f>OR(AZ351=3,AZ351=7)</f>
        <v>0</v>
      </c>
      <c r="T435" t="b">
        <f>IF(AND(NOT(S435),W435=TRUE),TRUE,FALSE)</f>
        <v>0</v>
      </c>
      <c r="W435" s="17"/>
      <c r="X435" s="817"/>
      <c r="Y435" s="1100" t="str">
        <f>IF(LEN('Ch6'!X117)=0,"None",'Ch6'!X117)</f>
        <v>None</v>
      </c>
      <c r="Z435" s="1102"/>
      <c r="AC435" t="b">
        <f>OR(AD435:AE435)</f>
        <v>0</v>
      </c>
      <c r="AD435" t="b">
        <f>T435</f>
        <v>0</v>
      </c>
      <c r="AL435" t="str">
        <f>SUBSTITUTE(SUBSTITUTE(SUBSTITUTE("vpa"&amp;$B435&amp;$C435&amp;$D435&amp;$E435,".","_"),"(","_"),")","")</f>
        <v>vpa602_1_4_2_1</v>
      </c>
      <c r="AM435">
        <f>M435</f>
        <v>8</v>
      </c>
      <c r="AN435" t="str">
        <f>SUBSTITUTE(SUBSTITUTE(SUBSTITUTE("vpc"&amp;$B435&amp;$C435&amp;$D435&amp;$E435,".","_"),"(","_"),")","")</f>
        <v>vpc602_1_4_2_1</v>
      </c>
      <c r="AO435">
        <f>O435</f>
        <v>0</v>
      </c>
      <c r="AP435" t="str">
        <f>SUBSTITUTE(SUBSTITUTE(SUBSTITUTE("vch"&amp;$B435&amp;$C435&amp;$D435&amp;$E435,".","_"),"(","_"),")","")</f>
        <v>vch602_1_4_2_1</v>
      </c>
      <c r="AQ435" t="str">
        <f>IF(LEN(W435)=0,"",W435)</f>
        <v/>
      </c>
      <c r="AR435" t="str">
        <f>SUBSTITUTE(SUBSTITUTE(SUBSTITUTE("vnt"&amp;$B435&amp;$C435&amp;$D435&amp;$E435,".","_"),"(","_"),")","")</f>
        <v>vnt602_1_4_2_1</v>
      </c>
      <c r="AS435" t="str">
        <f>IF(LEN(X435)=0,"",X435)</f>
        <v/>
      </c>
    </row>
    <row r="436" spans="1:45" x14ac:dyDescent="0.35">
      <c r="A436" s="366">
        <v>6</v>
      </c>
      <c r="B436" s="737" t="s">
        <v>570</v>
      </c>
      <c r="C436" s="731" t="s">
        <v>256</v>
      </c>
      <c r="D436" s="731"/>
      <c r="E436" s="731"/>
      <c r="F436" s="731"/>
      <c r="G436" s="366" t="str">
        <f>G435</f>
        <v/>
      </c>
      <c r="H436" s="366" t="s">
        <v>3971</v>
      </c>
      <c r="I436" s="30"/>
      <c r="J436" s="133"/>
      <c r="K436" s="101"/>
      <c r="L436" s="815"/>
      <c r="M436" s="819"/>
      <c r="N436" s="835"/>
      <c r="O436" s="835"/>
      <c r="X436" s="817"/>
      <c r="Y436" s="1100"/>
      <c r="Z436" s="1102"/>
    </row>
    <row r="437" spans="1:45" x14ac:dyDescent="0.35">
      <c r="A437" s="366">
        <v>6</v>
      </c>
      <c r="B437" s="737" t="s">
        <v>570</v>
      </c>
      <c r="C437" s="731" t="s">
        <v>258</v>
      </c>
      <c r="D437" s="731"/>
      <c r="E437" s="731"/>
      <c r="F437" s="731"/>
      <c r="G437" s="366" t="s">
        <v>3973</v>
      </c>
      <c r="H437" s="366" t="s">
        <v>3971</v>
      </c>
      <c r="I437" s="30"/>
      <c r="J437" s="19" t="s">
        <v>258</v>
      </c>
      <c r="K437" s="43"/>
      <c r="L437" s="814" t="s">
        <v>3042</v>
      </c>
      <c r="M437" s="885" t="str">
        <f>IF(R437,"Mandatory","N/A")</f>
        <v>N/A</v>
      </c>
      <c r="N437" s="41"/>
      <c r="O437" s="41"/>
      <c r="P437" t="b">
        <v>1</v>
      </c>
      <c r="Q437" t="b">
        <v>0</v>
      </c>
      <c r="R437" t="b">
        <f>S437</f>
        <v>0</v>
      </c>
      <c r="S437" t="b">
        <f>OR(AZ351=3,AZ351=7)</f>
        <v>0</v>
      </c>
      <c r="T437" t="b">
        <f>IF(AND(NOT(S437),LEN(W437)&gt;0),TRUE,FALSE)</f>
        <v>0</v>
      </c>
      <c r="U437" t="str">
        <f>SUBSTITUTE(SUBSTITUTE(SUBSTITUTE("dd"&amp;B437&amp;C437&amp;D437&amp;E437&amp;F437,".","_"),"(","_"),")","")</f>
        <v>dd602_1_4_2_2</v>
      </c>
      <c r="W437" s="9"/>
      <c r="X437" s="817"/>
      <c r="Y437" s="1100" t="str">
        <f>IF(LEN('Ch6'!X119)=0,"None",'Ch6'!X119)</f>
        <v>None</v>
      </c>
      <c r="Z437" s="1102"/>
      <c r="AC437" t="b">
        <f>OR(AD437:AE437)</f>
        <v>0</v>
      </c>
      <c r="AD437" t="b">
        <f>T437</f>
        <v>0</v>
      </c>
      <c r="AE437" t="b">
        <f>AND(R437,NOT(W437="Met"),NOT(W437="N/A"))</f>
        <v>0</v>
      </c>
      <c r="AF437" t="b">
        <f>AND(AE437,NOT(Q437))</f>
        <v>0</v>
      </c>
      <c r="AL437" t="str">
        <f>SUBSTITUTE(SUBSTITUTE(SUBSTITUTE("vpa"&amp;$B437&amp;$C437&amp;$D437&amp;$E437,".","_"),"(","_"),")","")</f>
        <v>vpa602_1_4_2_2</v>
      </c>
      <c r="AM437" t="str">
        <f>M437</f>
        <v>N/A</v>
      </c>
      <c r="AP437" t="str">
        <f>SUBSTITUTE(SUBSTITUTE(SUBSTITUTE("vch"&amp;$B437&amp;$C437&amp;$D437&amp;$E437,".","_"),"(","_"),")","")</f>
        <v>vch602_1_4_2_2</v>
      </c>
      <c r="AQ437" t="str">
        <f>IF(LEN(W437)=0,"",W437)</f>
        <v/>
      </c>
      <c r="AR437" t="str">
        <f>SUBSTITUTE(SUBSTITUTE(SUBSTITUTE("vnt"&amp;$B437&amp;$C437&amp;$D437&amp;$E437,".","_"),"(","_"),")","")</f>
        <v>vnt602_1_4_2_2</v>
      </c>
      <c r="AS437" t="str">
        <f>IF(LEN(X437)=0,"",X437)</f>
        <v/>
      </c>
    </row>
    <row r="438" spans="1:45" ht="15" thickBot="1" x14ac:dyDescent="0.4">
      <c r="A438" s="366">
        <v>6</v>
      </c>
      <c r="B438" s="737" t="s">
        <v>570</v>
      </c>
      <c r="C438" s="731" t="s">
        <v>258</v>
      </c>
      <c r="D438" s="731"/>
      <c r="E438" s="731"/>
      <c r="F438" s="731"/>
      <c r="G438" s="366" t="s">
        <v>3973</v>
      </c>
      <c r="H438" s="366" t="s">
        <v>3971</v>
      </c>
      <c r="I438" s="30"/>
      <c r="J438" s="4"/>
      <c r="K438" s="43"/>
      <c r="L438" s="814"/>
      <c r="M438" s="885"/>
      <c r="N438" s="41"/>
      <c r="O438" s="41"/>
      <c r="X438" s="850"/>
      <c r="Y438" s="1101"/>
      <c r="Z438" s="1104"/>
    </row>
    <row r="439" spans="1:45" ht="15" thickTop="1" x14ac:dyDescent="0.35">
      <c r="A439" s="366">
        <v>6</v>
      </c>
      <c r="B439" s="737" t="s">
        <v>572</v>
      </c>
      <c r="C439" s="731"/>
      <c r="D439" s="731"/>
      <c r="E439" s="731"/>
      <c r="F439" s="731"/>
      <c r="G439" s="727" t="str">
        <f ca="1">IF(COUNTIF(G441:G443,"P")&gt;0,"P","")</f>
        <v/>
      </c>
      <c r="H439" s="366" t="s">
        <v>3971</v>
      </c>
      <c r="I439" s="106" t="s">
        <v>572</v>
      </c>
      <c r="J439" s="107"/>
      <c r="K439" s="108"/>
      <c r="L439" s="574" t="s">
        <v>573</v>
      </c>
      <c r="M439" s="267"/>
      <c r="N439" s="545"/>
      <c r="O439" s="545"/>
      <c r="P439" s="59"/>
      <c r="Q439" s="59"/>
      <c r="R439" s="59"/>
      <c r="S439" s="59"/>
      <c r="T439" s="59"/>
      <c r="U439" s="59"/>
      <c r="V439" s="59"/>
      <c r="W439" s="59" t="s">
        <v>1103</v>
      </c>
      <c r="X439" s="59"/>
    </row>
    <row r="440" spans="1:45" x14ac:dyDescent="0.35">
      <c r="A440" s="366">
        <v>6</v>
      </c>
      <c r="B440" s="737" t="s">
        <v>572</v>
      </c>
      <c r="C440" s="731"/>
      <c r="D440" s="731"/>
      <c r="E440" s="731"/>
      <c r="F440" s="731"/>
      <c r="G440" s="366" t="str">
        <f ca="1">G439</f>
        <v/>
      </c>
      <c r="H440" s="366" t="s">
        <v>3971</v>
      </c>
      <c r="I440" s="30"/>
      <c r="J440" s="4"/>
      <c r="K440" s="43"/>
      <c r="L440" s="276" t="s">
        <v>3033</v>
      </c>
      <c r="M440" s="40"/>
      <c r="N440" s="41"/>
      <c r="O440" s="41"/>
      <c r="P440" t="b">
        <v>1</v>
      </c>
      <c r="Q440" t="b">
        <v>0</v>
      </c>
      <c r="R440" t="b">
        <v>0</v>
      </c>
      <c r="S440" t="b">
        <v>1</v>
      </c>
      <c r="T440" t="b">
        <v>0</v>
      </c>
      <c r="U440" t="str">
        <f>SUBSTITUTE(SUBSTITUTE(SUBSTITUTE("dd"&amp;B440&amp;C440&amp;D440&amp;E440&amp;F440,".","_"),"(","_"),")","")</f>
        <v>dd602_1_5</v>
      </c>
      <c r="W440" s="9"/>
      <c r="X440" s="817"/>
      <c r="Y440" s="1100" t="str">
        <f>IF(LEN('Ch6'!X122)=0,"None",'Ch6'!X122)</f>
        <v>None</v>
      </c>
      <c r="Z440" s="1102"/>
      <c r="AP440" t="str">
        <f>SUBSTITUTE(SUBSTITUTE(SUBSTITUTE("vch"&amp;$B440&amp;$C440&amp;$D440&amp;$E440,".","_"),"(","_"),")","")</f>
        <v>vch602_1_5</v>
      </c>
      <c r="AQ440" t="str">
        <f>IF(LEN(W440)=0,"",W440)</f>
        <v/>
      </c>
      <c r="AR440" t="str">
        <f>SUBSTITUTE(SUBSTITUTE(SUBSTITUTE("vnt"&amp;$B440&amp;$C440&amp;$D440&amp;$E440,".","_"),"(","_"),")","")</f>
        <v>vnt602_1_5</v>
      </c>
      <c r="AS440" t="str">
        <f>IF(LEN(X440)=0,"",X440)</f>
        <v/>
      </c>
    </row>
    <row r="441" spans="1:45" x14ac:dyDescent="0.35">
      <c r="A441" s="366">
        <v>6</v>
      </c>
      <c r="B441" s="737" t="s">
        <v>572</v>
      </c>
      <c r="C441" s="731" t="s">
        <v>256</v>
      </c>
      <c r="D441" s="731"/>
      <c r="E441" s="731"/>
      <c r="F441" s="731"/>
      <c r="G441" s="366" t="str">
        <f ca="1">IF(N441&gt;0,"P","")</f>
        <v/>
      </c>
      <c r="H441" s="366" t="s">
        <v>3971</v>
      </c>
      <c r="I441" s="30"/>
      <c r="J441" s="19" t="s">
        <v>256</v>
      </c>
      <c r="K441" s="43"/>
      <c r="L441" s="814" t="s">
        <v>574</v>
      </c>
      <c r="M441" s="818">
        <v>4</v>
      </c>
      <c r="N441" s="834">
        <f ca="1">'Ch6'!O123</f>
        <v>0</v>
      </c>
      <c r="O441" s="834">
        <f ca="1">M441*S441*W441</f>
        <v>0</v>
      </c>
      <c r="P441" t="b">
        <v>1</v>
      </c>
      <c r="Q441" t="b">
        <v>0</v>
      </c>
      <c r="R441" t="b">
        <v>0</v>
      </c>
      <c r="S441" t="b">
        <f ca="1">IF(IFERROR(MATCH(W440,INDIRECT(U440),0),0)=3,TRUE,FALSE)</f>
        <v>0</v>
      </c>
      <c r="T441" t="b">
        <f ca="1">IF(AND(NOT(S441),W441=TRUE),TRUE,FALSE)</f>
        <v>0</v>
      </c>
      <c r="W441" s="17"/>
      <c r="X441" s="817"/>
      <c r="Y441" s="1100"/>
      <c r="Z441" s="1102"/>
      <c r="AC441" t="b">
        <f ca="1">OR(AD441:AE441)</f>
        <v>0</v>
      </c>
      <c r="AD441" t="b">
        <f ca="1">T441</f>
        <v>0</v>
      </c>
      <c r="AE441" t="b">
        <v>0</v>
      </c>
      <c r="AF441" t="b">
        <f>AND(AE441,NOT(Q441))</f>
        <v>0</v>
      </c>
      <c r="AL441" t="str">
        <f>SUBSTITUTE(SUBSTITUTE(SUBSTITUTE("vpa"&amp;$B441&amp;$C441&amp;$D441&amp;$E441,".","_"),"(","_"),")","")</f>
        <v>vpa602_1_5_1</v>
      </c>
      <c r="AM441">
        <f>M441</f>
        <v>4</v>
      </c>
      <c r="AN441" t="str">
        <f>SUBSTITUTE(SUBSTITUTE(SUBSTITUTE("vpc"&amp;$B441&amp;$C441&amp;$D441&amp;$E441,".","_"),"(","_"),")","")</f>
        <v>vpc602_1_5_1</v>
      </c>
      <c r="AO441">
        <f ca="1">O441</f>
        <v>0</v>
      </c>
      <c r="AP441" t="str">
        <f>SUBSTITUTE(SUBSTITUTE(SUBSTITUTE("vch"&amp;$B441&amp;$C441&amp;$D441&amp;$E441,".","_"),"(","_"),")","")</f>
        <v>vch602_1_5_1</v>
      </c>
      <c r="AQ441" t="str">
        <f>IF(LEN(W441)=0,"",W441)</f>
        <v/>
      </c>
    </row>
    <row r="442" spans="1:45" x14ac:dyDescent="0.35">
      <c r="A442" s="366">
        <v>6</v>
      </c>
      <c r="B442" s="737" t="s">
        <v>572</v>
      </c>
      <c r="C442" s="731" t="s">
        <v>256</v>
      </c>
      <c r="D442" s="731"/>
      <c r="E442" s="731"/>
      <c r="F442" s="731"/>
      <c r="G442" s="366" t="str">
        <f ca="1">G441</f>
        <v/>
      </c>
      <c r="H442" s="366" t="s">
        <v>3971</v>
      </c>
      <c r="I442" s="30"/>
      <c r="J442" s="133"/>
      <c r="K442" s="101"/>
      <c r="L442" s="815"/>
      <c r="M442" s="819"/>
      <c r="N442" s="835"/>
      <c r="O442" s="835"/>
      <c r="X442" s="817"/>
      <c r="Y442" s="1100"/>
      <c r="Z442" s="1102"/>
    </row>
    <row r="443" spans="1:45" x14ac:dyDescent="0.35">
      <c r="A443" s="366">
        <v>6</v>
      </c>
      <c r="B443" s="737" t="s">
        <v>572</v>
      </c>
      <c r="C443" s="731" t="s">
        <v>258</v>
      </c>
      <c r="D443" s="731"/>
      <c r="E443" s="731"/>
      <c r="F443" s="731"/>
      <c r="G443" s="366" t="str">
        <f ca="1">IF(N443&gt;0,"P","")</f>
        <v/>
      </c>
      <c r="H443" s="366" t="s">
        <v>3971</v>
      </c>
      <c r="I443" s="30"/>
      <c r="J443" s="19" t="s">
        <v>258</v>
      </c>
      <c r="K443" s="43"/>
      <c r="L443" s="814" t="s">
        <v>575</v>
      </c>
      <c r="M443" s="818">
        <v>4</v>
      </c>
      <c r="N443" s="963">
        <f ca="1">'Ch6'!O125</f>
        <v>0</v>
      </c>
      <c r="O443" s="834">
        <f ca="1">M443*S443*W443</f>
        <v>0</v>
      </c>
      <c r="P443" t="b">
        <v>1</v>
      </c>
      <c r="Q443" t="b">
        <v>0</v>
      </c>
      <c r="R443" t="b">
        <v>0</v>
      </c>
      <c r="S443" t="b">
        <f ca="1">IF(IFERROR(MATCH(W440,INDIRECT(U440),0),0)=4,TRUE,FALSE)</f>
        <v>0</v>
      </c>
      <c r="T443" t="b">
        <f ca="1">IF(AND(NOT(S443),W443=TRUE),TRUE,FALSE)</f>
        <v>0</v>
      </c>
      <c r="W443" s="17"/>
      <c r="X443" s="817"/>
      <c r="Y443" s="1100"/>
      <c r="Z443" s="1102"/>
      <c r="AC443" t="b">
        <f ca="1">OR(AD443:AE443)</f>
        <v>0</v>
      </c>
      <c r="AD443" t="b">
        <f ca="1">T443</f>
        <v>0</v>
      </c>
      <c r="AE443" t="b">
        <v>0</v>
      </c>
      <c r="AF443" t="b">
        <f>AND(AE443,NOT(Q443))</f>
        <v>0</v>
      </c>
      <c r="AL443" t="str">
        <f>SUBSTITUTE(SUBSTITUTE(SUBSTITUTE("vpa"&amp;$B443&amp;$C443&amp;$D443&amp;$E443,".","_"),"(","_"),")","")</f>
        <v>vpa602_1_5_2</v>
      </c>
      <c r="AM443">
        <f>M443</f>
        <v>4</v>
      </c>
      <c r="AN443" t="str">
        <f>SUBSTITUTE(SUBSTITUTE(SUBSTITUTE("vpc"&amp;$B443&amp;$C443&amp;$D443&amp;$E443,".","_"),"(","_"),")","")</f>
        <v>vpc602_1_5_2</v>
      </c>
      <c r="AO443">
        <f ca="1">O443</f>
        <v>0</v>
      </c>
      <c r="AP443" t="str">
        <f>SUBSTITUTE(SUBSTITUTE(SUBSTITUTE("vch"&amp;$B443&amp;$C443&amp;$D443&amp;$E443,".","_"),"(","_"),")","")</f>
        <v>vch602_1_5_2</v>
      </c>
      <c r="AQ443" t="str">
        <f>IF(LEN(W443)=0,"",W443)</f>
        <v/>
      </c>
    </row>
    <row r="444" spans="1:45" x14ac:dyDescent="0.35">
      <c r="A444" s="366">
        <v>6</v>
      </c>
      <c r="B444" s="737" t="s">
        <v>572</v>
      </c>
      <c r="C444" s="731" t="s">
        <v>258</v>
      </c>
      <c r="D444" s="731"/>
      <c r="E444" s="731"/>
      <c r="F444" s="731"/>
      <c r="G444" s="366" t="str">
        <f ca="1">G443</f>
        <v/>
      </c>
      <c r="H444" s="366" t="s">
        <v>3971</v>
      </c>
      <c r="I444" s="30"/>
      <c r="J444" s="4"/>
      <c r="K444" s="43"/>
      <c r="L444" s="814"/>
      <c r="M444" s="818"/>
      <c r="N444" s="834"/>
      <c r="O444" s="834"/>
      <c r="X444" s="817"/>
      <c r="Y444" s="1100"/>
      <c r="Z444" s="1102"/>
    </row>
    <row r="445" spans="1:45" ht="15.75" customHeight="1" thickBot="1" x14ac:dyDescent="0.4">
      <c r="A445" s="366">
        <v>6</v>
      </c>
      <c r="B445" s="737" t="s">
        <v>572</v>
      </c>
      <c r="C445" s="731" t="s">
        <v>258</v>
      </c>
      <c r="D445" s="731"/>
      <c r="E445" s="731"/>
      <c r="F445" s="731"/>
      <c r="G445" s="366" t="str">
        <f ca="1">G444</f>
        <v/>
      </c>
      <c r="H445" s="366" t="s">
        <v>3971</v>
      </c>
      <c r="I445" s="30"/>
      <c r="J445" s="4"/>
      <c r="K445" s="43"/>
      <c r="L445" s="814"/>
      <c r="M445" s="818"/>
      <c r="N445" s="863"/>
      <c r="O445" s="834"/>
      <c r="X445" s="817"/>
      <c r="Y445" s="1101"/>
      <c r="Z445" s="1104"/>
    </row>
    <row r="446" spans="1:45" ht="15.75" customHeight="1" thickTop="1" x14ac:dyDescent="0.35">
      <c r="A446" s="366">
        <v>6</v>
      </c>
      <c r="B446" s="737" t="s">
        <v>576</v>
      </c>
      <c r="C446" s="731"/>
      <c r="D446" s="731"/>
      <c r="E446" s="731"/>
      <c r="F446" s="731"/>
      <c r="G446" s="727" t="str">
        <f ca="1">IF(COUNTIF(G449:G457,"P")&gt;0,"P","")</f>
        <v/>
      </c>
      <c r="H446" s="366" t="s">
        <v>3970</v>
      </c>
      <c r="I446" s="106" t="s">
        <v>576</v>
      </c>
      <c r="J446" s="107"/>
      <c r="K446" s="108"/>
      <c r="L446" s="837" t="s">
        <v>577</v>
      </c>
      <c r="M446" s="267"/>
      <c r="N446" s="545"/>
      <c r="O446" s="545"/>
      <c r="P446" s="59"/>
      <c r="Q446" s="59"/>
      <c r="R446" s="59"/>
      <c r="S446" s="59"/>
      <c r="T446" s="59"/>
      <c r="U446" s="59"/>
      <c r="V446" s="59"/>
      <c r="W446" s="59"/>
      <c r="X446" s="59"/>
    </row>
    <row r="447" spans="1:45" x14ac:dyDescent="0.35">
      <c r="A447" s="366">
        <v>6</v>
      </c>
      <c r="B447" s="737" t="s">
        <v>576</v>
      </c>
      <c r="C447" s="731"/>
      <c r="D447" s="731"/>
      <c r="E447" s="731"/>
      <c r="F447" s="731"/>
      <c r="G447" s="366" t="str">
        <f ca="1">G446</f>
        <v/>
      </c>
      <c r="H447" s="366" t="s">
        <v>3970</v>
      </c>
      <c r="I447" s="30"/>
      <c r="J447" s="4"/>
      <c r="K447" s="43"/>
      <c r="L447" s="838"/>
      <c r="M447" s="40"/>
      <c r="N447" s="41"/>
      <c r="O447" s="41"/>
    </row>
    <row r="448" spans="1:45" x14ac:dyDescent="0.35">
      <c r="A448" s="366">
        <v>6</v>
      </c>
      <c r="B448" s="737" t="s">
        <v>576</v>
      </c>
      <c r="C448" s="731"/>
      <c r="D448" s="731"/>
      <c r="E448" s="731"/>
      <c r="F448" s="731"/>
      <c r="G448" s="366" t="str">
        <f ca="1">G447</f>
        <v/>
      </c>
      <c r="H448" s="366" t="s">
        <v>3970</v>
      </c>
      <c r="I448" s="30"/>
      <c r="J448" s="4"/>
      <c r="K448" s="43"/>
      <c r="L448" s="276" t="s">
        <v>3033</v>
      </c>
      <c r="M448" s="40"/>
      <c r="N448" s="41"/>
      <c r="O448" s="41"/>
    </row>
    <row r="449" spans="1:45" x14ac:dyDescent="0.35">
      <c r="A449" s="366">
        <v>6</v>
      </c>
      <c r="B449" s="737" t="s">
        <v>576</v>
      </c>
      <c r="C449" s="731" t="s">
        <v>256</v>
      </c>
      <c r="D449" s="731"/>
      <c r="E449" s="731"/>
      <c r="F449" s="731"/>
      <c r="G449" s="366" t="str">
        <f ca="1">IF(N449&gt;0,"P","")</f>
        <v/>
      </c>
      <c r="H449" s="366" t="s">
        <v>3970</v>
      </c>
      <c r="I449" s="30"/>
      <c r="J449" s="19" t="s">
        <v>256</v>
      </c>
      <c r="K449" s="43"/>
      <c r="L449" s="814" t="s">
        <v>578</v>
      </c>
      <c r="M449" s="818">
        <v>2</v>
      </c>
      <c r="N449" s="834">
        <f ca="1">'Ch6'!O131</f>
        <v>0</v>
      </c>
      <c r="O449" s="834">
        <f ca="1">M449*S449*W449</f>
        <v>0</v>
      </c>
      <c r="P449" t="b">
        <v>1</v>
      </c>
      <c r="Q449" t="b">
        <v>1</v>
      </c>
      <c r="R449" t="b">
        <v>0</v>
      </c>
      <c r="S449" t="b">
        <f ca="1">IF(IFERROR(MATCH(W440,INDIRECT(U440),0),0)=2,TRUE,FALSE)</f>
        <v>0</v>
      </c>
      <c r="T449" t="b">
        <f ca="1">IF(AND(NOT(S449),W449=TRUE),TRUE,FALSE)</f>
        <v>0</v>
      </c>
      <c r="W449" s="17"/>
      <c r="X449" s="817"/>
      <c r="Y449" s="1100" t="str">
        <f>IF(LEN('Ch6'!X131)=0,"None",'Ch6'!X131)</f>
        <v>None</v>
      </c>
      <c r="Z449" s="1102"/>
      <c r="AC449" t="b">
        <f ca="1">OR(AD449:AE449)</f>
        <v>0</v>
      </c>
      <c r="AD449" t="b">
        <f ca="1">T449</f>
        <v>0</v>
      </c>
      <c r="AE449" t="b">
        <v>0</v>
      </c>
      <c r="AL449" t="str">
        <f>SUBSTITUTE(SUBSTITUTE(SUBSTITUTE("vpa"&amp;$B449&amp;$C449&amp;$D449&amp;$E449,".","_"),"(","_"),")","")</f>
        <v>vpa602_1_6_1</v>
      </c>
      <c r="AM449">
        <f>M449</f>
        <v>2</v>
      </c>
      <c r="AN449" t="str">
        <f>SUBSTITUTE(SUBSTITUTE(SUBSTITUTE("vpc"&amp;$B449&amp;$C449&amp;$D449&amp;$E449,".","_"),"(","_"),")","")</f>
        <v>vpc602_1_6_1</v>
      </c>
      <c r="AO449">
        <f ca="1">O449</f>
        <v>0</v>
      </c>
      <c r="AP449" t="str">
        <f>SUBSTITUTE(SUBSTITUTE(SUBSTITUTE("vch"&amp;$B449&amp;$C449&amp;$D449&amp;$E449,".","_"),"(","_"),")","")</f>
        <v>vch602_1_6_1</v>
      </c>
      <c r="AQ449" t="str">
        <f>IF(LEN(W449)=0,"",W449)</f>
        <v/>
      </c>
      <c r="AR449" t="str">
        <f>SUBSTITUTE(SUBSTITUTE(SUBSTITUTE("vnt"&amp;$B449&amp;$C449&amp;$D449&amp;$E449,".","_"),"(","_"),")","")</f>
        <v>vnt602_1_6_1</v>
      </c>
      <c r="AS449" t="str">
        <f>IF(LEN(X449)=0,"",X449)</f>
        <v/>
      </c>
    </row>
    <row r="450" spans="1:45" x14ac:dyDescent="0.35">
      <c r="A450" s="366">
        <v>6</v>
      </c>
      <c r="B450" s="737" t="s">
        <v>576</v>
      </c>
      <c r="C450" s="731" t="s">
        <v>256</v>
      </c>
      <c r="D450" s="731"/>
      <c r="E450" s="731"/>
      <c r="F450" s="731"/>
      <c r="G450" s="366" t="str">
        <f ca="1">G449</f>
        <v/>
      </c>
      <c r="H450" s="366" t="s">
        <v>3970</v>
      </c>
      <c r="I450" s="30"/>
      <c r="J450" s="4"/>
      <c r="K450" s="43"/>
      <c r="L450" s="814"/>
      <c r="M450" s="818"/>
      <c r="N450" s="834"/>
      <c r="O450" s="834"/>
      <c r="X450" s="817"/>
      <c r="Y450" s="1100"/>
      <c r="Z450" s="1102"/>
    </row>
    <row r="451" spans="1:45" x14ac:dyDescent="0.35">
      <c r="A451" s="366">
        <v>6</v>
      </c>
      <c r="B451" s="737" t="s">
        <v>576</v>
      </c>
      <c r="C451" s="731" t="s">
        <v>256</v>
      </c>
      <c r="D451" s="731"/>
      <c r="E451" s="731"/>
      <c r="F451" s="731"/>
      <c r="G451" s="366" t="str">
        <f ca="1">G450</f>
        <v/>
      </c>
      <c r="H451" s="366" t="s">
        <v>3970</v>
      </c>
      <c r="I451" s="30"/>
      <c r="J451" s="4"/>
      <c r="K451" s="43"/>
      <c r="L451" s="814"/>
      <c r="M451" s="818"/>
      <c r="N451" s="834"/>
      <c r="O451" s="834"/>
      <c r="X451" s="817"/>
      <c r="Y451" s="1100"/>
      <c r="Z451" s="1102"/>
    </row>
    <row r="452" spans="1:45" x14ac:dyDescent="0.35">
      <c r="A452" s="366">
        <v>6</v>
      </c>
      <c r="B452" s="737" t="s">
        <v>576</v>
      </c>
      <c r="C452" s="731" t="s">
        <v>256</v>
      </c>
      <c r="D452" s="731"/>
      <c r="E452" s="731"/>
      <c r="F452" s="731"/>
      <c r="G452" s="366" t="str">
        <f ca="1">G451</f>
        <v/>
      </c>
      <c r="H452" s="366" t="s">
        <v>3970</v>
      </c>
      <c r="I452" s="30"/>
      <c r="J452" s="133"/>
      <c r="K452" s="101"/>
      <c r="L452" s="815"/>
      <c r="M452" s="819"/>
      <c r="N452" s="835"/>
      <c r="O452" s="835"/>
      <c r="X452" s="817"/>
      <c r="Y452" s="1100"/>
      <c r="Z452" s="1102"/>
    </row>
    <row r="453" spans="1:45" x14ac:dyDescent="0.35">
      <c r="A453" s="366">
        <v>6</v>
      </c>
      <c r="B453" s="737" t="s">
        <v>576</v>
      </c>
      <c r="C453" s="731" t="s">
        <v>258</v>
      </c>
      <c r="D453" s="731"/>
      <c r="E453" s="731"/>
      <c r="F453" s="731"/>
      <c r="G453" s="366" t="str">
        <f ca="1">IF(N453&gt;0,"P","")</f>
        <v/>
      </c>
      <c r="H453" s="366" t="s">
        <v>3970</v>
      </c>
      <c r="I453" s="30"/>
      <c r="J453" s="132" t="s">
        <v>258</v>
      </c>
      <c r="K453" s="119"/>
      <c r="L453" s="836" t="s">
        <v>579</v>
      </c>
      <c r="M453" s="822">
        <v>4</v>
      </c>
      <c r="N453" s="963">
        <f ca="1">'Ch6'!O135</f>
        <v>0</v>
      </c>
      <c r="O453" s="963">
        <f ca="1">M453*S453*W453</f>
        <v>0</v>
      </c>
      <c r="P453" t="b">
        <v>1</v>
      </c>
      <c r="Q453" t="b">
        <v>1</v>
      </c>
      <c r="R453" t="b">
        <v>0</v>
      </c>
      <c r="S453" t="b">
        <f ca="1">IF(IFERROR(MATCH(W440,INDIRECT(U440),0),0)=3,TRUE,FALSE)</f>
        <v>0</v>
      </c>
      <c r="T453" t="b">
        <f ca="1">IF(AND(NOT(S453),W453=TRUE),TRUE,FALSE)</f>
        <v>0</v>
      </c>
      <c r="W453" s="17"/>
      <c r="X453" s="817"/>
      <c r="Y453" s="1100"/>
      <c r="Z453" s="1102"/>
      <c r="AC453" t="b">
        <f ca="1">OR(AD453:AE453)</f>
        <v>0</v>
      </c>
      <c r="AD453" t="b">
        <f ca="1">T453</f>
        <v>0</v>
      </c>
      <c r="AE453" t="b">
        <v>0</v>
      </c>
      <c r="AL453" t="str">
        <f>SUBSTITUTE(SUBSTITUTE(SUBSTITUTE("vpa"&amp;$B453&amp;$C453&amp;$D453&amp;$E453,".","_"),"(","_"),")","")</f>
        <v>vpa602_1_6_2</v>
      </c>
      <c r="AM453">
        <f>M453</f>
        <v>4</v>
      </c>
      <c r="AN453" t="str">
        <f>SUBSTITUTE(SUBSTITUTE(SUBSTITUTE("vpc"&amp;$B453&amp;$C453&amp;$D453&amp;$E453,".","_"),"(","_"),")","")</f>
        <v>vpc602_1_6_2</v>
      </c>
      <c r="AO453">
        <f ca="1">O453</f>
        <v>0</v>
      </c>
      <c r="AP453" t="str">
        <f>SUBSTITUTE(SUBSTITUTE(SUBSTITUTE("vch"&amp;$B453&amp;$C453&amp;$D453&amp;$E453,".","_"),"(","_"),")","")</f>
        <v>vch602_1_6_2</v>
      </c>
      <c r="AQ453" t="str">
        <f>IF(LEN(W453)=0,"",W453)</f>
        <v/>
      </c>
    </row>
    <row r="454" spans="1:45" x14ac:dyDescent="0.35">
      <c r="A454" s="366">
        <v>6</v>
      </c>
      <c r="B454" s="737" t="s">
        <v>576</v>
      </c>
      <c r="C454" s="731" t="s">
        <v>258</v>
      </c>
      <c r="D454" s="731"/>
      <c r="E454" s="731"/>
      <c r="F454" s="731"/>
      <c r="G454" s="366" t="str">
        <f ca="1">G453</f>
        <v/>
      </c>
      <c r="H454" s="366" t="s">
        <v>3970</v>
      </c>
      <c r="I454" s="30"/>
      <c r="J454" s="4"/>
      <c r="K454" s="43"/>
      <c r="L454" s="814"/>
      <c r="M454" s="818"/>
      <c r="N454" s="834"/>
      <c r="O454" s="834"/>
      <c r="X454" s="817"/>
      <c r="Y454" s="1100"/>
      <c r="Z454" s="1102"/>
    </row>
    <row r="455" spans="1:45" x14ac:dyDescent="0.35">
      <c r="A455" s="366">
        <v>6</v>
      </c>
      <c r="B455" s="737" t="s">
        <v>576</v>
      </c>
      <c r="C455" s="731" t="s">
        <v>258</v>
      </c>
      <c r="D455" s="731"/>
      <c r="E455" s="731"/>
      <c r="F455" s="731"/>
      <c r="G455" s="366" t="str">
        <f ca="1">G454</f>
        <v/>
      </c>
      <c r="H455" s="366" t="s">
        <v>3970</v>
      </c>
      <c r="I455" s="30"/>
      <c r="J455" s="4"/>
      <c r="K455" s="43"/>
      <c r="L455" s="814"/>
      <c r="M455" s="818"/>
      <c r="N455" s="834"/>
      <c r="O455" s="834"/>
      <c r="X455" s="817"/>
      <c r="Y455" s="1100"/>
      <c r="Z455" s="1102"/>
    </row>
    <row r="456" spans="1:45" x14ac:dyDescent="0.35">
      <c r="A456" s="366">
        <v>6</v>
      </c>
      <c r="B456" s="737" t="s">
        <v>576</v>
      </c>
      <c r="C456" s="731" t="s">
        <v>258</v>
      </c>
      <c r="D456" s="731"/>
      <c r="E456" s="731"/>
      <c r="F456" s="731"/>
      <c r="G456" s="366" t="str">
        <f ca="1">G455</f>
        <v/>
      </c>
      <c r="H456" s="366" t="s">
        <v>3970</v>
      </c>
      <c r="I456" s="30"/>
      <c r="J456" s="133"/>
      <c r="K456" s="101"/>
      <c r="L456" s="815"/>
      <c r="M456" s="819"/>
      <c r="N456" s="835"/>
      <c r="O456" s="835"/>
      <c r="X456" s="817"/>
      <c r="Y456" s="1100"/>
      <c r="Z456" s="1102"/>
    </row>
    <row r="457" spans="1:45" x14ac:dyDescent="0.35">
      <c r="A457" s="366">
        <v>6</v>
      </c>
      <c r="B457" s="737" t="s">
        <v>576</v>
      </c>
      <c r="C457" s="731" t="s">
        <v>260</v>
      </c>
      <c r="D457" s="731"/>
      <c r="E457" s="731"/>
      <c r="F457" s="731"/>
      <c r="G457" s="366" t="str">
        <f ca="1">IF(N457&gt;0,"P","")</f>
        <v/>
      </c>
      <c r="H457" s="366" t="s">
        <v>3970</v>
      </c>
      <c r="I457" s="30"/>
      <c r="J457" s="19" t="s">
        <v>260</v>
      </c>
      <c r="K457" s="43"/>
      <c r="L457" s="814" t="s">
        <v>580</v>
      </c>
      <c r="M457" s="818">
        <v>6</v>
      </c>
      <c r="N457" s="963">
        <f ca="1">'Ch6'!O139</f>
        <v>0</v>
      </c>
      <c r="O457" s="834">
        <f ca="1">M457*S457*W457</f>
        <v>0</v>
      </c>
      <c r="P457" t="b">
        <v>1</v>
      </c>
      <c r="Q457" t="b">
        <v>1</v>
      </c>
      <c r="R457" t="b">
        <v>0</v>
      </c>
      <c r="S457" t="b">
        <f ca="1">IF(IFERROR(MATCH(W440,INDIRECT(U440),0),0)=4,TRUE,FALSE)</f>
        <v>0</v>
      </c>
      <c r="T457" t="b">
        <f ca="1">IF(AND(NOT(S457),W457=TRUE),TRUE,FALSE)</f>
        <v>0</v>
      </c>
      <c r="W457" s="17"/>
      <c r="X457" s="817"/>
      <c r="Y457" s="1100"/>
      <c r="Z457" s="1102"/>
      <c r="AC457" t="b">
        <f ca="1">OR(AD457:AE457)</f>
        <v>0</v>
      </c>
      <c r="AD457" t="b">
        <f ca="1">T457</f>
        <v>0</v>
      </c>
      <c r="AE457" t="b">
        <v>0</v>
      </c>
      <c r="AL457" t="str">
        <f>SUBSTITUTE(SUBSTITUTE(SUBSTITUTE("vpa"&amp;$B457&amp;$C457&amp;$D457&amp;$E457,".","_"),"(","_"),")","")</f>
        <v>vpa602_1_6_3</v>
      </c>
      <c r="AM457">
        <f>M457</f>
        <v>6</v>
      </c>
      <c r="AN457" t="str">
        <f>SUBSTITUTE(SUBSTITUTE(SUBSTITUTE("vpc"&amp;$B457&amp;$C457&amp;$D457&amp;$E457,".","_"),"(","_"),")","")</f>
        <v>vpc602_1_6_3</v>
      </c>
      <c r="AO457">
        <f ca="1">O457</f>
        <v>0</v>
      </c>
      <c r="AP457" t="str">
        <f>SUBSTITUTE(SUBSTITUTE(SUBSTITUTE("vch"&amp;$B457&amp;$C457&amp;$D457&amp;$E457,".","_"),"(","_"),")","")</f>
        <v>vch602_1_6_3</v>
      </c>
      <c r="AQ457" t="str">
        <f>IF(LEN(W457)=0,"",W457)</f>
        <v/>
      </c>
    </row>
    <row r="458" spans="1:45" x14ac:dyDescent="0.35">
      <c r="A458" s="366">
        <v>6</v>
      </c>
      <c r="B458" s="737" t="s">
        <v>576</v>
      </c>
      <c r="C458" s="731" t="s">
        <v>260</v>
      </c>
      <c r="D458" s="731"/>
      <c r="E458" s="731"/>
      <c r="F458" s="731"/>
      <c r="G458" s="366" t="str">
        <f ca="1">G457</f>
        <v/>
      </c>
      <c r="H458" s="366" t="s">
        <v>3970</v>
      </c>
      <c r="I458" s="30"/>
      <c r="J458" s="4"/>
      <c r="K458" s="43"/>
      <c r="L458" s="814"/>
      <c r="M458" s="818"/>
      <c r="N458" s="834"/>
      <c r="O458" s="834"/>
      <c r="X458" s="817"/>
      <c r="Y458" s="1100"/>
      <c r="Z458" s="1102"/>
    </row>
    <row r="459" spans="1:45" ht="15" thickBot="1" x14ac:dyDescent="0.4">
      <c r="A459" s="366">
        <v>6</v>
      </c>
      <c r="B459" s="737" t="s">
        <v>576</v>
      </c>
      <c r="C459" s="731" t="s">
        <v>260</v>
      </c>
      <c r="D459" s="731"/>
      <c r="E459" s="731"/>
      <c r="F459" s="731"/>
      <c r="G459" s="366" t="str">
        <f ca="1">G458</f>
        <v/>
      </c>
      <c r="H459" s="366" t="s">
        <v>3970</v>
      </c>
      <c r="I459" s="30"/>
      <c r="J459" s="4"/>
      <c r="K459" s="43"/>
      <c r="L459" s="814"/>
      <c r="M459" s="818"/>
      <c r="N459" s="863"/>
      <c r="O459" s="834"/>
      <c r="X459" s="850"/>
      <c r="Y459" s="1101"/>
      <c r="Z459" s="1104"/>
    </row>
    <row r="460" spans="1:45" ht="15" thickTop="1" x14ac:dyDescent="0.35">
      <c r="A460" s="366">
        <v>6</v>
      </c>
      <c r="B460" s="737" t="s">
        <v>581</v>
      </c>
      <c r="C460" s="731"/>
      <c r="D460" s="731"/>
      <c r="E460" s="731"/>
      <c r="F460" s="731"/>
      <c r="G460" s="366" t="s">
        <v>3973</v>
      </c>
      <c r="H460" s="366" t="s">
        <v>3970</v>
      </c>
      <c r="I460" s="106" t="s">
        <v>581</v>
      </c>
      <c r="J460" s="107"/>
      <c r="K460" s="108"/>
      <c r="L460" s="274" t="s">
        <v>582</v>
      </c>
      <c r="M460" s="267"/>
      <c r="N460" s="545"/>
      <c r="O460" s="545"/>
      <c r="P460" s="59"/>
      <c r="Q460" s="59"/>
      <c r="R460" s="59"/>
      <c r="S460" s="59"/>
      <c r="T460" s="59"/>
      <c r="U460" s="59"/>
      <c r="V460" s="59"/>
      <c r="W460" s="59"/>
      <c r="X460" s="59"/>
    </row>
    <row r="461" spans="1:45" x14ac:dyDescent="0.35">
      <c r="A461" s="366">
        <v>6</v>
      </c>
      <c r="B461" s="738" t="s">
        <v>583</v>
      </c>
      <c r="C461" s="738"/>
      <c r="D461" s="731"/>
      <c r="E461" s="731"/>
      <c r="F461" s="731"/>
      <c r="G461" s="366" t="s">
        <v>3973</v>
      </c>
      <c r="H461" s="366" t="s">
        <v>3971</v>
      </c>
      <c r="I461" s="30" t="s">
        <v>583</v>
      </c>
      <c r="J461" s="4"/>
      <c r="K461" s="43"/>
      <c r="L461" s="95" t="s">
        <v>584</v>
      </c>
      <c r="M461" s="40"/>
      <c r="N461" s="41"/>
      <c r="O461" s="41"/>
    </row>
    <row r="462" spans="1:45" x14ac:dyDescent="0.35">
      <c r="A462" s="366">
        <v>6</v>
      </c>
      <c r="B462" s="738" t="s">
        <v>583</v>
      </c>
      <c r="C462" s="731" t="s">
        <v>256</v>
      </c>
      <c r="D462" s="731"/>
      <c r="E462" s="731"/>
      <c r="F462" s="731"/>
      <c r="G462" s="366" t="str">
        <f>IF(N462&gt;0,"P","")</f>
        <v>P</v>
      </c>
      <c r="H462" s="366" t="s">
        <v>3971</v>
      </c>
      <c r="I462" s="30"/>
      <c r="J462" s="19" t="s">
        <v>256</v>
      </c>
      <c r="K462" s="43"/>
      <c r="L462" s="814" t="s">
        <v>585</v>
      </c>
      <c r="M462" s="818">
        <v>2</v>
      </c>
      <c r="N462" s="834">
        <f>'Ch6'!O144</f>
        <v>2</v>
      </c>
      <c r="O462" s="834">
        <f>M462*S462*W462</f>
        <v>0</v>
      </c>
      <c r="P462" t="b">
        <v>1</v>
      </c>
      <c r="Q462" t="b">
        <v>0</v>
      </c>
      <c r="R462" t="b">
        <v>0</v>
      </c>
      <c r="S462" t="b">
        <v>1</v>
      </c>
      <c r="T462" t="b">
        <v>0</v>
      </c>
      <c r="W462" s="17"/>
      <c r="X462" s="817"/>
      <c r="Y462" s="1100" t="str">
        <f>IF(LEN('Ch6'!X144)=0,"None",'Ch6'!X144)</f>
        <v>None</v>
      </c>
      <c r="Z462" s="1102"/>
      <c r="AL462" t="str">
        <f>SUBSTITUTE(SUBSTITUTE(SUBSTITUTE("vpa"&amp;$B462&amp;$C462&amp;$D462&amp;$E462,".","_"),"(","_"),")","")</f>
        <v>vpa602_1_7_1_1</v>
      </c>
      <c r="AM462">
        <f>M462</f>
        <v>2</v>
      </c>
      <c r="AN462" t="str">
        <f>SUBSTITUTE(SUBSTITUTE(SUBSTITUTE("vpc"&amp;$B462&amp;$C462&amp;$D462&amp;$E462,".","_"),"(","_"),")","")</f>
        <v>vpc602_1_7_1_1</v>
      </c>
      <c r="AO462">
        <f>O462</f>
        <v>0</v>
      </c>
      <c r="AP462" t="str">
        <f>SUBSTITUTE(SUBSTITUTE(SUBSTITUTE("vch"&amp;$B462&amp;$C462&amp;$D462&amp;$E462,".","_"),"(","_"),")","")</f>
        <v>vch602_1_7_1_1</v>
      </c>
      <c r="AQ462" t="str">
        <f>IF(LEN(W462)=0,"",W462)</f>
        <v/>
      </c>
      <c r="AR462" t="str">
        <f>SUBSTITUTE(SUBSTITUTE(SUBSTITUTE("vnt"&amp;$B462&amp;$C462&amp;$D462&amp;$E462,".","_"),"(","_"),")","")</f>
        <v>vnt602_1_7_1_1</v>
      </c>
      <c r="AS462" t="str">
        <f>IF(LEN(X462)=0,"",X462)</f>
        <v/>
      </c>
    </row>
    <row r="463" spans="1:45" x14ac:dyDescent="0.35">
      <c r="A463" s="366">
        <v>6</v>
      </c>
      <c r="B463" s="738" t="s">
        <v>583</v>
      </c>
      <c r="C463" s="731" t="s">
        <v>256</v>
      </c>
      <c r="D463" s="731"/>
      <c r="E463" s="731"/>
      <c r="F463" s="731"/>
      <c r="G463" s="366" t="str">
        <f>G462</f>
        <v>P</v>
      </c>
      <c r="H463" s="366" t="s">
        <v>3971</v>
      </c>
      <c r="I463" s="30"/>
      <c r="J463" s="133"/>
      <c r="K463" s="101"/>
      <c r="L463" s="815"/>
      <c r="M463" s="819"/>
      <c r="N463" s="835"/>
      <c r="O463" s="835"/>
      <c r="X463" s="817"/>
      <c r="Y463" s="1100"/>
      <c r="Z463" s="1102"/>
    </row>
    <row r="464" spans="1:45" ht="15" customHeight="1" x14ac:dyDescent="0.35">
      <c r="A464" s="366">
        <v>6</v>
      </c>
      <c r="B464" s="738" t="s">
        <v>583</v>
      </c>
      <c r="C464" s="731" t="s">
        <v>258</v>
      </c>
      <c r="D464" s="731"/>
      <c r="E464" s="731"/>
      <c r="F464" s="731"/>
      <c r="G464" s="366" t="s">
        <v>3973</v>
      </c>
      <c r="H464" s="366" t="s">
        <v>3971</v>
      </c>
      <c r="I464" s="30"/>
      <c r="J464" s="19" t="s">
        <v>258</v>
      </c>
      <c r="K464" s="43"/>
      <c r="L464" s="814" t="s">
        <v>586</v>
      </c>
      <c r="M464" s="900" t="str">
        <f>IF(R464,"Mandatory
2","N/A")</f>
        <v>Mandatory
2</v>
      </c>
      <c r="N464" s="963">
        <f>'Ch6'!O146</f>
        <v>2</v>
      </c>
      <c r="O464" s="834">
        <f>IF(AND(S464,W464="Met"),2,0)</f>
        <v>0</v>
      </c>
      <c r="P464" t="b">
        <v>1</v>
      </c>
      <c r="Q464" t="b">
        <v>0</v>
      </c>
      <c r="R464" t="b">
        <f>S464</f>
        <v>1</v>
      </c>
      <c r="S464" t="b">
        <v>1</v>
      </c>
      <c r="T464" t="b">
        <v>0</v>
      </c>
      <c r="U464" t="str">
        <f>SUBSTITUTE(SUBSTITUTE(SUBSTITUTE("dd"&amp;B464&amp;C464&amp;D464&amp;E464&amp;F464,".","_"),"(","_"),")","")</f>
        <v>dd602_1_7_1_2</v>
      </c>
      <c r="W464" s="9"/>
      <c r="X464" s="817"/>
      <c r="Y464" s="1100" t="str">
        <f>IF(LEN('Ch6'!X146)=0,"None",'Ch6'!X146)</f>
        <v>None</v>
      </c>
      <c r="Z464" s="1102"/>
      <c r="AC464" t="b">
        <f>OR(AD464:AE464)</f>
        <v>1</v>
      </c>
      <c r="AD464" t="b">
        <v>0</v>
      </c>
      <c r="AE464" t="b">
        <f>OR(AND(R464,NOT(W464="Met"),NOT(W464="N/A")),AND(W464="N/A",ISBLANK(X464)))</f>
        <v>1</v>
      </c>
      <c r="AF464" t="b">
        <f>AND(AE464,NOT(Q464))</f>
        <v>1</v>
      </c>
      <c r="AL464" t="str">
        <f>SUBSTITUTE(SUBSTITUTE(SUBSTITUTE("vpa"&amp;$B464&amp;$C464&amp;$D464&amp;$E464,".","_"),"(","_"),")","")</f>
        <v>vpa602_1_7_1_2</v>
      </c>
      <c r="AM464" t="str">
        <f>M464</f>
        <v>Mandatory
2</v>
      </c>
      <c r="AN464" t="str">
        <f>SUBSTITUTE(SUBSTITUTE(SUBSTITUTE("vpc"&amp;$B464&amp;$C464&amp;$D464&amp;$E464,".","_"),"(","_"),")","")</f>
        <v>vpc602_1_7_1_2</v>
      </c>
      <c r="AO464">
        <f>O464</f>
        <v>0</v>
      </c>
      <c r="AP464" t="str">
        <f>SUBSTITUTE(SUBSTITUTE(SUBSTITUTE("vch"&amp;$B464&amp;$C464&amp;$D464&amp;$E464,".","_"),"(","_"),")","")</f>
        <v>vch602_1_7_1_2</v>
      </c>
      <c r="AQ464" t="str">
        <f>IF(LEN(W464)=0,"",W464)</f>
        <v/>
      </c>
      <c r="AR464" t="str">
        <f>SUBSTITUTE(SUBSTITUTE(SUBSTITUTE("vnt"&amp;$B464&amp;$C464&amp;$D464&amp;$E464,".","_"),"(","_"),")","")</f>
        <v>vnt602_1_7_1_2</v>
      </c>
      <c r="AS464" t="str">
        <f>IF(LEN(X464)=0,"",X464)</f>
        <v/>
      </c>
    </row>
    <row r="465" spans="1:45" x14ac:dyDescent="0.35">
      <c r="A465" s="366">
        <v>6</v>
      </c>
      <c r="B465" s="738" t="s">
        <v>583</v>
      </c>
      <c r="C465" s="731" t="s">
        <v>258</v>
      </c>
      <c r="D465" s="731"/>
      <c r="E465" s="731"/>
      <c r="F465" s="731"/>
      <c r="G465" s="366" t="s">
        <v>3973</v>
      </c>
      <c r="H465" s="366" t="s">
        <v>3971</v>
      </c>
      <c r="I465" s="30"/>
      <c r="J465" s="4"/>
      <c r="K465" s="43"/>
      <c r="L465" s="814"/>
      <c r="M465" s="900"/>
      <c r="N465" s="834"/>
      <c r="O465" s="834"/>
      <c r="X465" s="817"/>
      <c r="Y465" s="1100"/>
      <c r="Z465" s="1102"/>
    </row>
    <row r="466" spans="1:45" x14ac:dyDescent="0.35">
      <c r="A466" s="366">
        <v>6</v>
      </c>
      <c r="B466" s="738" t="s">
        <v>583</v>
      </c>
      <c r="C466" s="731" t="s">
        <v>258</v>
      </c>
      <c r="D466" s="731"/>
      <c r="E466" s="731"/>
      <c r="F466" s="731"/>
      <c r="G466" s="366" t="s">
        <v>3973</v>
      </c>
      <c r="H466" s="366" t="s">
        <v>3971</v>
      </c>
      <c r="I466" s="30"/>
      <c r="J466" s="133"/>
      <c r="K466" s="101"/>
      <c r="L466" s="284" t="s">
        <v>1104</v>
      </c>
      <c r="M466" s="901"/>
      <c r="N466" s="835"/>
      <c r="O466" s="835"/>
      <c r="X466" s="817"/>
      <c r="Y466" s="1100"/>
      <c r="Z466" s="1102"/>
    </row>
    <row r="467" spans="1:45" x14ac:dyDescent="0.35">
      <c r="A467" s="366">
        <v>6</v>
      </c>
      <c r="B467" s="738" t="s">
        <v>583</v>
      </c>
      <c r="C467" s="731" t="s">
        <v>260</v>
      </c>
      <c r="D467" s="731"/>
      <c r="E467" s="731"/>
      <c r="F467" s="731"/>
      <c r="G467" s="366" t="str">
        <f>IF(N467&gt;0,"P","")</f>
        <v/>
      </c>
      <c r="H467" s="366" t="s">
        <v>3971</v>
      </c>
      <c r="I467" s="30"/>
      <c r="J467" s="19" t="s">
        <v>260</v>
      </c>
      <c r="K467" s="43"/>
      <c r="L467" s="814" t="s">
        <v>587</v>
      </c>
      <c r="M467" s="843">
        <v>4</v>
      </c>
      <c r="N467" s="963">
        <f>'Ch6'!O149</f>
        <v>0</v>
      </c>
      <c r="O467" s="834">
        <f>M467*S467*W467</f>
        <v>0</v>
      </c>
      <c r="P467" t="b">
        <v>1</v>
      </c>
      <c r="Q467" t="b">
        <v>0</v>
      </c>
      <c r="R467" t="b">
        <v>0</v>
      </c>
      <c r="S467" t="b">
        <v>1</v>
      </c>
      <c r="T467" t="b">
        <v>0</v>
      </c>
      <c r="W467" s="17"/>
      <c r="X467" s="817"/>
      <c r="Y467" s="1100" t="str">
        <f>IF(LEN('Ch6'!X149)=0,"None",'Ch6'!X149)</f>
        <v>None</v>
      </c>
      <c r="Z467" s="1102"/>
      <c r="AL467" t="str">
        <f>SUBSTITUTE(SUBSTITUTE(SUBSTITUTE("vpa"&amp;$B467&amp;$C467&amp;$D467&amp;$E467,".","_"),"(","_"),")","")</f>
        <v>vpa602_1_7_1_3</v>
      </c>
      <c r="AM467">
        <f>M467</f>
        <v>4</v>
      </c>
      <c r="AN467" t="str">
        <f>SUBSTITUTE(SUBSTITUTE(SUBSTITUTE("vpc"&amp;$B467&amp;$C467&amp;$D467&amp;$E467,".","_"),"(","_"),")","")</f>
        <v>vpc602_1_7_1_3</v>
      </c>
      <c r="AO467">
        <f>O467</f>
        <v>0</v>
      </c>
      <c r="AP467" t="str">
        <f>SUBSTITUTE(SUBSTITUTE(SUBSTITUTE("vch"&amp;$B467&amp;$C467&amp;$D467&amp;$E467,".","_"),"(","_"),")","")</f>
        <v>vch602_1_7_1_3</v>
      </c>
      <c r="AQ467" t="str">
        <f>IF(LEN(W467)=0,"",W467)</f>
        <v/>
      </c>
      <c r="AR467" t="str">
        <f>SUBSTITUTE(SUBSTITUTE(SUBSTITUTE("vnt"&amp;$B467&amp;$C467&amp;$D467&amp;$E467,".","_"),"(","_"),")","")</f>
        <v>vnt602_1_7_1_3</v>
      </c>
      <c r="AS467" t="str">
        <f>IF(LEN(X467)=0,"",X467)</f>
        <v/>
      </c>
    </row>
    <row r="468" spans="1:45" x14ac:dyDescent="0.35">
      <c r="A468" s="366">
        <v>6</v>
      </c>
      <c r="B468" s="738" t="s">
        <v>583</v>
      </c>
      <c r="C468" s="731" t="s">
        <v>260</v>
      </c>
      <c r="D468" s="731"/>
      <c r="E468" s="731"/>
      <c r="F468" s="731"/>
      <c r="G468" s="366" t="str">
        <f>G467</f>
        <v/>
      </c>
      <c r="H468" s="366" t="s">
        <v>3971</v>
      </c>
      <c r="I468" s="138"/>
      <c r="J468" s="133"/>
      <c r="K468" s="101"/>
      <c r="L468" s="815"/>
      <c r="M468" s="906"/>
      <c r="N468" s="835"/>
      <c r="O468" s="835"/>
      <c r="X468" s="817"/>
      <c r="Y468" s="1100"/>
      <c r="Z468" s="1102"/>
    </row>
    <row r="469" spans="1:45" ht="15" customHeight="1" x14ac:dyDescent="0.35">
      <c r="A469" s="366">
        <v>6</v>
      </c>
      <c r="B469" s="738" t="s">
        <v>588</v>
      </c>
      <c r="C469" s="738"/>
      <c r="D469" s="731"/>
      <c r="E469" s="731"/>
      <c r="F469" s="731"/>
      <c r="G469" s="366" t="str">
        <f>IF(N469&gt;0,"P","")</f>
        <v/>
      </c>
      <c r="H469" s="366" t="s">
        <v>3970</v>
      </c>
      <c r="I469" s="117" t="s">
        <v>589</v>
      </c>
      <c r="J469" s="118"/>
      <c r="K469" s="119"/>
      <c r="L469" s="905" t="s">
        <v>590</v>
      </c>
      <c r="M469" s="822">
        <v>2</v>
      </c>
      <c r="N469" s="963">
        <f>'Ch6'!O151</f>
        <v>0</v>
      </c>
      <c r="O469" s="963">
        <f>M469*S469*W469</f>
        <v>0</v>
      </c>
      <c r="P469" t="b">
        <v>1</v>
      </c>
      <c r="Q469" t="b">
        <v>1</v>
      </c>
      <c r="R469" t="b">
        <v>0</v>
      </c>
      <c r="S469" t="b">
        <v>1</v>
      </c>
      <c r="T469" t="b">
        <v>0</v>
      </c>
      <c r="W469" s="17"/>
      <c r="X469" s="817"/>
      <c r="Y469" s="1100" t="str">
        <f>IF(LEN('Ch6'!X151)=0,"None",'Ch6'!X151)</f>
        <v>None</v>
      </c>
      <c r="Z469" s="1102"/>
      <c r="AL469" t="str">
        <f>SUBSTITUTE(SUBSTITUTE(SUBSTITUTE("vpa"&amp;$B469&amp;$C469&amp;$D469&amp;$E469,".","_"),"(","_"),")","")</f>
        <v>vpa602_1_7_2</v>
      </c>
      <c r="AM469">
        <f>M469</f>
        <v>2</v>
      </c>
      <c r="AN469" t="str">
        <f>SUBSTITUTE(SUBSTITUTE(SUBSTITUTE("vpc"&amp;$B469&amp;$C469&amp;$D469&amp;$E469,".","_"),"(","_"),")","")</f>
        <v>vpc602_1_7_2</v>
      </c>
      <c r="AO469">
        <f>O469</f>
        <v>0</v>
      </c>
      <c r="AP469" t="str">
        <f>SUBSTITUTE(SUBSTITUTE(SUBSTITUTE("vch"&amp;$B469&amp;$C469&amp;$D469&amp;$E469,".","_"),"(","_"),")","")</f>
        <v>vch602_1_7_2</v>
      </c>
      <c r="AQ469" t="str">
        <f>IF(LEN(W469)=0,"",W469)</f>
        <v/>
      </c>
      <c r="AR469" t="str">
        <f>SUBSTITUTE(SUBSTITUTE(SUBSTITUTE("vnt"&amp;$B469&amp;$C469&amp;$D469&amp;$E469,".","_"),"(","_"),")","")</f>
        <v>vnt602_1_7_2</v>
      </c>
      <c r="AS469" t="str">
        <f>IF(LEN(X469)=0,"",X469)</f>
        <v/>
      </c>
    </row>
    <row r="470" spans="1:45" x14ac:dyDescent="0.35">
      <c r="A470" s="366">
        <v>6</v>
      </c>
      <c r="B470" s="737" t="s">
        <v>588</v>
      </c>
      <c r="C470" s="737"/>
      <c r="D470" s="731"/>
      <c r="E470" s="731"/>
      <c r="F470" s="731"/>
      <c r="G470" s="366" t="str">
        <f>G469</f>
        <v/>
      </c>
      <c r="H470" s="366" t="s">
        <v>3970</v>
      </c>
      <c r="I470" s="138"/>
      <c r="J470" s="133"/>
      <c r="K470" s="101"/>
      <c r="L470" s="889"/>
      <c r="M470" s="819"/>
      <c r="N470" s="835"/>
      <c r="O470" s="835"/>
      <c r="X470" s="817"/>
      <c r="Y470" s="1100"/>
      <c r="Z470" s="1102"/>
    </row>
    <row r="471" spans="1:45" x14ac:dyDescent="0.35">
      <c r="A471" s="366">
        <v>6</v>
      </c>
      <c r="B471" s="737" t="s">
        <v>591</v>
      </c>
      <c r="C471" s="737"/>
      <c r="D471" s="731"/>
      <c r="E471" s="731"/>
      <c r="F471" s="731"/>
      <c r="G471" s="366" t="str">
        <f>IF(N471&gt;0,"P","")</f>
        <v/>
      </c>
      <c r="H471" s="366" t="s">
        <v>3971</v>
      </c>
      <c r="I471" s="30" t="s">
        <v>592</v>
      </c>
      <c r="J471" s="4"/>
      <c r="K471" s="43"/>
      <c r="L471" s="838" t="s">
        <v>593</v>
      </c>
      <c r="M471" s="818">
        <v>4</v>
      </c>
      <c r="N471" s="963">
        <f>'Ch6'!O153</f>
        <v>0</v>
      </c>
      <c r="O471" s="834">
        <f>M471*S471*W471</f>
        <v>0</v>
      </c>
      <c r="P471" t="b">
        <v>1</v>
      </c>
      <c r="Q471" t="b">
        <v>0</v>
      </c>
      <c r="R471" t="b">
        <v>0</v>
      </c>
      <c r="S471" t="b">
        <v>1</v>
      </c>
      <c r="T471" t="b">
        <v>0</v>
      </c>
      <c r="W471" s="17"/>
      <c r="X471" s="817"/>
      <c r="Y471" s="1100" t="str">
        <f>IF(LEN('Ch6'!X153)=0,"None",'Ch6'!X153)</f>
        <v>None</v>
      </c>
      <c r="Z471" s="1102"/>
      <c r="AL471" t="str">
        <f>SUBSTITUTE(SUBSTITUTE(SUBSTITUTE("vpa"&amp;$B471&amp;$C471&amp;$D471&amp;$E471,".","_"),"(","_"),")","")</f>
        <v>vpa602_1_7_3</v>
      </c>
      <c r="AM471">
        <f>M471</f>
        <v>4</v>
      </c>
      <c r="AN471" t="str">
        <f>SUBSTITUTE(SUBSTITUTE(SUBSTITUTE("vpc"&amp;$B471&amp;$C471&amp;$D471&amp;$E471,".","_"),"(","_"),")","")</f>
        <v>vpc602_1_7_3</v>
      </c>
      <c r="AO471">
        <f>O471</f>
        <v>0</v>
      </c>
      <c r="AP471" t="str">
        <f>SUBSTITUTE(SUBSTITUTE(SUBSTITUTE("vch"&amp;$B471&amp;$C471&amp;$D471&amp;$E471,".","_"),"(","_"),")","")</f>
        <v>vch602_1_7_3</v>
      </c>
      <c r="AQ471" t="str">
        <f>IF(LEN(W471)=0,"",W471)</f>
        <v/>
      </c>
      <c r="AR471" t="str">
        <f>SUBSTITUTE(SUBSTITUTE(SUBSTITUTE("vnt"&amp;$B471&amp;$C471&amp;$D471&amp;$E471,".","_"),"(","_"),")","")</f>
        <v>vnt602_1_7_3</v>
      </c>
      <c r="AS471" t="str">
        <f>IF(LEN(X471)=0,"",X471)</f>
        <v/>
      </c>
    </row>
    <row r="472" spans="1:45" x14ac:dyDescent="0.35">
      <c r="A472" s="366">
        <v>6</v>
      </c>
      <c r="B472" s="737" t="s">
        <v>591</v>
      </c>
      <c r="C472" s="737"/>
      <c r="D472" s="731"/>
      <c r="E472" s="731"/>
      <c r="F472" s="731"/>
      <c r="G472" s="366" t="str">
        <f>G471</f>
        <v/>
      </c>
      <c r="H472" s="366" t="s">
        <v>3971</v>
      </c>
      <c r="I472" s="30"/>
      <c r="J472" s="4"/>
      <c r="K472" s="43"/>
      <c r="L472" s="838"/>
      <c r="M472" s="818"/>
      <c r="N472" s="834"/>
      <c r="O472" s="834"/>
      <c r="X472" s="817"/>
      <c r="Y472" s="1100"/>
      <c r="Z472" s="1102"/>
    </row>
    <row r="473" spans="1:45" x14ac:dyDescent="0.35">
      <c r="A473" s="366">
        <v>6</v>
      </c>
      <c r="B473" s="737" t="s">
        <v>591</v>
      </c>
      <c r="C473" s="737"/>
      <c r="D473" s="731"/>
      <c r="E473" s="731"/>
      <c r="F473" s="731"/>
      <c r="G473" s="366" t="str">
        <f>G472</f>
        <v/>
      </c>
      <c r="H473" s="366" t="s">
        <v>3971</v>
      </c>
      <c r="I473" s="30"/>
      <c r="J473" s="4"/>
      <c r="K473" s="43"/>
      <c r="L473" s="838"/>
      <c r="M473" s="818"/>
      <c r="N473" s="834"/>
      <c r="O473" s="834"/>
      <c r="X473" s="817"/>
      <c r="Y473" s="1100"/>
      <c r="Z473" s="1102"/>
    </row>
    <row r="474" spans="1:45" ht="15" thickBot="1" x14ac:dyDescent="0.4">
      <c r="A474" s="366">
        <v>6</v>
      </c>
      <c r="B474" s="737" t="s">
        <v>591</v>
      </c>
      <c r="C474" s="737"/>
      <c r="D474" s="731"/>
      <c r="E474" s="731"/>
      <c r="F474" s="731"/>
      <c r="G474" s="366" t="str">
        <f>G473</f>
        <v/>
      </c>
      <c r="H474" s="366" t="s">
        <v>3971</v>
      </c>
      <c r="I474" s="30"/>
      <c r="J474" s="4"/>
      <c r="K474" s="43"/>
      <c r="L474" s="838"/>
      <c r="M474" s="818"/>
      <c r="N474" s="863"/>
      <c r="O474" s="834"/>
      <c r="W474" s="64"/>
      <c r="X474" s="850"/>
      <c r="Y474" s="1101"/>
      <c r="Z474" s="1104"/>
    </row>
    <row r="475" spans="1:45" ht="15" thickTop="1" x14ac:dyDescent="0.35">
      <c r="A475" s="366">
        <v>6</v>
      </c>
      <c r="B475" s="737" t="s">
        <v>594</v>
      </c>
      <c r="C475" s="731"/>
      <c r="D475" s="731"/>
      <c r="E475" s="731"/>
      <c r="F475" s="731"/>
      <c r="G475" s="366" t="s">
        <v>3973</v>
      </c>
      <c r="H475" s="366" t="s">
        <v>3971</v>
      </c>
      <c r="I475" s="106" t="s">
        <v>594</v>
      </c>
      <c r="J475" s="107"/>
      <c r="K475" s="108"/>
      <c r="L475" s="837" t="s">
        <v>595</v>
      </c>
      <c r="M475" s="899" t="str">
        <f>IF(R475,"Mandatory","N/A")</f>
        <v>Mandatory</v>
      </c>
      <c r="N475" s="545"/>
      <c r="O475" s="545"/>
      <c r="P475" t="b">
        <v>1</v>
      </c>
      <c r="Q475" t="b">
        <v>0</v>
      </c>
      <c r="R475" s="59" t="b">
        <f>S475</f>
        <v>1</v>
      </c>
      <c r="S475" s="59" t="b">
        <v>1</v>
      </c>
      <c r="T475" s="59" t="b">
        <v>0</v>
      </c>
      <c r="U475" s="59" t="str">
        <f>SUBSTITUTE(SUBSTITUTE(SUBSTITUTE("dd"&amp;B475&amp;C475&amp;D475&amp;E475&amp;F475,".","_"),"(","_"),")","")</f>
        <v>dd602_1_8</v>
      </c>
      <c r="V475" s="59"/>
      <c r="W475" s="9"/>
      <c r="X475" s="840"/>
      <c r="Y475" s="1117" t="str">
        <f>IF(LEN('Ch6'!X157)=0,"None",'Ch6'!X157)</f>
        <v>Hardie™ Weather Barrier</v>
      </c>
      <c r="Z475" s="1103"/>
      <c r="AA475" s="350" t="str">
        <f>IF(LEN('Photo Review'!I474)&gt;0,'Photo Review'!I474,"")</f>
        <v/>
      </c>
      <c r="AC475" t="b">
        <f>OR(AD475:AE475)</f>
        <v>1</v>
      </c>
      <c r="AD475" t="b">
        <v>0</v>
      </c>
      <c r="AE475" t="b">
        <f>OR(AND(R475,NOT(W475="Met"),NOT(W475="N/A")),AND(W475="N/A",ISBLANK(X475)))</f>
        <v>1</v>
      </c>
      <c r="AF475" t="b">
        <f>AND(AE475,NOT(Q475))</f>
        <v>1</v>
      </c>
      <c r="AL475" t="str">
        <f>SUBSTITUTE(SUBSTITUTE(SUBSTITUTE("vpa"&amp;$B475&amp;$C475&amp;$D475&amp;$E475,".","_"),"(","_"),")","")</f>
        <v>vpa602_1_8</v>
      </c>
      <c r="AM475" t="str">
        <f>M475</f>
        <v>Mandatory</v>
      </c>
      <c r="AP475" t="str">
        <f>SUBSTITUTE(SUBSTITUTE(SUBSTITUTE("vch"&amp;$B475&amp;$C475&amp;$D475&amp;$E475,".","_"),"(","_"),")","")</f>
        <v>vch602_1_8</v>
      </c>
      <c r="AQ475" t="str">
        <f>IF(LEN(W475)=0,"",W475)</f>
        <v/>
      </c>
      <c r="AR475" t="str">
        <f>SUBSTITUTE(SUBSTITUTE(SUBSTITUTE("vnt"&amp;$B475&amp;$C475&amp;$D475&amp;$E475,".","_"),"(","_"),")","")</f>
        <v>vnt602_1_8</v>
      </c>
      <c r="AS475" t="str">
        <f>IF(LEN(X475)=0,"",X475)</f>
        <v/>
      </c>
    </row>
    <row r="476" spans="1:45" x14ac:dyDescent="0.35">
      <c r="A476" s="366">
        <v>6</v>
      </c>
      <c r="B476" s="737" t="s">
        <v>594</v>
      </c>
      <c r="C476" s="731"/>
      <c r="D476" s="731"/>
      <c r="E476" s="731"/>
      <c r="F476" s="731"/>
      <c r="G476" s="366" t="s">
        <v>3973</v>
      </c>
      <c r="H476" s="366" t="s">
        <v>3971</v>
      </c>
      <c r="I476" s="30"/>
      <c r="J476" s="4"/>
      <c r="K476" s="43"/>
      <c r="L476" s="838"/>
      <c r="M476" s="885"/>
      <c r="N476" s="41"/>
      <c r="O476" s="41"/>
      <c r="X476" s="817"/>
      <c r="Y476" s="1100"/>
      <c r="Z476" s="1102"/>
    </row>
    <row r="477" spans="1:45" ht="15" thickBot="1" x14ac:dyDescent="0.4">
      <c r="A477" s="366">
        <v>6</v>
      </c>
      <c r="B477" s="737" t="s">
        <v>594</v>
      </c>
      <c r="C477" s="731"/>
      <c r="D477" s="731"/>
      <c r="E477" s="731"/>
      <c r="F477" s="731"/>
      <c r="G477" s="366" t="s">
        <v>3973</v>
      </c>
      <c r="H477" s="366" t="s">
        <v>3971</v>
      </c>
      <c r="I477" s="30"/>
      <c r="J477" s="4"/>
      <c r="K477" s="43"/>
      <c r="L477" s="531" t="s">
        <v>1104</v>
      </c>
      <c r="M477" s="885"/>
      <c r="N477" s="41"/>
      <c r="O477" s="41"/>
      <c r="X477" s="850"/>
      <c r="Y477" s="1101"/>
      <c r="Z477" s="1104"/>
    </row>
    <row r="478" spans="1:45" ht="15" thickTop="1" x14ac:dyDescent="0.35">
      <c r="A478" s="366">
        <v>6</v>
      </c>
      <c r="B478" s="737" t="s">
        <v>596</v>
      </c>
      <c r="C478" s="731"/>
      <c r="D478" s="731"/>
      <c r="E478" s="731"/>
      <c r="F478" s="731"/>
      <c r="G478" s="366" t="s">
        <v>3973</v>
      </c>
      <c r="H478" s="366" t="s">
        <v>3971</v>
      </c>
      <c r="I478" s="106" t="s">
        <v>596</v>
      </c>
      <c r="J478" s="107"/>
      <c r="K478" s="108"/>
      <c r="L478" s="837" t="s">
        <v>597</v>
      </c>
      <c r="M478" s="267"/>
      <c r="N478" s="545"/>
      <c r="O478" s="545"/>
      <c r="P478" s="59"/>
      <c r="Q478" s="59"/>
      <c r="R478" s="59"/>
      <c r="S478" s="59"/>
      <c r="T478" s="59"/>
      <c r="U478" s="59"/>
      <c r="V478" s="59"/>
      <c r="W478" s="59"/>
      <c r="X478" s="59"/>
      <c r="AA478" s="350" t="str">
        <f>IF(LEN('Photo Review'!I477)&gt;0,'Photo Review'!I477,"")</f>
        <v/>
      </c>
    </row>
    <row r="479" spans="1:45" x14ac:dyDescent="0.35">
      <c r="A479" s="366">
        <v>6</v>
      </c>
      <c r="B479" s="737" t="s">
        <v>596</v>
      </c>
      <c r="C479" s="731"/>
      <c r="D479" s="731"/>
      <c r="E479" s="731"/>
      <c r="F479" s="731"/>
      <c r="G479" s="366" t="s">
        <v>3973</v>
      </c>
      <c r="H479" s="366" t="s">
        <v>3971</v>
      </c>
      <c r="I479" s="30"/>
      <c r="J479" s="4"/>
      <c r="K479" s="43"/>
      <c r="L479" s="838"/>
      <c r="M479" s="40"/>
      <c r="N479" s="41"/>
      <c r="O479" s="41"/>
    </row>
    <row r="480" spans="1:45" x14ac:dyDescent="0.35">
      <c r="A480" s="366">
        <v>6</v>
      </c>
      <c r="B480" s="737" t="s">
        <v>596</v>
      </c>
      <c r="C480" s="731"/>
      <c r="D480" s="731"/>
      <c r="E480" s="731"/>
      <c r="F480" s="731"/>
      <c r="G480" s="366" t="s">
        <v>3973</v>
      </c>
      <c r="H480" s="366" t="s">
        <v>3971</v>
      </c>
      <c r="I480" s="30"/>
      <c r="J480" s="4"/>
      <c r="K480" s="43"/>
      <c r="L480" s="838"/>
      <c r="M480" s="40"/>
      <c r="N480" s="41"/>
      <c r="O480" s="41"/>
    </row>
    <row r="481" spans="1:45" x14ac:dyDescent="0.35">
      <c r="A481" s="366">
        <v>6</v>
      </c>
      <c r="B481" s="737" t="s">
        <v>596</v>
      </c>
      <c r="C481" s="731"/>
      <c r="D481" s="731"/>
      <c r="E481" s="731"/>
      <c r="F481" s="731"/>
      <c r="G481" s="366" t="s">
        <v>3973</v>
      </c>
      <c r="H481" s="366" t="s">
        <v>3971</v>
      </c>
      <c r="I481" s="30"/>
      <c r="J481" s="4"/>
      <c r="K481" s="43"/>
      <c r="L481" s="838"/>
      <c r="M481" s="40"/>
      <c r="N481" s="41"/>
      <c r="O481" s="41"/>
    </row>
    <row r="482" spans="1:45" x14ac:dyDescent="0.35">
      <c r="A482" s="366">
        <v>6</v>
      </c>
      <c r="B482" s="737" t="s">
        <v>596</v>
      </c>
      <c r="C482" s="731"/>
      <c r="D482" s="731"/>
      <c r="E482" s="731"/>
      <c r="F482" s="731"/>
      <c r="G482" s="366" t="s">
        <v>3973</v>
      </c>
      <c r="H482" s="366" t="s">
        <v>3971</v>
      </c>
      <c r="I482" s="30"/>
      <c r="J482" s="4"/>
      <c r="K482" s="43"/>
      <c r="L482" s="838"/>
      <c r="M482" s="40"/>
      <c r="N482" s="41"/>
      <c r="O482" s="41"/>
    </row>
    <row r="483" spans="1:45" x14ac:dyDescent="0.35">
      <c r="A483" s="366">
        <v>6</v>
      </c>
      <c r="B483" s="737" t="s">
        <v>596</v>
      </c>
      <c r="C483" s="731" t="s">
        <v>256</v>
      </c>
      <c r="D483" s="731"/>
      <c r="E483" s="731"/>
      <c r="F483" s="731"/>
      <c r="G483" s="366" t="s">
        <v>3973</v>
      </c>
      <c r="H483" s="366" t="s">
        <v>3971</v>
      </c>
      <c r="I483" s="30"/>
      <c r="J483" s="19" t="s">
        <v>256</v>
      </c>
      <c r="K483" s="43"/>
      <c r="L483" s="90" t="s">
        <v>598</v>
      </c>
      <c r="M483" s="885" t="str">
        <f>IF(R483,"Mandatory","N/A")</f>
        <v>Mandatory</v>
      </c>
      <c r="N483" s="41"/>
      <c r="O483" s="41"/>
      <c r="P483" t="b">
        <v>1</v>
      </c>
      <c r="Q483" t="b">
        <v>0</v>
      </c>
      <c r="R483" t="b">
        <f>S483</f>
        <v>1</v>
      </c>
      <c r="S483" t="b">
        <v>1</v>
      </c>
      <c r="T483" t="b">
        <v>0</v>
      </c>
      <c r="W483" s="17"/>
      <c r="X483" s="817"/>
      <c r="Y483" s="1100" t="str">
        <f>IF(LEN('Ch6'!X165)=0,"None",'Ch6'!X165)</f>
        <v>Hardie™ Pro-Flashing</v>
      </c>
      <c r="Z483" s="1102"/>
      <c r="AC483" t="b">
        <f>OR(AD483:AE483)</f>
        <v>1</v>
      </c>
      <c r="AD483" t="b">
        <v>0</v>
      </c>
      <c r="AE483" t="b">
        <f>AND(R483,NOT(W483))</f>
        <v>1</v>
      </c>
      <c r="AF483" t="b">
        <f>AND(AE483,NOT(Q483))</f>
        <v>1</v>
      </c>
      <c r="AL483" t="str">
        <f>SUBSTITUTE(SUBSTITUTE(SUBSTITUTE("vpa"&amp;$B483&amp;$C483&amp;$D483&amp;$E483,".","_"),"(","_"),")","")</f>
        <v>vpa602_1_9_1</v>
      </c>
      <c r="AM483" t="str">
        <f>M483</f>
        <v>Mandatory</v>
      </c>
      <c r="AP483" t="str">
        <f>SUBSTITUTE(SUBSTITUTE(SUBSTITUTE("vch"&amp;$B483&amp;$C483&amp;$D483&amp;$E483,".","_"),"(","_"),")","")</f>
        <v>vch602_1_9_1</v>
      </c>
      <c r="AQ483" t="str">
        <f>IF(LEN(W483)=0,"",W483)</f>
        <v/>
      </c>
      <c r="AR483" t="str">
        <f>SUBSTITUTE(SUBSTITUTE(SUBSTITUTE("vnt"&amp;$B483&amp;$C483&amp;$D483&amp;$E483,".","_"),"(","_"),")","")</f>
        <v>vnt602_1_9_1</v>
      </c>
      <c r="AS483" t="str">
        <f>IF(LEN(X483)=0,"",X483)</f>
        <v/>
      </c>
    </row>
    <row r="484" spans="1:45" x14ac:dyDescent="0.35">
      <c r="A484" s="366">
        <v>6</v>
      </c>
      <c r="B484" s="737" t="s">
        <v>596</v>
      </c>
      <c r="C484" s="731" t="s">
        <v>256</v>
      </c>
      <c r="D484" s="731" t="s">
        <v>121</v>
      </c>
      <c r="E484" s="731"/>
      <c r="F484" s="731"/>
      <c r="G484" s="366" t="s">
        <v>3973</v>
      </c>
      <c r="H484" s="732" t="s">
        <v>3971</v>
      </c>
      <c r="I484" s="30"/>
      <c r="J484" s="4"/>
      <c r="K484" s="47" t="s">
        <v>121</v>
      </c>
      <c r="L484" s="90" t="s">
        <v>599</v>
      </c>
      <c r="M484" s="885"/>
      <c r="N484" s="41"/>
      <c r="O484" s="41"/>
      <c r="X484" s="817"/>
      <c r="Y484" s="1100"/>
      <c r="Z484" s="1102"/>
    </row>
    <row r="485" spans="1:45" x14ac:dyDescent="0.35">
      <c r="A485" s="366">
        <v>6</v>
      </c>
      <c r="B485" s="737" t="s">
        <v>596</v>
      </c>
      <c r="C485" s="731" t="s">
        <v>256</v>
      </c>
      <c r="D485" s="731" t="s">
        <v>122</v>
      </c>
      <c r="E485" s="731"/>
      <c r="F485" s="731"/>
      <c r="G485" s="366" t="s">
        <v>3973</v>
      </c>
      <c r="H485" s="732" t="s">
        <v>3971</v>
      </c>
      <c r="I485" s="30"/>
      <c r="J485" s="4"/>
      <c r="K485" s="47" t="s">
        <v>122</v>
      </c>
      <c r="L485" s="90" t="s">
        <v>600</v>
      </c>
      <c r="M485" s="885"/>
      <c r="N485" s="41"/>
      <c r="O485" s="41"/>
      <c r="X485" s="817"/>
      <c r="Y485" s="1100"/>
      <c r="Z485" s="1102"/>
    </row>
    <row r="486" spans="1:45" x14ac:dyDescent="0.35">
      <c r="A486" s="366">
        <v>6</v>
      </c>
      <c r="B486" s="737" t="s">
        <v>596</v>
      </c>
      <c r="C486" s="731" t="s">
        <v>256</v>
      </c>
      <c r="D486" s="733" t="s">
        <v>123</v>
      </c>
      <c r="E486" s="731"/>
      <c r="F486" s="733"/>
      <c r="G486" s="366" t="s">
        <v>3973</v>
      </c>
      <c r="H486" s="734" t="s">
        <v>3971</v>
      </c>
      <c r="I486" s="30"/>
      <c r="J486" s="4"/>
      <c r="K486" s="49" t="s">
        <v>123</v>
      </c>
      <c r="L486" s="90" t="s">
        <v>601</v>
      </c>
      <c r="M486" s="885"/>
      <c r="N486" s="41"/>
      <c r="O486" s="41"/>
      <c r="X486" s="817"/>
      <c r="Y486" s="1100"/>
      <c r="Z486" s="1102"/>
    </row>
    <row r="487" spans="1:45" x14ac:dyDescent="0.35">
      <c r="A487" s="366">
        <v>6</v>
      </c>
      <c r="B487" s="737" t="s">
        <v>596</v>
      </c>
      <c r="C487" s="731" t="s">
        <v>256</v>
      </c>
      <c r="D487" s="731" t="s">
        <v>401</v>
      </c>
      <c r="E487" s="731"/>
      <c r="F487" s="731"/>
      <c r="G487" s="366" t="s">
        <v>3973</v>
      </c>
      <c r="H487" s="366" t="s">
        <v>3971</v>
      </c>
      <c r="I487" s="30"/>
      <c r="J487" s="4"/>
      <c r="K487" s="45" t="s">
        <v>401</v>
      </c>
      <c r="L487" s="814" t="s">
        <v>602</v>
      </c>
      <c r="M487" s="885"/>
      <c r="N487" s="41"/>
      <c r="O487" s="41"/>
      <c r="X487" s="817"/>
      <c r="Y487" s="1100"/>
      <c r="Z487" s="1102"/>
    </row>
    <row r="488" spans="1:45" x14ac:dyDescent="0.35">
      <c r="A488" s="366">
        <v>6</v>
      </c>
      <c r="B488" s="737" t="s">
        <v>596</v>
      </c>
      <c r="C488" s="731" t="s">
        <v>256</v>
      </c>
      <c r="D488" s="731" t="s">
        <v>401</v>
      </c>
      <c r="E488" s="731"/>
      <c r="F488" s="731"/>
      <c r="G488" s="366" t="s">
        <v>3973</v>
      </c>
      <c r="H488" s="366" t="s">
        <v>3971</v>
      </c>
      <c r="I488" s="30"/>
      <c r="J488" s="4"/>
      <c r="K488" s="43"/>
      <c r="L488" s="814"/>
      <c r="M488" s="885"/>
      <c r="N488" s="41"/>
      <c r="O488" s="41"/>
      <c r="X488" s="817"/>
      <c r="Y488" s="1100"/>
      <c r="Z488" s="1102"/>
    </row>
    <row r="489" spans="1:45" x14ac:dyDescent="0.35">
      <c r="A489" s="366">
        <v>6</v>
      </c>
      <c r="B489" s="737" t="s">
        <v>596</v>
      </c>
      <c r="C489" s="731" t="s">
        <v>256</v>
      </c>
      <c r="D489" s="731" t="s">
        <v>539</v>
      </c>
      <c r="E489" s="731"/>
      <c r="F489" s="731"/>
      <c r="G489" s="366" t="s">
        <v>3973</v>
      </c>
      <c r="H489" s="366" t="s">
        <v>3971</v>
      </c>
      <c r="I489" s="30"/>
      <c r="J489" s="4"/>
      <c r="K489" s="45" t="s">
        <v>539</v>
      </c>
      <c r="L489" s="90" t="s">
        <v>603</v>
      </c>
      <c r="M489" s="885"/>
      <c r="N489" s="41"/>
      <c r="O489" s="41"/>
      <c r="X489" s="817"/>
      <c r="Y489" s="1100"/>
      <c r="Z489" s="1102"/>
    </row>
    <row r="490" spans="1:45" x14ac:dyDescent="0.35">
      <c r="A490" s="366">
        <v>6</v>
      </c>
      <c r="B490" s="737" t="s">
        <v>596</v>
      </c>
      <c r="C490" s="731" t="s">
        <v>256</v>
      </c>
      <c r="D490" s="733" t="s">
        <v>604</v>
      </c>
      <c r="E490" s="731"/>
      <c r="F490" s="733"/>
      <c r="G490" s="366" t="s">
        <v>3973</v>
      </c>
      <c r="H490" s="734" t="s">
        <v>3971</v>
      </c>
      <c r="I490" s="30"/>
      <c r="J490" s="4"/>
      <c r="K490" s="49" t="s">
        <v>604</v>
      </c>
      <c r="L490" s="90" t="s">
        <v>605</v>
      </c>
      <c r="M490" s="885"/>
      <c r="N490" s="41"/>
      <c r="O490" s="41"/>
      <c r="X490" s="817"/>
      <c r="Y490" s="1100"/>
      <c r="Z490" s="1102"/>
    </row>
    <row r="491" spans="1:45" x14ac:dyDescent="0.35">
      <c r="A491" s="366">
        <v>6</v>
      </c>
      <c r="B491" s="737" t="s">
        <v>596</v>
      </c>
      <c r="C491" s="731" t="s">
        <v>256</v>
      </c>
      <c r="D491" s="731" t="s">
        <v>606</v>
      </c>
      <c r="E491" s="731"/>
      <c r="F491" s="731"/>
      <c r="G491" s="366" t="s">
        <v>3973</v>
      </c>
      <c r="H491" s="366" t="s">
        <v>3971</v>
      </c>
      <c r="I491" s="30"/>
      <c r="J491" s="4"/>
      <c r="K491" s="45" t="s">
        <v>606</v>
      </c>
      <c r="L491" s="90" t="s">
        <v>607</v>
      </c>
      <c r="M491" s="885"/>
      <c r="N491" s="41"/>
      <c r="O491" s="41"/>
      <c r="X491" s="817"/>
      <c r="Y491" s="1100"/>
      <c r="Z491" s="1102"/>
    </row>
    <row r="492" spans="1:45" x14ac:dyDescent="0.35">
      <c r="A492" s="366">
        <v>6</v>
      </c>
      <c r="B492" s="737" t="s">
        <v>596</v>
      </c>
      <c r="C492" s="731" t="s">
        <v>256</v>
      </c>
      <c r="D492" s="731" t="s">
        <v>608</v>
      </c>
      <c r="E492" s="731"/>
      <c r="F492" s="731"/>
      <c r="G492" s="366" t="s">
        <v>3973</v>
      </c>
      <c r="H492" s="366" t="s">
        <v>3971</v>
      </c>
      <c r="I492" s="30"/>
      <c r="J492" s="133"/>
      <c r="K492" s="139" t="s">
        <v>608</v>
      </c>
      <c r="L492" s="228" t="s">
        <v>609</v>
      </c>
      <c r="M492" s="890"/>
      <c r="N492" s="41"/>
      <c r="O492" s="41"/>
      <c r="X492" s="817"/>
      <c r="Y492" s="1100"/>
      <c r="Z492" s="1102"/>
    </row>
    <row r="493" spans="1:45" x14ac:dyDescent="0.35">
      <c r="A493" s="366">
        <v>6</v>
      </c>
      <c r="B493" s="737" t="s">
        <v>596</v>
      </c>
      <c r="C493" s="731" t="s">
        <v>258</v>
      </c>
      <c r="D493" s="737"/>
      <c r="E493" s="731"/>
      <c r="F493" s="737"/>
      <c r="G493" s="366" t="str">
        <f>IF(N493&gt;0,"P","")</f>
        <v/>
      </c>
      <c r="H493" s="377" t="s">
        <v>3971</v>
      </c>
      <c r="I493" s="30"/>
      <c r="J493" s="19" t="s">
        <v>258</v>
      </c>
      <c r="K493" s="43"/>
      <c r="L493" s="814" t="s">
        <v>610</v>
      </c>
      <c r="M493" s="818">
        <v>2</v>
      </c>
      <c r="N493" s="834">
        <f>'Ch6'!O175</f>
        <v>0</v>
      </c>
      <c r="O493" s="834">
        <f>M493*S493*W493</f>
        <v>0</v>
      </c>
      <c r="P493" t="b">
        <v>1</v>
      </c>
      <c r="Q493" t="b">
        <v>0</v>
      </c>
      <c r="R493" t="b">
        <v>0</v>
      </c>
      <c r="S493" t="b">
        <v>1</v>
      </c>
      <c r="T493" t="b">
        <v>0</v>
      </c>
      <c r="W493" s="17"/>
      <c r="X493" s="817"/>
      <c r="Y493" s="1100" t="str">
        <f>IF(LEN('Ch6'!X175)=0,"None",'Ch6'!X175)</f>
        <v>None</v>
      </c>
      <c r="Z493" s="1102"/>
      <c r="AL493" t="str">
        <f>SUBSTITUTE(SUBSTITUTE(SUBSTITUTE("vpa"&amp;$B493&amp;$C493&amp;$D493&amp;$E493,".","_"),"(","_"),")","")</f>
        <v>vpa602_1_9_2</v>
      </c>
      <c r="AM493">
        <f>M493</f>
        <v>2</v>
      </c>
      <c r="AN493" t="str">
        <f>SUBSTITUTE(SUBSTITUTE(SUBSTITUTE("vpc"&amp;$B493&amp;$C493&amp;$D493&amp;$E493,".","_"),"(","_"),")","")</f>
        <v>vpc602_1_9_2</v>
      </c>
      <c r="AO493">
        <f>O493</f>
        <v>0</v>
      </c>
      <c r="AP493" t="str">
        <f>SUBSTITUTE(SUBSTITUTE(SUBSTITUTE("vch"&amp;$B493&amp;$C493&amp;$D493&amp;$E493,".","_"),"(","_"),")","")</f>
        <v>vch602_1_9_2</v>
      </c>
      <c r="AQ493" t="str">
        <f>IF(LEN(W493)=0,"",W493)</f>
        <v/>
      </c>
      <c r="AR493" t="str">
        <f>SUBSTITUTE(SUBSTITUTE(SUBSTITUTE("vnt"&amp;$B493&amp;$C493&amp;$D493&amp;$E493,".","_"),"(","_"),")","")</f>
        <v>vnt602_1_9_2</v>
      </c>
      <c r="AS493" t="str">
        <f>IF(LEN(X493)=0,"",X493)</f>
        <v/>
      </c>
    </row>
    <row r="494" spans="1:45" x14ac:dyDescent="0.35">
      <c r="A494" s="366">
        <v>6</v>
      </c>
      <c r="B494" s="737" t="s">
        <v>596</v>
      </c>
      <c r="C494" s="731" t="s">
        <v>258</v>
      </c>
      <c r="D494" s="737"/>
      <c r="E494" s="731"/>
      <c r="F494" s="737"/>
      <c r="G494" s="366" t="str">
        <f>G493</f>
        <v/>
      </c>
      <c r="H494" s="377" t="s">
        <v>3971</v>
      </c>
      <c r="I494" s="30"/>
      <c r="J494" s="4"/>
      <c r="K494" s="43"/>
      <c r="L494" s="814"/>
      <c r="M494" s="818"/>
      <c r="N494" s="834"/>
      <c r="O494" s="834"/>
      <c r="X494" s="817"/>
      <c r="Y494" s="1100"/>
      <c r="Z494" s="1102"/>
    </row>
    <row r="495" spans="1:45" x14ac:dyDescent="0.35">
      <c r="A495" s="366">
        <v>6</v>
      </c>
      <c r="B495" s="737" t="s">
        <v>596</v>
      </c>
      <c r="C495" s="731" t="s">
        <v>258</v>
      </c>
      <c r="D495" s="737"/>
      <c r="E495" s="731"/>
      <c r="F495" s="737"/>
      <c r="G495" s="366" t="str">
        <f>G494</f>
        <v/>
      </c>
      <c r="H495" s="377" t="s">
        <v>3971</v>
      </c>
      <c r="I495" s="30"/>
      <c r="J495" s="133"/>
      <c r="K495" s="101"/>
      <c r="L495" s="815"/>
      <c r="M495" s="819"/>
      <c r="N495" s="835"/>
      <c r="O495" s="835"/>
      <c r="X495" s="817"/>
      <c r="Y495" s="1100"/>
      <c r="Z495" s="1102"/>
    </row>
    <row r="496" spans="1:45" x14ac:dyDescent="0.35">
      <c r="A496" s="366">
        <v>6</v>
      </c>
      <c r="B496" s="737" t="s">
        <v>596</v>
      </c>
      <c r="C496" s="731" t="s">
        <v>260</v>
      </c>
      <c r="D496" s="737"/>
      <c r="E496" s="731"/>
      <c r="F496" s="737"/>
      <c r="G496" s="366" t="str">
        <f>IF(N496&gt;0,"P","")</f>
        <v/>
      </c>
      <c r="H496" s="377" t="s">
        <v>3971</v>
      </c>
      <c r="I496" s="30"/>
      <c r="J496" s="130" t="s">
        <v>260</v>
      </c>
      <c r="K496" s="131"/>
      <c r="L496" s="178" t="s">
        <v>611</v>
      </c>
      <c r="M496" s="278">
        <v>3</v>
      </c>
      <c r="N496" s="547">
        <f>'Ch6'!O178</f>
        <v>0</v>
      </c>
      <c r="O496" s="547">
        <f>M496*S496*W496</f>
        <v>0</v>
      </c>
      <c r="P496" t="b">
        <v>1</v>
      </c>
      <c r="Q496" t="b">
        <v>0</v>
      </c>
      <c r="R496" t="b">
        <v>0</v>
      </c>
      <c r="S496" t="b">
        <v>1</v>
      </c>
      <c r="T496" t="b">
        <v>0</v>
      </c>
      <c r="W496" s="17"/>
      <c r="X496" s="36"/>
      <c r="Y496" s="396" t="str">
        <f>IF(LEN('Ch6'!X178)=0,"None",'Ch6'!X178)</f>
        <v>None</v>
      </c>
      <c r="Z496" s="652"/>
      <c r="AL496" t="str">
        <f>SUBSTITUTE(SUBSTITUTE(SUBSTITUTE("vpa"&amp;$B496&amp;$C496&amp;$D496&amp;$E496,".","_"),"(","_"),")","")</f>
        <v>vpa602_1_9_3</v>
      </c>
      <c r="AM496">
        <f>M496</f>
        <v>3</v>
      </c>
      <c r="AN496" t="str">
        <f>SUBSTITUTE(SUBSTITUTE(SUBSTITUTE("vpc"&amp;$B496&amp;$C496&amp;$D496&amp;$E496,".","_"),"(","_"),")","")</f>
        <v>vpc602_1_9_3</v>
      </c>
      <c r="AO496">
        <f>O496</f>
        <v>0</v>
      </c>
      <c r="AP496" t="str">
        <f>SUBSTITUTE(SUBSTITUTE(SUBSTITUTE("vch"&amp;$B496&amp;$C496&amp;$D496&amp;$E496,".","_"),"(","_"),")","")</f>
        <v>vch602_1_9_3</v>
      </c>
      <c r="AQ496" t="str">
        <f>IF(LEN(W496)=0,"",W496)</f>
        <v/>
      </c>
      <c r="AR496" t="str">
        <f>SUBSTITUTE(SUBSTITUTE(SUBSTITUTE("vnt"&amp;$B496&amp;$C496&amp;$D496&amp;$E496,".","_"),"(","_"),")","")</f>
        <v>vnt602_1_9_3</v>
      </c>
      <c r="AS496" t="str">
        <f>IF(LEN(X496)=0,"",X496)</f>
        <v/>
      </c>
    </row>
    <row r="497" spans="1:45" x14ac:dyDescent="0.35">
      <c r="A497" s="366">
        <v>6</v>
      </c>
      <c r="B497" s="737" t="s">
        <v>596</v>
      </c>
      <c r="C497" s="731" t="s">
        <v>269</v>
      </c>
      <c r="D497" s="737"/>
      <c r="E497" s="731"/>
      <c r="F497" s="737"/>
      <c r="G497" s="366" t="str">
        <f>IF(N497&gt;0,"P","")</f>
        <v/>
      </c>
      <c r="H497" s="377" t="s">
        <v>3971</v>
      </c>
      <c r="I497" s="30"/>
      <c r="J497" s="132" t="s">
        <v>269</v>
      </c>
      <c r="K497" s="119"/>
      <c r="L497" s="836" t="s">
        <v>612</v>
      </c>
      <c r="M497" s="822">
        <v>3</v>
      </c>
      <c r="N497" s="963">
        <f>'Ch6'!O179</f>
        <v>0</v>
      </c>
      <c r="O497" s="963">
        <f>M497*S497*W497</f>
        <v>0</v>
      </c>
      <c r="P497" t="b">
        <v>1</v>
      </c>
      <c r="Q497" t="b">
        <v>0</v>
      </c>
      <c r="R497" t="b">
        <v>0</v>
      </c>
      <c r="S497" t="b">
        <v>1</v>
      </c>
      <c r="T497" t="b">
        <v>0</v>
      </c>
      <c r="W497" s="17"/>
      <c r="X497" s="817"/>
      <c r="Y497" s="1100" t="str">
        <f>IF(LEN('Ch6'!X179)=0,"None",'Ch6'!X179)</f>
        <v>None</v>
      </c>
      <c r="Z497" s="1102"/>
      <c r="AL497" t="str">
        <f>SUBSTITUTE(SUBSTITUTE(SUBSTITUTE("vpa"&amp;$B497&amp;$C497&amp;$D497&amp;$E497,".","_"),"(","_"),")","")</f>
        <v>vpa602_1_9_4</v>
      </c>
      <c r="AM497">
        <f>M497</f>
        <v>3</v>
      </c>
      <c r="AN497" t="str">
        <f>SUBSTITUTE(SUBSTITUTE(SUBSTITUTE("vpc"&amp;$B497&amp;$C497&amp;$D497&amp;$E497,".","_"),"(","_"),")","")</f>
        <v>vpc602_1_9_4</v>
      </c>
      <c r="AO497">
        <f>O497</f>
        <v>0</v>
      </c>
      <c r="AP497" t="str">
        <f>SUBSTITUTE(SUBSTITUTE(SUBSTITUTE("vch"&amp;$B497&amp;$C497&amp;$D497&amp;$E497,".","_"),"(","_"),")","")</f>
        <v>vch602_1_9_4</v>
      </c>
      <c r="AQ497" t="str">
        <f>IF(LEN(W497)=0,"",W497)</f>
        <v/>
      </c>
      <c r="AR497" t="str">
        <f>SUBSTITUTE(SUBSTITUTE(SUBSTITUTE("vnt"&amp;$B497&amp;$C497&amp;$D497&amp;$E497,".","_"),"(","_"),")","")</f>
        <v>vnt602_1_9_4</v>
      </c>
      <c r="AS497" t="str">
        <f>IF(LEN(X497)=0,"",X497)</f>
        <v/>
      </c>
    </row>
    <row r="498" spans="1:45" x14ac:dyDescent="0.35">
      <c r="A498" s="366">
        <v>6</v>
      </c>
      <c r="B498" s="737" t="s">
        <v>596</v>
      </c>
      <c r="C498" s="731" t="s">
        <v>269</v>
      </c>
      <c r="D498" s="737"/>
      <c r="E498" s="731"/>
      <c r="F498" s="737"/>
      <c r="G498" s="366" t="str">
        <f>G497</f>
        <v/>
      </c>
      <c r="H498" s="377" t="s">
        <v>3971</v>
      </c>
      <c r="I498" s="30"/>
      <c r="J498" s="4"/>
      <c r="K498" s="43"/>
      <c r="L498" s="814"/>
      <c r="M498" s="818"/>
      <c r="N498" s="834"/>
      <c r="O498" s="834"/>
      <c r="X498" s="817"/>
      <c r="Y498" s="1100"/>
      <c r="Z498" s="1102"/>
    </row>
    <row r="499" spans="1:45" x14ac:dyDescent="0.35">
      <c r="A499" s="366">
        <v>6</v>
      </c>
      <c r="B499" s="737" t="s">
        <v>596</v>
      </c>
      <c r="C499" s="731" t="s">
        <v>269</v>
      </c>
      <c r="D499" s="737"/>
      <c r="E499" s="731"/>
      <c r="F499" s="737"/>
      <c r="G499" s="366" t="str">
        <f>G498</f>
        <v/>
      </c>
      <c r="H499" s="377" t="s">
        <v>3971</v>
      </c>
      <c r="I499" s="30"/>
      <c r="J499" s="4"/>
      <c r="K499" s="43"/>
      <c r="L499" s="814"/>
      <c r="M499" s="818"/>
      <c r="N499" s="834"/>
      <c r="O499" s="834"/>
      <c r="X499" s="817"/>
      <c r="Y499" s="1100"/>
      <c r="Z499" s="1102"/>
    </row>
    <row r="500" spans="1:45" x14ac:dyDescent="0.35">
      <c r="A500" s="366">
        <v>6</v>
      </c>
      <c r="B500" s="737" t="s">
        <v>596</v>
      </c>
      <c r="C500" s="731" t="s">
        <v>269</v>
      </c>
      <c r="D500" s="737"/>
      <c r="E500" s="731"/>
      <c r="F500" s="737"/>
      <c r="G500" s="366" t="str">
        <f>G499</f>
        <v/>
      </c>
      <c r="H500" s="377" t="s">
        <v>3971</v>
      </c>
      <c r="I500" s="30"/>
      <c r="J500" s="133"/>
      <c r="K500" s="101"/>
      <c r="L500" s="815"/>
      <c r="M500" s="819"/>
      <c r="N500" s="835"/>
      <c r="O500" s="835"/>
      <c r="X500" s="817"/>
      <c r="Y500" s="1100"/>
      <c r="Z500" s="1102"/>
    </row>
    <row r="501" spans="1:45" x14ac:dyDescent="0.35">
      <c r="A501" s="366">
        <v>6</v>
      </c>
      <c r="B501" s="737" t="s">
        <v>596</v>
      </c>
      <c r="C501" s="731" t="s">
        <v>275</v>
      </c>
      <c r="D501" s="737"/>
      <c r="E501" s="731"/>
      <c r="F501" s="737"/>
      <c r="G501" s="366" t="str">
        <f ca="1">IF(N501&gt;0,"P","")</f>
        <v/>
      </c>
      <c r="H501" s="377" t="s">
        <v>3971</v>
      </c>
      <c r="I501" s="30"/>
      <c r="J501" s="19" t="s">
        <v>275</v>
      </c>
      <c r="K501" s="43"/>
      <c r="L501" s="90" t="s">
        <v>613</v>
      </c>
      <c r="M501" s="40"/>
      <c r="N501" s="41">
        <f ca="1">'Ch6'!O183</f>
        <v>0</v>
      </c>
      <c r="O501" s="41">
        <f ca="1">IFERROR(INDEX({4,2},MATCH(W501,INDIRECT(U501),0)),0)</f>
        <v>0</v>
      </c>
      <c r="P501" t="b">
        <v>1</v>
      </c>
      <c r="Q501" t="b">
        <v>0</v>
      </c>
      <c r="R501" t="b">
        <v>0</v>
      </c>
      <c r="S501" t="b">
        <v>1</v>
      </c>
      <c r="T501" t="b">
        <v>0</v>
      </c>
      <c r="U501" t="str">
        <f>SUBSTITUTE(SUBSTITUTE(SUBSTITUTE("dd"&amp;B501&amp;C501&amp;D501&amp;E501&amp;F501,".","_"),"(","_"),")","")</f>
        <v>dd602_1_9_5</v>
      </c>
      <c r="W501" s="9"/>
      <c r="X501" s="817"/>
      <c r="Y501" s="1100" t="str">
        <f>IF(LEN('Ch6'!X183)=0,"None",'Ch6'!X183)</f>
        <v>None</v>
      </c>
      <c r="Z501" s="1102"/>
      <c r="AN501" t="str">
        <f>SUBSTITUTE(SUBSTITUTE(SUBSTITUTE("vpc"&amp;$B501&amp;$C501&amp;$D501&amp;$E501,".","_"),"(","_"),")","")</f>
        <v>vpc602_1_9_5</v>
      </c>
      <c r="AO501">
        <f ca="1">O501</f>
        <v>0</v>
      </c>
      <c r="AP501" t="str">
        <f>SUBSTITUTE(SUBSTITUTE(SUBSTITUTE("vch"&amp;$B501&amp;$C501&amp;$D501&amp;$E501,".","_"),"(","_"),")","")</f>
        <v>vch602_1_9_5</v>
      </c>
      <c r="AQ501" t="str">
        <f>IF(LEN(W501)=0,"",W501)</f>
        <v/>
      </c>
      <c r="AR501" t="str">
        <f>SUBSTITUTE(SUBSTITUTE(SUBSTITUTE("vnt"&amp;$B501&amp;$C501&amp;$D501&amp;$E501,".","_"),"(","_"),")","")</f>
        <v>vnt602_1_9_5</v>
      </c>
      <c r="AS501" t="str">
        <f>IF(LEN(X501)=0,"",X501)</f>
        <v/>
      </c>
    </row>
    <row r="502" spans="1:45" x14ac:dyDescent="0.35">
      <c r="A502" s="366">
        <v>6</v>
      </c>
      <c r="B502" s="737" t="s">
        <v>596</v>
      </c>
      <c r="C502" s="731" t="s">
        <v>275</v>
      </c>
      <c r="D502" s="731" t="s">
        <v>121</v>
      </c>
      <c r="E502" s="731"/>
      <c r="F502" s="731"/>
      <c r="G502" s="366" t="str">
        <f ca="1">G501</f>
        <v/>
      </c>
      <c r="H502" s="732" t="s">
        <v>3971</v>
      </c>
      <c r="I502" s="30"/>
      <c r="J502" s="4"/>
      <c r="K502" s="47" t="s">
        <v>121</v>
      </c>
      <c r="L502" s="814" t="s">
        <v>614</v>
      </c>
      <c r="M502" s="818">
        <v>4</v>
      </c>
      <c r="N502" s="41"/>
      <c r="O502" s="41"/>
      <c r="X502" s="817"/>
      <c r="Y502" s="1100"/>
      <c r="Z502" s="1102"/>
      <c r="AL502" t="str">
        <f>SUBSTITUTE(SUBSTITUTE(SUBSTITUTE("vpa"&amp;$B502&amp;$C502&amp;$D502&amp;$E502,".","_"),"(","_"),")","")</f>
        <v>vpa602_1_9_5_a</v>
      </c>
      <c r="AM502">
        <f>M502</f>
        <v>4</v>
      </c>
    </row>
    <row r="503" spans="1:45" x14ac:dyDescent="0.35">
      <c r="A503" s="366">
        <v>6</v>
      </c>
      <c r="B503" s="737" t="s">
        <v>596</v>
      </c>
      <c r="C503" s="731" t="s">
        <v>275</v>
      </c>
      <c r="D503" s="731" t="s">
        <v>121</v>
      </c>
      <c r="E503" s="731"/>
      <c r="F503" s="731"/>
      <c r="G503" s="366" t="str">
        <f ca="1">G502</f>
        <v/>
      </c>
      <c r="H503" s="732" t="s">
        <v>3971</v>
      </c>
      <c r="I503" s="30"/>
      <c r="J503" s="4"/>
      <c r="K503" s="47"/>
      <c r="L503" s="814"/>
      <c r="M503" s="818"/>
      <c r="N503" s="41"/>
      <c r="O503" s="41"/>
      <c r="X503" s="817"/>
      <c r="Y503" s="1100"/>
      <c r="Z503" s="1102"/>
    </row>
    <row r="504" spans="1:45" x14ac:dyDescent="0.35">
      <c r="A504" s="366">
        <v>6</v>
      </c>
      <c r="B504" s="737" t="s">
        <v>596</v>
      </c>
      <c r="C504" s="731" t="s">
        <v>275</v>
      </c>
      <c r="D504" s="731" t="s">
        <v>121</v>
      </c>
      <c r="E504" s="731"/>
      <c r="F504" s="731"/>
      <c r="G504" s="366" t="str">
        <f ca="1">G503</f>
        <v/>
      </c>
      <c r="H504" s="732" t="s">
        <v>3971</v>
      </c>
      <c r="I504" s="30"/>
      <c r="J504" s="4"/>
      <c r="K504" s="100"/>
      <c r="L504" s="815"/>
      <c r="M504" s="819"/>
      <c r="N504" s="41"/>
      <c r="O504" s="41"/>
      <c r="X504" s="817"/>
      <c r="Y504" s="1100"/>
      <c r="Z504" s="1102"/>
    </row>
    <row r="505" spans="1:45" x14ac:dyDescent="0.35">
      <c r="A505" s="366">
        <v>6</v>
      </c>
      <c r="B505" s="737" t="s">
        <v>596</v>
      </c>
      <c r="C505" s="731" t="s">
        <v>275</v>
      </c>
      <c r="D505" s="731" t="s">
        <v>122</v>
      </c>
      <c r="E505" s="731"/>
      <c r="F505" s="731"/>
      <c r="G505" s="366" t="str">
        <f ca="1">G504</f>
        <v/>
      </c>
      <c r="H505" s="732" t="s">
        <v>3971</v>
      </c>
      <c r="I505" s="30"/>
      <c r="J505" s="4"/>
      <c r="K505" s="47" t="s">
        <v>122</v>
      </c>
      <c r="L505" s="814" t="s">
        <v>615</v>
      </c>
      <c r="M505" s="818">
        <v>2</v>
      </c>
      <c r="N505" s="41"/>
      <c r="O505" s="41"/>
      <c r="X505" s="817"/>
      <c r="Y505" s="1100"/>
      <c r="Z505" s="1102"/>
      <c r="AL505" t="str">
        <f>SUBSTITUTE(SUBSTITUTE(SUBSTITUTE("vpa"&amp;$B505&amp;$C505&amp;$D505&amp;$E505,".","_"),"(","_"),")","")</f>
        <v>vpa602_1_9_5_b</v>
      </c>
      <c r="AM505">
        <f>M505</f>
        <v>2</v>
      </c>
    </row>
    <row r="506" spans="1:45" x14ac:dyDescent="0.35">
      <c r="A506" s="366">
        <v>6</v>
      </c>
      <c r="B506" s="737" t="s">
        <v>596</v>
      </c>
      <c r="C506" s="731" t="s">
        <v>275</v>
      </c>
      <c r="D506" s="731" t="s">
        <v>122</v>
      </c>
      <c r="E506" s="731"/>
      <c r="F506" s="731"/>
      <c r="G506" s="366" t="str">
        <f ca="1">G505</f>
        <v/>
      </c>
      <c r="H506" s="732" t="s">
        <v>3971</v>
      </c>
      <c r="I506" s="30"/>
      <c r="J506" s="133"/>
      <c r="K506" s="101"/>
      <c r="L506" s="815"/>
      <c r="M506" s="819"/>
      <c r="N506" s="546"/>
      <c r="O506" s="546"/>
      <c r="X506" s="817"/>
      <c r="Y506" s="1100"/>
      <c r="Z506" s="1102"/>
    </row>
    <row r="507" spans="1:45" x14ac:dyDescent="0.35">
      <c r="A507" s="366">
        <v>6</v>
      </c>
      <c r="B507" s="737" t="s">
        <v>596</v>
      </c>
      <c r="C507" s="731" t="s">
        <v>277</v>
      </c>
      <c r="D507" s="737"/>
      <c r="E507" s="731"/>
      <c r="F507" s="737"/>
      <c r="G507" s="366" t="str">
        <f>IF(N507&gt;0,"P","")</f>
        <v/>
      </c>
      <c r="H507" s="377" t="s">
        <v>3971</v>
      </c>
      <c r="I507" s="30"/>
      <c r="J507" s="132" t="s">
        <v>277</v>
      </c>
      <c r="K507" s="119"/>
      <c r="L507" s="836" t="s">
        <v>616</v>
      </c>
      <c r="M507" s="822">
        <v>2</v>
      </c>
      <c r="N507" s="963">
        <f>'Ch6'!O189</f>
        <v>0</v>
      </c>
      <c r="O507" s="963">
        <f>M507*S507*W507</f>
        <v>0</v>
      </c>
      <c r="P507" t="b">
        <v>1</v>
      </c>
      <c r="Q507" t="b">
        <v>0</v>
      </c>
      <c r="R507" t="b">
        <v>0</v>
      </c>
      <c r="S507" t="b">
        <v>1</v>
      </c>
      <c r="T507" t="b">
        <v>0</v>
      </c>
      <c r="W507" s="17"/>
      <c r="X507" s="817"/>
      <c r="Y507" s="1100" t="str">
        <f>IF(LEN('Ch6'!X189)=0,"None",'Ch6'!X189)</f>
        <v>None</v>
      </c>
      <c r="Z507" s="1102"/>
      <c r="AL507" t="str">
        <f>SUBSTITUTE(SUBSTITUTE(SUBSTITUTE("vpa"&amp;$B507&amp;$C507&amp;$D507&amp;$E507,".","_"),"(","_"),")","")</f>
        <v>vpa602_1_9_6</v>
      </c>
      <c r="AM507">
        <f>M507</f>
        <v>2</v>
      </c>
      <c r="AN507" t="str">
        <f>SUBSTITUTE(SUBSTITUTE(SUBSTITUTE("vpc"&amp;$B507&amp;$C507&amp;$D507&amp;$E507,".","_"),"(","_"),")","")</f>
        <v>vpc602_1_9_6</v>
      </c>
      <c r="AO507">
        <f>O507</f>
        <v>0</v>
      </c>
      <c r="AP507" t="str">
        <f>SUBSTITUTE(SUBSTITUTE(SUBSTITUTE("vch"&amp;$B507&amp;$C507&amp;$D507&amp;$E507,".","_"),"(","_"),")","")</f>
        <v>vch602_1_9_6</v>
      </c>
      <c r="AQ507" t="str">
        <f>IF(LEN(W507)=0,"",W507)</f>
        <v/>
      </c>
      <c r="AR507" t="str">
        <f>SUBSTITUTE(SUBSTITUTE(SUBSTITUTE("vnt"&amp;$B507&amp;$C507&amp;$D507&amp;$E507,".","_"),"(","_"),")","")</f>
        <v>vnt602_1_9_6</v>
      </c>
      <c r="AS507" t="str">
        <f>IF(LEN(X507)=0,"",X507)</f>
        <v/>
      </c>
    </row>
    <row r="508" spans="1:45" x14ac:dyDescent="0.35">
      <c r="A508" s="366">
        <v>6</v>
      </c>
      <c r="B508" s="737" t="s">
        <v>596</v>
      </c>
      <c r="C508" s="731" t="s">
        <v>277</v>
      </c>
      <c r="D508" s="737"/>
      <c r="E508" s="731"/>
      <c r="F508" s="737"/>
      <c r="G508" s="366" t="str">
        <f>G507</f>
        <v/>
      </c>
      <c r="H508" s="377" t="s">
        <v>3971</v>
      </c>
      <c r="I508" s="30"/>
      <c r="J508" s="133"/>
      <c r="K508" s="101"/>
      <c r="L508" s="815"/>
      <c r="M508" s="819"/>
      <c r="N508" s="835"/>
      <c r="O508" s="835"/>
      <c r="X508" s="817"/>
      <c r="Y508" s="1100"/>
      <c r="Z508" s="1102"/>
    </row>
    <row r="509" spans="1:45" ht="15" thickBot="1" x14ac:dyDescent="0.4">
      <c r="A509" s="366">
        <v>6</v>
      </c>
      <c r="B509" s="737" t="s">
        <v>596</v>
      </c>
      <c r="C509" s="731" t="s">
        <v>383</v>
      </c>
      <c r="D509" s="739"/>
      <c r="E509" s="731"/>
      <c r="F509" s="739"/>
      <c r="G509" s="366" t="str">
        <f>IF(N509&gt;0,"P","")</f>
        <v/>
      </c>
      <c r="H509" s="377" t="s">
        <v>3971</v>
      </c>
      <c r="I509" s="30"/>
      <c r="J509" s="19" t="s">
        <v>383</v>
      </c>
      <c r="K509" s="43"/>
      <c r="L509" s="90" t="s">
        <v>617</v>
      </c>
      <c r="M509" s="40">
        <v>2</v>
      </c>
      <c r="N509" s="41">
        <f>'Ch6'!O191</f>
        <v>0</v>
      </c>
      <c r="O509" s="41">
        <f>M509*S509*W509</f>
        <v>0</v>
      </c>
      <c r="P509" t="b">
        <v>1</v>
      </c>
      <c r="Q509" t="b">
        <v>0</v>
      </c>
      <c r="R509" t="b">
        <v>0</v>
      </c>
      <c r="S509" t="b">
        <v>1</v>
      </c>
      <c r="T509" t="b">
        <v>0</v>
      </c>
      <c r="W509" s="17"/>
      <c r="X509" s="96"/>
      <c r="Y509" s="397" t="str">
        <f>IF(LEN('Ch6'!X191)=0,"None",'Ch6'!X191)</f>
        <v>None</v>
      </c>
      <c r="Z509" s="658"/>
      <c r="AL509" t="str">
        <f>SUBSTITUTE(SUBSTITUTE(SUBSTITUTE("vpa"&amp;$B509&amp;$C509&amp;$D509&amp;$E509,".","_"),"(","_"),")","")</f>
        <v>vpa602_1_9_7</v>
      </c>
      <c r="AM509">
        <f>M509</f>
        <v>2</v>
      </c>
      <c r="AN509" t="str">
        <f>SUBSTITUTE(SUBSTITUTE(SUBSTITUTE("vpc"&amp;$B509&amp;$C509&amp;$D509&amp;$E509,".","_"),"(","_"),")","")</f>
        <v>vpc602_1_9_7</v>
      </c>
      <c r="AO509">
        <f>O509</f>
        <v>0</v>
      </c>
      <c r="AP509" t="str">
        <f>SUBSTITUTE(SUBSTITUTE(SUBSTITUTE("vch"&amp;$B509&amp;$C509&amp;$D509&amp;$E509,".","_"),"(","_"),")","")</f>
        <v>vch602_1_9_7</v>
      </c>
      <c r="AQ509" t="str">
        <f>IF(LEN(W509)=0,"",W509)</f>
        <v/>
      </c>
      <c r="AR509" t="str">
        <f>SUBSTITUTE(SUBSTITUTE(SUBSTITUTE("vnt"&amp;$B509&amp;$C509&amp;$D509&amp;$E509,".","_"),"(","_"),")","")</f>
        <v>vnt602_1_9_7</v>
      </c>
      <c r="AS509" t="str">
        <f>IF(LEN(X509)=0,"",X509)</f>
        <v/>
      </c>
    </row>
    <row r="510" spans="1:45" ht="15.75" customHeight="1" thickTop="1" x14ac:dyDescent="0.35">
      <c r="A510" s="366">
        <v>6</v>
      </c>
      <c r="B510" s="738" t="s">
        <v>618</v>
      </c>
      <c r="C510" s="740"/>
      <c r="D510" s="731"/>
      <c r="E510" s="731"/>
      <c r="F510" s="731"/>
      <c r="G510" s="366" t="str">
        <f ca="1">IF(N510&gt;0,"P","")</f>
        <v>P</v>
      </c>
      <c r="H510" s="366" t="s">
        <v>3970</v>
      </c>
      <c r="I510" s="106" t="s">
        <v>619</v>
      </c>
      <c r="J510" s="107"/>
      <c r="K510" s="108"/>
      <c r="L510" s="837" t="s">
        <v>5584</v>
      </c>
      <c r="M510" s="907" t="s">
        <v>737</v>
      </c>
      <c r="N510" s="959">
        <f ca="1">'Ch6'!O192</f>
        <v>2</v>
      </c>
      <c r="O510" s="959">
        <f ca="1">IFERROR(INDEX({2,4,6},MATCH(W511,INDIRECT(U511),0)),0)</f>
        <v>0</v>
      </c>
      <c r="P510" s="59"/>
      <c r="Q510" s="59"/>
      <c r="R510" s="59"/>
      <c r="S510" s="59"/>
      <c r="T510" s="59"/>
      <c r="U510" s="59"/>
      <c r="V510" s="59"/>
      <c r="W510" s="59"/>
      <c r="X510" s="59"/>
      <c r="AA510" s="350" t="str">
        <f>IF(LEN('Photo Review'!I509)&gt;0,'Photo Review'!I509,"")</f>
        <v/>
      </c>
      <c r="AL510" t="str">
        <f>SUBSTITUTE(SUBSTITUTE(SUBSTITUTE("vpa"&amp;$B510&amp;$C510&amp;$D510&amp;$E510,".","_"),"(","_"),")","")</f>
        <v>vpa602_1_10</v>
      </c>
      <c r="AM510" t="str">
        <f>M510</f>
        <v>2 per exterior door
6 Max</v>
      </c>
      <c r="AN510" t="str">
        <f>SUBSTITUTE(SUBSTITUTE(SUBSTITUTE("vpc"&amp;$B510&amp;$C510&amp;$D510&amp;$E510,".","_"),"(","_"),")","")</f>
        <v>vpc602_1_10</v>
      </c>
      <c r="AO510">
        <f ca="1">O510</f>
        <v>0</v>
      </c>
    </row>
    <row r="511" spans="1:45" x14ac:dyDescent="0.35">
      <c r="A511" s="366">
        <v>6</v>
      </c>
      <c r="B511" s="738" t="s">
        <v>618</v>
      </c>
      <c r="C511" s="740"/>
      <c r="D511" s="731"/>
      <c r="E511" s="731"/>
      <c r="F511" s="731"/>
      <c r="G511" s="366" t="str">
        <f t="shared" ref="G511:G522" ca="1" si="33">G510</f>
        <v>P</v>
      </c>
      <c r="H511" s="366" t="s">
        <v>3970</v>
      </c>
      <c r="I511" s="30"/>
      <c r="J511" s="4"/>
      <c r="K511" s="43"/>
      <c r="L511" s="838"/>
      <c r="M511" s="891"/>
      <c r="N511" s="834"/>
      <c r="O511" s="834"/>
      <c r="P511" t="b">
        <v>1</v>
      </c>
      <c r="Q511" t="b">
        <v>1</v>
      </c>
      <c r="R511" t="b">
        <v>0</v>
      </c>
      <c r="S511" t="b">
        <v>1</v>
      </c>
      <c r="T511" t="b">
        <v>0</v>
      </c>
      <c r="U511" t="str">
        <f>SUBSTITUTE(SUBSTITUTE(SUBSTITUTE("dd"&amp;B511&amp;C511&amp;D511&amp;E511&amp;F511,".","_"),"(","_"),")","")</f>
        <v>dd602_1_10</v>
      </c>
      <c r="W511" s="9"/>
      <c r="X511" s="817"/>
      <c r="Y511" s="1100" t="str">
        <f>IF(LEN('Ch6'!X193)=0,"None",'Ch6'!X193)</f>
        <v>None</v>
      </c>
      <c r="Z511" s="1102"/>
      <c r="AP511" t="str">
        <f>SUBSTITUTE(SUBSTITUTE(SUBSTITUTE("vch"&amp;$B511&amp;$C511&amp;$D511&amp;$E511,".","_"),"(","_"),")","")</f>
        <v>vch602_1_10</v>
      </c>
      <c r="AQ511" t="str">
        <f>IF(LEN(W511)=0,"",W511)</f>
        <v/>
      </c>
      <c r="AR511" t="str">
        <f>SUBSTITUTE(SUBSTITUTE(SUBSTITUTE("vnt"&amp;$B511&amp;$C511&amp;$D511&amp;$E511,".","_"),"(","_"),")","")</f>
        <v>vnt602_1_10</v>
      </c>
      <c r="AS511" t="str">
        <f>IF(LEN(X511)=0,"",X511)</f>
        <v/>
      </c>
    </row>
    <row r="512" spans="1:45" x14ac:dyDescent="0.35">
      <c r="A512" s="366">
        <v>6</v>
      </c>
      <c r="B512" s="738" t="s">
        <v>618</v>
      </c>
      <c r="C512" s="740"/>
      <c r="D512" s="731"/>
      <c r="E512" s="731"/>
      <c r="F512" s="731"/>
      <c r="G512" s="366" t="str">
        <f t="shared" ca="1" si="33"/>
        <v>P</v>
      </c>
      <c r="H512" s="366" t="s">
        <v>3970</v>
      </c>
      <c r="I512" s="30"/>
      <c r="J512" s="4"/>
      <c r="K512" s="43"/>
      <c r="L512" s="838"/>
      <c r="M512" s="891"/>
      <c r="N512" s="834"/>
      <c r="O512" s="834"/>
      <c r="X512" s="817"/>
      <c r="Y512" s="1100"/>
      <c r="Z512" s="1102"/>
    </row>
    <row r="513" spans="1:45" x14ac:dyDescent="0.35">
      <c r="A513" s="366">
        <v>6</v>
      </c>
      <c r="B513" s="738" t="s">
        <v>618</v>
      </c>
      <c r="C513" s="740"/>
      <c r="D513" s="731"/>
      <c r="E513" s="731"/>
      <c r="F513" s="731"/>
      <c r="G513" s="366" t="str">
        <f t="shared" ca="1" si="33"/>
        <v>P</v>
      </c>
      <c r="H513" s="366" t="s">
        <v>3970</v>
      </c>
      <c r="I513" s="30"/>
      <c r="J513" s="4"/>
      <c r="K513" s="43"/>
      <c r="L513" s="838"/>
      <c r="M513" s="891"/>
      <c r="N513" s="834"/>
      <c r="O513" s="834"/>
      <c r="X513" s="817"/>
      <c r="Y513" s="1100"/>
      <c r="Z513" s="1102"/>
    </row>
    <row r="514" spans="1:45" x14ac:dyDescent="0.35">
      <c r="A514" s="366">
        <v>6</v>
      </c>
      <c r="B514" s="738" t="s">
        <v>618</v>
      </c>
      <c r="C514" s="740"/>
      <c r="D514" s="731"/>
      <c r="E514" s="731"/>
      <c r="F514" s="731"/>
      <c r="G514" s="366" t="str">
        <f t="shared" ca="1" si="33"/>
        <v>P</v>
      </c>
      <c r="H514" s="366" t="s">
        <v>3970</v>
      </c>
      <c r="I514" s="30"/>
      <c r="J514" s="4"/>
      <c r="K514" s="43"/>
      <c r="L514" s="838"/>
      <c r="M514" s="891"/>
      <c r="N514" s="834"/>
      <c r="O514" s="834"/>
      <c r="X514" s="817"/>
      <c r="Y514" s="1100"/>
      <c r="Z514" s="1102"/>
    </row>
    <row r="515" spans="1:45" x14ac:dyDescent="0.35">
      <c r="A515" s="366">
        <v>6</v>
      </c>
      <c r="B515" s="738" t="s">
        <v>618</v>
      </c>
      <c r="C515" s="740"/>
      <c r="D515" s="731"/>
      <c r="E515" s="731"/>
      <c r="F515" s="731"/>
      <c r="G515" s="366" t="str">
        <f t="shared" ca="1" si="33"/>
        <v>P</v>
      </c>
      <c r="H515" s="366" t="s">
        <v>3970</v>
      </c>
      <c r="I515" s="30"/>
      <c r="J515" s="4"/>
      <c r="K515" s="43"/>
      <c r="L515" s="838"/>
      <c r="M515" s="891"/>
      <c r="N515" s="834"/>
      <c r="O515" s="834"/>
      <c r="X515" s="817"/>
      <c r="Y515" s="1100"/>
      <c r="Z515" s="1102"/>
    </row>
    <row r="516" spans="1:45" x14ac:dyDescent="0.35">
      <c r="A516" s="366">
        <v>6</v>
      </c>
      <c r="B516" s="738" t="s">
        <v>618</v>
      </c>
      <c r="C516" s="740"/>
      <c r="D516" s="731"/>
      <c r="E516" s="731"/>
      <c r="F516" s="731"/>
      <c r="G516" s="366" t="str">
        <f t="shared" ca="1" si="33"/>
        <v>P</v>
      </c>
      <c r="H516" s="366" t="s">
        <v>3970</v>
      </c>
      <c r="I516" s="30"/>
      <c r="J516" s="4"/>
      <c r="K516" s="43"/>
      <c r="L516" s="218" t="str">
        <f>"This Project's Climate Zone: "&amp;BF334</f>
        <v>This Project's Climate Zone: !!</v>
      </c>
      <c r="M516" s="891"/>
      <c r="N516" s="834"/>
      <c r="O516" s="834"/>
      <c r="X516" s="817"/>
      <c r="Y516" s="1100"/>
      <c r="Z516" s="1102"/>
    </row>
    <row r="517" spans="1:45" x14ac:dyDescent="0.35">
      <c r="A517" s="366">
        <v>6</v>
      </c>
      <c r="B517" s="738" t="s">
        <v>618</v>
      </c>
      <c r="C517" s="740"/>
      <c r="D517" s="731" t="s">
        <v>121</v>
      </c>
      <c r="E517" s="731"/>
      <c r="F517" s="731"/>
      <c r="G517" s="366" t="str">
        <f t="shared" ca="1" si="33"/>
        <v>P</v>
      </c>
      <c r="H517" s="732" t="s">
        <v>3970</v>
      </c>
      <c r="I517" s="30"/>
      <c r="J517" s="4"/>
      <c r="K517" s="47" t="s">
        <v>121</v>
      </c>
      <c r="L517" s="90" t="s">
        <v>620</v>
      </c>
      <c r="M517" s="891"/>
      <c r="N517" s="834"/>
      <c r="O517" s="834"/>
      <c r="X517" s="817"/>
      <c r="Y517" s="1100"/>
      <c r="Z517" s="1102"/>
    </row>
    <row r="518" spans="1:45" x14ac:dyDescent="0.35">
      <c r="A518" s="366">
        <v>6</v>
      </c>
      <c r="B518" s="738" t="s">
        <v>618</v>
      </c>
      <c r="C518" s="740"/>
      <c r="D518" s="731" t="s">
        <v>122</v>
      </c>
      <c r="E518" s="731"/>
      <c r="F518" s="731"/>
      <c r="G518" s="366" t="str">
        <f t="shared" ca="1" si="33"/>
        <v>P</v>
      </c>
      <c r="H518" s="732" t="s">
        <v>3970</v>
      </c>
      <c r="I518" s="30"/>
      <c r="J518" s="4"/>
      <c r="K518" s="47" t="s">
        <v>122</v>
      </c>
      <c r="L518" s="90" t="s">
        <v>621</v>
      </c>
      <c r="M518" s="891"/>
      <c r="N518" s="834"/>
      <c r="O518" s="834"/>
      <c r="X518" s="817"/>
      <c r="Y518" s="1100"/>
      <c r="Z518" s="1102"/>
    </row>
    <row r="519" spans="1:45" x14ac:dyDescent="0.35">
      <c r="A519" s="366">
        <v>6</v>
      </c>
      <c r="B519" s="738" t="s">
        <v>618</v>
      </c>
      <c r="C519" s="740"/>
      <c r="D519" s="731" t="s">
        <v>123</v>
      </c>
      <c r="E519" s="731"/>
      <c r="F519" s="731"/>
      <c r="G519" s="366" t="str">
        <f t="shared" ca="1" si="33"/>
        <v>P</v>
      </c>
      <c r="H519" s="732" t="s">
        <v>3970</v>
      </c>
      <c r="I519" s="30"/>
      <c r="J519" s="4"/>
      <c r="K519" s="49" t="s">
        <v>123</v>
      </c>
      <c r="L519" s="90" t="s">
        <v>622</v>
      </c>
      <c r="M519" s="891"/>
      <c r="N519" s="834"/>
      <c r="O519" s="834"/>
      <c r="X519" s="817"/>
      <c r="Y519" s="1100"/>
      <c r="Z519" s="1102"/>
    </row>
    <row r="520" spans="1:45" x14ac:dyDescent="0.35">
      <c r="A520" s="366">
        <v>6</v>
      </c>
      <c r="B520" s="738" t="s">
        <v>618</v>
      </c>
      <c r="C520" s="740"/>
      <c r="D520" s="731" t="s">
        <v>401</v>
      </c>
      <c r="E520" s="731"/>
      <c r="F520" s="731"/>
      <c r="G520" s="366" t="str">
        <f t="shared" ca="1" si="33"/>
        <v>P</v>
      </c>
      <c r="H520" s="732" t="s">
        <v>3970</v>
      </c>
      <c r="I520" s="30"/>
      <c r="J520" s="4"/>
      <c r="K520" s="45" t="s">
        <v>401</v>
      </c>
      <c r="L520" s="90" t="s">
        <v>623</v>
      </c>
      <c r="M520" s="891"/>
      <c r="N520" s="834"/>
      <c r="O520" s="834"/>
      <c r="X520" s="817"/>
      <c r="Y520" s="1100"/>
      <c r="Z520" s="1102"/>
    </row>
    <row r="521" spans="1:45" x14ac:dyDescent="0.35">
      <c r="A521" s="366">
        <v>6</v>
      </c>
      <c r="B521" s="738" t="s">
        <v>618</v>
      </c>
      <c r="C521" s="740"/>
      <c r="D521" s="731"/>
      <c r="E521" s="731"/>
      <c r="F521" s="731"/>
      <c r="G521" s="366" t="str">
        <f t="shared" ca="1" si="33"/>
        <v>P</v>
      </c>
      <c r="H521" s="732" t="s">
        <v>3970</v>
      </c>
      <c r="I521" s="30"/>
      <c r="J521" s="4"/>
      <c r="K521" s="45"/>
      <c r="L521" s="855" t="s">
        <v>3050</v>
      </c>
      <c r="M521" s="891"/>
      <c r="N521" s="834"/>
      <c r="O521" s="834"/>
      <c r="X521" s="817"/>
      <c r="Y521" s="1100"/>
      <c r="Z521" s="1102"/>
    </row>
    <row r="522" spans="1:45" ht="15" thickBot="1" x14ac:dyDescent="0.4">
      <c r="A522" s="366">
        <v>6</v>
      </c>
      <c r="B522" s="738" t="s">
        <v>618</v>
      </c>
      <c r="C522" s="740"/>
      <c r="D522" s="731"/>
      <c r="E522" s="731"/>
      <c r="F522" s="731"/>
      <c r="G522" s="366" t="str">
        <f t="shared" ca="1" si="33"/>
        <v>P</v>
      </c>
      <c r="H522" s="732" t="s">
        <v>3970</v>
      </c>
      <c r="I522" s="30"/>
      <c r="J522" s="4"/>
      <c r="K522" s="45"/>
      <c r="L522" s="893"/>
      <c r="M522" s="891"/>
      <c r="N522" s="863"/>
      <c r="O522" s="834"/>
      <c r="W522" s="64"/>
      <c r="X522" s="850"/>
      <c r="Y522" s="1101"/>
      <c r="Z522" s="1104"/>
    </row>
    <row r="523" spans="1:45" ht="15" thickTop="1" x14ac:dyDescent="0.35">
      <c r="A523" s="366">
        <v>6</v>
      </c>
      <c r="B523" s="738" t="s">
        <v>624</v>
      </c>
      <c r="C523" s="740"/>
      <c r="D523" s="731"/>
      <c r="E523" s="731"/>
      <c r="F523" s="731"/>
      <c r="G523" s="366" t="s">
        <v>3973</v>
      </c>
      <c r="H523" s="366" t="s">
        <v>3970</v>
      </c>
      <c r="I523" s="106" t="s">
        <v>625</v>
      </c>
      <c r="J523" s="107"/>
      <c r="K523" s="108"/>
      <c r="L523" s="837" t="s">
        <v>626</v>
      </c>
      <c r="M523" s="899" t="str">
        <f>IF(R523,"Mandatory","N/A")</f>
        <v>Mandatory</v>
      </c>
      <c r="N523" s="545"/>
      <c r="O523" s="545"/>
      <c r="P523" s="59" t="b">
        <v>1</v>
      </c>
      <c r="Q523" s="59" t="b">
        <v>1</v>
      </c>
      <c r="R523" s="59" t="b">
        <f>S523</f>
        <v>1</v>
      </c>
      <c r="S523" s="59" t="b">
        <v>1</v>
      </c>
      <c r="T523" s="59" t="b">
        <v>0</v>
      </c>
      <c r="U523" s="59" t="str">
        <f>SUBSTITUTE(SUBSTITUTE(SUBSTITUTE("dd"&amp;B523&amp;C523&amp;D523&amp;E523&amp;F523,".","_"),"(","_"),")","")</f>
        <v>dd602_1_11</v>
      </c>
      <c r="V523" s="59"/>
      <c r="W523" s="9"/>
      <c r="X523" s="840"/>
      <c r="Y523" s="1117" t="str">
        <f>IF(LEN('Ch6'!X205)=0,"None",'Ch6'!X205)</f>
        <v>Hardie® Backer Cement Boards with MoldBLock® Technology</v>
      </c>
      <c r="Z523" s="1103"/>
      <c r="AC523" t="b">
        <f>OR(AD523:AE523)</f>
        <v>1</v>
      </c>
      <c r="AD523" t="b">
        <v>0</v>
      </c>
      <c r="AE523" t="b">
        <f>AND(R523,NOT(W523="Met"),NOT(W523="N/A"))</f>
        <v>1</v>
      </c>
      <c r="AL523" t="str">
        <f>SUBSTITUTE(SUBSTITUTE(SUBSTITUTE("vpa"&amp;$B523&amp;$C523&amp;$D523&amp;$E523,".","_"),"(","_"),")","")</f>
        <v>vpa602_1_11</v>
      </c>
      <c r="AM523" t="str">
        <f>M523</f>
        <v>Mandatory</v>
      </c>
      <c r="AP523" t="str">
        <f>SUBSTITUTE(SUBSTITUTE(SUBSTITUTE("vch"&amp;$B523&amp;$C523&amp;$D523&amp;$E523,".","_"),"(","_"),")","")</f>
        <v>vch602_1_11</v>
      </c>
      <c r="AQ523" t="str">
        <f>IF(LEN(W523)=0,"",W523)</f>
        <v/>
      </c>
      <c r="AR523" t="str">
        <f>SUBSTITUTE(SUBSTITUTE(SUBSTITUTE("vnt"&amp;$B523&amp;$C523&amp;$D523&amp;$E523,".","_"),"(","_"),")","")</f>
        <v>vnt602_1_11</v>
      </c>
      <c r="AS523" t="str">
        <f>IF(LEN(X523)=0,"",X523)</f>
        <v/>
      </c>
    </row>
    <row r="524" spans="1:45" ht="15" thickBot="1" x14ac:dyDescent="0.4">
      <c r="A524" s="366">
        <v>6</v>
      </c>
      <c r="B524" s="738" t="s">
        <v>624</v>
      </c>
      <c r="C524" s="740"/>
      <c r="D524" s="731"/>
      <c r="E524" s="731"/>
      <c r="F524" s="731"/>
      <c r="G524" s="366" t="s">
        <v>3973</v>
      </c>
      <c r="H524" s="366" t="s">
        <v>3970</v>
      </c>
      <c r="I524" s="30"/>
      <c r="J524" s="4"/>
      <c r="K524" s="43"/>
      <c r="L524" s="838"/>
      <c r="M524" s="885"/>
      <c r="N524" s="41"/>
      <c r="O524" s="41"/>
      <c r="W524" s="168"/>
      <c r="X524" s="850"/>
      <c r="Y524" s="1101"/>
      <c r="Z524" s="1104"/>
    </row>
    <row r="525" spans="1:45" ht="15" thickTop="1" x14ac:dyDescent="0.35">
      <c r="A525" s="366">
        <v>6</v>
      </c>
      <c r="B525" s="738" t="s">
        <v>627</v>
      </c>
      <c r="C525" s="740"/>
      <c r="D525" s="731"/>
      <c r="E525" s="731"/>
      <c r="F525" s="731"/>
      <c r="G525" s="366" t="str">
        <f ca="1">IF(N525&gt;0,"P","")</f>
        <v>P</v>
      </c>
      <c r="H525" s="366" t="s">
        <v>3971</v>
      </c>
      <c r="I525" s="106" t="s">
        <v>627</v>
      </c>
      <c r="J525" s="107"/>
      <c r="K525" s="108"/>
      <c r="L525" s="837" t="s">
        <v>628</v>
      </c>
      <c r="M525" s="830">
        <v>4</v>
      </c>
      <c r="N525" s="959">
        <f ca="1">'Ch6'!O207</f>
        <v>4</v>
      </c>
      <c r="O525" s="959">
        <f ca="1">M525*S525*W525</f>
        <v>0</v>
      </c>
      <c r="P525" t="b">
        <v>1</v>
      </c>
      <c r="Q525" t="b">
        <v>0</v>
      </c>
      <c r="R525" s="59" t="b">
        <v>0</v>
      </c>
      <c r="S525" s="59" t="b">
        <f ca="1">OR(W376="no stacked stories",W376=INDEX(INDIRECT(U376),1))</f>
        <v>1</v>
      </c>
      <c r="T525" s="59" t="b">
        <f ca="1">IF(AND(NOT(S525),W525=TRUE),TRUE,FALSE)</f>
        <v>0</v>
      </c>
      <c r="U525" s="59"/>
      <c r="V525" s="59"/>
      <c r="W525" s="17"/>
      <c r="X525" s="840"/>
      <c r="Y525" s="1117" t="str">
        <f>IF(LEN('Ch6'!X207)=0,"None",'Ch6'!X207)</f>
        <v>None</v>
      </c>
      <c r="Z525" s="1103"/>
      <c r="AA525" s="350" t="str">
        <f>IF(LEN('Photo Review'!I524)&gt;0,'Photo Review'!I524,"")</f>
        <v/>
      </c>
      <c r="AC525" t="b">
        <f ca="1">OR(AD525:AE525)</f>
        <v>0</v>
      </c>
      <c r="AD525" t="b">
        <f ca="1">T525</f>
        <v>0</v>
      </c>
      <c r="AL525" t="str">
        <f>SUBSTITUTE(SUBSTITUTE(SUBSTITUTE("vpa"&amp;$B525&amp;$C525&amp;$D525&amp;$E525,".","_"),"(","_"),")","")</f>
        <v>vpa602_1_12</v>
      </c>
      <c r="AM525">
        <f>M525</f>
        <v>4</v>
      </c>
      <c r="AN525" t="str">
        <f>SUBSTITUTE(SUBSTITUTE(SUBSTITUTE("vpc"&amp;$B525&amp;$C525&amp;$D525&amp;$E525,".","_"),"(","_"),")","")</f>
        <v>vpc602_1_12</v>
      </c>
      <c r="AO525">
        <f ca="1">O525</f>
        <v>0</v>
      </c>
      <c r="AP525" t="str">
        <f>SUBSTITUTE(SUBSTITUTE(SUBSTITUTE("vch"&amp;$B525&amp;$C525&amp;$D525&amp;$E525,".","_"),"(","_"),")","")</f>
        <v>vch602_1_12</v>
      </c>
      <c r="AQ525" t="str">
        <f>IF(LEN(W525)=0,"",W525)</f>
        <v/>
      </c>
      <c r="AR525" t="str">
        <f>SUBSTITUTE(SUBSTITUTE(SUBSTITUTE("vnt"&amp;$B525&amp;$C525&amp;$D525&amp;$E525,".","_"),"(","_"),")","")</f>
        <v>vnt602_1_12</v>
      </c>
      <c r="AS525" t="str">
        <f>IF(LEN(X525)=0,"",X525)</f>
        <v/>
      </c>
    </row>
    <row r="526" spans="1:45" x14ac:dyDescent="0.35">
      <c r="A526" s="366">
        <v>6</v>
      </c>
      <c r="B526" s="738" t="s">
        <v>627</v>
      </c>
      <c r="C526" s="740"/>
      <c r="D526" s="731"/>
      <c r="E526" s="731"/>
      <c r="F526" s="731"/>
      <c r="G526" s="366" t="str">
        <f ca="1">G525</f>
        <v>P</v>
      </c>
      <c r="H526" s="366" t="s">
        <v>3971</v>
      </c>
      <c r="I526" s="30"/>
      <c r="J526" s="4"/>
      <c r="K526" s="43"/>
      <c r="L526" s="838"/>
      <c r="M526" s="818"/>
      <c r="N526" s="834"/>
      <c r="O526" s="834"/>
      <c r="X526" s="817"/>
      <c r="Y526" s="1100"/>
      <c r="Z526" s="1102"/>
    </row>
    <row r="527" spans="1:45" ht="15" thickBot="1" x14ac:dyDescent="0.4">
      <c r="A527" s="366">
        <v>6</v>
      </c>
      <c r="B527" s="738" t="s">
        <v>627</v>
      </c>
      <c r="C527" s="740"/>
      <c r="D527" s="731"/>
      <c r="E527" s="731"/>
      <c r="F527" s="731"/>
      <c r="G527" s="366" t="str">
        <f ca="1">G526</f>
        <v>P</v>
      </c>
      <c r="H527" s="366" t="s">
        <v>3971</v>
      </c>
      <c r="I527" s="30"/>
      <c r="J527" s="4"/>
      <c r="K527" s="43"/>
      <c r="L527" s="585" t="s">
        <v>3035</v>
      </c>
      <c r="M527" s="818"/>
      <c r="N527" s="863"/>
      <c r="O527" s="834"/>
      <c r="W527" s="64"/>
      <c r="X527" s="850"/>
      <c r="Y527" s="1101"/>
      <c r="Z527" s="1104"/>
    </row>
    <row r="528" spans="1:45" ht="15" thickTop="1" x14ac:dyDescent="0.35">
      <c r="A528" s="366">
        <v>6</v>
      </c>
      <c r="B528" s="737" t="s">
        <v>629</v>
      </c>
      <c r="C528" s="737"/>
      <c r="D528" s="731"/>
      <c r="E528" s="731"/>
      <c r="F528" s="731"/>
      <c r="G528" s="366" t="s">
        <v>3973</v>
      </c>
      <c r="H528" s="366" t="s">
        <v>3971</v>
      </c>
      <c r="I528" s="106" t="s">
        <v>630</v>
      </c>
      <c r="J528" s="107"/>
      <c r="K528" s="108"/>
      <c r="L528" s="837" t="s">
        <v>631</v>
      </c>
      <c r="M528" s="899" t="str">
        <f>IF(R528,"Mandatory","N/A")</f>
        <v>Mandatory</v>
      </c>
      <c r="N528" s="545"/>
      <c r="O528" s="545"/>
      <c r="P528" s="59" t="b">
        <v>1</v>
      </c>
      <c r="Q528" s="59" t="b">
        <v>0</v>
      </c>
      <c r="R528" s="59" t="b">
        <f>S528</f>
        <v>1</v>
      </c>
      <c r="S528" s="59" t="b">
        <v>1</v>
      </c>
      <c r="T528" s="59" t="b">
        <v>0</v>
      </c>
      <c r="U528" s="59" t="str">
        <f>SUBSTITUTE(SUBSTITUTE(SUBSTITUTE("dd"&amp;B528&amp;C528&amp;D528&amp;E528&amp;F528,".","_"),"(","_"),")","")</f>
        <v>dd602_1_13</v>
      </c>
      <c r="V528" s="59"/>
      <c r="W528" s="9"/>
      <c r="X528" s="840"/>
      <c r="Y528" s="1117" t="str">
        <f>IF(LEN('Ch6'!X210)=0,"None",'Ch6'!X210)</f>
        <v>None</v>
      </c>
      <c r="Z528" s="1103"/>
      <c r="AC528" t="b">
        <f>OR(AD528:AE528)</f>
        <v>1</v>
      </c>
      <c r="AD528" t="b">
        <v>0</v>
      </c>
      <c r="AE528" t="b">
        <f>AND(R528,NOT(W528="Met"),NOT(W528="N/A"))</f>
        <v>1</v>
      </c>
      <c r="AF528" t="b">
        <f>AND(AE528,NOT(Q528))</f>
        <v>1</v>
      </c>
      <c r="AL528" t="str">
        <f>SUBSTITUTE(SUBSTITUTE(SUBSTITUTE("vpa"&amp;$B528&amp;$C528&amp;$D528&amp;$E528,".","_"),"(","_"),")","")</f>
        <v>vpa602_1_13</v>
      </c>
      <c r="AM528" t="str">
        <f>M528</f>
        <v>Mandatory</v>
      </c>
      <c r="AP528" t="str">
        <f>SUBSTITUTE(SUBSTITUTE(SUBSTITUTE("vch"&amp;$B528&amp;$C528&amp;$D528&amp;$E528,".","_"),"(","_"),")","")</f>
        <v>vch602_1_13</v>
      </c>
      <c r="AQ528" t="str">
        <f>IF(LEN(W528)=0,"",W528)</f>
        <v/>
      </c>
      <c r="AR528" t="str">
        <f>SUBSTITUTE(SUBSTITUTE(SUBSTITUTE("vnt"&amp;$B528&amp;$C528&amp;$D528&amp;$E528,".","_"),"(","_"),")","")</f>
        <v>vnt602_1_13</v>
      </c>
      <c r="AS528" t="str">
        <f>IF(LEN(X528)=0,"",X528)</f>
        <v/>
      </c>
    </row>
    <row r="529" spans="1:45" x14ac:dyDescent="0.35">
      <c r="A529" s="366">
        <v>6</v>
      </c>
      <c r="B529" s="737" t="s">
        <v>629</v>
      </c>
      <c r="C529" s="737"/>
      <c r="D529" s="731"/>
      <c r="E529" s="731"/>
      <c r="F529" s="731"/>
      <c r="G529" s="366" t="s">
        <v>3973</v>
      </c>
      <c r="H529" s="366" t="s">
        <v>3971</v>
      </c>
      <c r="I529" s="30"/>
      <c r="J529" s="4"/>
      <c r="K529" s="43"/>
      <c r="L529" s="838"/>
      <c r="M529" s="885"/>
      <c r="N529" s="41"/>
      <c r="O529" s="41"/>
      <c r="X529" s="817"/>
      <c r="Y529" s="1100"/>
      <c r="Z529" s="1102"/>
    </row>
    <row r="530" spans="1:45" x14ac:dyDescent="0.35">
      <c r="A530" s="366">
        <v>6</v>
      </c>
      <c r="B530" s="737" t="s">
        <v>629</v>
      </c>
      <c r="C530" s="737"/>
      <c r="D530" s="731"/>
      <c r="E530" s="731"/>
      <c r="F530" s="731"/>
      <c r="G530" s="366" t="s">
        <v>3973</v>
      </c>
      <c r="H530" s="366" t="s">
        <v>3971</v>
      </c>
      <c r="I530" s="30"/>
      <c r="J530" s="4"/>
      <c r="K530" s="43"/>
      <c r="L530" s="838"/>
      <c r="M530" s="885"/>
      <c r="N530" s="41"/>
      <c r="O530" s="41"/>
      <c r="X530" s="817"/>
      <c r="Y530" s="1100"/>
      <c r="Z530" s="1102"/>
    </row>
    <row r="531" spans="1:45" ht="15" thickBot="1" x14ac:dyDescent="0.4">
      <c r="A531" s="366">
        <v>6</v>
      </c>
      <c r="B531" s="737" t="s">
        <v>629</v>
      </c>
      <c r="C531" s="737"/>
      <c r="D531" s="731"/>
      <c r="E531" s="731"/>
      <c r="F531" s="731"/>
      <c r="G531" s="366" t="s">
        <v>3973</v>
      </c>
      <c r="H531" s="366" t="s">
        <v>3971</v>
      </c>
      <c r="I531" s="30"/>
      <c r="J531" s="4"/>
      <c r="K531" s="43"/>
      <c r="L531" s="838"/>
      <c r="M531" s="885"/>
      <c r="N531" s="41"/>
      <c r="O531" s="41"/>
      <c r="X531" s="850"/>
      <c r="Y531" s="1101"/>
      <c r="Z531" s="1104"/>
    </row>
    <row r="532" spans="1:45" ht="15" thickTop="1" x14ac:dyDescent="0.35">
      <c r="A532" s="366">
        <v>6</v>
      </c>
      <c r="B532" s="737" t="s">
        <v>632</v>
      </c>
      <c r="C532" s="737"/>
      <c r="D532" s="731"/>
      <c r="E532" s="731"/>
      <c r="F532" s="731"/>
      <c r="G532" s="366" t="s">
        <v>3973</v>
      </c>
      <c r="H532" s="366" t="s">
        <v>3970</v>
      </c>
      <c r="I532" s="106" t="s">
        <v>632</v>
      </c>
      <c r="J532" s="107"/>
      <c r="K532" s="108"/>
      <c r="L532" s="837" t="s">
        <v>633</v>
      </c>
      <c r="M532" s="267"/>
      <c r="N532" s="545"/>
      <c r="O532" s="545"/>
      <c r="P532" s="59"/>
      <c r="Q532" s="59"/>
      <c r="R532" s="59"/>
      <c r="S532" s="59"/>
      <c r="T532" s="59"/>
      <c r="U532" s="59"/>
      <c r="V532" s="59"/>
      <c r="W532" s="59"/>
      <c r="X532" s="59"/>
      <c r="AA532" s="350" t="str">
        <f>IF(LEN('Photo Review'!I531)&gt;0,'Photo Review'!I531,"")</f>
        <v/>
      </c>
    </row>
    <row r="533" spans="1:45" x14ac:dyDescent="0.35">
      <c r="A533" s="366">
        <v>6</v>
      </c>
      <c r="B533" s="737" t="s">
        <v>632</v>
      </c>
      <c r="C533" s="737"/>
      <c r="D533" s="731"/>
      <c r="E533" s="731"/>
      <c r="F533" s="731"/>
      <c r="G533" s="366" t="s">
        <v>3973</v>
      </c>
      <c r="H533" s="366" t="s">
        <v>3970</v>
      </c>
      <c r="I533" s="30"/>
      <c r="J533" s="4"/>
      <c r="K533" s="43"/>
      <c r="L533" s="838"/>
      <c r="M533" s="40"/>
      <c r="N533" s="41"/>
      <c r="O533" s="41"/>
    </row>
    <row r="534" spans="1:45" ht="15" customHeight="1" x14ac:dyDescent="0.35">
      <c r="A534" s="366">
        <v>6</v>
      </c>
      <c r="B534" s="737" t="s">
        <v>632</v>
      </c>
      <c r="C534" s="731" t="s">
        <v>256</v>
      </c>
      <c r="D534" s="731"/>
      <c r="E534" s="731"/>
      <c r="F534" s="731"/>
      <c r="G534" s="366" t="s">
        <v>3973</v>
      </c>
      <c r="H534" s="366" t="s">
        <v>3970</v>
      </c>
      <c r="I534" s="30"/>
      <c r="J534" s="19" t="s">
        <v>256</v>
      </c>
      <c r="K534" s="43"/>
      <c r="L534" s="814" t="s">
        <v>634</v>
      </c>
      <c r="M534" s="900" t="str">
        <f>IF(R534,"Mandatory
1","N/A")</f>
        <v>Mandatory
1</v>
      </c>
      <c r="N534" s="834">
        <f>'Ch6'!O216</f>
        <v>1</v>
      </c>
      <c r="O534" s="834">
        <f>IF(AND(S534,W534="Met"),1,0)</f>
        <v>0</v>
      </c>
      <c r="P534" t="b">
        <v>1</v>
      </c>
      <c r="Q534" t="b">
        <v>1</v>
      </c>
      <c r="R534" t="b">
        <f>S534</f>
        <v>1</v>
      </c>
      <c r="S534" t="b">
        <v>1</v>
      </c>
      <c r="T534" t="b">
        <v>0</v>
      </c>
      <c r="U534" t="str">
        <f>SUBSTITUTE(SUBSTITUTE(SUBSTITUTE("dd"&amp;B534&amp;C534&amp;D534&amp;E534&amp;F534,".","_"),"(","_"),")","")</f>
        <v>dd602_1_14_1</v>
      </c>
      <c r="W534" s="9"/>
      <c r="X534" s="817"/>
      <c r="Y534" s="1100" t="str">
        <f>IF(LEN('Ch6'!X216)=0,"None",'Ch6'!X216)</f>
        <v>None</v>
      </c>
      <c r="Z534" s="1102"/>
      <c r="AC534" t="b">
        <f>OR(AD534:AE534)</f>
        <v>1</v>
      </c>
      <c r="AD534" t="b">
        <v>0</v>
      </c>
      <c r="AE534" t="b">
        <f>AND(R534,NOT(W534="Met"),NOT(W534="N/A"))</f>
        <v>1</v>
      </c>
      <c r="AL534" t="str">
        <f>SUBSTITUTE(SUBSTITUTE(SUBSTITUTE("vpa"&amp;$B534&amp;$C534&amp;$D534&amp;$E534,".","_"),"(","_"),")","")</f>
        <v>vpa602_1_14_1</v>
      </c>
      <c r="AM534" t="str">
        <f>M534</f>
        <v>Mandatory
1</v>
      </c>
      <c r="AN534" t="str">
        <f>SUBSTITUTE(SUBSTITUTE(SUBSTITUTE("vpc"&amp;$B534&amp;$C534&amp;$D534&amp;$E534,".","_"),"(","_"),")","")</f>
        <v>vpc602_1_14_1</v>
      </c>
      <c r="AO534">
        <f>O534</f>
        <v>0</v>
      </c>
      <c r="AP534" t="str">
        <f>SUBSTITUTE(SUBSTITUTE(SUBSTITUTE("vch"&amp;$B534&amp;$C534&amp;$D534&amp;$E534,".","_"),"(","_"),")","")</f>
        <v>vch602_1_14_1</v>
      </c>
      <c r="AQ534" t="str">
        <f>IF(LEN(W534)=0,"",W534)</f>
        <v/>
      </c>
      <c r="AR534" t="str">
        <f>SUBSTITUTE(SUBSTITUTE(SUBSTITUTE("vnt"&amp;$B534&amp;$C534&amp;$D534&amp;$E534,".","_"),"(","_"),")","")</f>
        <v>vnt602_1_14_1</v>
      </c>
      <c r="AS534" t="str">
        <f>IF(LEN(X534)=0,"",X534)</f>
        <v/>
      </c>
    </row>
    <row r="535" spans="1:45" x14ac:dyDescent="0.35">
      <c r="A535" s="366">
        <v>6</v>
      </c>
      <c r="B535" s="737" t="s">
        <v>632</v>
      </c>
      <c r="C535" s="731" t="s">
        <v>256</v>
      </c>
      <c r="D535" s="731"/>
      <c r="E535" s="731"/>
      <c r="F535" s="731"/>
      <c r="G535" s="366" t="s">
        <v>3973</v>
      </c>
      <c r="H535" s="366" t="s">
        <v>3970</v>
      </c>
      <c r="I535" s="30"/>
      <c r="J535" s="133"/>
      <c r="K535" s="101"/>
      <c r="L535" s="815"/>
      <c r="M535" s="901"/>
      <c r="N535" s="835"/>
      <c r="O535" s="835"/>
      <c r="X535" s="817"/>
      <c r="Y535" s="1100"/>
      <c r="Z535" s="1102"/>
    </row>
    <row r="536" spans="1:45" x14ac:dyDescent="0.35">
      <c r="A536" s="366">
        <v>6</v>
      </c>
      <c r="B536" s="737" t="s">
        <v>632</v>
      </c>
      <c r="C536" s="731" t="s">
        <v>258</v>
      </c>
      <c r="D536" s="731"/>
      <c r="E536" s="731"/>
      <c r="F536" s="731"/>
      <c r="G536" s="366" t="str">
        <f>IF(N536&gt;0,"P","")</f>
        <v>P</v>
      </c>
      <c r="H536" s="366" t="s">
        <v>3970</v>
      </c>
      <c r="I536" s="30"/>
      <c r="J536" s="130" t="s">
        <v>258</v>
      </c>
      <c r="K536" s="131"/>
      <c r="L536" s="178" t="s">
        <v>635</v>
      </c>
      <c r="M536" s="278">
        <v>2</v>
      </c>
      <c r="N536" s="547">
        <f>'Ch6'!O218</f>
        <v>2</v>
      </c>
      <c r="O536" s="547">
        <f>M536*S536*W536</f>
        <v>0</v>
      </c>
      <c r="P536" t="b">
        <v>1</v>
      </c>
      <c r="Q536" t="b">
        <v>1</v>
      </c>
      <c r="R536" t="b">
        <v>0</v>
      </c>
      <c r="S536" t="b">
        <v>1</v>
      </c>
      <c r="T536" t="b">
        <v>0</v>
      </c>
      <c r="W536" s="17"/>
      <c r="X536" s="36"/>
      <c r="Y536" s="396" t="str">
        <f>IF(LEN('Ch6'!X218)=0,"None",'Ch6'!X218)</f>
        <v>None</v>
      </c>
      <c r="Z536" s="652"/>
      <c r="AL536" t="str">
        <f>SUBSTITUTE(SUBSTITUTE(SUBSTITUTE("vpa"&amp;$B536&amp;$C536&amp;$D536&amp;$E536,".","_"),"(","_"),")","")</f>
        <v>vpa602_1_14_2</v>
      </c>
      <c r="AM536">
        <f>M536</f>
        <v>2</v>
      </c>
      <c r="AN536" t="str">
        <f>SUBSTITUTE(SUBSTITUTE(SUBSTITUTE("vpc"&amp;$B536&amp;$C536&amp;$D536&amp;$E536,".","_"),"(","_"),")","")</f>
        <v>vpc602_1_14_2</v>
      </c>
      <c r="AO536">
        <f>O536</f>
        <v>0</v>
      </c>
      <c r="AP536" t="str">
        <f>SUBSTITUTE(SUBSTITUTE(SUBSTITUTE("vch"&amp;$B536&amp;$C536&amp;$D536&amp;$E536,".","_"),"(","_"),")","")</f>
        <v>vch602_1_14_2</v>
      </c>
      <c r="AQ536" t="str">
        <f>IF(LEN(W536)=0,"",W536)</f>
        <v/>
      </c>
      <c r="AR536" t="str">
        <f>SUBSTITUTE(SUBSTITUTE(SUBSTITUTE("vnt"&amp;$B536&amp;$C536&amp;$D536&amp;$E536,".","_"),"(","_"),")","")</f>
        <v>vnt602_1_14_2</v>
      </c>
      <c r="AS536" t="str">
        <f>IF(LEN(X536)=0,"",X536)</f>
        <v/>
      </c>
    </row>
    <row r="537" spans="1:45" ht="15" thickBot="1" x14ac:dyDescent="0.4">
      <c r="A537" s="366">
        <v>6</v>
      </c>
      <c r="B537" s="737" t="s">
        <v>632</v>
      </c>
      <c r="C537" s="731" t="s">
        <v>260</v>
      </c>
      <c r="D537" s="731"/>
      <c r="E537" s="731"/>
      <c r="F537" s="731"/>
      <c r="G537" s="366" t="str">
        <f>IF(N537&gt;0,"P","")</f>
        <v>P</v>
      </c>
      <c r="H537" s="366" t="s">
        <v>3970</v>
      </c>
      <c r="I537" s="30"/>
      <c r="J537" s="115" t="s">
        <v>260</v>
      </c>
      <c r="K537" s="53"/>
      <c r="L537" s="229" t="s">
        <v>636</v>
      </c>
      <c r="M537" s="270">
        <v>2</v>
      </c>
      <c r="N537" s="72">
        <f>'Ch6'!O219</f>
        <v>2</v>
      </c>
      <c r="O537" s="72">
        <f>M537*S537*W537</f>
        <v>0</v>
      </c>
      <c r="P537" s="55" t="b">
        <v>1</v>
      </c>
      <c r="Q537" s="55" t="b">
        <v>1</v>
      </c>
      <c r="R537" s="55" t="b">
        <v>0</v>
      </c>
      <c r="S537" s="55" t="b">
        <v>1</v>
      </c>
      <c r="T537" s="55" t="b">
        <v>0</v>
      </c>
      <c r="U537" s="55"/>
      <c r="V537" s="55"/>
      <c r="W537" s="56"/>
      <c r="X537" s="98"/>
      <c r="Y537" s="397" t="str">
        <f>IF(LEN('Ch6'!X219)=0,"None",'Ch6'!X219)</f>
        <v>None</v>
      </c>
      <c r="Z537" s="658"/>
      <c r="AL537" t="str">
        <f>SUBSTITUTE(SUBSTITUTE(SUBSTITUTE("vpa"&amp;$B537&amp;$C537&amp;$D537&amp;$E537,".","_"),"(","_"),")","")</f>
        <v>vpa602_1_14_3</v>
      </c>
      <c r="AM537">
        <f>M537</f>
        <v>2</v>
      </c>
      <c r="AN537" t="str">
        <f>SUBSTITUTE(SUBSTITUTE(SUBSTITUTE("vpc"&amp;$B537&amp;$C537&amp;$D537&amp;$E537,".","_"),"(","_"),")","")</f>
        <v>vpc602_1_14_3</v>
      </c>
      <c r="AO537">
        <f>O537</f>
        <v>0</v>
      </c>
      <c r="AP537" t="str">
        <f>SUBSTITUTE(SUBSTITUTE(SUBSTITUTE("vch"&amp;$B537&amp;$C537&amp;$D537&amp;$E537,".","_"),"(","_"),")","")</f>
        <v>vch602_1_14_3</v>
      </c>
      <c r="AQ537" t="str">
        <f>IF(LEN(W537)=0,"",W537)</f>
        <v/>
      </c>
      <c r="AR537" t="str">
        <f>SUBSTITUTE(SUBSTITUTE(SUBSTITUTE("vnt"&amp;$B537&amp;$C537&amp;$D537&amp;$E537,".","_"),"(","_"),")","")</f>
        <v>vnt602_1_14_3</v>
      </c>
      <c r="AS537" t="str">
        <f>IF(LEN(X537)=0,"",X537)</f>
        <v/>
      </c>
    </row>
    <row r="538" spans="1:45" ht="15" thickTop="1" x14ac:dyDescent="0.35">
      <c r="A538" s="366">
        <v>6</v>
      </c>
      <c r="B538" s="735" t="s">
        <v>4165</v>
      </c>
      <c r="G538" s="366" t="str">
        <f>IF(N538&gt;0,"P","")</f>
        <v/>
      </c>
      <c r="H538" s="366" t="s">
        <v>3972</v>
      </c>
      <c r="I538" s="106" t="s">
        <v>4165</v>
      </c>
      <c r="L538" s="884" t="s">
        <v>4166</v>
      </c>
      <c r="M538" s="818">
        <v>2</v>
      </c>
      <c r="N538" s="834">
        <f>'Ch6'!O220</f>
        <v>0</v>
      </c>
      <c r="O538" s="834">
        <f>M538*S538*W538</f>
        <v>0</v>
      </c>
      <c r="P538" t="b">
        <v>0</v>
      </c>
      <c r="Q538" t="b">
        <v>1</v>
      </c>
      <c r="R538" t="b">
        <v>0</v>
      </c>
      <c r="S538" t="b">
        <v>1</v>
      </c>
      <c r="T538" t="b">
        <v>0</v>
      </c>
      <c r="W538" s="17"/>
      <c r="X538" s="851"/>
      <c r="Y538" s="1141" t="str">
        <f>IF(LEN('Ch6'!X220)=0,"None",'Ch6'!X220)</f>
        <v>None</v>
      </c>
      <c r="Z538" s="1107"/>
      <c r="AC538" t="b">
        <f>OR(AD538:AE538)</f>
        <v>0</v>
      </c>
      <c r="AD538" t="b">
        <v>0</v>
      </c>
      <c r="AE538" t="b">
        <f>AND(W538=TRUE,LEN(X538)&lt;1)</f>
        <v>0</v>
      </c>
      <c r="AL538" t="str">
        <f>SUBSTITUTE(SUBSTITUTE(SUBSTITUTE("vpa"&amp;$B538&amp;$C538&amp;$D538&amp;$E538,".","_"),"(","_"),")","")</f>
        <v>vpa602_1_15</v>
      </c>
      <c r="AM538">
        <f>M538</f>
        <v>2</v>
      </c>
      <c r="AN538" t="str">
        <f>SUBSTITUTE(SUBSTITUTE(SUBSTITUTE("vpc"&amp;$B538&amp;$C538&amp;$D538&amp;$E538,".","_"),"(","_"),")","")</f>
        <v>vpc602_1_15</v>
      </c>
      <c r="AO538">
        <f>O538</f>
        <v>0</v>
      </c>
      <c r="AP538" t="str">
        <f>SUBSTITUTE(SUBSTITUTE(SUBSTITUTE("vch"&amp;$B538&amp;$C538&amp;$D538&amp;$E538,".","_"),"(","_"),")","")</f>
        <v>vch602_1_15</v>
      </c>
      <c r="AQ538" t="str">
        <f>IF(LEN(W538)=0,"",W538)</f>
        <v/>
      </c>
      <c r="AR538" t="str">
        <f>SUBSTITUTE(SUBSTITUTE(SUBSTITUTE("vnt"&amp;$B538&amp;$C538&amp;$D538&amp;$E538,".","_"),"(","_"),")","")</f>
        <v>vnt602_1_15</v>
      </c>
      <c r="AS538" t="str">
        <f>IF(LEN(X538)=0,"",X538)</f>
        <v/>
      </c>
    </row>
    <row r="539" spans="1:45" x14ac:dyDescent="0.35">
      <c r="A539" s="366">
        <v>6</v>
      </c>
      <c r="B539" s="735" t="s">
        <v>4165</v>
      </c>
      <c r="G539" s="366" t="str">
        <f>G538</f>
        <v/>
      </c>
      <c r="H539" s="366" t="s">
        <v>3972</v>
      </c>
      <c r="L539" s="884"/>
      <c r="M539" s="818"/>
      <c r="N539" s="834"/>
      <c r="O539" s="834"/>
      <c r="X539" s="851"/>
      <c r="Y539" s="1120"/>
      <c r="Z539" s="1109"/>
    </row>
    <row r="540" spans="1:45" ht="15" thickBot="1" x14ac:dyDescent="0.4">
      <c r="A540" s="366">
        <v>6</v>
      </c>
      <c r="B540" s="735" t="s">
        <v>4165</v>
      </c>
      <c r="G540" s="366" t="str">
        <f t="shared" ref="G540:G550" si="34">G539</f>
        <v/>
      </c>
      <c r="H540" s="366" t="s">
        <v>3972</v>
      </c>
      <c r="L540" s="531" t="s">
        <v>4167</v>
      </c>
      <c r="M540" s="827"/>
      <c r="N540" s="863"/>
      <c r="O540" s="863"/>
      <c r="X540" s="852"/>
      <c r="Y540" s="1121"/>
      <c r="Z540" s="1108"/>
    </row>
    <row r="541" spans="1:45" ht="15" thickTop="1" x14ac:dyDescent="0.35">
      <c r="A541" s="366">
        <v>6</v>
      </c>
      <c r="B541" s="737">
        <v>602.20000000000005</v>
      </c>
      <c r="C541" s="731"/>
      <c r="D541" s="731"/>
      <c r="E541" s="731"/>
      <c r="F541" s="731"/>
      <c r="G541" s="366" t="str">
        <f>IF(N541&gt;0,"P","")</f>
        <v/>
      </c>
      <c r="H541" s="366" t="s">
        <v>3970</v>
      </c>
      <c r="I541" s="106">
        <v>602.20000000000005</v>
      </c>
      <c r="J541" s="107"/>
      <c r="K541" s="108"/>
      <c r="L541" s="837" t="s">
        <v>637</v>
      </c>
      <c r="M541" s="830">
        <v>3</v>
      </c>
      <c r="N541" s="959">
        <f>'Ch6'!O223</f>
        <v>0</v>
      </c>
      <c r="O541" s="959">
        <f>IFERROR(OR(W545,W547,W548),0)*M541</f>
        <v>0</v>
      </c>
      <c r="P541" s="59"/>
      <c r="Q541" s="59"/>
      <c r="R541" s="59"/>
      <c r="S541" s="59"/>
      <c r="T541" s="59"/>
      <c r="U541" s="59"/>
      <c r="V541" s="59"/>
      <c r="W541" s="59"/>
      <c r="X541" s="59"/>
      <c r="AL541" t="str">
        <f>SUBSTITUTE(SUBSTITUTE(SUBSTITUTE("vpa"&amp;$B541&amp;$C541&amp;$D541&amp;$E541,".","_"),"(","_"),")","")</f>
        <v>vpa602_2</v>
      </c>
      <c r="AM541">
        <f>M541</f>
        <v>3</v>
      </c>
      <c r="AN541" t="str">
        <f>SUBSTITUTE(SUBSTITUTE(SUBSTITUTE("vpc"&amp;$B541&amp;$C541&amp;$D541&amp;$E541,".","_"),"(","_"),")","")</f>
        <v>vpc602_2</v>
      </c>
      <c r="AO541">
        <f>O541</f>
        <v>0</v>
      </c>
    </row>
    <row r="542" spans="1:45" x14ac:dyDescent="0.35">
      <c r="A542" s="366">
        <v>6</v>
      </c>
      <c r="B542" s="737">
        <v>602.20000000000005</v>
      </c>
      <c r="C542" s="731"/>
      <c r="D542" s="731"/>
      <c r="E542" s="731"/>
      <c r="F542" s="731"/>
      <c r="G542" s="366" t="str">
        <f t="shared" si="34"/>
        <v/>
      </c>
      <c r="H542" s="366" t="s">
        <v>3970</v>
      </c>
      <c r="I542" s="30"/>
      <c r="J542" s="4"/>
      <c r="K542" s="43"/>
      <c r="L542" s="838"/>
      <c r="M542" s="818"/>
      <c r="N542" s="834"/>
      <c r="O542" s="834"/>
    </row>
    <row r="543" spans="1:45" x14ac:dyDescent="0.35">
      <c r="A543" s="366">
        <v>6</v>
      </c>
      <c r="B543" s="737">
        <v>602.20000000000005</v>
      </c>
      <c r="C543" s="731"/>
      <c r="D543" s="731"/>
      <c r="E543" s="731"/>
      <c r="F543" s="731"/>
      <c r="G543" s="366" t="str">
        <f t="shared" si="34"/>
        <v/>
      </c>
      <c r="H543" s="366" t="s">
        <v>3970</v>
      </c>
      <c r="I543" s="30"/>
      <c r="J543" s="4"/>
      <c r="K543" s="43"/>
      <c r="L543" s="838"/>
      <c r="M543" s="818"/>
      <c r="N543" s="834"/>
      <c r="O543" s="834"/>
    </row>
    <row r="544" spans="1:45" x14ac:dyDescent="0.35">
      <c r="A544" s="366">
        <v>6</v>
      </c>
      <c r="B544" s="737">
        <v>602.20000000000005</v>
      </c>
      <c r="C544" s="731"/>
      <c r="D544" s="731"/>
      <c r="E544" s="731"/>
      <c r="F544" s="731"/>
      <c r="G544" s="366" t="str">
        <f t="shared" si="34"/>
        <v/>
      </c>
      <c r="H544" s="366" t="s">
        <v>3970</v>
      </c>
      <c r="I544" s="30"/>
      <c r="J544" s="4"/>
      <c r="K544" s="43"/>
      <c r="L544" s="838"/>
      <c r="M544" s="818"/>
      <c r="N544" s="834"/>
      <c r="O544" s="834"/>
    </row>
    <row r="545" spans="1:45" x14ac:dyDescent="0.35">
      <c r="A545" s="366">
        <v>6</v>
      </c>
      <c r="B545" s="737">
        <v>602.20000000000005</v>
      </c>
      <c r="C545" s="731" t="s">
        <v>256</v>
      </c>
      <c r="D545" s="731"/>
      <c r="E545" s="731"/>
      <c r="F545" s="731"/>
      <c r="G545" s="366" t="str">
        <f t="shared" si="34"/>
        <v/>
      </c>
      <c r="H545" s="366" t="s">
        <v>3970</v>
      </c>
      <c r="I545" s="30"/>
      <c r="J545" s="19" t="s">
        <v>256</v>
      </c>
      <c r="K545" s="43"/>
      <c r="L545" s="848" t="s">
        <v>638</v>
      </c>
      <c r="M545" s="40"/>
      <c r="N545" s="41"/>
      <c r="O545" s="41"/>
      <c r="P545" t="b">
        <v>1</v>
      </c>
      <c r="Q545" t="b">
        <v>1</v>
      </c>
      <c r="R545" t="b">
        <v>0</v>
      </c>
      <c r="S545" t="b">
        <v>1</v>
      </c>
      <c r="T545" t="b">
        <v>0</v>
      </c>
      <c r="W545" s="17"/>
      <c r="X545" s="817"/>
      <c r="Y545" s="1100" t="str">
        <f>IF(LEN('Ch6'!X227)=0,"None",'Ch6'!X227)</f>
        <v>None</v>
      </c>
      <c r="Z545" s="1112"/>
      <c r="AP545" t="str">
        <f>SUBSTITUTE(SUBSTITUTE(SUBSTITUTE("vch"&amp;$B545&amp;$C545&amp;$D545&amp;$E545,".","_"),"(","_"),")","")</f>
        <v>vch602_2_1</v>
      </c>
      <c r="AQ545" t="str">
        <f>IF(LEN(W545)=0,"",W545)</f>
        <v/>
      </c>
      <c r="AR545" t="str">
        <f>SUBSTITUTE(SUBSTITUTE(SUBSTITUTE("vnt"&amp;$B545&amp;$C545&amp;$D545&amp;$E545,".","_"),"(","_"),")","")</f>
        <v>vnt602_2_1</v>
      </c>
      <c r="AS545" t="str">
        <f>IF(LEN(X545)=0,"",X545)</f>
        <v/>
      </c>
    </row>
    <row r="546" spans="1:45" x14ac:dyDescent="0.35">
      <c r="A546" s="366">
        <v>6</v>
      </c>
      <c r="B546" s="737">
        <v>602.20000000000005</v>
      </c>
      <c r="C546" s="731" t="s">
        <v>256</v>
      </c>
      <c r="D546" s="731"/>
      <c r="E546" s="731"/>
      <c r="F546" s="731"/>
      <c r="G546" s="366" t="str">
        <f t="shared" si="34"/>
        <v/>
      </c>
      <c r="H546" s="366" t="s">
        <v>3970</v>
      </c>
      <c r="I546" s="30"/>
      <c r="J546" s="129"/>
      <c r="K546" s="101"/>
      <c r="L546" s="821"/>
      <c r="M546" s="40"/>
      <c r="N546" s="41"/>
      <c r="O546" s="41"/>
      <c r="X546" s="817"/>
      <c r="Y546" s="1100"/>
      <c r="Z546" s="1112"/>
    </row>
    <row r="547" spans="1:45" x14ac:dyDescent="0.35">
      <c r="A547" s="366">
        <v>6</v>
      </c>
      <c r="B547" s="737">
        <v>602.20000000000005</v>
      </c>
      <c r="C547" s="731" t="s">
        <v>258</v>
      </c>
      <c r="D547" s="731"/>
      <c r="E547" s="731"/>
      <c r="F547" s="731"/>
      <c r="G547" s="366" t="str">
        <f t="shared" si="34"/>
        <v/>
      </c>
      <c r="H547" s="366" t="s">
        <v>3970</v>
      </c>
      <c r="I547" s="30"/>
      <c r="J547" s="130" t="s">
        <v>258</v>
      </c>
      <c r="K547" s="131"/>
      <c r="L547" s="178" t="s">
        <v>639</v>
      </c>
      <c r="M547" s="40"/>
      <c r="N547" s="41"/>
      <c r="O547" s="41"/>
      <c r="P547" t="b">
        <v>1</v>
      </c>
      <c r="Q547" t="b">
        <v>1</v>
      </c>
      <c r="R547" t="b">
        <v>0</v>
      </c>
      <c r="S547" t="b">
        <v>1</v>
      </c>
      <c r="T547" t="b">
        <v>0</v>
      </c>
      <c r="W547" s="17"/>
      <c r="X547" s="36"/>
      <c r="Y547" s="396" t="str">
        <f>IF(LEN('Ch6'!X229)=0,"None",'Ch6'!X229)</f>
        <v>None</v>
      </c>
      <c r="Z547" s="659"/>
      <c r="AA547" s="350" t="str">
        <f>IF(LEN('Photo Review'!I546)&gt;0,'Photo Review'!I546,"")</f>
        <v/>
      </c>
      <c r="AP547" t="str">
        <f>SUBSTITUTE(SUBSTITUTE(SUBSTITUTE("vch"&amp;$B547&amp;$C547&amp;$D547&amp;$E547,".","_"),"(","_"),")","")</f>
        <v>vch602_2_2</v>
      </c>
      <c r="AQ547" t="str">
        <f>IF(LEN(W547)=0,"",W547)</f>
        <v/>
      </c>
      <c r="AR547" t="str">
        <f>SUBSTITUTE(SUBSTITUTE(SUBSTITUTE("vnt"&amp;$B547&amp;$C547&amp;$D547&amp;$E547,".","_"),"(","_"),")","")</f>
        <v>vnt602_2_2</v>
      </c>
      <c r="AS547" t="str">
        <f>IF(LEN(X547)=0,"",X547)</f>
        <v/>
      </c>
    </row>
    <row r="548" spans="1:45" x14ac:dyDescent="0.35">
      <c r="A548" s="366">
        <v>6</v>
      </c>
      <c r="B548" s="737">
        <v>602.20000000000005</v>
      </c>
      <c r="C548" s="731" t="s">
        <v>260</v>
      </c>
      <c r="D548" s="731"/>
      <c r="E548" s="731"/>
      <c r="F548" s="731"/>
      <c r="G548" s="366" t="str">
        <f t="shared" si="34"/>
        <v/>
      </c>
      <c r="H548" s="366" t="s">
        <v>3970</v>
      </c>
      <c r="I548" s="30"/>
      <c r="J548" s="19" t="s">
        <v>260</v>
      </c>
      <c r="K548" s="43"/>
      <c r="L548" s="814" t="s">
        <v>640</v>
      </c>
      <c r="M548" s="40"/>
      <c r="N548" s="41"/>
      <c r="O548" s="41"/>
      <c r="P548" t="b">
        <v>1</v>
      </c>
      <c r="Q548" t="b">
        <v>1</v>
      </c>
      <c r="R548" t="b">
        <v>0</v>
      </c>
      <c r="S548" t="b">
        <v>1</v>
      </c>
      <c r="T548" t="b">
        <v>0</v>
      </c>
      <c r="W548" s="17"/>
      <c r="X548" s="817"/>
      <c r="Y548" s="1100" t="str">
        <f>IF(LEN('Ch6'!X230)=0,"None",'Ch6'!X230)</f>
        <v>None</v>
      </c>
      <c r="Z548" s="1112"/>
      <c r="AP548" t="str">
        <f>SUBSTITUTE(SUBSTITUTE(SUBSTITUTE("vch"&amp;$B548&amp;$C548&amp;$D548&amp;$E548,".","_"),"(","_"),")","")</f>
        <v>vch602_2_3</v>
      </c>
      <c r="AQ548" t="str">
        <f>IF(LEN(W548)=0,"",W548)</f>
        <v/>
      </c>
      <c r="AR548" t="str">
        <f>SUBSTITUTE(SUBSTITUTE(SUBSTITUTE("vnt"&amp;$B548&amp;$C548&amp;$D548&amp;$E548,".","_"),"(","_"),")","")</f>
        <v>vnt602_2_3</v>
      </c>
      <c r="AS548" t="str">
        <f>IF(LEN(X548)=0,"",X548)</f>
        <v/>
      </c>
    </row>
    <row r="549" spans="1:45" x14ac:dyDescent="0.35">
      <c r="A549" s="366">
        <v>6</v>
      </c>
      <c r="B549" s="737">
        <v>602.20000000000005</v>
      </c>
      <c r="C549" s="731" t="s">
        <v>260</v>
      </c>
      <c r="D549" s="731"/>
      <c r="E549" s="731"/>
      <c r="F549" s="731"/>
      <c r="G549" s="366" t="str">
        <f t="shared" si="34"/>
        <v/>
      </c>
      <c r="H549" s="366" t="s">
        <v>3970</v>
      </c>
      <c r="I549" s="30"/>
      <c r="J549" s="4"/>
      <c r="K549" s="43"/>
      <c r="L549" s="814"/>
      <c r="M549" s="40"/>
      <c r="N549" s="41"/>
      <c r="O549" s="41"/>
      <c r="X549" s="817"/>
      <c r="Y549" s="1100"/>
      <c r="Z549" s="1112"/>
    </row>
    <row r="550" spans="1:45" ht="15" thickBot="1" x14ac:dyDescent="0.4">
      <c r="A550" s="366">
        <v>6</v>
      </c>
      <c r="B550" s="737">
        <v>602.20000000000005</v>
      </c>
      <c r="C550" s="731" t="s">
        <v>260</v>
      </c>
      <c r="D550" s="731"/>
      <c r="E550" s="731"/>
      <c r="F550" s="731"/>
      <c r="G550" s="366" t="str">
        <f t="shared" si="34"/>
        <v/>
      </c>
      <c r="H550" s="366" t="s">
        <v>3970</v>
      </c>
      <c r="I550" s="30"/>
      <c r="J550" s="4"/>
      <c r="K550" s="43"/>
      <c r="L550" s="814"/>
      <c r="M550" s="40"/>
      <c r="N550" s="41"/>
      <c r="O550" s="41"/>
      <c r="W550" s="64"/>
      <c r="X550" s="850"/>
      <c r="Y550" s="1101"/>
      <c r="Z550" s="1113"/>
    </row>
    <row r="551" spans="1:45" ht="15" thickTop="1" x14ac:dyDescent="0.35">
      <c r="A551" s="366">
        <v>6</v>
      </c>
      <c r="B551" s="737">
        <v>602.29999999999995</v>
      </c>
      <c r="C551" s="731"/>
      <c r="D551" s="731"/>
      <c r="E551" s="731"/>
      <c r="F551" s="731"/>
      <c r="G551" s="366" t="str">
        <f>IF(N551&gt;0,"P","")</f>
        <v>P</v>
      </c>
      <c r="H551" s="366" t="s">
        <v>3972</v>
      </c>
      <c r="I551" s="106">
        <v>602.29999999999995</v>
      </c>
      <c r="J551" s="107"/>
      <c r="K551" s="108"/>
      <c r="L551" s="837" t="s">
        <v>641</v>
      </c>
      <c r="M551" s="830">
        <v>4</v>
      </c>
      <c r="N551" s="959">
        <f>'Ch6'!O233</f>
        <v>4</v>
      </c>
      <c r="O551" s="959">
        <f>M551*S551*W551</f>
        <v>0</v>
      </c>
      <c r="P551" t="b">
        <v>0</v>
      </c>
      <c r="Q551" t="b">
        <v>1</v>
      </c>
      <c r="R551" s="59" t="b">
        <v>0</v>
      </c>
      <c r="S551" s="59" t="b">
        <v>1</v>
      </c>
      <c r="T551" s="59" t="b">
        <v>0</v>
      </c>
      <c r="U551" s="59"/>
      <c r="V551" s="59"/>
      <c r="W551" s="17"/>
      <c r="X551" s="840"/>
      <c r="Y551" s="1117" t="str">
        <f>IF(LEN('Ch6'!X233)=0,"None",'Ch6'!X233)</f>
        <v>None</v>
      </c>
      <c r="Z551" s="1114"/>
      <c r="AL551" t="str">
        <f>SUBSTITUTE(SUBSTITUTE(SUBSTITUTE("vpa"&amp;$B551&amp;$C551&amp;$D551&amp;$E551,".","_"),"(","_"),")","")</f>
        <v>vpa602_3</v>
      </c>
      <c r="AM551">
        <f>M551</f>
        <v>4</v>
      </c>
      <c r="AN551" t="str">
        <f>SUBSTITUTE(SUBSTITUTE(SUBSTITUTE("vpc"&amp;$B551&amp;$C551&amp;$D551&amp;$E551,".","_"),"(","_"),")","")</f>
        <v>vpc602_3</v>
      </c>
      <c r="AO551">
        <f>O551</f>
        <v>0</v>
      </c>
      <c r="AP551" t="str">
        <f>SUBSTITUTE(SUBSTITUTE(SUBSTITUTE("vch"&amp;$B551&amp;$C551&amp;$D551&amp;$E551,".","_"),"(","_"),")","")</f>
        <v>vch602_3</v>
      </c>
      <c r="AQ551" t="str">
        <f>IF(LEN(W551)=0,"",W551)</f>
        <v/>
      </c>
      <c r="AR551" t="str">
        <f>SUBSTITUTE(SUBSTITUTE(SUBSTITUTE("vnt"&amp;$B551&amp;$C551&amp;$D551&amp;$E551,".","_"),"(","_"),")","")</f>
        <v>vnt602_3</v>
      </c>
      <c r="AS551" t="str">
        <f>IF(LEN(X551)=0,"",X551)</f>
        <v/>
      </c>
    </row>
    <row r="552" spans="1:45" x14ac:dyDescent="0.35">
      <c r="A552" s="366">
        <v>6</v>
      </c>
      <c r="B552" s="737">
        <v>602.29999999999995</v>
      </c>
      <c r="C552" s="731"/>
      <c r="D552" s="731"/>
      <c r="E552" s="731"/>
      <c r="F552" s="731"/>
      <c r="G552" s="366" t="str">
        <f>G551</f>
        <v>P</v>
      </c>
      <c r="H552" s="366" t="s">
        <v>3972</v>
      </c>
      <c r="I552" s="30"/>
      <c r="J552" s="4"/>
      <c r="K552" s="43"/>
      <c r="L552" s="838"/>
      <c r="M552" s="818"/>
      <c r="N552" s="834"/>
      <c r="O552" s="834"/>
      <c r="X552" s="817"/>
      <c r="Y552" s="1100"/>
      <c r="Z552" s="1112"/>
      <c r="AA552" s="350" t="str">
        <f>IF(LEN('Photo Review'!I551)&gt;0,'Photo Review'!I551,"")</f>
        <v/>
      </c>
    </row>
    <row r="553" spans="1:45" ht="15" thickBot="1" x14ac:dyDescent="0.4">
      <c r="A553" s="366">
        <v>6</v>
      </c>
      <c r="B553" s="737">
        <v>602.29999999999995</v>
      </c>
      <c r="C553" s="731"/>
      <c r="D553" s="731"/>
      <c r="E553" s="731"/>
      <c r="F553" s="731"/>
      <c r="G553" s="366" t="str">
        <f>G552</f>
        <v>P</v>
      </c>
      <c r="H553" s="366" t="s">
        <v>3972</v>
      </c>
      <c r="I553" s="30"/>
      <c r="J553" s="4"/>
      <c r="K553" s="43"/>
      <c r="L553" s="838"/>
      <c r="M553" s="818"/>
      <c r="N553" s="863"/>
      <c r="O553" s="834"/>
      <c r="X553" s="850"/>
      <c r="Y553" s="1101"/>
      <c r="Z553" s="1113"/>
    </row>
    <row r="554" spans="1:45" ht="15" thickTop="1" x14ac:dyDescent="0.35">
      <c r="A554" s="366">
        <v>6</v>
      </c>
      <c r="B554" s="737">
        <v>602.4</v>
      </c>
      <c r="C554" s="731"/>
      <c r="D554" s="731"/>
      <c r="E554" s="731"/>
      <c r="F554" s="731"/>
      <c r="G554" s="366" t="s">
        <v>3973</v>
      </c>
      <c r="H554" s="366" t="s">
        <v>3970</v>
      </c>
      <c r="I554" s="106">
        <v>602.4</v>
      </c>
      <c r="J554" s="107"/>
      <c r="K554" s="108"/>
      <c r="L554" s="274" t="s">
        <v>642</v>
      </c>
      <c r="M554" s="267"/>
      <c r="N554" s="545"/>
      <c r="O554" s="545"/>
      <c r="P554" s="59"/>
      <c r="Q554" s="59"/>
      <c r="R554" s="59"/>
      <c r="S554" s="59"/>
      <c r="T554" s="59"/>
      <c r="U554" s="59"/>
      <c r="V554" s="59"/>
      <c r="W554" s="59"/>
      <c r="X554" s="59"/>
      <c r="Y554" s="65"/>
    </row>
    <row r="555" spans="1:45" x14ac:dyDescent="0.35">
      <c r="A555" s="366">
        <v>6</v>
      </c>
      <c r="B555" s="737" t="s">
        <v>643</v>
      </c>
      <c r="C555" s="731"/>
      <c r="D555" s="731"/>
      <c r="E555" s="731"/>
      <c r="F555" s="731"/>
      <c r="G555" s="366" t="s">
        <v>3973</v>
      </c>
      <c r="H555" s="366" t="s">
        <v>3970</v>
      </c>
      <c r="I555" s="30" t="s">
        <v>643</v>
      </c>
      <c r="J555" s="4"/>
      <c r="K555" s="43"/>
      <c r="L555" s="838" t="s">
        <v>644</v>
      </c>
      <c r="M555" s="885" t="str">
        <f>IF(R555,"Mandatory","N/A")</f>
        <v>Mandatory</v>
      </c>
      <c r="N555" s="41"/>
      <c r="O555" s="41"/>
      <c r="P555" t="b">
        <v>1</v>
      </c>
      <c r="Q555" t="b">
        <v>1</v>
      </c>
      <c r="R555" t="b">
        <f>S555</f>
        <v>1</v>
      </c>
      <c r="S555" t="b">
        <v>1</v>
      </c>
      <c r="T555" t="b">
        <v>0</v>
      </c>
      <c r="W555" s="17"/>
      <c r="X555" s="817"/>
      <c r="Y555" s="1100" t="str">
        <f>IF(LEN('Ch6'!X237)=0,"None",'Ch6'!X237)</f>
        <v>None</v>
      </c>
      <c r="Z555" s="1112"/>
      <c r="AA555" s="350" t="str">
        <f>IF(LEN('Photo Review'!I554)&gt;0,'Photo Review'!I554,"")</f>
        <v/>
      </c>
      <c r="AC555" t="b">
        <f>OR(AD555:AE555)</f>
        <v>1</v>
      </c>
      <c r="AD555" t="b">
        <f>T555</f>
        <v>0</v>
      </c>
      <c r="AE555" t="b">
        <f>AND(R555,NOT(W555))</f>
        <v>1</v>
      </c>
      <c r="AL555" t="str">
        <f>SUBSTITUTE(SUBSTITUTE(SUBSTITUTE("vpa"&amp;$B555&amp;$C555&amp;$D555&amp;$E555,".","_"),"(","_"),")","")</f>
        <v>vpa602_4_1</v>
      </c>
      <c r="AM555" t="str">
        <f>M555</f>
        <v>Mandatory</v>
      </c>
      <c r="AP555" t="str">
        <f>SUBSTITUTE(SUBSTITUTE(SUBSTITUTE("vch"&amp;$B555&amp;$C555&amp;$D555&amp;$E555,".","_"),"(","_"),")","")</f>
        <v>vch602_4_1</v>
      </c>
      <c r="AQ555" t="str">
        <f>IF(LEN(W555)=0,"",W555)</f>
        <v/>
      </c>
      <c r="AR555" t="str">
        <f>SUBSTITUTE(SUBSTITUTE(SUBSTITUTE("vnt"&amp;$B555&amp;$C555&amp;$D555&amp;$E555,".","_"),"(","_"),")","")</f>
        <v>vnt602_4_1</v>
      </c>
      <c r="AS555" t="str">
        <f>IF(LEN(X555)=0,"",X555)</f>
        <v/>
      </c>
    </row>
    <row r="556" spans="1:45" x14ac:dyDescent="0.35">
      <c r="A556" s="366">
        <v>6</v>
      </c>
      <c r="B556" s="737" t="s">
        <v>643</v>
      </c>
      <c r="C556" s="731"/>
      <c r="D556" s="731"/>
      <c r="E556" s="731"/>
      <c r="F556" s="731"/>
      <c r="G556" s="366" t="s">
        <v>3973</v>
      </c>
      <c r="H556" s="366" t="s">
        <v>3970</v>
      </c>
      <c r="I556" s="30"/>
      <c r="J556" s="4"/>
      <c r="K556" s="43"/>
      <c r="L556" s="838"/>
      <c r="M556" s="885"/>
      <c r="N556" s="41"/>
      <c r="O556" s="41"/>
      <c r="X556" s="817"/>
      <c r="Y556" s="1100"/>
      <c r="Z556" s="1112"/>
    </row>
    <row r="557" spans="1:45" x14ac:dyDescent="0.35">
      <c r="A557" s="366">
        <v>6</v>
      </c>
      <c r="B557" s="737" t="s">
        <v>643</v>
      </c>
      <c r="C557" s="731"/>
      <c r="D557" s="731"/>
      <c r="E557" s="731"/>
      <c r="F557" s="731"/>
      <c r="G557" s="366" t="s">
        <v>3973</v>
      </c>
      <c r="H557" s="366" t="s">
        <v>3970</v>
      </c>
      <c r="I557" s="30"/>
      <c r="J557" s="4"/>
      <c r="K557" s="43"/>
      <c r="L557" s="838"/>
      <c r="M557" s="885"/>
      <c r="N557" s="41"/>
      <c r="O557" s="41"/>
      <c r="X557" s="817"/>
      <c r="Y557" s="1100"/>
      <c r="Z557" s="1112"/>
    </row>
    <row r="558" spans="1:45" x14ac:dyDescent="0.35">
      <c r="A558" s="366">
        <v>6</v>
      </c>
      <c r="B558" s="737" t="s">
        <v>643</v>
      </c>
      <c r="C558" s="731"/>
      <c r="D558" s="731"/>
      <c r="E558" s="731"/>
      <c r="F558" s="731"/>
      <c r="G558" s="366" t="s">
        <v>3973</v>
      </c>
      <c r="H558" s="366" t="s">
        <v>3970</v>
      </c>
      <c r="I558" s="30"/>
      <c r="J558" s="4"/>
      <c r="K558" s="43"/>
      <c r="L558" s="838"/>
      <c r="M558" s="885"/>
      <c r="N558" s="41"/>
      <c r="O558" s="41"/>
      <c r="X558" s="817"/>
      <c r="Y558" s="1100"/>
      <c r="Z558" s="1112"/>
    </row>
    <row r="559" spans="1:45" x14ac:dyDescent="0.35">
      <c r="A559" s="366">
        <v>6</v>
      </c>
      <c r="B559" s="737" t="s">
        <v>643</v>
      </c>
      <c r="C559" s="731"/>
      <c r="D559" s="731"/>
      <c r="E559" s="731"/>
      <c r="F559" s="731"/>
      <c r="G559" s="366" t="s">
        <v>3973</v>
      </c>
      <c r="H559" s="366" t="s">
        <v>3970</v>
      </c>
      <c r="I559" s="138"/>
      <c r="J559" s="133"/>
      <c r="K559" s="101"/>
      <c r="L559" s="889"/>
      <c r="M559" s="890"/>
      <c r="N559" s="41"/>
      <c r="O559" s="41"/>
      <c r="X559" s="817"/>
      <c r="Y559" s="1100"/>
      <c r="Z559" s="1112"/>
    </row>
    <row r="560" spans="1:45" x14ac:dyDescent="0.35">
      <c r="A560" s="366">
        <v>6</v>
      </c>
      <c r="B560" s="737" t="s">
        <v>645</v>
      </c>
      <c r="C560" s="731"/>
      <c r="D560" s="731"/>
      <c r="E560" s="731"/>
      <c r="F560" s="731"/>
      <c r="G560" s="366" t="str">
        <f>IF(N560&gt;0,"P","")</f>
        <v>P</v>
      </c>
      <c r="H560" s="366" t="s">
        <v>3970</v>
      </c>
      <c r="I560" s="30" t="s">
        <v>645</v>
      </c>
      <c r="J560" s="4"/>
      <c r="K560" s="43"/>
      <c r="L560" s="838" t="s">
        <v>646</v>
      </c>
      <c r="M560" s="818">
        <v>1</v>
      </c>
      <c r="N560" s="834">
        <f>'Ch6'!O242</f>
        <v>1</v>
      </c>
      <c r="O560" s="834">
        <f>M560*S560*W560</f>
        <v>0</v>
      </c>
      <c r="P560" t="b">
        <v>1</v>
      </c>
      <c r="Q560" t="b">
        <v>1</v>
      </c>
      <c r="R560" t="b">
        <v>0</v>
      </c>
      <c r="S560" t="b">
        <v>1</v>
      </c>
      <c r="T560" t="b">
        <v>0</v>
      </c>
      <c r="W560" s="17"/>
      <c r="X560" s="817"/>
      <c r="Y560" s="1100" t="str">
        <f>IF(LEN('Ch6'!X242)=0,"None",'Ch6'!X242)</f>
        <v>None</v>
      </c>
      <c r="Z560" s="1112"/>
      <c r="AA560" s="350" t="str">
        <f>IF(LEN('Photo Review'!I559)&gt;0,'Photo Review'!I559,"")</f>
        <v/>
      </c>
      <c r="AL560" t="str">
        <f>SUBSTITUTE(SUBSTITUTE(SUBSTITUTE("vpa"&amp;$B560&amp;$C560&amp;$D560&amp;$E560,".","_"),"(","_"),")","")</f>
        <v>vpa602_4_2</v>
      </c>
      <c r="AM560">
        <f>M560</f>
        <v>1</v>
      </c>
      <c r="AN560" t="str">
        <f>SUBSTITUTE(SUBSTITUTE(SUBSTITUTE("vpc"&amp;$B560&amp;$C560&amp;$D560&amp;$E560,".","_"),"(","_"),")","")</f>
        <v>vpc602_4_2</v>
      </c>
      <c r="AO560">
        <f>O560</f>
        <v>0</v>
      </c>
      <c r="AP560" t="str">
        <f>SUBSTITUTE(SUBSTITUTE(SUBSTITUTE("vch"&amp;$B560&amp;$C560&amp;$D560&amp;$E560,".","_"),"(","_"),")","")</f>
        <v>vch602_4_2</v>
      </c>
      <c r="AQ560" t="str">
        <f>IF(LEN(W560)=0,"",W560)</f>
        <v/>
      </c>
      <c r="AR560" t="str">
        <f>SUBSTITUTE(SUBSTITUTE(SUBSTITUTE("vnt"&amp;$B560&amp;$C560&amp;$D560&amp;$E560,".","_"),"(","_"),")","")</f>
        <v>vnt602_4_2</v>
      </c>
      <c r="AS560" t="str">
        <f>IF(LEN(X560)=0,"",X560)</f>
        <v/>
      </c>
    </row>
    <row r="561" spans="1:45" x14ac:dyDescent="0.35">
      <c r="A561" s="366">
        <v>6</v>
      </c>
      <c r="B561" s="737" t="s">
        <v>645</v>
      </c>
      <c r="C561" s="731"/>
      <c r="D561" s="731"/>
      <c r="E561" s="731"/>
      <c r="F561" s="731"/>
      <c r="G561" s="366" t="str">
        <f>G560</f>
        <v>P</v>
      </c>
      <c r="H561" s="366" t="s">
        <v>3970</v>
      </c>
      <c r="I561" s="138"/>
      <c r="J561" s="133"/>
      <c r="K561" s="101"/>
      <c r="L561" s="889"/>
      <c r="M561" s="819"/>
      <c r="N561" s="835"/>
      <c r="O561" s="835"/>
      <c r="X561" s="817"/>
      <c r="Y561" s="1100"/>
      <c r="Z561" s="1112"/>
    </row>
    <row r="562" spans="1:45" ht="15" customHeight="1" x14ac:dyDescent="0.35">
      <c r="A562" s="366">
        <v>6</v>
      </c>
      <c r="B562" s="737" t="s">
        <v>647</v>
      </c>
      <c r="C562" s="731"/>
      <c r="D562" s="731"/>
      <c r="E562" s="731"/>
      <c r="F562" s="731"/>
      <c r="G562" s="366" t="str">
        <f>IF(N562&gt;0,"P","")</f>
        <v>P</v>
      </c>
      <c r="H562" s="366" t="s">
        <v>3970</v>
      </c>
      <c r="I562" s="30" t="s">
        <v>647</v>
      </c>
      <c r="J562" s="4"/>
      <c r="K562" s="43"/>
      <c r="L562" s="95" t="s">
        <v>648</v>
      </c>
      <c r="M562" s="40">
        <v>1</v>
      </c>
      <c r="N562" s="41">
        <f>'Ch6'!O244</f>
        <v>1</v>
      </c>
      <c r="O562" s="41">
        <f>M562*S562*W562</f>
        <v>0</v>
      </c>
      <c r="P562" t="b">
        <v>1</v>
      </c>
      <c r="Q562" t="b">
        <v>1</v>
      </c>
      <c r="R562" t="b">
        <v>0</v>
      </c>
      <c r="S562" t="b">
        <v>1</v>
      </c>
      <c r="T562" t="b">
        <v>0</v>
      </c>
      <c r="W562" s="17"/>
      <c r="X562" s="36"/>
      <c r="Y562" s="396" t="str">
        <f>IF(LEN('Ch6'!X244)=0,"None",'Ch6'!X244)</f>
        <v>None</v>
      </c>
      <c r="Z562" s="659"/>
      <c r="AA562" s="350" t="str">
        <f>IF(LEN('Photo Review'!I561)&gt;0,'Photo Review'!I561,"")</f>
        <v/>
      </c>
      <c r="AL562" t="str">
        <f>SUBSTITUTE(SUBSTITUTE(SUBSTITUTE("vpa"&amp;$B562&amp;$C562&amp;$D562&amp;$E562,".","_"),"(","_"),")","")</f>
        <v>vpa602_4_3</v>
      </c>
      <c r="AM562">
        <f>M562</f>
        <v>1</v>
      </c>
      <c r="AN562" t="str">
        <f>SUBSTITUTE(SUBSTITUTE(SUBSTITUTE("vpc"&amp;$B562&amp;$C562&amp;$D562&amp;$E562,".","_"),"(","_"),")","")</f>
        <v>vpc602_4_3</v>
      </c>
      <c r="AO562">
        <f>O562</f>
        <v>0</v>
      </c>
      <c r="AP562" t="str">
        <f>SUBSTITUTE(SUBSTITUTE(SUBSTITUTE("vch"&amp;$B562&amp;$C562&amp;$D562&amp;$E562,".","_"),"(","_"),")","")</f>
        <v>vch602_4_3</v>
      </c>
      <c r="AQ562" t="str">
        <f>IF(LEN(W562)=0,"",W562)</f>
        <v/>
      </c>
      <c r="AR562" t="str">
        <f>SUBSTITUTE(SUBSTITUTE(SUBSTITUTE("vnt"&amp;$B562&amp;$C562&amp;$D562&amp;$E562,".","_"),"(","_"),")","")</f>
        <v>vnt602_4_3</v>
      </c>
      <c r="AS562" t="str">
        <f>IF(LEN(X562)=0,"",X562)</f>
        <v/>
      </c>
    </row>
    <row r="563" spans="1:45" ht="18.5" x14ac:dyDescent="0.45">
      <c r="A563" s="366">
        <v>6</v>
      </c>
      <c r="B563" s="737">
        <v>603</v>
      </c>
      <c r="C563" s="731"/>
      <c r="D563" s="731"/>
      <c r="E563" s="731"/>
      <c r="F563" s="731"/>
      <c r="G563" s="366" t="s">
        <v>3973</v>
      </c>
      <c r="H563" s="366" t="s">
        <v>3970</v>
      </c>
      <c r="I563" s="35" t="s">
        <v>649</v>
      </c>
      <c r="J563" s="15"/>
      <c r="K563" s="42"/>
      <c r="L563" s="151"/>
      <c r="M563" s="243"/>
      <c r="N563" s="544"/>
      <c r="O563" s="544"/>
      <c r="P563" s="15"/>
      <c r="Q563" s="15"/>
      <c r="R563" s="15"/>
      <c r="S563" s="15"/>
      <c r="T563" s="15"/>
      <c r="U563" s="15"/>
      <c r="V563" s="15"/>
      <c r="W563" s="15"/>
      <c r="X563" s="15"/>
      <c r="Y563" s="15"/>
      <c r="Z563" s="651"/>
    </row>
    <row r="564" spans="1:45" x14ac:dyDescent="0.35">
      <c r="A564" s="366">
        <v>6</v>
      </c>
      <c r="B564" s="737" t="s">
        <v>3982</v>
      </c>
      <c r="C564" s="731"/>
      <c r="D564" s="731"/>
      <c r="E564" s="731"/>
      <c r="F564" s="731"/>
      <c r="I564" s="402" t="s">
        <v>3982</v>
      </c>
      <c r="J564" s="4"/>
      <c r="K564" s="43"/>
      <c r="L564" s="838" t="s">
        <v>650</v>
      </c>
      <c r="M564" s="40"/>
      <c r="N564" s="41"/>
      <c r="O564" s="41"/>
    </row>
    <row r="565" spans="1:45" ht="15" thickBot="1" x14ac:dyDescent="0.4">
      <c r="A565" s="366">
        <v>6</v>
      </c>
      <c r="B565" s="737" t="s">
        <v>3982</v>
      </c>
      <c r="C565" s="731"/>
      <c r="D565" s="731"/>
      <c r="E565" s="731"/>
      <c r="F565" s="731"/>
      <c r="I565" s="30"/>
      <c r="J565" s="4"/>
      <c r="K565" s="43"/>
      <c r="L565" s="838"/>
      <c r="M565" s="40"/>
      <c r="N565" s="41"/>
      <c r="O565" s="41"/>
      <c r="W565" s="55"/>
      <c r="Y565" s="55"/>
      <c r="Z565" s="653"/>
    </row>
    <row r="566" spans="1:45" ht="15.75" customHeight="1" thickTop="1" x14ac:dyDescent="0.35">
      <c r="A566" s="366">
        <v>6</v>
      </c>
      <c r="B566" s="737">
        <v>603.1</v>
      </c>
      <c r="C566" s="731"/>
      <c r="D566" s="731"/>
      <c r="E566" s="731"/>
      <c r="F566" s="731"/>
      <c r="G566" s="366" t="str">
        <f>IF(N566&gt;0,"P","")</f>
        <v/>
      </c>
      <c r="H566" s="366" t="s">
        <v>3971</v>
      </c>
      <c r="I566" s="106">
        <v>603.1</v>
      </c>
      <c r="J566" s="107"/>
      <c r="K566" s="108"/>
      <c r="L566" s="837" t="s">
        <v>651</v>
      </c>
      <c r="M566" s="892" t="s">
        <v>3053</v>
      </c>
      <c r="N566" s="959">
        <f>'Ch6'!O248</f>
        <v>0</v>
      </c>
      <c r="O566" s="959">
        <f>MIN(ROUNDDOWN(W566/200,0),12)</f>
        <v>0</v>
      </c>
      <c r="P566" s="59" t="b">
        <v>1</v>
      </c>
      <c r="Q566" s="59" t="b">
        <v>0</v>
      </c>
      <c r="R566" s="59" t="b">
        <v>0</v>
      </c>
      <c r="S566" s="59" t="b">
        <v>1</v>
      </c>
      <c r="T566" s="59" t="b">
        <v>0</v>
      </c>
      <c r="U566" s="59"/>
      <c r="V566" s="59"/>
      <c r="W566" s="116"/>
      <c r="X566" s="864"/>
      <c r="Y566" s="1118" t="str">
        <f>IF(LEN('Ch6'!X248)=0,"None",'Ch6'!X248)</f>
        <v>None</v>
      </c>
      <c r="Z566" s="1103"/>
      <c r="AC566" t="b">
        <f>OR(AD566:AE566)</f>
        <v>0</v>
      </c>
      <c r="AD566" t="b">
        <v>0</v>
      </c>
      <c r="AE566" t="b">
        <f>AND(W566&gt;0,LEN(X566)=0)</f>
        <v>0</v>
      </c>
      <c r="AF566" t="b">
        <f>AND(AE566,NOT(Q566))</f>
        <v>0</v>
      </c>
      <c r="AL566" t="str">
        <f>SUBSTITUTE(SUBSTITUTE(SUBSTITUTE("vpa"&amp;$B566&amp;$C566&amp;$D566&amp;$E566,".","_"),"(","_"),")","")</f>
        <v>vpa603_1</v>
      </c>
      <c r="AM566" t="str">
        <f>M566</f>
        <v>1
12 Max</v>
      </c>
      <c r="AN566" t="str">
        <f>SUBSTITUTE(SUBSTITUTE(SUBSTITUTE("vpc"&amp;$B566&amp;$C566&amp;$D566&amp;$E566,".","_"),"(","_"),")","")</f>
        <v>vpc603_1</v>
      </c>
      <c r="AO566">
        <f>O566</f>
        <v>0</v>
      </c>
      <c r="AP566" t="str">
        <f>SUBSTITUTE(SUBSTITUTE(SUBSTITUTE("vch"&amp;$B566&amp;$C566&amp;$D566&amp;$E566,".","_"),"(","_"),")","")</f>
        <v>vch603_1</v>
      </c>
      <c r="AQ566" t="str">
        <f>IF(LEN(W566)=0,"",W566)</f>
        <v/>
      </c>
      <c r="AR566" t="str">
        <f>SUBSTITUTE(SUBSTITUTE(SUBSTITUTE("vnt"&amp;$B566&amp;$C566&amp;$D566&amp;$E566,".","_"),"(","_"),")","")</f>
        <v>vnt603_1</v>
      </c>
      <c r="AS566" t="str">
        <f>IF(LEN(X566)=0,"",X566)</f>
        <v/>
      </c>
    </row>
    <row r="567" spans="1:45" x14ac:dyDescent="0.35">
      <c r="A567" s="366">
        <v>6</v>
      </c>
      <c r="B567" s="737">
        <v>603.1</v>
      </c>
      <c r="C567" s="731"/>
      <c r="D567" s="731"/>
      <c r="E567" s="731"/>
      <c r="F567" s="731"/>
      <c r="G567" s="366" t="str">
        <f>G566</f>
        <v/>
      </c>
      <c r="H567" s="366" t="s">
        <v>3971</v>
      </c>
      <c r="I567" s="30"/>
      <c r="J567" s="4"/>
      <c r="K567" s="43"/>
      <c r="L567" s="838"/>
      <c r="M567" s="843"/>
      <c r="N567" s="834"/>
      <c r="O567" s="834"/>
      <c r="X567" s="851"/>
      <c r="Y567" s="1100"/>
      <c r="Z567" s="1102"/>
    </row>
    <row r="568" spans="1:45" x14ac:dyDescent="0.35">
      <c r="A568" s="366">
        <v>6</v>
      </c>
      <c r="B568" s="737">
        <v>603.1</v>
      </c>
      <c r="C568" s="731"/>
      <c r="D568" s="731"/>
      <c r="E568" s="731"/>
      <c r="F568" s="731"/>
      <c r="G568" s="366" t="str">
        <f>G567</f>
        <v/>
      </c>
      <c r="H568" s="366" t="s">
        <v>3971</v>
      </c>
      <c r="I568" s="30"/>
      <c r="J568" s="4"/>
      <c r="K568" s="43"/>
      <c r="L568" s="92" t="s">
        <v>652</v>
      </c>
      <c r="M568" s="843"/>
      <c r="N568" s="834"/>
      <c r="O568" s="834"/>
      <c r="X568" s="851"/>
      <c r="Y568" s="1100"/>
      <c r="Z568" s="1102"/>
    </row>
    <row r="569" spans="1:45" x14ac:dyDescent="0.35">
      <c r="A569" s="366">
        <v>6</v>
      </c>
      <c r="B569" s="737">
        <v>603.1</v>
      </c>
      <c r="C569" s="731"/>
      <c r="D569" s="731"/>
      <c r="E569" s="731"/>
      <c r="F569" s="731"/>
      <c r="G569" s="366" t="str">
        <f>G568</f>
        <v/>
      </c>
      <c r="H569" s="366" t="s">
        <v>3971</v>
      </c>
      <c r="I569" s="30"/>
      <c r="J569" s="4"/>
      <c r="K569" s="43"/>
      <c r="L569" s="893" t="s">
        <v>3054</v>
      </c>
      <c r="M569" s="843"/>
      <c r="N569" s="834"/>
      <c r="O569" s="834"/>
      <c r="X569" s="851"/>
      <c r="Y569" s="1100"/>
      <c r="Z569" s="1102"/>
    </row>
    <row r="570" spans="1:45" x14ac:dyDescent="0.35">
      <c r="A570" s="366">
        <v>6</v>
      </c>
      <c r="B570" s="737">
        <v>603.1</v>
      </c>
      <c r="C570" s="731"/>
      <c r="D570" s="731"/>
      <c r="E570" s="731"/>
      <c r="F570" s="731"/>
      <c r="G570" s="366" t="str">
        <f>G569</f>
        <v/>
      </c>
      <c r="H570" s="366" t="s">
        <v>3971</v>
      </c>
      <c r="I570" s="30"/>
      <c r="J570" s="4"/>
      <c r="K570" s="43"/>
      <c r="L570" s="894"/>
      <c r="M570" s="843"/>
      <c r="N570" s="834"/>
      <c r="O570" s="834"/>
      <c r="X570" s="851"/>
      <c r="Y570" s="1100"/>
      <c r="Z570" s="1102"/>
    </row>
    <row r="571" spans="1:45" ht="15" thickBot="1" x14ac:dyDescent="0.4">
      <c r="A571" s="366">
        <v>6</v>
      </c>
      <c r="B571" s="737">
        <v>603.1</v>
      </c>
      <c r="C571" s="731"/>
      <c r="D571" s="731"/>
      <c r="E571" s="731"/>
      <c r="F571" s="731"/>
      <c r="G571" s="366" t="str">
        <f>G570</f>
        <v/>
      </c>
      <c r="H571" s="366" t="s">
        <v>3971</v>
      </c>
      <c r="I571" s="30"/>
      <c r="J571" s="4"/>
      <c r="K571" s="43"/>
      <c r="L571" s="894"/>
      <c r="M571" s="843"/>
      <c r="N571" s="863"/>
      <c r="O571" s="834"/>
      <c r="W571" s="64"/>
      <c r="X571" s="851"/>
      <c r="Y571" s="1101"/>
      <c r="Z571" s="1104"/>
    </row>
    <row r="572" spans="1:45" ht="15.75" customHeight="1" thickTop="1" x14ac:dyDescent="0.35">
      <c r="A572" s="366">
        <v>6</v>
      </c>
      <c r="B572" s="737">
        <v>603.20000000000005</v>
      </c>
      <c r="C572" s="731"/>
      <c r="D572" s="731"/>
      <c r="E572" s="731"/>
      <c r="F572" s="731"/>
      <c r="G572" s="366" t="str">
        <f>IF(N572&gt;0,"P","")</f>
        <v/>
      </c>
      <c r="H572" s="366" t="s">
        <v>3970</v>
      </c>
      <c r="I572" s="106">
        <v>603.20000000000005</v>
      </c>
      <c r="J572" s="107"/>
      <c r="K572" s="108"/>
      <c r="L572" s="837" t="s">
        <v>653</v>
      </c>
      <c r="M572" s="892" t="s">
        <v>3055</v>
      </c>
      <c r="N572" s="959">
        <f>'Ch6'!O254</f>
        <v>0</v>
      </c>
      <c r="O572" s="959">
        <f>MIN(9,ROUNDDOWN(W572/0.01,0))</f>
        <v>0</v>
      </c>
      <c r="P572" s="59" t="b">
        <v>1</v>
      </c>
      <c r="Q572" s="59" t="b">
        <v>1</v>
      </c>
      <c r="R572" s="59" t="b">
        <v>0</v>
      </c>
      <c r="S572" s="59" t="b">
        <v>1</v>
      </c>
      <c r="T572" s="59" t="b">
        <v>0</v>
      </c>
      <c r="U572" s="59"/>
      <c r="V572" s="59"/>
      <c r="W572" s="121"/>
      <c r="X572" s="840"/>
      <c r="Y572" s="1117" t="str">
        <f>IF(LEN('Ch6'!X254)=0,"None",'Ch6'!X254)</f>
        <v>None</v>
      </c>
      <c r="Z572" s="1103"/>
      <c r="AC572" t="b">
        <f>OR(AD572:AE572)</f>
        <v>0</v>
      </c>
      <c r="AD572" t="b">
        <v>0</v>
      </c>
      <c r="AE572" t="b">
        <f>AND(W572&gt;0,LEN(X572)=0)</f>
        <v>0</v>
      </c>
      <c r="AL572" t="str">
        <f>SUBSTITUTE(SUBSTITUTE(SUBSTITUTE("vpa"&amp;$B572&amp;$C572&amp;$D572&amp;$E572,".","_"),"(","_"),")","")</f>
        <v>vpa603_2</v>
      </c>
      <c r="AM572" t="str">
        <f>M572</f>
        <v>1
9 Max</v>
      </c>
      <c r="AN572" t="str">
        <f>SUBSTITUTE(SUBSTITUTE(SUBSTITUTE("vpc"&amp;$B572&amp;$C572&amp;$D572&amp;$E572,".","_"),"(","_"),")","")</f>
        <v>vpc603_2</v>
      </c>
      <c r="AO572">
        <f>O572</f>
        <v>0</v>
      </c>
      <c r="AP572" t="str">
        <f>SUBSTITUTE(SUBSTITUTE(SUBSTITUTE("vch"&amp;$B572&amp;$C572&amp;$D572&amp;$E572,".","_"),"(","_"),")","")</f>
        <v>vch603_2</v>
      </c>
      <c r="AQ572" t="str">
        <f>IF(LEN(W572)=0,"",W572)</f>
        <v/>
      </c>
      <c r="AR572" t="str">
        <f>SUBSTITUTE(SUBSTITUTE(SUBSTITUTE("vnt"&amp;$B572&amp;$C572&amp;$D572&amp;$E572,".","_"),"(","_"),")","")</f>
        <v>vnt603_2</v>
      </c>
      <c r="AS572" t="str">
        <f>IF(LEN(X572)=0,"",X572)</f>
        <v/>
      </c>
    </row>
    <row r="573" spans="1:45" x14ac:dyDescent="0.35">
      <c r="A573" s="366">
        <v>6</v>
      </c>
      <c r="B573" s="737">
        <v>603.20000000000005</v>
      </c>
      <c r="C573" s="731"/>
      <c r="D573" s="731"/>
      <c r="E573" s="731"/>
      <c r="F573" s="731"/>
      <c r="G573" s="366" t="str">
        <f t="shared" ref="G573:G578" si="35">G572</f>
        <v/>
      </c>
      <c r="H573" s="366" t="s">
        <v>3970</v>
      </c>
      <c r="I573" s="30"/>
      <c r="J573" s="4"/>
      <c r="K573" s="43"/>
      <c r="L573" s="838"/>
      <c r="M573" s="843"/>
      <c r="N573" s="834"/>
      <c r="O573" s="834"/>
      <c r="X573" s="817"/>
      <c r="Y573" s="1100"/>
      <c r="Z573" s="1102"/>
    </row>
    <row r="574" spans="1:45" x14ac:dyDescent="0.35">
      <c r="A574" s="366">
        <v>6</v>
      </c>
      <c r="B574" s="737">
        <v>603.20000000000005</v>
      </c>
      <c r="C574" s="731"/>
      <c r="D574" s="731"/>
      <c r="E574" s="731"/>
      <c r="F574" s="731"/>
      <c r="G574" s="366" t="str">
        <f t="shared" si="35"/>
        <v/>
      </c>
      <c r="H574" s="366" t="s">
        <v>3970</v>
      </c>
      <c r="I574" s="30"/>
      <c r="J574" s="4"/>
      <c r="K574" s="43"/>
      <c r="L574" s="838"/>
      <c r="M574" s="843"/>
      <c r="N574" s="834"/>
      <c r="O574" s="834"/>
      <c r="X574" s="817"/>
      <c r="Y574" s="1100"/>
      <c r="Z574" s="1102"/>
    </row>
    <row r="575" spans="1:45" ht="15" customHeight="1" x14ac:dyDescent="0.35">
      <c r="A575" s="366">
        <v>6</v>
      </c>
      <c r="B575" s="737">
        <v>603.20000000000005</v>
      </c>
      <c r="C575" s="731"/>
      <c r="D575" s="731"/>
      <c r="E575" s="731"/>
      <c r="F575" s="731"/>
      <c r="G575" s="366" t="str">
        <f t="shared" si="35"/>
        <v/>
      </c>
      <c r="H575" s="366" t="s">
        <v>3970</v>
      </c>
      <c r="I575" s="30"/>
      <c r="J575" s="4"/>
      <c r="K575" s="43"/>
      <c r="L575" s="91" t="s">
        <v>3056</v>
      </c>
      <c r="M575" s="843"/>
      <c r="N575" s="834"/>
      <c r="O575" s="834"/>
      <c r="X575" s="817"/>
      <c r="Y575" s="1100"/>
      <c r="Z575" s="1102"/>
    </row>
    <row r="576" spans="1:45" x14ac:dyDescent="0.35">
      <c r="A576" s="366">
        <v>6</v>
      </c>
      <c r="B576" s="737">
        <v>603.20000000000005</v>
      </c>
      <c r="C576" s="731"/>
      <c r="D576" s="731"/>
      <c r="E576" s="731"/>
      <c r="F576" s="731"/>
      <c r="G576" s="366" t="str">
        <f t="shared" si="35"/>
        <v/>
      </c>
      <c r="H576" s="366" t="s">
        <v>3970</v>
      </c>
      <c r="I576" s="30"/>
      <c r="J576" s="4"/>
      <c r="K576" s="43"/>
      <c r="L576" s="893" t="s">
        <v>3054</v>
      </c>
      <c r="M576" s="843"/>
      <c r="N576" s="834"/>
      <c r="O576" s="834"/>
      <c r="X576" s="817"/>
      <c r="Y576" s="1100"/>
      <c r="Z576" s="1102"/>
    </row>
    <row r="577" spans="1:45" x14ac:dyDescent="0.35">
      <c r="A577" s="366">
        <v>6</v>
      </c>
      <c r="B577" s="737">
        <v>603.20000000000005</v>
      </c>
      <c r="C577" s="731"/>
      <c r="D577" s="731"/>
      <c r="E577" s="731"/>
      <c r="F577" s="731"/>
      <c r="G577" s="366" t="str">
        <f t="shared" si="35"/>
        <v/>
      </c>
      <c r="H577" s="366" t="s">
        <v>3970</v>
      </c>
      <c r="I577" s="30"/>
      <c r="J577" s="4"/>
      <c r="K577" s="43"/>
      <c r="L577" s="894"/>
      <c r="M577" s="843"/>
      <c r="N577" s="834"/>
      <c r="O577" s="834"/>
      <c r="X577" s="817"/>
      <c r="Y577" s="1100"/>
      <c r="Z577" s="1102"/>
    </row>
    <row r="578" spans="1:45" ht="15" thickBot="1" x14ac:dyDescent="0.4">
      <c r="A578" s="366">
        <v>6</v>
      </c>
      <c r="B578" s="737">
        <v>603.20000000000005</v>
      </c>
      <c r="C578" s="731"/>
      <c r="D578" s="731"/>
      <c r="E578" s="731"/>
      <c r="F578" s="731"/>
      <c r="G578" s="366" t="str">
        <f t="shared" si="35"/>
        <v/>
      </c>
      <c r="H578" s="366" t="s">
        <v>3970</v>
      </c>
      <c r="I578" s="30"/>
      <c r="J578" s="4"/>
      <c r="K578" s="43"/>
      <c r="L578" s="894"/>
      <c r="M578" s="843"/>
      <c r="N578" s="863"/>
      <c r="O578" s="834"/>
      <c r="W578" s="64"/>
      <c r="X578" s="850"/>
      <c r="Y578" s="1101"/>
      <c r="Z578" s="1104"/>
    </row>
    <row r="579" spans="1:45" ht="15" thickTop="1" x14ac:dyDescent="0.35">
      <c r="A579" s="366">
        <v>6</v>
      </c>
      <c r="B579" s="737">
        <v>603.29999999999995</v>
      </c>
      <c r="C579" s="731"/>
      <c r="D579" s="731"/>
      <c r="E579" s="731"/>
      <c r="F579" s="731"/>
      <c r="G579" s="366" t="str">
        <f>IF(N579&gt;0,"P","")</f>
        <v/>
      </c>
      <c r="H579" s="366" t="s">
        <v>3970</v>
      </c>
      <c r="I579" s="106">
        <v>603.29999999999995</v>
      </c>
      <c r="J579" s="107"/>
      <c r="K579" s="108"/>
      <c r="L579" s="837" t="s">
        <v>654</v>
      </c>
      <c r="M579" s="830">
        <v>4</v>
      </c>
      <c r="N579" s="959">
        <f>'Ch6'!O261</f>
        <v>0</v>
      </c>
      <c r="O579" s="959">
        <f>M579*S579*W579</f>
        <v>0</v>
      </c>
      <c r="P579" s="59" t="b">
        <v>1</v>
      </c>
      <c r="Q579" s="59" t="b">
        <v>1</v>
      </c>
      <c r="R579" s="59" t="b">
        <v>0</v>
      </c>
      <c r="S579" s="59" t="b">
        <v>1</v>
      </c>
      <c r="T579" s="59" t="b">
        <v>0</v>
      </c>
      <c r="U579" s="59"/>
      <c r="V579" s="59"/>
      <c r="W579" s="17"/>
      <c r="X579" s="840"/>
      <c r="Y579" s="1117" t="str">
        <f>IF(LEN('Ch6'!X261)=0,"None",'Ch6'!X261)</f>
        <v>None</v>
      </c>
      <c r="Z579" s="1103"/>
      <c r="AC579" t="b">
        <f>OR(AD579:AE579)</f>
        <v>0</v>
      </c>
      <c r="AD579" t="b">
        <v>0</v>
      </c>
      <c r="AE579" t="b">
        <f>AND(W579=TRUE,LEN(X579)=0)</f>
        <v>0</v>
      </c>
      <c r="AL579" t="str">
        <f>SUBSTITUTE(SUBSTITUTE(SUBSTITUTE("vpa"&amp;$B579&amp;$C579&amp;$D579&amp;$E579,".","_"),"(","_"),")","")</f>
        <v>vpa603_3</v>
      </c>
      <c r="AM579">
        <f>M579</f>
        <v>4</v>
      </c>
      <c r="AN579" t="str">
        <f>SUBSTITUTE(SUBSTITUTE(SUBSTITUTE("vpc"&amp;$B579&amp;$C579&amp;$D579&amp;$E579,".","_"),"(","_"),")","")</f>
        <v>vpc603_3</v>
      </c>
      <c r="AO579">
        <f>O579</f>
        <v>0</v>
      </c>
      <c r="AP579" t="str">
        <f>SUBSTITUTE(SUBSTITUTE(SUBSTITUTE("vch"&amp;$B579&amp;$C579&amp;$D579&amp;$E579,".","_"),"(","_"),")","")</f>
        <v>vch603_3</v>
      </c>
      <c r="AQ579" t="str">
        <f>IF(LEN(W579)=0,"",W579)</f>
        <v/>
      </c>
      <c r="AR579" t="str">
        <f>SUBSTITUTE(SUBSTITUTE(SUBSTITUTE("vnt"&amp;$B579&amp;$C579&amp;$D579&amp;$E579,".","_"),"(","_"),")","")</f>
        <v>vnt603_3</v>
      </c>
      <c r="AS579" t="str">
        <f>IF(LEN(X579)=0,"",X579)</f>
        <v/>
      </c>
    </row>
    <row r="580" spans="1:45" x14ac:dyDescent="0.35">
      <c r="A580" s="366">
        <v>6</v>
      </c>
      <c r="B580" s="737">
        <v>603.29999999999995</v>
      </c>
      <c r="C580" s="731"/>
      <c r="D580" s="731"/>
      <c r="E580" s="731"/>
      <c r="F580" s="731"/>
      <c r="G580" s="366" t="str">
        <f>G579</f>
        <v/>
      </c>
      <c r="H580" s="366" t="s">
        <v>3970</v>
      </c>
      <c r="I580" s="30"/>
      <c r="J580" s="4"/>
      <c r="K580" s="43"/>
      <c r="L580" s="838"/>
      <c r="M580" s="818"/>
      <c r="N580" s="834"/>
      <c r="O580" s="834"/>
      <c r="X580" s="817"/>
      <c r="Y580" s="1100"/>
      <c r="Z580" s="1102"/>
    </row>
    <row r="581" spans="1:45" ht="15" customHeight="1" x14ac:dyDescent="0.35">
      <c r="A581" s="366">
        <v>6</v>
      </c>
      <c r="B581" s="737">
        <v>603.29999999999995</v>
      </c>
      <c r="C581" s="731"/>
      <c r="D581" s="731"/>
      <c r="E581" s="731"/>
      <c r="F581" s="731"/>
      <c r="G581" s="366" t="str">
        <f>G580</f>
        <v/>
      </c>
      <c r="H581" s="366" t="s">
        <v>3970</v>
      </c>
      <c r="I581" s="30"/>
      <c r="J581" s="4"/>
      <c r="K581" s="43"/>
      <c r="L581" s="218" t="s">
        <v>3052</v>
      </c>
      <c r="M581" s="818"/>
      <c r="N581" s="834"/>
      <c r="O581" s="834"/>
      <c r="X581" s="817"/>
      <c r="Y581" s="1100"/>
      <c r="Z581" s="1102"/>
    </row>
    <row r="582" spans="1:45" ht="18.5" x14ac:dyDescent="0.45">
      <c r="A582" s="366">
        <v>6</v>
      </c>
      <c r="B582" s="737">
        <v>604</v>
      </c>
      <c r="C582" s="731"/>
      <c r="D582" s="731"/>
      <c r="E582" s="731"/>
      <c r="F582" s="731"/>
      <c r="G582" s="366" t="s">
        <v>3973</v>
      </c>
      <c r="H582" s="366" t="s">
        <v>3970</v>
      </c>
      <c r="I582" s="10" t="s">
        <v>655</v>
      </c>
      <c r="J582" s="15"/>
      <c r="K582" s="42"/>
      <c r="L582" s="151"/>
      <c r="M582" s="243"/>
      <c r="N582" s="544"/>
      <c r="O582" s="544"/>
      <c r="P582" s="15"/>
      <c r="Q582" s="15"/>
      <c r="R582" s="15"/>
      <c r="S582" s="15"/>
      <c r="T582" s="15"/>
      <c r="U582" s="15"/>
      <c r="V582" s="15"/>
      <c r="W582" s="15"/>
      <c r="X582" s="15"/>
      <c r="Y582" s="15"/>
      <c r="Z582" s="651"/>
    </row>
    <row r="583" spans="1:45" ht="15" customHeight="1" x14ac:dyDescent="0.35">
      <c r="A583" s="366">
        <v>6</v>
      </c>
      <c r="B583" s="737">
        <v>604.1</v>
      </c>
      <c r="C583" s="731" t="s">
        <v>2970</v>
      </c>
      <c r="D583" s="731"/>
      <c r="E583" s="731"/>
      <c r="F583" s="731"/>
      <c r="G583" s="366" t="str">
        <f>IF(N583&gt;0,"P","")</f>
        <v/>
      </c>
      <c r="H583" s="366" t="s">
        <v>3970</v>
      </c>
      <c r="I583" s="30">
        <v>604.1</v>
      </c>
      <c r="J583" s="4"/>
      <c r="K583" s="43"/>
      <c r="L583" s="838" t="s">
        <v>656</v>
      </c>
      <c r="M583" s="843" t="s">
        <v>3058</v>
      </c>
      <c r="N583" s="834">
        <f>'Ch6'!O265</f>
        <v>0</v>
      </c>
      <c r="O583" s="834">
        <f>IFERROR(INDEX({0,1,2,3},MATCH(MIN(W586+0,W584+0),{0,0.25,0.5,0.75},1)),0)+IFERROR(INDEX({0,2,4,6},MATCH(MIN(W588+0,W590+0),{0,0.25,0.5,0.75},1)),0)</f>
        <v>0</v>
      </c>
      <c r="W583" t="s">
        <v>3059</v>
      </c>
      <c r="X583" s="850"/>
      <c r="Y583" s="1100" t="str">
        <f>IF(LEN('Ch6'!X265)=0,"None",'Ch6'!X265)</f>
        <v>None</v>
      </c>
      <c r="Z583" s="1102"/>
      <c r="AL583" t="str">
        <f>SUBSTITUTE(SUBSTITUTE(SUBSTITUTE("vpa"&amp;$B583&amp;$C583&amp;$D583&amp;$E583,".","_"),"(","_"),")","")</f>
        <v>vpa604_1a</v>
      </c>
      <c r="AM583" t="str">
        <f>M583</f>
        <v>per Table
604.1</v>
      </c>
      <c r="AN583" t="str">
        <f>SUBSTITUTE(SUBSTITUTE(SUBSTITUTE("vpc"&amp;$B583&amp;$C583&amp;$D583&amp;$E583,".","_"),"(","_"),")","")</f>
        <v>vpc604_1a</v>
      </c>
      <c r="AO583">
        <f>O583</f>
        <v>0</v>
      </c>
      <c r="AR583" t="str">
        <f>SUBSTITUTE(SUBSTITUTE(SUBSTITUTE("vnt"&amp;$B583&amp;$C583&amp;$D583&amp;$E583,".","_"),"(","_"),")","")</f>
        <v>vnt604_1a</v>
      </c>
      <c r="AS583" t="str">
        <f>IF(LEN(X583)=0,"",X583)</f>
        <v/>
      </c>
    </row>
    <row r="584" spans="1:45" x14ac:dyDescent="0.35">
      <c r="A584" s="366">
        <v>6</v>
      </c>
      <c r="B584" s="737">
        <v>604.1</v>
      </c>
      <c r="C584" s="731" t="s">
        <v>2970</v>
      </c>
      <c r="D584" s="731"/>
      <c r="E584" s="731"/>
      <c r="F584" s="731"/>
      <c r="G584" s="366" t="str">
        <f t="shared" ref="G584:G590" si="36">G583</f>
        <v/>
      </c>
      <c r="H584" s="366" t="s">
        <v>3970</v>
      </c>
      <c r="I584" s="30"/>
      <c r="J584" s="4"/>
      <c r="K584" s="43"/>
      <c r="L584" s="838"/>
      <c r="M584" s="843"/>
      <c r="N584" s="834"/>
      <c r="O584" s="834"/>
      <c r="P584" t="b">
        <v>1</v>
      </c>
      <c r="Q584" t="b">
        <v>1</v>
      </c>
      <c r="R584" t="b">
        <v>0</v>
      </c>
      <c r="S584" t="b">
        <v>1</v>
      </c>
      <c r="T584" t="b">
        <v>0</v>
      </c>
      <c r="W584" s="97"/>
      <c r="X584" s="816"/>
      <c r="Y584" s="1100"/>
      <c r="Z584" s="1102"/>
      <c r="AC584" t="b">
        <f>OR(AD584:AE584)</f>
        <v>0</v>
      </c>
      <c r="AD584" t="b">
        <v>0</v>
      </c>
      <c r="AE584" t="b">
        <f>AND(W584&gt;0,LEN(X583)=0)</f>
        <v>0</v>
      </c>
      <c r="AP584" t="str">
        <f>SUBSTITUTE(SUBSTITUTE(SUBSTITUTE("vch"&amp;$B584&amp;$C584&amp;$D584&amp;$E584,".","_"),"(","_"),")","")</f>
        <v>vch604_1a</v>
      </c>
      <c r="AQ584" t="str">
        <f>IF(LEN(W584)=0,"",W584)</f>
        <v/>
      </c>
    </row>
    <row r="585" spans="1:45" x14ac:dyDescent="0.35">
      <c r="A585" s="366">
        <v>6</v>
      </c>
      <c r="B585" s="737">
        <v>604.1</v>
      </c>
      <c r="C585" s="731" t="s">
        <v>2971</v>
      </c>
      <c r="D585" s="731"/>
      <c r="E585" s="731"/>
      <c r="F585" s="731"/>
      <c r="G585" s="366" t="str">
        <f t="shared" si="36"/>
        <v/>
      </c>
      <c r="H585" s="366" t="s">
        <v>3970</v>
      </c>
      <c r="I585" s="30"/>
      <c r="J585" s="4"/>
      <c r="K585" s="43"/>
      <c r="L585" s="218" t="s">
        <v>3066</v>
      </c>
      <c r="M585" s="843"/>
      <c r="N585" s="834"/>
      <c r="O585" s="834"/>
      <c r="W585" t="s">
        <v>3060</v>
      </c>
      <c r="X585" s="817"/>
      <c r="Y585" s="1100" t="str">
        <f>IF(LEN('Ch6'!X267)=0,"None",'Ch6'!X267)</f>
        <v>None</v>
      </c>
      <c r="Z585" s="1102"/>
      <c r="AR585" t="str">
        <f>SUBSTITUTE(SUBSTITUTE(SUBSTITUTE("vnt"&amp;$B585&amp;$C585&amp;$D585&amp;$E585,".","_"),"(","_"),")","")</f>
        <v>vnt604_1b</v>
      </c>
      <c r="AS585" t="str">
        <f>IF(LEN(X585)=0,"",X585)</f>
        <v/>
      </c>
    </row>
    <row r="586" spans="1:45" x14ac:dyDescent="0.35">
      <c r="A586" s="366">
        <v>6</v>
      </c>
      <c r="B586" s="737">
        <v>604.1</v>
      </c>
      <c r="C586" s="731" t="s">
        <v>2971</v>
      </c>
      <c r="D586" s="731"/>
      <c r="E586" s="731"/>
      <c r="F586" s="731"/>
      <c r="G586" s="366" t="str">
        <f t="shared" si="36"/>
        <v/>
      </c>
      <c r="H586" s="366" t="s">
        <v>3970</v>
      </c>
      <c r="I586" s="30"/>
      <c r="J586" s="4"/>
      <c r="K586" s="43"/>
      <c r="L586" s="170" t="s">
        <v>3063</v>
      </c>
      <c r="M586" s="843"/>
      <c r="N586" s="834"/>
      <c r="O586" s="834"/>
      <c r="P586" t="b">
        <v>1</v>
      </c>
      <c r="Q586" t="b">
        <v>1</v>
      </c>
      <c r="R586" t="b">
        <v>0</v>
      </c>
      <c r="S586" t="b">
        <v>1</v>
      </c>
      <c r="T586" t="b">
        <v>0</v>
      </c>
      <c r="W586" s="97"/>
      <c r="X586" s="817"/>
      <c r="Y586" s="1100"/>
      <c r="Z586" s="1102"/>
      <c r="AC586" t="b">
        <f>OR(AD586:AE586)</f>
        <v>0</v>
      </c>
      <c r="AD586" t="b">
        <v>0</v>
      </c>
      <c r="AE586" t="b">
        <f>AND(W586&gt;0,LEN(X585)=0)</f>
        <v>0</v>
      </c>
      <c r="AP586" t="str">
        <f>SUBSTITUTE(SUBSTITUTE(SUBSTITUTE("vch"&amp;$B586&amp;$C586&amp;$D586&amp;$E586,".","_"),"(","_"),")","")</f>
        <v>vch604_1b</v>
      </c>
      <c r="AQ586" t="str">
        <f>IF(LEN(W586)=0,"",W586)</f>
        <v/>
      </c>
    </row>
    <row r="587" spans="1:45" x14ac:dyDescent="0.35">
      <c r="A587" s="366">
        <v>6</v>
      </c>
      <c r="B587" s="737">
        <v>604.1</v>
      </c>
      <c r="C587" s="731" t="s">
        <v>2972</v>
      </c>
      <c r="D587" s="731"/>
      <c r="E587" s="731"/>
      <c r="F587" s="731"/>
      <c r="G587" s="366" t="str">
        <f t="shared" si="36"/>
        <v/>
      </c>
      <c r="H587" s="366" t="s">
        <v>3970</v>
      </c>
      <c r="I587" s="30"/>
      <c r="J587" s="4"/>
      <c r="K587" s="43"/>
      <c r="L587" s="855" t="s">
        <v>3065</v>
      </c>
      <c r="M587" s="843"/>
      <c r="N587" s="834"/>
      <c r="O587" s="834"/>
      <c r="W587" t="s">
        <v>3062</v>
      </c>
      <c r="X587" s="817"/>
      <c r="Y587" s="1100" t="str">
        <f>IF(LEN('Ch6'!X269)=0,"None",'Ch6'!X269)</f>
        <v>None</v>
      </c>
      <c r="Z587" s="1102"/>
      <c r="AR587" t="str">
        <f>SUBSTITUTE(SUBSTITUTE(SUBSTITUTE("vnt"&amp;$B587&amp;$C587&amp;$D587&amp;$E587,".","_"),"(","_"),")","")</f>
        <v>vnt604_1c</v>
      </c>
      <c r="AS587" t="str">
        <f>IF(LEN(X587)=0,"",X587)</f>
        <v/>
      </c>
    </row>
    <row r="588" spans="1:45" x14ac:dyDescent="0.35">
      <c r="A588" s="366">
        <v>6</v>
      </c>
      <c r="B588" s="737">
        <v>604.1</v>
      </c>
      <c r="C588" s="731" t="s">
        <v>2972</v>
      </c>
      <c r="D588" s="731"/>
      <c r="E588" s="731"/>
      <c r="F588" s="731"/>
      <c r="G588" s="366" t="str">
        <f t="shared" si="36"/>
        <v/>
      </c>
      <c r="H588" s="366" t="s">
        <v>3970</v>
      </c>
      <c r="I588" s="30"/>
      <c r="J588" s="4"/>
      <c r="K588" s="43"/>
      <c r="L588" s="855"/>
      <c r="M588" s="843"/>
      <c r="N588" s="834"/>
      <c r="O588" s="834"/>
      <c r="P588" t="b">
        <v>1</v>
      </c>
      <c r="Q588" t="b">
        <v>1</v>
      </c>
      <c r="R588" t="b">
        <v>0</v>
      </c>
      <c r="S588" t="b">
        <v>1</v>
      </c>
      <c r="T588" t="b">
        <v>0</v>
      </c>
      <c r="W588" s="97"/>
      <c r="X588" s="817"/>
      <c r="Y588" s="1100"/>
      <c r="Z588" s="1102"/>
      <c r="AC588" t="b">
        <f>OR(AD588:AE588)</f>
        <v>0</v>
      </c>
      <c r="AD588" t="b">
        <v>0</v>
      </c>
      <c r="AE588" t="b">
        <f>AND(W588&gt;0,LEN(X587)=0)</f>
        <v>0</v>
      </c>
      <c r="AP588" t="str">
        <f>SUBSTITUTE(SUBSTITUTE(SUBSTITUTE("vch"&amp;$B588&amp;$C588&amp;$D588&amp;$E588,".","_"),"(","_"),")","")</f>
        <v>vch604_1c</v>
      </c>
      <c r="AQ588" t="str">
        <f>IF(LEN(W588)=0,"",W588)</f>
        <v/>
      </c>
    </row>
    <row r="589" spans="1:45" x14ac:dyDescent="0.35">
      <c r="A589" s="366">
        <v>6</v>
      </c>
      <c r="B589" s="737">
        <v>604.1</v>
      </c>
      <c r="C589" s="731" t="s">
        <v>2973</v>
      </c>
      <c r="D589" s="731"/>
      <c r="E589" s="731"/>
      <c r="F589" s="731"/>
      <c r="G589" s="366" t="str">
        <f t="shared" si="36"/>
        <v/>
      </c>
      <c r="H589" s="366" t="s">
        <v>3970</v>
      </c>
      <c r="I589" s="30"/>
      <c r="J589" s="4"/>
      <c r="K589" s="43"/>
      <c r="M589" s="843"/>
      <c r="N589" s="834"/>
      <c r="O589" s="834"/>
      <c r="W589" t="s">
        <v>3061</v>
      </c>
      <c r="X589" s="817"/>
      <c r="Y589" s="1100" t="str">
        <f>IF(LEN('Ch6'!X271)=0,"None",'Ch6'!X271)</f>
        <v>None</v>
      </c>
      <c r="Z589" s="1102"/>
      <c r="AR589" t="str">
        <f>SUBSTITUTE(SUBSTITUTE(SUBSTITUTE("vnt"&amp;$B589&amp;$C589&amp;$D589&amp;$E589,".","_"),"(","_"),")","")</f>
        <v>vnt604_1d</v>
      </c>
      <c r="AS589" t="str">
        <f>IF(LEN(X589)=0,"",X589)</f>
        <v/>
      </c>
    </row>
    <row r="590" spans="1:45" x14ac:dyDescent="0.35">
      <c r="A590" s="366">
        <v>6</v>
      </c>
      <c r="B590" s="737">
        <v>604.1</v>
      </c>
      <c r="C590" s="731" t="s">
        <v>2973</v>
      </c>
      <c r="D590" s="731"/>
      <c r="E590" s="731"/>
      <c r="F590" s="731"/>
      <c r="G590" s="366" t="str">
        <f t="shared" si="36"/>
        <v/>
      </c>
      <c r="H590" s="366" t="s">
        <v>3970</v>
      </c>
      <c r="I590" s="30"/>
      <c r="J590" s="4"/>
      <c r="K590" s="43"/>
      <c r="M590" s="843"/>
      <c r="N590" s="834"/>
      <c r="O590" s="834"/>
      <c r="P590" t="b">
        <v>1</v>
      </c>
      <c r="Q590" t="b">
        <v>1</v>
      </c>
      <c r="R590" t="b">
        <v>0</v>
      </c>
      <c r="S590" t="b">
        <v>1</v>
      </c>
      <c r="T590" t="b">
        <v>0</v>
      </c>
      <c r="W590" s="97"/>
      <c r="X590" s="817"/>
      <c r="Y590" s="1100"/>
      <c r="Z590" s="1102"/>
      <c r="AC590" t="b">
        <f>OR(AD590:AE590)</f>
        <v>0</v>
      </c>
      <c r="AD590" t="b">
        <v>0</v>
      </c>
      <c r="AE590" t="b">
        <f>AND(W590&gt;0,LEN(X589)=0)</f>
        <v>0</v>
      </c>
      <c r="AP590" t="str">
        <f>SUBSTITUTE(SUBSTITUTE(SUBSTITUTE("vch"&amp;$B590&amp;$C590&amp;$D590&amp;$E590,".","_"),"(","_"),")","")</f>
        <v>vch604_1d</v>
      </c>
      <c r="AQ590" t="str">
        <f>IF(LEN(W590)=0,"",W590)</f>
        <v/>
      </c>
    </row>
    <row r="591" spans="1:45" ht="18.5" x14ac:dyDescent="0.45">
      <c r="A591" s="366">
        <v>6</v>
      </c>
      <c r="B591" s="737">
        <v>605</v>
      </c>
      <c r="C591" s="731"/>
      <c r="D591" s="731"/>
      <c r="E591" s="731"/>
      <c r="F591" s="731"/>
      <c r="G591" s="366" t="s">
        <v>3973</v>
      </c>
      <c r="H591" s="366" t="s">
        <v>3970</v>
      </c>
      <c r="I591" s="10" t="s">
        <v>657</v>
      </c>
      <c r="J591" s="15"/>
      <c r="K591" s="42"/>
      <c r="L591" s="150"/>
      <c r="M591" s="243"/>
      <c r="N591" s="544"/>
      <c r="O591" s="544"/>
      <c r="P591" s="15"/>
      <c r="Q591" s="15"/>
      <c r="R591" s="15"/>
      <c r="S591" s="15"/>
      <c r="T591" s="15"/>
      <c r="U591" s="15"/>
      <c r="V591" s="15"/>
      <c r="W591" s="15"/>
      <c r="X591" s="15"/>
      <c r="Y591" s="15"/>
      <c r="Z591" s="651"/>
    </row>
    <row r="592" spans="1:45" ht="15" customHeight="1" thickBot="1" x14ac:dyDescent="0.4">
      <c r="A592" s="366">
        <v>6</v>
      </c>
      <c r="B592" s="737" t="s">
        <v>3981</v>
      </c>
      <c r="C592" s="731"/>
      <c r="D592" s="731"/>
      <c r="E592" s="731"/>
      <c r="F592" s="731"/>
      <c r="I592" s="38" t="s">
        <v>3981</v>
      </c>
      <c r="J592" s="160"/>
      <c r="K592" s="53"/>
      <c r="L592" s="575" t="s">
        <v>4168</v>
      </c>
      <c r="M592" s="270"/>
      <c r="N592" s="55"/>
      <c r="O592" s="72"/>
      <c r="P592" s="55"/>
      <c r="Q592" s="55"/>
      <c r="R592" s="55"/>
      <c r="S592" s="55"/>
      <c r="T592" s="55"/>
      <c r="W592" s="55"/>
      <c r="X592" s="55"/>
      <c r="Y592" s="55"/>
      <c r="Z592" s="653"/>
    </row>
    <row r="593" spans="1:45" ht="15" thickTop="1" x14ac:dyDescent="0.35">
      <c r="A593" s="366">
        <v>6</v>
      </c>
      <c r="B593" s="737">
        <v>605.1</v>
      </c>
      <c r="C593" s="731"/>
      <c r="D593" s="731"/>
      <c r="E593" s="731"/>
      <c r="F593" s="731"/>
      <c r="G593" s="366" t="s">
        <v>3973</v>
      </c>
      <c r="H593" s="366" t="s">
        <v>3971</v>
      </c>
      <c r="I593" s="106">
        <v>605.1</v>
      </c>
      <c r="J593" s="4"/>
      <c r="K593" s="43"/>
      <c r="L593" s="884" t="s">
        <v>4169</v>
      </c>
      <c r="M593" s="885" t="str">
        <f>IF(R593,"Mandatory","N/A")</f>
        <v>Mandatory</v>
      </c>
      <c r="O593" s="41"/>
      <c r="P593" t="b">
        <v>1</v>
      </c>
      <c r="Q593" t="b">
        <v>0</v>
      </c>
      <c r="R593" t="b">
        <f>S593</f>
        <v>1</v>
      </c>
      <c r="S593" t="b">
        <v>1</v>
      </c>
      <c r="T593" t="b">
        <v>0</v>
      </c>
      <c r="W593" s="69"/>
      <c r="X593" s="816"/>
      <c r="Y593" s="1141" t="str">
        <f>IF(LEN('Ch6'!X275)=0,"None",'Ch6'!X275)</f>
        <v>None</v>
      </c>
      <c r="Z593" s="1107"/>
      <c r="AC593" t="b">
        <f>OR(AD593:AE593)</f>
        <v>1</v>
      </c>
      <c r="AD593" t="b">
        <v>0</v>
      </c>
      <c r="AE593" t="b">
        <f>AND(R593,NOT(W593))</f>
        <v>1</v>
      </c>
      <c r="AF593" t="b">
        <f>AND(AE593,NOT(Q593))</f>
        <v>1</v>
      </c>
      <c r="AL593" t="str">
        <f>SUBSTITUTE(SUBSTITUTE(SUBSTITUTE("vpa"&amp;$B593&amp;$C593&amp;$D593&amp;$E593,".","_"),"(","_"),")","")</f>
        <v>vpa605_1</v>
      </c>
      <c r="AM593" t="str">
        <f>M593</f>
        <v>Mandatory</v>
      </c>
      <c r="AP593" t="str">
        <f>SUBSTITUTE(SUBSTITUTE(SUBSTITUTE("vch"&amp;$B593&amp;$C593&amp;$D593&amp;$E593,".","_"),"(","_"),")","")</f>
        <v>vch605_1</v>
      </c>
      <c r="AQ593" t="str">
        <f>IF(LEN(W593)=0,"",W593)</f>
        <v/>
      </c>
      <c r="AR593" t="str">
        <f>SUBSTITUTE(SUBSTITUTE(SUBSTITUTE("vnt"&amp;$B593&amp;$C593&amp;$D593&amp;$E593,".","_"),"(","_"),")","")</f>
        <v>vnt605_1</v>
      </c>
      <c r="AS593" t="str">
        <f>IF(LEN(X593)=0,"",X593)</f>
        <v/>
      </c>
    </row>
    <row r="594" spans="1:45" x14ac:dyDescent="0.35">
      <c r="A594" s="366">
        <v>6</v>
      </c>
      <c r="B594" s="737">
        <v>605.1</v>
      </c>
      <c r="C594" s="731"/>
      <c r="D594" s="731"/>
      <c r="E594" s="731"/>
      <c r="F594" s="731"/>
      <c r="G594" s="366" t="s">
        <v>3973</v>
      </c>
      <c r="H594" s="366" t="s">
        <v>3971</v>
      </c>
      <c r="I594" s="38"/>
      <c r="J594" s="4"/>
      <c r="K594" s="43"/>
      <c r="L594" s="884"/>
      <c r="M594" s="885"/>
      <c r="O594" s="41"/>
      <c r="X594" s="817"/>
      <c r="Y594" s="1120"/>
      <c r="Z594" s="1109"/>
    </row>
    <row r="595" spans="1:45" ht="15" thickBot="1" x14ac:dyDescent="0.4">
      <c r="A595" s="366">
        <v>6</v>
      </c>
      <c r="B595" s="737">
        <v>605.1</v>
      </c>
      <c r="C595" s="731"/>
      <c r="D595" s="731"/>
      <c r="E595" s="731"/>
      <c r="F595" s="731"/>
      <c r="G595" s="366" t="s">
        <v>3973</v>
      </c>
      <c r="H595" s="366" t="s">
        <v>3971</v>
      </c>
      <c r="I595" s="38"/>
      <c r="J595" s="4"/>
      <c r="K595" s="43"/>
      <c r="L595" s="884"/>
      <c r="M595" s="886"/>
      <c r="O595" s="41"/>
      <c r="W595" s="55"/>
      <c r="X595" s="817"/>
      <c r="Y595" s="1121"/>
      <c r="Z595" s="1108"/>
    </row>
    <row r="596" spans="1:45" ht="15.75" customHeight="1" thickTop="1" x14ac:dyDescent="0.35">
      <c r="A596" s="366">
        <v>6</v>
      </c>
      <c r="B596" s="737">
        <v>605.20000000000005</v>
      </c>
      <c r="C596" s="731"/>
      <c r="D596" s="731"/>
      <c r="E596" s="731"/>
      <c r="F596" s="731"/>
      <c r="G596" s="366" t="str">
        <f>IF(N596&gt;0,"P","")</f>
        <v/>
      </c>
      <c r="H596" s="366" t="s">
        <v>3970</v>
      </c>
      <c r="I596" s="106">
        <v>605.20000000000005</v>
      </c>
      <c r="J596" s="107"/>
      <c r="K596" s="108"/>
      <c r="L596" s="837" t="s">
        <v>4170</v>
      </c>
      <c r="M596" s="830">
        <v>6</v>
      </c>
      <c r="N596" s="959">
        <f>'Ch6'!O278</f>
        <v>0</v>
      </c>
      <c r="O596" s="959">
        <f>M596*S596*IFERROR(OR(W596,W609),0)</f>
        <v>0</v>
      </c>
      <c r="P596" t="b">
        <v>1</v>
      </c>
      <c r="Q596" t="b">
        <v>1</v>
      </c>
      <c r="R596" s="59" t="b">
        <v>0</v>
      </c>
      <c r="S596" s="59" t="b">
        <v>1</v>
      </c>
      <c r="T596" s="59" t="b">
        <v>0</v>
      </c>
      <c r="U596" s="59"/>
      <c r="V596" s="59"/>
      <c r="W596" s="17"/>
      <c r="X596" s="840"/>
      <c r="Y596" s="1117" t="str">
        <f>IF(LEN('Ch6'!X278)=0,"None",'Ch6'!X278)</f>
        <v>None</v>
      </c>
      <c r="Z596" s="1103"/>
      <c r="AL596" t="str">
        <f>SUBSTITUTE(SUBSTITUTE(SUBSTITUTE("vpa"&amp;$B596&amp;$C596&amp;$D596&amp;$E596,".","_"),"(","_"),")","")</f>
        <v>vpa605_2</v>
      </c>
      <c r="AM596">
        <f>M596</f>
        <v>6</v>
      </c>
      <c r="AN596" t="str">
        <f>SUBSTITUTE(SUBSTITUTE(SUBSTITUTE("vpc"&amp;$B596&amp;$C596&amp;$D596&amp;$E596,".","_"),"(","_"),")","")</f>
        <v>vpc605_2</v>
      </c>
      <c r="AO596">
        <f>O596</f>
        <v>0</v>
      </c>
      <c r="AP596" t="str">
        <f>SUBSTITUTE(SUBSTITUTE(SUBSTITUTE("vch"&amp;$B596&amp;$C596&amp;$D596&amp;$E596,".","_"),"(","_"),")","")</f>
        <v>vch605_2</v>
      </c>
      <c r="AQ596" t="str">
        <f>IF(LEN(W596)=0,"",W596)</f>
        <v/>
      </c>
      <c r="AR596" t="str">
        <f>SUBSTITUTE(SUBSTITUTE(SUBSTITUTE("vnt"&amp;$B596&amp;$C596&amp;$D596&amp;$E596,".","_"),"(","_"),")","")</f>
        <v>vnt605_2</v>
      </c>
      <c r="AS596" t="str">
        <f>IF(LEN(X596)=0,"",X596)</f>
        <v/>
      </c>
    </row>
    <row r="597" spans="1:45" x14ac:dyDescent="0.35">
      <c r="A597" s="366">
        <v>6</v>
      </c>
      <c r="B597" s="737">
        <v>605.20000000000005</v>
      </c>
      <c r="C597" s="731"/>
      <c r="D597" s="731"/>
      <c r="E597" s="731"/>
      <c r="F597" s="731"/>
      <c r="G597" s="366" t="str">
        <f t="shared" ref="G597:G610" si="37">G596</f>
        <v/>
      </c>
      <c r="H597" s="366" t="s">
        <v>3970</v>
      </c>
      <c r="I597" s="30"/>
      <c r="J597" s="4"/>
      <c r="K597" s="43"/>
      <c r="L597" s="838"/>
      <c r="M597" s="818"/>
      <c r="N597" s="834"/>
      <c r="O597" s="834"/>
      <c r="X597" s="817"/>
      <c r="Y597" s="1100"/>
      <c r="Z597" s="1102"/>
    </row>
    <row r="598" spans="1:45" x14ac:dyDescent="0.35">
      <c r="A598" s="366">
        <v>6</v>
      </c>
      <c r="B598" s="737">
        <v>605.20000000000005</v>
      </c>
      <c r="C598" s="731"/>
      <c r="D598" s="731"/>
      <c r="E598" s="731"/>
      <c r="F598" s="731"/>
      <c r="G598" s="366" t="str">
        <f t="shared" si="37"/>
        <v/>
      </c>
      <c r="H598" s="366" t="s">
        <v>3970</v>
      </c>
      <c r="I598" s="30"/>
      <c r="J598" s="4"/>
      <c r="K598" s="43"/>
      <c r="L598" s="838"/>
      <c r="M598" s="818"/>
      <c r="N598" s="834"/>
      <c r="O598" s="834"/>
      <c r="X598" s="817"/>
      <c r="Y598" s="1100"/>
      <c r="Z598" s="1102"/>
    </row>
    <row r="599" spans="1:45" x14ac:dyDescent="0.35">
      <c r="A599" s="366">
        <v>6</v>
      </c>
      <c r="B599" s="737">
        <v>605.20000000000005</v>
      </c>
      <c r="C599" s="731"/>
      <c r="D599" s="731"/>
      <c r="E599" s="731"/>
      <c r="F599" s="731"/>
      <c r="G599" s="366" t="str">
        <f t="shared" si="37"/>
        <v/>
      </c>
      <c r="H599" s="366" t="s">
        <v>3970</v>
      </c>
      <c r="I599" s="30"/>
      <c r="J599" s="4"/>
      <c r="K599" s="43"/>
      <c r="L599" s="838"/>
      <c r="M599" s="818"/>
      <c r="N599" s="834"/>
      <c r="O599" s="834"/>
      <c r="X599" s="817"/>
      <c r="Y599" s="1100"/>
      <c r="Z599" s="1102"/>
    </row>
    <row r="600" spans="1:45" x14ac:dyDescent="0.35">
      <c r="A600" s="366">
        <v>6</v>
      </c>
      <c r="B600" s="737">
        <v>605.20000000000005</v>
      </c>
      <c r="C600" s="731"/>
      <c r="D600" s="731"/>
      <c r="E600" s="731"/>
      <c r="F600" s="731"/>
      <c r="G600" s="366" t="str">
        <f t="shared" si="37"/>
        <v/>
      </c>
      <c r="H600" s="366" t="s">
        <v>3970</v>
      </c>
      <c r="I600" s="30"/>
      <c r="J600" s="4"/>
      <c r="K600" s="43"/>
      <c r="L600" s="838"/>
      <c r="M600" s="818"/>
      <c r="N600" s="834"/>
      <c r="O600" s="834"/>
      <c r="X600" s="817"/>
      <c r="Y600" s="1100"/>
      <c r="Z600" s="1102"/>
    </row>
    <row r="601" spans="1:45" x14ac:dyDescent="0.35">
      <c r="A601" s="366">
        <v>6</v>
      </c>
      <c r="B601" s="737">
        <v>605.20000000000005</v>
      </c>
      <c r="C601" s="731"/>
      <c r="D601" s="731"/>
      <c r="E601" s="731"/>
      <c r="F601" s="731"/>
      <c r="G601" s="366" t="str">
        <f t="shared" si="37"/>
        <v/>
      </c>
      <c r="H601" s="366" t="s">
        <v>3970</v>
      </c>
      <c r="I601" s="30"/>
      <c r="J601" s="4"/>
      <c r="K601" s="43"/>
      <c r="L601" s="838"/>
      <c r="M601" s="818"/>
      <c r="N601" s="834"/>
      <c r="O601" s="834"/>
      <c r="X601" s="817"/>
      <c r="Y601" s="1100"/>
      <c r="Z601" s="1102"/>
    </row>
    <row r="602" spans="1:45" ht="15" customHeight="1" x14ac:dyDescent="0.35">
      <c r="A602" s="366">
        <v>6</v>
      </c>
      <c r="B602" s="737">
        <v>605.20000000000005</v>
      </c>
      <c r="C602" s="731"/>
      <c r="D602" s="731"/>
      <c r="E602" s="731"/>
      <c r="F602" s="731"/>
      <c r="G602" s="366" t="str">
        <f t="shared" si="37"/>
        <v/>
      </c>
      <c r="H602" s="366" t="s">
        <v>3970</v>
      </c>
      <c r="I602" s="30"/>
      <c r="J602" s="4"/>
      <c r="K602" s="43"/>
      <c r="L602" s="814" t="s">
        <v>4174</v>
      </c>
      <c r="M602" s="818"/>
      <c r="N602" s="834"/>
      <c r="O602" s="834"/>
      <c r="X602" s="817"/>
      <c r="Y602" s="1100"/>
      <c r="Z602" s="1102"/>
    </row>
    <row r="603" spans="1:45" x14ac:dyDescent="0.35">
      <c r="A603" s="366">
        <v>6</v>
      </c>
      <c r="B603" s="737">
        <v>605.20000000000005</v>
      </c>
      <c r="C603" s="731"/>
      <c r="D603" s="731"/>
      <c r="E603" s="731"/>
      <c r="F603" s="731"/>
      <c r="G603" s="366" t="str">
        <f t="shared" si="37"/>
        <v/>
      </c>
      <c r="H603" s="366" t="s">
        <v>3970</v>
      </c>
      <c r="I603" s="30"/>
      <c r="J603" s="4"/>
      <c r="K603" s="43"/>
      <c r="L603" s="814"/>
      <c r="M603" s="818"/>
      <c r="N603" s="834"/>
      <c r="O603" s="834"/>
      <c r="X603" s="817"/>
      <c r="Y603" s="1100"/>
      <c r="Z603" s="1102"/>
    </row>
    <row r="604" spans="1:45" x14ac:dyDescent="0.35">
      <c r="A604" s="366">
        <v>6</v>
      </c>
      <c r="B604" s="737">
        <v>605.20000000000005</v>
      </c>
      <c r="C604" s="731"/>
      <c r="D604" s="731"/>
      <c r="E604" s="731"/>
      <c r="F604" s="731"/>
      <c r="G604" s="366" t="str">
        <f t="shared" si="37"/>
        <v/>
      </c>
      <c r="H604" s="366" t="s">
        <v>3970</v>
      </c>
      <c r="I604" s="30"/>
      <c r="J604" s="4"/>
      <c r="K604" s="43"/>
      <c r="L604" s="814"/>
      <c r="M604" s="818"/>
      <c r="N604" s="834"/>
      <c r="O604" s="834"/>
      <c r="X604" s="817"/>
      <c r="Y604" s="1100"/>
      <c r="Z604" s="1102"/>
    </row>
    <row r="605" spans="1:45" x14ac:dyDescent="0.35">
      <c r="A605" s="366">
        <v>6</v>
      </c>
      <c r="B605" s="737">
        <v>605.20000000000005</v>
      </c>
      <c r="C605" s="731"/>
      <c r="D605" s="731"/>
      <c r="E605" s="731"/>
      <c r="F605" s="731"/>
      <c r="G605" s="366" t="str">
        <f t="shared" si="37"/>
        <v/>
      </c>
      <c r="H605" s="366" t="s">
        <v>3970</v>
      </c>
      <c r="I605" s="30"/>
      <c r="J605" s="4"/>
      <c r="K605" s="43"/>
      <c r="L605" s="814"/>
      <c r="M605" s="818"/>
      <c r="N605" s="834"/>
      <c r="O605" s="834"/>
      <c r="X605" s="817"/>
      <c r="Y605" s="1100"/>
      <c r="Z605" s="1102"/>
    </row>
    <row r="606" spans="1:45" x14ac:dyDescent="0.35">
      <c r="A606" s="366">
        <v>6</v>
      </c>
      <c r="B606" s="737">
        <v>605.20000000000005</v>
      </c>
      <c r="C606" s="731"/>
      <c r="D606" s="731"/>
      <c r="E606" s="731"/>
      <c r="F606" s="731"/>
      <c r="G606" s="366" t="str">
        <f t="shared" si="37"/>
        <v/>
      </c>
      <c r="H606" s="366" t="s">
        <v>3970</v>
      </c>
      <c r="I606" s="30"/>
      <c r="J606" s="4"/>
      <c r="K606" s="43"/>
      <c r="L606" s="95" t="s">
        <v>658</v>
      </c>
      <c r="M606" s="818"/>
      <c r="N606" s="834"/>
      <c r="O606" s="834"/>
      <c r="X606" s="817"/>
      <c r="Y606" s="1100"/>
      <c r="Z606" s="1102"/>
    </row>
    <row r="607" spans="1:45" ht="15" customHeight="1" x14ac:dyDescent="0.35">
      <c r="A607" s="366">
        <v>6</v>
      </c>
      <c r="B607" s="737">
        <v>605.20000000000005</v>
      </c>
      <c r="C607" s="731" t="s">
        <v>256</v>
      </c>
      <c r="D607" s="731"/>
      <c r="E607" s="731"/>
      <c r="F607" s="731"/>
      <c r="G607" s="366" t="str">
        <f t="shared" si="37"/>
        <v/>
      </c>
      <c r="H607" s="366" t="s">
        <v>3970</v>
      </c>
      <c r="I607" s="30"/>
      <c r="J607" s="19" t="s">
        <v>256</v>
      </c>
      <c r="K607" s="43"/>
      <c r="L607" s="814" t="s">
        <v>4175</v>
      </c>
      <c r="M607" s="818"/>
      <c r="N607" s="834"/>
      <c r="O607" s="834"/>
      <c r="X607" s="817"/>
      <c r="Y607" s="1100"/>
      <c r="Z607" s="1102"/>
    </row>
    <row r="608" spans="1:45" x14ac:dyDescent="0.35">
      <c r="A608" s="366">
        <v>6</v>
      </c>
      <c r="B608" s="737">
        <v>605.20000000000005</v>
      </c>
      <c r="C608" s="731" t="s">
        <v>256</v>
      </c>
      <c r="D608" s="731"/>
      <c r="E608" s="731"/>
      <c r="F608" s="731"/>
      <c r="G608" s="366" t="str">
        <f t="shared" si="37"/>
        <v/>
      </c>
      <c r="H608" s="366" t="s">
        <v>3970</v>
      </c>
      <c r="I608" s="30"/>
      <c r="J608" s="4"/>
      <c r="K608" s="43"/>
      <c r="L608" s="814"/>
      <c r="M608" s="818"/>
      <c r="N608" s="834"/>
      <c r="O608" s="834"/>
      <c r="X608" s="817"/>
      <c r="Y608" s="1100"/>
      <c r="Z608" s="1102"/>
    </row>
    <row r="609" spans="1:45" x14ac:dyDescent="0.35">
      <c r="A609" s="366">
        <v>6</v>
      </c>
      <c r="B609" s="737">
        <v>605.20000000000005</v>
      </c>
      <c r="C609" s="731" t="s">
        <v>258</v>
      </c>
      <c r="D609" s="731"/>
      <c r="E609" s="731"/>
      <c r="F609" s="731"/>
      <c r="G609" s="366" t="str">
        <f t="shared" si="37"/>
        <v/>
      </c>
      <c r="H609" s="366" t="s">
        <v>3970</v>
      </c>
      <c r="I609" s="30"/>
      <c r="J609" s="19" t="s">
        <v>258</v>
      </c>
      <c r="K609" s="43"/>
      <c r="L609" s="814" t="s">
        <v>659</v>
      </c>
      <c r="M609" s="818"/>
      <c r="N609" s="834"/>
      <c r="O609" s="834"/>
      <c r="P609" t="b">
        <v>1</v>
      </c>
      <c r="Q609" t="b">
        <v>1</v>
      </c>
      <c r="R609" t="b">
        <v>0</v>
      </c>
      <c r="S609" t="b">
        <v>1</v>
      </c>
      <c r="T609" t="b">
        <v>0</v>
      </c>
      <c r="W609" s="17"/>
      <c r="X609" s="817"/>
      <c r="Y609" s="1100"/>
      <c r="Z609" s="1102"/>
      <c r="AP609" t="str">
        <f>SUBSTITUTE(SUBSTITUTE(SUBSTITUTE("vch"&amp;$B609&amp;$C609&amp;$D609&amp;$E609,".","_"),"(","_"),")","")</f>
        <v>vch605_2_2</v>
      </c>
      <c r="AQ609" t="str">
        <f>IF(LEN(W609)=0,"",W609)</f>
        <v/>
      </c>
    </row>
    <row r="610" spans="1:45" ht="15" thickBot="1" x14ac:dyDescent="0.4">
      <c r="A610" s="366">
        <v>6</v>
      </c>
      <c r="B610" s="737">
        <v>605.20000000000005</v>
      </c>
      <c r="C610" s="731" t="s">
        <v>258</v>
      </c>
      <c r="D610" s="731"/>
      <c r="E610" s="731"/>
      <c r="F610" s="731"/>
      <c r="G610" s="366" t="str">
        <f t="shared" si="37"/>
        <v/>
      </c>
      <c r="H610" s="366" t="s">
        <v>3970</v>
      </c>
      <c r="I610" s="30"/>
      <c r="J610" s="4"/>
      <c r="K610" s="43"/>
      <c r="L610" s="814"/>
      <c r="M610" s="818"/>
      <c r="N610" s="863"/>
      <c r="O610" s="834"/>
      <c r="W610" s="168"/>
      <c r="X610" s="850"/>
      <c r="Y610" s="1101"/>
      <c r="Z610" s="1104"/>
    </row>
    <row r="611" spans="1:45" ht="15.75" customHeight="1" thickTop="1" x14ac:dyDescent="0.35">
      <c r="A611" s="366">
        <v>6</v>
      </c>
      <c r="B611" s="737">
        <v>605.29999999999995</v>
      </c>
      <c r="C611" s="731"/>
      <c r="D611" s="731"/>
      <c r="E611" s="731"/>
      <c r="F611" s="731"/>
      <c r="G611" s="366" t="str">
        <f>IF(N611&gt;0,"P","")</f>
        <v/>
      </c>
      <c r="H611" s="366" t="s">
        <v>3970</v>
      </c>
      <c r="I611" s="106">
        <v>605.29999999999995</v>
      </c>
      <c r="J611" s="107"/>
      <c r="K611" s="108"/>
      <c r="L611" s="837" t="s">
        <v>4171</v>
      </c>
      <c r="M611" s="830">
        <v>7</v>
      </c>
      <c r="N611" s="959">
        <f>'Ch6'!O293</f>
        <v>0</v>
      </c>
      <c r="O611" s="959">
        <f>M611*S611*W611</f>
        <v>0</v>
      </c>
      <c r="P611" t="b">
        <v>1</v>
      </c>
      <c r="Q611" t="b">
        <v>1</v>
      </c>
      <c r="R611" s="59" t="b">
        <v>0</v>
      </c>
      <c r="S611" s="59" t="b">
        <v>1</v>
      </c>
      <c r="T611" s="59" t="b">
        <v>0</v>
      </c>
      <c r="U611" s="59"/>
      <c r="V611" s="59"/>
      <c r="W611" s="17"/>
      <c r="X611" s="840"/>
      <c r="Y611" s="1117" t="str">
        <f>IF(LEN('Ch6'!X293)=0,"None",'Ch6'!X293)</f>
        <v>None</v>
      </c>
      <c r="Z611" s="1103"/>
      <c r="AL611" t="str">
        <f>SUBSTITUTE(SUBSTITUTE(SUBSTITUTE("vpa"&amp;$B611&amp;$C611&amp;$D611&amp;$E611,".","_"),"(","_"),")","")</f>
        <v>vpa605_3</v>
      </c>
      <c r="AM611">
        <f>M611</f>
        <v>7</v>
      </c>
      <c r="AN611" t="str">
        <f>SUBSTITUTE(SUBSTITUTE(SUBSTITUTE("vpc"&amp;$B611&amp;$C611&amp;$D611&amp;$E611,".","_"),"(","_"),")","")</f>
        <v>vpc605_3</v>
      </c>
      <c r="AO611">
        <f>O611</f>
        <v>0</v>
      </c>
      <c r="AP611" t="str">
        <f>SUBSTITUTE(SUBSTITUTE(SUBSTITUTE("vch"&amp;$B611&amp;$C611&amp;$D611&amp;$E611,".","_"),"(","_"),")","")</f>
        <v>vch605_3</v>
      </c>
      <c r="AQ611" t="str">
        <f>IF(LEN(W611)=0,"",W611)</f>
        <v/>
      </c>
      <c r="AR611" t="str">
        <f>SUBSTITUTE(SUBSTITUTE(SUBSTITUTE("vnt"&amp;$B611&amp;$C611&amp;$D611&amp;$E611,".","_"),"(","_"),")","")</f>
        <v>vnt605_3</v>
      </c>
      <c r="AS611" t="str">
        <f>IF(LEN(X611)=0,"",X611)</f>
        <v/>
      </c>
    </row>
    <row r="612" spans="1:45" x14ac:dyDescent="0.35">
      <c r="A612" s="366">
        <v>6</v>
      </c>
      <c r="B612" s="737">
        <v>605.29999999999995</v>
      </c>
      <c r="C612" s="731"/>
      <c r="D612" s="731"/>
      <c r="E612" s="731"/>
      <c r="F612" s="731"/>
      <c r="G612" s="366" t="str">
        <f t="shared" ref="G612:G619" si="38">G611</f>
        <v/>
      </c>
      <c r="H612" s="366" t="s">
        <v>3970</v>
      </c>
      <c r="I612" s="30"/>
      <c r="J612" s="4"/>
      <c r="K612" s="43"/>
      <c r="L612" s="838"/>
      <c r="M612" s="818"/>
      <c r="N612" s="834"/>
      <c r="O612" s="834"/>
      <c r="X612" s="817"/>
      <c r="Y612" s="1100"/>
      <c r="Z612" s="1102"/>
    </row>
    <row r="613" spans="1:45" x14ac:dyDescent="0.35">
      <c r="A613" s="366">
        <v>6</v>
      </c>
      <c r="B613" s="737">
        <v>605.29999999999995</v>
      </c>
      <c r="C613" s="731"/>
      <c r="D613" s="731" t="s">
        <v>121</v>
      </c>
      <c r="E613" s="731"/>
      <c r="F613" s="731"/>
      <c r="G613" s="366" t="str">
        <f t="shared" si="38"/>
        <v/>
      </c>
      <c r="H613" s="732" t="s">
        <v>3970</v>
      </c>
      <c r="I613" s="30"/>
      <c r="J613" s="4"/>
      <c r="K613" s="47" t="s">
        <v>121</v>
      </c>
      <c r="L613" s="814" t="s">
        <v>660</v>
      </c>
      <c r="M613" s="40"/>
      <c r="N613" s="41"/>
      <c r="O613" s="41"/>
      <c r="X613" s="817"/>
      <c r="Y613" s="1100"/>
      <c r="Z613" s="1102"/>
    </row>
    <row r="614" spans="1:45" x14ac:dyDescent="0.35">
      <c r="A614" s="366">
        <v>6</v>
      </c>
      <c r="B614" s="737">
        <v>605.29999999999995</v>
      </c>
      <c r="C614" s="731"/>
      <c r="D614" s="731" t="s">
        <v>121</v>
      </c>
      <c r="E614" s="731"/>
      <c r="F614" s="731"/>
      <c r="G614" s="366" t="str">
        <f t="shared" si="38"/>
        <v/>
      </c>
      <c r="H614" s="732" t="s">
        <v>3970</v>
      </c>
      <c r="I614" s="30"/>
      <c r="J614" s="4"/>
      <c r="K614" s="43"/>
      <c r="L614" s="814"/>
      <c r="M614" s="40"/>
      <c r="N614" s="41"/>
      <c r="O614" s="41"/>
      <c r="X614" s="817"/>
      <c r="Y614" s="1100"/>
      <c r="Z614" s="1102"/>
    </row>
    <row r="615" spans="1:45" x14ac:dyDescent="0.35">
      <c r="A615" s="366">
        <v>6</v>
      </c>
      <c r="B615" s="737">
        <v>605.29999999999995</v>
      </c>
      <c r="C615" s="731"/>
      <c r="D615" s="731" t="s">
        <v>121</v>
      </c>
      <c r="E615" s="731"/>
      <c r="F615" s="731"/>
      <c r="G615" s="366" t="str">
        <f t="shared" si="38"/>
        <v/>
      </c>
      <c r="H615" s="732" t="s">
        <v>3970</v>
      </c>
      <c r="I615" s="30"/>
      <c r="J615" s="4"/>
      <c r="K615" s="101"/>
      <c r="L615" s="815"/>
      <c r="M615" s="40"/>
      <c r="N615" s="41"/>
      <c r="O615" s="41"/>
      <c r="X615" s="817"/>
      <c r="Y615" s="1100"/>
      <c r="Z615" s="1102"/>
    </row>
    <row r="616" spans="1:45" x14ac:dyDescent="0.35">
      <c r="A616" s="366">
        <v>6</v>
      </c>
      <c r="B616" s="737">
        <v>605.29999999999995</v>
      </c>
      <c r="C616" s="731"/>
      <c r="D616" s="731" t="s">
        <v>122</v>
      </c>
      <c r="E616" s="731"/>
      <c r="F616" s="731"/>
      <c r="G616" s="366" t="str">
        <f t="shared" si="38"/>
        <v/>
      </c>
      <c r="H616" s="732" t="s">
        <v>3970</v>
      </c>
      <c r="I616" s="30"/>
      <c r="J616" s="4"/>
      <c r="K616" s="135" t="s">
        <v>122</v>
      </c>
      <c r="L616" s="178" t="s">
        <v>661</v>
      </c>
      <c r="M616" s="40"/>
      <c r="N616" s="41"/>
      <c r="O616" s="41"/>
      <c r="X616" s="817"/>
      <c r="Y616" s="1100"/>
      <c r="Z616" s="1102"/>
    </row>
    <row r="617" spans="1:45" x14ac:dyDescent="0.35">
      <c r="A617" s="366">
        <v>6</v>
      </c>
      <c r="B617" s="737">
        <v>605.29999999999995</v>
      </c>
      <c r="C617" s="731"/>
      <c r="D617" s="731" t="s">
        <v>123</v>
      </c>
      <c r="E617" s="731"/>
      <c r="F617" s="731"/>
      <c r="G617" s="366" t="str">
        <f t="shared" si="38"/>
        <v/>
      </c>
      <c r="H617" s="732" t="s">
        <v>3970</v>
      </c>
      <c r="I617" s="30"/>
      <c r="J617" s="4"/>
      <c r="K617" s="49" t="s">
        <v>123</v>
      </c>
      <c r="L617" s="814" t="s">
        <v>662</v>
      </c>
      <c r="M617" s="40"/>
      <c r="N617" s="41"/>
      <c r="O617" s="41"/>
      <c r="X617" s="817"/>
      <c r="Y617" s="1100"/>
      <c r="Z617" s="1102"/>
    </row>
    <row r="618" spans="1:45" x14ac:dyDescent="0.35">
      <c r="A618" s="366">
        <v>6</v>
      </c>
      <c r="B618" s="737">
        <v>605.29999999999995</v>
      </c>
      <c r="C618" s="731"/>
      <c r="D618" s="731" t="s">
        <v>123</v>
      </c>
      <c r="E618" s="731"/>
      <c r="F618" s="731"/>
      <c r="G618" s="366" t="str">
        <f t="shared" si="38"/>
        <v/>
      </c>
      <c r="H618" s="732" t="s">
        <v>3970</v>
      </c>
      <c r="I618" s="30"/>
      <c r="J618" s="4"/>
      <c r="K618" s="45"/>
      <c r="L618" s="814"/>
      <c r="M618" s="40"/>
      <c r="N618" s="41"/>
      <c r="O618" s="41"/>
      <c r="X618" s="817"/>
      <c r="Y618" s="1100"/>
      <c r="Z618" s="1102"/>
    </row>
    <row r="619" spans="1:45" ht="15" thickBot="1" x14ac:dyDescent="0.4">
      <c r="A619" s="366">
        <v>6</v>
      </c>
      <c r="B619" s="737">
        <v>605.29999999999995</v>
      </c>
      <c r="C619" s="731"/>
      <c r="D619" s="731" t="s">
        <v>123</v>
      </c>
      <c r="E619" s="731"/>
      <c r="F619" s="731"/>
      <c r="G619" s="366" t="str">
        <f t="shared" si="38"/>
        <v/>
      </c>
      <c r="H619" s="732" t="s">
        <v>3970</v>
      </c>
      <c r="I619" s="30"/>
      <c r="J619" s="4"/>
      <c r="K619" s="43"/>
      <c r="L619" s="814"/>
      <c r="M619" s="40"/>
      <c r="N619" s="41"/>
      <c r="O619" s="41"/>
      <c r="X619" s="850"/>
      <c r="Y619" s="1101"/>
      <c r="Z619" s="1104"/>
    </row>
    <row r="620" spans="1:45" ht="15.75" customHeight="1" thickTop="1" x14ac:dyDescent="0.35">
      <c r="A620" s="366">
        <v>6</v>
      </c>
      <c r="B620" s="737" t="s">
        <v>4173</v>
      </c>
      <c r="C620" s="731"/>
      <c r="D620" s="731"/>
      <c r="E620" s="731"/>
      <c r="F620" s="731"/>
      <c r="G620" s="366" t="str">
        <f>IF(N620&gt;0,"P","")</f>
        <v/>
      </c>
      <c r="H620" s="366" t="s">
        <v>3970</v>
      </c>
      <c r="I620" s="106">
        <v>605.4</v>
      </c>
      <c r="J620" s="107"/>
      <c r="K620" s="108"/>
      <c r="L620" s="837" t="s">
        <v>4172</v>
      </c>
      <c r="M620" s="830" t="s">
        <v>663</v>
      </c>
      <c r="N620" s="959">
        <f>'Ch6'!O302</f>
        <v>0</v>
      </c>
      <c r="O620" s="959">
        <f>IF(COUNTIF(W624:W632,TRUE)&lt;2,0,MIN(6,(COUNTIF(W624:W632,TRUE)+1)))</f>
        <v>0</v>
      </c>
      <c r="P620" t="b">
        <v>1</v>
      </c>
      <c r="Q620" t="b">
        <v>1</v>
      </c>
      <c r="R620" s="59" t="b">
        <v>0</v>
      </c>
      <c r="S620" s="59" t="b">
        <v>1</v>
      </c>
      <c r="T620" s="59" t="b">
        <v>0</v>
      </c>
      <c r="U620" s="59"/>
      <c r="V620" s="59"/>
      <c r="W620" s="59"/>
      <c r="X620" s="59"/>
      <c r="AL620" t="str">
        <f>SUBSTITUTE(SUBSTITUTE(SUBSTITUTE("vpa"&amp;$B620&amp;$C620&amp;$D620&amp;$E620,".","_"),"(","_"),")","")</f>
        <v>vpa605_4</v>
      </c>
      <c r="AM620" t="str">
        <f>M620</f>
        <v>6 Max</v>
      </c>
      <c r="AN620" t="str">
        <f>SUBSTITUTE(SUBSTITUTE(SUBSTITUTE("vpc"&amp;$B620&amp;$C620&amp;$D620&amp;$E620,".","_"),"(","_"),")","")</f>
        <v>vpc605_4</v>
      </c>
      <c r="AO620">
        <f>O620</f>
        <v>0</v>
      </c>
    </row>
    <row r="621" spans="1:45" x14ac:dyDescent="0.35">
      <c r="A621" s="366">
        <v>6</v>
      </c>
      <c r="B621" s="737" t="s">
        <v>4173</v>
      </c>
      <c r="C621" s="731"/>
      <c r="D621" s="731"/>
      <c r="E621" s="731"/>
      <c r="F621" s="731"/>
      <c r="G621" s="366" t="str">
        <f t="shared" ref="G621:G633" si="39">G620</f>
        <v/>
      </c>
      <c r="H621" s="366" t="s">
        <v>3970</v>
      </c>
      <c r="I621" s="30"/>
      <c r="J621" s="4"/>
      <c r="K621" s="43"/>
      <c r="L621" s="838"/>
      <c r="M621" s="818"/>
      <c r="N621" s="834"/>
      <c r="O621" s="834"/>
    </row>
    <row r="622" spans="1:45" x14ac:dyDescent="0.35">
      <c r="A622" s="366">
        <v>6</v>
      </c>
      <c r="B622" s="737" t="s">
        <v>4173</v>
      </c>
      <c r="C622" s="731" t="s">
        <v>256</v>
      </c>
      <c r="D622" s="731"/>
      <c r="E622" s="731"/>
      <c r="F622" s="731"/>
      <c r="G622" s="366" t="str">
        <f t="shared" si="39"/>
        <v/>
      </c>
      <c r="H622" s="366" t="s">
        <v>3970</v>
      </c>
      <c r="I622" s="30"/>
      <c r="J622" s="129" t="s">
        <v>256</v>
      </c>
      <c r="K622" s="101"/>
      <c r="L622" s="228" t="s">
        <v>664</v>
      </c>
      <c r="M622" s="268">
        <v>3</v>
      </c>
      <c r="N622" s="41"/>
      <c r="O622" s="41"/>
      <c r="AL622" t="str">
        <f>SUBSTITUTE(SUBSTITUTE(SUBSTITUTE("vpa"&amp;$B622&amp;$C622&amp;$D622&amp;$E622,".","_"),"(","_"),")","")</f>
        <v>vpa605_4_1</v>
      </c>
      <c r="AM622">
        <f>M622</f>
        <v>3</v>
      </c>
    </row>
    <row r="623" spans="1:45" x14ac:dyDescent="0.35">
      <c r="A623" s="366">
        <v>6</v>
      </c>
      <c r="B623" s="737" t="s">
        <v>4173</v>
      </c>
      <c r="C623" s="731" t="s">
        <v>258</v>
      </c>
      <c r="D623" s="731"/>
      <c r="E623" s="731"/>
      <c r="F623" s="731"/>
      <c r="G623" s="366" t="str">
        <f t="shared" si="39"/>
        <v/>
      </c>
      <c r="H623" s="366" t="s">
        <v>3970</v>
      </c>
      <c r="I623" s="30"/>
      <c r="J623" s="19" t="s">
        <v>258</v>
      </c>
      <c r="K623" s="43"/>
      <c r="L623" s="90" t="s">
        <v>665</v>
      </c>
      <c r="M623" s="40">
        <v>1</v>
      </c>
      <c r="N623" s="41"/>
      <c r="O623" s="41"/>
      <c r="AL623" t="str">
        <f>SUBSTITUTE(SUBSTITUTE(SUBSTITUTE("vpa"&amp;$B623&amp;$C623&amp;$D623&amp;$E623,".","_"),"(","_"),")","")</f>
        <v>vpa605_4_2</v>
      </c>
      <c r="AM623">
        <f>M623</f>
        <v>1</v>
      </c>
    </row>
    <row r="624" spans="1:45" x14ac:dyDescent="0.35">
      <c r="A624" s="366">
        <v>6</v>
      </c>
      <c r="B624" s="737" t="s">
        <v>4173</v>
      </c>
      <c r="C624" s="731" t="s">
        <v>258</v>
      </c>
      <c r="D624" s="731" t="s">
        <v>121</v>
      </c>
      <c r="E624" s="731"/>
      <c r="F624" s="731"/>
      <c r="G624" s="366" t="str">
        <f t="shared" si="39"/>
        <v/>
      </c>
      <c r="H624" s="366" t="s">
        <v>3970</v>
      </c>
      <c r="I624" s="30"/>
      <c r="J624" s="4"/>
      <c r="K624" s="100" t="s">
        <v>121</v>
      </c>
      <c r="L624" s="228" t="s">
        <v>3067</v>
      </c>
      <c r="M624" s="40"/>
      <c r="N624" s="41"/>
      <c r="O624" s="41"/>
      <c r="P624" t="b">
        <v>1</v>
      </c>
      <c r="Q624" t="b">
        <v>1</v>
      </c>
      <c r="R624" t="b">
        <v>0</v>
      </c>
      <c r="S624" t="b">
        <v>1</v>
      </c>
      <c r="T624" t="b">
        <v>0</v>
      </c>
      <c r="W624" s="17"/>
      <c r="X624" s="817"/>
      <c r="Y624" s="1100" t="str">
        <f>IF(LEN('Ch6'!X306)=0,"None",'Ch6'!X306)</f>
        <v>None</v>
      </c>
      <c r="Z624" s="1102"/>
      <c r="AP624" t="str">
        <f t="shared" ref="AP624:AP632" si="40">SUBSTITUTE(SUBSTITUTE(SUBSTITUTE("vch"&amp;$B624&amp;$C624&amp;$D624&amp;$E624,".","_"),"(","_"),")","")</f>
        <v>vch605_4_2_a</v>
      </c>
      <c r="AQ624" t="str">
        <f t="shared" ref="AQ624:AQ632" si="41">IF(LEN(W624)=0,"",W624)</f>
        <v/>
      </c>
      <c r="AR624" t="str">
        <f>SUBSTITUTE(SUBSTITUTE(SUBSTITUTE("vnt"&amp;$B624&amp;$C624&amp;$D624&amp;$E624,".","_"),"(","_"),")","")</f>
        <v>vnt605_4_2_a</v>
      </c>
      <c r="AS624" t="str">
        <f>IF(LEN(X624)=0,"",X624)</f>
        <v/>
      </c>
    </row>
    <row r="625" spans="1:45" x14ac:dyDescent="0.35">
      <c r="A625" s="366">
        <v>6</v>
      </c>
      <c r="B625" s="737" t="s">
        <v>4173</v>
      </c>
      <c r="C625" s="731" t="s">
        <v>258</v>
      </c>
      <c r="D625" s="731" t="s">
        <v>122</v>
      </c>
      <c r="E625" s="731"/>
      <c r="F625" s="731"/>
      <c r="G625" s="366" t="str">
        <f t="shared" si="39"/>
        <v/>
      </c>
      <c r="H625" s="366" t="s">
        <v>3970</v>
      </c>
      <c r="I625" s="30"/>
      <c r="J625" s="4"/>
      <c r="K625" s="135" t="s">
        <v>122</v>
      </c>
      <c r="L625" s="178" t="s">
        <v>3068</v>
      </c>
      <c r="M625" s="40"/>
      <c r="N625" s="41"/>
      <c r="O625" s="41"/>
      <c r="P625" t="b">
        <v>1</v>
      </c>
      <c r="Q625" t="b">
        <v>1</v>
      </c>
      <c r="R625" t="b">
        <v>0</v>
      </c>
      <c r="S625" t="b">
        <v>1</v>
      </c>
      <c r="T625" t="b">
        <v>0</v>
      </c>
      <c r="W625" s="17"/>
      <c r="X625" s="817"/>
      <c r="Y625" s="1100"/>
      <c r="Z625" s="1102"/>
      <c r="AP625" t="str">
        <f t="shared" si="40"/>
        <v>vch605_4_2_b</v>
      </c>
      <c r="AQ625" t="str">
        <f t="shared" si="41"/>
        <v/>
      </c>
    </row>
    <row r="626" spans="1:45" x14ac:dyDescent="0.35">
      <c r="A626" s="366">
        <v>6</v>
      </c>
      <c r="B626" s="737" t="s">
        <v>4173</v>
      </c>
      <c r="C626" s="731" t="s">
        <v>258</v>
      </c>
      <c r="D626" s="731" t="s">
        <v>123</v>
      </c>
      <c r="E626" s="731"/>
      <c r="F626" s="731"/>
      <c r="G626" s="366" t="str">
        <f t="shared" si="39"/>
        <v/>
      </c>
      <c r="H626" s="366" t="s">
        <v>3970</v>
      </c>
      <c r="I626" s="30"/>
      <c r="J626" s="4"/>
      <c r="K626" s="140" t="s">
        <v>123</v>
      </c>
      <c r="L626" s="178" t="s">
        <v>3069</v>
      </c>
      <c r="M626" s="40"/>
      <c r="N626" s="41"/>
      <c r="O626" s="41"/>
      <c r="P626" t="b">
        <v>1</v>
      </c>
      <c r="Q626" t="b">
        <v>1</v>
      </c>
      <c r="R626" t="b">
        <v>0</v>
      </c>
      <c r="S626" t="b">
        <v>1</v>
      </c>
      <c r="T626" t="b">
        <v>0</v>
      </c>
      <c r="W626" s="17"/>
      <c r="X626" s="817"/>
      <c r="Y626" s="1100"/>
      <c r="Z626" s="1102"/>
      <c r="AP626" t="str">
        <f t="shared" si="40"/>
        <v>vch605_4_2_c</v>
      </c>
      <c r="AQ626" t="str">
        <f t="shared" si="41"/>
        <v/>
      </c>
    </row>
    <row r="627" spans="1:45" x14ac:dyDescent="0.35">
      <c r="A627" s="366">
        <v>6</v>
      </c>
      <c r="B627" s="737" t="s">
        <v>4173</v>
      </c>
      <c r="C627" s="731" t="s">
        <v>258</v>
      </c>
      <c r="D627" s="731" t="s">
        <v>401</v>
      </c>
      <c r="E627" s="731"/>
      <c r="F627" s="731"/>
      <c r="G627" s="366" t="str">
        <f t="shared" si="39"/>
        <v/>
      </c>
      <c r="H627" s="366" t="s">
        <v>3970</v>
      </c>
      <c r="I627" s="30"/>
      <c r="J627" s="4"/>
      <c r="K627" s="141" t="s">
        <v>401</v>
      </c>
      <c r="L627" s="178" t="s">
        <v>3070</v>
      </c>
      <c r="M627" s="40"/>
      <c r="N627" s="41"/>
      <c r="O627" s="41"/>
      <c r="P627" t="b">
        <v>1</v>
      </c>
      <c r="Q627" t="b">
        <v>1</v>
      </c>
      <c r="R627" t="b">
        <v>0</v>
      </c>
      <c r="S627" t="b">
        <v>1</v>
      </c>
      <c r="T627" t="b">
        <v>0</v>
      </c>
      <c r="W627" s="17"/>
      <c r="X627" s="817"/>
      <c r="Y627" s="1100"/>
      <c r="Z627" s="1102"/>
      <c r="AP627" t="str">
        <f t="shared" si="40"/>
        <v>vch605_4_2_d</v>
      </c>
      <c r="AQ627" t="str">
        <f t="shared" si="41"/>
        <v/>
      </c>
    </row>
    <row r="628" spans="1:45" x14ac:dyDescent="0.35">
      <c r="A628" s="366">
        <v>6</v>
      </c>
      <c r="B628" s="737" t="s">
        <v>4173</v>
      </c>
      <c r="C628" s="731" t="s">
        <v>258</v>
      </c>
      <c r="D628" s="731" t="s">
        <v>539</v>
      </c>
      <c r="E628" s="731"/>
      <c r="F628" s="731"/>
      <c r="G628" s="366" t="str">
        <f t="shared" si="39"/>
        <v/>
      </c>
      <c r="H628" s="366" t="s">
        <v>3970</v>
      </c>
      <c r="I628" s="30"/>
      <c r="J628" s="4"/>
      <c r="K628" s="135" t="s">
        <v>539</v>
      </c>
      <c r="L628" s="178" t="s">
        <v>3071</v>
      </c>
      <c r="M628" s="40"/>
      <c r="N628" s="41"/>
      <c r="O628" s="41"/>
      <c r="P628" t="b">
        <v>1</v>
      </c>
      <c r="Q628" t="b">
        <v>1</v>
      </c>
      <c r="R628" t="b">
        <v>0</v>
      </c>
      <c r="S628" t="b">
        <v>1</v>
      </c>
      <c r="T628" t="b">
        <v>0</v>
      </c>
      <c r="W628" s="17"/>
      <c r="X628" s="817"/>
      <c r="Y628" s="1100"/>
      <c r="Z628" s="1102"/>
      <c r="AP628" t="str">
        <f t="shared" si="40"/>
        <v>vch605_4_2_e</v>
      </c>
      <c r="AQ628" t="str">
        <f t="shared" si="41"/>
        <v/>
      </c>
    </row>
    <row r="629" spans="1:45" x14ac:dyDescent="0.35">
      <c r="A629" s="366">
        <v>6</v>
      </c>
      <c r="B629" s="737" t="s">
        <v>4173</v>
      </c>
      <c r="C629" s="731" t="s">
        <v>258</v>
      </c>
      <c r="D629" s="731" t="s">
        <v>604</v>
      </c>
      <c r="E629" s="731"/>
      <c r="F629" s="731"/>
      <c r="G629" s="366" t="str">
        <f t="shared" si="39"/>
        <v/>
      </c>
      <c r="H629" s="366" t="s">
        <v>3970</v>
      </c>
      <c r="I629" s="30"/>
      <c r="J629" s="4"/>
      <c r="K629" s="135" t="s">
        <v>604</v>
      </c>
      <c r="L629" s="178" t="s">
        <v>3072</v>
      </c>
      <c r="M629" s="40"/>
      <c r="N629" s="41"/>
      <c r="O629" s="41"/>
      <c r="P629" t="b">
        <v>1</v>
      </c>
      <c r="Q629" t="b">
        <v>1</v>
      </c>
      <c r="R629" t="b">
        <v>0</v>
      </c>
      <c r="S629" t="b">
        <v>1</v>
      </c>
      <c r="T629" t="b">
        <v>0</v>
      </c>
      <c r="W629" s="17"/>
      <c r="X629" s="817"/>
      <c r="Y629" s="1100"/>
      <c r="Z629" s="1102"/>
      <c r="AP629" t="str">
        <f t="shared" si="40"/>
        <v>vch605_4_2_f</v>
      </c>
      <c r="AQ629" t="str">
        <f t="shared" si="41"/>
        <v/>
      </c>
    </row>
    <row r="630" spans="1:45" x14ac:dyDescent="0.35">
      <c r="A630" s="366">
        <v>6</v>
      </c>
      <c r="B630" s="737" t="s">
        <v>4173</v>
      </c>
      <c r="C630" s="731" t="s">
        <v>258</v>
      </c>
      <c r="D630" s="731" t="s">
        <v>606</v>
      </c>
      <c r="E630" s="731"/>
      <c r="F630" s="731"/>
      <c r="G630" s="366" t="str">
        <f t="shared" si="39"/>
        <v/>
      </c>
      <c r="H630" s="366" t="s">
        <v>3970</v>
      </c>
      <c r="I630" s="30"/>
      <c r="J630" s="4"/>
      <c r="K630" s="140" t="s">
        <v>606</v>
      </c>
      <c r="L630" s="178" t="s">
        <v>3073</v>
      </c>
      <c r="M630" s="40"/>
      <c r="N630" s="41"/>
      <c r="O630" s="41"/>
      <c r="P630" t="b">
        <v>1</v>
      </c>
      <c r="Q630" t="b">
        <v>1</v>
      </c>
      <c r="R630" t="b">
        <v>0</v>
      </c>
      <c r="S630" t="b">
        <v>1</v>
      </c>
      <c r="T630" t="b">
        <v>0</v>
      </c>
      <c r="W630" s="17"/>
      <c r="X630" s="817"/>
      <c r="Y630" s="1100"/>
      <c r="Z630" s="1102"/>
      <c r="AP630" t="str">
        <f t="shared" si="40"/>
        <v>vch605_4_2_g</v>
      </c>
      <c r="AQ630" t="str">
        <f t="shared" si="41"/>
        <v/>
      </c>
    </row>
    <row r="631" spans="1:45" x14ac:dyDescent="0.35">
      <c r="A631" s="366">
        <v>6</v>
      </c>
      <c r="B631" s="737" t="s">
        <v>4173</v>
      </c>
      <c r="C631" s="731" t="s">
        <v>258</v>
      </c>
      <c r="D631" s="731" t="s">
        <v>608</v>
      </c>
      <c r="E631" s="731"/>
      <c r="F631" s="731"/>
      <c r="G631" s="366" t="str">
        <f t="shared" si="39"/>
        <v/>
      </c>
      <c r="H631" s="366" t="s">
        <v>3970</v>
      </c>
      <c r="I631" s="30"/>
      <c r="K631" s="141" t="s">
        <v>608</v>
      </c>
      <c r="L631" s="178" t="s">
        <v>3074</v>
      </c>
      <c r="M631" s="32"/>
      <c r="N631" s="41"/>
      <c r="O631" s="41"/>
      <c r="P631" t="b">
        <v>1</v>
      </c>
      <c r="Q631" t="b">
        <v>1</v>
      </c>
      <c r="R631" t="b">
        <v>0</v>
      </c>
      <c r="S631" t="b">
        <v>1</v>
      </c>
      <c r="T631" t="b">
        <v>0</v>
      </c>
      <c r="W631" s="17"/>
      <c r="X631" s="36"/>
      <c r="Y631" s="396" t="str">
        <f>IF(LEN('Ch6'!X313)=0,"None",'Ch6'!X313)</f>
        <v>None</v>
      </c>
      <c r="Z631" s="652"/>
      <c r="AC631" t="b">
        <f>OR(AD631:AE631)</f>
        <v>0</v>
      </c>
      <c r="AD631" t="b">
        <v>0</v>
      </c>
      <c r="AE631" t="b">
        <f>AND(W631=TRUE,LEN(X631)=0)</f>
        <v>0</v>
      </c>
      <c r="AP631" t="str">
        <f t="shared" si="40"/>
        <v>vch605_4_2_h</v>
      </c>
      <c r="AQ631" t="str">
        <f t="shared" si="41"/>
        <v/>
      </c>
      <c r="AR631" t="str">
        <f>SUBSTITUTE(SUBSTITUTE(SUBSTITUTE("vnt"&amp;$B631&amp;$C631&amp;$D631&amp;$E631,".","_"),"(","_"),")","")</f>
        <v>vnt605_4_2_h</v>
      </c>
      <c r="AS631" t="str">
        <f>IF(LEN(X631)=0,"",X631)</f>
        <v/>
      </c>
    </row>
    <row r="632" spans="1:45" x14ac:dyDescent="0.35">
      <c r="A632" s="366">
        <v>6</v>
      </c>
      <c r="B632" s="737" t="s">
        <v>4173</v>
      </c>
      <c r="C632" s="731" t="s">
        <v>258</v>
      </c>
      <c r="D632" s="731" t="s">
        <v>843</v>
      </c>
      <c r="E632" s="731"/>
      <c r="F632" s="731"/>
      <c r="G632" s="366" t="str">
        <f t="shared" si="39"/>
        <v/>
      </c>
      <c r="H632" s="366" t="s">
        <v>3970</v>
      </c>
      <c r="I632" s="30"/>
      <c r="K632" s="45" t="s">
        <v>843</v>
      </c>
      <c r="L632" s="90" t="s">
        <v>3074</v>
      </c>
      <c r="M632" s="32"/>
      <c r="N632" s="41"/>
      <c r="O632" s="41"/>
      <c r="P632" t="b">
        <v>1</v>
      </c>
      <c r="Q632" t="b">
        <v>1</v>
      </c>
      <c r="R632" t="b">
        <v>0</v>
      </c>
      <c r="S632" t="b">
        <v>1</v>
      </c>
      <c r="T632" t="b">
        <v>0</v>
      </c>
      <c r="W632" s="17"/>
      <c r="X632" s="36"/>
      <c r="Y632" s="396" t="str">
        <f>IF(LEN('Ch6'!X314)=0,"None",'Ch6'!X314)</f>
        <v>None</v>
      </c>
      <c r="Z632" s="652"/>
      <c r="AC632" t="b">
        <f>OR(AD632:AE632)</f>
        <v>0</v>
      </c>
      <c r="AD632" t="b">
        <v>0</v>
      </c>
      <c r="AE632" t="b">
        <f>AND(W632=TRUE,LEN(X632)=0)</f>
        <v>0</v>
      </c>
      <c r="AP632" t="str">
        <f t="shared" si="40"/>
        <v>vch605_4_2_i</v>
      </c>
      <c r="AQ632" t="str">
        <f t="shared" si="41"/>
        <v/>
      </c>
      <c r="AR632" t="str">
        <f>SUBSTITUTE(SUBSTITUTE(SUBSTITUTE("vnt"&amp;$B632&amp;$C632&amp;$D632&amp;$E632,".","_"),"(","_"),")","")</f>
        <v>vnt605_4_2_i</v>
      </c>
      <c r="AS632" t="str">
        <f>IF(LEN(X632)=0,"",X632)</f>
        <v/>
      </c>
    </row>
    <row r="633" spans="1:45" x14ac:dyDescent="0.35">
      <c r="A633" s="366">
        <v>6</v>
      </c>
      <c r="B633" s="737" t="s">
        <v>4173</v>
      </c>
      <c r="C633" s="731"/>
      <c r="D633" s="731"/>
      <c r="E633" s="731"/>
      <c r="F633" s="731"/>
      <c r="G633" s="366" t="str">
        <f t="shared" si="39"/>
        <v/>
      </c>
      <c r="H633" s="366" t="s">
        <v>3970</v>
      </c>
      <c r="I633" s="30"/>
      <c r="K633" s="45"/>
      <c r="L633" s="218" t="s">
        <v>3075</v>
      </c>
      <c r="M633" s="32"/>
      <c r="N633" s="41"/>
      <c r="O633" s="41"/>
    </row>
    <row r="634" spans="1:45" ht="18.5" x14ac:dyDescent="0.45">
      <c r="A634" s="366">
        <v>6</v>
      </c>
      <c r="B634" s="737">
        <v>606</v>
      </c>
      <c r="C634" s="731"/>
      <c r="D634" s="731"/>
      <c r="E634" s="731"/>
      <c r="F634" s="731"/>
      <c r="G634" s="366" t="s">
        <v>3973</v>
      </c>
      <c r="H634" s="366" t="s">
        <v>3970</v>
      </c>
      <c r="I634" s="10" t="s">
        <v>666</v>
      </c>
      <c r="J634" s="15"/>
      <c r="K634" s="42"/>
      <c r="L634" s="151"/>
      <c r="M634" s="243"/>
      <c r="N634" s="544"/>
      <c r="O634" s="544"/>
      <c r="P634" s="15"/>
      <c r="Q634" s="15"/>
      <c r="R634" s="15"/>
      <c r="S634" s="15"/>
      <c r="T634" s="15"/>
      <c r="U634" s="15"/>
      <c r="V634" s="15"/>
      <c r="W634" s="15"/>
      <c r="X634" s="15"/>
      <c r="Y634" s="15"/>
      <c r="Z634" s="651"/>
    </row>
    <row r="635" spans="1:45" ht="15" thickBot="1" x14ac:dyDescent="0.4">
      <c r="A635" s="366">
        <v>6</v>
      </c>
      <c r="B635" s="737" t="s">
        <v>3980</v>
      </c>
      <c r="C635" s="731"/>
      <c r="D635" s="731"/>
      <c r="E635" s="731"/>
      <c r="F635" s="731"/>
      <c r="I635" s="38" t="s">
        <v>3980</v>
      </c>
      <c r="J635" s="4"/>
      <c r="K635" s="43"/>
      <c r="L635" s="95" t="s">
        <v>667</v>
      </c>
      <c r="M635" s="40"/>
      <c r="N635" s="41"/>
      <c r="O635" s="41"/>
      <c r="Y635" s="55"/>
      <c r="Z635" s="653"/>
    </row>
    <row r="636" spans="1:45" ht="15" thickTop="1" x14ac:dyDescent="0.35">
      <c r="A636" s="366">
        <v>6</v>
      </c>
      <c r="B636" s="737">
        <v>606.1</v>
      </c>
      <c r="C636" s="731"/>
      <c r="D636" s="731"/>
      <c r="E636" s="731"/>
      <c r="F636" s="731"/>
      <c r="G636" s="366" t="str">
        <f ca="1">IF(N636&gt;0,"P","")</f>
        <v/>
      </c>
      <c r="H636" s="366" t="s">
        <v>3970</v>
      </c>
      <c r="I636" s="106">
        <v>606.1</v>
      </c>
      <c r="J636" s="107"/>
      <c r="K636" s="108"/>
      <c r="L636" s="274" t="s">
        <v>668</v>
      </c>
      <c r="M636" s="267"/>
      <c r="N636" s="959">
        <f ca="1">'Ch6'!O318</f>
        <v>0</v>
      </c>
      <c r="O636" s="959">
        <f ca="1">MIN(8,IF(R649&gt;1,6+R649+R647-2,IF(R649+R647&gt;1,3+MIN(2,R647+R649-2),0)))</f>
        <v>0</v>
      </c>
      <c r="P636" s="59"/>
      <c r="Q636" s="59"/>
      <c r="R636" s="59"/>
      <c r="S636" s="59"/>
      <c r="T636" s="59"/>
      <c r="U636" s="59"/>
      <c r="V636" s="59"/>
      <c r="W636" s="59"/>
      <c r="X636" s="59"/>
      <c r="AN636" t="str">
        <f>SUBSTITUTE(SUBSTITUTE(SUBSTITUTE("vpc"&amp;$B636&amp;$C636&amp;$D636&amp;$E636,".","_"),"(","_"),")","")</f>
        <v>vpc606_1</v>
      </c>
      <c r="AO636">
        <f ca="1">O636</f>
        <v>0</v>
      </c>
    </row>
    <row r="637" spans="1:45" x14ac:dyDescent="0.35">
      <c r="A637" s="366">
        <v>6</v>
      </c>
      <c r="B637" s="737">
        <v>606.1</v>
      </c>
      <c r="C637" s="731"/>
      <c r="D637" s="731" t="s">
        <v>121</v>
      </c>
      <c r="E637" s="731"/>
      <c r="F637" s="731"/>
      <c r="G637" s="366" t="str">
        <f t="shared" ref="G637:G652" ca="1" si="42">G636</f>
        <v/>
      </c>
      <c r="H637" s="732" t="s">
        <v>3970</v>
      </c>
      <c r="I637" s="30"/>
      <c r="J637" s="4"/>
      <c r="K637" s="47" t="s">
        <v>121</v>
      </c>
      <c r="L637" s="90" t="s">
        <v>669</v>
      </c>
      <c r="M637" s="40"/>
      <c r="N637" s="834"/>
      <c r="O637" s="834"/>
      <c r="P637" t="b">
        <v>1</v>
      </c>
      <c r="Q637" t="b">
        <v>1</v>
      </c>
      <c r="R637" t="b">
        <v>0</v>
      </c>
      <c r="S637" t="b">
        <f>OR(NOT(ISBLANK(W668)),NOT(ISBLANK(W669)),NOT(ISBLANK(W671)),NOT(ISBLANK(W672)))</f>
        <v>0</v>
      </c>
      <c r="T637" t="b">
        <f>IF(AND(NOT(S637),LEN(W637)&gt;0),TRUE,FALSE)</f>
        <v>0</v>
      </c>
      <c r="U637" t="str">
        <f t="shared" ref="U637:U644" si="43">SUBSTITUTE(SUBSTITUTE(SUBSTITUTE("dd"&amp;B637&amp;C637&amp;D637&amp;E637&amp;F637,".","_"),"(","_"),")","")</f>
        <v>dd606_1_a</v>
      </c>
      <c r="W637" s="9"/>
      <c r="X637" s="817"/>
      <c r="Y637" s="1100" t="str">
        <f>IF(LEN('Ch6'!X319)=0,"None",'Ch6'!X319)</f>
        <v>None</v>
      </c>
      <c r="Z637" s="1102"/>
      <c r="AC637" t="b">
        <f>OR(AD637:AE637)</f>
        <v>0</v>
      </c>
      <c r="AD637" t="b">
        <f>T637</f>
        <v>0</v>
      </c>
      <c r="AP637" t="str">
        <f t="shared" ref="AP637:AP644" si="44">SUBSTITUTE(SUBSTITUTE(SUBSTITUTE("vch"&amp;$B637&amp;$C637&amp;$D637&amp;$E637,".","_"),"(","_"),")","")</f>
        <v>vch606_1_a</v>
      </c>
      <c r="AQ637" t="str">
        <f t="shared" ref="AQ637:AQ644" si="45">IF(LEN(W637)=0,"",W637)</f>
        <v/>
      </c>
      <c r="AR637" t="str">
        <f>SUBSTITUTE(SUBSTITUTE(SUBSTITUTE("vnt"&amp;$B637&amp;$C637&amp;$D637&amp;$E637,".","_"),"(","_"),")","")</f>
        <v>vnt606_1_a</v>
      </c>
      <c r="AS637" t="str">
        <f>IF(LEN(X637)=0,"",X637)</f>
        <v/>
      </c>
    </row>
    <row r="638" spans="1:45" x14ac:dyDescent="0.35">
      <c r="A638" s="366">
        <v>6</v>
      </c>
      <c r="B638" s="737">
        <v>606.1</v>
      </c>
      <c r="C638" s="731"/>
      <c r="D638" s="731" t="s">
        <v>122</v>
      </c>
      <c r="E638" s="731"/>
      <c r="F638" s="731"/>
      <c r="G638" s="366" t="str">
        <f t="shared" ca="1" si="42"/>
        <v/>
      </c>
      <c r="H638" s="732" t="s">
        <v>3970</v>
      </c>
      <c r="I638" s="30"/>
      <c r="J638" s="4"/>
      <c r="K638" s="47" t="s">
        <v>122</v>
      </c>
      <c r="L638" s="90" t="s">
        <v>670</v>
      </c>
      <c r="M638" s="40"/>
      <c r="N638" s="834"/>
      <c r="O638" s="834"/>
      <c r="P638" t="b">
        <v>1</v>
      </c>
      <c r="Q638" t="b">
        <v>1</v>
      </c>
      <c r="R638" t="b">
        <v>0</v>
      </c>
      <c r="S638" t="b">
        <v>1</v>
      </c>
      <c r="T638" t="b">
        <v>0</v>
      </c>
      <c r="U638" t="str">
        <f t="shared" si="43"/>
        <v>dd606_1_b</v>
      </c>
      <c r="W638" s="9"/>
      <c r="X638" s="817"/>
      <c r="Y638" s="1100"/>
      <c r="Z638" s="1102"/>
      <c r="AP638" t="str">
        <f t="shared" si="44"/>
        <v>vch606_1_b</v>
      </c>
      <c r="AQ638" t="str">
        <f t="shared" si="45"/>
        <v/>
      </c>
    </row>
    <row r="639" spans="1:45" x14ac:dyDescent="0.35">
      <c r="A639" s="366">
        <v>6</v>
      </c>
      <c r="B639" s="737">
        <v>606.1</v>
      </c>
      <c r="C639" s="731"/>
      <c r="D639" s="733" t="s">
        <v>123</v>
      </c>
      <c r="E639" s="731"/>
      <c r="F639" s="733"/>
      <c r="G639" s="366" t="str">
        <f t="shared" ca="1" si="42"/>
        <v/>
      </c>
      <c r="H639" s="734" t="s">
        <v>3970</v>
      </c>
      <c r="I639" s="30"/>
      <c r="J639" s="4"/>
      <c r="K639" s="49" t="s">
        <v>123</v>
      </c>
      <c r="L639" s="90" t="s">
        <v>671</v>
      </c>
      <c r="M639" s="40"/>
      <c r="N639" s="834"/>
      <c r="O639" s="834"/>
      <c r="P639" t="b">
        <v>1</v>
      </c>
      <c r="Q639" t="b">
        <v>1</v>
      </c>
      <c r="R639" t="b">
        <v>0</v>
      </c>
      <c r="S639" t="b">
        <v>1</v>
      </c>
      <c r="T639" t="b">
        <v>0</v>
      </c>
      <c r="U639" t="str">
        <f t="shared" si="43"/>
        <v>dd606_1_c</v>
      </c>
      <c r="W639" s="9"/>
      <c r="X639" s="817"/>
      <c r="Y639" s="1100"/>
      <c r="Z639" s="1102"/>
      <c r="AP639" t="str">
        <f t="shared" si="44"/>
        <v>vch606_1_c</v>
      </c>
      <c r="AQ639" t="str">
        <f t="shared" si="45"/>
        <v/>
      </c>
    </row>
    <row r="640" spans="1:45" x14ac:dyDescent="0.35">
      <c r="A640" s="366">
        <v>6</v>
      </c>
      <c r="B640" s="737">
        <v>606.1</v>
      </c>
      <c r="C640" s="731"/>
      <c r="D640" s="731" t="s">
        <v>401</v>
      </c>
      <c r="E640" s="731"/>
      <c r="F640" s="731"/>
      <c r="G640" s="366" t="str">
        <f t="shared" ca="1" si="42"/>
        <v/>
      </c>
      <c r="H640" s="366" t="s">
        <v>3970</v>
      </c>
      <c r="I640" s="30"/>
      <c r="J640" s="4"/>
      <c r="K640" s="45" t="s">
        <v>401</v>
      </c>
      <c r="L640" s="90" t="s">
        <v>672</v>
      </c>
      <c r="M640" s="40"/>
      <c r="N640" s="834"/>
      <c r="O640" s="834"/>
      <c r="P640" t="b">
        <v>1</v>
      </c>
      <c r="Q640" t="b">
        <v>1</v>
      </c>
      <c r="R640" t="b">
        <v>0</v>
      </c>
      <c r="S640" t="b">
        <v>1</v>
      </c>
      <c r="T640" t="b">
        <v>0</v>
      </c>
      <c r="U640" t="str">
        <f t="shared" si="43"/>
        <v>dd606_1_d</v>
      </c>
      <c r="W640" s="9"/>
      <c r="X640" s="817"/>
      <c r="Y640" s="1100"/>
      <c r="Z640" s="1102"/>
      <c r="AP640" t="str">
        <f t="shared" si="44"/>
        <v>vch606_1_d</v>
      </c>
      <c r="AQ640" t="str">
        <f t="shared" si="45"/>
        <v/>
      </c>
    </row>
    <row r="641" spans="1:43" x14ac:dyDescent="0.35">
      <c r="A641" s="366">
        <v>6</v>
      </c>
      <c r="B641" s="737">
        <v>606.1</v>
      </c>
      <c r="C641" s="731"/>
      <c r="D641" s="731" t="s">
        <v>539</v>
      </c>
      <c r="E641" s="731"/>
      <c r="F641" s="731"/>
      <c r="G641" s="366" t="str">
        <f t="shared" ca="1" si="42"/>
        <v/>
      </c>
      <c r="H641" s="732" t="s">
        <v>3970</v>
      </c>
      <c r="I641" s="30"/>
      <c r="J641" s="4"/>
      <c r="K641" s="47" t="s">
        <v>539</v>
      </c>
      <c r="L641" s="90" t="s">
        <v>673</v>
      </c>
      <c r="M641" s="40"/>
      <c r="N641" s="834"/>
      <c r="O641" s="834"/>
      <c r="P641" t="b">
        <v>1</v>
      </c>
      <c r="Q641" t="b">
        <v>1</v>
      </c>
      <c r="R641" t="b">
        <v>0</v>
      </c>
      <c r="S641" t="b">
        <v>1</v>
      </c>
      <c r="T641" t="b">
        <v>0</v>
      </c>
      <c r="U641" t="str">
        <f t="shared" si="43"/>
        <v>dd606_1_e</v>
      </c>
      <c r="W641" s="9"/>
      <c r="X641" s="817"/>
      <c r="Y641" s="1100"/>
      <c r="Z641" s="1102"/>
      <c r="AP641" t="str">
        <f t="shared" si="44"/>
        <v>vch606_1_e</v>
      </c>
      <c r="AQ641" t="str">
        <f t="shared" si="45"/>
        <v/>
      </c>
    </row>
    <row r="642" spans="1:43" x14ac:dyDescent="0.35">
      <c r="A642" s="366">
        <v>6</v>
      </c>
      <c r="B642" s="737">
        <v>606.1</v>
      </c>
      <c r="C642" s="731"/>
      <c r="D642" s="731" t="s">
        <v>604</v>
      </c>
      <c r="E642" s="731"/>
      <c r="F642" s="731"/>
      <c r="G642" s="366" t="str">
        <f t="shared" ca="1" si="42"/>
        <v/>
      </c>
      <c r="H642" s="732" t="s">
        <v>3970</v>
      </c>
      <c r="I642" s="30"/>
      <c r="J642" s="4"/>
      <c r="K642" s="47" t="s">
        <v>604</v>
      </c>
      <c r="L642" s="90" t="s">
        <v>674</v>
      </c>
      <c r="M642" s="40"/>
      <c r="N642" s="834"/>
      <c r="O642" s="834"/>
      <c r="P642" t="b">
        <v>1</v>
      </c>
      <c r="Q642" t="b">
        <v>1</v>
      </c>
      <c r="R642" t="b">
        <v>0</v>
      </c>
      <c r="S642" t="b">
        <v>1</v>
      </c>
      <c r="T642" t="b">
        <v>0</v>
      </c>
      <c r="U642" t="str">
        <f t="shared" si="43"/>
        <v>dd606_1_f</v>
      </c>
      <c r="W642" s="9"/>
      <c r="X642" s="817"/>
      <c r="Y642" s="1100"/>
      <c r="Z642" s="1102"/>
      <c r="AP642" t="str">
        <f t="shared" si="44"/>
        <v>vch606_1_f</v>
      </c>
      <c r="AQ642" t="str">
        <f t="shared" si="45"/>
        <v/>
      </c>
    </row>
    <row r="643" spans="1:43" x14ac:dyDescent="0.35">
      <c r="A643" s="366">
        <v>6</v>
      </c>
      <c r="B643" s="737">
        <v>606.1</v>
      </c>
      <c r="C643" s="731"/>
      <c r="D643" s="733" t="s">
        <v>606</v>
      </c>
      <c r="E643" s="731"/>
      <c r="F643" s="733"/>
      <c r="G643" s="366" t="str">
        <f t="shared" ca="1" si="42"/>
        <v/>
      </c>
      <c r="H643" s="734" t="s">
        <v>3970</v>
      </c>
      <c r="I643" s="30"/>
      <c r="J643" s="4"/>
      <c r="K643" s="49" t="s">
        <v>606</v>
      </c>
      <c r="L643" s="90" t="s">
        <v>675</v>
      </c>
      <c r="M643" s="40"/>
      <c r="N643" s="834"/>
      <c r="O643" s="834"/>
      <c r="P643" t="b">
        <v>1</v>
      </c>
      <c r="Q643" t="b">
        <v>1</v>
      </c>
      <c r="R643" t="b">
        <v>0</v>
      </c>
      <c r="S643" t="b">
        <v>1</v>
      </c>
      <c r="T643" t="b">
        <v>0</v>
      </c>
      <c r="U643" t="str">
        <f t="shared" si="43"/>
        <v>dd606_1_g</v>
      </c>
      <c r="W643" s="9"/>
      <c r="X643" s="817"/>
      <c r="Y643" s="1100"/>
      <c r="Z643" s="1102"/>
      <c r="AP643" t="str">
        <f t="shared" si="44"/>
        <v>vch606_1_g</v>
      </c>
      <c r="AQ643" t="str">
        <f t="shared" si="45"/>
        <v/>
      </c>
    </row>
    <row r="644" spans="1:43" x14ac:dyDescent="0.35">
      <c r="A644" s="366">
        <v>6</v>
      </c>
      <c r="B644" s="737">
        <v>606.1</v>
      </c>
      <c r="C644" s="731"/>
      <c r="D644" s="731" t="s">
        <v>608</v>
      </c>
      <c r="E644" s="731"/>
      <c r="F644" s="731"/>
      <c r="G644" s="366" t="str">
        <f t="shared" ca="1" si="42"/>
        <v/>
      </c>
      <c r="H644" s="366" t="s">
        <v>3970</v>
      </c>
      <c r="I644" s="30"/>
      <c r="J644" s="4"/>
      <c r="K644" s="45" t="s">
        <v>608</v>
      </c>
      <c r="L644" s="814" t="s">
        <v>676</v>
      </c>
      <c r="M644" s="40"/>
      <c r="N644" s="834"/>
      <c r="O644" s="834"/>
      <c r="P644" t="b">
        <v>1</v>
      </c>
      <c r="Q644" t="b">
        <v>1</v>
      </c>
      <c r="R644" t="b">
        <v>0</v>
      </c>
      <c r="S644" t="b">
        <v>1</v>
      </c>
      <c r="T644" t="b">
        <v>0</v>
      </c>
      <c r="U644" t="str">
        <f t="shared" si="43"/>
        <v>dd606_1_h</v>
      </c>
      <c r="W644" s="9"/>
      <c r="X644" s="817"/>
      <c r="Y644" s="1100"/>
      <c r="Z644" s="1102"/>
      <c r="AC644" t="b">
        <f>OR(AD644:AE644)</f>
        <v>0</v>
      </c>
      <c r="AD644" t="b">
        <v>0</v>
      </c>
      <c r="AE644" t="b">
        <f>AND(NOT(ISBLANK(W644)),LEN(X637)=0)</f>
        <v>0</v>
      </c>
      <c r="AP644" t="str">
        <f t="shared" si="44"/>
        <v>vch606_1_h</v>
      </c>
      <c r="AQ644" t="str">
        <f t="shared" si="45"/>
        <v/>
      </c>
    </row>
    <row r="645" spans="1:43" x14ac:dyDescent="0.35">
      <c r="A645" s="366">
        <v>6</v>
      </c>
      <c r="B645" s="737">
        <v>606.1</v>
      </c>
      <c r="C645" s="731"/>
      <c r="D645" s="731" t="s">
        <v>608</v>
      </c>
      <c r="E645" s="731"/>
      <c r="F645" s="731"/>
      <c r="G645" s="366" t="str">
        <f t="shared" ca="1" si="42"/>
        <v/>
      </c>
      <c r="H645" s="732" t="s">
        <v>3970</v>
      </c>
      <c r="I645" s="30"/>
      <c r="J645" s="4"/>
      <c r="K645" s="45"/>
      <c r="L645" s="814"/>
      <c r="M645" s="40"/>
      <c r="N645" s="834"/>
      <c r="O645" s="834"/>
      <c r="X645" s="817"/>
      <c r="Y645" s="1100"/>
      <c r="Z645" s="1102"/>
    </row>
    <row r="646" spans="1:43" x14ac:dyDescent="0.35">
      <c r="A646" s="366">
        <v>6</v>
      </c>
      <c r="B646" s="737">
        <v>606.1</v>
      </c>
      <c r="C646" s="731"/>
      <c r="D646" s="731"/>
      <c r="E646" s="731"/>
      <c r="F646" s="731"/>
      <c r="G646" s="366" t="str">
        <f t="shared" ca="1" si="42"/>
        <v/>
      </c>
      <c r="H646" s="732" t="s">
        <v>3970</v>
      </c>
      <c r="I646" s="30"/>
      <c r="J646" s="4"/>
      <c r="K646" s="45"/>
      <c r="L646" s="218" t="s">
        <v>1105</v>
      </c>
      <c r="M646" s="40"/>
      <c r="N646" s="41"/>
      <c r="O646" s="41"/>
      <c r="X646" s="817"/>
      <c r="Y646" s="1100"/>
      <c r="Z646" s="1102"/>
    </row>
    <row r="647" spans="1:43" x14ac:dyDescent="0.35">
      <c r="A647" s="366">
        <v>6</v>
      </c>
      <c r="B647" s="737">
        <v>606.1</v>
      </c>
      <c r="C647" s="731" t="s">
        <v>256</v>
      </c>
      <c r="D647" s="731"/>
      <c r="E647" s="731"/>
      <c r="F647" s="731"/>
      <c r="G647" s="366" t="str">
        <f t="shared" ca="1" si="42"/>
        <v/>
      </c>
      <c r="H647" s="366" t="s">
        <v>3970</v>
      </c>
      <c r="I647" s="30"/>
      <c r="J647" s="19" t="s">
        <v>256</v>
      </c>
      <c r="K647" s="43"/>
      <c r="L647" s="814" t="s">
        <v>677</v>
      </c>
      <c r="M647" s="818">
        <v>3</v>
      </c>
      <c r="N647" s="41"/>
      <c r="O647" s="41"/>
      <c r="R647" s="1">
        <f ca="1">COUNTIF(W638:W644,INDEX(INDIRECT(U637),1))+IF(AND(S637,W637=INDEX(INDIRECT(U637),1)),1,0)</f>
        <v>0</v>
      </c>
      <c r="X647" s="817"/>
      <c r="Y647" s="1100"/>
      <c r="Z647" s="1102"/>
      <c r="AL647" t="str">
        <f>SUBSTITUTE(SUBSTITUTE(SUBSTITUTE("vpa"&amp;$B647&amp;$C647&amp;$D647&amp;$E647,".","_"),"(","_"),")","")</f>
        <v>vpa606_1_1</v>
      </c>
      <c r="AM647">
        <f>M647</f>
        <v>3</v>
      </c>
    </row>
    <row r="648" spans="1:43" x14ac:dyDescent="0.35">
      <c r="A648" s="366">
        <v>6</v>
      </c>
      <c r="B648" s="737">
        <v>606.1</v>
      </c>
      <c r="C648" s="731" t="s">
        <v>256</v>
      </c>
      <c r="D648" s="731"/>
      <c r="E648" s="731"/>
      <c r="F648" s="731"/>
      <c r="G648" s="366" t="str">
        <f t="shared" ca="1" si="42"/>
        <v/>
      </c>
      <c r="H648" s="366" t="s">
        <v>3970</v>
      </c>
      <c r="I648" s="30"/>
      <c r="J648" s="133"/>
      <c r="K648" s="101"/>
      <c r="L648" s="815"/>
      <c r="M648" s="819"/>
      <c r="N648" s="41"/>
      <c r="O648" s="41"/>
      <c r="X648" s="817"/>
      <c r="Y648" s="1100"/>
      <c r="Z648" s="1102"/>
    </row>
    <row r="649" spans="1:43" x14ac:dyDescent="0.35">
      <c r="A649" s="366">
        <v>6</v>
      </c>
      <c r="B649" s="737">
        <v>606.1</v>
      </c>
      <c r="C649" s="731" t="s">
        <v>258</v>
      </c>
      <c r="D649" s="731"/>
      <c r="E649" s="731"/>
      <c r="F649" s="731"/>
      <c r="G649" s="366" t="str">
        <f t="shared" ca="1" si="42"/>
        <v/>
      </c>
      <c r="H649" s="366" t="s">
        <v>3970</v>
      </c>
      <c r="I649" s="30"/>
      <c r="J649" s="132" t="s">
        <v>258</v>
      </c>
      <c r="K649" s="119"/>
      <c r="L649" s="836" t="s">
        <v>678</v>
      </c>
      <c r="M649" s="822">
        <v>6</v>
      </c>
      <c r="N649" s="41"/>
      <c r="O649" s="41"/>
      <c r="R649" s="1">
        <f ca="1">COUNTIF(W638:W644,INDEX(INDIRECT(U637),2))+IF(AND(S637,W637=INDEX(INDIRECT(U637),2)),1,0)</f>
        <v>0</v>
      </c>
      <c r="X649" s="817"/>
      <c r="Y649" s="1100"/>
      <c r="Z649" s="1102"/>
      <c r="AL649" t="str">
        <f>SUBSTITUTE(SUBSTITUTE(SUBSTITUTE("vpa"&amp;$B649&amp;$C649&amp;$D649&amp;$E649,".","_"),"(","_"),")","")</f>
        <v>vpa606_1_2</v>
      </c>
      <c r="AM649">
        <f>M649</f>
        <v>6</v>
      </c>
    </row>
    <row r="650" spans="1:43" x14ac:dyDescent="0.35">
      <c r="A650" s="366">
        <v>6</v>
      </c>
      <c r="B650" s="737">
        <v>606.1</v>
      </c>
      <c r="C650" s="731" t="s">
        <v>258</v>
      </c>
      <c r="D650" s="731"/>
      <c r="E650" s="731"/>
      <c r="F650" s="731"/>
      <c r="G650" s="366" t="str">
        <f t="shared" ca="1" si="42"/>
        <v/>
      </c>
      <c r="H650" s="366" t="s">
        <v>3970</v>
      </c>
      <c r="I650" s="30"/>
      <c r="J650" s="133"/>
      <c r="K650" s="101"/>
      <c r="L650" s="815"/>
      <c r="M650" s="819"/>
      <c r="N650" s="41"/>
      <c r="O650" s="41"/>
      <c r="X650" s="817"/>
      <c r="Y650" s="1100"/>
      <c r="Z650" s="1102"/>
    </row>
    <row r="651" spans="1:43" ht="15" customHeight="1" x14ac:dyDescent="0.35">
      <c r="A651" s="366">
        <v>6</v>
      </c>
      <c r="B651" s="737">
        <v>606.1</v>
      </c>
      <c r="C651" s="731" t="s">
        <v>260</v>
      </c>
      <c r="D651" s="731"/>
      <c r="E651" s="731"/>
      <c r="F651" s="731"/>
      <c r="G651" s="366" t="str">
        <f t="shared" ca="1" si="42"/>
        <v/>
      </c>
      <c r="H651" s="366" t="s">
        <v>3970</v>
      </c>
      <c r="I651" s="30"/>
      <c r="J651" s="19" t="s">
        <v>260</v>
      </c>
      <c r="K651" s="43"/>
      <c r="L651" s="814" t="s">
        <v>679</v>
      </c>
      <c r="M651" s="843" t="s">
        <v>3078</v>
      </c>
      <c r="N651" s="41"/>
      <c r="O651" s="41"/>
      <c r="X651" s="817"/>
      <c r="Y651" s="1100"/>
      <c r="Z651" s="1102"/>
      <c r="AL651" t="str">
        <f>SUBSTITUTE(SUBSTITUTE(SUBSTITUTE("vpa"&amp;$B651&amp;$C651&amp;$D651&amp;$E651,".","_"),"(","_"),")","")</f>
        <v>vpa606_1_3</v>
      </c>
      <c r="AM651" t="str">
        <f>M651</f>
        <v>1
2 Max</v>
      </c>
    </row>
    <row r="652" spans="1:43" ht="15" thickBot="1" x14ac:dyDescent="0.4">
      <c r="A652" s="366">
        <v>6</v>
      </c>
      <c r="B652" s="737">
        <v>606.1</v>
      </c>
      <c r="C652" s="731" t="s">
        <v>260</v>
      </c>
      <c r="D652" s="731"/>
      <c r="E652" s="731"/>
      <c r="F652" s="731"/>
      <c r="G652" s="366" t="str">
        <f t="shared" ca="1" si="42"/>
        <v/>
      </c>
      <c r="H652" s="366" t="s">
        <v>3970</v>
      </c>
      <c r="I652" s="30"/>
      <c r="J652" s="4"/>
      <c r="K652" s="43"/>
      <c r="L652" s="814"/>
      <c r="M652" s="843"/>
      <c r="N652" s="41"/>
      <c r="O652" s="41"/>
      <c r="X652" s="850"/>
      <c r="Y652" s="1101"/>
      <c r="Z652" s="1104"/>
    </row>
    <row r="653" spans="1:43" ht="15.75" customHeight="1" thickTop="1" x14ac:dyDescent="0.35">
      <c r="A653" s="366">
        <v>6</v>
      </c>
      <c r="B653" s="737">
        <v>606.20000000000005</v>
      </c>
      <c r="C653" s="731"/>
      <c r="D653" s="731"/>
      <c r="E653" s="731"/>
      <c r="F653" s="731"/>
      <c r="G653" s="727" t="str">
        <f>IF(COUNTIF(G668:G671,"P")&gt;0,"P","")</f>
        <v>P</v>
      </c>
      <c r="H653" s="366" t="s">
        <v>3970</v>
      </c>
      <c r="I653" s="106">
        <v>606.20000000000005</v>
      </c>
      <c r="J653" s="107"/>
      <c r="K653" s="108"/>
      <c r="L653" s="837" t="s">
        <v>4180</v>
      </c>
      <c r="M653" s="267"/>
      <c r="N653" s="545"/>
      <c r="O653" s="545"/>
      <c r="P653" s="59"/>
      <c r="Q653" s="59"/>
      <c r="R653" s="59"/>
      <c r="S653" s="59"/>
      <c r="T653" s="59"/>
      <c r="U653" s="59"/>
      <c r="V653" s="59"/>
      <c r="W653" s="59"/>
      <c r="X653" s="59"/>
    </row>
    <row r="654" spans="1:43" x14ac:dyDescent="0.35">
      <c r="A654" s="366">
        <v>6</v>
      </c>
      <c r="B654" s="737">
        <v>606.20000000000005</v>
      </c>
      <c r="C654" s="731"/>
      <c r="D654" s="731"/>
      <c r="E654" s="731"/>
      <c r="F654" s="731"/>
      <c r="G654" s="366" t="str">
        <f t="shared" ref="G654:G667" si="46">G653</f>
        <v>P</v>
      </c>
      <c r="H654" s="366" t="s">
        <v>3970</v>
      </c>
      <c r="I654" s="30"/>
      <c r="J654" s="4"/>
      <c r="K654" s="43"/>
      <c r="L654" s="838"/>
      <c r="M654" s="40"/>
      <c r="N654" s="41"/>
      <c r="O654" s="41"/>
    </row>
    <row r="655" spans="1:43" x14ac:dyDescent="0.35">
      <c r="A655" s="366">
        <v>6</v>
      </c>
      <c r="B655" s="737">
        <v>606.20000000000005</v>
      </c>
      <c r="C655" s="731"/>
      <c r="D655" s="731" t="s">
        <v>121</v>
      </c>
      <c r="E655" s="731"/>
      <c r="F655" s="731"/>
      <c r="G655" s="366" t="str">
        <f t="shared" si="46"/>
        <v>P</v>
      </c>
      <c r="H655" s="732" t="s">
        <v>3970</v>
      </c>
      <c r="I655" s="30"/>
      <c r="J655" s="4"/>
      <c r="K655" s="47" t="s">
        <v>121</v>
      </c>
      <c r="L655" s="90" t="s">
        <v>680</v>
      </c>
      <c r="M655" s="40"/>
      <c r="N655" s="41"/>
      <c r="O655" s="41"/>
    </row>
    <row r="656" spans="1:43" ht="15" customHeight="1" x14ac:dyDescent="0.35">
      <c r="A656" s="366">
        <v>6</v>
      </c>
      <c r="B656" s="737">
        <v>606.20000000000005</v>
      </c>
      <c r="C656" s="731"/>
      <c r="D656" s="731" t="s">
        <v>122</v>
      </c>
      <c r="E656" s="731"/>
      <c r="F656" s="731"/>
      <c r="G656" s="366" t="str">
        <f t="shared" si="46"/>
        <v>P</v>
      </c>
      <c r="H656" s="732" t="s">
        <v>3970</v>
      </c>
      <c r="I656" s="30"/>
      <c r="J656" s="4"/>
      <c r="K656" s="47" t="s">
        <v>122</v>
      </c>
      <c r="L656" s="814" t="s">
        <v>681</v>
      </c>
      <c r="M656" s="40"/>
      <c r="N656" s="41"/>
      <c r="O656" s="41"/>
    </row>
    <row r="657" spans="1:45" x14ac:dyDescent="0.35">
      <c r="A657" s="366">
        <v>6</v>
      </c>
      <c r="B657" s="737">
        <v>606.20000000000005</v>
      </c>
      <c r="C657" s="731"/>
      <c r="D657" s="731" t="s">
        <v>122</v>
      </c>
      <c r="E657" s="731"/>
      <c r="F657" s="731"/>
      <c r="G657" s="366" t="str">
        <f t="shared" si="46"/>
        <v>P</v>
      </c>
      <c r="H657" s="732" t="s">
        <v>3970</v>
      </c>
      <c r="I657" s="30"/>
      <c r="J657" s="4"/>
      <c r="K657" s="47"/>
      <c r="L657" s="814"/>
      <c r="M657" s="40"/>
      <c r="N657" s="41"/>
      <c r="O657" s="41"/>
    </row>
    <row r="658" spans="1:45" x14ac:dyDescent="0.35">
      <c r="A658" s="366">
        <v>6</v>
      </c>
      <c r="B658" s="737">
        <v>606.20000000000005</v>
      </c>
      <c r="C658" s="731"/>
      <c r="D658" s="731" t="s">
        <v>123</v>
      </c>
      <c r="E658" s="731"/>
      <c r="F658" s="731"/>
      <c r="G658" s="366" t="str">
        <f t="shared" si="46"/>
        <v>P</v>
      </c>
      <c r="H658" s="732" t="s">
        <v>3970</v>
      </c>
      <c r="I658" s="30"/>
      <c r="J658" s="4"/>
      <c r="K658" s="47" t="s">
        <v>123</v>
      </c>
      <c r="L658" s="155" t="s">
        <v>682</v>
      </c>
      <c r="M658" s="40"/>
      <c r="N658" s="41"/>
      <c r="O658" s="41"/>
    </row>
    <row r="659" spans="1:45" x14ac:dyDescent="0.35">
      <c r="A659" s="366">
        <v>6</v>
      </c>
      <c r="B659" s="737">
        <v>606.20000000000005</v>
      </c>
      <c r="C659" s="731"/>
      <c r="D659" s="733" t="s">
        <v>401</v>
      </c>
      <c r="E659" s="731"/>
      <c r="F659" s="733"/>
      <c r="G659" s="366" t="str">
        <f t="shared" si="46"/>
        <v>P</v>
      </c>
      <c r="H659" s="734" t="s">
        <v>3970</v>
      </c>
      <c r="I659" s="30"/>
      <c r="J659" s="4"/>
      <c r="K659" s="49" t="s">
        <v>401</v>
      </c>
      <c r="L659" s="155" t="s">
        <v>683</v>
      </c>
      <c r="M659" s="40"/>
      <c r="N659" s="41"/>
      <c r="O659" s="41"/>
    </row>
    <row r="660" spans="1:45" x14ac:dyDescent="0.35">
      <c r="A660" s="366">
        <v>6</v>
      </c>
      <c r="B660" s="737">
        <v>606.20000000000005</v>
      </c>
      <c r="C660" s="731"/>
      <c r="D660" s="731" t="s">
        <v>539</v>
      </c>
      <c r="E660" s="731"/>
      <c r="F660" s="731"/>
      <c r="G660" s="366" t="str">
        <f t="shared" si="46"/>
        <v>P</v>
      </c>
      <c r="H660" s="366" t="s">
        <v>3970</v>
      </c>
      <c r="I660" s="30"/>
      <c r="J660" s="4"/>
      <c r="K660" s="45" t="s">
        <v>539</v>
      </c>
      <c r="L660" s="155" t="s">
        <v>684</v>
      </c>
      <c r="M660" s="40"/>
      <c r="N660" s="41"/>
      <c r="O660" s="41"/>
    </row>
    <row r="661" spans="1:45" x14ac:dyDescent="0.35">
      <c r="A661" s="366">
        <v>6</v>
      </c>
      <c r="B661" s="737">
        <v>606.20000000000005</v>
      </c>
      <c r="C661" s="731"/>
      <c r="D661" s="731" t="s">
        <v>604</v>
      </c>
      <c r="E661" s="731"/>
      <c r="F661" s="731"/>
      <c r="G661" s="366" t="str">
        <f t="shared" si="46"/>
        <v>P</v>
      </c>
      <c r="H661" s="732" t="s">
        <v>3970</v>
      </c>
      <c r="I661" s="30"/>
      <c r="J661" s="4"/>
      <c r="K661" s="47" t="s">
        <v>604</v>
      </c>
      <c r="L661" s="90" t="s">
        <v>685</v>
      </c>
      <c r="M661" s="40"/>
      <c r="N661" s="41"/>
      <c r="O661" s="41"/>
    </row>
    <row r="662" spans="1:45" x14ac:dyDescent="0.35">
      <c r="A662" s="366">
        <v>6</v>
      </c>
      <c r="B662" s="737">
        <v>606.20000000000005</v>
      </c>
      <c r="C662" s="731"/>
      <c r="D662" s="731" t="s">
        <v>606</v>
      </c>
      <c r="E662" s="731"/>
      <c r="F662" s="731"/>
      <c r="G662" s="366" t="str">
        <f t="shared" si="46"/>
        <v>P</v>
      </c>
      <c r="H662" s="732" t="s">
        <v>3970</v>
      </c>
      <c r="I662" s="30"/>
      <c r="J662" s="4"/>
      <c r="K662" s="47" t="s">
        <v>606</v>
      </c>
      <c r="L662" s="90" t="s">
        <v>686</v>
      </c>
      <c r="M662" s="40"/>
      <c r="N662" s="41"/>
      <c r="O662" s="41"/>
    </row>
    <row r="663" spans="1:45" x14ac:dyDescent="0.35">
      <c r="A663" s="366">
        <v>6</v>
      </c>
      <c r="B663" s="737">
        <v>606.20000000000005</v>
      </c>
      <c r="C663" s="731"/>
      <c r="D663" s="731" t="s">
        <v>608</v>
      </c>
      <c r="E663" s="731"/>
      <c r="F663" s="731"/>
      <c r="G663" s="366" t="str">
        <f t="shared" si="46"/>
        <v>P</v>
      </c>
      <c r="H663" s="732" t="s">
        <v>3970</v>
      </c>
      <c r="I663" s="30"/>
      <c r="J663" s="4"/>
      <c r="K663" s="47" t="s">
        <v>608</v>
      </c>
      <c r="L663" s="887" t="s">
        <v>4176</v>
      </c>
      <c r="M663" s="40"/>
      <c r="N663" s="41"/>
      <c r="O663" s="41"/>
    </row>
    <row r="664" spans="1:45" x14ac:dyDescent="0.35">
      <c r="A664" s="366">
        <v>6</v>
      </c>
      <c r="B664" s="737">
        <v>606.20000000000005</v>
      </c>
      <c r="C664" s="731"/>
      <c r="D664" s="731" t="s">
        <v>608</v>
      </c>
      <c r="E664" s="731"/>
      <c r="F664" s="731"/>
      <c r="G664" s="366" t="str">
        <f t="shared" si="46"/>
        <v>P</v>
      </c>
      <c r="H664" s="732" t="s">
        <v>3970</v>
      </c>
      <c r="I664" s="30"/>
      <c r="J664" s="4"/>
      <c r="K664" s="47"/>
      <c r="L664" s="887"/>
      <c r="M664" s="40"/>
      <c r="N664" s="41"/>
      <c r="O664" s="41"/>
    </row>
    <row r="665" spans="1:45" x14ac:dyDescent="0.35">
      <c r="A665" s="366">
        <v>6</v>
      </c>
      <c r="B665" s="737">
        <v>606.20000000000005</v>
      </c>
      <c r="C665" s="731"/>
      <c r="D665" s="731" t="s">
        <v>608</v>
      </c>
      <c r="E665" s="731"/>
      <c r="F665" s="731"/>
      <c r="G665" s="366" t="str">
        <f t="shared" si="46"/>
        <v>P</v>
      </c>
      <c r="H665" s="732" t="s">
        <v>3970</v>
      </c>
      <c r="I665" s="30"/>
      <c r="J665" s="4"/>
      <c r="K665" s="47"/>
      <c r="L665" s="887"/>
      <c r="M665" s="40"/>
      <c r="N665" s="41"/>
      <c r="O665" s="41"/>
    </row>
    <row r="666" spans="1:45" x14ac:dyDescent="0.35">
      <c r="A666" s="366">
        <v>6</v>
      </c>
      <c r="B666" s="737">
        <v>606.20000000000005</v>
      </c>
      <c r="C666" s="731"/>
      <c r="D666" s="731" t="s">
        <v>608</v>
      </c>
      <c r="E666" s="731"/>
      <c r="F666" s="731"/>
      <c r="G666" s="366" t="str">
        <f t="shared" si="46"/>
        <v>P</v>
      </c>
      <c r="H666" s="732" t="s">
        <v>3970</v>
      </c>
      <c r="I666" s="30"/>
      <c r="J666" s="4"/>
      <c r="K666" s="47"/>
      <c r="L666" s="887"/>
      <c r="M666" s="40"/>
      <c r="N666" s="41"/>
      <c r="O666" s="41"/>
    </row>
    <row r="667" spans="1:45" x14ac:dyDescent="0.35">
      <c r="A667" s="366">
        <v>6</v>
      </c>
      <c r="B667" s="737">
        <v>606.20000000000005</v>
      </c>
      <c r="C667" s="731"/>
      <c r="D667" s="731" t="s">
        <v>608</v>
      </c>
      <c r="E667" s="731"/>
      <c r="F667" s="731"/>
      <c r="G667" s="366" t="str">
        <f t="shared" si="46"/>
        <v>P</v>
      </c>
      <c r="H667" s="732" t="s">
        <v>3970</v>
      </c>
      <c r="I667" s="30"/>
      <c r="J667" s="4"/>
      <c r="K667" s="47"/>
      <c r="L667" s="887"/>
      <c r="M667" s="40"/>
      <c r="N667" s="41"/>
      <c r="O667" s="41"/>
      <c r="W667" t="s">
        <v>3079</v>
      </c>
    </row>
    <row r="668" spans="1:45" ht="15" customHeight="1" x14ac:dyDescent="0.35">
      <c r="A668" s="366">
        <v>6</v>
      </c>
      <c r="B668" s="737">
        <v>606.20000000000005</v>
      </c>
      <c r="C668" s="731" t="s">
        <v>256</v>
      </c>
      <c r="D668" s="737" t="s">
        <v>2970</v>
      </c>
      <c r="E668" s="731"/>
      <c r="F668" s="737"/>
      <c r="G668" s="366" t="str">
        <f>IF(N668&gt;0,"P","")</f>
        <v>P</v>
      </c>
      <c r="H668" s="377" t="s">
        <v>3970</v>
      </c>
      <c r="I668" s="30"/>
      <c r="J668" s="19" t="s">
        <v>256</v>
      </c>
      <c r="K668" s="43"/>
      <c r="L668" s="814" t="s">
        <v>4178</v>
      </c>
      <c r="M668" s="818">
        <v>3</v>
      </c>
      <c r="N668" s="834">
        <f>'Ch6'!O350</f>
        <v>3</v>
      </c>
      <c r="O668" s="834">
        <f>IF(AND(S668,NOT(ISBLANK(W668)),NOT(ISBLANK(W669))),M668,0)</f>
        <v>0</v>
      </c>
      <c r="P668" t="b">
        <v>1</v>
      </c>
      <c r="Q668" t="b">
        <v>1</v>
      </c>
      <c r="R668" t="b">
        <v>0</v>
      </c>
      <c r="S668" t="b">
        <v>1</v>
      </c>
      <c r="T668" t="b">
        <v>0</v>
      </c>
      <c r="U668" t="str">
        <f>SUBSTITUTE(SUBSTITUTE(SUBSTITUTE("dd"&amp;B668&amp;C668&amp;D668&amp;E668&amp;F668,".","_"),"(","_"),")","")</f>
        <v>dd606_2_1a</v>
      </c>
      <c r="W668" s="9"/>
      <c r="X668" s="36"/>
      <c r="Y668" s="396" t="str">
        <f>IF(LEN('Ch6'!X350)=0,"None",'Ch6'!X350)</f>
        <v>Weyerhaeuser Trus Joist</v>
      </c>
      <c r="Z668" s="652"/>
      <c r="AC668" t="b">
        <f>OR(AD668:AE668)</f>
        <v>0</v>
      </c>
      <c r="AD668" t="b">
        <v>0</v>
      </c>
      <c r="AE668" t="b">
        <f>AND(NOT(ISBLANK(W668)),LEN(X668)=0)</f>
        <v>0</v>
      </c>
      <c r="AL668" t="str">
        <f>SUBSTITUTE(SUBSTITUTE(SUBSTITUTE("vpa"&amp;$B668&amp;$C668&amp;$D668&amp;$E668,".","_"),"(","_"),")","")</f>
        <v>vpa606_2_1a</v>
      </c>
      <c r="AM668">
        <f>M668</f>
        <v>3</v>
      </c>
      <c r="AN668" t="str">
        <f>SUBSTITUTE(SUBSTITUTE(SUBSTITUTE("vpc"&amp;$B668&amp;$C668&amp;$D668&amp;$E668,".","_"),"(","_"),")","")</f>
        <v>vpc606_2_1a</v>
      </c>
      <c r="AO668">
        <f>O668</f>
        <v>0</v>
      </c>
      <c r="AP668" t="str">
        <f>SUBSTITUTE(SUBSTITUTE(SUBSTITUTE("vch"&amp;$B668&amp;$C668&amp;$D668&amp;$E668,".","_"),"(","_"),")","")</f>
        <v>vch606_2_1a</v>
      </c>
      <c r="AQ668" t="str">
        <f>IF(LEN(W668)=0,"",W668)</f>
        <v/>
      </c>
      <c r="AR668" t="str">
        <f>SUBSTITUTE(SUBSTITUTE(SUBSTITUTE("vnt"&amp;$B668&amp;$C668&amp;$D668&amp;$E668,".","_"),"(","_"),")","")</f>
        <v>vnt606_2_1a</v>
      </c>
      <c r="AS668" t="str">
        <f>IF(LEN(X668)=0,"",X668)</f>
        <v/>
      </c>
    </row>
    <row r="669" spans="1:45" x14ac:dyDescent="0.35">
      <c r="A669" s="366">
        <v>6</v>
      </c>
      <c r="B669" s="737">
        <v>606.20000000000005</v>
      </c>
      <c r="C669" s="731" t="s">
        <v>256</v>
      </c>
      <c r="D669" s="737" t="s">
        <v>2971</v>
      </c>
      <c r="E669" s="731"/>
      <c r="F669" s="737"/>
      <c r="G669" s="366" t="str">
        <f>G668</f>
        <v>P</v>
      </c>
      <c r="H669" s="377" t="s">
        <v>3970</v>
      </c>
      <c r="I669" s="30"/>
      <c r="J669" s="19"/>
      <c r="K669" s="43"/>
      <c r="L669" s="814"/>
      <c r="M669" s="818"/>
      <c r="N669" s="834"/>
      <c r="O669" s="834"/>
      <c r="P669" t="b">
        <v>1</v>
      </c>
      <c r="Q669" t="b">
        <v>1</v>
      </c>
      <c r="R669" t="b">
        <v>0</v>
      </c>
      <c r="S669" t="b">
        <v>1</v>
      </c>
      <c r="T669" t="b">
        <v>0</v>
      </c>
      <c r="U669" t="str">
        <f>SUBSTITUTE(SUBSTITUTE(SUBSTITUTE("dd"&amp;B669&amp;C669&amp;D669&amp;E669&amp;F669,".","_"),"(","_"),")","")</f>
        <v>dd606_2_1b</v>
      </c>
      <c r="W669" s="9"/>
      <c r="X669" s="817"/>
      <c r="Y669" s="1100" t="str">
        <f>IF(LEN('Ch6'!X351)=0,"None",'Ch6'!X351)</f>
        <v>Boise Cascade Versa-Lam / Boise Cascade Versa-Rim</v>
      </c>
      <c r="Z669" s="1102"/>
      <c r="AC669" t="b">
        <f>OR(AD669:AE669)</f>
        <v>0</v>
      </c>
      <c r="AD669" t="b">
        <v>0</v>
      </c>
      <c r="AE669" t="b">
        <f>AND(NOT(ISBLANK(W669)),LEN(X669)=0)</f>
        <v>0</v>
      </c>
      <c r="AP669" t="str">
        <f>SUBSTITUTE(SUBSTITUTE(SUBSTITUTE("vch"&amp;$B669&amp;$C669&amp;$D669&amp;$E669,".","_"),"(","_"),")","")</f>
        <v>vch606_2_1b</v>
      </c>
      <c r="AQ669" t="str">
        <f>IF(LEN(W669)=0,"",W669)</f>
        <v/>
      </c>
      <c r="AR669" t="str">
        <f>SUBSTITUTE(SUBSTITUTE(SUBSTITUTE("vnt"&amp;$B669&amp;$C669&amp;$D669&amp;$E669,".","_"),"(","_"),")","")</f>
        <v>vnt606_2_1b</v>
      </c>
      <c r="AS669" t="str">
        <f>IF(LEN(X669)=0,"",X669)</f>
        <v/>
      </c>
    </row>
    <row r="670" spans="1:45" x14ac:dyDescent="0.35">
      <c r="A670" s="366">
        <v>6</v>
      </c>
      <c r="B670" s="737">
        <v>606.20000000000005</v>
      </c>
      <c r="C670" s="731" t="s">
        <v>256</v>
      </c>
      <c r="D670" s="737"/>
      <c r="E670" s="731"/>
      <c r="F670" s="737"/>
      <c r="G670" s="366" t="str">
        <f>G669</f>
        <v>P</v>
      </c>
      <c r="H670" s="377" t="s">
        <v>3970</v>
      </c>
      <c r="I670" s="30"/>
      <c r="J670" s="129"/>
      <c r="K670" s="101"/>
      <c r="L670" s="284" t="s">
        <v>3080</v>
      </c>
      <c r="M670" s="819"/>
      <c r="N670" s="835"/>
      <c r="O670" s="835"/>
      <c r="X670" s="817"/>
      <c r="Y670" s="1100"/>
      <c r="Z670" s="1102"/>
    </row>
    <row r="671" spans="1:45" ht="15" customHeight="1" x14ac:dyDescent="0.35">
      <c r="A671" s="366">
        <v>6</v>
      </c>
      <c r="B671" s="737">
        <v>606.20000000000005</v>
      </c>
      <c r="C671" s="731" t="s">
        <v>258</v>
      </c>
      <c r="D671" s="737" t="s">
        <v>2970</v>
      </c>
      <c r="E671" s="731"/>
      <c r="F671" s="737"/>
      <c r="G671" s="366" t="str">
        <f>IF(N671&gt;0,"P","")</f>
        <v/>
      </c>
      <c r="H671" s="377" t="s">
        <v>3970</v>
      </c>
      <c r="I671" s="30"/>
      <c r="J671" s="19" t="s">
        <v>258</v>
      </c>
      <c r="K671" s="43"/>
      <c r="L671" s="814" t="s">
        <v>4179</v>
      </c>
      <c r="M671" s="818">
        <v>4</v>
      </c>
      <c r="N671" s="963">
        <f>'Ch6'!O353</f>
        <v>0</v>
      </c>
      <c r="O671" s="834">
        <f>IF(AND(S671,NOT(ISBLANK(W671)),NOT(ISBLANK(W672))),M671,0)</f>
        <v>0</v>
      </c>
      <c r="P671" t="b">
        <v>1</v>
      </c>
      <c r="Q671" t="b">
        <v>1</v>
      </c>
      <c r="R671" t="b">
        <v>0</v>
      </c>
      <c r="S671" t="b">
        <v>1</v>
      </c>
      <c r="T671" t="b">
        <v>0</v>
      </c>
      <c r="U671" t="str">
        <f>SUBSTITUTE(SUBSTITUTE(SUBSTITUTE("dd"&amp;B671&amp;C671&amp;D671&amp;E671&amp;F671,".","_"),"(","_"),")","")</f>
        <v>dd606_2_2a</v>
      </c>
      <c r="W671" s="9"/>
      <c r="X671" s="36"/>
      <c r="Y671" s="396" t="str">
        <f>IF(LEN('Ch6'!X353)=0,"None",'Ch6'!X353)</f>
        <v>None</v>
      </c>
      <c r="Z671" s="652"/>
      <c r="AC671" t="b">
        <f>OR(AD671:AE671)</f>
        <v>0</v>
      </c>
      <c r="AD671" t="b">
        <v>0</v>
      </c>
      <c r="AE671" t="b">
        <f>AND(NOT(ISBLANK(W671)),LEN(X671)=0)</f>
        <v>0</v>
      </c>
      <c r="AL671" t="str">
        <f>SUBSTITUTE(SUBSTITUTE(SUBSTITUTE("vpa"&amp;$B671&amp;$C671&amp;$D671&amp;$E671,".","_"),"(","_"),")","")</f>
        <v>vpa606_2_2a</v>
      </c>
      <c r="AM671">
        <f>M671</f>
        <v>4</v>
      </c>
      <c r="AN671" t="str">
        <f>SUBSTITUTE(SUBSTITUTE(SUBSTITUTE("vpc"&amp;$B671&amp;$C671&amp;$D671&amp;$E671,".","_"),"(","_"),")","")</f>
        <v>vpc606_2_2a</v>
      </c>
      <c r="AO671">
        <f>O671</f>
        <v>0</v>
      </c>
      <c r="AP671" t="str">
        <f>SUBSTITUTE(SUBSTITUTE(SUBSTITUTE("vch"&amp;$B671&amp;$C671&amp;$D671&amp;$E671,".","_"),"(","_"),")","")</f>
        <v>vch606_2_2a</v>
      </c>
      <c r="AQ671" t="str">
        <f>IF(LEN(W671)=0,"",W671)</f>
        <v/>
      </c>
      <c r="AR671" t="str">
        <f>SUBSTITUTE(SUBSTITUTE(SUBSTITUTE("vnt"&amp;$B671&amp;$C671&amp;$D671&amp;$E671,".","_"),"(","_"),")","")</f>
        <v>vnt606_2_2a</v>
      </c>
      <c r="AS671" t="str">
        <f>IF(LEN(X671)=0,"",X671)</f>
        <v/>
      </c>
    </row>
    <row r="672" spans="1:45" x14ac:dyDescent="0.35">
      <c r="A672" s="366">
        <v>6</v>
      </c>
      <c r="B672" s="737">
        <v>606.20000000000005</v>
      </c>
      <c r="C672" s="731" t="s">
        <v>258</v>
      </c>
      <c r="D672" s="737" t="s">
        <v>2971</v>
      </c>
      <c r="E672" s="731"/>
      <c r="F672" s="737"/>
      <c r="G672" s="366" t="str">
        <f t="shared" ref="G672:G679" si="47">G671</f>
        <v/>
      </c>
      <c r="H672" s="377" t="s">
        <v>3970</v>
      </c>
      <c r="I672" s="30"/>
      <c r="J672" s="4"/>
      <c r="K672" s="43"/>
      <c r="L672" s="814"/>
      <c r="M672" s="818"/>
      <c r="N672" s="834"/>
      <c r="O672" s="834"/>
      <c r="P672" t="b">
        <v>1</v>
      </c>
      <c r="Q672" t="b">
        <v>1</v>
      </c>
      <c r="R672" t="b">
        <v>0</v>
      </c>
      <c r="S672" t="b">
        <v>1</v>
      </c>
      <c r="T672" t="b">
        <v>0</v>
      </c>
      <c r="U672" t="str">
        <f>SUBSTITUTE(SUBSTITUTE(SUBSTITUTE("dd"&amp;B672&amp;C672&amp;D672&amp;E672&amp;F672,".","_"),"(","_"),")","")</f>
        <v>dd606_2_2b</v>
      </c>
      <c r="W672" s="9"/>
      <c r="X672" s="817"/>
      <c r="Y672" s="1100" t="str">
        <f>IF(LEN('Ch6'!X354)=0,"None",'Ch6'!X354)</f>
        <v>None</v>
      </c>
      <c r="Z672" s="1102"/>
      <c r="AC672" t="b">
        <f>OR(AD672:AE672)</f>
        <v>0</v>
      </c>
      <c r="AD672" t="b">
        <v>0</v>
      </c>
      <c r="AE672" t="b">
        <f>AND(NOT(ISBLANK(W672)),LEN(X672)=0)</f>
        <v>0</v>
      </c>
      <c r="AP672" t="str">
        <f>SUBSTITUTE(SUBSTITUTE(SUBSTITUTE("vch"&amp;$B672&amp;$C672&amp;$D672&amp;$E672,".","_"),"(","_"),")","")</f>
        <v>vch606_2_2b</v>
      </c>
      <c r="AQ672" t="str">
        <f>IF(LEN(W672)=0,"",W672)</f>
        <v/>
      </c>
      <c r="AR672" t="str">
        <f>SUBSTITUTE(SUBSTITUTE(SUBSTITUTE("vnt"&amp;$B672&amp;$C672&amp;$D672&amp;$E672,".","_"),"(","_"),")","")</f>
        <v>vnt606_2_2b</v>
      </c>
      <c r="AS672" t="str">
        <f>IF(LEN(X672)=0,"",X672)</f>
        <v/>
      </c>
    </row>
    <row r="673" spans="1:45" ht="15" thickBot="1" x14ac:dyDescent="0.4">
      <c r="A673" s="366">
        <v>6</v>
      </c>
      <c r="B673" s="737">
        <v>606.20000000000005</v>
      </c>
      <c r="C673" s="731" t="s">
        <v>258</v>
      </c>
      <c r="D673" s="739"/>
      <c r="E673" s="731"/>
      <c r="F673" s="739"/>
      <c r="G673" s="366" t="str">
        <f t="shared" si="47"/>
        <v/>
      </c>
      <c r="H673" s="377" t="s">
        <v>3970</v>
      </c>
      <c r="I673" s="30"/>
      <c r="J673" s="4"/>
      <c r="K673" s="43"/>
      <c r="L673" s="531" t="s">
        <v>3080</v>
      </c>
      <c r="M673" s="818"/>
      <c r="N673" s="863"/>
      <c r="O673" s="834"/>
      <c r="W673" s="168"/>
      <c r="X673" s="850"/>
      <c r="Y673" s="1101"/>
      <c r="Z673" s="1104"/>
    </row>
    <row r="674" spans="1:45" ht="15" thickTop="1" x14ac:dyDescent="0.35">
      <c r="A674" s="366">
        <v>6</v>
      </c>
      <c r="B674" s="737">
        <v>606.29999999999995</v>
      </c>
      <c r="C674" s="731"/>
      <c r="D674" s="731"/>
      <c r="E674" s="731"/>
      <c r="F674" s="731"/>
      <c r="G674" s="366" t="str">
        <f ca="1">IF(N674&gt;0,"P","")</f>
        <v/>
      </c>
      <c r="H674" s="366" t="s">
        <v>3970</v>
      </c>
      <c r="I674" s="106">
        <v>606.29999999999995</v>
      </c>
      <c r="J674" s="107"/>
      <c r="K674" s="108"/>
      <c r="L674" s="837" t="s">
        <v>687</v>
      </c>
      <c r="M674" s="830" t="s">
        <v>663</v>
      </c>
      <c r="N674" s="959">
        <f ca="1">'Ch6'!O356</f>
        <v>0</v>
      </c>
      <c r="O674" s="959">
        <f ca="1">IFERROR(MATCH(W674,INDIRECT(U674),0),0)*2</f>
        <v>0</v>
      </c>
      <c r="P674" s="59" t="b">
        <v>1</v>
      </c>
      <c r="Q674" s="59" t="b">
        <v>1</v>
      </c>
      <c r="R674" s="59" t="b">
        <v>0</v>
      </c>
      <c r="S674" s="59" t="b">
        <v>1</v>
      </c>
      <c r="T674" s="59" t="b">
        <v>0</v>
      </c>
      <c r="U674" s="59" t="str">
        <f>SUBSTITUTE(SUBSTITUTE(SUBSTITUTE("dd"&amp;B674&amp;C674&amp;D674&amp;E674&amp;F674,".","_"),"(","_"),")","")</f>
        <v>dd606_3</v>
      </c>
      <c r="V674" s="59"/>
      <c r="W674" s="167"/>
      <c r="X674" s="864"/>
      <c r="Y674" s="1117" t="str">
        <f>IF(LEN('Ch6'!X356)=0,"None",'Ch6'!X356)</f>
        <v>None</v>
      </c>
      <c r="Z674" s="1103"/>
      <c r="AC674" t="b">
        <f>OR(AD674:AE674)</f>
        <v>0</v>
      </c>
      <c r="AD674" t="b">
        <v>0</v>
      </c>
      <c r="AE674" t="b">
        <f>AND(NOT(ISBLANK(W674)),LEN(X674)=0)</f>
        <v>0</v>
      </c>
      <c r="AL674" t="str">
        <f>SUBSTITUTE(SUBSTITUTE(SUBSTITUTE("vpa"&amp;$B674&amp;$C674&amp;$D674&amp;$E674,".","_"),"(","_"),")","")</f>
        <v>vpa606_3</v>
      </c>
      <c r="AM674" t="str">
        <f>M674</f>
        <v>6 Max</v>
      </c>
      <c r="AN674" t="str">
        <f>SUBSTITUTE(SUBSTITUTE(SUBSTITUTE("vpc"&amp;$B674&amp;$C674&amp;$D674&amp;$E674,".","_"),"(","_"),")","")</f>
        <v>vpc606_3</v>
      </c>
      <c r="AO674">
        <f ca="1">O674</f>
        <v>0</v>
      </c>
      <c r="AP674" t="str">
        <f>SUBSTITUTE(SUBSTITUTE(SUBSTITUTE("vch"&amp;$B674&amp;$C674&amp;$D674&amp;$E674,".","_"),"(","_"),")","")</f>
        <v>vch606_3</v>
      </c>
      <c r="AQ674" t="str">
        <f>IF(LEN(W674)=0,"",W674)</f>
        <v/>
      </c>
      <c r="AR674" t="str">
        <f>SUBSTITUTE(SUBSTITUTE(SUBSTITUTE("vnt"&amp;$B674&amp;$C674&amp;$D674&amp;$E674,".","_"),"(","_"),")","")</f>
        <v>vnt606_3</v>
      </c>
      <c r="AS674" t="str">
        <f>IF(LEN(X674)=0,"",X674)</f>
        <v/>
      </c>
    </row>
    <row r="675" spans="1:45" x14ac:dyDescent="0.35">
      <c r="A675" s="366">
        <v>6</v>
      </c>
      <c r="B675" s="737">
        <v>606.29999999999995</v>
      </c>
      <c r="C675" s="731"/>
      <c r="D675" s="731"/>
      <c r="E675" s="731"/>
      <c r="F675" s="731"/>
      <c r="G675" s="366" t="str">
        <f t="shared" ca="1" si="47"/>
        <v/>
      </c>
      <c r="H675" s="366" t="s">
        <v>3970</v>
      </c>
      <c r="I675" s="30"/>
      <c r="J675" s="4"/>
      <c r="K675" s="43"/>
      <c r="L675" s="838"/>
      <c r="M675" s="818"/>
      <c r="N675" s="834"/>
      <c r="O675" s="834"/>
      <c r="X675" s="851"/>
      <c r="Y675" s="1100"/>
      <c r="Z675" s="1102"/>
    </row>
    <row r="676" spans="1:45" x14ac:dyDescent="0.35">
      <c r="A676" s="366">
        <v>6</v>
      </c>
      <c r="B676" s="737">
        <v>606.29999999999995</v>
      </c>
      <c r="C676" s="731"/>
      <c r="D676" s="731"/>
      <c r="E676" s="731"/>
      <c r="F676" s="731"/>
      <c r="G676" s="366" t="str">
        <f t="shared" ca="1" si="47"/>
        <v/>
      </c>
      <c r="H676" s="366" t="s">
        <v>3970</v>
      </c>
      <c r="I676" s="30"/>
      <c r="J676" s="4"/>
      <c r="K676" s="43"/>
      <c r="L676" s="838"/>
      <c r="M676" s="818"/>
      <c r="N676" s="834"/>
      <c r="O676" s="834"/>
      <c r="X676" s="851"/>
      <c r="Y676" s="1100"/>
      <c r="Z676" s="1102"/>
    </row>
    <row r="677" spans="1:45" x14ac:dyDescent="0.35">
      <c r="A677" s="366">
        <v>6</v>
      </c>
      <c r="B677" s="737">
        <v>606.29999999999995</v>
      </c>
      <c r="C677" s="731"/>
      <c r="D677" s="731"/>
      <c r="E677" s="731"/>
      <c r="F677" s="731"/>
      <c r="G677" s="366" t="str">
        <f t="shared" ca="1" si="47"/>
        <v/>
      </c>
      <c r="H677" s="366" t="s">
        <v>3970</v>
      </c>
      <c r="I677" s="30"/>
      <c r="J677" s="4"/>
      <c r="K677" s="43"/>
      <c r="L677" s="838"/>
      <c r="M677" s="818"/>
      <c r="N677" s="834"/>
      <c r="O677" s="834"/>
      <c r="X677" s="851"/>
      <c r="Y677" s="1100"/>
      <c r="Z677" s="1102"/>
    </row>
    <row r="678" spans="1:45" x14ac:dyDescent="0.35">
      <c r="A678" s="366">
        <v>6</v>
      </c>
      <c r="B678" s="737">
        <v>606.29999999999995</v>
      </c>
      <c r="C678" s="731"/>
      <c r="D678" s="731"/>
      <c r="E678" s="731"/>
      <c r="F678" s="731"/>
      <c r="G678" s="366" t="str">
        <f t="shared" ca="1" si="47"/>
        <v/>
      </c>
      <c r="H678" s="366" t="s">
        <v>3970</v>
      </c>
      <c r="I678" s="30"/>
      <c r="J678" s="4"/>
      <c r="K678" s="43"/>
      <c r="L678" s="92" t="s">
        <v>688</v>
      </c>
      <c r="M678" s="818"/>
      <c r="N678" s="834"/>
      <c r="O678" s="834"/>
      <c r="X678" s="851"/>
      <c r="Y678" s="1100"/>
      <c r="Z678" s="1102"/>
    </row>
    <row r="679" spans="1:45" x14ac:dyDescent="0.35">
      <c r="A679" s="366">
        <v>6</v>
      </c>
      <c r="B679" s="737">
        <v>606.29999999999995</v>
      </c>
      <c r="C679" s="731"/>
      <c r="D679" s="731"/>
      <c r="E679" s="731"/>
      <c r="F679" s="731"/>
      <c r="G679" s="366" t="str">
        <f t="shared" ca="1" si="47"/>
        <v/>
      </c>
      <c r="H679" s="366" t="s">
        <v>3970</v>
      </c>
      <c r="I679" s="30"/>
      <c r="J679" s="4"/>
      <c r="K679" s="43"/>
      <c r="L679" s="218" t="s">
        <v>3084</v>
      </c>
      <c r="M679" s="818"/>
      <c r="N679" s="834"/>
      <c r="O679" s="834"/>
      <c r="X679" s="816"/>
      <c r="Y679" s="1100"/>
      <c r="Z679" s="1102"/>
    </row>
    <row r="680" spans="1:45" ht="18.5" x14ac:dyDescent="0.45">
      <c r="A680" s="366">
        <v>6</v>
      </c>
      <c r="B680" s="737">
        <v>607</v>
      </c>
      <c r="C680" s="731"/>
      <c r="D680" s="731"/>
      <c r="E680" s="731"/>
      <c r="F680" s="731"/>
      <c r="G680" s="366" t="s">
        <v>3973</v>
      </c>
      <c r="H680" s="366" t="s">
        <v>3970</v>
      </c>
      <c r="I680" s="10" t="s">
        <v>689</v>
      </c>
      <c r="J680" s="15"/>
      <c r="K680" s="42"/>
      <c r="L680" s="151"/>
      <c r="M680" s="243"/>
      <c r="N680" s="544"/>
      <c r="O680" s="544"/>
      <c r="P680" s="15"/>
      <c r="Q680" s="15"/>
      <c r="R680" s="15"/>
      <c r="S680" s="15"/>
      <c r="T680" s="15"/>
      <c r="U680" s="15"/>
      <c r="V680" s="15"/>
      <c r="W680" s="15"/>
      <c r="X680" s="15"/>
      <c r="Y680" s="15"/>
      <c r="Z680" s="651"/>
    </row>
    <row r="681" spans="1:45" x14ac:dyDescent="0.35">
      <c r="A681" s="366">
        <v>6</v>
      </c>
      <c r="B681" s="737">
        <v>607.1</v>
      </c>
      <c r="C681" s="731"/>
      <c r="D681" s="731"/>
      <c r="E681" s="731"/>
      <c r="F681" s="731"/>
      <c r="G681" s="727" t="str">
        <f>IF(COUNTIF(G683:G688,"P")&gt;0,"P","")</f>
        <v>P</v>
      </c>
      <c r="H681" s="366" t="s">
        <v>3972</v>
      </c>
      <c r="I681" s="30">
        <v>607.1</v>
      </c>
      <c r="J681" s="4"/>
      <c r="K681" s="43"/>
      <c r="L681" s="838" t="s">
        <v>690</v>
      </c>
      <c r="M681" s="40"/>
      <c r="N681" s="41"/>
      <c r="O681" s="41"/>
    </row>
    <row r="682" spans="1:45" x14ac:dyDescent="0.35">
      <c r="A682" s="366">
        <v>6</v>
      </c>
      <c r="B682" s="737">
        <v>607.1</v>
      </c>
      <c r="C682" s="731"/>
      <c r="D682" s="731"/>
      <c r="E682" s="731"/>
      <c r="F682" s="731"/>
      <c r="G682" s="366" t="str">
        <f>G681</f>
        <v>P</v>
      </c>
      <c r="H682" s="366" t="s">
        <v>3972</v>
      </c>
      <c r="I682" s="30"/>
      <c r="J682" s="4"/>
      <c r="K682" s="43"/>
      <c r="L682" s="838"/>
      <c r="M682" s="40"/>
      <c r="N682" s="41"/>
      <c r="O682" s="41"/>
    </row>
    <row r="683" spans="1:45" ht="15" customHeight="1" x14ac:dyDescent="0.35">
      <c r="A683" s="366">
        <v>6</v>
      </c>
      <c r="B683" s="737">
        <v>607.1</v>
      </c>
      <c r="C683" s="731" t="s">
        <v>256</v>
      </c>
      <c r="D683" s="731"/>
      <c r="E683" s="731"/>
      <c r="F683" s="731"/>
      <c r="G683" s="366" t="str">
        <f>IF(N683&gt;0,"P","")</f>
        <v>P</v>
      </c>
      <c r="H683" s="366" t="s">
        <v>3972</v>
      </c>
      <c r="I683" s="30"/>
      <c r="J683" s="19" t="s">
        <v>256</v>
      </c>
      <c r="K683" s="43"/>
      <c r="L683" s="814" t="s">
        <v>4181</v>
      </c>
      <c r="M683" s="818">
        <v>2</v>
      </c>
      <c r="N683" s="834">
        <f>'Ch6'!O365</f>
        <v>2</v>
      </c>
      <c r="O683" s="834">
        <f>M683*S683*W683</f>
        <v>0</v>
      </c>
      <c r="P683" t="b">
        <v>0</v>
      </c>
      <c r="Q683" t="b">
        <v>1</v>
      </c>
      <c r="R683" t="b">
        <v>0</v>
      </c>
      <c r="S683" t="b">
        <v>1</v>
      </c>
      <c r="T683" t="b">
        <v>0</v>
      </c>
      <c r="W683" s="17"/>
      <c r="X683" s="817"/>
      <c r="Y683" s="1100" t="str">
        <f>IF(LEN('Ch6'!X365)=0,"None",'Ch6'!X365)</f>
        <v>None</v>
      </c>
      <c r="Z683" s="1102"/>
      <c r="AL683" t="str">
        <f>SUBSTITUTE(SUBSTITUTE(SUBSTITUTE("vpa"&amp;$B683&amp;$C683&amp;$D683&amp;$E683,".","_"),"(","_"),")","")</f>
        <v>vpa607_1_1</v>
      </c>
      <c r="AM683">
        <f>M683</f>
        <v>2</v>
      </c>
      <c r="AN683" t="str">
        <f>SUBSTITUTE(SUBSTITUTE(SUBSTITUTE("vpc"&amp;$B683&amp;$C683&amp;$D683&amp;$E683,".","_"),"(","_"),")","")</f>
        <v>vpc607_1_1</v>
      </c>
      <c r="AO683">
        <f>O683</f>
        <v>0</v>
      </c>
      <c r="AP683" t="str">
        <f>SUBSTITUTE(SUBSTITUTE(SUBSTITUTE("vch"&amp;$B683&amp;$C683&amp;$D683&amp;$E683,".","_"),"(","_"),")","")</f>
        <v>vch607_1_1</v>
      </c>
      <c r="AQ683" t="str">
        <f>IF(LEN(W683)=0,"",W683)</f>
        <v/>
      </c>
      <c r="AR683" t="str">
        <f>SUBSTITUTE(SUBSTITUTE(SUBSTITUTE("vnt"&amp;$B683&amp;$C683&amp;$D683&amp;$E683,".","_"),"(","_"),")","")</f>
        <v>vnt607_1_1</v>
      </c>
      <c r="AS683" t="str">
        <f>IF(LEN(X683)=0,"",X683)</f>
        <v/>
      </c>
    </row>
    <row r="684" spans="1:45" x14ac:dyDescent="0.35">
      <c r="A684" s="366">
        <v>6</v>
      </c>
      <c r="B684" s="737">
        <v>607.1</v>
      </c>
      <c r="C684" s="731" t="s">
        <v>256</v>
      </c>
      <c r="D684" s="731"/>
      <c r="E684" s="731"/>
      <c r="F684" s="731"/>
      <c r="G684" s="366" t="str">
        <f>G683</f>
        <v>P</v>
      </c>
      <c r="H684" s="366" t="s">
        <v>3972</v>
      </c>
      <c r="I684" s="30"/>
      <c r="J684" s="19"/>
      <c r="K684" s="43"/>
      <c r="L684" s="814"/>
      <c r="M684" s="818"/>
      <c r="N684" s="834"/>
      <c r="O684" s="834"/>
      <c r="X684" s="817"/>
      <c r="Y684" s="1100"/>
      <c r="Z684" s="1102"/>
    </row>
    <row r="685" spans="1:45" x14ac:dyDescent="0.35">
      <c r="A685" s="366">
        <v>6</v>
      </c>
      <c r="B685" s="737">
        <v>607.1</v>
      </c>
      <c r="C685" s="731" t="s">
        <v>256</v>
      </c>
      <c r="D685" s="731"/>
      <c r="E685" s="731"/>
      <c r="F685" s="731"/>
      <c r="G685" s="366" t="str">
        <f>G684</f>
        <v>P</v>
      </c>
      <c r="H685" s="366" t="s">
        <v>3972</v>
      </c>
      <c r="I685" s="30"/>
      <c r="J685" s="19"/>
      <c r="K685" s="43"/>
      <c r="L685" s="814"/>
      <c r="M685" s="818"/>
      <c r="N685" s="834"/>
      <c r="O685" s="834"/>
      <c r="X685" s="817"/>
      <c r="Y685" s="1100"/>
      <c r="Z685" s="1102"/>
    </row>
    <row r="686" spans="1:45" x14ac:dyDescent="0.35">
      <c r="A686" s="366">
        <v>6</v>
      </c>
      <c r="B686" s="737">
        <v>607.1</v>
      </c>
      <c r="C686" s="731" t="s">
        <v>256</v>
      </c>
      <c r="D686" s="731"/>
      <c r="E686" s="731"/>
      <c r="F686" s="731"/>
      <c r="G686" s="366" t="str">
        <f>G685</f>
        <v>P</v>
      </c>
      <c r="H686" s="366" t="s">
        <v>3972</v>
      </c>
      <c r="I686" s="30"/>
      <c r="J686" s="19"/>
      <c r="K686" s="43"/>
      <c r="L686" s="814"/>
      <c r="M686" s="818"/>
      <c r="N686" s="834"/>
      <c r="O686" s="834"/>
      <c r="X686" s="817"/>
      <c r="Y686" s="1100"/>
      <c r="Z686" s="1102"/>
    </row>
    <row r="687" spans="1:45" x14ac:dyDescent="0.35">
      <c r="A687" s="366">
        <v>6</v>
      </c>
      <c r="B687" s="737">
        <v>607.1</v>
      </c>
      <c r="C687" s="731" t="s">
        <v>256</v>
      </c>
      <c r="D687" s="731"/>
      <c r="E687" s="731"/>
      <c r="F687" s="731"/>
      <c r="G687" s="366" t="str">
        <f>G683</f>
        <v>P</v>
      </c>
      <c r="H687" s="366" t="s">
        <v>3972</v>
      </c>
      <c r="I687" s="30"/>
      <c r="J687" s="129"/>
      <c r="K687" s="101"/>
      <c r="L687" s="815"/>
      <c r="M687" s="819"/>
      <c r="N687" s="835"/>
      <c r="O687" s="835"/>
      <c r="X687" s="817"/>
      <c r="Y687" s="1100"/>
      <c r="Z687" s="1102"/>
    </row>
    <row r="688" spans="1:45" x14ac:dyDescent="0.35">
      <c r="A688" s="366">
        <v>6</v>
      </c>
      <c r="B688" s="737">
        <v>607.1</v>
      </c>
      <c r="C688" s="731" t="s">
        <v>258</v>
      </c>
      <c r="D688" s="731"/>
      <c r="E688" s="731"/>
      <c r="F688" s="731"/>
      <c r="G688" s="366" t="str">
        <f>IF(N688&gt;0,"P","")</f>
        <v/>
      </c>
      <c r="H688" s="366" t="s">
        <v>3972</v>
      </c>
      <c r="I688" s="30"/>
      <c r="J688" s="19" t="s">
        <v>258</v>
      </c>
      <c r="K688" s="43"/>
      <c r="L688" s="820" t="s">
        <v>4182</v>
      </c>
      <c r="M688" s="822">
        <v>4</v>
      </c>
      <c r="N688" s="963">
        <f>'Ch6'!O370</f>
        <v>0</v>
      </c>
      <c r="O688" s="963">
        <f>M688*S688*W688</f>
        <v>0</v>
      </c>
      <c r="P688" t="b">
        <v>0</v>
      </c>
      <c r="Q688" t="b">
        <v>1</v>
      </c>
      <c r="R688" t="b">
        <v>0</v>
      </c>
      <c r="S688" t="b">
        <v>1</v>
      </c>
      <c r="T688" t="b">
        <v>0</v>
      </c>
      <c r="W688" s="17"/>
      <c r="X688" s="817"/>
      <c r="Y688" s="1119" t="str">
        <f>IF(LEN('Ch6'!X370)=0,"None",'Ch6'!X370)</f>
        <v>None</v>
      </c>
      <c r="Z688" s="1105"/>
      <c r="AL688" t="str">
        <f>SUBSTITUTE(SUBSTITUTE(SUBSTITUTE("vpa"&amp;$B688&amp;$C688&amp;$D688&amp;$E688,".","_"),"(","_"),")","")</f>
        <v>vpa607_1_2</v>
      </c>
      <c r="AM688">
        <f>M688</f>
        <v>4</v>
      </c>
      <c r="AN688" t="str">
        <f>SUBSTITUTE(SUBSTITUTE(SUBSTITUTE("vpc"&amp;$B688&amp;$C688&amp;$D688&amp;$E688,".","_"),"(","_"),")","")</f>
        <v>vpc607_1_2</v>
      </c>
      <c r="AO688">
        <f>O688</f>
        <v>0</v>
      </c>
      <c r="AP688" t="str">
        <f>SUBSTITUTE(SUBSTITUTE(SUBSTITUTE("vch"&amp;$B688&amp;$C688&amp;$D688&amp;$E688,".","_"),"(","_"),")","")</f>
        <v>vch607_1_2</v>
      </c>
      <c r="AQ688" t="str">
        <f>IF(LEN(W688)=0,"",W688)</f>
        <v/>
      </c>
      <c r="AR688" t="str">
        <f>SUBSTITUTE(SUBSTITUTE(SUBSTITUTE("vnt"&amp;$B688&amp;$C688&amp;$D688&amp;$E688,".","_"),"(","_"),")","")</f>
        <v>vnt607_1_2</v>
      </c>
      <c r="AS688" t="str">
        <f>IF(LEN(X688)=0,"",X688)</f>
        <v/>
      </c>
    </row>
    <row r="689" spans="1:45" x14ac:dyDescent="0.35">
      <c r="A689" s="366">
        <v>6</v>
      </c>
      <c r="B689" s="737">
        <v>607.1</v>
      </c>
      <c r="C689" s="731" t="s">
        <v>258</v>
      </c>
      <c r="D689" s="731"/>
      <c r="E689" s="731"/>
      <c r="F689" s="731"/>
      <c r="G689" s="366" t="str">
        <f>G688</f>
        <v/>
      </c>
      <c r="H689" s="366" t="s">
        <v>3972</v>
      </c>
      <c r="L689" s="848"/>
      <c r="M689" s="818"/>
      <c r="N689" s="834"/>
      <c r="O689" s="834"/>
      <c r="X689" s="817"/>
      <c r="Y689" s="1120"/>
      <c r="Z689" s="1109"/>
    </row>
    <row r="690" spans="1:45" x14ac:dyDescent="0.35">
      <c r="A690" s="366">
        <v>6</v>
      </c>
      <c r="B690" s="737">
        <v>607.1</v>
      </c>
      <c r="C690" s="731" t="s">
        <v>258</v>
      </c>
      <c r="D690" s="731"/>
      <c r="E690" s="731"/>
      <c r="F690" s="731"/>
      <c r="G690" s="366" t="str">
        <f>G689</f>
        <v/>
      </c>
      <c r="H690" s="366" t="s">
        <v>3972</v>
      </c>
      <c r="L690" s="848"/>
      <c r="M690" s="818"/>
      <c r="N690" s="834"/>
      <c r="O690" s="834"/>
      <c r="X690" s="817"/>
      <c r="Y690" s="1120"/>
      <c r="Z690" s="1109"/>
    </row>
    <row r="691" spans="1:45" x14ac:dyDescent="0.35">
      <c r="A691" s="366">
        <v>6</v>
      </c>
      <c r="B691" s="737">
        <v>607.1</v>
      </c>
      <c r="C691" s="731" t="s">
        <v>258</v>
      </c>
      <c r="D691" s="731"/>
      <c r="E691" s="731"/>
      <c r="F691" s="731"/>
      <c r="G691" s="366" t="str">
        <f>G690</f>
        <v/>
      </c>
      <c r="H691" s="366" t="s">
        <v>3972</v>
      </c>
      <c r="L691" s="848"/>
      <c r="M691" s="818"/>
      <c r="N691" s="834"/>
      <c r="O691" s="834"/>
      <c r="X691" s="817"/>
      <c r="Y691" s="1120"/>
      <c r="Z691" s="1109"/>
    </row>
    <row r="692" spans="1:45" x14ac:dyDescent="0.35">
      <c r="A692" s="366">
        <v>6</v>
      </c>
      <c r="B692" s="737">
        <v>607.1</v>
      </c>
      <c r="C692" s="731" t="s">
        <v>258</v>
      </c>
      <c r="D692" s="731"/>
      <c r="E692" s="731"/>
      <c r="F692" s="731"/>
      <c r="G692" s="366" t="str">
        <f>G691</f>
        <v/>
      </c>
      <c r="H692" s="366" t="s">
        <v>3972</v>
      </c>
      <c r="L692" s="848"/>
      <c r="M692" s="818"/>
      <c r="N692" s="834"/>
      <c r="O692" s="834"/>
      <c r="X692" s="817"/>
      <c r="Y692" s="1120"/>
      <c r="Z692" s="1109"/>
    </row>
    <row r="693" spans="1:45" ht="15" thickBot="1" x14ac:dyDescent="0.4">
      <c r="A693" s="366">
        <v>6</v>
      </c>
      <c r="B693" s="737">
        <v>607.1</v>
      </c>
      <c r="C693" s="731" t="s">
        <v>258</v>
      </c>
      <c r="D693" s="731"/>
      <c r="E693" s="731"/>
      <c r="F693" s="731"/>
      <c r="G693" s="366" t="str">
        <f>G692</f>
        <v/>
      </c>
      <c r="H693" s="366" t="s">
        <v>3972</v>
      </c>
      <c r="L693" s="888"/>
      <c r="M693" s="827"/>
      <c r="N693" s="863"/>
      <c r="O693" s="863"/>
      <c r="W693" s="55"/>
      <c r="X693" s="817"/>
      <c r="Y693" s="1121"/>
      <c r="Z693" s="1108"/>
    </row>
    <row r="694" spans="1:45" ht="15" thickTop="1" x14ac:dyDescent="0.35">
      <c r="A694" s="366">
        <v>6</v>
      </c>
      <c r="B694" s="737">
        <v>607.20000000000005</v>
      </c>
      <c r="C694" s="731"/>
      <c r="D694" s="731"/>
      <c r="E694" s="731"/>
      <c r="F694" s="731"/>
      <c r="G694" s="366" t="str">
        <f>IF(N694&gt;0,"P","")</f>
        <v>P</v>
      </c>
      <c r="H694" s="366" t="s">
        <v>3972</v>
      </c>
      <c r="I694" s="106">
        <v>607.20000000000005</v>
      </c>
      <c r="J694" s="107"/>
      <c r="K694" s="108"/>
      <c r="L694" s="837" t="s">
        <v>691</v>
      </c>
      <c r="M694" s="830">
        <v>1</v>
      </c>
      <c r="N694" s="959">
        <f>'Ch6'!O376</f>
        <v>1</v>
      </c>
      <c r="O694" s="959">
        <f>M694*S694*W694</f>
        <v>0</v>
      </c>
      <c r="P694" t="b">
        <v>0</v>
      </c>
      <c r="Q694" t="b">
        <v>1</v>
      </c>
      <c r="R694" s="59" t="b">
        <v>0</v>
      </c>
      <c r="S694" s="59" t="b">
        <v>1</v>
      </c>
      <c r="T694" s="59" t="b">
        <v>0</v>
      </c>
      <c r="U694" s="59"/>
      <c r="V694" s="59"/>
      <c r="W694" s="69"/>
      <c r="X694" s="840"/>
      <c r="Y694" s="1117" t="str">
        <f>IF(LEN('Ch6'!X376)=0,"None",'Ch6'!X376)</f>
        <v>Insinkerator Food Waste Disposer</v>
      </c>
      <c r="Z694" s="1103"/>
      <c r="AL694" t="str">
        <f>SUBSTITUTE(SUBSTITUTE(SUBSTITUTE("vpa"&amp;$B694&amp;$C694&amp;$D694&amp;$E694,".","_"),"(","_"),")","")</f>
        <v>vpa607_2</v>
      </c>
      <c r="AM694">
        <f>M694</f>
        <v>1</v>
      </c>
      <c r="AN694" t="str">
        <f>SUBSTITUTE(SUBSTITUTE(SUBSTITUTE("vpc"&amp;$B694&amp;$C694&amp;$D694&amp;$E694,".","_"),"(","_"),")","")</f>
        <v>vpc607_2</v>
      </c>
      <c r="AO694">
        <f>O694</f>
        <v>0</v>
      </c>
      <c r="AP694" t="str">
        <f>SUBSTITUTE(SUBSTITUTE(SUBSTITUTE("vch"&amp;$B694&amp;$C694&amp;$D694&amp;$E694,".","_"),"(","_"),")","")</f>
        <v>vch607_2</v>
      </c>
      <c r="AQ694" t="str">
        <f>IF(LEN(W694)=0,"",W694)</f>
        <v/>
      </c>
      <c r="AR694" t="str">
        <f>SUBSTITUTE(SUBSTITUTE(SUBSTITUTE("vnt"&amp;$B694&amp;$C694&amp;$D694&amp;$E694,".","_"),"(","_"),")","")</f>
        <v>vnt607_2</v>
      </c>
      <c r="AS694" t="str">
        <f>IF(LEN(X694)=0,"",X694)</f>
        <v/>
      </c>
    </row>
    <row r="695" spans="1:45" x14ac:dyDescent="0.35">
      <c r="A695" s="366">
        <v>6</v>
      </c>
      <c r="B695" s="737">
        <v>607.20000000000005</v>
      </c>
      <c r="C695" s="731"/>
      <c r="D695" s="731"/>
      <c r="E695" s="731"/>
      <c r="F695" s="731"/>
      <c r="G695" s="366" t="str">
        <f>G694</f>
        <v>P</v>
      </c>
      <c r="H695" s="366" t="s">
        <v>3972</v>
      </c>
      <c r="I695" s="30"/>
      <c r="J695" s="4"/>
      <c r="K695" s="43"/>
      <c r="L695" s="838"/>
      <c r="M695" s="818"/>
      <c r="N695" s="834"/>
      <c r="O695" s="834"/>
      <c r="X695" s="817"/>
      <c r="Y695" s="1100"/>
      <c r="Z695" s="1102"/>
    </row>
    <row r="696" spans="1:45" ht="18.5" x14ac:dyDescent="0.45">
      <c r="A696" s="366">
        <v>6</v>
      </c>
      <c r="B696" s="737">
        <v>608</v>
      </c>
      <c r="C696" s="731"/>
      <c r="D696" s="731"/>
      <c r="E696" s="731"/>
      <c r="F696" s="731"/>
      <c r="G696" s="366" t="s">
        <v>3973</v>
      </c>
      <c r="H696" s="366" t="s">
        <v>3970</v>
      </c>
      <c r="I696" s="10" t="s">
        <v>692</v>
      </c>
      <c r="J696" s="15"/>
      <c r="K696" s="42"/>
      <c r="L696" s="151"/>
      <c r="M696" s="243"/>
      <c r="N696" s="544"/>
      <c r="O696" s="544"/>
      <c r="P696" s="15"/>
      <c r="Q696" s="15"/>
      <c r="R696" s="15"/>
      <c r="S696" s="15"/>
      <c r="T696" s="15"/>
      <c r="U696" s="15"/>
      <c r="V696" s="15"/>
      <c r="W696" s="15"/>
      <c r="X696" s="15"/>
      <c r="Y696" s="15"/>
      <c r="Z696" s="651"/>
    </row>
    <row r="697" spans="1:45" ht="15" customHeight="1" x14ac:dyDescent="0.35">
      <c r="A697" s="366">
        <v>6</v>
      </c>
      <c r="B697" s="737">
        <v>608.1</v>
      </c>
      <c r="C697" s="731"/>
      <c r="D697" s="731"/>
      <c r="E697" s="731"/>
      <c r="F697" s="731"/>
      <c r="G697" s="366" t="str">
        <f ca="1">IF(N697&gt;0,"P","")</f>
        <v/>
      </c>
      <c r="H697" s="366" t="s">
        <v>3970</v>
      </c>
      <c r="I697" s="30">
        <v>608.1</v>
      </c>
      <c r="J697" s="4"/>
      <c r="K697" s="43"/>
      <c r="L697" s="838" t="s">
        <v>693</v>
      </c>
      <c r="M697" s="891" t="s">
        <v>3085</v>
      </c>
      <c r="N697" s="834">
        <f ca="1">'Ch6'!O379</f>
        <v>0</v>
      </c>
      <c r="O697" s="834">
        <f ca="1">IFERROR(MATCH(W697,INDIRECT(U697),0),0)*3</f>
        <v>0</v>
      </c>
      <c r="P697" t="b">
        <v>1</v>
      </c>
      <c r="Q697" t="b">
        <v>1</v>
      </c>
      <c r="R697" t="b">
        <v>0</v>
      </c>
      <c r="S697" t="b">
        <v>1</v>
      </c>
      <c r="T697" t="b">
        <v>0</v>
      </c>
      <c r="U697" t="str">
        <f>SUBSTITUTE(SUBSTITUTE(SUBSTITUTE("dd"&amp;B697&amp;C697&amp;D697&amp;E697&amp;F697,".","_"),"(","_"),")","")</f>
        <v>dd608_1</v>
      </c>
      <c r="W697" s="9"/>
      <c r="X697" s="850"/>
      <c r="Y697" s="1100" t="str">
        <f>IF(LEN('Ch6'!X379)=0,"None",'Ch6'!X379)</f>
        <v>None</v>
      </c>
      <c r="Z697" s="1102"/>
      <c r="AC697" t="b">
        <f>OR(AD697:AE697)</f>
        <v>0</v>
      </c>
      <c r="AD697" t="b">
        <v>0</v>
      </c>
      <c r="AE697" t="b">
        <f>AND(NOT(ISBLANK(W697)),LEN(X697)=0)</f>
        <v>0</v>
      </c>
      <c r="AL697" t="str">
        <f>SUBSTITUTE(SUBSTITUTE(SUBSTITUTE("vpa"&amp;$B697&amp;$C697&amp;$D697&amp;$E697,".","_"),"(","_"),")","")</f>
        <v>vpa608_1</v>
      </c>
      <c r="AM697" t="str">
        <f>M697</f>
        <v>9 Max
3 per material</v>
      </c>
      <c r="AN697" t="str">
        <f>SUBSTITUTE(SUBSTITUTE(SUBSTITUTE("vpc"&amp;$B697&amp;$C697&amp;$D697&amp;$E697,".","_"),"(","_"),")","")</f>
        <v>vpc608_1</v>
      </c>
      <c r="AO697">
        <f ca="1">O697</f>
        <v>0</v>
      </c>
      <c r="AP697" t="str">
        <f>SUBSTITUTE(SUBSTITUTE(SUBSTITUTE("vch"&amp;$B697&amp;$C697&amp;$D697&amp;$E697,".","_"),"(","_"),")","")</f>
        <v>vch608_1</v>
      </c>
      <c r="AQ697" t="str">
        <f>IF(LEN(W697)=0,"",W697)</f>
        <v/>
      </c>
      <c r="AR697" t="str">
        <f>SUBSTITUTE(SUBSTITUTE(SUBSTITUTE("vnt"&amp;$B697&amp;$C697&amp;$D697&amp;$E697,".","_"),"(","_"),")","")</f>
        <v>vnt608_1</v>
      </c>
      <c r="AS697" t="str">
        <f>IF(LEN(X697)=0,"",X697)</f>
        <v/>
      </c>
    </row>
    <row r="698" spans="1:45" x14ac:dyDescent="0.35">
      <c r="A698" s="366">
        <v>6</v>
      </c>
      <c r="B698" s="737">
        <v>608.1</v>
      </c>
      <c r="C698" s="731"/>
      <c r="D698" s="731"/>
      <c r="E698" s="731"/>
      <c r="F698" s="731"/>
      <c r="G698" s="366" t="str">
        <f t="shared" ref="G698:G704" ca="1" si="48">G697</f>
        <v/>
      </c>
      <c r="H698" s="366" t="s">
        <v>3970</v>
      </c>
      <c r="I698" s="30"/>
      <c r="J698" s="4"/>
      <c r="K698" s="43"/>
      <c r="L698" s="838"/>
      <c r="M698" s="891"/>
      <c r="N698" s="834"/>
      <c r="O698" s="834"/>
      <c r="X698" s="851"/>
      <c r="Y698" s="1100"/>
      <c r="Z698" s="1102"/>
    </row>
    <row r="699" spans="1:45" x14ac:dyDescent="0.35">
      <c r="A699" s="366">
        <v>6</v>
      </c>
      <c r="B699" s="737">
        <v>608.1</v>
      </c>
      <c r="C699" s="731"/>
      <c r="D699" s="731"/>
      <c r="E699" s="731"/>
      <c r="F699" s="731"/>
      <c r="G699" s="366" t="str">
        <f t="shared" ca="1" si="48"/>
        <v/>
      </c>
      <c r="H699" s="366" t="s">
        <v>3970</v>
      </c>
      <c r="I699" s="30"/>
      <c r="J699" s="4"/>
      <c r="K699" s="43"/>
      <c r="L699" s="838"/>
      <c r="M699" s="891"/>
      <c r="N699" s="834"/>
      <c r="O699" s="834"/>
      <c r="X699" s="851"/>
      <c r="Y699" s="1100"/>
      <c r="Z699" s="1102"/>
    </row>
    <row r="700" spans="1:45" x14ac:dyDescent="0.35">
      <c r="A700" s="366">
        <v>6</v>
      </c>
      <c r="B700" s="737">
        <v>608.1</v>
      </c>
      <c r="C700" s="731" t="s">
        <v>256</v>
      </c>
      <c r="D700" s="731"/>
      <c r="E700" s="731"/>
      <c r="F700" s="731"/>
      <c r="G700" s="366" t="str">
        <f t="shared" ca="1" si="48"/>
        <v/>
      </c>
      <c r="H700" s="366" t="s">
        <v>3970</v>
      </c>
      <c r="I700" s="30"/>
      <c r="J700" s="19" t="s">
        <v>256</v>
      </c>
      <c r="K700" s="43"/>
      <c r="L700" s="814" t="s">
        <v>694</v>
      </c>
      <c r="M700" s="891"/>
      <c r="N700" s="834"/>
      <c r="O700" s="834"/>
      <c r="X700" s="851"/>
      <c r="Y700" s="1100"/>
      <c r="Z700" s="1102"/>
    </row>
    <row r="701" spans="1:45" x14ac:dyDescent="0.35">
      <c r="A701" s="366">
        <v>6</v>
      </c>
      <c r="B701" s="737">
        <v>608.1</v>
      </c>
      <c r="C701" s="731" t="s">
        <v>256</v>
      </c>
      <c r="D701" s="731"/>
      <c r="E701" s="731"/>
      <c r="F701" s="731"/>
      <c r="G701" s="366" t="str">
        <f t="shared" ca="1" si="48"/>
        <v/>
      </c>
      <c r="H701" s="366" t="s">
        <v>3970</v>
      </c>
      <c r="I701" s="30"/>
      <c r="J701" s="19"/>
      <c r="K701" s="43"/>
      <c r="L701" s="814"/>
      <c r="M701" s="891"/>
      <c r="N701" s="834"/>
      <c r="O701" s="834"/>
      <c r="X701" s="851"/>
      <c r="Y701" s="1100"/>
      <c r="Z701" s="1102"/>
    </row>
    <row r="702" spans="1:45" x14ac:dyDescent="0.35">
      <c r="A702" s="366">
        <v>6</v>
      </c>
      <c r="B702" s="737">
        <v>608.1</v>
      </c>
      <c r="C702" s="731" t="s">
        <v>258</v>
      </c>
      <c r="D702" s="731"/>
      <c r="E702" s="731"/>
      <c r="F702" s="731"/>
      <c r="G702" s="366" t="str">
        <f t="shared" ca="1" si="48"/>
        <v/>
      </c>
      <c r="H702" s="366" t="s">
        <v>3970</v>
      </c>
      <c r="I702" s="30"/>
      <c r="J702" s="19" t="s">
        <v>258</v>
      </c>
      <c r="K702" s="43"/>
      <c r="L702" s="90" t="s">
        <v>695</v>
      </c>
      <c r="M702" s="891"/>
      <c r="N702" s="834"/>
      <c r="O702" s="834"/>
      <c r="X702" s="851"/>
      <c r="Y702" s="1100"/>
      <c r="Z702" s="1102"/>
    </row>
    <row r="703" spans="1:45" x14ac:dyDescent="0.35">
      <c r="A703" s="366">
        <v>6</v>
      </c>
      <c r="B703" s="737">
        <v>608.1</v>
      </c>
      <c r="C703" s="731" t="s">
        <v>260</v>
      </c>
      <c r="D703" s="731"/>
      <c r="E703" s="731"/>
      <c r="F703" s="731"/>
      <c r="G703" s="366" t="str">
        <f t="shared" ca="1" si="48"/>
        <v/>
      </c>
      <c r="H703" s="366" t="s">
        <v>3970</v>
      </c>
      <c r="I703" s="30"/>
      <c r="J703" s="19" t="s">
        <v>260</v>
      </c>
      <c r="K703" s="43"/>
      <c r="L703" s="90" t="s">
        <v>696</v>
      </c>
      <c r="M703" s="891"/>
      <c r="N703" s="834"/>
      <c r="O703" s="834"/>
      <c r="X703" s="851"/>
      <c r="Y703" s="1100"/>
      <c r="Z703" s="1102"/>
    </row>
    <row r="704" spans="1:45" ht="15" customHeight="1" x14ac:dyDescent="0.35">
      <c r="A704" s="366">
        <v>6</v>
      </c>
      <c r="B704" s="737">
        <v>608.1</v>
      </c>
      <c r="C704" s="731"/>
      <c r="D704" s="731"/>
      <c r="E704" s="731"/>
      <c r="F704" s="731"/>
      <c r="G704" s="366" t="str">
        <f t="shared" ca="1" si="48"/>
        <v/>
      </c>
      <c r="H704" s="366" t="s">
        <v>3970</v>
      </c>
      <c r="I704" s="30"/>
      <c r="J704" s="19"/>
      <c r="K704" s="43"/>
      <c r="L704" s="218" t="s">
        <v>3089</v>
      </c>
      <c r="M704" s="891"/>
      <c r="N704" s="834"/>
      <c r="O704" s="834"/>
      <c r="X704" s="816"/>
      <c r="Y704" s="1100"/>
      <c r="Z704" s="1102"/>
    </row>
    <row r="705" spans="1:45" ht="18.5" x14ac:dyDescent="0.45">
      <c r="A705" s="366">
        <v>6</v>
      </c>
      <c r="B705" s="737">
        <v>609</v>
      </c>
      <c r="C705" s="731"/>
      <c r="D705" s="731"/>
      <c r="E705" s="731"/>
      <c r="F705" s="731"/>
      <c r="G705" s="366" t="s">
        <v>3973</v>
      </c>
      <c r="H705" s="366" t="s">
        <v>3970</v>
      </c>
      <c r="I705" s="10" t="s">
        <v>697</v>
      </c>
      <c r="J705" s="15"/>
      <c r="K705" s="42"/>
      <c r="L705" s="151"/>
      <c r="M705" s="243"/>
      <c r="N705" s="544"/>
      <c r="O705" s="544"/>
      <c r="P705" s="15"/>
      <c r="Q705" s="15"/>
      <c r="R705" s="15"/>
      <c r="S705" s="15"/>
      <c r="T705" s="15"/>
      <c r="U705" s="15"/>
      <c r="V705" s="15"/>
      <c r="W705" s="15"/>
      <c r="X705" s="15"/>
      <c r="Y705" s="15"/>
      <c r="Z705" s="651"/>
    </row>
    <row r="706" spans="1:45" ht="15" customHeight="1" x14ac:dyDescent="0.35">
      <c r="A706" s="366">
        <v>6</v>
      </c>
      <c r="B706" s="737">
        <v>609.1</v>
      </c>
      <c r="C706" s="731"/>
      <c r="D706" s="731"/>
      <c r="E706" s="731"/>
      <c r="F706" s="731"/>
      <c r="G706" s="366" t="str">
        <f ca="1">IF(N706&gt;0,"P","")</f>
        <v/>
      </c>
      <c r="H706" s="366" t="s">
        <v>3970</v>
      </c>
      <c r="I706" s="30">
        <v>609.1</v>
      </c>
      <c r="J706" s="4"/>
      <c r="K706" s="43"/>
      <c r="L706" s="838" t="s">
        <v>698</v>
      </c>
      <c r="M706" s="818" t="s">
        <v>699</v>
      </c>
      <c r="N706" s="834">
        <f ca="1">'Ch6'!O388</f>
        <v>0</v>
      </c>
      <c r="O706" s="832">
        <f ca="1">MIN(10,IFERROR(MATCH(W708,INDIRECT(U708),0),0)*2+IFERROR(MATCH(W710,INDIRECT(U710),0),0))</f>
        <v>0</v>
      </c>
      <c r="AL706" t="str">
        <f>SUBSTITUTE(SUBSTITUTE(SUBSTITUTE("vpa"&amp;$B706&amp;$C706&amp;$D706&amp;$E706,".","_"),"(","_"),")","")</f>
        <v>vpa609_1</v>
      </c>
      <c r="AM706" t="str">
        <f>M708</f>
        <v>2 per each component</v>
      </c>
      <c r="AN706" t="str">
        <f>SUBSTITUTE(SUBSTITUTE(SUBSTITUTE("vpc"&amp;$B706&amp;$C706&amp;$D706&amp;$E706,".","_"),"(","_"),")","")</f>
        <v>vpc609_1</v>
      </c>
      <c r="AO706">
        <f ca="1">O706</f>
        <v>0</v>
      </c>
    </row>
    <row r="707" spans="1:45" x14ac:dyDescent="0.35">
      <c r="A707" s="366">
        <v>6</v>
      </c>
      <c r="B707" s="737">
        <v>609.1</v>
      </c>
      <c r="C707" s="731"/>
      <c r="D707" s="731"/>
      <c r="E707" s="731"/>
      <c r="F707" s="731"/>
      <c r="G707" s="366" t="str">
        <f t="shared" ref="G707:G716" ca="1" si="49">G706</f>
        <v/>
      </c>
      <c r="H707" s="366" t="s">
        <v>3970</v>
      </c>
      <c r="I707" s="30"/>
      <c r="J707" s="4"/>
      <c r="K707" s="43"/>
      <c r="L707" s="838"/>
      <c r="M707" s="818"/>
      <c r="N707" s="834"/>
      <c r="O707" s="832"/>
      <c r="W707" t="s">
        <v>3090</v>
      </c>
    </row>
    <row r="708" spans="1:45" x14ac:dyDescent="0.35">
      <c r="A708" s="366">
        <v>6</v>
      </c>
      <c r="B708" s="737">
        <v>609.1</v>
      </c>
      <c r="C708" s="731" t="s">
        <v>256</v>
      </c>
      <c r="D708" s="731"/>
      <c r="E708" s="731"/>
      <c r="F708" s="731"/>
      <c r="G708" s="366" t="str">
        <f t="shared" ca="1" si="49"/>
        <v/>
      </c>
      <c r="H708" s="366" t="s">
        <v>3970</v>
      </c>
      <c r="I708" s="30"/>
      <c r="J708" s="19" t="s">
        <v>256</v>
      </c>
      <c r="K708" s="43"/>
      <c r="L708" s="146" t="s">
        <v>4876</v>
      </c>
      <c r="M708" s="843" t="s">
        <v>4878</v>
      </c>
      <c r="N708" s="834"/>
      <c r="O708" s="832"/>
      <c r="P708" t="b">
        <v>1</v>
      </c>
      <c r="Q708" t="b">
        <v>1</v>
      </c>
      <c r="R708" t="b">
        <v>0</v>
      </c>
      <c r="S708" t="b">
        <v>1</v>
      </c>
      <c r="T708" t="b">
        <v>0</v>
      </c>
      <c r="U708" t="str">
        <f>SUBSTITUTE(SUBSTITUTE(SUBSTITUTE("dd"&amp;B708&amp;C708&amp;D708&amp;E708&amp;F708,".","_"),"(","_"),")","")</f>
        <v>dd609_1_1</v>
      </c>
      <c r="W708" s="9"/>
      <c r="X708" s="817"/>
      <c r="Y708" s="1100" t="str">
        <f>IF(LEN('Ch6'!X390)=0,"None",'Ch6'!X390)</f>
        <v>None</v>
      </c>
      <c r="Z708" s="1102"/>
      <c r="AC708" t="b">
        <f>OR(AD708:AE708)</f>
        <v>0</v>
      </c>
      <c r="AD708" t="b">
        <v>0</v>
      </c>
      <c r="AE708" t="b">
        <f>AND(NOT(ISBLANK(W708)),LEN(X708)=0)</f>
        <v>0</v>
      </c>
      <c r="AL708" t="str">
        <f>SUBSTITUTE(SUBSTITUTE(SUBSTITUTE("vpa"&amp;$B708&amp;$C708&amp;$D708&amp;$E708,".","_"),"(","_"),")","")</f>
        <v>vpa609_1_1</v>
      </c>
      <c r="AM708" t="str">
        <f>M708</f>
        <v>2 per each component</v>
      </c>
      <c r="AP708" t="str">
        <f>SUBSTITUTE(SUBSTITUTE(SUBSTITUTE("vch"&amp;$B708&amp;$C708&amp;$D708&amp;$E708,".","_"),"(","_"),")","")</f>
        <v>vch609_1_1</v>
      </c>
      <c r="AQ708" t="str">
        <f>IF(LEN(W708)=0,"",W708)</f>
        <v/>
      </c>
      <c r="AR708" t="str">
        <f>SUBSTITUTE(SUBSTITUTE(SUBSTITUTE("vnt"&amp;$B708&amp;$C708&amp;$D708&amp;$E708,".","_"),"(","_"),")","")</f>
        <v>vnt609_1_1</v>
      </c>
      <c r="AS708" t="str">
        <f>IF(LEN(X708)=0,"",X708)</f>
        <v/>
      </c>
    </row>
    <row r="709" spans="1:45" x14ac:dyDescent="0.35">
      <c r="A709" s="366">
        <v>6</v>
      </c>
      <c r="B709" s="737">
        <v>609.1</v>
      </c>
      <c r="C709" s="731" t="s">
        <v>256</v>
      </c>
      <c r="D709" s="731"/>
      <c r="E709" s="731"/>
      <c r="F709" s="731"/>
      <c r="G709" s="366" t="str">
        <f t="shared" ca="1" si="49"/>
        <v/>
      </c>
      <c r="H709" s="366" t="s">
        <v>3970</v>
      </c>
      <c r="I709" s="30"/>
      <c r="J709" s="19"/>
      <c r="K709" s="43"/>
      <c r="L709" s="146"/>
      <c r="M709" s="843"/>
      <c r="N709" s="834"/>
      <c r="O709" s="832"/>
      <c r="W709" t="s">
        <v>3091</v>
      </c>
      <c r="X709" s="817"/>
      <c r="Y709" s="1100"/>
      <c r="Z709" s="1102"/>
    </row>
    <row r="710" spans="1:45" x14ac:dyDescent="0.35">
      <c r="A710" s="366">
        <v>6</v>
      </c>
      <c r="B710" s="737">
        <v>609.1</v>
      </c>
      <c r="C710" s="731" t="s">
        <v>258</v>
      </c>
      <c r="D710" s="731"/>
      <c r="E710" s="731"/>
      <c r="F710" s="731"/>
      <c r="G710" s="366" t="str">
        <f t="shared" ca="1" si="49"/>
        <v/>
      </c>
      <c r="H710" s="366" t="s">
        <v>3970</v>
      </c>
      <c r="I710" s="30"/>
      <c r="J710" s="19" t="s">
        <v>258</v>
      </c>
      <c r="K710" s="43"/>
      <c r="L710" s="146" t="s">
        <v>4877</v>
      </c>
      <c r="M710" s="843" t="s">
        <v>4879</v>
      </c>
      <c r="N710" s="834"/>
      <c r="O710" s="832"/>
      <c r="P710" t="b">
        <v>1</v>
      </c>
      <c r="Q710" t="b">
        <v>1</v>
      </c>
      <c r="R710" t="b">
        <v>0</v>
      </c>
      <c r="S710" t="b">
        <v>1</v>
      </c>
      <c r="T710" t="b">
        <v>0</v>
      </c>
      <c r="U710" t="str">
        <f>SUBSTITUTE(SUBSTITUTE(SUBSTITUTE("dd"&amp;B710&amp;C710&amp;D710&amp;E710&amp;F710,".","_"),"(","_"),")","")</f>
        <v>dd609_1_2</v>
      </c>
      <c r="W710" s="9"/>
      <c r="X710" s="817"/>
      <c r="Y710" s="1100" t="str">
        <f>IF(LEN('Ch6'!X392)=0,"None",'Ch6'!X392)</f>
        <v>None</v>
      </c>
      <c r="Z710" s="1102"/>
      <c r="AC710" t="b">
        <f>OR(AD710:AE710)</f>
        <v>0</v>
      </c>
      <c r="AD710" t="b">
        <v>0</v>
      </c>
      <c r="AE710" t="b">
        <f>AND(NOT(ISBLANK(W710)),LEN(X710)=0)</f>
        <v>0</v>
      </c>
      <c r="AL710" t="str">
        <f>SUBSTITUTE(SUBSTITUTE(SUBSTITUTE("vpa"&amp;$B710&amp;$C710&amp;$D710&amp;$E710,".","_"),"(","_"),")","")</f>
        <v>vpa609_1_2</v>
      </c>
      <c r="AM710" t="str">
        <f>M710</f>
        <v>1 per each component</v>
      </c>
      <c r="AP710" t="str">
        <f>SUBSTITUTE(SUBSTITUTE(SUBSTITUTE("vch"&amp;$B710&amp;$C710&amp;$D710&amp;$E710,".","_"),"(","_"),")","")</f>
        <v>vch609_1_2</v>
      </c>
      <c r="AQ710" t="str">
        <f>IF(LEN(W710)=0,"",W710)</f>
        <v/>
      </c>
      <c r="AR710" t="str">
        <f>SUBSTITUTE(SUBSTITUTE(SUBSTITUTE("vnt"&amp;$B710&amp;$C710&amp;$D710&amp;$E710,".","_"),"(","_"),")","")</f>
        <v>vnt609_1_2</v>
      </c>
      <c r="AS710" t="str">
        <f>IF(LEN(X710)=0,"",X710)</f>
        <v/>
      </c>
    </row>
    <row r="711" spans="1:45" x14ac:dyDescent="0.35">
      <c r="A711" s="366">
        <v>6</v>
      </c>
      <c r="B711" s="737">
        <v>609.1</v>
      </c>
      <c r="C711" s="731" t="s">
        <v>258</v>
      </c>
      <c r="D711" s="731"/>
      <c r="E711" s="731"/>
      <c r="F711" s="731"/>
      <c r="G711" s="366" t="str">
        <f t="shared" ca="1" si="49"/>
        <v/>
      </c>
      <c r="H711" s="366" t="s">
        <v>3970</v>
      </c>
      <c r="I711" s="30"/>
      <c r="J711" s="19"/>
      <c r="K711" s="43"/>
      <c r="L711" s="146"/>
      <c r="M711" s="843"/>
      <c r="N711" s="834"/>
      <c r="O711" s="832"/>
      <c r="X711" s="817"/>
      <c r="Y711" s="1100"/>
      <c r="Z711" s="1102"/>
    </row>
    <row r="712" spans="1:45" x14ac:dyDescent="0.35">
      <c r="A712" s="366">
        <v>6</v>
      </c>
      <c r="B712" s="737">
        <v>609.1</v>
      </c>
      <c r="C712" s="731"/>
      <c r="D712" s="731"/>
      <c r="E712" s="731"/>
      <c r="F712" s="731"/>
      <c r="G712" s="366" t="str">
        <f t="shared" ca="1" si="49"/>
        <v/>
      </c>
      <c r="H712" s="366" t="s">
        <v>3970</v>
      </c>
      <c r="I712" s="30"/>
      <c r="J712" s="4"/>
      <c r="K712" s="43"/>
      <c r="L712" s="895" t="s">
        <v>4875</v>
      </c>
      <c r="M712" s="283"/>
      <c r="N712" s="41"/>
      <c r="O712" s="41"/>
    </row>
    <row r="713" spans="1:45" x14ac:dyDescent="0.35">
      <c r="A713" s="366">
        <v>6</v>
      </c>
      <c r="B713" s="737">
        <v>609.1</v>
      </c>
      <c r="C713" s="731"/>
      <c r="D713" s="731"/>
      <c r="E713" s="731"/>
      <c r="F713" s="731"/>
      <c r="G713" s="366" t="str">
        <f t="shared" ca="1" si="49"/>
        <v/>
      </c>
      <c r="H713" s="366" t="s">
        <v>3970</v>
      </c>
      <c r="I713" s="30"/>
      <c r="J713" s="4"/>
      <c r="K713" s="43"/>
      <c r="L713" s="895"/>
      <c r="M713" s="283"/>
      <c r="N713" s="41"/>
      <c r="O713" s="41"/>
    </row>
    <row r="714" spans="1:45" x14ac:dyDescent="0.35">
      <c r="A714" s="366">
        <v>6</v>
      </c>
      <c r="B714" s="737">
        <v>609.1</v>
      </c>
      <c r="C714" s="731"/>
      <c r="D714" s="731"/>
      <c r="E714" s="731"/>
      <c r="F714" s="731"/>
      <c r="G714" s="366" t="str">
        <f t="shared" ca="1" si="49"/>
        <v/>
      </c>
      <c r="H714" s="366" t="s">
        <v>3970</v>
      </c>
      <c r="I714" s="30"/>
      <c r="J714" s="4"/>
      <c r="K714" s="43"/>
      <c r="L714" s="895"/>
      <c r="M714" s="283"/>
      <c r="N714" s="41"/>
      <c r="O714" s="41"/>
    </row>
    <row r="715" spans="1:45" x14ac:dyDescent="0.35">
      <c r="A715" s="366">
        <v>6</v>
      </c>
      <c r="B715" s="737">
        <v>609.1</v>
      </c>
      <c r="C715" s="731"/>
      <c r="D715" s="731"/>
      <c r="E715" s="731"/>
      <c r="F715" s="731"/>
      <c r="G715" s="366" t="str">
        <f t="shared" ca="1" si="49"/>
        <v/>
      </c>
      <c r="H715" s="366" t="s">
        <v>3970</v>
      </c>
      <c r="I715" s="30"/>
      <c r="J715" s="4"/>
      <c r="K715" s="43"/>
      <c r="L715" s="893" t="s">
        <v>3103</v>
      </c>
      <c r="M715" s="283"/>
      <c r="N715" s="41"/>
      <c r="O715" s="41"/>
    </row>
    <row r="716" spans="1:45" x14ac:dyDescent="0.35">
      <c r="A716" s="366">
        <v>6</v>
      </c>
      <c r="B716" s="737">
        <v>609.1</v>
      </c>
      <c r="C716" s="731"/>
      <c r="D716" s="731"/>
      <c r="E716" s="731"/>
      <c r="F716" s="731"/>
      <c r="G716" s="366" t="str">
        <f t="shared" ca="1" si="49"/>
        <v/>
      </c>
      <c r="H716" s="366" t="s">
        <v>3970</v>
      </c>
      <c r="I716" s="30"/>
      <c r="J716" s="4"/>
      <c r="K716" s="43"/>
      <c r="L716" s="902"/>
      <c r="M716" s="283"/>
      <c r="N716" s="41"/>
      <c r="O716" s="41"/>
    </row>
    <row r="717" spans="1:45" ht="18.5" x14ac:dyDescent="0.45">
      <c r="A717" s="366">
        <v>6</v>
      </c>
      <c r="B717" s="737">
        <v>610</v>
      </c>
      <c r="C717" s="731"/>
      <c r="D717" s="731"/>
      <c r="E717" s="731"/>
      <c r="F717" s="731"/>
      <c r="G717" s="366" t="s">
        <v>3973</v>
      </c>
      <c r="H717" s="366" t="s">
        <v>3970</v>
      </c>
      <c r="I717" s="10" t="s">
        <v>700</v>
      </c>
      <c r="J717" s="15"/>
      <c r="K717" s="42"/>
      <c r="L717" s="151"/>
      <c r="M717" s="243"/>
      <c r="N717" s="544"/>
      <c r="O717" s="544"/>
      <c r="P717" s="15"/>
      <c r="Q717" s="15"/>
      <c r="R717" s="15"/>
      <c r="S717" s="15"/>
      <c r="T717" s="15"/>
      <c r="U717" s="15"/>
      <c r="V717" s="15"/>
      <c r="W717" s="15"/>
      <c r="X717" s="15"/>
      <c r="Y717" s="15"/>
      <c r="Z717" s="651"/>
    </row>
    <row r="718" spans="1:45" ht="15" customHeight="1" x14ac:dyDescent="0.35">
      <c r="A718" s="366">
        <v>6</v>
      </c>
      <c r="B718" s="737">
        <v>610.1</v>
      </c>
      <c r="C718" s="731"/>
      <c r="D718" s="731"/>
      <c r="E718" s="731"/>
      <c r="F718" s="731"/>
      <c r="G718" s="732"/>
      <c r="I718" s="30">
        <v>610.1</v>
      </c>
      <c r="J718" s="4"/>
      <c r="K718" s="43"/>
      <c r="L718" s="838" t="s">
        <v>701</v>
      </c>
      <c r="M718" s="32"/>
      <c r="N718" s="41"/>
      <c r="O718" s="41"/>
      <c r="R718" t="b">
        <f ca="1">SUM(O727:O749)&gt;0</f>
        <v>0</v>
      </c>
      <c r="X718" s="817"/>
      <c r="Y718" s="1100" t="str">
        <f>IF(LEN('Ch6'!X400)=0,"None",'Ch6'!X400)</f>
        <v>None</v>
      </c>
      <c r="Z718" s="1102"/>
      <c r="AC718" t="b">
        <f ca="1">OR(AD718:AE718)</f>
        <v>0</v>
      </c>
      <c r="AE718" t="b">
        <f ca="1">AND(R718,LEN(X718)=0)</f>
        <v>0</v>
      </c>
      <c r="AR718" t="str">
        <f>SUBSTITUTE(SUBSTITUTE(SUBSTITUTE("vnt"&amp;$B718&amp;$C718&amp;$D718&amp;$E718,".","_"),"(","_"),")","")</f>
        <v>vnt610_1</v>
      </c>
      <c r="AS718" t="str">
        <f>IF(LEN(X718)=0,"",X718)</f>
        <v/>
      </c>
    </row>
    <row r="719" spans="1:45" x14ac:dyDescent="0.35">
      <c r="A719" s="366">
        <v>6</v>
      </c>
      <c r="B719" s="737">
        <v>610.1</v>
      </c>
      <c r="C719" s="731"/>
      <c r="D719" s="731"/>
      <c r="E719" s="731"/>
      <c r="F719" s="731"/>
      <c r="G719" s="732"/>
      <c r="I719" s="30"/>
      <c r="J719" s="4"/>
      <c r="K719" s="43"/>
      <c r="L719" s="838"/>
      <c r="M719" s="32"/>
      <c r="N719" s="41"/>
      <c r="O719" s="41"/>
      <c r="X719" s="817"/>
      <c r="Y719" s="1100"/>
      <c r="Z719" s="1102"/>
    </row>
    <row r="720" spans="1:45" x14ac:dyDescent="0.35">
      <c r="A720" s="366">
        <v>6</v>
      </c>
      <c r="B720" s="737">
        <v>610.1</v>
      </c>
      <c r="C720" s="731"/>
      <c r="D720" s="731"/>
      <c r="E720" s="731"/>
      <c r="F720" s="731"/>
      <c r="G720" s="732"/>
      <c r="I720" s="30"/>
      <c r="J720" s="4"/>
      <c r="K720" s="43"/>
      <c r="L720" s="838"/>
      <c r="M720" s="32"/>
      <c r="N720" s="41"/>
      <c r="O720" s="41"/>
      <c r="X720" s="817"/>
      <c r="Y720" s="1100"/>
      <c r="Z720" s="1102"/>
    </row>
    <row r="721" spans="1:45" x14ac:dyDescent="0.35">
      <c r="A721" s="366">
        <v>6</v>
      </c>
      <c r="B721" s="737">
        <v>610.1</v>
      </c>
      <c r="C721" s="731"/>
      <c r="D721" s="731"/>
      <c r="E721" s="731"/>
      <c r="F721" s="731"/>
      <c r="G721" s="732"/>
      <c r="I721" s="30"/>
      <c r="J721" s="4"/>
      <c r="K721" s="43"/>
      <c r="L721" s="838"/>
      <c r="M721" s="32"/>
      <c r="N721" s="41"/>
      <c r="O721" s="41"/>
      <c r="X721" s="817"/>
      <c r="Y721" s="1100"/>
      <c r="Z721" s="1102"/>
    </row>
    <row r="722" spans="1:45" x14ac:dyDescent="0.35">
      <c r="A722" s="366">
        <v>6</v>
      </c>
      <c r="B722" s="737">
        <v>610.1</v>
      </c>
      <c r="C722" s="731"/>
      <c r="D722" s="731"/>
      <c r="E722" s="731"/>
      <c r="F722" s="731"/>
      <c r="G722" s="732"/>
      <c r="I722" s="30"/>
      <c r="J722" s="4"/>
      <c r="K722" s="43"/>
      <c r="L722" s="838"/>
      <c r="M722" s="32"/>
      <c r="N722" s="41"/>
      <c r="O722" s="41"/>
      <c r="X722" s="817"/>
      <c r="Y722" s="1100"/>
      <c r="Z722" s="1102"/>
    </row>
    <row r="723" spans="1:45" x14ac:dyDescent="0.35">
      <c r="A723" s="366">
        <v>6</v>
      </c>
      <c r="B723" s="737">
        <v>610.1</v>
      </c>
      <c r="C723" s="731"/>
      <c r="D723" s="731"/>
      <c r="E723" s="731"/>
      <c r="F723" s="731"/>
      <c r="G723" s="732"/>
      <c r="I723" s="30"/>
      <c r="J723" s="4"/>
      <c r="K723" s="43"/>
      <c r="L723" s="838"/>
      <c r="M723" s="32"/>
      <c r="N723" s="41"/>
      <c r="O723" s="41"/>
      <c r="X723" s="817"/>
      <c r="Y723" s="1100"/>
      <c r="Z723" s="1102"/>
    </row>
    <row r="724" spans="1:45" ht="15" thickBot="1" x14ac:dyDescent="0.4">
      <c r="A724" s="366">
        <v>6</v>
      </c>
      <c r="B724" s="737">
        <v>610.1</v>
      </c>
      <c r="C724" s="731"/>
      <c r="D724" s="731"/>
      <c r="E724" s="731"/>
      <c r="F724" s="731"/>
      <c r="G724" s="732"/>
      <c r="I724" s="30"/>
      <c r="J724" s="4"/>
      <c r="K724" s="43"/>
      <c r="L724" s="284" t="s">
        <v>4890</v>
      </c>
      <c r="M724" s="32"/>
      <c r="N724" s="41"/>
      <c r="O724" s="41"/>
      <c r="X724" s="817"/>
      <c r="Y724" s="1101"/>
      <c r="Z724" s="1104"/>
    </row>
    <row r="725" spans="1:45" ht="15" thickTop="1" x14ac:dyDescent="0.35">
      <c r="A725" s="366">
        <v>6</v>
      </c>
      <c r="B725" s="737" t="s">
        <v>702</v>
      </c>
      <c r="C725" s="731"/>
      <c r="D725" s="731"/>
      <c r="E725" s="731"/>
      <c r="F725" s="731"/>
      <c r="G725" s="727" t="str">
        <f>IF(COUNTIF(G727:G744,"P")&gt;0,"P","")</f>
        <v/>
      </c>
      <c r="H725" s="366" t="s">
        <v>3971</v>
      </c>
      <c r="I725" s="106" t="s">
        <v>702</v>
      </c>
      <c r="J725" s="107"/>
      <c r="K725" s="108"/>
      <c r="L725" s="837" t="s">
        <v>703</v>
      </c>
      <c r="M725" s="312"/>
      <c r="N725" s="545"/>
      <c r="O725" s="545"/>
      <c r="P725" s="59"/>
      <c r="Q725" s="59"/>
      <c r="R725" s="59"/>
      <c r="S725" s="59"/>
      <c r="T725" s="59"/>
      <c r="U725" s="59"/>
      <c r="V725" s="59"/>
      <c r="W725" s="59"/>
      <c r="X725" s="59"/>
    </row>
    <row r="726" spans="1:45" x14ac:dyDescent="0.35">
      <c r="A726" s="366">
        <v>6</v>
      </c>
      <c r="B726" s="737" t="s">
        <v>702</v>
      </c>
      <c r="C726" s="731"/>
      <c r="D726" s="731"/>
      <c r="E726" s="731"/>
      <c r="F726" s="731"/>
      <c r="G726" s="366" t="str">
        <f>G725</f>
        <v/>
      </c>
      <c r="H726" s="366" t="s">
        <v>3971</v>
      </c>
      <c r="I726" s="30"/>
      <c r="J726" s="4"/>
      <c r="K726" s="43"/>
      <c r="L726" s="838"/>
      <c r="M726" s="32"/>
      <c r="N726" s="41"/>
      <c r="O726" s="41"/>
    </row>
    <row r="727" spans="1:45" x14ac:dyDescent="0.35">
      <c r="A727" s="366">
        <v>6</v>
      </c>
      <c r="B727" s="737" t="s">
        <v>702</v>
      </c>
      <c r="C727" s="731" t="s">
        <v>256</v>
      </c>
      <c r="D727" s="739"/>
      <c r="E727" s="731"/>
      <c r="F727" s="739"/>
      <c r="G727" s="366" t="str">
        <f>IF(N727&gt;0,"P","")</f>
        <v/>
      </c>
      <c r="H727" s="377" t="s">
        <v>3971</v>
      </c>
      <c r="I727" s="30"/>
      <c r="J727" s="19" t="s">
        <v>256</v>
      </c>
      <c r="K727" s="43"/>
      <c r="L727" s="814" t="s">
        <v>704</v>
      </c>
      <c r="M727" s="818">
        <v>8</v>
      </c>
      <c r="N727" s="834">
        <f>'Ch6'!O409</f>
        <v>0</v>
      </c>
      <c r="O727" s="834">
        <f>M727*S727*W727</f>
        <v>0</v>
      </c>
      <c r="P727" t="b">
        <v>1</v>
      </c>
      <c r="Q727" t="b">
        <v>0</v>
      </c>
      <c r="R727" t="b">
        <v>0</v>
      </c>
      <c r="S727" t="b">
        <f>NOT(OR(NOT(ISBLANK(W752)),NOT(ISBLANK(W759)),NOT(ISBLANK(W765)),NOT(ISBLANK(W772)),NOT(ISBLANK(W778)),NOT(ISBLANK(W784))))</f>
        <v>1</v>
      </c>
      <c r="T727" t="b">
        <f>IF(AND(NOT(S727),W727=TRUE),TRUE,FALSE)</f>
        <v>0</v>
      </c>
      <c r="W727" s="17"/>
      <c r="X727" s="817"/>
      <c r="Y727" s="1100" t="str">
        <f>IF(LEN('Ch6'!X409)=0,"None",'Ch6'!X409)</f>
        <v>None</v>
      </c>
      <c r="Z727" s="1102"/>
      <c r="AC727" t="b">
        <f>OR(AD727:AE727)</f>
        <v>0</v>
      </c>
      <c r="AD727" t="b">
        <f>T727</f>
        <v>0</v>
      </c>
      <c r="AL727" t="str">
        <f>SUBSTITUTE(SUBSTITUTE(SUBSTITUTE("vpa"&amp;$B727&amp;$C727&amp;$D727&amp;$E727,".","_"),"(","_"),")","")</f>
        <v>vpa610_1_1_1</v>
      </c>
      <c r="AM727">
        <f>M727</f>
        <v>8</v>
      </c>
      <c r="AN727" t="str">
        <f>SUBSTITUTE(SUBSTITUTE(SUBSTITUTE("vpc"&amp;$B727&amp;$C727&amp;$D727&amp;$E727,".","_"),"(","_"),")","")</f>
        <v>vpc610_1_1_1</v>
      </c>
      <c r="AO727">
        <f>O727</f>
        <v>0</v>
      </c>
      <c r="AP727" t="str">
        <f>SUBSTITUTE(SUBSTITUTE(SUBSTITUTE("vch"&amp;$B727&amp;$C727&amp;$D727&amp;$E727,".","_"),"(","_"),")","")</f>
        <v>vch610_1_1_1</v>
      </c>
      <c r="AQ727" t="str">
        <f>IF(LEN(W727)=0,"",W727)</f>
        <v/>
      </c>
      <c r="AR727" t="str">
        <f>SUBSTITUTE(SUBSTITUTE(SUBSTITUTE("vnt"&amp;$B727&amp;$C727&amp;$D727&amp;$E727,".","_"),"(","_"),")","")</f>
        <v>vnt610_1_1_1</v>
      </c>
      <c r="AS727" t="str">
        <f>IF(LEN(X727)=0,"",X727)</f>
        <v/>
      </c>
    </row>
    <row r="728" spans="1:45" x14ac:dyDescent="0.35">
      <c r="A728" s="366">
        <v>6</v>
      </c>
      <c r="B728" s="737" t="s">
        <v>702</v>
      </c>
      <c r="C728" s="731" t="s">
        <v>256</v>
      </c>
      <c r="D728" s="739"/>
      <c r="E728" s="731"/>
      <c r="F728" s="739"/>
      <c r="G728" s="366" t="str">
        <f t="shared" ref="G728:G735" si="50">G727</f>
        <v/>
      </c>
      <c r="H728" s="377" t="s">
        <v>3971</v>
      </c>
      <c r="I728" s="30"/>
      <c r="J728" s="4"/>
      <c r="K728" s="43"/>
      <c r="L728" s="814"/>
      <c r="M728" s="818"/>
      <c r="N728" s="834"/>
      <c r="O728" s="834"/>
      <c r="X728" s="817"/>
      <c r="Y728" s="1100"/>
      <c r="Z728" s="1102"/>
    </row>
    <row r="729" spans="1:45" x14ac:dyDescent="0.35">
      <c r="A729" s="366">
        <v>6</v>
      </c>
      <c r="B729" s="737" t="s">
        <v>702</v>
      </c>
      <c r="C729" s="731" t="s">
        <v>256</v>
      </c>
      <c r="D729" s="739"/>
      <c r="E729" s="731"/>
      <c r="F729" s="739"/>
      <c r="G729" s="366" t="str">
        <f t="shared" si="50"/>
        <v/>
      </c>
      <c r="H729" s="377" t="s">
        <v>3971</v>
      </c>
      <c r="I729" s="30"/>
      <c r="J729" s="4"/>
      <c r="K729" s="43"/>
      <c r="L729" s="814"/>
      <c r="M729" s="818"/>
      <c r="N729" s="834"/>
      <c r="O729" s="834"/>
      <c r="X729" s="817"/>
      <c r="Y729" s="1100"/>
      <c r="Z729" s="1102"/>
    </row>
    <row r="730" spans="1:45" x14ac:dyDescent="0.35">
      <c r="A730" s="366">
        <v>6</v>
      </c>
      <c r="B730" s="737" t="s">
        <v>702</v>
      </c>
      <c r="C730" s="731" t="s">
        <v>256</v>
      </c>
      <c r="D730" s="731" t="s">
        <v>121</v>
      </c>
      <c r="E730" s="731"/>
      <c r="F730" s="731"/>
      <c r="G730" s="366" t="str">
        <f t="shared" si="50"/>
        <v/>
      </c>
      <c r="H730" s="732" t="s">
        <v>3971</v>
      </c>
      <c r="I730" s="30"/>
      <c r="J730" s="4"/>
      <c r="K730" s="47" t="s">
        <v>121</v>
      </c>
      <c r="L730" s="90" t="s">
        <v>705</v>
      </c>
      <c r="M730" s="818"/>
      <c r="N730" s="834"/>
      <c r="O730" s="834"/>
      <c r="X730" s="817"/>
      <c r="Y730" s="1100"/>
      <c r="Z730" s="1102"/>
    </row>
    <row r="731" spans="1:45" x14ac:dyDescent="0.35">
      <c r="A731" s="366">
        <v>6</v>
      </c>
      <c r="B731" s="737" t="s">
        <v>702</v>
      </c>
      <c r="C731" s="731" t="s">
        <v>256</v>
      </c>
      <c r="D731" s="731" t="s">
        <v>122</v>
      </c>
      <c r="E731" s="731"/>
      <c r="F731" s="731"/>
      <c r="G731" s="366" t="str">
        <f t="shared" si="50"/>
        <v/>
      </c>
      <c r="H731" s="732" t="s">
        <v>3971</v>
      </c>
      <c r="I731" s="30"/>
      <c r="J731" s="4"/>
      <c r="K731" s="47" t="s">
        <v>122</v>
      </c>
      <c r="L731" s="90" t="s">
        <v>706</v>
      </c>
      <c r="M731" s="818"/>
      <c r="N731" s="834"/>
      <c r="O731" s="834"/>
      <c r="X731" s="817"/>
      <c r="Y731" s="1100"/>
      <c r="Z731" s="1102"/>
    </row>
    <row r="732" spans="1:45" x14ac:dyDescent="0.35">
      <c r="A732" s="366">
        <v>6</v>
      </c>
      <c r="B732" s="737" t="s">
        <v>702</v>
      </c>
      <c r="C732" s="731" t="s">
        <v>256</v>
      </c>
      <c r="D732" s="731" t="s">
        <v>123</v>
      </c>
      <c r="E732" s="731"/>
      <c r="F732" s="731"/>
      <c r="G732" s="366" t="str">
        <f t="shared" si="50"/>
        <v/>
      </c>
      <c r="H732" s="732" t="s">
        <v>3971</v>
      </c>
      <c r="I732" s="30"/>
      <c r="J732" s="4"/>
      <c r="K732" s="47" t="s">
        <v>123</v>
      </c>
      <c r="L732" s="90" t="s">
        <v>707</v>
      </c>
      <c r="M732" s="818"/>
      <c r="N732" s="834"/>
      <c r="O732" s="834"/>
      <c r="X732" s="817"/>
      <c r="Y732" s="1100"/>
      <c r="Z732" s="1102"/>
    </row>
    <row r="733" spans="1:45" x14ac:dyDescent="0.35">
      <c r="A733" s="366">
        <v>6</v>
      </c>
      <c r="B733" s="737" t="s">
        <v>702</v>
      </c>
      <c r="C733" s="731" t="s">
        <v>256</v>
      </c>
      <c r="D733" s="733" t="s">
        <v>401</v>
      </c>
      <c r="E733" s="731"/>
      <c r="F733" s="733"/>
      <c r="G733" s="366" t="str">
        <f t="shared" si="50"/>
        <v/>
      </c>
      <c r="H733" s="734" t="s">
        <v>3971</v>
      </c>
      <c r="I733" s="30"/>
      <c r="J733" s="4"/>
      <c r="K733" s="49" t="s">
        <v>401</v>
      </c>
      <c r="L733" s="90" t="s">
        <v>708</v>
      </c>
      <c r="M733" s="818"/>
      <c r="N733" s="834"/>
      <c r="O733" s="834"/>
      <c r="X733" s="817"/>
      <c r="Y733" s="1100"/>
      <c r="Z733" s="1102"/>
    </row>
    <row r="734" spans="1:45" x14ac:dyDescent="0.35">
      <c r="A734" s="366">
        <v>6</v>
      </c>
      <c r="B734" s="737" t="s">
        <v>702</v>
      </c>
      <c r="C734" s="731" t="s">
        <v>256</v>
      </c>
      <c r="D734" s="731" t="s">
        <v>539</v>
      </c>
      <c r="E734" s="731"/>
      <c r="F734" s="731"/>
      <c r="G734" s="366" t="str">
        <f t="shared" si="50"/>
        <v/>
      </c>
      <c r="H734" s="366" t="s">
        <v>3971</v>
      </c>
      <c r="I734" s="30"/>
      <c r="J734" s="4"/>
      <c r="K734" s="45" t="s">
        <v>539</v>
      </c>
      <c r="L734" s="90" t="s">
        <v>709</v>
      </c>
      <c r="M734" s="818"/>
      <c r="N734" s="834"/>
      <c r="O734" s="834"/>
      <c r="X734" s="817"/>
      <c r="Y734" s="1100"/>
      <c r="Z734" s="1102"/>
    </row>
    <row r="735" spans="1:45" x14ac:dyDescent="0.35">
      <c r="A735" s="366">
        <v>6</v>
      </c>
      <c r="B735" s="737" t="s">
        <v>702</v>
      </c>
      <c r="C735" s="731" t="s">
        <v>256</v>
      </c>
      <c r="D735" s="731" t="s">
        <v>604</v>
      </c>
      <c r="E735" s="731"/>
      <c r="F735" s="731"/>
      <c r="G735" s="366" t="str">
        <f t="shared" si="50"/>
        <v/>
      </c>
      <c r="H735" s="732" t="s">
        <v>3971</v>
      </c>
      <c r="I735" s="30"/>
      <c r="J735" s="133"/>
      <c r="K735" s="100" t="s">
        <v>604</v>
      </c>
      <c r="L735" s="228" t="s">
        <v>710</v>
      </c>
      <c r="M735" s="819"/>
      <c r="N735" s="835"/>
      <c r="O735" s="835"/>
      <c r="X735" s="817"/>
      <c r="Y735" s="1100"/>
      <c r="Z735" s="1102"/>
    </row>
    <row r="736" spans="1:45" x14ac:dyDescent="0.35">
      <c r="A736" s="366">
        <v>6</v>
      </c>
      <c r="B736" s="737" t="s">
        <v>702</v>
      </c>
      <c r="C736" s="731" t="s">
        <v>258</v>
      </c>
      <c r="D736" s="739"/>
      <c r="E736" s="731"/>
      <c r="F736" s="739"/>
      <c r="G736" s="366" t="str">
        <f>IF(N736&gt;0,"P","")</f>
        <v/>
      </c>
      <c r="H736" s="377" t="s">
        <v>3971</v>
      </c>
      <c r="I736" s="30"/>
      <c r="J736" s="132" t="s">
        <v>258</v>
      </c>
      <c r="K736" s="119"/>
      <c r="L736" s="836" t="s">
        <v>711</v>
      </c>
      <c r="M736" s="822">
        <v>5</v>
      </c>
      <c r="N736" s="963">
        <f>'Ch6'!O418</f>
        <v>0</v>
      </c>
      <c r="O736" s="963">
        <f>M736*S736*W736</f>
        <v>0</v>
      </c>
      <c r="P736" t="b">
        <v>1</v>
      </c>
      <c r="Q736" t="b">
        <v>0</v>
      </c>
      <c r="R736" t="b">
        <v>0</v>
      </c>
      <c r="S736" t="b">
        <f>NOT(OR(NOT(ISBLANK(W752)),NOT(ISBLANK(W759)),NOT(ISBLANK(W765)),NOT(ISBLANK(W772)),NOT(ISBLANK(W778)),NOT(ISBLANK(W784))))</f>
        <v>1</v>
      </c>
      <c r="T736" t="b">
        <f>IF(AND(NOT(S736),W736=TRUE),TRUE,FALSE)</f>
        <v>0</v>
      </c>
      <c r="W736" s="17"/>
      <c r="X736" s="817"/>
      <c r="Y736" s="1100" t="str">
        <f>IF(LEN('Ch6'!X418)=0,"None",'Ch6'!X418)</f>
        <v>None</v>
      </c>
      <c r="Z736" s="1102"/>
      <c r="AC736" t="b">
        <f>OR(AD736:AE736)</f>
        <v>0</v>
      </c>
      <c r="AD736" t="b">
        <f>T736</f>
        <v>0</v>
      </c>
      <c r="AL736" t="str">
        <f>SUBSTITUTE(SUBSTITUTE(SUBSTITUTE("vpa"&amp;$B736&amp;$C736&amp;$D736&amp;$E736,".","_"),"(","_"),")","")</f>
        <v>vpa610_1_1_2</v>
      </c>
      <c r="AM736">
        <f>M736</f>
        <v>5</v>
      </c>
      <c r="AN736" t="str">
        <f>SUBSTITUTE(SUBSTITUTE(SUBSTITUTE("vpc"&amp;$B736&amp;$C736&amp;$D736&amp;$E736,".","_"),"(","_"),")","")</f>
        <v>vpc610_1_1_2</v>
      </c>
      <c r="AO736">
        <f>O736</f>
        <v>0</v>
      </c>
      <c r="AP736" t="str">
        <f>SUBSTITUTE(SUBSTITUTE(SUBSTITUTE("vch"&amp;$B736&amp;$C736&amp;$D736&amp;$E736,".","_"),"(","_"),")","")</f>
        <v>vch610_1_1_2</v>
      </c>
      <c r="AQ736" t="str">
        <f>IF(LEN(W736)=0,"",W736)</f>
        <v/>
      </c>
      <c r="AR736" t="str">
        <f>SUBSTITUTE(SUBSTITUTE(SUBSTITUTE("vnt"&amp;$B736&amp;$C736&amp;$D736&amp;$E736,".","_"),"(","_"),")","")</f>
        <v>vnt610_1_1_2</v>
      </c>
      <c r="AS736" t="str">
        <f>IF(LEN(X736)=0,"",X736)</f>
        <v/>
      </c>
    </row>
    <row r="737" spans="1:45" x14ac:dyDescent="0.35">
      <c r="A737" s="366">
        <v>6</v>
      </c>
      <c r="B737" s="737" t="s">
        <v>702</v>
      </c>
      <c r="C737" s="731" t="s">
        <v>258</v>
      </c>
      <c r="D737" s="739"/>
      <c r="E737" s="731"/>
      <c r="F737" s="739"/>
      <c r="G737" s="366" t="str">
        <f t="shared" ref="G737:G743" si="51">G736</f>
        <v/>
      </c>
      <c r="H737" s="377" t="s">
        <v>3971</v>
      </c>
      <c r="I737" s="30"/>
      <c r="J737" s="4"/>
      <c r="K737" s="43"/>
      <c r="L737" s="814"/>
      <c r="M737" s="818"/>
      <c r="N737" s="834"/>
      <c r="O737" s="834"/>
      <c r="X737" s="817"/>
      <c r="Y737" s="1100"/>
      <c r="Z737" s="1102"/>
    </row>
    <row r="738" spans="1:45" x14ac:dyDescent="0.35">
      <c r="A738" s="366">
        <v>6</v>
      </c>
      <c r="B738" s="737" t="s">
        <v>702</v>
      </c>
      <c r="C738" s="731" t="s">
        <v>258</v>
      </c>
      <c r="D738" s="739"/>
      <c r="E738" s="731"/>
      <c r="F738" s="739"/>
      <c r="G738" s="366" t="str">
        <f t="shared" si="51"/>
        <v/>
      </c>
      <c r="H738" s="377" t="s">
        <v>3971</v>
      </c>
      <c r="I738" s="30"/>
      <c r="J738" s="4"/>
      <c r="K738" s="43"/>
      <c r="L738" s="814"/>
      <c r="M738" s="818"/>
      <c r="N738" s="834"/>
      <c r="O738" s="834"/>
      <c r="X738" s="817"/>
      <c r="Y738" s="1100"/>
      <c r="Z738" s="1102"/>
    </row>
    <row r="739" spans="1:45" x14ac:dyDescent="0.35">
      <c r="A739" s="366">
        <v>6</v>
      </c>
      <c r="B739" s="737" t="s">
        <v>702</v>
      </c>
      <c r="C739" s="731" t="s">
        <v>258</v>
      </c>
      <c r="D739" s="739"/>
      <c r="E739" s="731"/>
      <c r="F739" s="739"/>
      <c r="G739" s="366" t="str">
        <f t="shared" si="51"/>
        <v/>
      </c>
      <c r="H739" s="377" t="s">
        <v>3971</v>
      </c>
      <c r="I739" s="30"/>
      <c r="J739" s="4"/>
      <c r="K739" s="43"/>
      <c r="L739" s="814"/>
      <c r="M739" s="818"/>
      <c r="N739" s="834"/>
      <c r="O739" s="834"/>
      <c r="X739" s="817"/>
      <c r="Y739" s="1100"/>
      <c r="Z739" s="1102"/>
    </row>
    <row r="740" spans="1:45" x14ac:dyDescent="0.35">
      <c r="A740" s="366">
        <v>6</v>
      </c>
      <c r="B740" s="737" t="s">
        <v>702</v>
      </c>
      <c r="C740" s="731" t="s">
        <v>258</v>
      </c>
      <c r="D740" s="739"/>
      <c r="E740" s="731"/>
      <c r="F740" s="739"/>
      <c r="G740" s="366" t="str">
        <f t="shared" si="51"/>
        <v/>
      </c>
      <c r="H740" s="377" t="s">
        <v>3971</v>
      </c>
      <c r="I740" s="30"/>
      <c r="J740" s="4"/>
      <c r="K740" s="43"/>
      <c r="L740" s="814"/>
      <c r="M740" s="818"/>
      <c r="N740" s="834"/>
      <c r="O740" s="834"/>
      <c r="X740" s="817"/>
      <c r="Y740" s="1100"/>
      <c r="Z740" s="1102"/>
    </row>
    <row r="741" spans="1:45" x14ac:dyDescent="0.35">
      <c r="A741" s="366">
        <v>6</v>
      </c>
      <c r="B741" s="737" t="s">
        <v>702</v>
      </c>
      <c r="C741" s="731" t="s">
        <v>258</v>
      </c>
      <c r="D741" s="739"/>
      <c r="E741" s="731"/>
      <c r="F741" s="739"/>
      <c r="G741" s="366" t="str">
        <f t="shared" si="51"/>
        <v/>
      </c>
      <c r="H741" s="377" t="s">
        <v>3971</v>
      </c>
      <c r="I741" s="30"/>
      <c r="J741" s="4"/>
      <c r="K741" s="43"/>
      <c r="L741" s="814"/>
      <c r="M741" s="818"/>
      <c r="N741" s="834"/>
      <c r="O741" s="834"/>
      <c r="X741" s="817"/>
      <c r="Y741" s="1100"/>
      <c r="Z741" s="1102"/>
    </row>
    <row r="742" spans="1:45" x14ac:dyDescent="0.35">
      <c r="A742" s="366">
        <v>6</v>
      </c>
      <c r="B742" s="737" t="s">
        <v>702</v>
      </c>
      <c r="C742" s="731" t="s">
        <v>258</v>
      </c>
      <c r="D742" s="739"/>
      <c r="E742" s="731"/>
      <c r="F742" s="739"/>
      <c r="G742" s="366" t="str">
        <f t="shared" si="51"/>
        <v/>
      </c>
      <c r="H742" s="377" t="s">
        <v>3971</v>
      </c>
      <c r="I742" s="30"/>
      <c r="J742" s="4"/>
      <c r="K742" s="43"/>
      <c r="L742" s="814"/>
      <c r="M742" s="818"/>
      <c r="N742" s="834"/>
      <c r="O742" s="834"/>
      <c r="X742" s="817"/>
      <c r="Y742" s="1100"/>
      <c r="Z742" s="1102"/>
    </row>
    <row r="743" spans="1:45" x14ac:dyDescent="0.35">
      <c r="A743" s="366">
        <v>6</v>
      </c>
      <c r="B743" s="737" t="s">
        <v>702</v>
      </c>
      <c r="C743" s="731" t="s">
        <v>258</v>
      </c>
      <c r="D743" s="739"/>
      <c r="E743" s="731"/>
      <c r="F743" s="739"/>
      <c r="G743" s="366" t="str">
        <f t="shared" si="51"/>
        <v/>
      </c>
      <c r="H743" s="377" t="s">
        <v>3971</v>
      </c>
      <c r="I743" s="30"/>
      <c r="J743" s="133"/>
      <c r="K743" s="101"/>
      <c r="L743" s="815"/>
      <c r="M743" s="819"/>
      <c r="N743" s="835"/>
      <c r="O743" s="835"/>
      <c r="X743" s="817"/>
      <c r="Y743" s="1100"/>
      <c r="Z743" s="1102"/>
    </row>
    <row r="744" spans="1:45" x14ac:dyDescent="0.35">
      <c r="A744" s="366">
        <v>6</v>
      </c>
      <c r="B744" s="737" t="s">
        <v>702</v>
      </c>
      <c r="C744" s="731" t="s">
        <v>260</v>
      </c>
      <c r="D744" s="739"/>
      <c r="E744" s="731"/>
      <c r="F744" s="739"/>
      <c r="G744" s="366" t="str">
        <f>IF(N744&gt;0,"P","")</f>
        <v/>
      </c>
      <c r="H744" s="377" t="s">
        <v>3971</v>
      </c>
      <c r="I744" s="30"/>
      <c r="J744" s="19" t="s">
        <v>260</v>
      </c>
      <c r="K744" s="43"/>
      <c r="L744" s="814" t="s">
        <v>712</v>
      </c>
      <c r="M744" s="818">
        <v>2</v>
      </c>
      <c r="N744" s="963">
        <f>'Ch6'!O426</f>
        <v>0</v>
      </c>
      <c r="O744" s="834">
        <f>M744*S744*W744</f>
        <v>0</v>
      </c>
      <c r="P744" t="b">
        <v>1</v>
      </c>
      <c r="Q744" t="b">
        <v>0</v>
      </c>
      <c r="R744" t="b">
        <v>0</v>
      </c>
      <c r="S744" t="b">
        <f>NOT(OR(NOT(ISBLANK(W752)),NOT(ISBLANK(W759)),NOT(ISBLANK(W765)),NOT(ISBLANK(W772)),NOT(ISBLANK(W778)),NOT(ISBLANK(W784))))</f>
        <v>1</v>
      </c>
      <c r="T744" t="b">
        <f>IF(AND(NOT(S744),W744=TRUE),TRUE,FALSE)</f>
        <v>0</v>
      </c>
      <c r="W744" s="17"/>
      <c r="X744" s="850"/>
      <c r="Y744" s="1100" t="str">
        <f>IF(LEN('Ch6'!X426)=0,"None",'Ch6'!X426)</f>
        <v>None</v>
      </c>
      <c r="Z744" s="1102"/>
      <c r="AC744" t="b">
        <f>OR(AD744:AE744)</f>
        <v>0</v>
      </c>
      <c r="AD744" t="b">
        <f>T744</f>
        <v>0</v>
      </c>
      <c r="AL744" t="str">
        <f>SUBSTITUTE(SUBSTITUTE(SUBSTITUTE("vpa"&amp;$B744&amp;$C744&amp;$D744&amp;$E744,".","_"),"(","_"),")","")</f>
        <v>vpa610_1_1_3</v>
      </c>
      <c r="AM744">
        <f>M744</f>
        <v>2</v>
      </c>
      <c r="AN744" t="str">
        <f>SUBSTITUTE(SUBSTITUTE(SUBSTITUTE("vpc"&amp;$B744&amp;$C744&amp;$D744&amp;$E744,".","_"),"(","_"),")","")</f>
        <v>vpc610_1_1_3</v>
      </c>
      <c r="AO744">
        <f>O744</f>
        <v>0</v>
      </c>
      <c r="AP744" t="str">
        <f>SUBSTITUTE(SUBSTITUTE(SUBSTITUTE("vch"&amp;$B744&amp;$C744&amp;$D744&amp;$E744,".","_"),"(","_"),")","")</f>
        <v>vch610_1_1_3</v>
      </c>
      <c r="AQ744" t="str">
        <f>IF(LEN(W744)=0,"",W744)</f>
        <v/>
      </c>
      <c r="AR744" t="str">
        <f>SUBSTITUTE(SUBSTITUTE(SUBSTITUTE("vnt"&amp;$B744&amp;$C744&amp;$D744&amp;$E744,".","_"),"(","_"),")","")</f>
        <v>vnt610_1_1_3</v>
      </c>
      <c r="AS744" t="str">
        <f>IF(LEN(X744)=0,"",X744)</f>
        <v/>
      </c>
    </row>
    <row r="745" spans="1:45" ht="15" thickBot="1" x14ac:dyDescent="0.4">
      <c r="A745" s="366">
        <v>6</v>
      </c>
      <c r="B745" s="737" t="s">
        <v>702</v>
      </c>
      <c r="C745" s="731" t="s">
        <v>260</v>
      </c>
      <c r="D745" s="739"/>
      <c r="E745" s="731"/>
      <c r="F745" s="739"/>
      <c r="G745" s="366" t="str">
        <f>G744</f>
        <v/>
      </c>
      <c r="H745" s="377" t="s">
        <v>3971</v>
      </c>
      <c r="I745" s="30"/>
      <c r="J745" s="4"/>
      <c r="K745" s="43"/>
      <c r="L745" s="814"/>
      <c r="M745" s="818"/>
      <c r="N745" s="863"/>
      <c r="O745" s="834"/>
      <c r="X745" s="851"/>
      <c r="Y745" s="1101"/>
      <c r="Z745" s="1104"/>
    </row>
    <row r="746" spans="1:45" ht="15" thickTop="1" x14ac:dyDescent="0.35">
      <c r="A746" s="366">
        <v>6</v>
      </c>
      <c r="B746" s="737" t="s">
        <v>713</v>
      </c>
      <c r="C746" s="731"/>
      <c r="D746" s="731"/>
      <c r="E746" s="731"/>
      <c r="F746" s="731"/>
      <c r="G746" s="366" t="str">
        <f ca="1">IF(N746&gt;0,"P","")</f>
        <v/>
      </c>
      <c r="H746" s="366" t="s">
        <v>3971</v>
      </c>
      <c r="I746" s="106" t="s">
        <v>713</v>
      </c>
      <c r="J746" s="107"/>
      <c r="K746" s="108"/>
      <c r="L746" s="837" t="s">
        <v>714</v>
      </c>
      <c r="M746" s="830" t="s">
        <v>715</v>
      </c>
      <c r="N746" s="959">
        <f ca="1">'Ch6'!O428</f>
        <v>0</v>
      </c>
      <c r="O746" s="959">
        <f ca="1">MIN(10,(R753+R760)+IFERROR((INDEX({3,3,6,4,4,6,8,5,5,9,9,10},MATCH(R764*4+S764*5,{8,9,10,12,13,14,15,16,17,18,19,20},0))),0))</f>
        <v>0</v>
      </c>
      <c r="P746" s="59"/>
      <c r="Q746" s="59"/>
      <c r="R746" s="59"/>
      <c r="S746" s="59"/>
      <c r="T746" s="59"/>
      <c r="U746" s="59"/>
      <c r="V746" s="59"/>
      <c r="W746" s="59"/>
      <c r="X746" s="59"/>
      <c r="AL746" t="str">
        <f>SUBSTITUTE(SUBSTITUTE(SUBSTITUTE("vpa"&amp;$B746&amp;$C746&amp;$D746&amp;$E746,".","_"),"(","_"),")","")</f>
        <v>vpa610_1_2</v>
      </c>
      <c r="AM746" t="str">
        <f>M746</f>
        <v xml:space="preserve">10 Max </v>
      </c>
      <c r="AN746" t="str">
        <f>SUBSTITUTE(SUBSTITUTE(SUBSTITUTE("vpc"&amp;$B746&amp;$C746&amp;$D746&amp;$E746,".","_"),"(","_"),")","")</f>
        <v>vpc610_1_2</v>
      </c>
      <c r="AO746">
        <f ca="1">O746</f>
        <v>0</v>
      </c>
    </row>
    <row r="747" spans="1:45" x14ac:dyDescent="0.35">
      <c r="A747" s="366">
        <v>6</v>
      </c>
      <c r="B747" s="737" t="s">
        <v>713</v>
      </c>
      <c r="C747" s="731"/>
      <c r="D747" s="731"/>
      <c r="E747" s="731"/>
      <c r="F747" s="731"/>
      <c r="G747" s="366" t="str">
        <f t="shared" ref="G747:G788" ca="1" si="52">G746</f>
        <v/>
      </c>
      <c r="H747" s="366" t="s">
        <v>3971</v>
      </c>
      <c r="I747" s="30"/>
      <c r="J747" s="4"/>
      <c r="K747" s="43"/>
      <c r="L747" s="838"/>
      <c r="M747" s="818"/>
      <c r="N747" s="834"/>
      <c r="O747" s="834"/>
    </row>
    <row r="748" spans="1:45" x14ac:dyDescent="0.35">
      <c r="A748" s="366">
        <v>6</v>
      </c>
      <c r="B748" s="737" t="s">
        <v>713</v>
      </c>
      <c r="C748" s="731"/>
      <c r="D748" s="731"/>
      <c r="E748" s="731"/>
      <c r="F748" s="731"/>
      <c r="G748" s="366" t="str">
        <f t="shared" ca="1" si="52"/>
        <v/>
      </c>
      <c r="H748" s="366" t="s">
        <v>3971</v>
      </c>
      <c r="I748" s="30"/>
      <c r="J748" s="4"/>
      <c r="K748" s="43"/>
      <c r="L748" s="838"/>
      <c r="M748" s="818"/>
      <c r="N748" s="834"/>
      <c r="O748" s="834"/>
    </row>
    <row r="749" spans="1:45" x14ac:dyDescent="0.35">
      <c r="A749" s="366">
        <v>6</v>
      </c>
      <c r="B749" s="737" t="s">
        <v>713</v>
      </c>
      <c r="C749" s="731"/>
      <c r="D749" s="731"/>
      <c r="E749" s="731"/>
      <c r="F749" s="731"/>
      <c r="G749" s="366" t="str">
        <f t="shared" ca="1" si="52"/>
        <v/>
      </c>
      <c r="H749" s="366" t="s">
        <v>3971</v>
      </c>
      <c r="I749" s="138"/>
      <c r="J749" s="133"/>
      <c r="K749" s="101"/>
      <c r="L749" s="889"/>
      <c r="M749" s="819"/>
      <c r="N749" s="835"/>
      <c r="O749" s="835"/>
    </row>
    <row r="750" spans="1:45" ht="15" customHeight="1" x14ac:dyDescent="0.35">
      <c r="A750" s="366">
        <v>6</v>
      </c>
      <c r="B750" s="737" t="s">
        <v>716</v>
      </c>
      <c r="C750" s="731"/>
      <c r="D750" s="731"/>
      <c r="E750" s="731"/>
      <c r="F750" s="731"/>
      <c r="G750" s="366" t="str">
        <f t="shared" ca="1" si="52"/>
        <v/>
      </c>
      <c r="H750" s="366" t="s">
        <v>3971</v>
      </c>
      <c r="I750" s="117" t="s">
        <v>716</v>
      </c>
      <c r="J750" s="118"/>
      <c r="K750" s="119"/>
      <c r="L750" s="905" t="s">
        <v>717</v>
      </c>
      <c r="M750" s="908" t="s">
        <v>3120</v>
      </c>
      <c r="N750" s="41"/>
      <c r="O750" s="41"/>
      <c r="W750" s="760" t="s">
        <v>3107</v>
      </c>
      <c r="X750" s="817"/>
      <c r="Y750" s="1100" t="str">
        <f>IF(LEN('Ch6'!X432)=0,"None",'Ch6'!X432)</f>
        <v>None</v>
      </c>
      <c r="Z750" s="1102"/>
      <c r="AL750" t="str">
        <f>SUBSTITUTE(SUBSTITUTE(SUBSTITUTE("vpa"&amp;$B750&amp;$C750&amp;$D750&amp;$E750,".","_"),"(","_"),")","")</f>
        <v>vpa610_1_2_1</v>
      </c>
      <c r="AM750" t="str">
        <f>M750</f>
        <v>per Table 610.1.2.1
10 Max</v>
      </c>
      <c r="AR750" t="str">
        <f>SUBSTITUTE(SUBSTITUTE(SUBSTITUTE("vnt"&amp;$B750&amp;$C750&amp;$D750&amp;$E750,".","_"),"(","_"),")","")</f>
        <v>vnt610_1_2_1</v>
      </c>
      <c r="AS750" t="str">
        <f>IF(LEN(X750)=0,"",X750)</f>
        <v/>
      </c>
    </row>
    <row r="751" spans="1:45" x14ac:dyDescent="0.35">
      <c r="A751" s="366">
        <v>6</v>
      </c>
      <c r="B751" s="737" t="s">
        <v>716</v>
      </c>
      <c r="C751" s="731"/>
      <c r="D751" s="731"/>
      <c r="E751" s="731"/>
      <c r="F751" s="731"/>
      <c r="G751" s="366" t="str">
        <f t="shared" ca="1" si="52"/>
        <v/>
      </c>
      <c r="H751" s="366" t="s">
        <v>3971</v>
      </c>
      <c r="I751" s="30"/>
      <c r="J751" s="4"/>
      <c r="K751" s="43"/>
      <c r="L751" s="838"/>
      <c r="M751" s="909"/>
      <c r="N751" s="41"/>
      <c r="O751" s="41"/>
      <c r="W751" s="760"/>
      <c r="X751" s="817"/>
      <c r="Y751" s="1100"/>
      <c r="Z751" s="1102"/>
    </row>
    <row r="752" spans="1:45" x14ac:dyDescent="0.35">
      <c r="A752" s="366">
        <v>6</v>
      </c>
      <c r="B752" s="737" t="s">
        <v>716</v>
      </c>
      <c r="C752" s="731"/>
      <c r="D752" s="731"/>
      <c r="E752" s="731" t="s">
        <v>2970</v>
      </c>
      <c r="F752" s="731"/>
      <c r="G752" s="366" t="str">
        <f t="shared" ca="1" si="52"/>
        <v/>
      </c>
      <c r="H752" s="366" t="s">
        <v>3971</v>
      </c>
      <c r="I752" s="30"/>
      <c r="J752" s="4"/>
      <c r="K752" s="43"/>
      <c r="L752" s="838"/>
      <c r="M752" s="909"/>
      <c r="N752" s="41"/>
      <c r="O752" s="41"/>
      <c r="P752" t="b">
        <v>1</v>
      </c>
      <c r="Q752" t="b">
        <v>0</v>
      </c>
      <c r="R752" t="b">
        <v>0</v>
      </c>
      <c r="S752" t="b">
        <f>COUNTIF(W727:W744,TRUE)&lt;1</f>
        <v>1</v>
      </c>
      <c r="T752" t="b">
        <f>IF(AND(NOT(S752),LEN(W752)&gt;0),TRUE,FALSE)</f>
        <v>0</v>
      </c>
      <c r="U752" t="str">
        <f>SUBSTITUTE(SUBSTITUTE(SUBSTITUTE("dd"&amp;B752&amp;C752&amp;D752&amp;E752&amp;F752,".","_"),"(","_"),")","")</f>
        <v>dd610_1_2_1a</v>
      </c>
      <c r="W752" s="9"/>
      <c r="X752" s="817"/>
      <c r="Y752" s="1100"/>
      <c r="Z752" s="1102"/>
      <c r="AC752" t="b">
        <f>OR(AD752:AE752)</f>
        <v>0</v>
      </c>
      <c r="AD752" t="b">
        <f>T752</f>
        <v>0</v>
      </c>
      <c r="AE752" t="b">
        <f>AND(NOT(ISBLANK(W752)),LEN(X750)=0)</f>
        <v>0</v>
      </c>
      <c r="AF752" t="b">
        <f>AND(AE752,NOT(Q752))</f>
        <v>0</v>
      </c>
      <c r="AP752" t="str">
        <f>SUBSTITUTE(SUBSTITUTE(SUBSTITUTE("vch"&amp;$B752&amp;$C752&amp;$D752&amp;$E752,".","_"),"(","_"),")","")</f>
        <v>vch610_1_2_1a</v>
      </c>
      <c r="AQ752" t="str">
        <f>IF(LEN(W752)=0,"",W752)</f>
        <v/>
      </c>
    </row>
    <row r="753" spans="1:45" x14ac:dyDescent="0.35">
      <c r="A753" s="366">
        <v>6</v>
      </c>
      <c r="B753" s="737" t="s">
        <v>716</v>
      </c>
      <c r="C753" s="731" t="s">
        <v>121</v>
      </c>
      <c r="D753" s="731"/>
      <c r="E753" s="731"/>
      <c r="F753" s="731"/>
      <c r="G753" s="366" t="str">
        <f t="shared" ca="1" si="52"/>
        <v/>
      </c>
      <c r="H753" s="732" t="s">
        <v>3971</v>
      </c>
      <c r="I753" s="30"/>
      <c r="J753" s="4"/>
      <c r="K753" s="47" t="s">
        <v>121</v>
      </c>
      <c r="L753" s="90" t="s">
        <v>705</v>
      </c>
      <c r="M753" s="909"/>
      <c r="N753" s="41"/>
      <c r="O753" s="41"/>
      <c r="R753" s="1">
        <f ca="1">2*IFERROR(MATCH(W752,INDIRECT(U752),0),0)*S752</f>
        <v>0</v>
      </c>
      <c r="X753" s="817"/>
      <c r="Y753" s="1100"/>
      <c r="Z753" s="1102"/>
    </row>
    <row r="754" spans="1:45" x14ac:dyDescent="0.35">
      <c r="A754" s="366">
        <v>6</v>
      </c>
      <c r="B754" s="737" t="s">
        <v>716</v>
      </c>
      <c r="C754" s="731" t="s">
        <v>122</v>
      </c>
      <c r="D754" s="731"/>
      <c r="E754" s="731"/>
      <c r="F754" s="731"/>
      <c r="G754" s="366" t="str">
        <f t="shared" ca="1" si="52"/>
        <v/>
      </c>
      <c r="H754" s="732" t="s">
        <v>3971</v>
      </c>
      <c r="I754" s="30"/>
      <c r="J754" s="4"/>
      <c r="K754" s="47" t="s">
        <v>122</v>
      </c>
      <c r="L754" s="90" t="s">
        <v>706</v>
      </c>
      <c r="M754" s="909"/>
      <c r="N754" s="41"/>
      <c r="O754" s="41"/>
      <c r="X754" s="817"/>
      <c r="Y754" s="1100"/>
      <c r="Z754" s="1102"/>
    </row>
    <row r="755" spans="1:45" x14ac:dyDescent="0.35">
      <c r="A755" s="366">
        <v>6</v>
      </c>
      <c r="B755" s="737" t="s">
        <v>716</v>
      </c>
      <c r="C755" s="731" t="s">
        <v>123</v>
      </c>
      <c r="D755" s="731"/>
      <c r="E755" s="731"/>
      <c r="F755" s="731"/>
      <c r="G755" s="366" t="str">
        <f t="shared" ca="1" si="52"/>
        <v/>
      </c>
      <c r="H755" s="732" t="s">
        <v>3971</v>
      </c>
      <c r="I755" s="30"/>
      <c r="J755" s="4"/>
      <c r="K755" s="47" t="s">
        <v>123</v>
      </c>
      <c r="L755" s="90" t="s">
        <v>707</v>
      </c>
      <c r="M755" s="909"/>
      <c r="N755" s="41"/>
      <c r="O755" s="41"/>
      <c r="X755" s="817"/>
      <c r="Y755" s="1100"/>
      <c r="Z755" s="1102"/>
    </row>
    <row r="756" spans="1:45" x14ac:dyDescent="0.35">
      <c r="A756" s="366">
        <v>6</v>
      </c>
      <c r="B756" s="737" t="s">
        <v>716</v>
      </c>
      <c r="C756" s="733" t="s">
        <v>401</v>
      </c>
      <c r="D756" s="731"/>
      <c r="E756" s="731"/>
      <c r="F756" s="733"/>
      <c r="G756" s="366" t="str">
        <f t="shared" ca="1" si="52"/>
        <v/>
      </c>
      <c r="H756" s="734" t="s">
        <v>3971</v>
      </c>
      <c r="I756" s="30"/>
      <c r="J756" s="4"/>
      <c r="K756" s="49" t="s">
        <v>401</v>
      </c>
      <c r="L756" s="90" t="s">
        <v>708</v>
      </c>
      <c r="M756" s="909"/>
      <c r="N756" s="41"/>
      <c r="O756" s="41"/>
      <c r="X756" s="817"/>
      <c r="Y756" s="1100"/>
      <c r="Z756" s="1102"/>
    </row>
    <row r="757" spans="1:45" x14ac:dyDescent="0.35">
      <c r="A757" s="366">
        <v>6</v>
      </c>
      <c r="B757" s="737" t="s">
        <v>716</v>
      </c>
      <c r="C757" s="731" t="s">
        <v>539</v>
      </c>
      <c r="D757" s="731"/>
      <c r="E757" s="731"/>
      <c r="F757" s="731"/>
      <c r="G757" s="366" t="str">
        <f t="shared" ca="1" si="52"/>
        <v/>
      </c>
      <c r="H757" s="366" t="s">
        <v>3971</v>
      </c>
      <c r="I757" s="30"/>
      <c r="J757" s="4"/>
      <c r="K757" s="45" t="s">
        <v>539</v>
      </c>
      <c r="L757" s="90" t="s">
        <v>709</v>
      </c>
      <c r="M757" s="909"/>
      <c r="N757" s="41"/>
      <c r="O757" s="41"/>
      <c r="W757" s="760" t="s">
        <v>3106</v>
      </c>
      <c r="X757" s="817"/>
      <c r="Y757" s="1100" t="str">
        <f>IF(LEN('Ch6'!X439)=0,"None",'Ch6'!X439)</f>
        <v>None</v>
      </c>
      <c r="Z757" s="1102"/>
      <c r="AR757" t="str">
        <f>SUBSTITUTE(SUBSTITUTE(SUBSTITUTE("vnt"&amp;$B757&amp;$C757&amp;$D757&amp;$E757,".","_"),"(","_"),")","")</f>
        <v>vnt610_1_2_1_e</v>
      </c>
      <c r="AS757" t="str">
        <f>IF(LEN(X757)=0,"",X757)</f>
        <v/>
      </c>
    </row>
    <row r="758" spans="1:45" x14ac:dyDescent="0.35">
      <c r="A758" s="366">
        <v>6</v>
      </c>
      <c r="B758" s="737" t="s">
        <v>716</v>
      </c>
      <c r="C758" s="731" t="s">
        <v>604</v>
      </c>
      <c r="D758" s="731"/>
      <c r="E758" s="731"/>
      <c r="F758" s="731"/>
      <c r="G758" s="366" t="str">
        <f t="shared" ca="1" si="52"/>
        <v/>
      </c>
      <c r="H758" s="732" t="s">
        <v>3971</v>
      </c>
      <c r="I758" s="30"/>
      <c r="J758" s="4"/>
      <c r="K758" s="47" t="s">
        <v>604</v>
      </c>
      <c r="L758" s="90" t="s">
        <v>710</v>
      </c>
      <c r="M758" s="909"/>
      <c r="N758" s="41"/>
      <c r="O758" s="41"/>
      <c r="W758" s="760"/>
      <c r="X758" s="817"/>
      <c r="Y758" s="1100"/>
      <c r="Z758" s="1102"/>
    </row>
    <row r="759" spans="1:45" x14ac:dyDescent="0.35">
      <c r="A759" s="366">
        <v>6</v>
      </c>
      <c r="B759" s="737" t="s">
        <v>716</v>
      </c>
      <c r="C759" s="731"/>
      <c r="D759" s="731"/>
      <c r="E759" s="731" t="s">
        <v>2971</v>
      </c>
      <c r="F759" s="731"/>
      <c r="G759" s="366" t="str">
        <f t="shared" ca="1" si="52"/>
        <v/>
      </c>
      <c r="H759" s="366" t="s">
        <v>3971</v>
      </c>
      <c r="I759" s="30"/>
      <c r="J759" s="4"/>
      <c r="L759" s="895" t="s">
        <v>718</v>
      </c>
      <c r="M759" s="909"/>
      <c r="N759" s="41"/>
      <c r="O759" s="41"/>
      <c r="P759" t="b">
        <v>1</v>
      </c>
      <c r="Q759" t="b">
        <v>0</v>
      </c>
      <c r="R759" t="b">
        <v>0</v>
      </c>
      <c r="S759" t="b">
        <f>COUNTIF(W727:W744,TRUE)&lt;1</f>
        <v>1</v>
      </c>
      <c r="T759" t="b">
        <f>IF(AND(NOT(S759),LEN(W759)&gt;0),TRUE,FALSE)</f>
        <v>0</v>
      </c>
      <c r="U759" t="str">
        <f>SUBSTITUTE(SUBSTITUTE(SUBSTITUTE("dd"&amp;B759&amp;C759&amp;D759&amp;E759&amp;F759,".","_"),"(","_"),")","")</f>
        <v>dd610_1_2_1b</v>
      </c>
      <c r="W759" s="9"/>
      <c r="X759" s="817"/>
      <c r="Y759" s="1100"/>
      <c r="Z759" s="1102"/>
      <c r="AC759" t="b">
        <f>OR(AD759:AE759)</f>
        <v>0</v>
      </c>
      <c r="AD759" t="b">
        <f>T759</f>
        <v>0</v>
      </c>
      <c r="AE759" t="b">
        <f>AND(NOT(ISBLANK(W759)),LEN(X757)=0)</f>
        <v>0</v>
      </c>
      <c r="AF759" t="b">
        <f>AND(AE759,NOT(Q759))</f>
        <v>0</v>
      </c>
      <c r="AP759" t="str">
        <f>SUBSTITUTE(SUBSTITUTE(SUBSTITUTE("vch"&amp;$B759&amp;$C759&amp;$D759&amp;$E759,".","_"),"(","_"),")","")</f>
        <v>vch610_1_2_1b</v>
      </c>
      <c r="AQ759" t="str">
        <f>IF(LEN(W759)=0,"",W759)</f>
        <v/>
      </c>
    </row>
    <row r="760" spans="1:45" x14ac:dyDescent="0.35">
      <c r="A760" s="366">
        <v>6</v>
      </c>
      <c r="B760" s="737" t="s">
        <v>716</v>
      </c>
      <c r="C760" s="731"/>
      <c r="D760" s="731"/>
      <c r="E760" s="731"/>
      <c r="F760" s="731"/>
      <c r="G760" s="366" t="str">
        <f t="shared" ca="1" si="52"/>
        <v/>
      </c>
      <c r="H760" s="366" t="s">
        <v>3971</v>
      </c>
      <c r="I760" s="30"/>
      <c r="J760" s="4"/>
      <c r="K760" s="92"/>
      <c r="L760" s="895"/>
      <c r="M760" s="909"/>
      <c r="N760" s="41"/>
      <c r="O760" s="41"/>
      <c r="R760" s="1">
        <f ca="1">3*IFERROR(MATCH(W759,INDIRECT(U759),0),0)*S759</f>
        <v>0</v>
      </c>
      <c r="X760" s="817"/>
      <c r="Y760" s="1100"/>
      <c r="Z760" s="1102"/>
    </row>
    <row r="761" spans="1:45" x14ac:dyDescent="0.35">
      <c r="A761" s="366">
        <v>6</v>
      </c>
      <c r="B761" s="737" t="s">
        <v>716</v>
      </c>
      <c r="C761" s="731"/>
      <c r="D761" s="731"/>
      <c r="E761" s="731"/>
      <c r="F761" s="731"/>
      <c r="G761" s="366" t="str">
        <f t="shared" ca="1" si="52"/>
        <v/>
      </c>
      <c r="H761" s="366" t="s">
        <v>3971</v>
      </c>
      <c r="I761" s="30"/>
      <c r="J761" s="4"/>
      <c r="K761" s="92"/>
      <c r="L761" s="895"/>
      <c r="M761" s="909"/>
      <c r="N761" s="41"/>
      <c r="O761" s="41"/>
      <c r="X761" s="817"/>
      <c r="Y761" s="1100"/>
      <c r="Z761" s="1102"/>
    </row>
    <row r="762" spans="1:45" x14ac:dyDescent="0.35">
      <c r="A762" s="366">
        <v>6</v>
      </c>
      <c r="B762" s="737" t="s">
        <v>716</v>
      </c>
      <c r="C762" s="731"/>
      <c r="D762" s="731"/>
      <c r="E762" s="731"/>
      <c r="F762" s="731"/>
      <c r="G762" s="366" t="str">
        <f t="shared" ca="1" si="52"/>
        <v/>
      </c>
      <c r="H762" s="366" t="s">
        <v>3971</v>
      </c>
      <c r="I762" s="30"/>
      <c r="J762" s="4"/>
      <c r="K762" s="92"/>
      <c r="L762" s="855" t="s">
        <v>3105</v>
      </c>
      <c r="M762" s="909"/>
      <c r="N762" s="41"/>
      <c r="O762" s="41"/>
      <c r="X762" s="817"/>
      <c r="Y762" s="1100"/>
      <c r="Z762" s="1102"/>
    </row>
    <row r="763" spans="1:45" x14ac:dyDescent="0.35">
      <c r="A763" s="366">
        <v>6</v>
      </c>
      <c r="B763" s="737" t="s">
        <v>716</v>
      </c>
      <c r="C763" s="731"/>
      <c r="D763" s="731"/>
      <c r="E763" s="731"/>
      <c r="F763" s="731"/>
      <c r="G763" s="366" t="str">
        <f t="shared" ca="1" si="52"/>
        <v/>
      </c>
      <c r="H763" s="366" t="s">
        <v>3971</v>
      </c>
      <c r="I763" s="138"/>
      <c r="J763" s="133"/>
      <c r="K763" s="142"/>
      <c r="L763" s="903"/>
      <c r="M763" s="910"/>
      <c r="N763" s="41"/>
      <c r="O763" s="41"/>
      <c r="X763" s="817"/>
      <c r="Y763" s="1100"/>
      <c r="Z763" s="1102"/>
    </row>
    <row r="764" spans="1:45" ht="15" customHeight="1" x14ac:dyDescent="0.35">
      <c r="A764" s="366">
        <v>6</v>
      </c>
      <c r="B764" s="737" t="s">
        <v>719</v>
      </c>
      <c r="C764" s="731"/>
      <c r="D764" s="731"/>
      <c r="E764" s="731" t="s">
        <v>2970</v>
      </c>
      <c r="F764" s="731"/>
      <c r="G764" s="366" t="str">
        <f t="shared" ca="1" si="52"/>
        <v/>
      </c>
      <c r="H764" s="366" t="s">
        <v>3971</v>
      </c>
      <c r="I764" s="30" t="s">
        <v>719</v>
      </c>
      <c r="J764" s="4"/>
      <c r="K764" s="43"/>
      <c r="L764" s="838" t="s">
        <v>720</v>
      </c>
      <c r="M764" s="911" t="s">
        <v>3121</v>
      </c>
      <c r="N764" s="41"/>
      <c r="O764" s="41"/>
      <c r="R764">
        <f ca="1">COUNTIF(W765:W784,INDEX(INDIRECT(U765),1))*S765</f>
        <v>0</v>
      </c>
      <c r="S764">
        <f ca="1">COUNTIF(W765:W784,INDEX(INDIRECT(U765),2))*S765</f>
        <v>0</v>
      </c>
      <c r="W764" t="s">
        <v>3116</v>
      </c>
      <c r="X764" s="817"/>
      <c r="Y764" s="1100" t="str">
        <f>IF(LEN('Ch6'!X446)=0,"None",'Ch6'!X446)</f>
        <v>None</v>
      </c>
      <c r="Z764" s="1102"/>
      <c r="AL764" t="str">
        <f>SUBSTITUTE(SUBSTITUTE(SUBSTITUTE("vpa"&amp;$B764&amp;$C764&amp;$D764&amp;$E764,".","_"),"(","_"),")","")</f>
        <v>vpa610_1_2_2a</v>
      </c>
      <c r="AM764" t="str">
        <f>M764</f>
        <v>per Table 610.1.2.2
10 Max</v>
      </c>
      <c r="AR764" t="str">
        <f>SUBSTITUTE(SUBSTITUTE(SUBSTITUTE("vnt"&amp;$B764&amp;$C764&amp;$D764&amp;$E764,".","_"),"(","_"),")","")</f>
        <v>vnt610_1_2_2a</v>
      </c>
      <c r="AS764" t="str">
        <f>IF(LEN(X764)=0,"",X764)</f>
        <v/>
      </c>
    </row>
    <row r="765" spans="1:45" x14ac:dyDescent="0.35">
      <c r="A765" s="366">
        <v>6</v>
      </c>
      <c r="B765" s="737" t="s">
        <v>719</v>
      </c>
      <c r="C765" s="731"/>
      <c r="D765" s="731"/>
      <c r="E765" s="731" t="s">
        <v>2970</v>
      </c>
      <c r="F765" s="731"/>
      <c r="G765" s="366" t="str">
        <f t="shared" ca="1" si="52"/>
        <v/>
      </c>
      <c r="H765" s="366" t="s">
        <v>3971</v>
      </c>
      <c r="I765" s="30"/>
      <c r="J765" s="4"/>
      <c r="K765" s="43"/>
      <c r="L765" s="838"/>
      <c r="M765" s="911"/>
      <c r="N765" s="41"/>
      <c r="O765" s="41"/>
      <c r="P765" t="b">
        <v>1</v>
      </c>
      <c r="Q765" t="b">
        <v>0</v>
      </c>
      <c r="R765" t="b">
        <v>0</v>
      </c>
      <c r="S765" t="b">
        <f>COUNTIF(W727:W744,TRUE)&lt;1</f>
        <v>1</v>
      </c>
      <c r="T765" t="b">
        <f>IF(AND(NOT(S765),LEN(W765)&gt;0),TRUE,FALSE)</f>
        <v>0</v>
      </c>
      <c r="U765" t="str">
        <f>SUBSTITUTE(SUBSTITUTE(SUBSTITUTE("dd"&amp;B765&amp;C765&amp;D765&amp;E765&amp;F765,".","_"),"(","_"),")","")</f>
        <v>dd610_1_2_2a</v>
      </c>
      <c r="W765" s="9"/>
      <c r="X765" s="817"/>
      <c r="Y765" s="1100"/>
      <c r="Z765" s="1102"/>
      <c r="AC765" t="b">
        <f>OR(AD765:AE765)</f>
        <v>0</v>
      </c>
      <c r="AD765" t="b">
        <f>T765</f>
        <v>0</v>
      </c>
      <c r="AE765" t="b">
        <f>AND(NOT(ISBLANK(W765)),LEN(X764)=0)</f>
        <v>0</v>
      </c>
      <c r="AF765" t="b">
        <f>AND(AE765,NOT(Q765))</f>
        <v>0</v>
      </c>
      <c r="AP765" t="str">
        <f>SUBSTITUTE(SUBSTITUTE(SUBSTITUTE("vch"&amp;$B765&amp;$C765&amp;$D765&amp;$E765,".","_"),"(","_"),")","")</f>
        <v>vch610_1_2_2a</v>
      </c>
      <c r="AQ765" t="str">
        <f>IF(LEN(W765)=0,"",W765)</f>
        <v/>
      </c>
    </row>
    <row r="766" spans="1:45" x14ac:dyDescent="0.35">
      <c r="A766" s="366">
        <v>6</v>
      </c>
      <c r="B766" s="737" t="s">
        <v>719</v>
      </c>
      <c r="C766" s="731"/>
      <c r="D766" s="731"/>
      <c r="E766" s="731"/>
      <c r="F766" s="731"/>
      <c r="G766" s="366" t="str">
        <f t="shared" ca="1" si="52"/>
        <v/>
      </c>
      <c r="H766" s="366" t="s">
        <v>3971</v>
      </c>
      <c r="I766" s="30"/>
      <c r="J766" s="4"/>
      <c r="K766" s="43"/>
      <c r="L766" s="838"/>
      <c r="M766" s="911"/>
      <c r="N766" s="41"/>
      <c r="O766" s="41"/>
      <c r="X766" s="817"/>
      <c r="Y766" s="1100"/>
      <c r="Z766" s="1102"/>
    </row>
    <row r="767" spans="1:45" x14ac:dyDescent="0.35">
      <c r="A767" s="366">
        <v>6</v>
      </c>
      <c r="B767" s="737" t="s">
        <v>719</v>
      </c>
      <c r="C767" s="731"/>
      <c r="D767" s="731"/>
      <c r="E767" s="731"/>
      <c r="F767" s="731"/>
      <c r="G767" s="366" t="str">
        <f t="shared" ca="1" si="52"/>
        <v/>
      </c>
      <c r="H767" s="366" t="s">
        <v>3971</v>
      </c>
      <c r="I767" s="30"/>
      <c r="J767" s="4"/>
      <c r="K767" s="43"/>
      <c r="L767" s="838"/>
      <c r="M767" s="911"/>
      <c r="N767" s="41"/>
      <c r="O767" s="41"/>
      <c r="X767" s="817"/>
      <c r="Y767" s="1100"/>
      <c r="Z767" s="1102"/>
    </row>
    <row r="768" spans="1:45" x14ac:dyDescent="0.35">
      <c r="A768" s="366">
        <v>6</v>
      </c>
      <c r="B768" s="737" t="s">
        <v>719</v>
      </c>
      <c r="C768" s="731"/>
      <c r="D768" s="731"/>
      <c r="E768" s="731"/>
      <c r="F768" s="731"/>
      <c r="G768" s="366" t="str">
        <f t="shared" ca="1" si="52"/>
        <v/>
      </c>
      <c r="H768" s="366" t="s">
        <v>3971</v>
      </c>
      <c r="I768" s="30"/>
      <c r="J768" s="4"/>
      <c r="K768" s="43"/>
      <c r="L768" s="838"/>
      <c r="M768" s="911"/>
      <c r="N768" s="41"/>
      <c r="O768" s="41"/>
      <c r="X768" s="817"/>
      <c r="Y768" s="1100"/>
      <c r="Z768" s="1102"/>
    </row>
    <row r="769" spans="1:45" x14ac:dyDescent="0.35">
      <c r="A769" s="366">
        <v>6</v>
      </c>
      <c r="B769" s="737" t="s">
        <v>719</v>
      </c>
      <c r="C769" s="731"/>
      <c r="D769" s="731"/>
      <c r="E769" s="731"/>
      <c r="F769" s="731"/>
      <c r="G769" s="366" t="str">
        <f t="shared" ca="1" si="52"/>
        <v/>
      </c>
      <c r="H769" s="366" t="s">
        <v>3971</v>
      </c>
      <c r="I769" s="30"/>
      <c r="J769" s="4"/>
      <c r="K769" s="43"/>
      <c r="L769" s="838"/>
      <c r="M769" s="911"/>
      <c r="N769" s="41"/>
      <c r="O769" s="41"/>
      <c r="X769" s="817"/>
      <c r="Y769" s="1100"/>
      <c r="Z769" s="1102"/>
    </row>
    <row r="770" spans="1:45" x14ac:dyDescent="0.35">
      <c r="A770" s="366">
        <v>6</v>
      </c>
      <c r="B770" s="737" t="s">
        <v>719</v>
      </c>
      <c r="C770" s="731"/>
      <c r="D770" s="731"/>
      <c r="E770" s="731"/>
      <c r="F770" s="731"/>
      <c r="G770" s="366" t="str">
        <f t="shared" ca="1" si="52"/>
        <v/>
      </c>
      <c r="H770" s="366" t="s">
        <v>3971</v>
      </c>
      <c r="I770" s="30"/>
      <c r="J770" s="4"/>
      <c r="K770" s="43"/>
      <c r="L770" s="838"/>
      <c r="M770" s="911"/>
      <c r="N770" s="41"/>
      <c r="O770" s="41"/>
      <c r="X770" s="817"/>
      <c r="Y770" s="1100"/>
      <c r="Z770" s="1102"/>
    </row>
    <row r="771" spans="1:45" x14ac:dyDescent="0.35">
      <c r="A771" s="366">
        <v>6</v>
      </c>
      <c r="B771" s="737" t="s">
        <v>719</v>
      </c>
      <c r="C771" s="731"/>
      <c r="D771" s="731"/>
      <c r="E771" s="731" t="s">
        <v>2971</v>
      </c>
      <c r="F771" s="731"/>
      <c r="G771" s="366" t="str">
        <f t="shared" ca="1" si="52"/>
        <v/>
      </c>
      <c r="H771" s="366" t="s">
        <v>3971</v>
      </c>
      <c r="I771" s="30"/>
      <c r="J771" s="4"/>
      <c r="K771" s="43"/>
      <c r="L771" s="838"/>
      <c r="M771" s="911"/>
      <c r="N771" s="41"/>
      <c r="O771" s="41"/>
      <c r="W771" t="s">
        <v>3117</v>
      </c>
      <c r="X771" s="817"/>
      <c r="Y771" s="1100" t="str">
        <f>IF(LEN('Ch6'!X453)=0,"None",'Ch6'!X453)</f>
        <v>None</v>
      </c>
      <c r="Z771" s="1102"/>
      <c r="AR771" t="str">
        <f>SUBSTITUTE(SUBSTITUTE(SUBSTITUTE("vnt"&amp;$B771&amp;$C771&amp;$D771&amp;$E771,".","_"),"(","_"),")","")</f>
        <v>vnt610_1_2_2b</v>
      </c>
      <c r="AS771" t="str">
        <f>IF(LEN(X771)=0,"",X771)</f>
        <v/>
      </c>
    </row>
    <row r="772" spans="1:45" x14ac:dyDescent="0.35">
      <c r="A772" s="366">
        <v>6</v>
      </c>
      <c r="B772" s="737" t="s">
        <v>719</v>
      </c>
      <c r="C772" s="731"/>
      <c r="D772" s="731"/>
      <c r="E772" s="731" t="s">
        <v>2971</v>
      </c>
      <c r="F772" s="731"/>
      <c r="G772" s="366" t="str">
        <f t="shared" ca="1" si="52"/>
        <v/>
      </c>
      <c r="H772" s="366" t="s">
        <v>3971</v>
      </c>
      <c r="I772" s="30"/>
      <c r="J772" s="4"/>
      <c r="K772" s="43"/>
      <c r="L772" s="838"/>
      <c r="M772" s="911"/>
      <c r="N772" s="41"/>
      <c r="O772" s="41"/>
      <c r="P772" t="b">
        <v>1</v>
      </c>
      <c r="Q772" t="b">
        <v>0</v>
      </c>
      <c r="R772" t="b">
        <v>0</v>
      </c>
      <c r="S772" t="b">
        <f>COUNTIF(W727:W744,TRUE)&lt;1</f>
        <v>1</v>
      </c>
      <c r="T772" t="b">
        <f>IF(AND(NOT(S772),LEN(W772)&gt;0),TRUE,FALSE)</f>
        <v>0</v>
      </c>
      <c r="U772" t="str">
        <f>SUBSTITUTE(SUBSTITUTE(SUBSTITUTE("dd"&amp;B772&amp;C772&amp;D772&amp;E772&amp;F772,".","_"),"(","_"),")","")</f>
        <v>dd610_1_2_2b</v>
      </c>
      <c r="W772" s="9"/>
      <c r="X772" s="817"/>
      <c r="Y772" s="1100"/>
      <c r="Z772" s="1102"/>
      <c r="AC772" t="b">
        <f>OR(AD772:AE772)</f>
        <v>0</v>
      </c>
      <c r="AD772" t="b">
        <f>T772</f>
        <v>0</v>
      </c>
      <c r="AE772" t="b">
        <f>AND(NOT(ISBLANK(W772)),LEN(X771)=0)</f>
        <v>0</v>
      </c>
      <c r="AF772" t="b">
        <f>AND(AE772,NOT(Q772))</f>
        <v>0</v>
      </c>
      <c r="AP772" t="str">
        <f>SUBSTITUTE(SUBSTITUTE(SUBSTITUTE("vch"&amp;$B772&amp;$C772&amp;$D772&amp;$E772,".","_"),"(","_"),")","")</f>
        <v>vch610_1_2_2b</v>
      </c>
      <c r="AQ772" t="str">
        <f>IF(LEN(W772)=0,"",W772)</f>
        <v/>
      </c>
    </row>
    <row r="773" spans="1:45" x14ac:dyDescent="0.35">
      <c r="A773" s="366">
        <v>6</v>
      </c>
      <c r="B773" s="737" t="s">
        <v>719</v>
      </c>
      <c r="C773" s="731" t="s">
        <v>121</v>
      </c>
      <c r="D773" s="731"/>
      <c r="E773" s="731"/>
      <c r="F773" s="731"/>
      <c r="G773" s="366" t="str">
        <f t="shared" ca="1" si="52"/>
        <v/>
      </c>
      <c r="H773" s="732" t="s">
        <v>3971</v>
      </c>
      <c r="I773" s="30"/>
      <c r="J773" s="4"/>
      <c r="K773" s="47" t="s">
        <v>121</v>
      </c>
      <c r="L773" s="90" t="s">
        <v>721</v>
      </c>
      <c r="M773" s="911"/>
      <c r="N773" s="41"/>
      <c r="O773" s="41"/>
      <c r="X773" s="817"/>
      <c r="Y773" s="1100"/>
      <c r="Z773" s="1102"/>
    </row>
    <row r="774" spans="1:45" x14ac:dyDescent="0.35">
      <c r="A774" s="366">
        <v>6</v>
      </c>
      <c r="B774" s="737" t="s">
        <v>719</v>
      </c>
      <c r="C774" s="731" t="s">
        <v>122</v>
      </c>
      <c r="D774" s="731"/>
      <c r="E774" s="731"/>
      <c r="F774" s="731"/>
      <c r="G774" s="366" t="str">
        <f t="shared" ca="1" si="52"/>
        <v/>
      </c>
      <c r="H774" s="732" t="s">
        <v>3971</v>
      </c>
      <c r="I774" s="30"/>
      <c r="J774" s="4"/>
      <c r="K774" s="47" t="s">
        <v>122</v>
      </c>
      <c r="L774" s="90" t="s">
        <v>722</v>
      </c>
      <c r="M774" s="911"/>
      <c r="N774" s="41"/>
      <c r="O774" s="41"/>
      <c r="X774" s="817"/>
      <c r="Y774" s="1100"/>
      <c r="Z774" s="1102"/>
    </row>
    <row r="775" spans="1:45" x14ac:dyDescent="0.35">
      <c r="A775" s="366">
        <v>6</v>
      </c>
      <c r="B775" s="737" t="s">
        <v>719</v>
      </c>
      <c r="C775" s="731" t="s">
        <v>123</v>
      </c>
      <c r="D775" s="731"/>
      <c r="E775" s="731"/>
      <c r="F775" s="731"/>
      <c r="G775" s="366" t="str">
        <f t="shared" ca="1" si="52"/>
        <v/>
      </c>
      <c r="H775" s="732" t="s">
        <v>3971</v>
      </c>
      <c r="I775" s="30"/>
      <c r="J775" s="4"/>
      <c r="K775" s="47" t="s">
        <v>123</v>
      </c>
      <c r="L775" s="90" t="s">
        <v>723</v>
      </c>
      <c r="M775" s="911"/>
      <c r="N775" s="41"/>
      <c r="O775" s="41"/>
      <c r="X775" s="817"/>
      <c r="Y775" s="1100"/>
      <c r="Z775" s="1102"/>
    </row>
    <row r="776" spans="1:45" x14ac:dyDescent="0.35">
      <c r="A776" s="366">
        <v>6</v>
      </c>
      <c r="B776" s="737" t="s">
        <v>719</v>
      </c>
      <c r="C776" s="733" t="s">
        <v>401</v>
      </c>
      <c r="D776" s="731"/>
      <c r="E776" s="731"/>
      <c r="F776" s="733"/>
      <c r="G776" s="366" t="str">
        <f t="shared" ca="1" si="52"/>
        <v/>
      </c>
      <c r="H776" s="734" t="s">
        <v>3971</v>
      </c>
      <c r="I776" s="30"/>
      <c r="J776" s="4"/>
      <c r="K776" s="49" t="s">
        <v>401</v>
      </c>
      <c r="L776" s="90" t="s">
        <v>724</v>
      </c>
      <c r="M776" s="911"/>
      <c r="N776" s="41"/>
      <c r="O776" s="41"/>
      <c r="X776" s="817"/>
      <c r="Y776" s="1100"/>
      <c r="Z776" s="1102"/>
    </row>
    <row r="777" spans="1:45" x14ac:dyDescent="0.35">
      <c r="A777" s="366">
        <v>6</v>
      </c>
      <c r="B777" s="737" t="s">
        <v>719</v>
      </c>
      <c r="C777" s="731"/>
      <c r="D777" s="731"/>
      <c r="E777" s="731" t="s">
        <v>2972</v>
      </c>
      <c r="F777" s="731"/>
      <c r="G777" s="366" t="str">
        <f t="shared" ca="1" si="52"/>
        <v/>
      </c>
      <c r="H777" s="366" t="s">
        <v>3971</v>
      </c>
      <c r="I777" s="30"/>
      <c r="J777" s="4"/>
      <c r="K777" s="43"/>
      <c r="L777" s="848" t="s">
        <v>725</v>
      </c>
      <c r="M777" s="911"/>
      <c r="N777" s="41"/>
      <c r="O777" s="41"/>
      <c r="W777" t="s">
        <v>3118</v>
      </c>
      <c r="X777" s="817"/>
      <c r="Y777" s="1100" t="str">
        <f>IF(LEN('Ch6'!X459)=0,"None",'Ch6'!X459)</f>
        <v>None</v>
      </c>
      <c r="Z777" s="1102"/>
      <c r="AR777" t="str">
        <f>SUBSTITUTE(SUBSTITUTE(SUBSTITUTE("vnt"&amp;$B777&amp;$C777&amp;$D777&amp;$E777,".","_"),"(","_"),")","")</f>
        <v>vnt610_1_2_2c</v>
      </c>
      <c r="AS777" t="str">
        <f>IF(LEN(X777)=0,"",X777)</f>
        <v/>
      </c>
    </row>
    <row r="778" spans="1:45" x14ac:dyDescent="0.35">
      <c r="A778" s="366">
        <v>6</v>
      </c>
      <c r="B778" s="737" t="s">
        <v>719</v>
      </c>
      <c r="C778" s="731"/>
      <c r="D778" s="731"/>
      <c r="E778" s="731" t="s">
        <v>2972</v>
      </c>
      <c r="F778" s="731"/>
      <c r="G778" s="366" t="str">
        <f t="shared" ca="1" si="52"/>
        <v/>
      </c>
      <c r="H778" s="366" t="s">
        <v>3971</v>
      </c>
      <c r="I778" s="30"/>
      <c r="J778" s="4"/>
      <c r="K778" s="43"/>
      <c r="L778" s="848"/>
      <c r="M778" s="911"/>
      <c r="N778" s="41"/>
      <c r="O778" s="41"/>
      <c r="P778" t="b">
        <v>1</v>
      </c>
      <c r="Q778" t="b">
        <v>0</v>
      </c>
      <c r="R778" t="b">
        <v>0</v>
      </c>
      <c r="S778" t="b">
        <f>COUNTIF(W727:W744,TRUE)&lt;1</f>
        <v>1</v>
      </c>
      <c r="T778" t="b">
        <f>IF(AND(NOT(S778),LEN(W778)&gt;0),TRUE,FALSE)</f>
        <v>0</v>
      </c>
      <c r="U778" t="str">
        <f>SUBSTITUTE(SUBSTITUTE(SUBSTITUTE("dd"&amp;B778&amp;C778&amp;D778&amp;E778&amp;F778,".","_"),"(","_"),")","")</f>
        <v>dd610_1_2_2c</v>
      </c>
      <c r="W778" s="9"/>
      <c r="X778" s="817"/>
      <c r="Y778" s="1100"/>
      <c r="Z778" s="1102"/>
      <c r="AC778" t="b">
        <f>OR(AD778:AE778)</f>
        <v>0</v>
      </c>
      <c r="AD778" t="b">
        <f>T778</f>
        <v>0</v>
      </c>
      <c r="AE778" t="b">
        <f>AND(NOT(ISBLANK(W778)),LEN(X777)=0)</f>
        <v>0</v>
      </c>
      <c r="AF778" t="b">
        <f>AND(AE778,NOT(Q778))</f>
        <v>0</v>
      </c>
      <c r="AP778" t="str">
        <f>SUBSTITUTE(SUBSTITUTE(SUBSTITUTE("vch"&amp;$B778&amp;$C778&amp;$D778&amp;$E778,".","_"),"(","_"),")","")</f>
        <v>vch610_1_2_2c</v>
      </c>
      <c r="AQ778" t="str">
        <f>IF(LEN(W778)=0,"",W778)</f>
        <v/>
      </c>
    </row>
    <row r="779" spans="1:45" x14ac:dyDescent="0.35">
      <c r="A779" s="366">
        <v>6</v>
      </c>
      <c r="B779" s="737" t="s">
        <v>719</v>
      </c>
      <c r="C779" s="731" t="s">
        <v>121</v>
      </c>
      <c r="D779" s="731"/>
      <c r="E779" s="731"/>
      <c r="F779" s="731"/>
      <c r="G779" s="366" t="str">
        <f t="shared" ca="1" si="52"/>
        <v/>
      </c>
      <c r="H779" s="732" t="s">
        <v>3971</v>
      </c>
      <c r="I779" s="30"/>
      <c r="J779" s="4"/>
      <c r="K779" s="47" t="s">
        <v>121</v>
      </c>
      <c r="L779" s="90" t="s">
        <v>705</v>
      </c>
      <c r="M779" s="911"/>
      <c r="N779" s="41"/>
      <c r="O779" s="41"/>
      <c r="X779" s="817"/>
      <c r="Y779" s="1100"/>
      <c r="Z779" s="1102"/>
    </row>
    <row r="780" spans="1:45" x14ac:dyDescent="0.35">
      <c r="A780" s="366">
        <v>6</v>
      </c>
      <c r="B780" s="737" t="s">
        <v>719</v>
      </c>
      <c r="C780" s="731" t="s">
        <v>122</v>
      </c>
      <c r="D780" s="731"/>
      <c r="E780" s="731"/>
      <c r="F780" s="731"/>
      <c r="G780" s="366" t="str">
        <f t="shared" ca="1" si="52"/>
        <v/>
      </c>
      <c r="H780" s="732" t="s">
        <v>3971</v>
      </c>
      <c r="I780" s="30"/>
      <c r="J780" s="4"/>
      <c r="K780" s="47" t="s">
        <v>122</v>
      </c>
      <c r="L780" s="90" t="s">
        <v>706</v>
      </c>
      <c r="M780" s="911"/>
      <c r="N780" s="41"/>
      <c r="O780" s="41"/>
      <c r="X780" s="817"/>
      <c r="Y780" s="1100"/>
      <c r="Z780" s="1102"/>
    </row>
    <row r="781" spans="1:45" x14ac:dyDescent="0.35">
      <c r="A781" s="366">
        <v>6</v>
      </c>
      <c r="B781" s="737" t="s">
        <v>719</v>
      </c>
      <c r="C781" s="731" t="s">
        <v>123</v>
      </c>
      <c r="D781" s="731"/>
      <c r="E781" s="731"/>
      <c r="F781" s="731"/>
      <c r="G781" s="366" t="str">
        <f t="shared" ca="1" si="52"/>
        <v/>
      </c>
      <c r="H781" s="732" t="s">
        <v>3971</v>
      </c>
      <c r="I781" s="30"/>
      <c r="J781" s="4"/>
      <c r="K781" s="47" t="s">
        <v>123</v>
      </c>
      <c r="L781" s="90" t="s">
        <v>707</v>
      </c>
      <c r="M781" s="911"/>
      <c r="N781" s="41"/>
      <c r="O781" s="41"/>
      <c r="X781" s="817"/>
      <c r="Y781" s="1100"/>
      <c r="Z781" s="1102"/>
    </row>
    <row r="782" spans="1:45" x14ac:dyDescent="0.35">
      <c r="A782" s="366">
        <v>6</v>
      </c>
      <c r="B782" s="737" t="s">
        <v>719</v>
      </c>
      <c r="C782" s="733" t="s">
        <v>401</v>
      </c>
      <c r="D782" s="731"/>
      <c r="E782" s="731"/>
      <c r="F782" s="733"/>
      <c r="G782" s="366" t="str">
        <f t="shared" ca="1" si="52"/>
        <v/>
      </c>
      <c r="H782" s="734" t="s">
        <v>3971</v>
      </c>
      <c r="I782" s="30"/>
      <c r="J782" s="4"/>
      <c r="K782" s="49" t="s">
        <v>401</v>
      </c>
      <c r="L782" s="90" t="s">
        <v>708</v>
      </c>
      <c r="M782" s="911"/>
      <c r="N782" s="41"/>
      <c r="O782" s="41"/>
      <c r="X782" s="817"/>
      <c r="Y782" s="1100"/>
      <c r="Z782" s="1102"/>
    </row>
    <row r="783" spans="1:45" x14ac:dyDescent="0.35">
      <c r="A783" s="366">
        <v>6</v>
      </c>
      <c r="B783" s="737" t="s">
        <v>719</v>
      </c>
      <c r="C783" s="731" t="s">
        <v>539</v>
      </c>
      <c r="D783" s="731"/>
      <c r="E783" s="731"/>
      <c r="F783" s="731"/>
      <c r="G783" s="366" t="str">
        <f t="shared" ca="1" si="52"/>
        <v/>
      </c>
      <c r="H783" s="366" t="s">
        <v>3971</v>
      </c>
      <c r="I783" s="30"/>
      <c r="J783" s="4"/>
      <c r="K783" s="45" t="s">
        <v>539</v>
      </c>
      <c r="L783" s="90" t="s">
        <v>709</v>
      </c>
      <c r="M783" s="911"/>
      <c r="N783" s="41"/>
      <c r="O783" s="41"/>
      <c r="W783" t="s">
        <v>3119</v>
      </c>
      <c r="X783" s="817"/>
      <c r="Y783" s="1100" t="str">
        <f>IF(LEN('Ch6'!X465)=0,"None",'Ch6'!X465)</f>
        <v>None</v>
      </c>
      <c r="Z783" s="1102"/>
      <c r="AR783" t="str">
        <f>SUBSTITUTE(SUBSTITUTE(SUBSTITUTE("vnt"&amp;$B783&amp;$C783&amp;$D783&amp;$E783,".","_"),"(","_"),")","")</f>
        <v>vnt610_1_2_2_e</v>
      </c>
      <c r="AS783" t="str">
        <f>IF(LEN(X783)=0,"",X783)</f>
        <v/>
      </c>
    </row>
    <row r="784" spans="1:45" x14ac:dyDescent="0.35">
      <c r="A784" s="366">
        <v>6</v>
      </c>
      <c r="B784" s="737" t="s">
        <v>719</v>
      </c>
      <c r="C784" s="731" t="s">
        <v>604</v>
      </c>
      <c r="D784" s="731"/>
      <c r="E784" s="731"/>
      <c r="F784" s="731"/>
      <c r="G784" s="366" t="str">
        <f t="shared" ca="1" si="52"/>
        <v/>
      </c>
      <c r="H784" s="732" t="s">
        <v>3971</v>
      </c>
      <c r="I784" s="30"/>
      <c r="J784" s="4"/>
      <c r="K784" s="47" t="s">
        <v>604</v>
      </c>
      <c r="L784" s="90" t="s">
        <v>710</v>
      </c>
      <c r="M784" s="911"/>
      <c r="N784" s="41"/>
      <c r="O784" s="41"/>
      <c r="P784" t="b">
        <v>1</v>
      </c>
      <c r="Q784" t="b">
        <v>0</v>
      </c>
      <c r="R784" t="b">
        <v>0</v>
      </c>
      <c r="S784" t="b">
        <f>COUNTIF(W727:W744,TRUE)&lt;1</f>
        <v>1</v>
      </c>
      <c r="T784" t="b">
        <f>IF(AND(NOT(S784),LEN(W784)&gt;0),TRUE,FALSE)</f>
        <v>0</v>
      </c>
      <c r="U784" t="str">
        <f>SUBSTITUTE(SUBSTITUTE(SUBSTITUTE("dd"&amp;B784&amp;C784&amp;D784&amp;E784&amp;F784,".","_"),"(","_"),")","")</f>
        <v>dd610_1_2_2_f</v>
      </c>
      <c r="W784" s="9"/>
      <c r="X784" s="817"/>
      <c r="Y784" s="1100"/>
      <c r="Z784" s="1102"/>
      <c r="AC784" t="b">
        <f>OR(AD784:AE784)</f>
        <v>0</v>
      </c>
      <c r="AD784" t="b">
        <f>T784</f>
        <v>0</v>
      </c>
      <c r="AE784" t="b">
        <f>AND(NOT(ISBLANK(W784)),LEN(X783)=0)</f>
        <v>0</v>
      </c>
      <c r="AF784" t="b">
        <f>AND(AE784,NOT(Q784))</f>
        <v>0</v>
      </c>
      <c r="AP784" t="str">
        <f>SUBSTITUTE(SUBSTITUTE(SUBSTITUTE("vch"&amp;$B784&amp;$C784&amp;$D784&amp;$E784,".","_"),"(","_"),")","")</f>
        <v>vch610_1_2_2_f</v>
      </c>
      <c r="AQ784" t="str">
        <f>IF(LEN(W784)=0,"",W784)</f>
        <v/>
      </c>
    </row>
    <row r="785" spans="1:45" x14ac:dyDescent="0.35">
      <c r="A785" s="366">
        <v>6</v>
      </c>
      <c r="B785" s="737" t="s">
        <v>719</v>
      </c>
      <c r="C785" s="731"/>
      <c r="D785" s="731"/>
      <c r="E785" s="731"/>
      <c r="F785" s="731"/>
      <c r="G785" s="366" t="str">
        <f t="shared" ca="1" si="52"/>
        <v/>
      </c>
      <c r="H785" s="366" t="s">
        <v>3971</v>
      </c>
      <c r="I785" s="30"/>
      <c r="J785" s="4"/>
      <c r="K785" s="43"/>
      <c r="L785" s="895" t="s">
        <v>726</v>
      </c>
      <c r="M785" s="911"/>
      <c r="N785" s="41"/>
      <c r="O785" s="41"/>
      <c r="X785" s="817"/>
      <c r="Y785" s="1100"/>
      <c r="Z785" s="1102"/>
    </row>
    <row r="786" spans="1:45" x14ac:dyDescent="0.35">
      <c r="A786" s="366">
        <v>6</v>
      </c>
      <c r="B786" s="737" t="s">
        <v>719</v>
      </c>
      <c r="C786" s="731"/>
      <c r="D786" s="731"/>
      <c r="E786" s="731"/>
      <c r="F786" s="731"/>
      <c r="G786" s="366" t="str">
        <f t="shared" ca="1" si="52"/>
        <v/>
      </c>
      <c r="H786" s="366" t="s">
        <v>3971</v>
      </c>
      <c r="I786" s="30"/>
      <c r="J786" s="4"/>
      <c r="K786" s="43"/>
      <c r="L786" s="895"/>
      <c r="M786" s="911"/>
      <c r="N786" s="41"/>
      <c r="O786" s="41"/>
      <c r="X786" s="817"/>
      <c r="Y786" s="1100"/>
      <c r="Z786" s="1102"/>
    </row>
    <row r="787" spans="1:45" x14ac:dyDescent="0.35">
      <c r="A787" s="366">
        <v>6</v>
      </c>
      <c r="B787" s="737" t="s">
        <v>719</v>
      </c>
      <c r="C787" s="731"/>
      <c r="D787" s="731"/>
      <c r="E787" s="731"/>
      <c r="F787" s="731"/>
      <c r="G787" s="366" t="str">
        <f t="shared" ca="1" si="52"/>
        <v/>
      </c>
      <c r="H787" s="366" t="s">
        <v>3971</v>
      </c>
      <c r="I787" s="30"/>
      <c r="J787" s="4"/>
      <c r="K787" s="43"/>
      <c r="L787" s="893" t="s">
        <v>3113</v>
      </c>
      <c r="M787" s="911"/>
      <c r="N787" s="41"/>
      <c r="O787" s="41"/>
      <c r="X787" s="817"/>
      <c r="Y787" s="1100"/>
      <c r="Z787" s="1102"/>
    </row>
    <row r="788" spans="1:45" x14ac:dyDescent="0.35">
      <c r="A788" s="366">
        <v>6</v>
      </c>
      <c r="B788" s="737" t="s">
        <v>719</v>
      </c>
      <c r="C788" s="731"/>
      <c r="D788" s="731"/>
      <c r="E788" s="731"/>
      <c r="F788" s="731"/>
      <c r="G788" s="366" t="str">
        <f t="shared" ca="1" si="52"/>
        <v/>
      </c>
      <c r="H788" s="366" t="s">
        <v>3971</v>
      </c>
      <c r="I788" s="30"/>
      <c r="J788" s="4"/>
      <c r="K788" s="43"/>
      <c r="L788" s="894"/>
      <c r="M788" s="911"/>
      <c r="N788" s="41"/>
      <c r="O788" s="41"/>
      <c r="X788" s="850"/>
      <c r="Y788" s="1119"/>
      <c r="Z788" s="1105"/>
    </row>
    <row r="789" spans="1:45" ht="18.5" x14ac:dyDescent="0.45">
      <c r="A789" s="366">
        <v>6</v>
      </c>
      <c r="B789" s="737">
        <v>611</v>
      </c>
      <c r="C789" s="731"/>
      <c r="D789" s="731"/>
      <c r="E789" s="731"/>
      <c r="F789" s="731"/>
      <c r="G789" s="366" t="s">
        <v>3973</v>
      </c>
      <c r="H789" s="366" t="s">
        <v>3970</v>
      </c>
      <c r="I789" s="529" t="s">
        <v>4867</v>
      </c>
      <c r="J789" s="521"/>
      <c r="K789" s="530"/>
      <c r="L789" s="537"/>
      <c r="M789" s="535"/>
      <c r="N789" s="550"/>
      <c r="O789" s="550"/>
      <c r="P789" s="521"/>
      <c r="Q789" s="521"/>
      <c r="R789" s="521"/>
      <c r="S789" s="521"/>
      <c r="T789" s="521"/>
      <c r="U789" s="521"/>
      <c r="V789" s="521"/>
      <c r="W789" s="521"/>
      <c r="X789" s="521"/>
      <c r="Y789" s="521"/>
      <c r="Z789" s="660"/>
    </row>
    <row r="790" spans="1:45" ht="15.75" customHeight="1" x14ac:dyDescent="0.35">
      <c r="A790" s="366">
        <v>6</v>
      </c>
      <c r="B790" s="737" t="s">
        <v>4579</v>
      </c>
      <c r="C790" s="731"/>
      <c r="D790" s="731"/>
      <c r="E790" s="731"/>
      <c r="F790" s="731"/>
      <c r="G790" s="366" t="str">
        <f>IF(N790&gt;0,"P","")</f>
        <v/>
      </c>
      <c r="H790" s="366" t="s">
        <v>3972</v>
      </c>
      <c r="I790" s="30">
        <v>611.1</v>
      </c>
      <c r="J790" s="4"/>
      <c r="K790" s="43"/>
      <c r="L790" s="838" t="s">
        <v>4187</v>
      </c>
      <c r="M790" s="818">
        <v>5</v>
      </c>
      <c r="N790" s="834">
        <f>'Ch6'!O472</f>
        <v>0</v>
      </c>
      <c r="O790" s="834">
        <f>IF(W796+W807*2&gt;=10,5,0)</f>
        <v>0</v>
      </c>
      <c r="AL790" t="str">
        <f>SUBSTITUTE(SUBSTITUTE(SUBSTITUTE("vpa"&amp;$B790&amp;$C790&amp;$D790&amp;$E790,".","_"),"(","_"),")","")</f>
        <v>vpa611_1</v>
      </c>
      <c r="AM790">
        <f>M790</f>
        <v>5</v>
      </c>
      <c r="AN790" t="str">
        <f>SUBSTITUTE(SUBSTITUTE(SUBSTITUTE("vpc"&amp;$B790&amp;$C790&amp;$D790&amp;$E790,".","_"),"(","_"),")","")</f>
        <v>vpc611_1</v>
      </c>
      <c r="AO790">
        <f>O790</f>
        <v>0</v>
      </c>
    </row>
    <row r="791" spans="1:45" x14ac:dyDescent="0.35">
      <c r="A791" s="366">
        <v>6</v>
      </c>
      <c r="B791" s="737" t="s">
        <v>4579</v>
      </c>
      <c r="C791" s="731"/>
      <c r="D791" s="731"/>
      <c r="E791" s="731"/>
      <c r="F791" s="731"/>
      <c r="G791" s="366" t="str">
        <f t="shared" ref="G791:G811" si="53">G790</f>
        <v/>
      </c>
      <c r="H791" s="366" t="s">
        <v>3972</v>
      </c>
      <c r="I791" s="30"/>
      <c r="J791" s="4"/>
      <c r="K791" s="43"/>
      <c r="L791" s="838"/>
      <c r="M791" s="818"/>
      <c r="N791" s="834"/>
      <c r="O791" s="834"/>
    </row>
    <row r="792" spans="1:45" x14ac:dyDescent="0.35">
      <c r="A792" s="366">
        <v>6</v>
      </c>
      <c r="B792" s="737" t="s">
        <v>4579</v>
      </c>
      <c r="C792" s="731"/>
      <c r="D792" s="731"/>
      <c r="E792" s="731"/>
      <c r="F792" s="731"/>
      <c r="G792" s="366" t="str">
        <f t="shared" si="53"/>
        <v/>
      </c>
      <c r="H792" s="366" t="s">
        <v>3972</v>
      </c>
      <c r="I792" s="30"/>
      <c r="J792" s="4"/>
      <c r="K792" s="43"/>
      <c r="L792" s="838"/>
      <c r="M792" s="818"/>
      <c r="N792" s="834"/>
      <c r="O792" s="834"/>
    </row>
    <row r="793" spans="1:45" x14ac:dyDescent="0.35">
      <c r="A793" s="366">
        <v>6</v>
      </c>
      <c r="B793" s="737" t="s">
        <v>4579</v>
      </c>
      <c r="C793" s="731"/>
      <c r="D793" s="731"/>
      <c r="E793" s="731"/>
      <c r="F793" s="731"/>
      <c r="G793" s="366" t="str">
        <f t="shared" si="53"/>
        <v/>
      </c>
      <c r="H793" s="366" t="s">
        <v>3972</v>
      </c>
      <c r="I793" s="30"/>
      <c r="J793" s="4"/>
      <c r="K793" s="43"/>
      <c r="L793" s="838"/>
      <c r="M793" s="818"/>
      <c r="N793" s="834"/>
      <c r="O793" s="834"/>
    </row>
    <row r="794" spans="1:45" x14ac:dyDescent="0.35">
      <c r="A794" s="366">
        <v>6</v>
      </c>
      <c r="B794" s="737" t="s">
        <v>4579</v>
      </c>
      <c r="C794" s="731"/>
      <c r="D794" s="731"/>
      <c r="E794" s="731"/>
      <c r="F794" s="731"/>
      <c r="G794" s="366" t="str">
        <f t="shared" si="53"/>
        <v/>
      </c>
      <c r="H794" s="366" t="s">
        <v>3972</v>
      </c>
      <c r="I794" s="138"/>
      <c r="J794" s="133"/>
      <c r="K794" s="101"/>
      <c r="L794" s="889"/>
      <c r="M794" s="819"/>
      <c r="N794" s="835"/>
      <c r="O794" s="835"/>
    </row>
    <row r="795" spans="1:45" ht="15" customHeight="1" x14ac:dyDescent="0.35">
      <c r="A795" s="366">
        <v>6</v>
      </c>
      <c r="B795" s="737" t="s">
        <v>4188</v>
      </c>
      <c r="C795" s="731"/>
      <c r="D795" s="731"/>
      <c r="E795" s="731"/>
      <c r="F795" s="731"/>
      <c r="G795" s="366" t="str">
        <f t="shared" si="53"/>
        <v/>
      </c>
      <c r="H795" s="366" t="s">
        <v>3972</v>
      </c>
      <c r="I795" s="30" t="s">
        <v>4188</v>
      </c>
      <c r="J795" s="4"/>
      <c r="K795" s="43"/>
      <c r="L795" s="896" t="s">
        <v>4814</v>
      </c>
      <c r="M795" s="40"/>
      <c r="N795" s="41"/>
      <c r="O795" s="41"/>
      <c r="W795" t="s">
        <v>3135</v>
      </c>
      <c r="X795" s="817"/>
      <c r="Y795" s="1100" t="str">
        <f>IF(LEN('Ch6'!X477)=0,"None",'Ch6'!X477)</f>
        <v>None</v>
      </c>
      <c r="Z795" s="1102"/>
      <c r="AR795" t="str">
        <f>SUBSTITUTE(SUBSTITUTE(SUBSTITUTE("vnt"&amp;$B795&amp;$C795&amp;$D795&amp;$E795,".","_"),"(","_"),")","")</f>
        <v>vnt611_1_1</v>
      </c>
      <c r="AS795" t="str">
        <f>IF(LEN(X795)=0,"",X795)</f>
        <v/>
      </c>
    </row>
    <row r="796" spans="1:45" x14ac:dyDescent="0.35">
      <c r="A796" s="366">
        <v>6</v>
      </c>
      <c r="B796" s="737" t="s">
        <v>4188</v>
      </c>
      <c r="C796" s="731"/>
      <c r="D796" s="731"/>
      <c r="E796" s="731"/>
      <c r="F796" s="731"/>
      <c r="G796" s="366" t="str">
        <f t="shared" si="53"/>
        <v/>
      </c>
      <c r="H796" s="366" t="s">
        <v>3972</v>
      </c>
      <c r="I796" s="30"/>
      <c r="J796" s="4"/>
      <c r="K796" s="43"/>
      <c r="L796" s="896"/>
      <c r="M796" s="40"/>
      <c r="N796" s="41"/>
      <c r="O796" s="41"/>
      <c r="P796" t="b">
        <v>0</v>
      </c>
      <c r="Q796" t="b">
        <v>1</v>
      </c>
      <c r="R796" t="b">
        <v>0</v>
      </c>
      <c r="S796" t="b">
        <v>1</v>
      </c>
      <c r="T796" t="b">
        <v>0</v>
      </c>
      <c r="W796" s="99"/>
      <c r="X796" s="817"/>
      <c r="Y796" s="1100"/>
      <c r="Z796" s="1102"/>
      <c r="AC796" t="b">
        <f>OR(AD796:AE796)</f>
        <v>0</v>
      </c>
      <c r="AD796" t="b">
        <v>0</v>
      </c>
      <c r="AE796" t="b">
        <f>AND(W796&gt;0,LEN(X795)=0)</f>
        <v>0</v>
      </c>
      <c r="AP796" t="str">
        <f>SUBSTITUTE(SUBSTITUTE(SUBSTITUTE("vch"&amp;$B796&amp;$C796&amp;$D796&amp;$E796,".","_"),"(","_"),")","")</f>
        <v>vch611_1_1</v>
      </c>
      <c r="AQ796" t="str">
        <f>IF(LEN(W796)=0,"",W796)</f>
        <v/>
      </c>
    </row>
    <row r="797" spans="1:45" x14ac:dyDescent="0.35">
      <c r="A797" s="366">
        <v>6</v>
      </c>
      <c r="B797" s="737" t="s">
        <v>4188</v>
      </c>
      <c r="C797" s="731"/>
      <c r="D797" s="731"/>
      <c r="E797" s="731"/>
      <c r="F797" s="731"/>
      <c r="G797" s="366" t="str">
        <f t="shared" si="53"/>
        <v/>
      </c>
      <c r="H797" s="366" t="s">
        <v>3972</v>
      </c>
      <c r="I797" s="30"/>
      <c r="J797" s="4"/>
      <c r="K797" s="43"/>
      <c r="L797" s="896"/>
      <c r="M797" s="40"/>
      <c r="N797" s="41"/>
      <c r="O797" s="41"/>
      <c r="X797" s="817"/>
      <c r="Y797" s="1100"/>
      <c r="Z797" s="1102"/>
    </row>
    <row r="798" spans="1:45" x14ac:dyDescent="0.35">
      <c r="A798" s="366">
        <v>6</v>
      </c>
      <c r="B798" s="737" t="s">
        <v>4188</v>
      </c>
      <c r="C798" s="731"/>
      <c r="D798" s="731"/>
      <c r="E798" s="731"/>
      <c r="F798" s="731"/>
      <c r="G798" s="366" t="str">
        <f t="shared" si="53"/>
        <v/>
      </c>
      <c r="H798" s="366" t="s">
        <v>3972</v>
      </c>
      <c r="I798" s="30"/>
      <c r="J798" s="4"/>
      <c r="K798" s="43"/>
      <c r="L798" s="896"/>
      <c r="M798" s="40"/>
      <c r="N798" s="41"/>
      <c r="O798" s="41"/>
      <c r="X798" s="817"/>
      <c r="Y798" s="1100"/>
      <c r="Z798" s="1102"/>
    </row>
    <row r="799" spans="1:45" x14ac:dyDescent="0.35">
      <c r="A799" s="366">
        <v>6</v>
      </c>
      <c r="B799" s="737" t="s">
        <v>4188</v>
      </c>
      <c r="C799" s="731"/>
      <c r="D799" s="731"/>
      <c r="E799" s="731"/>
      <c r="F799" s="731"/>
      <c r="G799" s="366" t="str">
        <f t="shared" si="53"/>
        <v/>
      </c>
      <c r="H799" s="366" t="s">
        <v>3972</v>
      </c>
      <c r="I799" s="30"/>
      <c r="J799" s="4"/>
      <c r="K799" s="43"/>
      <c r="L799" s="896"/>
      <c r="M799" s="40"/>
      <c r="N799" s="41"/>
      <c r="O799" s="41"/>
      <c r="X799" s="817"/>
      <c r="Y799" s="1100"/>
      <c r="Z799" s="1102"/>
    </row>
    <row r="800" spans="1:45" x14ac:dyDescent="0.35">
      <c r="A800" s="366">
        <v>6</v>
      </c>
      <c r="B800" s="737" t="s">
        <v>4188</v>
      </c>
      <c r="C800" s="731"/>
      <c r="D800" s="731"/>
      <c r="E800" s="731"/>
      <c r="F800" s="731"/>
      <c r="G800" s="366" t="str">
        <f t="shared" si="53"/>
        <v/>
      </c>
      <c r="H800" s="366" t="s">
        <v>3972</v>
      </c>
      <c r="I800" s="30"/>
      <c r="J800" s="4"/>
      <c r="K800" s="43"/>
      <c r="L800" s="896"/>
      <c r="M800" s="40"/>
      <c r="N800" s="41"/>
      <c r="O800" s="41"/>
      <c r="X800" s="817"/>
      <c r="Y800" s="1100"/>
      <c r="Z800" s="1102"/>
    </row>
    <row r="801" spans="1:45" x14ac:dyDescent="0.35">
      <c r="A801" s="366">
        <v>6</v>
      </c>
      <c r="B801" s="737" t="s">
        <v>4188</v>
      </c>
      <c r="C801" s="731"/>
      <c r="D801" s="731"/>
      <c r="E801" s="731"/>
      <c r="F801" s="731"/>
      <c r="G801" s="366" t="str">
        <f t="shared" si="53"/>
        <v/>
      </c>
      <c r="H801" s="366" t="s">
        <v>3972</v>
      </c>
      <c r="I801" s="30"/>
      <c r="J801" s="4"/>
      <c r="K801" s="43"/>
      <c r="L801" s="896"/>
      <c r="M801" s="40"/>
      <c r="N801" s="41"/>
      <c r="O801" s="41"/>
      <c r="X801" s="817"/>
      <c r="Y801" s="1100"/>
      <c r="Z801" s="1102"/>
    </row>
    <row r="802" spans="1:45" x14ac:dyDescent="0.35">
      <c r="A802" s="366">
        <v>6</v>
      </c>
      <c r="B802" s="737" t="s">
        <v>4188</v>
      </c>
      <c r="C802" s="731"/>
      <c r="D802" s="731"/>
      <c r="E802" s="731"/>
      <c r="F802" s="731"/>
      <c r="G802" s="366" t="str">
        <f t="shared" si="53"/>
        <v/>
      </c>
      <c r="H802" s="366" t="s">
        <v>3972</v>
      </c>
      <c r="I802" s="30"/>
      <c r="J802" s="4"/>
      <c r="K802" s="43"/>
      <c r="L802" s="896"/>
      <c r="M802" s="40"/>
      <c r="N802" s="41"/>
      <c r="O802" s="41"/>
      <c r="X802" s="817"/>
      <c r="Y802" s="1100"/>
      <c r="Z802" s="1102"/>
    </row>
    <row r="803" spans="1:45" x14ac:dyDescent="0.35">
      <c r="A803" s="366">
        <v>6</v>
      </c>
      <c r="B803" s="737" t="s">
        <v>4188</v>
      </c>
      <c r="C803" s="731"/>
      <c r="D803" s="731"/>
      <c r="E803" s="731"/>
      <c r="F803" s="731"/>
      <c r="G803" s="366" t="str">
        <f t="shared" si="53"/>
        <v/>
      </c>
      <c r="H803" s="366" t="s">
        <v>3972</v>
      </c>
      <c r="I803" s="30"/>
      <c r="J803" s="4"/>
      <c r="K803" s="43"/>
      <c r="L803" s="896"/>
      <c r="M803" s="40"/>
      <c r="N803" s="41"/>
      <c r="O803" s="41"/>
      <c r="X803" s="817"/>
      <c r="Y803" s="1100"/>
      <c r="Z803" s="1102"/>
    </row>
    <row r="804" spans="1:45" x14ac:dyDescent="0.35">
      <c r="A804" s="366">
        <v>6</v>
      </c>
      <c r="B804" s="737" t="s">
        <v>4188</v>
      </c>
      <c r="C804" s="731"/>
      <c r="D804" s="731"/>
      <c r="E804" s="731"/>
      <c r="F804" s="731"/>
      <c r="G804" s="366" t="str">
        <f t="shared" si="53"/>
        <v/>
      </c>
      <c r="H804" s="366" t="s">
        <v>3972</v>
      </c>
      <c r="I804" s="138"/>
      <c r="J804" s="133"/>
      <c r="K804" s="101"/>
      <c r="L804" s="284" t="s">
        <v>3137</v>
      </c>
      <c r="M804" s="40"/>
      <c r="N804" s="41"/>
      <c r="O804" s="41"/>
      <c r="X804" s="817"/>
      <c r="Y804" s="1100"/>
      <c r="Z804" s="1102"/>
    </row>
    <row r="805" spans="1:45" ht="15" customHeight="1" x14ac:dyDescent="0.35">
      <c r="A805" s="366">
        <v>6</v>
      </c>
      <c r="B805" s="737" t="s">
        <v>4189</v>
      </c>
      <c r="C805" s="731"/>
      <c r="D805" s="731"/>
      <c r="E805" s="731"/>
      <c r="F805" s="731"/>
      <c r="G805" s="366" t="str">
        <f t="shared" si="53"/>
        <v/>
      </c>
      <c r="H805" s="366" t="s">
        <v>3972</v>
      </c>
      <c r="I805" s="30" t="s">
        <v>4189</v>
      </c>
      <c r="J805" s="4"/>
      <c r="K805" s="43"/>
      <c r="L805" s="896" t="s">
        <v>4815</v>
      </c>
      <c r="M805" s="40"/>
      <c r="N805" s="41"/>
      <c r="O805" s="41"/>
      <c r="W805" s="760" t="s">
        <v>3136</v>
      </c>
      <c r="X805" s="817"/>
      <c r="Y805" s="1100" t="str">
        <f>IF(LEN('Ch6'!X487)=0,"None",'Ch6'!X487)</f>
        <v>None</v>
      </c>
      <c r="Z805" s="1102"/>
      <c r="AR805" t="str">
        <f>SUBSTITUTE(SUBSTITUTE(SUBSTITUTE("vnt"&amp;$B805&amp;$C805&amp;$D805&amp;$E805,".","_"),"(","_"),")","")</f>
        <v>vnt611_1_2</v>
      </c>
      <c r="AS805" t="str">
        <f>IF(LEN(X805)=0,"",X805)</f>
        <v/>
      </c>
    </row>
    <row r="806" spans="1:45" x14ac:dyDescent="0.35">
      <c r="A806" s="366">
        <v>6</v>
      </c>
      <c r="B806" s="737" t="s">
        <v>4189</v>
      </c>
      <c r="C806" s="731"/>
      <c r="D806" s="731"/>
      <c r="E806" s="731"/>
      <c r="F806" s="731"/>
      <c r="G806" s="366" t="str">
        <f t="shared" si="53"/>
        <v/>
      </c>
      <c r="H806" s="366" t="s">
        <v>3972</v>
      </c>
      <c r="I806" s="30"/>
      <c r="J806" s="4"/>
      <c r="K806" s="43"/>
      <c r="L806" s="896"/>
      <c r="M806" s="40"/>
      <c r="N806" s="41"/>
      <c r="O806" s="41"/>
      <c r="W806" s="760"/>
      <c r="X806" s="817"/>
      <c r="Y806" s="1100"/>
      <c r="Z806" s="1102"/>
    </row>
    <row r="807" spans="1:45" x14ac:dyDescent="0.35">
      <c r="A807" s="366">
        <v>6</v>
      </c>
      <c r="B807" s="737" t="s">
        <v>4189</v>
      </c>
      <c r="C807" s="731"/>
      <c r="D807" s="731"/>
      <c r="E807" s="731"/>
      <c r="F807" s="731"/>
      <c r="G807" s="366" t="str">
        <f t="shared" si="53"/>
        <v/>
      </c>
      <c r="H807" s="366" t="s">
        <v>3972</v>
      </c>
      <c r="I807" s="30"/>
      <c r="J807" s="4"/>
      <c r="K807" s="43"/>
      <c r="L807" s="896"/>
      <c r="M807" s="40"/>
      <c r="N807" s="41"/>
      <c r="O807" s="41"/>
      <c r="P807" t="b">
        <v>0</v>
      </c>
      <c r="Q807" t="b">
        <v>1</v>
      </c>
      <c r="R807" t="b">
        <v>0</v>
      </c>
      <c r="S807" t="b">
        <v>1</v>
      </c>
      <c r="T807" t="b">
        <v>0</v>
      </c>
      <c r="W807" s="99"/>
      <c r="X807" s="817"/>
      <c r="Y807" s="1100"/>
      <c r="Z807" s="1102"/>
      <c r="AC807" t="b">
        <f>OR(AD807:AE807)</f>
        <v>0</v>
      </c>
      <c r="AD807" t="b">
        <v>0</v>
      </c>
      <c r="AE807" t="b">
        <f>AND(W807&gt;0,LEN(X805)=0)</f>
        <v>0</v>
      </c>
      <c r="AP807" t="str">
        <f>SUBSTITUTE(SUBSTITUTE(SUBSTITUTE("vch"&amp;$B807&amp;$C807&amp;$D807&amp;$E807,".","_"),"(","_"),")","")</f>
        <v>vch611_1_2</v>
      </c>
      <c r="AQ807" t="str">
        <f>IF(LEN(W807)=0,"",W807)</f>
        <v/>
      </c>
    </row>
    <row r="808" spans="1:45" x14ac:dyDescent="0.35">
      <c r="A808" s="366">
        <v>6</v>
      </c>
      <c r="B808" s="737" t="s">
        <v>4189</v>
      </c>
      <c r="C808" s="731"/>
      <c r="D808" s="731"/>
      <c r="E808" s="731"/>
      <c r="F808" s="731"/>
      <c r="G808" s="366" t="str">
        <f t="shared" si="53"/>
        <v/>
      </c>
      <c r="H808" s="366" t="s">
        <v>3972</v>
      </c>
      <c r="I808" s="30"/>
      <c r="J808" s="4"/>
      <c r="K808" s="43"/>
      <c r="L808" s="896"/>
      <c r="M808" s="40"/>
      <c r="N808" s="41"/>
      <c r="O808" s="41"/>
      <c r="X808" s="817"/>
      <c r="Y808" s="1100"/>
      <c r="Z808" s="1102"/>
    </row>
    <row r="809" spans="1:45" x14ac:dyDescent="0.35">
      <c r="A809" s="366">
        <v>6</v>
      </c>
      <c r="B809" s="737" t="s">
        <v>4189</v>
      </c>
      <c r="C809" s="731"/>
      <c r="D809" s="731"/>
      <c r="E809" s="731"/>
      <c r="F809" s="731"/>
      <c r="G809" s="366" t="str">
        <f t="shared" si="53"/>
        <v/>
      </c>
      <c r="H809" s="366" t="s">
        <v>3972</v>
      </c>
      <c r="I809" s="30"/>
      <c r="J809" s="4"/>
      <c r="K809" s="43"/>
      <c r="L809" s="896"/>
      <c r="M809" s="40"/>
      <c r="N809" s="41"/>
      <c r="O809" s="41"/>
      <c r="X809" s="817"/>
      <c r="Y809" s="1100"/>
      <c r="Z809" s="1102"/>
    </row>
    <row r="810" spans="1:45" x14ac:dyDescent="0.35">
      <c r="A810" s="366">
        <v>6</v>
      </c>
      <c r="B810" s="737" t="s">
        <v>4189</v>
      </c>
      <c r="C810" s="731"/>
      <c r="D810" s="731"/>
      <c r="E810" s="731"/>
      <c r="F810" s="731"/>
      <c r="G810" s="366" t="str">
        <f t="shared" si="53"/>
        <v/>
      </c>
      <c r="H810" s="366" t="s">
        <v>3972</v>
      </c>
      <c r="I810" s="30"/>
      <c r="J810" s="4"/>
      <c r="K810" s="43"/>
      <c r="L810" s="896"/>
      <c r="M810" s="40"/>
      <c r="N810" s="41"/>
      <c r="O810" s="41"/>
      <c r="X810" s="817"/>
      <c r="Y810" s="1100"/>
      <c r="Z810" s="1102"/>
    </row>
    <row r="811" spans="1:45" ht="15" thickBot="1" x14ac:dyDescent="0.4">
      <c r="A811" s="366">
        <v>6</v>
      </c>
      <c r="B811" s="737" t="s">
        <v>4189</v>
      </c>
      <c r="C811" s="732"/>
      <c r="D811" s="732"/>
      <c r="E811" s="732"/>
      <c r="F811" s="732"/>
      <c r="G811" s="366" t="str">
        <f t="shared" si="53"/>
        <v/>
      </c>
      <c r="H811" s="366" t="s">
        <v>3972</v>
      </c>
      <c r="I811" s="55"/>
      <c r="J811" s="55"/>
      <c r="K811" s="55"/>
      <c r="L811" s="180" t="s">
        <v>3137</v>
      </c>
      <c r="M811" s="313"/>
      <c r="N811" s="72"/>
      <c r="O811" s="72"/>
      <c r="P811" s="55"/>
      <c r="Q811" s="55"/>
      <c r="R811" s="55"/>
      <c r="S811" s="55"/>
      <c r="T811" s="55"/>
      <c r="U811" s="55"/>
      <c r="V811" s="55"/>
      <c r="W811" s="55"/>
      <c r="X811" s="829"/>
      <c r="Y811" s="1101"/>
      <c r="Z811" s="1104"/>
    </row>
    <row r="812" spans="1:45" ht="19" thickTop="1" x14ac:dyDescent="0.45">
      <c r="A812" s="366">
        <v>6</v>
      </c>
      <c r="B812" s="737" t="s">
        <v>4185</v>
      </c>
      <c r="C812" s="731"/>
      <c r="D812" s="731"/>
      <c r="E812" s="731"/>
      <c r="F812" s="731"/>
      <c r="G812" s="732" t="s">
        <v>3973</v>
      </c>
      <c r="H812" s="741" t="s">
        <v>3970</v>
      </c>
      <c r="I812" s="10" t="s">
        <v>4183</v>
      </c>
      <c r="J812" s="15"/>
      <c r="K812" s="42"/>
      <c r="L812" s="151"/>
      <c r="M812" s="243"/>
      <c r="N812" s="551"/>
      <c r="O812" s="544"/>
      <c r="P812" s="15"/>
      <c r="Q812" s="15"/>
      <c r="R812" s="15"/>
      <c r="S812" s="15"/>
      <c r="T812" s="15"/>
      <c r="U812" s="15"/>
      <c r="V812" s="15"/>
      <c r="W812" s="15"/>
      <c r="X812" s="15"/>
      <c r="Y812" s="15"/>
      <c r="Z812" s="651"/>
    </row>
    <row r="813" spans="1:45" ht="15" customHeight="1" x14ac:dyDescent="0.35">
      <c r="A813" s="366">
        <v>6</v>
      </c>
      <c r="B813" s="737" t="s">
        <v>4186</v>
      </c>
      <c r="C813" s="731"/>
      <c r="D813" s="731"/>
      <c r="E813" s="731"/>
      <c r="F813" s="731"/>
      <c r="G813" s="366" t="str">
        <f ca="1">IF(N813&gt;0,"P","")</f>
        <v/>
      </c>
      <c r="H813" s="366" t="s">
        <v>3970</v>
      </c>
      <c r="I813" s="30">
        <v>612.1</v>
      </c>
      <c r="J813" s="4"/>
      <c r="K813" s="43"/>
      <c r="L813" s="838" t="s">
        <v>4184</v>
      </c>
      <c r="M813" s="818" t="s">
        <v>699</v>
      </c>
      <c r="N813" s="834">
        <f ca="1">'Ch6'!O495</f>
        <v>0</v>
      </c>
      <c r="O813" s="834">
        <f ca="1">IFERROR(MATCH(W813,INDIRECT(U813),0),0)</f>
        <v>0</v>
      </c>
      <c r="P813" t="b">
        <v>1</v>
      </c>
      <c r="Q813" t="b">
        <v>1</v>
      </c>
      <c r="R813" t="b">
        <v>0</v>
      </c>
      <c r="S813" t="b">
        <v>1</v>
      </c>
      <c r="T813" t="b">
        <v>0</v>
      </c>
      <c r="U813" t="str">
        <f>SUBSTITUTE(SUBSTITUTE(SUBSTITUTE("dd"&amp;B813&amp;C813&amp;D813&amp;E813&amp;F813,".","_"),"(","_"),")","")</f>
        <v>dd612_1</v>
      </c>
      <c r="W813" s="9"/>
      <c r="X813" s="817"/>
      <c r="Y813" s="1100" t="str">
        <f>IF(LEN('Ch6'!X495)=0,"None",'Ch6'!X495)</f>
        <v>None</v>
      </c>
      <c r="Z813" s="1102"/>
      <c r="AC813" t="b">
        <f>OR(AD813:AE813)</f>
        <v>0</v>
      </c>
      <c r="AD813" t="b">
        <v>0</v>
      </c>
      <c r="AE813" t="b">
        <f>AND(NOT(ISBLANK(W813)),LEN(X813)=0)</f>
        <v>0</v>
      </c>
      <c r="AL813" t="str">
        <f>SUBSTITUTE(SUBSTITUTE(SUBSTITUTE("vpa"&amp;$B813&amp;$C813&amp;$D813&amp;$E813,".","_"),"(","_"),")","")</f>
        <v>vpa612_1</v>
      </c>
      <c r="AM813" t="str">
        <f>M813</f>
        <v>10 Max</v>
      </c>
      <c r="AN813" t="str">
        <f>SUBSTITUTE(SUBSTITUTE(SUBSTITUTE("vpc"&amp;$B813&amp;$C813&amp;$D813&amp;$E813,".","_"),"(","_"),")","")</f>
        <v>vpc612_1</v>
      </c>
      <c r="AO813">
        <f ca="1">O813</f>
        <v>0</v>
      </c>
      <c r="AP813" t="str">
        <f>SUBSTITUTE(SUBSTITUTE(SUBSTITUTE("vch"&amp;$B813&amp;$C813&amp;$D813&amp;$E813,".","_"),"(","_"),")","")</f>
        <v>vch612_1</v>
      </c>
      <c r="AQ813" t="str">
        <f>IF(LEN(W813)=0,"",W813)</f>
        <v/>
      </c>
      <c r="AR813" t="str">
        <f>SUBSTITUTE(SUBSTITUTE(SUBSTITUTE("vnt"&amp;$B813&amp;$C813&amp;$D813&amp;$E813,".","_"),"(","_"),")","")</f>
        <v>vnt612_1</v>
      </c>
      <c r="AS813" t="str">
        <f>IF(LEN(X813)=0,"",X813)</f>
        <v/>
      </c>
    </row>
    <row r="814" spans="1:45" x14ac:dyDescent="0.35">
      <c r="A814" s="366">
        <v>6</v>
      </c>
      <c r="B814" s="737" t="s">
        <v>4186</v>
      </c>
      <c r="C814" s="731"/>
      <c r="D814" s="731"/>
      <c r="E814" s="731"/>
      <c r="F814" s="731"/>
      <c r="G814" s="366" t="str">
        <f t="shared" ref="G814:G820" ca="1" si="54">G813</f>
        <v/>
      </c>
      <c r="H814" s="366" t="s">
        <v>3970</v>
      </c>
      <c r="I814" s="30"/>
      <c r="J814" s="4"/>
      <c r="K814" s="43"/>
      <c r="L814" s="838"/>
      <c r="M814" s="818"/>
      <c r="N814" s="834"/>
      <c r="O814" s="834"/>
      <c r="X814" s="817"/>
      <c r="Y814" s="1100"/>
      <c r="Z814" s="1102"/>
    </row>
    <row r="815" spans="1:45" x14ac:dyDescent="0.35">
      <c r="A815" s="366">
        <v>6</v>
      </c>
      <c r="B815" s="737" t="s">
        <v>4186</v>
      </c>
      <c r="C815" s="731"/>
      <c r="D815" s="731"/>
      <c r="E815" s="731"/>
      <c r="F815" s="731"/>
      <c r="G815" s="366" t="str">
        <f t="shared" ca="1" si="54"/>
        <v/>
      </c>
      <c r="H815" s="366" t="s">
        <v>3970</v>
      </c>
      <c r="I815" s="30"/>
      <c r="J815" s="4"/>
      <c r="K815" s="43"/>
      <c r="L815" s="838"/>
      <c r="M815" s="818"/>
      <c r="N815" s="834"/>
      <c r="O815" s="834"/>
      <c r="X815" s="817"/>
      <c r="Y815" s="1100"/>
      <c r="Z815" s="1102"/>
    </row>
    <row r="816" spans="1:45" x14ac:dyDescent="0.35">
      <c r="A816" s="366">
        <v>6</v>
      </c>
      <c r="B816" s="737" t="s">
        <v>4186</v>
      </c>
      <c r="C816" s="731"/>
      <c r="D816" s="731"/>
      <c r="E816" s="731"/>
      <c r="F816" s="731"/>
      <c r="G816" s="366" t="str">
        <f t="shared" ca="1" si="54"/>
        <v/>
      </c>
      <c r="H816" s="366" t="s">
        <v>3970</v>
      </c>
      <c r="I816" s="30"/>
      <c r="J816" s="4"/>
      <c r="K816" s="43"/>
      <c r="L816" s="838"/>
      <c r="M816" s="818"/>
      <c r="N816" s="834"/>
      <c r="O816" s="834"/>
      <c r="X816" s="817"/>
      <c r="Y816" s="1100"/>
      <c r="Z816" s="1102"/>
    </row>
    <row r="817" spans="1:45" x14ac:dyDescent="0.35">
      <c r="A817" s="366">
        <v>6</v>
      </c>
      <c r="B817" s="737" t="s">
        <v>4186</v>
      </c>
      <c r="C817" s="731"/>
      <c r="D817" s="731"/>
      <c r="E817" s="731"/>
      <c r="F817" s="731"/>
      <c r="G817" s="366" t="str">
        <f t="shared" ca="1" si="54"/>
        <v/>
      </c>
      <c r="H817" s="366" t="s">
        <v>3970</v>
      </c>
      <c r="I817" s="30"/>
      <c r="J817" s="4"/>
      <c r="K817" s="43"/>
      <c r="L817" s="838"/>
      <c r="M817" s="818"/>
      <c r="N817" s="834"/>
      <c r="O817" s="834"/>
      <c r="X817" s="817"/>
      <c r="Y817" s="1100"/>
      <c r="Z817" s="1102"/>
    </row>
    <row r="818" spans="1:45" x14ac:dyDescent="0.35">
      <c r="A818" s="366">
        <v>6</v>
      </c>
      <c r="B818" s="737" t="s">
        <v>4186</v>
      </c>
      <c r="C818" s="731"/>
      <c r="D818" s="731"/>
      <c r="E818" s="731"/>
      <c r="F818" s="731"/>
      <c r="G818" s="366" t="str">
        <f t="shared" ca="1" si="54"/>
        <v/>
      </c>
      <c r="H818" s="366" t="s">
        <v>3970</v>
      </c>
      <c r="I818" s="30"/>
      <c r="J818" s="4"/>
      <c r="K818" s="43"/>
      <c r="L818" s="158" t="s">
        <v>727</v>
      </c>
      <c r="M818" s="818"/>
      <c r="N818" s="834"/>
      <c r="O818" s="834"/>
      <c r="X818" s="817"/>
      <c r="Y818" s="1100"/>
      <c r="Z818" s="1102"/>
    </row>
    <row r="819" spans="1:45" ht="15" customHeight="1" x14ac:dyDescent="0.35">
      <c r="A819" s="366">
        <v>6</v>
      </c>
      <c r="B819" s="737" t="s">
        <v>4186</v>
      </c>
      <c r="C819" s="731"/>
      <c r="D819" s="731"/>
      <c r="E819" s="731"/>
      <c r="F819" s="731"/>
      <c r="G819" s="366" t="str">
        <f t="shared" ca="1" si="54"/>
        <v/>
      </c>
      <c r="H819" s="366" t="s">
        <v>3970</v>
      </c>
      <c r="I819" s="30"/>
      <c r="J819" s="4"/>
      <c r="K819" s="43"/>
      <c r="L819" s="855" t="s">
        <v>4855</v>
      </c>
      <c r="M819" s="818"/>
      <c r="N819" s="834"/>
      <c r="O819" s="834"/>
      <c r="X819" s="817"/>
      <c r="Y819" s="1100"/>
      <c r="Z819" s="1102"/>
    </row>
    <row r="820" spans="1:45" ht="15" thickBot="1" x14ac:dyDescent="0.4">
      <c r="A820" s="366">
        <v>6</v>
      </c>
      <c r="B820" s="737" t="s">
        <v>4186</v>
      </c>
      <c r="C820" s="731"/>
      <c r="D820" s="731"/>
      <c r="E820" s="731"/>
      <c r="F820" s="731"/>
      <c r="G820" s="366" t="str">
        <f t="shared" ca="1" si="54"/>
        <v/>
      </c>
      <c r="H820" s="366" t="s">
        <v>3970</v>
      </c>
      <c r="I820" s="30"/>
      <c r="J820" s="4"/>
      <c r="K820" s="43"/>
      <c r="L820" s="893"/>
      <c r="M820" s="818"/>
      <c r="N820" s="863"/>
      <c r="O820" s="834"/>
      <c r="X820" s="850"/>
      <c r="Y820" s="1101"/>
      <c r="Z820" s="1104"/>
    </row>
    <row r="821" spans="1:45" ht="15.75" customHeight="1" thickTop="1" x14ac:dyDescent="0.35">
      <c r="A821" s="366">
        <v>6</v>
      </c>
      <c r="B821" s="737" t="s">
        <v>4191</v>
      </c>
      <c r="C821" s="731"/>
      <c r="D821" s="731"/>
      <c r="E821" s="731"/>
      <c r="F821" s="731"/>
      <c r="G821" s="366" t="str">
        <f>IF(N821&gt;0,"P","")</f>
        <v/>
      </c>
      <c r="H821" s="366" t="s">
        <v>3970</v>
      </c>
      <c r="I821" s="106">
        <v>612.20000000000005</v>
      </c>
      <c r="J821" s="107"/>
      <c r="K821" s="108"/>
      <c r="L821" s="837" t="s">
        <v>4193</v>
      </c>
      <c r="M821" s="830" t="s">
        <v>509</v>
      </c>
      <c r="N821" s="959">
        <f>'Ch6'!O503</f>
        <v>0</v>
      </c>
      <c r="O821" s="959">
        <f>MIN(9,M824*S824*W824+M825*S825*W825+M827*S827*W827+M829*S829*W829+M831*S831*W831+M833*S833*W833+M835*S835*W835)</f>
        <v>0</v>
      </c>
      <c r="P821" s="59"/>
      <c r="Q821" s="59"/>
      <c r="R821" s="59"/>
      <c r="S821" s="59"/>
      <c r="T821" s="59"/>
      <c r="U821" s="59"/>
      <c r="V821" s="59"/>
      <c r="W821" s="59"/>
      <c r="X821" s="59"/>
      <c r="AL821" t="str">
        <f>SUBSTITUTE(SUBSTITUTE(SUBSTITUTE("vpa"&amp;$B821&amp;$C821&amp;$D821&amp;$E821,".","_"),"(","_"),")","")</f>
        <v>vpa612_2</v>
      </c>
      <c r="AM821" t="str">
        <f>M821</f>
        <v>9 Max</v>
      </c>
      <c r="AN821" t="str">
        <f>SUBSTITUTE(SUBSTITUTE(SUBSTITUTE("vpc"&amp;$B821&amp;$C821&amp;$D821&amp;$E821,".","_"),"(","_"),")","")</f>
        <v>vpc612_2</v>
      </c>
      <c r="AO821">
        <f>O821</f>
        <v>0</v>
      </c>
    </row>
    <row r="822" spans="1:45" x14ac:dyDescent="0.35">
      <c r="A822" s="366">
        <v>6</v>
      </c>
      <c r="B822" s="737" t="s">
        <v>4191</v>
      </c>
      <c r="C822" s="731"/>
      <c r="D822" s="731"/>
      <c r="E822" s="731"/>
      <c r="F822" s="731"/>
      <c r="G822" s="366" t="str">
        <f>G821</f>
        <v/>
      </c>
      <c r="H822" s="366" t="s">
        <v>3970</v>
      </c>
      <c r="I822" s="30"/>
      <c r="J822" s="4"/>
      <c r="K822" s="43"/>
      <c r="L822" s="838"/>
      <c r="M822" s="818"/>
      <c r="N822" s="834"/>
      <c r="O822" s="834"/>
    </row>
    <row r="823" spans="1:45" x14ac:dyDescent="0.35">
      <c r="A823" s="366">
        <v>6</v>
      </c>
      <c r="B823" s="737" t="s">
        <v>4191</v>
      </c>
      <c r="C823" s="731"/>
      <c r="D823" s="731"/>
      <c r="E823" s="731"/>
      <c r="F823" s="731"/>
      <c r="G823" s="366" t="str">
        <f>G822</f>
        <v/>
      </c>
      <c r="H823" s="366" t="s">
        <v>3970</v>
      </c>
      <c r="I823" s="30"/>
      <c r="J823" s="4"/>
      <c r="K823" s="43"/>
      <c r="L823" s="838"/>
      <c r="M823" s="818"/>
      <c r="N823" s="834"/>
      <c r="O823" s="834"/>
    </row>
    <row r="824" spans="1:45" x14ac:dyDescent="0.35">
      <c r="A824" s="366">
        <v>6</v>
      </c>
      <c r="B824" s="737" t="s">
        <v>4191</v>
      </c>
      <c r="C824" s="731" t="s">
        <v>256</v>
      </c>
      <c r="D824" s="731"/>
      <c r="E824" s="731"/>
      <c r="F824" s="731"/>
      <c r="G824" s="366" t="str">
        <f>G823</f>
        <v/>
      </c>
      <c r="H824" s="366" t="s">
        <v>3970</v>
      </c>
      <c r="I824" s="30"/>
      <c r="J824" s="129" t="s">
        <v>256</v>
      </c>
      <c r="K824" s="101"/>
      <c r="L824" s="477" t="s">
        <v>4194</v>
      </c>
      <c r="M824" s="268">
        <v>3</v>
      </c>
      <c r="N824" s="41"/>
      <c r="O824" s="41"/>
      <c r="P824" t="b">
        <v>1</v>
      </c>
      <c r="Q824" t="b">
        <v>1</v>
      </c>
      <c r="R824" t="b">
        <v>0</v>
      </c>
      <c r="S824" t="b">
        <v>1</v>
      </c>
      <c r="T824" t="b">
        <v>0</v>
      </c>
      <c r="W824" s="17"/>
      <c r="X824" s="36"/>
      <c r="Y824" s="396" t="str">
        <f>IF(LEN('Ch6'!X506)=0,"None",'Ch6'!X506)</f>
        <v>None</v>
      </c>
      <c r="Z824" s="652"/>
      <c r="AL824" t="str">
        <f>SUBSTITUTE(SUBSTITUTE(SUBSTITUTE("vpa"&amp;$B824&amp;$C824&amp;$D824&amp;$E824,".","_"),"(","_"),")","")</f>
        <v>vpa612_2_1</v>
      </c>
      <c r="AM824">
        <f t="shared" ref="AM824:AM835" si="55">M824</f>
        <v>3</v>
      </c>
      <c r="AP824" t="str">
        <f>SUBSTITUTE(SUBSTITUTE(SUBSTITUTE("vch"&amp;$B824&amp;$C824&amp;$D824&amp;$E824,".","_"),"(","_"),")","")</f>
        <v>vch612_2_1</v>
      </c>
      <c r="AQ824" t="str">
        <f>IF(LEN(W824)=0,"",W824)</f>
        <v/>
      </c>
      <c r="AR824" t="str">
        <f>SUBSTITUTE(SUBSTITUTE(SUBSTITUTE("vnt"&amp;$B824&amp;$C824&amp;$D824&amp;$E824,".","_"),"(","_"),")","")</f>
        <v>vnt612_2_1</v>
      </c>
      <c r="AS824" t="str">
        <f>IF(LEN(X824)=0,"",X824)</f>
        <v/>
      </c>
    </row>
    <row r="825" spans="1:45" x14ac:dyDescent="0.35">
      <c r="A825" s="366">
        <v>6</v>
      </c>
      <c r="B825" s="737" t="s">
        <v>4191</v>
      </c>
      <c r="C825" s="731" t="s">
        <v>258</v>
      </c>
      <c r="D825" s="731"/>
      <c r="E825" s="731"/>
      <c r="F825" s="731"/>
      <c r="G825" s="366" t="str">
        <f>G824</f>
        <v/>
      </c>
      <c r="H825" s="366" t="s">
        <v>3970</v>
      </c>
      <c r="I825" s="30"/>
      <c r="J825" s="132" t="s">
        <v>258</v>
      </c>
      <c r="K825" s="119"/>
      <c r="L825" s="828" t="s">
        <v>4195</v>
      </c>
      <c r="M825" s="822">
        <v>3</v>
      </c>
      <c r="N825" s="41"/>
      <c r="O825" s="41"/>
      <c r="P825" t="b">
        <v>1</v>
      </c>
      <c r="Q825" t="b">
        <v>1</v>
      </c>
      <c r="R825" t="b">
        <v>0</v>
      </c>
      <c r="S825" t="b">
        <v>1</v>
      </c>
      <c r="T825" t="b">
        <v>0</v>
      </c>
      <c r="W825" s="17"/>
      <c r="X825" s="817"/>
      <c r="Y825" s="1119" t="str">
        <f>IF(LEN('Ch6'!X507)=0,"None",'Ch6'!X507)</f>
        <v>None</v>
      </c>
      <c r="Z825" s="1105"/>
      <c r="AL825" t="str">
        <f>SUBSTITUTE(SUBSTITUTE(SUBSTITUTE("vpa"&amp;$B825&amp;$C825&amp;$D825&amp;$E825,".","_"),"(","_"),")","")</f>
        <v>vpa612_2_2</v>
      </c>
      <c r="AM825">
        <f t="shared" si="55"/>
        <v>3</v>
      </c>
      <c r="AP825" t="str">
        <f>SUBSTITUTE(SUBSTITUTE(SUBSTITUTE("vch"&amp;$B825&amp;$C825&amp;$D825&amp;$E825,".","_"),"(","_"),")","")</f>
        <v>vch612_2_2</v>
      </c>
      <c r="AQ825" t="str">
        <f>IF(LEN(W825)=0,"",W825)</f>
        <v/>
      </c>
      <c r="AR825" t="str">
        <f>SUBSTITUTE(SUBSTITUTE(SUBSTITUTE("vnt"&amp;$B825&amp;$C825&amp;$D825&amp;$E825,".","_"),"(","_"),")","")</f>
        <v>vnt612_2_2</v>
      </c>
      <c r="AS825" t="str">
        <f>IF(LEN(X825)=0,"",X825)</f>
        <v/>
      </c>
    </row>
    <row r="826" spans="1:45" x14ac:dyDescent="0.35">
      <c r="A826" s="366">
        <v>6</v>
      </c>
      <c r="B826" s="737" t="s">
        <v>4191</v>
      </c>
      <c r="C826" s="731" t="s">
        <v>258</v>
      </c>
      <c r="E826" s="731"/>
      <c r="G826" s="366" t="str">
        <f t="shared" ref="G826:G835" si="56">G825</f>
        <v/>
      </c>
      <c r="H826" s="366" t="s">
        <v>3970</v>
      </c>
      <c r="J826" s="104"/>
      <c r="K826" s="104"/>
      <c r="L826" s="842"/>
      <c r="M826" s="819"/>
      <c r="X826" s="817"/>
      <c r="Y826" s="1117"/>
      <c r="Z826" s="1103"/>
    </row>
    <row r="827" spans="1:45" x14ac:dyDescent="0.35">
      <c r="A827" s="366">
        <v>6</v>
      </c>
      <c r="B827" s="737" t="s">
        <v>4191</v>
      </c>
      <c r="C827" s="731" t="s">
        <v>260</v>
      </c>
      <c r="D827" s="731"/>
      <c r="E827" s="731"/>
      <c r="F827" s="731"/>
      <c r="G827" s="366" t="str">
        <f t="shared" si="56"/>
        <v/>
      </c>
      <c r="H827" s="366" t="s">
        <v>3970</v>
      </c>
      <c r="I827" s="30"/>
      <c r="J827" s="132" t="s">
        <v>260</v>
      </c>
      <c r="K827" s="119"/>
      <c r="L827" s="828" t="s">
        <v>4196</v>
      </c>
      <c r="M827" s="822">
        <v>3</v>
      </c>
      <c r="N827" s="41"/>
      <c r="O827" s="41"/>
      <c r="P827" t="b">
        <v>1</v>
      </c>
      <c r="Q827" t="b">
        <v>1</v>
      </c>
      <c r="R827" t="b">
        <v>0</v>
      </c>
      <c r="S827" t="b">
        <v>1</v>
      </c>
      <c r="T827" t="b">
        <v>0</v>
      </c>
      <c r="W827" s="17"/>
      <c r="X827" s="817"/>
      <c r="Y827" s="1119" t="str">
        <f>IF(LEN('Ch6'!X509)=0,"None",'Ch6'!X509)</f>
        <v>None</v>
      </c>
      <c r="Z827" s="1105"/>
      <c r="AL827" t="str">
        <f>SUBSTITUTE(SUBSTITUTE(SUBSTITUTE("vpa"&amp;$B827&amp;$C827&amp;$D827&amp;$E827,".","_"),"(","_"),")","")</f>
        <v>vpa612_2_3</v>
      </c>
      <c r="AM827">
        <f t="shared" si="55"/>
        <v>3</v>
      </c>
      <c r="AP827" t="str">
        <f>SUBSTITUTE(SUBSTITUTE(SUBSTITUTE("vch"&amp;$B827&amp;$C827&amp;$D827&amp;$E827,".","_"),"(","_"),")","")</f>
        <v>vch612_2_3</v>
      </c>
      <c r="AQ827" t="str">
        <f>IF(LEN(W827)=0,"",W827)</f>
        <v/>
      </c>
      <c r="AR827" t="str">
        <f>SUBSTITUTE(SUBSTITUTE(SUBSTITUTE("vnt"&amp;$B827&amp;$C827&amp;$D827&amp;$E827,".","_"),"(","_"),")","")</f>
        <v>vnt612_2_3</v>
      </c>
      <c r="AS827" t="str">
        <f>IF(LEN(X827)=0,"",X827)</f>
        <v/>
      </c>
    </row>
    <row r="828" spans="1:45" x14ac:dyDescent="0.35">
      <c r="A828" s="366">
        <v>6</v>
      </c>
      <c r="B828" s="737" t="s">
        <v>4191</v>
      </c>
      <c r="C828" s="731" t="s">
        <v>260</v>
      </c>
      <c r="E828" s="731"/>
      <c r="G828" s="366" t="str">
        <f t="shared" si="56"/>
        <v/>
      </c>
      <c r="H828" s="366" t="s">
        <v>3970</v>
      </c>
      <c r="J828" s="104"/>
      <c r="K828" s="104"/>
      <c r="L828" s="842"/>
      <c r="M828" s="819"/>
      <c r="X828" s="817"/>
      <c r="Y828" s="1117"/>
      <c r="Z828" s="1103"/>
    </row>
    <row r="829" spans="1:45" x14ac:dyDescent="0.35">
      <c r="A829" s="366">
        <v>6</v>
      </c>
      <c r="B829" s="737" t="s">
        <v>4191</v>
      </c>
      <c r="C829" s="731" t="s">
        <v>269</v>
      </c>
      <c r="D829" s="731"/>
      <c r="E829" s="731"/>
      <c r="F829" s="731"/>
      <c r="G829" s="366" t="str">
        <f t="shared" si="56"/>
        <v/>
      </c>
      <c r="H829" s="366" t="s">
        <v>3970</v>
      </c>
      <c r="I829" s="30"/>
      <c r="J829" s="132" t="s">
        <v>269</v>
      </c>
      <c r="K829" s="119"/>
      <c r="L829" s="828" t="s">
        <v>4197</v>
      </c>
      <c r="M829" s="822">
        <v>3</v>
      </c>
      <c r="N829" s="41"/>
      <c r="O829" s="41"/>
      <c r="P829" t="b">
        <v>1</v>
      </c>
      <c r="Q829" t="b">
        <v>1</v>
      </c>
      <c r="R829" t="b">
        <v>0</v>
      </c>
      <c r="S829" t="b">
        <v>1</v>
      </c>
      <c r="T829" t="b">
        <v>0</v>
      </c>
      <c r="W829" s="17"/>
      <c r="X829" s="817"/>
      <c r="Y829" s="1119" t="str">
        <f>IF(LEN('Ch6'!X511)=0,"None",'Ch6'!X511)</f>
        <v>None</v>
      </c>
      <c r="Z829" s="1105"/>
      <c r="AL829" t="str">
        <f>SUBSTITUTE(SUBSTITUTE(SUBSTITUTE("vpa"&amp;$B829&amp;$C829&amp;$D829&amp;$E829,".","_"),"(","_"),")","")</f>
        <v>vpa612_2_4</v>
      </c>
      <c r="AM829">
        <f t="shared" si="55"/>
        <v>3</v>
      </c>
      <c r="AP829" t="str">
        <f>SUBSTITUTE(SUBSTITUTE(SUBSTITUTE("vch"&amp;$B829&amp;$C829&amp;$D829&amp;$E829,".","_"),"(","_"),")","")</f>
        <v>vch612_2_4</v>
      </c>
      <c r="AQ829" t="str">
        <f>IF(LEN(W829)=0,"",W829)</f>
        <v/>
      </c>
      <c r="AR829" t="str">
        <f>SUBSTITUTE(SUBSTITUTE(SUBSTITUTE("vnt"&amp;$B829&amp;$C829&amp;$D829&amp;$E829,".","_"),"(","_"),")","")</f>
        <v>vnt612_2_4</v>
      </c>
      <c r="AS829" t="str">
        <f>IF(LEN(X829)=0,"",X829)</f>
        <v/>
      </c>
    </row>
    <row r="830" spans="1:45" x14ac:dyDescent="0.35">
      <c r="A830" s="366">
        <v>6</v>
      </c>
      <c r="B830" s="737" t="s">
        <v>4191</v>
      </c>
      <c r="C830" s="731" t="s">
        <v>269</v>
      </c>
      <c r="E830" s="731"/>
      <c r="G830" s="366" t="str">
        <f t="shared" si="56"/>
        <v/>
      </c>
      <c r="H830" s="366" t="s">
        <v>3970</v>
      </c>
      <c r="J830" s="104"/>
      <c r="K830" s="104"/>
      <c r="L830" s="842"/>
      <c r="M830" s="819"/>
      <c r="X830" s="817"/>
      <c r="Y830" s="1117"/>
      <c r="Z830" s="1103"/>
    </row>
    <row r="831" spans="1:45" x14ac:dyDescent="0.35">
      <c r="A831" s="366">
        <v>6</v>
      </c>
      <c r="B831" s="737" t="s">
        <v>4191</v>
      </c>
      <c r="C831" s="731" t="s">
        <v>275</v>
      </c>
      <c r="D831" s="731"/>
      <c r="E831" s="731"/>
      <c r="F831" s="731"/>
      <c r="G831" s="366" t="str">
        <f t="shared" si="56"/>
        <v/>
      </c>
      <c r="H831" s="366" t="s">
        <v>3970</v>
      </c>
      <c r="I831" s="30"/>
      <c r="J831" s="132" t="s">
        <v>275</v>
      </c>
      <c r="K831" s="119"/>
      <c r="L831" s="828" t="s">
        <v>4198</v>
      </c>
      <c r="M831" s="822">
        <v>3</v>
      </c>
      <c r="N831" s="41"/>
      <c r="O831" s="41"/>
      <c r="P831" t="b">
        <v>1</v>
      </c>
      <c r="Q831" t="b">
        <v>1</v>
      </c>
      <c r="R831" t="b">
        <v>0</v>
      </c>
      <c r="S831" t="b">
        <v>1</v>
      </c>
      <c r="T831" t="b">
        <v>0</v>
      </c>
      <c r="W831" s="17"/>
      <c r="X831" s="817"/>
      <c r="Y831" s="1119" t="str">
        <f>IF(LEN('Ch6'!X513)=0,"None",'Ch6'!X513)</f>
        <v>None</v>
      </c>
      <c r="Z831" s="1105"/>
      <c r="AL831" t="str">
        <f>SUBSTITUTE(SUBSTITUTE(SUBSTITUTE("vpa"&amp;$B831&amp;$C831&amp;$D831&amp;$E831,".","_"),"(","_"),")","")</f>
        <v>vpa612_2_5</v>
      </c>
      <c r="AM831">
        <f t="shared" si="55"/>
        <v>3</v>
      </c>
      <c r="AP831" t="str">
        <f>SUBSTITUTE(SUBSTITUTE(SUBSTITUTE("vch"&amp;$B831&amp;$C831&amp;$D831&amp;$E831,".","_"),"(","_"),")","")</f>
        <v>vch612_2_5</v>
      </c>
      <c r="AQ831" t="str">
        <f>IF(LEN(W831)=0,"",W831)</f>
        <v/>
      </c>
      <c r="AR831" t="str">
        <f>SUBSTITUTE(SUBSTITUTE(SUBSTITUTE("vnt"&amp;$B831&amp;$C831&amp;$D831&amp;$E831,".","_"),"(","_"),")","")</f>
        <v>vnt612_2_5</v>
      </c>
      <c r="AS831" t="str">
        <f>IF(LEN(X831)=0,"",X831)</f>
        <v/>
      </c>
    </row>
    <row r="832" spans="1:45" x14ac:dyDescent="0.35">
      <c r="A832" s="366">
        <v>6</v>
      </c>
      <c r="B832" s="737" t="s">
        <v>4191</v>
      </c>
      <c r="C832" s="731" t="s">
        <v>275</v>
      </c>
      <c r="E832" s="731"/>
      <c r="G832" s="366" t="str">
        <f t="shared" si="56"/>
        <v/>
      </c>
      <c r="H832" s="366" t="s">
        <v>3970</v>
      </c>
      <c r="J832" s="104"/>
      <c r="K832" s="104"/>
      <c r="L832" s="842"/>
      <c r="M832" s="819"/>
      <c r="X832" s="817"/>
      <c r="Y832" s="1117"/>
      <c r="Z832" s="1103"/>
    </row>
    <row r="833" spans="1:45" x14ac:dyDescent="0.35">
      <c r="A833" s="366">
        <v>6</v>
      </c>
      <c r="B833" s="737" t="s">
        <v>4191</v>
      </c>
      <c r="C833" s="731" t="s">
        <v>277</v>
      </c>
      <c r="D833" s="731"/>
      <c r="E833" s="731"/>
      <c r="F833" s="731"/>
      <c r="G833" s="366" t="str">
        <f t="shared" si="56"/>
        <v/>
      </c>
      <c r="H833" s="366" t="s">
        <v>3970</v>
      </c>
      <c r="I833" s="30"/>
      <c r="J833" s="132" t="s">
        <v>277</v>
      </c>
      <c r="K833" s="119"/>
      <c r="L833" s="828" t="s">
        <v>4199</v>
      </c>
      <c r="M833" s="822">
        <v>3</v>
      </c>
      <c r="N833" s="41"/>
      <c r="O833" s="41"/>
      <c r="P833" t="b">
        <v>1</v>
      </c>
      <c r="Q833" t="b">
        <v>1</v>
      </c>
      <c r="R833" t="b">
        <v>0</v>
      </c>
      <c r="S833" t="b">
        <v>1</v>
      </c>
      <c r="T833" t="b">
        <v>0</v>
      </c>
      <c r="W833" s="17"/>
      <c r="X833" s="817"/>
      <c r="Y833" s="1119" t="str">
        <f>IF(LEN('Ch6'!X515)=0,"None",'Ch6'!X515)</f>
        <v>None</v>
      </c>
      <c r="Z833" s="1105"/>
      <c r="AL833" t="str">
        <f>SUBSTITUTE(SUBSTITUTE(SUBSTITUTE("vpa"&amp;$B833&amp;$C833&amp;$D833&amp;$E833,".","_"),"(","_"),")","")</f>
        <v>vpa612_2_6</v>
      </c>
      <c r="AM833">
        <f t="shared" si="55"/>
        <v>3</v>
      </c>
      <c r="AP833" t="str">
        <f>SUBSTITUTE(SUBSTITUTE(SUBSTITUTE("vch"&amp;$B833&amp;$C833&amp;$D833&amp;$E833,".","_"),"(","_"),")","")</f>
        <v>vch612_2_6</v>
      </c>
      <c r="AQ833" t="str">
        <f>IF(LEN(W833)=0,"",W833)</f>
        <v/>
      </c>
      <c r="AR833" t="str">
        <f>SUBSTITUTE(SUBSTITUTE(SUBSTITUTE("vnt"&amp;$B833&amp;$C833&amp;$D833&amp;$E833,".","_"),"(","_"),")","")</f>
        <v>vnt612_2_6</v>
      </c>
      <c r="AS833" t="str">
        <f>IF(LEN(X833)=0,"",X833)</f>
        <v/>
      </c>
    </row>
    <row r="834" spans="1:45" x14ac:dyDescent="0.35">
      <c r="A834" s="366">
        <v>6</v>
      </c>
      <c r="B834" s="737" t="s">
        <v>4191</v>
      </c>
      <c r="C834" s="731" t="s">
        <v>277</v>
      </c>
      <c r="E834" s="731"/>
      <c r="G834" s="366" t="str">
        <f t="shared" si="56"/>
        <v/>
      </c>
      <c r="H834" s="366" t="s">
        <v>3970</v>
      </c>
      <c r="J834" s="104"/>
      <c r="K834" s="104"/>
      <c r="L834" s="842"/>
      <c r="M834" s="819"/>
      <c r="X834" s="817"/>
      <c r="Y834" s="1117"/>
      <c r="Z834" s="1103"/>
    </row>
    <row r="835" spans="1:45" ht="15" customHeight="1" x14ac:dyDescent="0.35">
      <c r="A835" s="366">
        <v>6</v>
      </c>
      <c r="B835" s="737" t="s">
        <v>4191</v>
      </c>
      <c r="C835" s="731" t="s">
        <v>383</v>
      </c>
      <c r="D835" s="731"/>
      <c r="E835" s="731"/>
      <c r="F835" s="731"/>
      <c r="G835" s="366" t="str">
        <f t="shared" si="56"/>
        <v/>
      </c>
      <c r="H835" s="366" t="s">
        <v>3970</v>
      </c>
      <c r="I835" s="30"/>
      <c r="J835" s="19" t="s">
        <v>383</v>
      </c>
      <c r="K835" s="43"/>
      <c r="L835" s="828" t="s">
        <v>4200</v>
      </c>
      <c r="M835" s="822">
        <v>3</v>
      </c>
      <c r="N835" s="41"/>
      <c r="O835" s="41"/>
      <c r="P835" t="b">
        <v>1</v>
      </c>
      <c r="Q835" t="b">
        <v>1</v>
      </c>
      <c r="R835" t="b">
        <v>0</v>
      </c>
      <c r="S835" t="b">
        <v>1</v>
      </c>
      <c r="T835" t="b">
        <v>0</v>
      </c>
      <c r="W835" s="17"/>
      <c r="X835" s="817"/>
      <c r="Y835" s="1100" t="str">
        <f>IF(LEN('Ch6'!X517)=0,"None",'Ch6'!X517)</f>
        <v>None</v>
      </c>
      <c r="Z835" s="1102"/>
      <c r="AL835" t="str">
        <f>SUBSTITUTE(SUBSTITUTE(SUBSTITUTE("vpa"&amp;$B835&amp;$C835&amp;$D835&amp;$E835,".","_"),"(","_"),")","")</f>
        <v>vpa612_2_7</v>
      </c>
      <c r="AM835">
        <f t="shared" si="55"/>
        <v>3</v>
      </c>
      <c r="AP835" t="str">
        <f>SUBSTITUTE(SUBSTITUTE(SUBSTITUTE("vch"&amp;$B835&amp;$C835&amp;$D835&amp;$E835,".","_"),"(","_"),")","")</f>
        <v>vch612_2_7</v>
      </c>
      <c r="AQ835" t="str">
        <f>IF(LEN(W835)=0,"",W835)</f>
        <v/>
      </c>
      <c r="AR835" t="str">
        <f>SUBSTITUTE(SUBSTITUTE(SUBSTITUTE("vnt"&amp;$B835&amp;$C835&amp;$D835&amp;$E835,".","_"),"(","_"),")","")</f>
        <v>vnt612_2_7</v>
      </c>
      <c r="AS835" t="str">
        <f>IF(LEN(X835)=0,"",X835)</f>
        <v/>
      </c>
    </row>
    <row r="836" spans="1:45" ht="15" thickBot="1" x14ac:dyDescent="0.4">
      <c r="A836" s="366">
        <v>6</v>
      </c>
      <c r="B836" s="737" t="s">
        <v>4191</v>
      </c>
      <c r="C836" s="731" t="s">
        <v>383</v>
      </c>
      <c r="D836" s="731"/>
      <c r="E836" s="731"/>
      <c r="F836" s="731"/>
      <c r="G836" s="366" t="str">
        <f>G835</f>
        <v/>
      </c>
      <c r="H836" s="366" t="s">
        <v>3970</v>
      </c>
      <c r="I836" s="30"/>
      <c r="J836" s="19"/>
      <c r="K836" s="43"/>
      <c r="L836" s="826"/>
      <c r="M836" s="827"/>
      <c r="N836" s="41"/>
      <c r="O836" s="41"/>
      <c r="X836" s="850"/>
      <c r="Y836" s="1101"/>
      <c r="Z836" s="1104"/>
    </row>
    <row r="837" spans="1:45" ht="15.75" customHeight="1" thickTop="1" x14ac:dyDescent="0.35">
      <c r="A837" s="366">
        <v>6</v>
      </c>
      <c r="B837" s="737" t="s">
        <v>4192</v>
      </c>
      <c r="C837" s="731"/>
      <c r="D837" s="731"/>
      <c r="E837" s="731"/>
      <c r="F837" s="731"/>
      <c r="G837" s="366" t="str">
        <f ca="1">IF(N837&gt;0,"P","")</f>
        <v>P</v>
      </c>
      <c r="H837" s="366" t="s">
        <v>3970</v>
      </c>
      <c r="I837" s="106">
        <v>612.29999999999995</v>
      </c>
      <c r="J837" s="122"/>
      <c r="K837" s="108"/>
      <c r="L837" s="837" t="s">
        <v>4190</v>
      </c>
      <c r="M837" s="830" t="s">
        <v>532</v>
      </c>
      <c r="N837" s="959">
        <f ca="1">'Ch6'!O519</f>
        <v>2</v>
      </c>
      <c r="O837" s="959">
        <f ca="1">MIN(12,M839*S839*W839+M844*S844*W844+M848*S848*W848+M850*S850*W850+M852*S852*W852+M853*S853*W853+M854*S854*W854+M858*S858*W858+IFERROR(INDEX({1,2,3,4,5},MATCH(W860,INDIRECT(U860),0)),0)*S860)</f>
        <v>0</v>
      </c>
      <c r="P837" s="59"/>
      <c r="Q837" s="59"/>
      <c r="R837" s="59"/>
      <c r="S837" s="59"/>
      <c r="T837" s="59"/>
      <c r="U837" s="59"/>
      <c r="V837" s="59"/>
      <c r="W837" s="59"/>
      <c r="X837" s="59"/>
      <c r="AL837" t="str">
        <f>SUBSTITUTE(SUBSTITUTE(SUBSTITUTE("vpa"&amp;$B837&amp;$C837&amp;$D837&amp;$E837,".","_"),"(","_"),")","")</f>
        <v>vpa612_3</v>
      </c>
      <c r="AM837" t="str">
        <f>M837</f>
        <v>12 Max</v>
      </c>
      <c r="AN837" t="str">
        <f>SUBSTITUTE(SUBSTITUTE(SUBSTITUTE("vpc"&amp;$B837&amp;$C837&amp;$D837&amp;$E837,".","_"),"(","_"),")","")</f>
        <v>vpc612_3</v>
      </c>
      <c r="AO837">
        <f ca="1">O837</f>
        <v>0</v>
      </c>
    </row>
    <row r="838" spans="1:45" x14ac:dyDescent="0.35">
      <c r="A838" s="366">
        <v>6</v>
      </c>
      <c r="B838" s="737" t="s">
        <v>4192</v>
      </c>
      <c r="C838" s="731"/>
      <c r="D838" s="731"/>
      <c r="E838" s="731"/>
      <c r="F838" s="731"/>
      <c r="G838" s="366" t="str">
        <f t="shared" ref="G838:G878" ca="1" si="57">G837</f>
        <v>P</v>
      </c>
      <c r="H838" s="366" t="s">
        <v>3970</v>
      </c>
      <c r="I838" s="30"/>
      <c r="J838" s="4"/>
      <c r="K838" s="43"/>
      <c r="L838" s="838"/>
      <c r="M838" s="818"/>
      <c r="N838" s="834"/>
      <c r="O838" s="834"/>
    </row>
    <row r="839" spans="1:45" x14ac:dyDescent="0.35">
      <c r="A839" s="366">
        <v>6</v>
      </c>
      <c r="B839" s="737" t="s">
        <v>4192</v>
      </c>
      <c r="C839" s="731" t="s">
        <v>256</v>
      </c>
      <c r="D839" s="731"/>
      <c r="E839" s="731"/>
      <c r="F839" s="731"/>
      <c r="G839" s="366" t="str">
        <f t="shared" ca="1" si="57"/>
        <v>P</v>
      </c>
      <c r="H839" s="366" t="s">
        <v>3970</v>
      </c>
      <c r="I839" s="30"/>
      <c r="J839" s="19" t="s">
        <v>256</v>
      </c>
      <c r="K839" s="43"/>
      <c r="L839" s="814" t="s">
        <v>728</v>
      </c>
      <c r="M839" s="818">
        <v>3</v>
      </c>
      <c r="N839" s="41"/>
      <c r="O839" s="41"/>
      <c r="P839" t="b">
        <v>1</v>
      </c>
      <c r="Q839" t="b">
        <v>1</v>
      </c>
      <c r="R839" t="b">
        <v>0</v>
      </c>
      <c r="S839" t="b">
        <v>1</v>
      </c>
      <c r="T839" t="b">
        <v>0</v>
      </c>
      <c r="W839" s="17"/>
      <c r="X839" s="817"/>
      <c r="Y839" s="1100" t="str">
        <f>IF(LEN('Ch6'!X521)=0,"None",'Ch6'!X521)</f>
        <v>None</v>
      </c>
      <c r="Z839" s="1102"/>
      <c r="AA839" s="350" t="str">
        <f>IF(LEN('Photo Review'!I838)&gt;0,'Photo Review'!I838,"")</f>
        <v/>
      </c>
      <c r="AL839" t="str">
        <f>SUBSTITUTE(SUBSTITUTE(SUBSTITUTE("vpa"&amp;$B839&amp;$C839&amp;$D839&amp;$E839,".","_"),"(","_"),")","")</f>
        <v>vpa612_3_1</v>
      </c>
      <c r="AM839">
        <f>M839</f>
        <v>3</v>
      </c>
      <c r="AP839" t="str">
        <f>SUBSTITUTE(SUBSTITUTE(SUBSTITUTE("vch"&amp;$B839&amp;$C839&amp;$D839&amp;$E839,".","_"),"(","_"),")","")</f>
        <v>vch612_3_1</v>
      </c>
      <c r="AQ839" t="str">
        <f>IF(LEN(W839)=0,"",W839)</f>
        <v/>
      </c>
      <c r="AR839" t="str">
        <f>SUBSTITUTE(SUBSTITUTE(SUBSTITUTE("vnt"&amp;$B839&amp;$C839&amp;$D839&amp;$E839,".","_"),"(","_"),")","")</f>
        <v>vnt612_3_1</v>
      </c>
      <c r="AS839" t="str">
        <f>IF(LEN(X839)=0,"",X839)</f>
        <v/>
      </c>
    </row>
    <row r="840" spans="1:45" x14ac:dyDescent="0.35">
      <c r="A840" s="366">
        <v>6</v>
      </c>
      <c r="B840" s="737" t="s">
        <v>4192</v>
      </c>
      <c r="C840" s="731" t="s">
        <v>256</v>
      </c>
      <c r="D840" s="731"/>
      <c r="E840" s="731"/>
      <c r="F840" s="731"/>
      <c r="G840" s="366" t="str">
        <f t="shared" ca="1" si="57"/>
        <v>P</v>
      </c>
      <c r="H840" s="366" t="s">
        <v>3970</v>
      </c>
      <c r="I840" s="30"/>
      <c r="J840" s="4"/>
      <c r="K840" s="43"/>
      <c r="L840" s="814"/>
      <c r="M840" s="818"/>
      <c r="N840" s="41"/>
      <c r="O840" s="41"/>
      <c r="X840" s="817"/>
      <c r="Y840" s="1100"/>
      <c r="Z840" s="1102"/>
    </row>
    <row r="841" spans="1:45" x14ac:dyDescent="0.35">
      <c r="A841" s="366">
        <v>6</v>
      </c>
      <c r="B841" s="737" t="s">
        <v>4192</v>
      </c>
      <c r="C841" s="731" t="s">
        <v>256</v>
      </c>
      <c r="D841" s="731"/>
      <c r="E841" s="731"/>
      <c r="F841" s="731"/>
      <c r="G841" s="366" t="str">
        <f t="shared" ca="1" si="57"/>
        <v>P</v>
      </c>
      <c r="H841" s="366" t="s">
        <v>3970</v>
      </c>
      <c r="I841" s="30"/>
      <c r="J841" s="4"/>
      <c r="K841" s="43"/>
      <c r="L841" s="814"/>
      <c r="M841" s="818"/>
      <c r="N841" s="41"/>
      <c r="O841" s="41"/>
      <c r="X841" s="817"/>
      <c r="Y841" s="1100"/>
      <c r="Z841" s="1102"/>
    </row>
    <row r="842" spans="1:45" x14ac:dyDescent="0.35">
      <c r="A842" s="366">
        <v>6</v>
      </c>
      <c r="B842" s="737" t="s">
        <v>4192</v>
      </c>
      <c r="C842" s="731" t="s">
        <v>256</v>
      </c>
      <c r="D842" s="731"/>
      <c r="E842" s="731"/>
      <c r="F842" s="731"/>
      <c r="G842" s="366" t="str">
        <f t="shared" ca="1" si="57"/>
        <v>P</v>
      </c>
      <c r="H842" s="366" t="s">
        <v>3970</v>
      </c>
      <c r="I842" s="30"/>
      <c r="J842" s="4"/>
      <c r="K842" s="43"/>
      <c r="L842" s="814"/>
      <c r="M842" s="818"/>
      <c r="N842" s="41"/>
      <c r="O842" s="41"/>
      <c r="X842" s="817"/>
      <c r="Y842" s="1100"/>
      <c r="Z842" s="1102"/>
    </row>
    <row r="843" spans="1:45" x14ac:dyDescent="0.35">
      <c r="A843" s="366">
        <v>6</v>
      </c>
      <c r="B843" s="737" t="s">
        <v>4192</v>
      </c>
      <c r="C843" s="731" t="s">
        <v>256</v>
      </c>
      <c r="D843" s="731"/>
      <c r="E843" s="731"/>
      <c r="F843" s="731"/>
      <c r="G843" s="366" t="str">
        <f t="shared" ca="1" si="57"/>
        <v>P</v>
      </c>
      <c r="H843" s="366" t="s">
        <v>3970</v>
      </c>
      <c r="I843" s="30"/>
      <c r="J843" s="133"/>
      <c r="K843" s="101"/>
      <c r="L843" s="815"/>
      <c r="M843" s="819"/>
      <c r="N843" s="41"/>
      <c r="O843" s="41"/>
      <c r="X843" s="817"/>
      <c r="Y843" s="1100"/>
      <c r="Z843" s="1102"/>
    </row>
    <row r="844" spans="1:45" x14ac:dyDescent="0.35">
      <c r="A844" s="366">
        <v>6</v>
      </c>
      <c r="B844" s="737" t="s">
        <v>4192</v>
      </c>
      <c r="C844" s="731" t="s">
        <v>258</v>
      </c>
      <c r="D844" s="731"/>
      <c r="E844" s="731"/>
      <c r="F844" s="731"/>
      <c r="G844" s="366" t="str">
        <f t="shared" ca="1" si="57"/>
        <v>P</v>
      </c>
      <c r="H844" s="366" t="s">
        <v>3970</v>
      </c>
      <c r="I844" s="30"/>
      <c r="J844" s="132" t="s">
        <v>258</v>
      </c>
      <c r="K844" s="119"/>
      <c r="L844" s="836" t="s">
        <v>729</v>
      </c>
      <c r="M844" s="822">
        <v>3</v>
      </c>
      <c r="N844" s="41"/>
      <c r="O844" s="41"/>
      <c r="P844" t="b">
        <v>1</v>
      </c>
      <c r="Q844" t="b">
        <v>1</v>
      </c>
      <c r="R844" t="b">
        <v>0</v>
      </c>
      <c r="S844" t="b">
        <f>IF(W839=TRUE,TRUE,FALSE)</f>
        <v>0</v>
      </c>
      <c r="T844" t="b">
        <f>IF(AND(NOT(S844),W844=TRUE),TRUE,FALSE)</f>
        <v>0</v>
      </c>
      <c r="W844" s="17"/>
      <c r="X844" s="817"/>
      <c r="Y844" s="1100" t="str">
        <f>IF(LEN('Ch6'!X526)=0,"None",'Ch6'!X526)</f>
        <v>None</v>
      </c>
      <c r="Z844" s="1102"/>
      <c r="AC844" t="b">
        <f>OR(AD844:AE844)</f>
        <v>0</v>
      </c>
      <c r="AD844" t="b">
        <f>T844</f>
        <v>0</v>
      </c>
      <c r="AL844" t="str">
        <f>SUBSTITUTE(SUBSTITUTE(SUBSTITUTE("vpa"&amp;$B844&amp;$C844&amp;$D844&amp;$E844,".","_"),"(","_"),")","")</f>
        <v>vpa612_3_2</v>
      </c>
      <c r="AM844">
        <f>M844</f>
        <v>3</v>
      </c>
      <c r="AP844" t="str">
        <f>SUBSTITUTE(SUBSTITUTE(SUBSTITUTE("vch"&amp;$B844&amp;$C844&amp;$D844&amp;$E844,".","_"),"(","_"),")","")</f>
        <v>vch612_3_2</v>
      </c>
      <c r="AQ844" t="str">
        <f>IF(LEN(W844)=0,"",W844)</f>
        <v/>
      </c>
      <c r="AR844" t="str">
        <f>SUBSTITUTE(SUBSTITUTE(SUBSTITUTE("vnt"&amp;$B844&amp;$C844&amp;$D844&amp;$E844,".","_"),"(","_"),")","")</f>
        <v>vnt612_3_2</v>
      </c>
      <c r="AS844" t="str">
        <f>IF(LEN(X844)=0,"",X844)</f>
        <v/>
      </c>
    </row>
    <row r="845" spans="1:45" x14ac:dyDescent="0.35">
      <c r="A845" s="366">
        <v>6</v>
      </c>
      <c r="B845" s="737" t="s">
        <v>4192</v>
      </c>
      <c r="C845" s="731" t="s">
        <v>258</v>
      </c>
      <c r="D845" s="731"/>
      <c r="E845" s="731"/>
      <c r="F845" s="731"/>
      <c r="G845" s="366" t="str">
        <f t="shared" ca="1" si="57"/>
        <v>P</v>
      </c>
      <c r="H845" s="366" t="s">
        <v>3970</v>
      </c>
      <c r="I845" s="30"/>
      <c r="J845" s="4"/>
      <c r="K845" s="43"/>
      <c r="L845" s="814"/>
      <c r="M845" s="818"/>
      <c r="N845" s="41"/>
      <c r="O845" s="41"/>
      <c r="X845" s="817"/>
      <c r="Y845" s="1100"/>
      <c r="Z845" s="1102"/>
    </row>
    <row r="846" spans="1:45" x14ac:dyDescent="0.35">
      <c r="A846" s="366">
        <v>6</v>
      </c>
      <c r="B846" s="737" t="s">
        <v>4192</v>
      </c>
      <c r="C846" s="731" t="s">
        <v>258</v>
      </c>
      <c r="D846" s="731"/>
      <c r="E846" s="731"/>
      <c r="F846" s="731"/>
      <c r="G846" s="366" t="str">
        <f t="shared" ca="1" si="57"/>
        <v>P</v>
      </c>
      <c r="H846" s="366" t="s">
        <v>3970</v>
      </c>
      <c r="I846" s="30"/>
      <c r="J846" s="4"/>
      <c r="K846" s="43"/>
      <c r="L846" s="814"/>
      <c r="M846" s="818"/>
      <c r="N846" s="41"/>
      <c r="O846" s="41"/>
      <c r="X846" s="817"/>
      <c r="Y846" s="1100"/>
      <c r="Z846" s="1102"/>
    </row>
    <row r="847" spans="1:45" x14ac:dyDescent="0.35">
      <c r="A847" s="366">
        <v>6</v>
      </c>
      <c r="B847" s="737" t="s">
        <v>4192</v>
      </c>
      <c r="C847" s="731" t="s">
        <v>258</v>
      </c>
      <c r="D847" s="731"/>
      <c r="E847" s="731"/>
      <c r="F847" s="731"/>
      <c r="G847" s="366" t="str">
        <f t="shared" ca="1" si="57"/>
        <v>P</v>
      </c>
      <c r="H847" s="366" t="s">
        <v>3970</v>
      </c>
      <c r="I847" s="30"/>
      <c r="J847" s="133"/>
      <c r="K847" s="101"/>
      <c r="L847" s="815"/>
      <c r="M847" s="819"/>
      <c r="N847" s="41"/>
      <c r="O847" s="41"/>
      <c r="X847" s="817"/>
      <c r="Y847" s="1100"/>
      <c r="Z847" s="1102"/>
    </row>
    <row r="848" spans="1:45" x14ac:dyDescent="0.35">
      <c r="A848" s="366">
        <v>6</v>
      </c>
      <c r="B848" s="737" t="s">
        <v>4192</v>
      </c>
      <c r="C848" s="731" t="s">
        <v>260</v>
      </c>
      <c r="D848" s="731"/>
      <c r="E848" s="731"/>
      <c r="F848" s="731"/>
      <c r="G848" s="366" t="str">
        <f t="shared" ca="1" si="57"/>
        <v>P</v>
      </c>
      <c r="H848" s="366" t="s">
        <v>3970</v>
      </c>
      <c r="I848" s="30"/>
      <c r="J848" s="132" t="s">
        <v>260</v>
      </c>
      <c r="K848" s="119"/>
      <c r="L848" s="836" t="s">
        <v>730</v>
      </c>
      <c r="M848" s="822">
        <v>3</v>
      </c>
      <c r="N848" s="41"/>
      <c r="O848" s="41"/>
      <c r="P848" t="b">
        <v>1</v>
      </c>
      <c r="Q848" t="b">
        <v>1</v>
      </c>
      <c r="R848" t="b">
        <v>0</v>
      </c>
      <c r="S848" t="b">
        <f>IF(W839=TRUE,TRUE,FALSE)</f>
        <v>0</v>
      </c>
      <c r="T848" t="b">
        <f>IF(AND(NOT(S848),W848=TRUE),TRUE,FALSE)</f>
        <v>0</v>
      </c>
      <c r="W848" s="17"/>
      <c r="X848" s="817"/>
      <c r="Y848" s="1100" t="str">
        <f>IF(LEN('Ch6'!X530)=0,"None",'Ch6'!X530)</f>
        <v>None</v>
      </c>
      <c r="Z848" s="1102"/>
      <c r="AC848" t="b">
        <f>OR(AD848:AE848)</f>
        <v>0</v>
      </c>
      <c r="AD848" t="b">
        <f>T848</f>
        <v>0</v>
      </c>
      <c r="AL848" t="str">
        <f>SUBSTITUTE(SUBSTITUTE(SUBSTITUTE("vpa"&amp;$B848&amp;$C848&amp;$D848&amp;$E848,".","_"),"(","_"),")","")</f>
        <v>vpa612_3_3</v>
      </c>
      <c r="AM848">
        <f>M848</f>
        <v>3</v>
      </c>
      <c r="AP848" t="str">
        <f>SUBSTITUTE(SUBSTITUTE(SUBSTITUTE("vch"&amp;$B848&amp;$C848&amp;$D848&amp;$E848,".","_"),"(","_"),")","")</f>
        <v>vch612_3_3</v>
      </c>
      <c r="AQ848" t="str">
        <f>IF(LEN(W848)=0,"",W848)</f>
        <v/>
      </c>
      <c r="AR848" t="str">
        <f>SUBSTITUTE(SUBSTITUTE(SUBSTITUTE("vnt"&amp;$B848&amp;$C848&amp;$D848&amp;$E848,".","_"),"(","_"),")","")</f>
        <v>vnt612_3_3</v>
      </c>
      <c r="AS848" t="str">
        <f>IF(LEN(X848)=0,"",X848)</f>
        <v/>
      </c>
    </row>
    <row r="849" spans="1:45" x14ac:dyDescent="0.35">
      <c r="A849" s="366">
        <v>6</v>
      </c>
      <c r="B849" s="737" t="s">
        <v>4192</v>
      </c>
      <c r="C849" s="731" t="s">
        <v>260</v>
      </c>
      <c r="D849" s="731"/>
      <c r="E849" s="731"/>
      <c r="F849" s="731"/>
      <c r="G849" s="366" t="str">
        <f t="shared" ca="1" si="57"/>
        <v>P</v>
      </c>
      <c r="H849" s="366" t="s">
        <v>3970</v>
      </c>
      <c r="I849" s="30"/>
      <c r="J849" s="133"/>
      <c r="K849" s="101"/>
      <c r="L849" s="815"/>
      <c r="M849" s="819"/>
      <c r="N849" s="41"/>
      <c r="O849" s="41"/>
      <c r="X849" s="817"/>
      <c r="Y849" s="1100"/>
      <c r="Z849" s="1102"/>
    </row>
    <row r="850" spans="1:45" x14ac:dyDescent="0.35">
      <c r="A850" s="366">
        <v>6</v>
      </c>
      <c r="B850" s="737" t="s">
        <v>4192</v>
      </c>
      <c r="C850" s="731" t="s">
        <v>269</v>
      </c>
      <c r="D850" s="731"/>
      <c r="E850" s="731"/>
      <c r="F850" s="731"/>
      <c r="G850" s="366" t="str">
        <f t="shared" ca="1" si="57"/>
        <v>P</v>
      </c>
      <c r="H850" s="366" t="s">
        <v>3971</v>
      </c>
      <c r="I850" s="30"/>
      <c r="J850" s="132" t="s">
        <v>269</v>
      </c>
      <c r="K850" s="119"/>
      <c r="L850" s="836" t="s">
        <v>731</v>
      </c>
      <c r="M850" s="822">
        <v>1</v>
      </c>
      <c r="N850" s="41"/>
      <c r="O850" s="41"/>
      <c r="P850" t="b">
        <v>1</v>
      </c>
      <c r="Q850" t="b">
        <v>0</v>
      </c>
      <c r="R850" t="b">
        <v>0</v>
      </c>
      <c r="S850" t="b">
        <v>1</v>
      </c>
      <c r="T850" t="b">
        <v>0</v>
      </c>
      <c r="W850" s="17"/>
      <c r="X850" s="817"/>
      <c r="Y850" s="1100" t="str">
        <f>IF(LEN('Ch6'!X532)=0,"None",'Ch6'!X532)</f>
        <v>None</v>
      </c>
      <c r="Z850" s="1102"/>
      <c r="AL850" t="str">
        <f>SUBSTITUTE(SUBSTITUTE(SUBSTITUTE("vpa"&amp;$B850&amp;$C850&amp;$D850&amp;$E850,".","_"),"(","_"),")","")</f>
        <v>vpa612_3_4</v>
      </c>
      <c r="AM850">
        <f>M850</f>
        <v>1</v>
      </c>
      <c r="AP850" t="str">
        <f>SUBSTITUTE(SUBSTITUTE(SUBSTITUTE("vch"&amp;$B850&amp;$C850&amp;$D850&amp;$E850,".","_"),"(","_"),")","")</f>
        <v>vch612_3_4</v>
      </c>
      <c r="AQ850" t="str">
        <f>IF(LEN(W850)=0,"",W850)</f>
        <v/>
      </c>
      <c r="AR850" t="str">
        <f>SUBSTITUTE(SUBSTITUTE(SUBSTITUTE("vnt"&amp;$B850&amp;$C850&amp;$D850&amp;$E850,".","_"),"(","_"),")","")</f>
        <v>vnt612_3_4</v>
      </c>
      <c r="AS850" t="str">
        <f>IF(LEN(X850)=0,"",X850)</f>
        <v/>
      </c>
    </row>
    <row r="851" spans="1:45" x14ac:dyDescent="0.35">
      <c r="A851" s="366">
        <v>6</v>
      </c>
      <c r="B851" s="737" t="s">
        <v>4192</v>
      </c>
      <c r="C851" s="731" t="s">
        <v>269</v>
      </c>
      <c r="D851" s="731"/>
      <c r="E851" s="731"/>
      <c r="F851" s="731"/>
      <c r="G851" s="366" t="str">
        <f t="shared" ca="1" si="57"/>
        <v>P</v>
      </c>
      <c r="H851" s="366" t="s">
        <v>3971</v>
      </c>
      <c r="I851" s="30"/>
      <c r="J851" s="133"/>
      <c r="K851" s="101"/>
      <c r="L851" s="815"/>
      <c r="M851" s="819"/>
      <c r="N851" s="41"/>
      <c r="O851" s="41"/>
      <c r="X851" s="817"/>
      <c r="Y851" s="1100"/>
      <c r="Z851" s="1102"/>
    </row>
    <row r="852" spans="1:45" x14ac:dyDescent="0.35">
      <c r="A852" s="366">
        <v>6</v>
      </c>
      <c r="B852" s="737" t="s">
        <v>4192</v>
      </c>
      <c r="C852" s="731" t="s">
        <v>275</v>
      </c>
      <c r="D852" s="731"/>
      <c r="E852" s="731"/>
      <c r="F852" s="731"/>
      <c r="G852" s="366" t="str">
        <f t="shared" ca="1" si="57"/>
        <v>P</v>
      </c>
      <c r="H852" s="366" t="s">
        <v>3970</v>
      </c>
      <c r="I852" s="30"/>
      <c r="J852" s="130" t="s">
        <v>275</v>
      </c>
      <c r="K852" s="131"/>
      <c r="L852" s="178" t="s">
        <v>732</v>
      </c>
      <c r="M852" s="278">
        <v>1</v>
      </c>
      <c r="N852" s="41"/>
      <c r="O852" s="41"/>
      <c r="P852" t="b">
        <v>1</v>
      </c>
      <c r="Q852" t="b">
        <v>1</v>
      </c>
      <c r="R852" t="b">
        <v>0</v>
      </c>
      <c r="S852" t="b">
        <v>1</v>
      </c>
      <c r="T852" t="b">
        <v>0</v>
      </c>
      <c r="W852" s="17"/>
      <c r="X852" s="36"/>
      <c r="Y852" s="396" t="str">
        <f>IF(LEN('Ch6'!X534)=0,"None",'Ch6'!X534)</f>
        <v>None</v>
      </c>
      <c r="Z852" s="652"/>
      <c r="AL852" t="str">
        <f>SUBSTITUTE(SUBSTITUTE(SUBSTITUTE("vpa"&amp;$B852&amp;$C852&amp;$D852&amp;$E852,".","_"),"(","_"),")","")</f>
        <v>vpa612_3_5</v>
      </c>
      <c r="AM852">
        <f>M852</f>
        <v>1</v>
      </c>
      <c r="AP852" t="str">
        <f>SUBSTITUTE(SUBSTITUTE(SUBSTITUTE("vch"&amp;$B852&amp;$C852&amp;$D852&amp;$E852,".","_"),"(","_"),")","")</f>
        <v>vch612_3_5</v>
      </c>
      <c r="AQ852" t="str">
        <f>IF(LEN(W852)=0,"",W852)</f>
        <v/>
      </c>
      <c r="AR852" t="str">
        <f>SUBSTITUTE(SUBSTITUTE(SUBSTITUTE("vnt"&amp;$B852&amp;$C852&amp;$D852&amp;$E852,".","_"),"(","_"),")","")</f>
        <v>vnt612_3_5</v>
      </c>
      <c r="AS852" t="str">
        <f>IF(LEN(X852)=0,"",X852)</f>
        <v/>
      </c>
    </row>
    <row r="853" spans="1:45" x14ac:dyDescent="0.35">
      <c r="A853" s="366">
        <v>6</v>
      </c>
      <c r="B853" s="737" t="s">
        <v>4192</v>
      </c>
      <c r="C853" s="731" t="s">
        <v>277</v>
      </c>
      <c r="D853" s="731"/>
      <c r="E853" s="731"/>
      <c r="F853" s="731"/>
      <c r="G853" s="366" t="str">
        <f t="shared" ca="1" si="57"/>
        <v>P</v>
      </c>
      <c r="H853" s="366" t="s">
        <v>3970</v>
      </c>
      <c r="I853" s="30"/>
      <c r="J853" s="130" t="s">
        <v>277</v>
      </c>
      <c r="K853" s="131"/>
      <c r="L853" s="470" t="s">
        <v>4201</v>
      </c>
      <c r="M853" s="278">
        <v>1</v>
      </c>
      <c r="N853" s="41"/>
      <c r="O853" s="41"/>
      <c r="P853" t="b">
        <v>1</v>
      </c>
      <c r="Q853" t="b">
        <v>1</v>
      </c>
      <c r="R853" t="b">
        <v>0</v>
      </c>
      <c r="S853" t="b">
        <v>1</v>
      </c>
      <c r="T853" t="b">
        <v>0</v>
      </c>
      <c r="W853" s="17"/>
      <c r="X853" s="36"/>
      <c r="Y853" s="396" t="str">
        <f>IF(LEN('Ch6'!X535)=0,"None",'Ch6'!X535)</f>
        <v>None</v>
      </c>
      <c r="Z853" s="652"/>
      <c r="AL853" t="str">
        <f>SUBSTITUTE(SUBSTITUTE(SUBSTITUTE("vpa"&amp;$B853&amp;$C853&amp;$D853&amp;$E853,".","_"),"(","_"),")","")</f>
        <v>vpa612_3_6</v>
      </c>
      <c r="AM853">
        <f>M853</f>
        <v>1</v>
      </c>
      <c r="AP853" t="str">
        <f>SUBSTITUTE(SUBSTITUTE(SUBSTITUTE("vch"&amp;$B853&amp;$C853&amp;$D853&amp;$E853,".","_"),"(","_"),")","")</f>
        <v>vch612_3_6</v>
      </c>
      <c r="AQ853" t="str">
        <f>IF(LEN(W853)=0,"",W853)</f>
        <v/>
      </c>
      <c r="AR853" t="str">
        <f>SUBSTITUTE(SUBSTITUTE(SUBSTITUTE("vnt"&amp;$B853&amp;$C853&amp;$D853&amp;$E853,".","_"),"(","_"),")","")</f>
        <v>vnt612_3_6</v>
      </c>
      <c r="AS853" t="str">
        <f>IF(LEN(X853)=0,"",X853)</f>
        <v/>
      </c>
    </row>
    <row r="854" spans="1:45" x14ac:dyDescent="0.35">
      <c r="A854" s="366">
        <v>6</v>
      </c>
      <c r="B854" s="737" t="s">
        <v>4192</v>
      </c>
      <c r="C854" s="731" t="s">
        <v>383</v>
      </c>
      <c r="D854" s="731"/>
      <c r="E854" s="731"/>
      <c r="F854" s="731"/>
      <c r="G854" s="366" t="str">
        <f t="shared" ca="1" si="57"/>
        <v>P</v>
      </c>
      <c r="H854" s="366" t="s">
        <v>3970</v>
      </c>
      <c r="I854" s="30"/>
      <c r="J854" s="132" t="s">
        <v>383</v>
      </c>
      <c r="K854" s="119"/>
      <c r="L854" s="836" t="s">
        <v>733</v>
      </c>
      <c r="M854" s="822">
        <v>1</v>
      </c>
      <c r="N854" s="41"/>
      <c r="O854" s="41"/>
      <c r="P854" t="b">
        <v>1</v>
      </c>
      <c r="Q854" t="b">
        <v>1</v>
      </c>
      <c r="R854" t="b">
        <v>0</v>
      </c>
      <c r="S854" t="b">
        <v>1</v>
      </c>
      <c r="T854" t="b">
        <v>0</v>
      </c>
      <c r="W854" s="17"/>
      <c r="X854" s="817"/>
      <c r="Y854" s="1100" t="str">
        <f>IF(LEN('Ch6'!X536)=0,"None",'Ch6'!X536)</f>
        <v>None</v>
      </c>
      <c r="Z854" s="1102"/>
      <c r="AL854" t="str">
        <f>SUBSTITUTE(SUBSTITUTE(SUBSTITUTE("vpa"&amp;$B854&amp;$C854&amp;$D854&amp;$E854,".","_"),"(","_"),")","")</f>
        <v>vpa612_3_7</v>
      </c>
      <c r="AM854">
        <f>M854</f>
        <v>1</v>
      </c>
      <c r="AP854" t="str">
        <f>SUBSTITUTE(SUBSTITUTE(SUBSTITUTE("vch"&amp;$B854&amp;$C854&amp;$D854&amp;$E854,".","_"),"(","_"),")","")</f>
        <v>vch612_3_7</v>
      </c>
      <c r="AQ854" t="str">
        <f>IF(LEN(W854)=0,"",W854)</f>
        <v/>
      </c>
      <c r="AR854" t="str">
        <f>SUBSTITUTE(SUBSTITUTE(SUBSTITUTE("vnt"&amp;$B854&amp;$C854&amp;$D854&amp;$E854,".","_"),"(","_"),")","")</f>
        <v>vnt612_3_7</v>
      </c>
      <c r="AS854" t="str">
        <f>IF(LEN(X854)=0,"",X854)</f>
        <v/>
      </c>
    </row>
    <row r="855" spans="1:45" x14ac:dyDescent="0.35">
      <c r="A855" s="366">
        <v>6</v>
      </c>
      <c r="B855" s="737" t="s">
        <v>4192</v>
      </c>
      <c r="C855" s="731" t="s">
        <v>383</v>
      </c>
      <c r="D855" s="731"/>
      <c r="E855" s="731"/>
      <c r="F855" s="731"/>
      <c r="G855" s="366" t="str">
        <f t="shared" ca="1" si="57"/>
        <v>P</v>
      </c>
      <c r="H855" s="366" t="s">
        <v>3970</v>
      </c>
      <c r="I855" s="30"/>
      <c r="J855" s="4"/>
      <c r="K855" s="43"/>
      <c r="L855" s="814"/>
      <c r="M855" s="818"/>
      <c r="N855" s="41"/>
      <c r="O855" s="41"/>
      <c r="X855" s="817"/>
      <c r="Y855" s="1100"/>
      <c r="Z855" s="1102"/>
    </row>
    <row r="856" spans="1:45" x14ac:dyDescent="0.35">
      <c r="A856" s="366">
        <v>6</v>
      </c>
      <c r="B856" s="737" t="s">
        <v>4192</v>
      </c>
      <c r="C856" s="731" t="s">
        <v>383</v>
      </c>
      <c r="D856" s="731"/>
      <c r="E856" s="731"/>
      <c r="F856" s="731"/>
      <c r="G856" s="366" t="str">
        <f t="shared" ca="1" si="57"/>
        <v>P</v>
      </c>
      <c r="H856" s="366" t="s">
        <v>3970</v>
      </c>
      <c r="I856" s="30"/>
      <c r="J856" s="4"/>
      <c r="K856" s="43"/>
      <c r="L856" s="814"/>
      <c r="M856" s="818"/>
      <c r="N856" s="41"/>
      <c r="O856" s="41"/>
      <c r="X856" s="817"/>
      <c r="Y856" s="1100"/>
      <c r="Z856" s="1102"/>
    </row>
    <row r="857" spans="1:45" x14ac:dyDescent="0.35">
      <c r="A857" s="366">
        <v>6</v>
      </c>
      <c r="B857" s="737" t="s">
        <v>4192</v>
      </c>
      <c r="C857" s="731" t="s">
        <v>383</v>
      </c>
      <c r="D857" s="731"/>
      <c r="E857" s="731"/>
      <c r="F857" s="731"/>
      <c r="G857" s="366" t="str">
        <f t="shared" ca="1" si="57"/>
        <v>P</v>
      </c>
      <c r="H857" s="366" t="s">
        <v>3970</v>
      </c>
      <c r="I857" s="30"/>
      <c r="J857" s="133"/>
      <c r="K857" s="101"/>
      <c r="L857" s="815"/>
      <c r="M857" s="819"/>
      <c r="N857" s="41"/>
      <c r="O857" s="41"/>
      <c r="X857" s="817"/>
      <c r="Y857" s="1100"/>
      <c r="Z857" s="1102"/>
    </row>
    <row r="858" spans="1:45" x14ac:dyDescent="0.35">
      <c r="A858" s="366">
        <v>6</v>
      </c>
      <c r="B858" s="737" t="s">
        <v>4192</v>
      </c>
      <c r="C858" s="731" t="s">
        <v>428</v>
      </c>
      <c r="D858" s="731"/>
      <c r="E858" s="731"/>
      <c r="F858" s="731"/>
      <c r="G858" s="366" t="str">
        <f t="shared" ca="1" si="57"/>
        <v>P</v>
      </c>
      <c r="H858" s="366" t="s">
        <v>3970</v>
      </c>
      <c r="I858" s="30"/>
      <c r="J858" s="132" t="s">
        <v>428</v>
      </c>
      <c r="K858" s="119"/>
      <c r="L858" s="836" t="s">
        <v>734</v>
      </c>
      <c r="M858" s="822">
        <v>1</v>
      </c>
      <c r="N858" s="41"/>
      <c r="O858" s="41"/>
      <c r="P858" t="b">
        <v>1</v>
      </c>
      <c r="Q858" t="b">
        <v>1</v>
      </c>
      <c r="R858" t="b">
        <v>0</v>
      </c>
      <c r="S858" t="b">
        <v>1</v>
      </c>
      <c r="T858" t="b">
        <v>0</v>
      </c>
      <c r="W858" s="17"/>
      <c r="X858" s="817"/>
      <c r="Y858" s="1100" t="str">
        <f>IF(LEN('Ch6'!X540)=0,"None",'Ch6'!X540)</f>
        <v>None</v>
      </c>
      <c r="Z858" s="1102"/>
      <c r="AL858" t="str">
        <f>SUBSTITUTE(SUBSTITUTE(SUBSTITUTE("vpa"&amp;$B858&amp;$C858&amp;$D858&amp;$E858,".","_"),"(","_"),")","")</f>
        <v>vpa612_3_8</v>
      </c>
      <c r="AM858">
        <f>M858</f>
        <v>1</v>
      </c>
      <c r="AP858" t="str">
        <f>SUBSTITUTE(SUBSTITUTE(SUBSTITUTE("vch"&amp;$B858&amp;$C858&amp;$D858&amp;$E858,".","_"),"(","_"),")","")</f>
        <v>vch612_3_8</v>
      </c>
      <c r="AQ858" t="str">
        <f>IF(LEN(W858)=0,"",W858)</f>
        <v/>
      </c>
      <c r="AR858" t="str">
        <f>SUBSTITUTE(SUBSTITUTE(SUBSTITUTE("vnt"&amp;$B858&amp;$C858&amp;$D858&amp;$E858,".","_"),"(","_"),")","")</f>
        <v>vnt612_3_8</v>
      </c>
      <c r="AS858" t="str">
        <f>IF(LEN(X858)=0,"",X858)</f>
        <v/>
      </c>
    </row>
    <row r="859" spans="1:45" x14ac:dyDescent="0.35">
      <c r="A859" s="366">
        <v>6</v>
      </c>
      <c r="B859" s="737" t="s">
        <v>4192</v>
      </c>
      <c r="C859" s="731" t="s">
        <v>428</v>
      </c>
      <c r="D859" s="731"/>
      <c r="E859" s="731"/>
      <c r="F859" s="731"/>
      <c r="G859" s="366" t="str">
        <f t="shared" ca="1" si="57"/>
        <v>P</v>
      </c>
      <c r="H859" s="366" t="s">
        <v>3970</v>
      </c>
      <c r="I859" s="30"/>
      <c r="J859" s="133"/>
      <c r="K859" s="101"/>
      <c r="L859" s="815"/>
      <c r="M859" s="819"/>
      <c r="N859" s="41"/>
      <c r="O859" s="41"/>
      <c r="X859" s="817"/>
      <c r="Y859" s="1100"/>
      <c r="Z859" s="1102"/>
    </row>
    <row r="860" spans="1:45" ht="15" customHeight="1" x14ac:dyDescent="0.35">
      <c r="A860" s="366">
        <v>6</v>
      </c>
      <c r="B860" s="737" t="s">
        <v>4192</v>
      </c>
      <c r="C860" s="731" t="s">
        <v>430</v>
      </c>
      <c r="D860" s="731"/>
      <c r="E860" s="731"/>
      <c r="F860" s="731"/>
      <c r="G860" s="366" t="str">
        <f t="shared" ca="1" si="57"/>
        <v>P</v>
      </c>
      <c r="H860" s="366" t="s">
        <v>3970</v>
      </c>
      <c r="I860" s="30"/>
      <c r="J860" s="19" t="s">
        <v>430</v>
      </c>
      <c r="K860" s="43"/>
      <c r="L860" s="814" t="s">
        <v>735</v>
      </c>
      <c r="M860" s="843" t="s">
        <v>4207</v>
      </c>
      <c r="O860" s="41"/>
      <c r="P860" t="b">
        <v>1</v>
      </c>
      <c r="Q860" t="b">
        <v>1</v>
      </c>
      <c r="R860" t="b">
        <v>0</v>
      </c>
      <c r="S860" t="b">
        <v>1</v>
      </c>
      <c r="T860" t="b">
        <v>0</v>
      </c>
      <c r="U860" t="str">
        <f>SUBSTITUTE(SUBSTITUTE(SUBSTITUTE("dd"&amp;B860&amp;C860&amp;D860&amp;E860&amp;F860,".","_"),"(","_"),")","")</f>
        <v>dd612_3_9</v>
      </c>
      <c r="W860" s="9"/>
      <c r="X860" s="817"/>
      <c r="Y860" s="1100" t="str">
        <f>IF(LEN('Ch6'!X542)=0,"None",'Ch6'!X542)</f>
        <v>None</v>
      </c>
      <c r="Z860" s="1102"/>
      <c r="AL860" t="str">
        <f>SUBSTITUTE(SUBSTITUTE(SUBSTITUTE("vpa"&amp;$B860&amp;$C860&amp;$D860&amp;$E860,".","_"),"(","_"),")","")</f>
        <v>vpa612_3_9</v>
      </c>
      <c r="AM860" t="str">
        <f>M860</f>
        <v>1 per system
[5 max]</v>
      </c>
      <c r="AP860" t="str">
        <f>SUBSTITUTE(SUBSTITUTE(SUBSTITUTE("vch"&amp;$B860&amp;$C860&amp;$D860&amp;$E860,".","_"),"(","_"),")","")</f>
        <v>vch612_3_9</v>
      </c>
      <c r="AQ860" t="str">
        <f>IF(LEN(W860)=0,"",W860)</f>
        <v/>
      </c>
      <c r="AR860" t="str">
        <f>SUBSTITUTE(SUBSTITUTE(SUBSTITUTE("vnt"&amp;$B860&amp;$C860&amp;$D860&amp;$E860,".","_"),"(","_"),")","")</f>
        <v>vnt612_3_9</v>
      </c>
      <c r="AS860" t="str">
        <f>IF(LEN(X860)=0,"",X860)</f>
        <v/>
      </c>
    </row>
    <row r="861" spans="1:45" x14ac:dyDescent="0.35">
      <c r="A861" s="366">
        <v>6</v>
      </c>
      <c r="B861" s="737" t="s">
        <v>4192</v>
      </c>
      <c r="C861" s="731" t="s">
        <v>430</v>
      </c>
      <c r="D861" s="731"/>
      <c r="E861" s="731"/>
      <c r="F861" s="731"/>
      <c r="G861" s="366" t="str">
        <f t="shared" ca="1" si="57"/>
        <v>P</v>
      </c>
      <c r="H861" s="366" t="s">
        <v>3970</v>
      </c>
      <c r="I861" s="30"/>
      <c r="J861" s="19"/>
      <c r="K861" s="43"/>
      <c r="L861" s="814"/>
      <c r="M861" s="843"/>
      <c r="O861" s="41"/>
      <c r="X861" s="817"/>
      <c r="Y861" s="1119"/>
      <c r="Z861" s="1105"/>
    </row>
    <row r="862" spans="1:45" x14ac:dyDescent="0.35">
      <c r="A862" s="366">
        <v>6</v>
      </c>
      <c r="B862" s="737" t="s">
        <v>4192</v>
      </c>
      <c r="C862" s="731" t="s">
        <v>430</v>
      </c>
      <c r="D862" s="731"/>
      <c r="E862" s="731"/>
      <c r="F862" s="731"/>
      <c r="G862" s="366" t="str">
        <f t="shared" ca="1" si="57"/>
        <v>P</v>
      </c>
      <c r="H862" s="366" t="s">
        <v>3970</v>
      </c>
      <c r="I862" s="30"/>
      <c r="J862" s="4"/>
      <c r="K862" s="43"/>
      <c r="L862" s="814"/>
      <c r="M862" s="843"/>
      <c r="O862" s="41"/>
      <c r="W862" s="65"/>
      <c r="X862" s="850"/>
      <c r="Y862" s="1119"/>
      <c r="Z862" s="1105"/>
    </row>
    <row r="863" spans="1:45" ht="18.5" x14ac:dyDescent="0.45">
      <c r="A863" s="366">
        <v>6</v>
      </c>
      <c r="B863" s="737" t="s">
        <v>4899</v>
      </c>
      <c r="C863" s="731"/>
      <c r="D863" s="731"/>
      <c r="E863" s="731"/>
      <c r="F863" s="731"/>
      <c r="G863" s="732" t="s">
        <v>3973</v>
      </c>
      <c r="H863" s="741" t="s">
        <v>3970</v>
      </c>
      <c r="I863" s="566" t="s">
        <v>4900</v>
      </c>
      <c r="J863" s="567"/>
      <c r="K863" s="568"/>
      <c r="L863" s="569"/>
      <c r="M863" s="570"/>
      <c r="N863" s="571"/>
      <c r="O863" s="572"/>
      <c r="P863" s="567"/>
      <c r="Q863" s="567"/>
      <c r="R863" s="567"/>
      <c r="S863" s="567"/>
      <c r="T863" s="567"/>
      <c r="U863" s="567"/>
      <c r="V863" s="567"/>
      <c r="W863" s="567"/>
      <c r="X863" s="567"/>
      <c r="Y863" s="567"/>
      <c r="Z863" s="661"/>
    </row>
    <row r="864" spans="1:45" x14ac:dyDescent="0.35">
      <c r="A864" s="366">
        <v>6</v>
      </c>
      <c r="B864" s="737" t="s">
        <v>4215</v>
      </c>
      <c r="C864" s="731"/>
      <c r="D864" s="731"/>
      <c r="E864" s="731"/>
      <c r="F864" s="731"/>
      <c r="G864" s="366" t="str">
        <f ca="1">IF(N864&gt;0,"P","")</f>
        <v/>
      </c>
      <c r="H864" s="366" t="s">
        <v>3970</v>
      </c>
      <c r="I864" s="30">
        <v>613.1</v>
      </c>
      <c r="J864" s="4"/>
      <c r="K864" s="43"/>
      <c r="L864" s="838" t="s">
        <v>4213</v>
      </c>
      <c r="M864" s="818"/>
      <c r="N864" s="834">
        <f ca="1">'Ch6'!O546</f>
        <v>0</v>
      </c>
      <c r="O864" s="834">
        <f ca="1">IFERROR(INDEX({2,3,5,10,12,15},MATCH(W864,INDIRECT(U864),0)),0)</f>
        <v>0</v>
      </c>
      <c r="P864" t="b">
        <v>1</v>
      </c>
      <c r="Q864" t="b">
        <v>1</v>
      </c>
      <c r="R864" t="b">
        <v>0</v>
      </c>
      <c r="S864" t="b">
        <v>1</v>
      </c>
      <c r="T864" t="b">
        <v>0</v>
      </c>
      <c r="U864" t="str">
        <f>SUBSTITUTE(SUBSTITUTE(SUBSTITUTE("dd"&amp;B864&amp;C864&amp;D864&amp;E864&amp;F864,".","_"),"(","_"),")","")</f>
        <v>dd613_1</v>
      </c>
      <c r="W864" s="167"/>
      <c r="X864" s="816"/>
      <c r="Y864" s="1120" t="str">
        <f>IF(LEN('Ch6'!X546)=0,"None",'Ch6'!X546)</f>
        <v>None</v>
      </c>
      <c r="Z864" s="1109"/>
      <c r="AN864" t="str">
        <f>SUBSTITUTE(SUBSTITUTE(SUBSTITUTE("vpc"&amp;$B864&amp;$C864&amp;$D864&amp;$E864,".","_"),"(","_"),")","")</f>
        <v>vpc613_1</v>
      </c>
      <c r="AO864">
        <f ca="1">O864</f>
        <v>0</v>
      </c>
      <c r="AP864" t="str">
        <f>SUBSTITUTE(SUBSTITUTE(SUBSTITUTE("vch"&amp;$B864&amp;$C864&amp;$D864&amp;$E864,".","_"),"(","_"),")","")</f>
        <v>vch613_1</v>
      </c>
      <c r="AQ864" t="str">
        <f>IF(LEN(W864)=0,"",W864)</f>
        <v/>
      </c>
      <c r="AR864" t="str">
        <f>SUBSTITUTE(SUBSTITUTE(SUBSTITUTE("vnt"&amp;$B864&amp;$C864&amp;$D864&amp;$E864,".","_"),"(","_"),")","")</f>
        <v>vnt613_1</v>
      </c>
      <c r="AS864" t="str">
        <f>IF(LEN(X864)=0,"",X864)</f>
        <v/>
      </c>
    </row>
    <row r="865" spans="1:61" x14ac:dyDescent="0.35">
      <c r="A865" s="366">
        <v>6</v>
      </c>
      <c r="B865" s="737" t="s">
        <v>4215</v>
      </c>
      <c r="C865" s="731"/>
      <c r="D865" s="731"/>
      <c r="E865" s="731"/>
      <c r="F865" s="731"/>
      <c r="G865" s="366" t="str">
        <f t="shared" ca="1" si="57"/>
        <v/>
      </c>
      <c r="H865" s="366" t="s">
        <v>3970</v>
      </c>
      <c r="I865" s="30"/>
      <c r="J865" s="4"/>
      <c r="K865" s="43"/>
      <c r="L865" s="838"/>
      <c r="M865" s="818"/>
      <c r="N865" s="834"/>
      <c r="O865" s="834"/>
      <c r="X865" s="817"/>
      <c r="Y865" s="1120"/>
      <c r="Z865" s="1109"/>
    </row>
    <row r="866" spans="1:61" x14ac:dyDescent="0.35">
      <c r="A866" s="366">
        <v>6</v>
      </c>
      <c r="B866" s="737" t="s">
        <v>4215</v>
      </c>
      <c r="C866" s="731"/>
      <c r="D866" s="731"/>
      <c r="E866" s="731"/>
      <c r="F866" s="731"/>
      <c r="G866" s="366" t="str">
        <f t="shared" ca="1" si="57"/>
        <v/>
      </c>
      <c r="H866" s="366" t="s">
        <v>3970</v>
      </c>
      <c r="I866" s="30"/>
      <c r="J866" s="4"/>
      <c r="K866" s="43"/>
      <c r="L866" s="838"/>
      <c r="M866" s="818"/>
      <c r="N866" s="834"/>
      <c r="O866" s="834"/>
      <c r="X866" s="817"/>
      <c r="Y866" s="1120"/>
      <c r="Z866" s="1109"/>
    </row>
    <row r="867" spans="1:61" x14ac:dyDescent="0.35">
      <c r="A867" s="366">
        <v>6</v>
      </c>
      <c r="B867" s="737" t="s">
        <v>4215</v>
      </c>
      <c r="C867" s="731"/>
      <c r="D867" s="731"/>
      <c r="E867" s="731"/>
      <c r="F867" s="731"/>
      <c r="G867" s="366" t="str">
        <f t="shared" ca="1" si="57"/>
        <v/>
      </c>
      <c r="H867" s="366" t="s">
        <v>3970</v>
      </c>
      <c r="I867" s="30"/>
      <c r="J867" s="4"/>
      <c r="K867" s="43"/>
      <c r="L867" s="838"/>
      <c r="M867" s="40"/>
      <c r="N867" s="834"/>
      <c r="O867" s="834"/>
      <c r="X867" s="817"/>
      <c r="Y867" s="1120"/>
      <c r="Z867" s="1109"/>
    </row>
    <row r="868" spans="1:61" x14ac:dyDescent="0.35">
      <c r="A868" s="366">
        <v>6</v>
      </c>
      <c r="B868" s="737" t="s">
        <v>4215</v>
      </c>
      <c r="C868" s="731"/>
      <c r="D868" s="731"/>
      <c r="E868" s="731"/>
      <c r="F868" s="731"/>
      <c r="G868" s="366" t="str">
        <f t="shared" ca="1" si="57"/>
        <v/>
      </c>
      <c r="H868" s="366" t="s">
        <v>3970</v>
      </c>
      <c r="I868" s="30"/>
      <c r="J868" s="4"/>
      <c r="K868" s="43"/>
      <c r="L868" s="838"/>
      <c r="M868" s="40"/>
      <c r="N868" s="834"/>
      <c r="O868" s="834"/>
      <c r="X868" s="817"/>
      <c r="Y868" s="1120"/>
      <c r="Z868" s="1109"/>
    </row>
    <row r="869" spans="1:61" x14ac:dyDescent="0.35">
      <c r="A869" s="366">
        <v>6</v>
      </c>
      <c r="B869" s="737" t="s">
        <v>4215</v>
      </c>
      <c r="C869" s="731" t="s">
        <v>121</v>
      </c>
      <c r="D869" s="731"/>
      <c r="E869" s="731"/>
      <c r="F869" s="731"/>
      <c r="G869" s="366" t="str">
        <f t="shared" ca="1" si="57"/>
        <v/>
      </c>
      <c r="H869" s="366" t="s">
        <v>3970</v>
      </c>
      <c r="I869" s="402"/>
      <c r="J869" s="467"/>
      <c r="K869" s="47" t="s">
        <v>121</v>
      </c>
      <c r="L869" s="881" t="s">
        <v>4214</v>
      </c>
      <c r="M869" s="818">
        <v>2</v>
      </c>
      <c r="O869" s="41"/>
      <c r="X869" s="817"/>
      <c r="Y869" s="1120"/>
      <c r="Z869" s="1109"/>
      <c r="AL869" t="str">
        <f>SUBSTITUTE(SUBSTITUTE(SUBSTITUTE("vpa"&amp;$B869&amp;$C869&amp;$D869&amp;$E869,".","_"),"(","_"),")","")</f>
        <v>vpa613_1_a</v>
      </c>
      <c r="AM869">
        <f>M869</f>
        <v>2</v>
      </c>
    </row>
    <row r="870" spans="1:61" x14ac:dyDescent="0.35">
      <c r="A870" s="366">
        <v>6</v>
      </c>
      <c r="B870" s="737" t="s">
        <v>4215</v>
      </c>
      <c r="C870" s="731" t="s">
        <v>121</v>
      </c>
      <c r="D870" s="731"/>
      <c r="E870" s="731"/>
      <c r="F870" s="731"/>
      <c r="G870" s="366" t="str">
        <f t="shared" ca="1" si="57"/>
        <v/>
      </c>
      <c r="H870" s="366" t="s">
        <v>3970</v>
      </c>
      <c r="I870" s="412"/>
      <c r="J870" s="467"/>
      <c r="K870" s="104"/>
      <c r="L870" s="882"/>
      <c r="M870" s="819"/>
      <c r="O870" s="41"/>
      <c r="X870" s="817"/>
      <c r="Y870" s="1120"/>
      <c r="Z870" s="1109"/>
    </row>
    <row r="871" spans="1:61" x14ac:dyDescent="0.35">
      <c r="A871" s="366">
        <v>6</v>
      </c>
      <c r="B871" s="737" t="s">
        <v>4215</v>
      </c>
      <c r="C871" s="731" t="s">
        <v>122</v>
      </c>
      <c r="D871" s="731"/>
      <c r="E871" s="731"/>
      <c r="F871" s="731"/>
      <c r="G871" s="366" t="str">
        <f t="shared" ca="1" si="57"/>
        <v/>
      </c>
      <c r="H871" s="366" t="s">
        <v>3970</v>
      </c>
      <c r="I871" s="402"/>
      <c r="J871" s="467"/>
      <c r="K871" s="468" t="s">
        <v>122</v>
      </c>
      <c r="L871" s="883" t="s">
        <v>4208</v>
      </c>
      <c r="M871" s="822">
        <v>3</v>
      </c>
      <c r="O871" s="41"/>
      <c r="X871" s="817"/>
      <c r="Y871" s="1120"/>
      <c r="Z871" s="1109"/>
      <c r="AL871" t="str">
        <f>SUBSTITUTE(SUBSTITUTE(SUBSTITUTE("vpa"&amp;$B871&amp;$C871&amp;$D871&amp;$E871,".","_"),"(","_"),")","")</f>
        <v>vpa613_1_b</v>
      </c>
      <c r="AM871">
        <f>M871</f>
        <v>3</v>
      </c>
    </row>
    <row r="872" spans="1:61" x14ac:dyDescent="0.35">
      <c r="A872" s="366">
        <v>6</v>
      </c>
      <c r="B872" s="737" t="s">
        <v>4215</v>
      </c>
      <c r="C872" s="731" t="s">
        <v>122</v>
      </c>
      <c r="D872" s="731"/>
      <c r="E872" s="731"/>
      <c r="F872" s="731"/>
      <c r="G872" s="366" t="str">
        <f t="shared" ca="1" si="57"/>
        <v/>
      </c>
      <c r="H872" s="366" t="s">
        <v>3970</v>
      </c>
      <c r="I872" s="412"/>
      <c r="J872" s="467"/>
      <c r="L872" s="881"/>
      <c r="M872" s="818"/>
      <c r="O872" s="41"/>
      <c r="X872" s="817"/>
      <c r="Y872" s="1120"/>
      <c r="Z872" s="1109"/>
    </row>
    <row r="873" spans="1:61" x14ac:dyDescent="0.35">
      <c r="A873" s="366">
        <v>6</v>
      </c>
      <c r="B873" s="737" t="s">
        <v>4215</v>
      </c>
      <c r="C873" s="731" t="s">
        <v>122</v>
      </c>
      <c r="D873" s="731"/>
      <c r="E873" s="731"/>
      <c r="F873" s="731"/>
      <c r="G873" s="366" t="str">
        <f t="shared" ca="1" si="57"/>
        <v/>
      </c>
      <c r="H873" s="366" t="s">
        <v>3970</v>
      </c>
      <c r="I873" s="412"/>
      <c r="J873" s="467"/>
      <c r="L873" s="881"/>
      <c r="M873" s="818"/>
      <c r="O873" s="41"/>
      <c r="X873" s="817"/>
      <c r="Y873" s="1120"/>
      <c r="Z873" s="1109"/>
    </row>
    <row r="874" spans="1:61" x14ac:dyDescent="0.35">
      <c r="A874" s="366">
        <v>6</v>
      </c>
      <c r="B874" s="737" t="s">
        <v>4215</v>
      </c>
      <c r="C874" s="731" t="s">
        <v>122</v>
      </c>
      <c r="D874" s="731"/>
      <c r="E874" s="731"/>
      <c r="F874" s="731"/>
      <c r="G874" s="366" t="str">
        <f t="shared" ca="1" si="57"/>
        <v/>
      </c>
      <c r="H874" s="366" t="s">
        <v>3970</v>
      </c>
      <c r="I874" s="412"/>
      <c r="J874" s="467"/>
      <c r="K874" s="104"/>
      <c r="L874" s="882"/>
      <c r="M874" s="819"/>
      <c r="O874" s="41"/>
      <c r="X874" s="817"/>
      <c r="Y874" s="1120"/>
      <c r="Z874" s="1109"/>
    </row>
    <row r="875" spans="1:61" x14ac:dyDescent="0.35">
      <c r="A875" s="366">
        <v>6</v>
      </c>
      <c r="B875" s="737" t="s">
        <v>4215</v>
      </c>
      <c r="C875" s="731" t="s">
        <v>123</v>
      </c>
      <c r="D875" s="731"/>
      <c r="E875" s="731"/>
      <c r="F875" s="731"/>
      <c r="G875" s="366" t="str">
        <f t="shared" ca="1" si="57"/>
        <v/>
      </c>
      <c r="H875" s="366" t="s">
        <v>3970</v>
      </c>
      <c r="I875" s="402"/>
      <c r="J875" s="467"/>
      <c r="K875" s="135" t="s">
        <v>123</v>
      </c>
      <c r="L875" s="479" t="s">
        <v>4209</v>
      </c>
      <c r="M875" s="278">
        <v>5</v>
      </c>
      <c r="O875" s="41"/>
      <c r="X875" s="817"/>
      <c r="Y875" s="1120"/>
      <c r="Z875" s="1109"/>
      <c r="AL875" t="str">
        <f>SUBSTITUTE(SUBSTITUTE(SUBSTITUTE("vpa"&amp;$B875&amp;$C875&amp;$D875&amp;$E875,".","_"),"(","_"),")","")</f>
        <v>vpa613_1_c</v>
      </c>
      <c r="AM875">
        <f>M875</f>
        <v>5</v>
      </c>
    </row>
    <row r="876" spans="1:61" x14ac:dyDescent="0.35">
      <c r="A876" s="366">
        <v>6</v>
      </c>
      <c r="B876" s="737" t="s">
        <v>4215</v>
      </c>
      <c r="C876" s="733" t="s">
        <v>401</v>
      </c>
      <c r="D876" s="731"/>
      <c r="E876" s="731"/>
      <c r="F876" s="731"/>
      <c r="G876" s="366" t="str">
        <f t="shared" ca="1" si="57"/>
        <v/>
      </c>
      <c r="H876" s="366" t="s">
        <v>3970</v>
      </c>
      <c r="I876" s="402"/>
      <c r="J876" s="467"/>
      <c r="K876" s="140" t="s">
        <v>401</v>
      </c>
      <c r="L876" s="479" t="s">
        <v>4210</v>
      </c>
      <c r="M876" s="278">
        <v>10</v>
      </c>
      <c r="O876" s="41"/>
      <c r="X876" s="817"/>
      <c r="Y876" s="1120"/>
      <c r="Z876" s="1109"/>
      <c r="AL876" t="str">
        <f>SUBSTITUTE(SUBSTITUTE(SUBSTITUTE("vpa"&amp;$B876&amp;$C876&amp;$D876&amp;$E876,".","_"),"(","_"),")","")</f>
        <v>vpa613_1_d</v>
      </c>
      <c r="AM876">
        <f>M876</f>
        <v>10</v>
      </c>
    </row>
    <row r="877" spans="1:61" x14ac:dyDescent="0.35">
      <c r="A877" s="366">
        <v>6</v>
      </c>
      <c r="B877" s="737" t="s">
        <v>4215</v>
      </c>
      <c r="C877" s="731" t="s">
        <v>539</v>
      </c>
      <c r="D877" s="731"/>
      <c r="E877" s="731"/>
      <c r="F877" s="731"/>
      <c r="G877" s="366" t="str">
        <f t="shared" ca="1" si="57"/>
        <v/>
      </c>
      <c r="H877" s="366" t="s">
        <v>3970</v>
      </c>
      <c r="I877" s="402"/>
      <c r="J877" s="467"/>
      <c r="K877" s="141" t="s">
        <v>539</v>
      </c>
      <c r="L877" s="479" t="s">
        <v>4211</v>
      </c>
      <c r="M877" s="278">
        <v>12</v>
      </c>
      <c r="O877" s="41"/>
      <c r="X877" s="817"/>
      <c r="Y877" s="1120"/>
      <c r="Z877" s="1109"/>
      <c r="AL877" t="str">
        <f>SUBSTITUTE(SUBSTITUTE(SUBSTITUTE("vpa"&amp;$B877&amp;$C877&amp;$D877&amp;$E877,".","_"),"(","_"),")","")</f>
        <v>vpa613_1_e</v>
      </c>
      <c r="AM877">
        <f>M877</f>
        <v>12</v>
      </c>
    </row>
    <row r="878" spans="1:61" x14ac:dyDescent="0.35">
      <c r="A878" s="366">
        <v>6</v>
      </c>
      <c r="B878" s="737" t="s">
        <v>4215</v>
      </c>
      <c r="C878" s="731" t="s">
        <v>604</v>
      </c>
      <c r="D878" s="731"/>
      <c r="E878" s="731"/>
      <c r="F878" s="731"/>
      <c r="G878" s="366" t="str">
        <f t="shared" ca="1" si="57"/>
        <v/>
      </c>
      <c r="H878" s="366" t="s">
        <v>3970</v>
      </c>
      <c r="I878" s="402"/>
      <c r="J878" s="467"/>
      <c r="K878" s="47" t="s">
        <v>604</v>
      </c>
      <c r="L878" s="480" t="s">
        <v>4212</v>
      </c>
      <c r="M878" s="40">
        <v>15</v>
      </c>
      <c r="O878" s="41"/>
      <c r="X878" s="817"/>
      <c r="Y878" s="1120"/>
      <c r="Z878" s="1109"/>
      <c r="AL878" t="str">
        <f>SUBSTITUTE(SUBSTITUTE(SUBSTITUTE("vpa"&amp;$B878&amp;$C878&amp;$D878&amp;$E878,".","_"),"(","_"),")","")</f>
        <v>vpa613_1_f</v>
      </c>
      <c r="AM878">
        <f>M878</f>
        <v>15</v>
      </c>
    </row>
    <row r="879" spans="1:61" ht="18.5" x14ac:dyDescent="0.45">
      <c r="A879" s="366">
        <v>7</v>
      </c>
      <c r="B879" s="742">
        <v>701</v>
      </c>
      <c r="G879" s="366" t="s">
        <v>3973</v>
      </c>
      <c r="H879" s="366" t="s">
        <v>3970</v>
      </c>
      <c r="I879" s="14" t="s">
        <v>812</v>
      </c>
      <c r="J879" s="14"/>
      <c r="K879" s="14"/>
      <c r="L879" s="584"/>
      <c r="M879" s="554"/>
      <c r="N879" s="16"/>
      <c r="O879" s="16"/>
      <c r="P879" t="s">
        <v>247</v>
      </c>
      <c r="Q879" t="s">
        <v>247</v>
      </c>
      <c r="R879" t="s">
        <v>247</v>
      </c>
      <c r="S879" t="s">
        <v>247</v>
      </c>
      <c r="T879" t="s">
        <v>247</v>
      </c>
      <c r="U879" t="s">
        <v>247</v>
      </c>
      <c r="V879" t="s">
        <v>247</v>
      </c>
      <c r="W879" s="15"/>
      <c r="X879" s="15"/>
      <c r="Y879" s="15"/>
      <c r="Z879" s="651"/>
      <c r="AB879" s="2" t="s">
        <v>247</v>
      </c>
      <c r="AC879" s="2" t="s">
        <v>247</v>
      </c>
      <c r="AD879" s="2" t="s">
        <v>247</v>
      </c>
      <c r="AE879" s="2" t="s">
        <v>247</v>
      </c>
      <c r="AF879" s="2" t="s">
        <v>247</v>
      </c>
      <c r="AG879" s="2" t="s">
        <v>247</v>
      </c>
      <c r="AH879" s="2" t="s">
        <v>247</v>
      </c>
      <c r="AI879" s="2" t="s">
        <v>247</v>
      </c>
      <c r="AJ879" s="2" t="s">
        <v>247</v>
      </c>
      <c r="AK879" s="2" t="s">
        <v>247</v>
      </c>
      <c r="AL879" s="2"/>
      <c r="AM879" s="2"/>
      <c r="AN879" s="2"/>
      <c r="AO879" s="2"/>
      <c r="AP879" s="2"/>
      <c r="AQ879" s="2"/>
      <c r="AR879" s="2"/>
      <c r="AS879" s="2" t="s">
        <v>247</v>
      </c>
      <c r="AT879" s="2" t="s">
        <v>247</v>
      </c>
      <c r="AU879" s="2" t="s">
        <v>247</v>
      </c>
      <c r="AV879" s="2" t="s">
        <v>247</v>
      </c>
      <c r="AW879" s="2" t="s">
        <v>247</v>
      </c>
      <c r="AX879" s="2" t="s">
        <v>247</v>
      </c>
      <c r="AY879" s="2" t="s">
        <v>247</v>
      </c>
      <c r="AZ879" s="2" t="s">
        <v>247</v>
      </c>
      <c r="BA879" s="2" t="s">
        <v>247</v>
      </c>
      <c r="BB879" s="2" t="s">
        <v>247</v>
      </c>
      <c r="BC879" s="2" t="s">
        <v>247</v>
      </c>
      <c r="BD879" s="2" t="s">
        <v>247</v>
      </c>
      <c r="BE879" s="2" t="s">
        <v>247</v>
      </c>
      <c r="BF879" s="2" t="s">
        <v>247</v>
      </c>
      <c r="BG879" s="2" t="s">
        <v>247</v>
      </c>
      <c r="BH879" s="2" t="s">
        <v>247</v>
      </c>
      <c r="BI879" s="2" t="s">
        <v>247</v>
      </c>
    </row>
    <row r="880" spans="1:61" x14ac:dyDescent="0.35">
      <c r="A880" s="366">
        <v>7</v>
      </c>
      <c r="B880" s="738" t="s">
        <v>4078</v>
      </c>
      <c r="C880" s="735"/>
      <c r="D880" s="731"/>
      <c r="E880" s="731"/>
      <c r="F880" s="731"/>
      <c r="G880" s="366" t="s">
        <v>3973</v>
      </c>
      <c r="H880" s="366" t="s">
        <v>3970</v>
      </c>
      <c r="I880" s="30">
        <v>701.1</v>
      </c>
      <c r="J880" s="152"/>
      <c r="K880" s="90"/>
      <c r="L880" s="838" t="s">
        <v>4851</v>
      </c>
      <c r="M880" s="40"/>
      <c r="O880" s="41"/>
    </row>
    <row r="881" spans="1:61" x14ac:dyDescent="0.35">
      <c r="A881" s="366">
        <v>7</v>
      </c>
      <c r="B881" s="738" t="s">
        <v>4078</v>
      </c>
      <c r="C881" s="735"/>
      <c r="D881" s="731"/>
      <c r="E881" s="731"/>
      <c r="F881" s="731"/>
      <c r="G881" s="366" t="s">
        <v>3973</v>
      </c>
      <c r="H881" s="366" t="s">
        <v>3970</v>
      </c>
      <c r="I881" s="30"/>
      <c r="J881" s="152"/>
      <c r="K881" s="90"/>
      <c r="L881" s="838"/>
      <c r="M881" s="40"/>
      <c r="O881" s="41"/>
      <c r="W881" t="s">
        <v>1106</v>
      </c>
      <c r="AX881" s="6" t="str">
        <f>'Overview (Verification)'!A10</f>
        <v>Builder Name:</v>
      </c>
      <c r="AY881">
        <f>IF(LEN('Overview (Verification)'!P10)=0,0,'Overview (Verification)'!P10)</f>
        <v>0</v>
      </c>
    </row>
    <row r="882" spans="1:61" x14ac:dyDescent="0.35">
      <c r="A882" s="366">
        <v>7</v>
      </c>
      <c r="B882" s="738" t="s">
        <v>4078</v>
      </c>
      <c r="C882" s="735"/>
      <c r="D882" s="731"/>
      <c r="E882" s="731"/>
      <c r="F882" s="731"/>
      <c r="G882" s="366" t="s">
        <v>3973</v>
      </c>
      <c r="H882" s="366" t="s">
        <v>3970</v>
      </c>
      <c r="I882" s="30"/>
      <c r="J882" s="152"/>
      <c r="K882" s="90"/>
      <c r="L882" s="838"/>
      <c r="M882" s="40"/>
      <c r="O882" s="41"/>
      <c r="P882" t="b">
        <v>1</v>
      </c>
      <c r="Q882" t="b">
        <v>0</v>
      </c>
      <c r="R882" t="b">
        <v>1</v>
      </c>
      <c r="S882" t="b">
        <v>1</v>
      </c>
      <c r="T882" t="b">
        <f>AND(NOT(S882),LEN(W882)&gt;0)</f>
        <v>0</v>
      </c>
      <c r="U882" t="str">
        <f>SUBSTITUTE(SUBSTITUTE(SUBSTITUTE("dd"&amp;B882&amp;C882&amp;D882&amp;E882&amp;F882,".","_"),"(","_"),")","")</f>
        <v>dd701_1</v>
      </c>
      <c r="W882" s="9"/>
      <c r="AC882" t="b">
        <f>OR(AD882:AE882)</f>
        <v>1</v>
      </c>
      <c r="AD882" t="b">
        <f>T882</f>
        <v>0</v>
      </c>
      <c r="AE882" t="b">
        <f>AND(R882,ISBLANK(W882))</f>
        <v>1</v>
      </c>
      <c r="AF882" t="b">
        <f>AND(AE882,NOT(Q882))</f>
        <v>1</v>
      </c>
      <c r="AP882" t="str">
        <f>SUBSTITUTE(SUBSTITUTE(SUBSTITUTE("vch"&amp;$B882&amp;$C882&amp;$D882&amp;$E882,".","_"),"(","_"),")","")</f>
        <v>vch701_1</v>
      </c>
      <c r="AQ882" t="str">
        <f>IF(LEN(W882)=0,"",W882)</f>
        <v/>
      </c>
      <c r="AX882" s="6" t="str">
        <f>'Overview (Verification)'!A11</f>
        <v>Physical Address of Home:</v>
      </c>
      <c r="AY882">
        <f>IF(LEN('Overview (Verification)'!P11)=0,0,'Overview (Verification)'!P11)</f>
        <v>0</v>
      </c>
    </row>
    <row r="883" spans="1:61" x14ac:dyDescent="0.35">
      <c r="A883" s="366">
        <v>7</v>
      </c>
      <c r="B883" s="738" t="s">
        <v>4078</v>
      </c>
      <c r="C883" s="735"/>
      <c r="D883" s="731"/>
      <c r="E883" s="731"/>
      <c r="F883" s="731"/>
      <c r="G883" s="366" t="s">
        <v>3973</v>
      </c>
      <c r="H883" s="366" t="s">
        <v>3970</v>
      </c>
      <c r="I883" s="30"/>
      <c r="J883" s="152"/>
      <c r="K883" s="90"/>
      <c r="L883" s="838"/>
      <c r="M883" s="40"/>
      <c r="O883" s="41"/>
      <c r="R883" s="1" t="s">
        <v>3380</v>
      </c>
      <c r="S883" s="1">
        <f ca="1">IFERROR(MATCH(W882,INDIRECT(U882),0),0)</f>
        <v>0</v>
      </c>
      <c r="W883" t="s">
        <v>5596</v>
      </c>
      <c r="AX883" s="6" t="str">
        <f>'Overview (Verification)'!A12</f>
        <v>Community/Lot #:</v>
      </c>
      <c r="AY883">
        <f>IF(LEN('Overview (Verification)'!P12)=0,0,'Overview (Verification)'!P12)</f>
        <v>0</v>
      </c>
    </row>
    <row r="884" spans="1:61" x14ac:dyDescent="0.35">
      <c r="A884" s="366">
        <v>7</v>
      </c>
      <c r="B884" s="738" t="s">
        <v>4078</v>
      </c>
      <c r="C884" s="735" t="s">
        <v>5101</v>
      </c>
      <c r="D884" s="731"/>
      <c r="E884" s="731"/>
      <c r="F884" s="731"/>
      <c r="G884" s="366" t="s">
        <v>3973</v>
      </c>
      <c r="H884" s="366" t="s">
        <v>3970</v>
      </c>
      <c r="I884" s="30"/>
      <c r="J884" s="152"/>
      <c r="K884" s="90"/>
      <c r="L884" s="855" t="s">
        <v>5624</v>
      </c>
      <c r="M884" s="40"/>
      <c r="O884" s="41"/>
      <c r="P884" t="b">
        <v>1</v>
      </c>
      <c r="Q884" t="b">
        <v>0</v>
      </c>
      <c r="R884" t="b">
        <f ca="1">S884</f>
        <v>0</v>
      </c>
      <c r="S884" t="b">
        <f ca="1">OR(S883=1,S883=3,IFERROR(MATCH(W898,INDIRECT(U898))=1,FALSE),AND(IFERROR(MATCH(W898,INDIRECT(U898))=2,FALSE),NOT(BI886="Tropical")))</f>
        <v>0</v>
      </c>
      <c r="T884" t="b">
        <f ca="1">AND(NOT(S884),LEN(W884)&gt;0)</f>
        <v>0</v>
      </c>
      <c r="U884" t="str">
        <f>SUBSTITUTE(SUBSTITUTE(SUBSTITUTE("dd"&amp;B884&amp;C884&amp;D884&amp;E884&amp;F884,".","_"),"(","_"),")","")</f>
        <v>dd701_1_</v>
      </c>
      <c r="W884" s="9"/>
      <c r="X884" s="817"/>
      <c r="Y884" s="1100" t="str">
        <f>IF(LEN('Ch7'!X14)=0,"None",'Ch7'!X14)</f>
        <v>None</v>
      </c>
      <c r="Z884" s="1102"/>
      <c r="AC884" t="b">
        <f ca="1">OR(AD884:AE884)</f>
        <v>0</v>
      </c>
      <c r="AD884" t="b">
        <f ca="1">T884</f>
        <v>0</v>
      </c>
      <c r="AE884" t="b">
        <f ca="1">AND(R884,OR(LEN(W884)=0,LEN(X884)=0))</f>
        <v>0</v>
      </c>
      <c r="AF884" t="b">
        <f ca="1">AND(AE884,NOT(Q884))</f>
        <v>0</v>
      </c>
      <c r="AP884" t="str">
        <f>SUBSTITUTE(SUBSTITUTE(SUBSTITUTE("vch"&amp;$B884&amp;$C884&amp;$D884&amp;$E884,".","_"),"(","_"),")","")</f>
        <v>vch701_1_</v>
      </c>
      <c r="AQ884" t="str">
        <f>IF(LEN(W884)=0,"",W884)</f>
        <v/>
      </c>
      <c r="AR884" t="str">
        <f>SUBSTITUTE(SUBSTITUTE(SUBSTITUTE("vnt"&amp;$B884&amp;$C884&amp;$D884&amp;$E884,".","_"),"(","_"),")","")</f>
        <v>vnt701_1_</v>
      </c>
      <c r="AS884" t="str">
        <f>IF(LEN(X884)=0,"",X884)</f>
        <v/>
      </c>
      <c r="AX884" s="6" t="str">
        <f>'Overview (Verification)'!A13</f>
        <v>City:</v>
      </c>
      <c r="AY884">
        <f>IF(LEN('Overview (Verification)'!P13)=0,0,'Overview (Verification)'!P13)</f>
        <v>0</v>
      </c>
    </row>
    <row r="885" spans="1:61" x14ac:dyDescent="0.35">
      <c r="A885" s="366">
        <v>7</v>
      </c>
      <c r="B885" s="738" t="s">
        <v>4078</v>
      </c>
      <c r="C885" s="735"/>
      <c r="D885" s="731"/>
      <c r="E885" s="731"/>
      <c r="F885" s="731"/>
      <c r="G885" s="366" t="s">
        <v>3973</v>
      </c>
      <c r="H885" s="366" t="s">
        <v>3970</v>
      </c>
      <c r="I885" s="30"/>
      <c r="J885" s="152"/>
      <c r="K885" s="90"/>
      <c r="L885" s="855"/>
      <c r="M885" s="40"/>
      <c r="O885" s="41"/>
      <c r="X885" s="817"/>
      <c r="Y885" s="1100"/>
      <c r="Z885" s="1102"/>
      <c r="AX885" s="6" t="str">
        <f>'Overview (Verification)'!A14</f>
        <v>State:</v>
      </c>
      <c r="AY885">
        <f>IF(LEN('Overview (Verification)'!P14)=0,0,'Overview (Verification)'!P14)</f>
        <v>0</v>
      </c>
      <c r="BC885" t="str">
        <f>'Overview (Verification)'!T14</f>
        <v>State</v>
      </c>
      <c r="BD885" t="str">
        <f>'Overview (Verification)'!U14</f>
        <v>County</v>
      </c>
      <c r="BE885" t="str">
        <f>'Overview (Verification)'!V14</f>
        <v>Radon</v>
      </c>
      <c r="BF885" t="str">
        <f>'Overview (Verification)'!W14</f>
        <v>Climate</v>
      </c>
      <c r="BG885" t="str">
        <f>'Overview (Verification)'!X14</f>
        <v>Moist</v>
      </c>
      <c r="BH885" t="str">
        <f>'Overview (Verification)'!Y14</f>
        <v>WarmHumid</v>
      </c>
      <c r="BI885" t="str">
        <f>'Overview (Verification)'!Z14</f>
        <v>Tropical</v>
      </c>
    </row>
    <row r="886" spans="1:61" x14ac:dyDescent="0.35">
      <c r="A886" s="366">
        <v>7</v>
      </c>
      <c r="B886" s="738" t="s">
        <v>4078</v>
      </c>
      <c r="C886" s="735"/>
      <c r="D886" s="731"/>
      <c r="E886" s="731"/>
      <c r="F886" s="731"/>
      <c r="G886" s="366" t="s">
        <v>3973</v>
      </c>
      <c r="H886" s="366" t="s">
        <v>3970</v>
      </c>
      <c r="I886" s="30"/>
      <c r="J886" s="152"/>
      <c r="K886" s="90"/>
      <c r="L886" s="855"/>
      <c r="M886" s="40"/>
      <c r="O886" s="41"/>
      <c r="X886" s="817"/>
      <c r="Y886" s="1100"/>
      <c r="Z886" s="1102"/>
      <c r="AX886" s="6" t="str">
        <f>'Overview (Verification)'!A15</f>
        <v>County:</v>
      </c>
      <c r="AY886">
        <f>IF(LEN('Overview (Verification)'!P15)=0,0,'Overview (Verification)'!P15)</f>
        <v>0</v>
      </c>
      <c r="BC886" t="str">
        <f>'Overview (Verification)'!T15</f>
        <v/>
      </c>
      <c r="BD886" t="str">
        <f>'Overview (Verification)'!U15</f>
        <v/>
      </c>
      <c r="BE886" t="str">
        <f>'Overview (Verification)'!V15</f>
        <v>!!</v>
      </c>
      <c r="BF886" t="str">
        <f>'Overview (Verification)'!W15</f>
        <v>!!</v>
      </c>
      <c r="BG886" t="str">
        <f>'Overview (Verification)'!X15</f>
        <v>!!</v>
      </c>
      <c r="BH886" t="str">
        <f>'Overview (Verification)'!Y15</f>
        <v>!!</v>
      </c>
      <c r="BI886" t="str">
        <f>'Overview (Verification)'!Z15</f>
        <v>!!</v>
      </c>
    </row>
    <row r="887" spans="1:61" ht="15" customHeight="1" x14ac:dyDescent="0.35">
      <c r="A887" s="366">
        <v>7</v>
      </c>
      <c r="B887" s="738" t="s">
        <v>813</v>
      </c>
      <c r="C887" s="735"/>
      <c r="D887" s="731"/>
      <c r="E887" s="731"/>
      <c r="F887" s="731"/>
      <c r="G887" s="366" t="s">
        <v>3973</v>
      </c>
      <c r="H887" s="366" t="s">
        <v>3970</v>
      </c>
      <c r="I887" s="117" t="s">
        <v>813</v>
      </c>
      <c r="J887" s="286"/>
      <c r="K887" s="286"/>
      <c r="L887" s="905" t="s">
        <v>5119</v>
      </c>
      <c r="M887" s="925" t="s">
        <v>4224</v>
      </c>
      <c r="N887" s="120"/>
      <c r="O887" s="552"/>
      <c r="P887" s="120" t="b">
        <v>0</v>
      </c>
      <c r="Q887" s="120" t="b">
        <v>1</v>
      </c>
      <c r="R887" s="328" t="s">
        <v>3381</v>
      </c>
      <c r="S887" s="328">
        <f ca="1">COUNTIF(O1427:O1485,"&gt;0")+MIN(1,O1493+O1496)+COUNTIF(O1499:O1532,"&gt;0")</f>
        <v>0</v>
      </c>
      <c r="T887" s="120"/>
      <c r="U887" s="120"/>
      <c r="V887" s="120"/>
      <c r="W887" s="120"/>
      <c r="X887" s="817"/>
      <c r="Y887" s="1100" t="str">
        <f>IF(LEN('Ch7'!X17)=0,"None",'Ch7'!X17)</f>
        <v>None</v>
      </c>
      <c r="Z887" s="1102"/>
      <c r="AC887" t="b">
        <f ca="1">OR(AD887:AE887)</f>
        <v>0</v>
      </c>
      <c r="AD887" t="b">
        <v>0</v>
      </c>
      <c r="AE887" t="b">
        <f ca="1">IF(AND(OR(S883=1,S883=2,S883=3),OR(S887&lt;1,(S887+S888)&lt;2)),TRUE,FALSE)</f>
        <v>0</v>
      </c>
      <c r="AF887" t="b">
        <f ca="1">AND(AE887,NOT(Q887))</f>
        <v>0</v>
      </c>
      <c r="AR887" t="str">
        <f>SUBSTITUTE(SUBSTITUTE(SUBSTITUTE("vnt"&amp;$B887&amp;$C887&amp;$D887&amp;$E887,".","_"),"(","_"),")","")</f>
        <v>vnt701_1_1</v>
      </c>
      <c r="AS887" t="str">
        <f>IF(LEN(X887)=0,"",X887)</f>
        <v/>
      </c>
      <c r="AX887" s="6" t="str">
        <f>'Overview (Verification)'!A16</f>
        <v>Zip:</v>
      </c>
      <c r="AY887">
        <f>IF(LEN('Overview (Verification)'!P16)=0,0,'Overview (Verification)'!P16)</f>
        <v>0</v>
      </c>
    </row>
    <row r="888" spans="1:61" ht="15" customHeight="1" x14ac:dyDescent="0.35">
      <c r="A888" s="366">
        <v>7</v>
      </c>
      <c r="B888" s="738" t="s">
        <v>813</v>
      </c>
      <c r="C888" s="735"/>
      <c r="D888" s="731"/>
      <c r="E888" s="731"/>
      <c r="F888" s="731"/>
      <c r="G888" s="366" t="s">
        <v>3973</v>
      </c>
      <c r="H888" s="366" t="s">
        <v>3970</v>
      </c>
      <c r="I888" s="30"/>
      <c r="J888" s="90"/>
      <c r="K888" s="90"/>
      <c r="L888" s="838"/>
      <c r="M888" s="926"/>
      <c r="O888" s="41"/>
      <c r="R888" s="328" t="s">
        <v>4223</v>
      </c>
      <c r="S888" s="1">
        <f ca="1">COUNTIF(O1534:O1613,"&gt;0")</f>
        <v>0</v>
      </c>
      <c r="X888" s="817"/>
      <c r="Y888" s="1100"/>
      <c r="Z888" s="1102"/>
      <c r="AX888" s="6"/>
    </row>
    <row r="889" spans="1:61" x14ac:dyDescent="0.35">
      <c r="A889" s="366">
        <v>7</v>
      </c>
      <c r="B889" s="738" t="s">
        <v>813</v>
      </c>
      <c r="C889" s="735"/>
      <c r="D889" s="731"/>
      <c r="E889" s="731"/>
      <c r="F889" s="731"/>
      <c r="G889" s="366" t="s">
        <v>3973</v>
      </c>
      <c r="H889" s="366" t="s">
        <v>3970</v>
      </c>
      <c r="I889" s="133"/>
      <c r="J889" s="228"/>
      <c r="K889" s="228"/>
      <c r="L889" s="889"/>
      <c r="M889" s="926"/>
      <c r="O889" s="41"/>
      <c r="R889" s="242" t="s">
        <v>4242</v>
      </c>
      <c r="S889" s="1" t="str">
        <f>BI886</f>
        <v>!!</v>
      </c>
      <c r="X889" s="817"/>
      <c r="Y889" s="1100"/>
      <c r="Z889" s="1102"/>
      <c r="AX889" s="6" t="str">
        <f>'Overview (Verification)'!A18</f>
        <v>Single-Family or Multifamily:</v>
      </c>
      <c r="AY889" t="str">
        <f>IF(LEN('Overview (Verification)'!P18)=0,0,'Overview (Verification)'!P18)</f>
        <v>Single-Family</v>
      </c>
    </row>
    <row r="890" spans="1:61" x14ac:dyDescent="0.35">
      <c r="A890" s="366">
        <v>7</v>
      </c>
      <c r="B890" s="738" t="s">
        <v>814</v>
      </c>
      <c r="C890" s="735"/>
      <c r="D890" s="731"/>
      <c r="E890" s="731"/>
      <c r="F890" s="731"/>
      <c r="G890" s="366" t="s">
        <v>3973</v>
      </c>
      <c r="H890" s="366" t="s">
        <v>3970</v>
      </c>
      <c r="I890" s="117" t="s">
        <v>814</v>
      </c>
      <c r="J890" s="286"/>
      <c r="K890" s="286"/>
      <c r="L890" s="905" t="s">
        <v>5120</v>
      </c>
      <c r="M890" s="926"/>
      <c r="O890" s="41"/>
      <c r="X890" s="817"/>
      <c r="Y890" s="1100" t="str">
        <f>IF(LEN('Ch7'!X20)=0,"None",'Ch7'!X20)</f>
        <v>None</v>
      </c>
      <c r="Z890" s="1102"/>
      <c r="AR890" t="str">
        <f>SUBSTITUTE(SUBSTITUTE(SUBSTITUTE("vnt"&amp;$B890&amp;$C890&amp;$D890&amp;$E890,".","_"),"(","_"),")","")</f>
        <v>vnt701_1_2</v>
      </c>
      <c r="AS890" t="str">
        <f>IF(LEN(X890)=0,"",X890)</f>
        <v/>
      </c>
      <c r="AX890" s="6" t="str">
        <f>'Overview (Verification)'!A19</f>
        <v>Number of Units:</v>
      </c>
      <c r="AY890">
        <f>IF(LEN('Overview (Verification)'!P19)=0,0,'Overview (Verification)'!P19)</f>
        <v>0</v>
      </c>
    </row>
    <row r="891" spans="1:61" x14ac:dyDescent="0.35">
      <c r="A891" s="366">
        <v>7</v>
      </c>
      <c r="B891" s="738" t="s">
        <v>814</v>
      </c>
      <c r="C891" s="735"/>
      <c r="D891" s="731"/>
      <c r="E891" s="731"/>
      <c r="F891" s="731"/>
      <c r="G891" s="366" t="s">
        <v>3973</v>
      </c>
      <c r="H891" s="366" t="s">
        <v>3970</v>
      </c>
      <c r="I891" s="4"/>
      <c r="J891" s="90"/>
      <c r="K891" s="90"/>
      <c r="L891" s="838"/>
      <c r="M891" s="926"/>
      <c r="O891" s="41"/>
      <c r="X891" s="817"/>
      <c r="Y891" s="1100"/>
      <c r="Z891" s="1102"/>
      <c r="AX891" s="6" t="str">
        <f>'Overview (Verification)'!A20</f>
        <v>Building includes commercial space pursuing Commercial Space certification?</v>
      </c>
      <c r="AY891">
        <f>IF(LEN('Overview (Verification)'!P20)=0,0,'Overview (Verification)'!P20)</f>
        <v>0</v>
      </c>
    </row>
    <row r="892" spans="1:61" x14ac:dyDescent="0.35">
      <c r="A892" s="366">
        <v>7</v>
      </c>
      <c r="B892" s="738" t="s">
        <v>814</v>
      </c>
      <c r="C892" s="735"/>
      <c r="D892" s="731"/>
      <c r="E892" s="731"/>
      <c r="F892" s="731"/>
      <c r="G892" s="366" t="s">
        <v>3973</v>
      </c>
      <c r="H892" s="366" t="s">
        <v>3970</v>
      </c>
      <c r="I892" s="4"/>
      <c r="J892" s="90"/>
      <c r="K892" s="90"/>
      <c r="L892" s="838"/>
      <c r="M892" s="926"/>
      <c r="O892" s="41"/>
      <c r="X892" s="817"/>
      <c r="Y892" s="1100"/>
      <c r="Z892" s="1102"/>
    </row>
    <row r="893" spans="1:61" x14ac:dyDescent="0.35">
      <c r="A893" s="366">
        <v>7</v>
      </c>
      <c r="B893" s="738" t="s">
        <v>814</v>
      </c>
      <c r="C893" s="735"/>
      <c r="D893" s="731"/>
      <c r="E893" s="731"/>
      <c r="F893" s="731"/>
      <c r="G893" s="366" t="s">
        <v>3973</v>
      </c>
      <c r="H893" s="366" t="s">
        <v>3970</v>
      </c>
      <c r="I893" s="133"/>
      <c r="J893" s="228"/>
      <c r="K893" s="228"/>
      <c r="L893" s="889"/>
      <c r="M893" s="926"/>
      <c r="O893" s="41"/>
      <c r="X893" s="817"/>
      <c r="Y893" s="1100"/>
      <c r="Z893" s="1102"/>
    </row>
    <row r="894" spans="1:61" x14ac:dyDescent="0.35">
      <c r="A894" s="366">
        <v>7</v>
      </c>
      <c r="B894" s="738" t="s">
        <v>815</v>
      </c>
      <c r="C894" s="735"/>
      <c r="D894" s="731"/>
      <c r="E894" s="731"/>
      <c r="F894" s="731"/>
      <c r="G894" s="366" t="s">
        <v>3973</v>
      </c>
      <c r="H894" s="366" t="s">
        <v>3970</v>
      </c>
      <c r="I894" s="30" t="s">
        <v>815</v>
      </c>
      <c r="J894" s="90"/>
      <c r="K894" s="90"/>
      <c r="L894" s="838" t="s">
        <v>5121</v>
      </c>
      <c r="M894" s="926"/>
      <c r="O894" s="41"/>
      <c r="X894" s="817"/>
      <c r="Y894" s="1119" t="str">
        <f>IF(LEN('Ch7'!X24)=0,"None",'Ch7'!X24)</f>
        <v>None</v>
      </c>
      <c r="Z894" s="1105"/>
      <c r="AR894" t="str">
        <f>SUBSTITUTE(SUBSTITUTE(SUBSTITUTE("vnt"&amp;$B894&amp;$C894&amp;$D894&amp;$E894,".","_"),"(","_"),")","")</f>
        <v>vnt701_1_3</v>
      </c>
      <c r="AS894" t="str">
        <f>IF(LEN(X894)=0,"",X894)</f>
        <v/>
      </c>
      <c r="AX894" s="6" t="str">
        <f>'Overview (Verification)'!A23</f>
        <v>Project Name:</v>
      </c>
      <c r="AY894">
        <f>IF(LEN('Overview (Verification)'!P23)=0,0,'Overview (Verification)'!P23)</f>
        <v>0</v>
      </c>
    </row>
    <row r="895" spans="1:61" x14ac:dyDescent="0.35">
      <c r="A895" s="366">
        <v>7</v>
      </c>
      <c r="B895" s="738" t="s">
        <v>815</v>
      </c>
      <c r="C895" s="735"/>
      <c r="D895" s="731"/>
      <c r="E895" s="731"/>
      <c r="F895" s="731"/>
      <c r="G895" s="366" t="s">
        <v>3973</v>
      </c>
      <c r="H895" s="366" t="s">
        <v>3970</v>
      </c>
      <c r="I895" s="4"/>
      <c r="J895" s="90"/>
      <c r="K895" s="90"/>
      <c r="L895" s="838"/>
      <c r="M895" s="926"/>
      <c r="O895" s="41"/>
      <c r="X895" s="817"/>
      <c r="Y895" s="1120"/>
      <c r="Z895" s="1109"/>
      <c r="AX895" s="6"/>
    </row>
    <row r="896" spans="1:61" x14ac:dyDescent="0.35">
      <c r="A896" s="366">
        <v>7</v>
      </c>
      <c r="B896" s="738" t="s">
        <v>815</v>
      </c>
      <c r="C896" s="735"/>
      <c r="D896" s="731"/>
      <c r="E896" s="731"/>
      <c r="F896" s="731"/>
      <c r="G896" s="366" t="s">
        <v>3973</v>
      </c>
      <c r="H896" s="366" t="s">
        <v>3970</v>
      </c>
      <c r="I896" s="133"/>
      <c r="J896" s="228"/>
      <c r="K896" s="228"/>
      <c r="L896" s="889"/>
      <c r="M896" s="927"/>
      <c r="N896" s="104"/>
      <c r="O896" s="546"/>
      <c r="P896" s="104"/>
      <c r="Q896" s="104"/>
      <c r="R896" s="104"/>
      <c r="S896" s="104"/>
      <c r="T896" s="104"/>
      <c r="U896" s="104"/>
      <c r="V896" s="104"/>
      <c r="W896" s="104"/>
      <c r="X896" s="817"/>
      <c r="Y896" s="1117"/>
      <c r="Z896" s="1103"/>
      <c r="AX896" s="6" t="str">
        <f>'Overview (Verification)'!A25</f>
        <v>Above grade plane finished floor area:</v>
      </c>
      <c r="AY896">
        <f>IF(LEN('Overview (Verification)'!P25)=0,0,'Overview (Verification)'!P25)</f>
        <v>0</v>
      </c>
    </row>
    <row r="897" spans="1:51" x14ac:dyDescent="0.35">
      <c r="A897" s="366">
        <v>7</v>
      </c>
      <c r="B897" s="738" t="s">
        <v>816</v>
      </c>
      <c r="C897" s="735"/>
      <c r="D897" s="731"/>
      <c r="E897" s="731"/>
      <c r="F897" s="731"/>
      <c r="G897" s="366" t="s">
        <v>3973</v>
      </c>
      <c r="H897" s="366" t="s">
        <v>3970</v>
      </c>
      <c r="I897" s="32" t="s">
        <v>816</v>
      </c>
      <c r="J897" s="90"/>
      <c r="K897" s="90"/>
      <c r="L897" s="838" t="s">
        <v>4888</v>
      </c>
      <c r="M897" s="40"/>
      <c r="N897" s="834">
        <f ca="1">'Ch7'!O27</f>
        <v>0</v>
      </c>
      <c r="O897" s="834">
        <f ca="1">IFERROR(MATCH(W898,INDIRECT(U898),0)*15+15,0)*S898</f>
        <v>0</v>
      </c>
      <c r="W897" t="s">
        <v>2995</v>
      </c>
      <c r="X897" s="817"/>
      <c r="Y897" s="1100" t="str">
        <f>IF(LEN('Ch7'!X27)=0,"None",'Ch7'!X27)</f>
        <v>None</v>
      </c>
      <c r="Z897" s="1102"/>
      <c r="AN897" t="str">
        <f>SUBSTITUTE(SUBSTITUTE(SUBSTITUTE("vpc"&amp;$B897&amp;$C897&amp;$D897&amp;$E897,".","_"),"(","_"),")","")</f>
        <v>vpc701_1_4</v>
      </c>
      <c r="AO897">
        <f ca="1">O897</f>
        <v>0</v>
      </c>
      <c r="AR897" t="str">
        <f>SUBSTITUTE(SUBSTITUTE(SUBSTITUTE("vnt"&amp;$B897&amp;$C897&amp;$D897&amp;$E897,".","_"),"(","_"),")","")</f>
        <v>vnt701_1_4</v>
      </c>
      <c r="AS897" t="str">
        <f>IF(LEN(X897)=0,"",X897)</f>
        <v/>
      </c>
      <c r="AX897" s="6" t="str">
        <f>'Overview (Verification)'!A26</f>
        <v>Total conditioned floor area:</v>
      </c>
      <c r="AY897">
        <f>IF(LEN('Overview (Verification)'!P26)=0,0,'Overview (Verification)'!P26)</f>
        <v>0</v>
      </c>
    </row>
    <row r="898" spans="1:51" x14ac:dyDescent="0.35">
      <c r="A898" s="366">
        <v>7</v>
      </c>
      <c r="B898" s="738" t="s">
        <v>816</v>
      </c>
      <c r="C898" s="735"/>
      <c r="D898" s="731"/>
      <c r="E898" s="731"/>
      <c r="F898" s="731"/>
      <c r="G898" s="366" t="s">
        <v>3973</v>
      </c>
      <c r="H898" s="366" t="s">
        <v>3970</v>
      </c>
      <c r="I898" s="4"/>
      <c r="J898" s="90"/>
      <c r="K898" s="90"/>
      <c r="L898" s="838"/>
      <c r="M898" s="40"/>
      <c r="N898" s="834"/>
      <c r="O898" s="834"/>
      <c r="P898" t="b">
        <v>0</v>
      </c>
      <c r="Q898" t="b">
        <v>1</v>
      </c>
      <c r="R898" t="b">
        <f ca="1">S898</f>
        <v>0</v>
      </c>
      <c r="S898" t="b">
        <f ca="1">IFERROR(S883=4,FALSE)</f>
        <v>0</v>
      </c>
      <c r="T898" t="b">
        <f ca="1">AND(NOT(S898),LEN(W898)&gt;0)</f>
        <v>0</v>
      </c>
      <c r="U898" t="str">
        <f>SUBSTITUTE(SUBSTITUTE(SUBSTITUTE("dd"&amp;B897&amp;C897&amp;D897&amp;E897&amp;F897,".","_"),"(","_"),")","")</f>
        <v>dd701_1_4</v>
      </c>
      <c r="W898" s="9"/>
      <c r="X898" s="817"/>
      <c r="Y898" s="1100"/>
      <c r="Z898" s="1102"/>
      <c r="AC898" t="b">
        <f ca="1">OR(AD898:AE898)</f>
        <v>0</v>
      </c>
      <c r="AD898" t="b">
        <f ca="1">T898</f>
        <v>0</v>
      </c>
      <c r="AE898" t="b">
        <f ca="1">AND(R898,ISBLANK(W898))</f>
        <v>0</v>
      </c>
      <c r="AP898" t="str">
        <f>SUBSTITUTE(SUBSTITUTE(SUBSTITUTE("vch"&amp;$B898&amp;$C898&amp;$D898&amp;$E898,".","_"),"(","_"),")","")</f>
        <v>vch701_1_4</v>
      </c>
      <c r="AQ898" t="str">
        <f>IF(LEN(W898)=0,"",W898)</f>
        <v/>
      </c>
      <c r="AX898" s="6" t="str">
        <f>'Overview (Verification)'!A27</f>
        <v>Stories above grade:</v>
      </c>
      <c r="AY898">
        <f>IF(LEN('Overview (Verification)'!P27)=0,0,'Overview (Verification)'!P27)</f>
        <v>0</v>
      </c>
    </row>
    <row r="899" spans="1:51" x14ac:dyDescent="0.35">
      <c r="A899" s="366">
        <v>7</v>
      </c>
      <c r="B899" s="738" t="s">
        <v>816</v>
      </c>
      <c r="C899" s="735"/>
      <c r="D899" s="731"/>
      <c r="E899" s="731"/>
      <c r="F899" s="731"/>
      <c r="G899" s="366" t="s">
        <v>3973</v>
      </c>
      <c r="H899" s="366" t="s">
        <v>3970</v>
      </c>
      <c r="I899" s="4"/>
      <c r="J899" s="90"/>
      <c r="K899" s="90"/>
      <c r="L899" s="838"/>
      <c r="M899" s="40"/>
      <c r="N899" s="834"/>
      <c r="O899" s="834"/>
      <c r="W899" t="s">
        <v>5672</v>
      </c>
      <c r="X899" s="817"/>
      <c r="Y899" s="1100"/>
      <c r="Z899" s="1102"/>
      <c r="AX899" s="6" t="str">
        <f>'Overview (Verification)'!A28</f>
        <v>Project Elevation (ft. above sea level):</v>
      </c>
      <c r="AY899">
        <f>IF(LEN('Overview (Verification)'!P28)=0,0,'Overview (Verification)'!P28)</f>
        <v>0</v>
      </c>
    </row>
    <row r="900" spans="1:51" x14ac:dyDescent="0.35">
      <c r="A900" s="366">
        <v>7</v>
      </c>
      <c r="B900" s="738" t="s">
        <v>816</v>
      </c>
      <c r="C900" s="735" t="s">
        <v>5101</v>
      </c>
      <c r="D900" s="731"/>
      <c r="E900" s="731"/>
      <c r="F900" s="731"/>
      <c r="G900" s="366" t="s">
        <v>3973</v>
      </c>
      <c r="H900" s="366" t="s">
        <v>3970</v>
      </c>
      <c r="I900" s="4"/>
      <c r="J900" s="90"/>
      <c r="K900" s="90"/>
      <c r="L900" s="838"/>
      <c r="M900" s="40"/>
      <c r="N900" s="834"/>
      <c r="O900" s="834"/>
      <c r="P900" t="b">
        <v>0</v>
      </c>
      <c r="Q900" t="b">
        <v>1</v>
      </c>
      <c r="R900" t="b">
        <f>S900</f>
        <v>0</v>
      </c>
      <c r="S900" t="b">
        <f>LEN(W898)&gt;0</f>
        <v>0</v>
      </c>
      <c r="T900" t="b">
        <f ca="1">AND(LEN(W900)&gt;0,IFERROR(COUNTIF(INDIRECT(U900),W900)=0,TRUE))</f>
        <v>0</v>
      </c>
      <c r="U900" s="1" t="str" cm="1">
        <f t="array" aca="1" ref="U900" ca="1">IFERROR(INDEX({"ddAltBronze","ddAltSilver"},MATCH(W898,INDIRECT(U898),0)),"XXX")</f>
        <v>XXX</v>
      </c>
      <c r="W900" s="9"/>
      <c r="X900" s="817"/>
      <c r="Y900" s="1100"/>
      <c r="Z900" s="1102"/>
      <c r="AC900" t="b">
        <f ca="1">OR(AD900:AE900)</f>
        <v>0</v>
      </c>
      <c r="AD900" t="b">
        <f ca="1">T900</f>
        <v>0</v>
      </c>
      <c r="AE900" t="b">
        <f>AND(R900,ISBLANK(W900))</f>
        <v>0</v>
      </c>
      <c r="AP900" t="str">
        <f>SUBSTITUTE(SUBSTITUTE(SUBSTITUTE("vch"&amp;$B900&amp;$C900&amp;$D900&amp;$E900,".","_"),"(","_"),")","")</f>
        <v>vch701_1_4_</v>
      </c>
      <c r="AQ900" t="str">
        <f>IF(LEN(W900)=0,"",W900)</f>
        <v/>
      </c>
      <c r="AX900" s="6"/>
    </row>
    <row r="901" spans="1:51" x14ac:dyDescent="0.35">
      <c r="A901" s="366">
        <v>7</v>
      </c>
      <c r="B901" s="738" t="s">
        <v>816</v>
      </c>
      <c r="C901" s="735"/>
      <c r="D901" s="731"/>
      <c r="E901" s="731"/>
      <c r="F901" s="731"/>
      <c r="G901" s="366" t="s">
        <v>3973</v>
      </c>
      <c r="H901" s="366" t="s">
        <v>3970</v>
      </c>
      <c r="I901" s="4"/>
      <c r="J901" s="90"/>
      <c r="K901" s="90"/>
      <c r="L901" s="838"/>
      <c r="M901" s="40"/>
      <c r="N901" s="834"/>
      <c r="O901" s="834"/>
      <c r="X901" s="817"/>
      <c r="Y901" s="1100"/>
      <c r="Z901" s="1102"/>
      <c r="AX901" s="6" t="str">
        <f>'Overview (Verification)'!A30</f>
        <v xml:space="preserve">Project Description (optional): </v>
      </c>
      <c r="AY901">
        <f>IF(LEN('Overview (Verification)'!P30)=0,0,'Overview (Verification)'!P30)</f>
        <v>0</v>
      </c>
    </row>
    <row r="902" spans="1:51" x14ac:dyDescent="0.35">
      <c r="A902" s="366">
        <v>7</v>
      </c>
      <c r="B902" s="738" t="s">
        <v>816</v>
      </c>
      <c r="C902" s="735"/>
      <c r="D902" s="731"/>
      <c r="E902" s="731"/>
      <c r="F902" s="731"/>
      <c r="G902" s="366" t="s">
        <v>3973</v>
      </c>
      <c r="H902" s="366" t="s">
        <v>3970</v>
      </c>
      <c r="I902" s="4"/>
      <c r="J902" s="90"/>
      <c r="K902" s="90"/>
      <c r="L902" s="838"/>
      <c r="M902" s="40"/>
      <c r="N902" s="834"/>
      <c r="O902" s="834"/>
      <c r="X902" s="817"/>
      <c r="Y902" s="1100"/>
      <c r="Z902" s="1102"/>
      <c r="AX902" s="6"/>
    </row>
    <row r="903" spans="1:51" x14ac:dyDescent="0.35">
      <c r="A903" s="366">
        <v>7</v>
      </c>
      <c r="B903" s="738" t="s">
        <v>816</v>
      </c>
      <c r="C903" s="735"/>
      <c r="D903" s="731"/>
      <c r="E903" s="731"/>
      <c r="F903" s="731"/>
      <c r="G903" s="366" t="s">
        <v>3973</v>
      </c>
      <c r="H903" s="366" t="s">
        <v>3970</v>
      </c>
      <c r="I903" s="4"/>
      <c r="J903" s="90"/>
      <c r="K903" s="90"/>
      <c r="L903" s="838"/>
      <c r="M903" s="40"/>
      <c r="N903" s="834"/>
      <c r="O903" s="834"/>
      <c r="X903" s="817"/>
      <c r="Y903" s="1100"/>
      <c r="Z903" s="1102"/>
      <c r="AX903" s="6" t="str">
        <f>'Overview (Verification)'!A32</f>
        <v>Foundation Type:</v>
      </c>
      <c r="AY903">
        <f>IF(LEN('Overview (Verification)'!P32)=0,0,'Overview (Verification)'!P32)</f>
        <v>0</v>
      </c>
    </row>
    <row r="904" spans="1:51" x14ac:dyDescent="0.35">
      <c r="A904" s="366">
        <v>7</v>
      </c>
      <c r="B904" s="738" t="s">
        <v>816</v>
      </c>
      <c r="C904" s="735"/>
      <c r="D904" s="731"/>
      <c r="E904" s="731"/>
      <c r="F904" s="731"/>
      <c r="G904" s="366" t="s">
        <v>3973</v>
      </c>
      <c r="H904" s="366" t="s">
        <v>3970</v>
      </c>
      <c r="I904" s="4"/>
      <c r="J904" s="90"/>
      <c r="K904" s="90"/>
      <c r="L904" s="838"/>
      <c r="M904" s="40"/>
      <c r="N904" s="834"/>
      <c r="O904" s="834"/>
      <c r="X904" s="817"/>
      <c r="Y904" s="1100"/>
      <c r="Z904" s="1102"/>
      <c r="AX904" s="6"/>
    </row>
    <row r="905" spans="1:51" x14ac:dyDescent="0.35">
      <c r="A905" s="366">
        <v>7</v>
      </c>
      <c r="B905" s="738" t="s">
        <v>816</v>
      </c>
      <c r="C905" s="735"/>
      <c r="D905" s="731"/>
      <c r="E905" s="731"/>
      <c r="F905" s="731"/>
      <c r="G905" s="366" t="s">
        <v>3973</v>
      </c>
      <c r="H905" s="366" t="s">
        <v>3970</v>
      </c>
      <c r="I905" s="4"/>
      <c r="J905" s="90"/>
      <c r="K905" s="90"/>
      <c r="L905" s="838"/>
      <c r="M905" s="40"/>
      <c r="N905" s="834"/>
      <c r="O905" s="834"/>
      <c r="X905" s="817"/>
      <c r="Y905" s="1100"/>
      <c r="Z905" s="1102"/>
      <c r="AX905" s="6" t="str">
        <f>'Overview (Verification)'!A34</f>
        <v>Type of Heating System (main system):</v>
      </c>
      <c r="AY905">
        <f>IF(LEN('Overview (Verification)'!P34)=0,0,'Overview (Verification)'!P34)</f>
        <v>0</v>
      </c>
    </row>
    <row r="906" spans="1:51" ht="15" thickBot="1" x14ac:dyDescent="0.4">
      <c r="A906" s="366">
        <v>7</v>
      </c>
      <c r="B906" s="738" t="s">
        <v>816</v>
      </c>
      <c r="C906" s="735"/>
      <c r="D906" s="731"/>
      <c r="E906" s="731"/>
      <c r="F906" s="731"/>
      <c r="G906" s="366" t="s">
        <v>3973</v>
      </c>
      <c r="H906" s="366" t="s">
        <v>3970</v>
      </c>
      <c r="I906" s="55"/>
      <c r="J906" s="55"/>
      <c r="K906" s="55"/>
      <c r="L906" s="719" t="s">
        <v>5673</v>
      </c>
      <c r="M906" s="55"/>
      <c r="N906" s="55"/>
      <c r="O906" s="55"/>
      <c r="P906" s="55"/>
      <c r="Q906" s="55"/>
      <c r="R906" s="55"/>
      <c r="S906" s="55"/>
      <c r="T906" s="55"/>
      <c r="U906" s="55"/>
      <c r="V906" s="55"/>
      <c r="W906" s="55"/>
      <c r="X906" s="55"/>
      <c r="Y906" s="55"/>
      <c r="Z906" s="55"/>
      <c r="AX906" s="6" t="str">
        <f>'Overview (Verification)'!A35</f>
        <v>Type of Heating System (system 2):</v>
      </c>
      <c r="AY906">
        <f>IF(LEN('Overview (Verification)'!P35)=0,0,'Overview (Verification)'!P35)</f>
        <v>0</v>
      </c>
    </row>
    <row r="907" spans="1:51" ht="15" thickTop="1" x14ac:dyDescent="0.35">
      <c r="A907" s="366">
        <v>7</v>
      </c>
      <c r="B907" s="738" t="s">
        <v>4225</v>
      </c>
      <c r="C907" s="735"/>
      <c r="D907" s="731"/>
      <c r="E907" s="731"/>
      <c r="F907" s="731"/>
      <c r="G907" s="366" t="s">
        <v>3973</v>
      </c>
      <c r="H907" s="366" t="s">
        <v>3970</v>
      </c>
      <c r="I907" s="47" t="s">
        <v>4225</v>
      </c>
      <c r="J907" s="467"/>
      <c r="K907" s="467"/>
      <c r="L907" s="884" t="s">
        <v>4226</v>
      </c>
      <c r="M907" s="40"/>
      <c r="O907" s="834"/>
      <c r="AX907" s="6" t="str">
        <f>'Overview (Verification)'!A36</f>
        <v>Type of Heating System (system 3):</v>
      </c>
      <c r="AY907">
        <f>IF(LEN('Overview (Verification)'!P36)=0,0,'Overview (Verification)'!P36)</f>
        <v>0</v>
      </c>
    </row>
    <row r="908" spans="1:51" x14ac:dyDescent="0.35">
      <c r="A908" s="366">
        <v>7</v>
      </c>
      <c r="B908" s="738" t="s">
        <v>4225</v>
      </c>
      <c r="C908" s="735"/>
      <c r="D908" s="731"/>
      <c r="E908" s="731"/>
      <c r="F908" s="731"/>
      <c r="G908" s="366" t="s">
        <v>3973</v>
      </c>
      <c r="H908" s="366" t="s">
        <v>3970</v>
      </c>
      <c r="I908" s="50"/>
      <c r="J908" s="467"/>
      <c r="K908" s="467"/>
      <c r="L908" s="884"/>
      <c r="M908" s="40"/>
      <c r="O908" s="834"/>
      <c r="AX908" s="6" t="str">
        <f>'Overview (Verification)'!A37</f>
        <v>Primary Heating Fuel:</v>
      </c>
      <c r="AY908">
        <f>IF(LEN('Overview (Verification)'!P37)=0,0,'Overview (Verification)'!P37)</f>
        <v>0</v>
      </c>
    </row>
    <row r="909" spans="1:51" x14ac:dyDescent="0.35">
      <c r="A909" s="366">
        <v>7</v>
      </c>
      <c r="B909" s="738" t="s">
        <v>4225</v>
      </c>
      <c r="C909" s="735"/>
      <c r="D909" s="731"/>
      <c r="E909" s="731"/>
      <c r="F909" s="731"/>
      <c r="G909" s="366" t="s">
        <v>3973</v>
      </c>
      <c r="H909" s="366" t="s">
        <v>3970</v>
      </c>
      <c r="I909" s="50"/>
      <c r="J909" s="467"/>
      <c r="K909" s="467"/>
      <c r="L909" s="881"/>
      <c r="M909" s="40"/>
      <c r="O909" s="834"/>
      <c r="AX909" s="6" t="str">
        <f>'Overview (Verification)'!A38</f>
        <v>Heating Ducts:</v>
      </c>
      <c r="AY909">
        <f>IF(LEN('Overview (Verification)'!P38)=0,0,'Overview (Verification)'!P38)</f>
        <v>0</v>
      </c>
    </row>
    <row r="910" spans="1:51" x14ac:dyDescent="0.35">
      <c r="A910" s="366">
        <v>7</v>
      </c>
      <c r="B910" s="738" t="s">
        <v>4225</v>
      </c>
      <c r="C910" s="735"/>
      <c r="D910" s="731"/>
      <c r="E910" s="731"/>
      <c r="F910" s="731"/>
      <c r="G910" s="366" t="s">
        <v>3973</v>
      </c>
      <c r="H910" s="366" t="s">
        <v>3970</v>
      </c>
      <c r="I910" s="50"/>
      <c r="J910" s="467"/>
      <c r="K910" s="467"/>
      <c r="L910" s="720" t="s">
        <v>5673</v>
      </c>
      <c r="M910" s="40"/>
      <c r="O910" s="41"/>
      <c r="AX910" s="6" t="str">
        <f>'Overview (Verification)'!A39</f>
        <v>Type of Cooling System (main system):</v>
      </c>
      <c r="AY910">
        <f>IF(LEN('Overview (Verification)'!P39)=0,0,'Overview (Verification)'!P39)</f>
        <v>0</v>
      </c>
    </row>
    <row r="911" spans="1:51" x14ac:dyDescent="0.35">
      <c r="A911" s="366">
        <v>7</v>
      </c>
      <c r="B911" s="738" t="s">
        <v>4225</v>
      </c>
      <c r="C911" s="736" t="s">
        <v>256</v>
      </c>
      <c r="D911" s="736"/>
      <c r="E911" s="731"/>
      <c r="F911" s="731"/>
      <c r="G911" s="366" t="s">
        <v>3973</v>
      </c>
      <c r="H911" s="366" t="s">
        <v>3970</v>
      </c>
      <c r="I911" s="50"/>
      <c r="J911" s="416" t="s">
        <v>256</v>
      </c>
      <c r="K911" s="482"/>
      <c r="L911" s="477" t="s">
        <v>4227</v>
      </c>
      <c r="M911" s="458" t="str">
        <f ca="1">IF(R911,"Mandatory","N/A")</f>
        <v>N/A</v>
      </c>
      <c r="N911" s="104"/>
      <c r="O911" s="546"/>
      <c r="P911" s="104" t="b">
        <v>1</v>
      </c>
      <c r="Q911" s="104" t="b">
        <v>1</v>
      </c>
      <c r="R911" s="104" t="b">
        <f ca="1">S911</f>
        <v>0</v>
      </c>
      <c r="S911" s="104" t="b">
        <f ca="1">IFERROR(S883=5,FALSE)</f>
        <v>0</v>
      </c>
      <c r="T911" s="104" t="b">
        <f ca="1">AND(NOT(S911),W911=TRUE)</f>
        <v>0</v>
      </c>
      <c r="U911" s="104"/>
      <c r="V911" s="335"/>
      <c r="W911" s="17"/>
      <c r="X911" s="36"/>
      <c r="Y911" s="396" t="str">
        <f>IF(LEN('Ch7'!X41)=0,"None",'Ch7'!X41)</f>
        <v>None</v>
      </c>
      <c r="Z911" s="652"/>
      <c r="AC911" t="b">
        <f ca="1">OR(AD911:AE911)</f>
        <v>0</v>
      </c>
      <c r="AD911" t="b">
        <f ca="1">T911</f>
        <v>0</v>
      </c>
      <c r="AE911" t="b">
        <f ca="1">AND(R911,NOT(W911))</f>
        <v>0</v>
      </c>
      <c r="AL911" t="str">
        <f>SUBSTITUTE(SUBSTITUTE(SUBSTITUTE("vpa"&amp;$B911&amp;$C911&amp;$D911&amp;$E911,".","_"),"(","_"),")","")</f>
        <v>vpa701_1_6_1</v>
      </c>
      <c r="AM911" t="str">
        <f ca="1">M911</f>
        <v>N/A</v>
      </c>
      <c r="AP911" t="str">
        <f>SUBSTITUTE(SUBSTITUTE(SUBSTITUTE("vch"&amp;$B911&amp;$C911&amp;$D911&amp;$E911,".","_"),"(","_"),")","")</f>
        <v>vch701_1_6_1</v>
      </c>
      <c r="AQ911" t="str">
        <f>IF(LEN(W911)=0,"",W911)</f>
        <v/>
      </c>
      <c r="AR911" t="str">
        <f>SUBSTITUTE(SUBSTITUTE(SUBSTITUTE("vnt"&amp;$B911&amp;$C911&amp;$D911&amp;$E911,".","_"),"(","_"),")","")</f>
        <v>vnt701_1_6_1</v>
      </c>
      <c r="AS911" t="str">
        <f>IF(LEN(X911)=0,"",X911)</f>
        <v/>
      </c>
      <c r="AX911" s="6" t="str">
        <f>'Overview (Verification)'!A40</f>
        <v>Type of Cooling System (system 2):</v>
      </c>
      <c r="AY911">
        <f>IF(LEN('Overview (Verification)'!P40)=0,0,'Overview (Verification)'!P40)</f>
        <v>0</v>
      </c>
    </row>
    <row r="912" spans="1:51" ht="15" customHeight="1" x14ac:dyDescent="0.35">
      <c r="A912" s="366">
        <v>7</v>
      </c>
      <c r="B912" s="738" t="s">
        <v>4225</v>
      </c>
      <c r="C912" s="736" t="s">
        <v>258</v>
      </c>
      <c r="D912" s="736"/>
      <c r="E912" s="731"/>
      <c r="F912" s="731"/>
      <c r="G912" s="366" t="s">
        <v>3973</v>
      </c>
      <c r="H912" s="366" t="s">
        <v>3970</v>
      </c>
      <c r="I912" s="50"/>
      <c r="J912" s="424" t="s">
        <v>258</v>
      </c>
      <c r="K912" s="527"/>
      <c r="L912" s="828" t="s">
        <v>4228</v>
      </c>
      <c r="M912" s="912" t="str">
        <f ca="1">IF(R912,"Mandatory","N/A")</f>
        <v>N/A</v>
      </c>
      <c r="N912" s="120"/>
      <c r="O912" s="552"/>
      <c r="P912" s="120" t="b">
        <v>1</v>
      </c>
      <c r="Q912" s="120" t="b">
        <v>1</v>
      </c>
      <c r="R912" s="120" t="b">
        <f ca="1">S912</f>
        <v>0</v>
      </c>
      <c r="S912" s="120" t="b">
        <f ca="1">IFERROR(S883=5,FALSE)</f>
        <v>0</v>
      </c>
      <c r="T912" s="120" t="b">
        <f ca="1">AND(NOT(S912),W912=TRUE)</f>
        <v>0</v>
      </c>
      <c r="U912" s="120"/>
      <c r="V912" s="120"/>
      <c r="W912" s="17"/>
      <c r="X912" s="850"/>
      <c r="Y912" s="1119" t="str">
        <f>IF(LEN('Ch7'!X42)=0,"None",'Ch7'!X42)</f>
        <v>None</v>
      </c>
      <c r="Z912" s="1105"/>
      <c r="AC912" t="b">
        <f ca="1">OR(AD912:AE912)</f>
        <v>0</v>
      </c>
      <c r="AD912" t="b">
        <f ca="1">T912</f>
        <v>0</v>
      </c>
      <c r="AE912" t="b">
        <f ca="1">AND(R912,NOT(W912))</f>
        <v>0</v>
      </c>
      <c r="AL912" t="str">
        <f>SUBSTITUTE(SUBSTITUTE(SUBSTITUTE("vpa"&amp;$B912&amp;$C912&amp;$D912&amp;$E912,".","_"),"(","_"),")","")</f>
        <v>vpa701_1_6_2</v>
      </c>
      <c r="AM912" t="str">
        <f ca="1">M912</f>
        <v>N/A</v>
      </c>
      <c r="AP912" t="str">
        <f>SUBSTITUTE(SUBSTITUTE(SUBSTITUTE("vch"&amp;$B912&amp;$C912&amp;$D912&amp;$E912,".","_"),"(","_"),")","")</f>
        <v>vch701_1_6_2</v>
      </c>
      <c r="AQ912" t="str">
        <f>IF(LEN(W912)=0,"",W912)</f>
        <v/>
      </c>
      <c r="AR912" t="str">
        <f>SUBSTITUTE(SUBSTITUTE(SUBSTITUTE("vnt"&amp;$B912&amp;$C912&amp;$D912&amp;$E912,".","_"),"(","_"),")","")</f>
        <v>vnt701_1_6_2</v>
      </c>
      <c r="AS912" t="str">
        <f>IF(LEN(X912)=0,"",X912)</f>
        <v/>
      </c>
      <c r="AX912" s="6" t="str">
        <f>'Overview (Verification)'!A41</f>
        <v>Type of Cooling System (system 3):</v>
      </c>
      <c r="AY912">
        <f>IF(LEN('Overview (Verification)'!P41)=0,0,'Overview (Verification)'!P41)</f>
        <v>0</v>
      </c>
    </row>
    <row r="913" spans="1:51" x14ac:dyDescent="0.35">
      <c r="A913" s="366">
        <v>7</v>
      </c>
      <c r="B913" s="738" t="s">
        <v>4225</v>
      </c>
      <c r="C913" s="736" t="s">
        <v>258</v>
      </c>
      <c r="D913" s="736"/>
      <c r="E913" s="731"/>
      <c r="F913" s="731"/>
      <c r="G913" s="366" t="s">
        <v>3973</v>
      </c>
      <c r="H913" s="366" t="s">
        <v>3970</v>
      </c>
      <c r="I913" s="50"/>
      <c r="J913" s="416"/>
      <c r="K913" s="482"/>
      <c r="L913" s="842"/>
      <c r="M913" s="890"/>
      <c r="N913" s="104"/>
      <c r="O913" s="546"/>
      <c r="P913" s="133"/>
      <c r="Q913" s="133"/>
      <c r="R913" s="104"/>
      <c r="S913" s="104"/>
      <c r="T913" s="104"/>
      <c r="U913" s="104"/>
      <c r="V913" s="104"/>
      <c r="X913" s="816"/>
      <c r="Y913" s="1117"/>
      <c r="Z913" s="1103"/>
      <c r="AX913" s="6" t="str">
        <f>'Overview (Verification)'!A42</f>
        <v>Cooling Ducts:</v>
      </c>
      <c r="AY913">
        <f>IF(LEN('Overview (Verification)'!P42)=0,0,'Overview (Verification)'!P42)</f>
        <v>0</v>
      </c>
    </row>
    <row r="914" spans="1:51" x14ac:dyDescent="0.35">
      <c r="A914" s="366">
        <v>7</v>
      </c>
      <c r="B914" s="738" t="s">
        <v>4225</v>
      </c>
      <c r="C914" s="736" t="s">
        <v>260</v>
      </c>
      <c r="D914" s="736"/>
      <c r="E914" s="731"/>
      <c r="F914" s="731"/>
      <c r="G914" s="366" t="s">
        <v>3973</v>
      </c>
      <c r="H914" s="366" t="s">
        <v>3970</v>
      </c>
      <c r="I914" s="50"/>
      <c r="J914" s="422" t="s">
        <v>260</v>
      </c>
      <c r="K914" s="528"/>
      <c r="L914" s="478" t="s">
        <v>4229</v>
      </c>
      <c r="M914" s="460" t="str">
        <f ca="1">IF(R914,"Mandatory","N/A")</f>
        <v>N/A</v>
      </c>
      <c r="N914" s="134"/>
      <c r="O914" s="547"/>
      <c r="P914" s="134" t="b">
        <v>1</v>
      </c>
      <c r="Q914" s="134" t="b">
        <v>1</v>
      </c>
      <c r="R914" s="134" t="b">
        <f ca="1">S914</f>
        <v>0</v>
      </c>
      <c r="S914" s="134" t="b">
        <f ca="1">IFERROR(S883=5,FALSE)</f>
        <v>0</v>
      </c>
      <c r="T914" s="134" t="b">
        <f ca="1">AND(NOT(S914),LEN(W914)&gt;0)</f>
        <v>0</v>
      </c>
      <c r="U914" s="134" t="str">
        <f>SUBSTITUTE(SUBSTITUTE(SUBSTITUTE("dd"&amp;B913&amp;C913&amp;D913&amp;E913&amp;F913,".","_"),"(","_"),")","")</f>
        <v>dd701_1_6_2</v>
      </c>
      <c r="V914" s="488"/>
      <c r="W914" s="9"/>
      <c r="X914" s="36"/>
      <c r="Y914" s="396" t="str">
        <f>IF(LEN('Ch7'!X44)=0,"None",'Ch7'!X44)</f>
        <v>None</v>
      </c>
      <c r="Z914" s="652"/>
      <c r="AC914" t="b">
        <f ca="1">OR(AD914:AE914)</f>
        <v>0</v>
      </c>
      <c r="AD914" t="b">
        <f ca="1">T914</f>
        <v>0</v>
      </c>
      <c r="AE914" t="b">
        <f ca="1">AND(R914,OR(W914="Not Met",W914=""))</f>
        <v>0</v>
      </c>
      <c r="AL914" t="str">
        <f>SUBSTITUTE(SUBSTITUTE(SUBSTITUTE("vpa"&amp;$B914&amp;$C914&amp;$D914&amp;$E914,".","_"),"(","_"),")","")</f>
        <v>vpa701_1_6_3</v>
      </c>
      <c r="AM914" t="str">
        <f ca="1">M914</f>
        <v>N/A</v>
      </c>
      <c r="AP914" t="str">
        <f>SUBSTITUTE(SUBSTITUTE(SUBSTITUTE("vch"&amp;$B914&amp;$C914&amp;$D914&amp;$E914,".","_"),"(","_"),")","")</f>
        <v>vch701_1_6_3</v>
      </c>
      <c r="AQ914" t="str">
        <f>IF(LEN(W914)=0,"",W914)</f>
        <v/>
      </c>
      <c r="AR914" t="str">
        <f>SUBSTITUTE(SUBSTITUTE(SUBSTITUTE("vnt"&amp;$B914&amp;$C914&amp;$D914&amp;$E914,".","_"),"(","_"),")","")</f>
        <v>vnt701_1_6_3</v>
      </c>
      <c r="AS914" t="str">
        <f>IF(LEN(X914)=0,"",X914)</f>
        <v/>
      </c>
      <c r="AX914" s="6"/>
    </row>
    <row r="915" spans="1:51" ht="15" customHeight="1" x14ac:dyDescent="0.35">
      <c r="A915" s="366">
        <v>7</v>
      </c>
      <c r="B915" s="738" t="s">
        <v>4225</v>
      </c>
      <c r="C915" s="736" t="s">
        <v>269</v>
      </c>
      <c r="D915" s="736"/>
      <c r="E915" s="731"/>
      <c r="F915" s="731"/>
      <c r="G915" s="366" t="s">
        <v>3973</v>
      </c>
      <c r="H915" s="366" t="s">
        <v>3970</v>
      </c>
      <c r="I915" s="50"/>
      <c r="J915" s="424" t="s">
        <v>269</v>
      </c>
      <c r="K915" s="527"/>
      <c r="L915" s="828" t="s">
        <v>4230</v>
      </c>
      <c r="M915" s="885" t="str">
        <f ca="1">IF(R915,"Mandatory","N/A")</f>
        <v>N/A</v>
      </c>
      <c r="O915" s="41"/>
      <c r="P915" t="b">
        <v>1</v>
      </c>
      <c r="Q915" t="b">
        <v>1</v>
      </c>
      <c r="R915" t="b">
        <f ca="1">S915</f>
        <v>0</v>
      </c>
      <c r="S915" t="b">
        <f ca="1">IFERROR(S883=5,FALSE)</f>
        <v>0</v>
      </c>
      <c r="T915" t="b">
        <f ca="1">AND(NOT(S915),W915=TRUE)</f>
        <v>0</v>
      </c>
      <c r="W915" s="17"/>
      <c r="X915" s="850"/>
      <c r="Y915" s="1119" t="str">
        <f>IF(LEN('Ch7'!X45)=0,"None",'Ch7'!X45)</f>
        <v>None</v>
      </c>
      <c r="Z915" s="1105"/>
      <c r="AC915" t="b">
        <f ca="1">OR(AD915:AE915)</f>
        <v>0</v>
      </c>
      <c r="AD915" t="b">
        <f ca="1">T915</f>
        <v>0</v>
      </c>
      <c r="AE915" t="b">
        <f ca="1">AND(R915,NOT(W915))</f>
        <v>0</v>
      </c>
      <c r="AL915" t="str">
        <f>SUBSTITUTE(SUBSTITUTE(SUBSTITUTE("vpa"&amp;$B915&amp;$C915&amp;$D915&amp;$E915,".","_"),"(","_"),")","")</f>
        <v>vpa701_1_6_4</v>
      </c>
      <c r="AM915" t="str">
        <f ca="1">M915</f>
        <v>N/A</v>
      </c>
      <c r="AP915" t="str">
        <f>SUBSTITUTE(SUBSTITUTE(SUBSTITUTE("vch"&amp;$B915&amp;$C915&amp;$D915&amp;$E915,".","_"),"(","_"),")","")</f>
        <v>vch701_1_6_4</v>
      </c>
      <c r="AQ915" t="str">
        <f>IF(LEN(W915)=0,"",W915)</f>
        <v/>
      </c>
      <c r="AR915" t="str">
        <f>SUBSTITUTE(SUBSTITUTE(SUBSTITUTE("vnt"&amp;$B915&amp;$C915&amp;$D915&amp;$E915,".","_"),"(","_"),")","")</f>
        <v>vnt701_1_6_4</v>
      </c>
      <c r="AS915" t="str">
        <f>IF(LEN(X915)=0,"",X915)</f>
        <v/>
      </c>
      <c r="AX915" s="6" t="str">
        <f>'Overview (Verification)'!A44</f>
        <v>Maximum window and door SHGC:</v>
      </c>
      <c r="AY915">
        <f>IF(LEN('Overview (Verification)'!P44)=0,0,'Overview (Verification)'!P44)</f>
        <v>0</v>
      </c>
    </row>
    <row r="916" spans="1:51" x14ac:dyDescent="0.35">
      <c r="A916" s="366">
        <v>7</v>
      </c>
      <c r="B916" s="738" t="s">
        <v>4225</v>
      </c>
      <c r="C916" s="736" t="s">
        <v>269</v>
      </c>
      <c r="D916" s="736"/>
      <c r="E916" s="731"/>
      <c r="F916" s="731"/>
      <c r="G916" s="366" t="s">
        <v>3973</v>
      </c>
      <c r="H916" s="366" t="s">
        <v>3970</v>
      </c>
      <c r="I916" s="50"/>
      <c r="J916" s="416"/>
      <c r="K916" s="482"/>
      <c r="L916" s="842"/>
      <c r="M916" s="890"/>
      <c r="N916" s="104"/>
      <c r="O916" s="546"/>
      <c r="P916" s="133"/>
      <c r="Q916" s="133"/>
      <c r="R916" s="104"/>
      <c r="S916" s="104"/>
      <c r="T916" s="104"/>
      <c r="U916" s="104"/>
      <c r="V916" s="104"/>
      <c r="X916" s="816"/>
      <c r="Y916" s="1117"/>
      <c r="Z916" s="1103"/>
      <c r="AX916" s="6" t="str">
        <f>'Overview (Verification)'!A45</f>
        <v>Maximum skylight SHGC:</v>
      </c>
      <c r="AY916">
        <f>IF(LEN('Overview (Verification)'!P45)=0,0,'Overview (Verification)'!P45)</f>
        <v>0</v>
      </c>
    </row>
    <row r="917" spans="1:51" ht="15" customHeight="1" x14ac:dyDescent="0.35">
      <c r="A917" s="366">
        <v>7</v>
      </c>
      <c r="B917" s="738" t="s">
        <v>4225</v>
      </c>
      <c r="C917" s="736" t="s">
        <v>275</v>
      </c>
      <c r="D917" s="736"/>
      <c r="E917" s="731"/>
      <c r="F917" s="731"/>
      <c r="G917" s="366" t="s">
        <v>3973</v>
      </c>
      <c r="H917" s="366" t="s">
        <v>3970</v>
      </c>
      <c r="I917" s="50"/>
      <c r="J917" s="424" t="s">
        <v>275</v>
      </c>
      <c r="K917" s="527"/>
      <c r="L917" s="828" t="s">
        <v>4231</v>
      </c>
      <c r="M917" s="912" t="str">
        <f ca="1">IF(R917,"Mandatory","N/A")</f>
        <v>N/A</v>
      </c>
      <c r="O917" s="41"/>
      <c r="P917" t="b">
        <v>1</v>
      </c>
      <c r="Q917" t="b">
        <v>1</v>
      </c>
      <c r="R917" t="b">
        <f ca="1">S917</f>
        <v>0</v>
      </c>
      <c r="S917" t="b">
        <f ca="1">IFERROR(S883=5,FALSE)</f>
        <v>0</v>
      </c>
      <c r="T917" t="b">
        <f ca="1">AND(NOT(S917),LEN(W917)&gt;0)</f>
        <v>0</v>
      </c>
      <c r="U917" t="str">
        <f>SUBSTITUTE(SUBSTITUTE(SUBSTITUTE("dd"&amp;B916&amp;C916&amp;D916&amp;E916&amp;F916,".","_"),"(","_"),")","")</f>
        <v>dd701_1_6_4</v>
      </c>
      <c r="W917" s="9"/>
      <c r="X917" s="850"/>
      <c r="Y917" s="1119" t="str">
        <f>IF(LEN('Ch7'!X47)=0,"None",'Ch7'!X47)</f>
        <v>None</v>
      </c>
      <c r="Z917" s="1105"/>
      <c r="AC917" t="b">
        <f ca="1">OR(AD917:AE917)</f>
        <v>0</v>
      </c>
      <c r="AD917" t="b">
        <f ca="1">T917</f>
        <v>0</v>
      </c>
      <c r="AE917" t="b">
        <f ca="1">AND(R917,OR(W917="Not Met",W917=""))</f>
        <v>0</v>
      </c>
      <c r="AL917" t="str">
        <f>SUBSTITUTE(SUBSTITUTE(SUBSTITUTE("vpa"&amp;$B917&amp;$C917&amp;$D917&amp;$E917,".","_"),"(","_"),")","")</f>
        <v>vpa701_1_6_5</v>
      </c>
      <c r="AM917" t="str">
        <f ca="1">M917</f>
        <v>N/A</v>
      </c>
      <c r="AP917" t="str">
        <f>SUBSTITUTE(SUBSTITUTE(SUBSTITUTE("vch"&amp;$B917&amp;$C917&amp;$D917&amp;$E917,".","_"),"(","_"),")","")</f>
        <v>vch701_1_6_5</v>
      </c>
      <c r="AQ917" t="str">
        <f>IF(LEN(W917)=0,"",W917)</f>
        <v/>
      </c>
      <c r="AR917" t="str">
        <f>SUBSTITUTE(SUBSTITUTE(SUBSTITUTE("vnt"&amp;$B917&amp;$C917&amp;$D917&amp;$E917,".","_"),"(","_"),")","")</f>
        <v>vnt701_1_6_5</v>
      </c>
      <c r="AS917" t="str">
        <f>IF(LEN(X917)=0,"",X917)</f>
        <v/>
      </c>
      <c r="AX917" s="6" t="str">
        <f>'Overview (Verification)'!A46</f>
        <v>Maximum window and door U-value:</v>
      </c>
      <c r="AY917">
        <f>IF(LEN('Overview (Verification)'!P46)=0,0,'Overview (Verification)'!P46)</f>
        <v>0</v>
      </c>
    </row>
    <row r="918" spans="1:51" x14ac:dyDescent="0.35">
      <c r="A918" s="366">
        <v>7</v>
      </c>
      <c r="B918" s="738" t="s">
        <v>4225</v>
      </c>
      <c r="C918" s="736" t="s">
        <v>275</v>
      </c>
      <c r="D918" s="736"/>
      <c r="E918" s="731"/>
      <c r="F918" s="731"/>
      <c r="G918" s="366" t="s">
        <v>3973</v>
      </c>
      <c r="H918" s="366" t="s">
        <v>3970</v>
      </c>
      <c r="I918" s="50"/>
      <c r="J918" s="416"/>
      <c r="K918" s="482"/>
      <c r="L918" s="842"/>
      <c r="M918" s="885"/>
      <c r="O918" s="41"/>
      <c r="P918" s="4"/>
      <c r="Q918" s="4"/>
      <c r="X918" s="816"/>
      <c r="Y918" s="1117"/>
      <c r="Z918" s="1103"/>
      <c r="AX918" s="6" t="str">
        <f>'Overview (Verification)'!A47</f>
        <v>Maximum skylight U-value:</v>
      </c>
      <c r="AY918">
        <f>IF(LEN('Overview (Verification)'!P47)=0,0,'Overview (Verification)'!P47)</f>
        <v>0</v>
      </c>
    </row>
    <row r="919" spans="1:51" x14ac:dyDescent="0.35">
      <c r="A919" s="366">
        <v>7</v>
      </c>
      <c r="B919" s="738" t="s">
        <v>4225</v>
      </c>
      <c r="C919" s="736" t="s">
        <v>277</v>
      </c>
      <c r="D919" s="736"/>
      <c r="E919" s="731"/>
      <c r="F919" s="731"/>
      <c r="G919" s="366" t="s">
        <v>3973</v>
      </c>
      <c r="H919" s="366" t="s">
        <v>3971</v>
      </c>
      <c r="I919" s="50"/>
      <c r="J919" s="402" t="s">
        <v>277</v>
      </c>
      <c r="K919" s="481"/>
      <c r="L919" s="470" t="s">
        <v>4232</v>
      </c>
      <c r="M919" s="40"/>
      <c r="O919" s="41"/>
      <c r="P919" s="4"/>
      <c r="Q919" s="4"/>
      <c r="AX919" s="6" t="str">
        <f>'Overview (Verification)'!A48</f>
        <v>Renewable Energy:</v>
      </c>
      <c r="AY919">
        <f>IF(LEN('Overview (Verification)'!P48)=0,0,'Overview (Verification)'!P48)</f>
        <v>0</v>
      </c>
    </row>
    <row r="920" spans="1:51" x14ac:dyDescent="0.35">
      <c r="A920" s="366">
        <v>7</v>
      </c>
      <c r="B920" s="738" t="s">
        <v>4225</v>
      </c>
      <c r="C920" s="736" t="s">
        <v>277</v>
      </c>
      <c r="D920" s="736" t="s">
        <v>121</v>
      </c>
      <c r="E920" s="731"/>
      <c r="F920" s="731"/>
      <c r="G920" s="366" t="s">
        <v>3973</v>
      </c>
      <c r="H920" s="366" t="s">
        <v>3971</v>
      </c>
      <c r="I920" s="50"/>
      <c r="J920" s="402"/>
      <c r="K920" s="482" t="s">
        <v>121</v>
      </c>
      <c r="L920" s="477" t="s">
        <v>4233</v>
      </c>
      <c r="M920" s="458" t="str">
        <f ca="1">IF(R920,"Mandatory","N/A")</f>
        <v>N/A</v>
      </c>
      <c r="N920" s="104"/>
      <c r="O920" s="546"/>
      <c r="P920" s="104" t="b">
        <v>1</v>
      </c>
      <c r="Q920" s="104" t="b">
        <v>0</v>
      </c>
      <c r="R920" s="104" t="b">
        <f ca="1">S920</f>
        <v>0</v>
      </c>
      <c r="S920" s="104" t="b">
        <f ca="1">IFERROR(S883=5,FALSE)</f>
        <v>0</v>
      </c>
      <c r="T920" s="104" t="b">
        <f ca="1">AND(NOT(S920),W920=TRUE)</f>
        <v>0</v>
      </c>
      <c r="U920" s="104"/>
      <c r="V920" s="335"/>
      <c r="W920" s="17"/>
      <c r="X920" s="36"/>
      <c r="Y920" s="396" t="str">
        <f>IF(LEN('Ch7'!X50)=0,"None",'Ch7'!X50)</f>
        <v>None</v>
      </c>
      <c r="Z920" s="652"/>
      <c r="AC920" t="b">
        <f ca="1">OR(AD920:AE920)</f>
        <v>0</v>
      </c>
      <c r="AD920" t="b">
        <f ca="1">T920</f>
        <v>0</v>
      </c>
      <c r="AE920" t="b">
        <f ca="1">AND(R920,NOT(W920))</f>
        <v>0</v>
      </c>
      <c r="AF920" t="b">
        <f ca="1">AND(AE920,NOT(Q920))</f>
        <v>0</v>
      </c>
      <c r="AL920" t="str">
        <f>SUBSTITUTE(SUBSTITUTE(SUBSTITUTE("vpa"&amp;$B920&amp;$C920&amp;$D920&amp;$E920,".","_"),"(","_"),")","")</f>
        <v>vpa701_1_6_6_a</v>
      </c>
      <c r="AM920" t="str">
        <f ca="1">M920</f>
        <v>N/A</v>
      </c>
      <c r="AP920" t="str">
        <f>SUBSTITUTE(SUBSTITUTE(SUBSTITUTE("vch"&amp;$B920&amp;$C920&amp;$D920&amp;$E920,".","_"),"(","_"),")","")</f>
        <v>vch701_1_6_6_a</v>
      </c>
      <c r="AQ920" t="str">
        <f>IF(LEN(W920)=0,"",W920)</f>
        <v/>
      </c>
      <c r="AR920" t="str">
        <f>SUBSTITUTE(SUBSTITUTE(SUBSTITUTE("vnt"&amp;$B920&amp;$C920&amp;$D920&amp;$E920,".","_"),"(","_"),")","")</f>
        <v>vnt701_1_6_6_a</v>
      </c>
      <c r="AS920" t="str">
        <f>IF(LEN(X920)=0,"",X920)</f>
        <v/>
      </c>
      <c r="AX920" s="6" t="str">
        <f>'Overview (Verification)'!A49</f>
        <v>Thermal Envelope Insulation:</v>
      </c>
      <c r="AY920">
        <f>IF(LEN('Overview (Verification)'!P49)=0,0,'Overview (Verification)'!P49)</f>
        <v>0</v>
      </c>
    </row>
    <row r="921" spans="1:51" x14ac:dyDescent="0.35">
      <c r="A921" s="366">
        <v>7</v>
      </c>
      <c r="B921" s="738" t="s">
        <v>4225</v>
      </c>
      <c r="C921" s="736" t="s">
        <v>277</v>
      </c>
      <c r="D921" s="736" t="s">
        <v>122</v>
      </c>
      <c r="E921" s="731"/>
      <c r="F921" s="731"/>
      <c r="G921" s="366" t="s">
        <v>3973</v>
      </c>
      <c r="H921" s="366" t="s">
        <v>3971</v>
      </c>
      <c r="I921" s="50"/>
      <c r="J921" s="402"/>
      <c r="K921" s="528" t="s">
        <v>122</v>
      </c>
      <c r="L921" s="478" t="s">
        <v>4234</v>
      </c>
      <c r="M921" s="460" t="str">
        <f ca="1">IF(R921,"Mandatory","N/A")</f>
        <v>N/A</v>
      </c>
      <c r="N921" s="134"/>
      <c r="O921" s="547"/>
      <c r="P921" s="134" t="b">
        <v>1</v>
      </c>
      <c r="Q921" s="134" t="b">
        <v>0</v>
      </c>
      <c r="R921" s="134" t="b">
        <f ca="1">S921</f>
        <v>0</v>
      </c>
      <c r="S921" s="134" t="b">
        <f ca="1">IFERROR(S883=5,FALSE)</f>
        <v>0</v>
      </c>
      <c r="T921" s="134" t="b">
        <f ca="1">AND(NOT(S921),W921=TRUE)</f>
        <v>0</v>
      </c>
      <c r="U921" s="134"/>
      <c r="V921" s="488"/>
      <c r="W921" s="17"/>
      <c r="X921" s="36"/>
      <c r="Y921" s="396" t="str">
        <f>IF(LEN('Ch7'!X51)=0,"None",'Ch7'!X51)</f>
        <v>None</v>
      </c>
      <c r="Z921" s="652"/>
      <c r="AC921" t="b">
        <f ca="1">OR(AD921:AE921)</f>
        <v>0</v>
      </c>
      <c r="AD921" t="b">
        <f ca="1">T921</f>
        <v>0</v>
      </c>
      <c r="AE921" t="b">
        <f ca="1">AND(R921,NOT(W921))</f>
        <v>0</v>
      </c>
      <c r="AF921" t="b">
        <f ca="1">AND(AE921,NOT(Q921))</f>
        <v>0</v>
      </c>
      <c r="AL921" t="str">
        <f>SUBSTITUTE(SUBSTITUTE(SUBSTITUTE("vpa"&amp;$B921&amp;$C921&amp;$D921&amp;$E921,".","_"),"(","_"),")","")</f>
        <v>vpa701_1_6_6_b</v>
      </c>
      <c r="AM921" t="str">
        <f ca="1">M921</f>
        <v>N/A</v>
      </c>
      <c r="AP921" t="str">
        <f>SUBSTITUTE(SUBSTITUTE(SUBSTITUTE("vch"&amp;$B921&amp;$C921&amp;$D921&amp;$E921,".","_"),"(","_"),")","")</f>
        <v>vch701_1_6_6_b</v>
      </c>
      <c r="AQ921" t="str">
        <f>IF(LEN(W921)=0,"",W921)</f>
        <v/>
      </c>
      <c r="AR921" t="str">
        <f>SUBSTITUTE(SUBSTITUTE(SUBSTITUTE("vnt"&amp;$B921&amp;$C921&amp;$D921&amp;$E921,".","_"),"(","_"),")","")</f>
        <v>vnt701_1_6_6_b</v>
      </c>
      <c r="AS921" t="str">
        <f>IF(LEN(X921)=0,"",X921)</f>
        <v/>
      </c>
      <c r="AX921" s="6" t="str">
        <f>'Overview (Verification)'!A50</f>
        <v>Attic Type:</v>
      </c>
      <c r="AY921">
        <f>IF(LEN('Overview (Verification)'!P50)=0,0,'Overview (Verification)'!P50)</f>
        <v>0</v>
      </c>
    </row>
    <row r="922" spans="1:51" x14ac:dyDescent="0.35">
      <c r="A922" s="366">
        <v>7</v>
      </c>
      <c r="B922" s="738" t="s">
        <v>4225</v>
      </c>
      <c r="C922" s="736" t="s">
        <v>277</v>
      </c>
      <c r="D922" s="736" t="s">
        <v>123</v>
      </c>
      <c r="E922" s="731"/>
      <c r="F922" s="731"/>
      <c r="G922" s="366" t="s">
        <v>3973</v>
      </c>
      <c r="H922" s="366" t="s">
        <v>3971</v>
      </c>
      <c r="I922" s="50"/>
      <c r="J922" s="416"/>
      <c r="K922" s="482" t="s">
        <v>123</v>
      </c>
      <c r="L922" s="477" t="s">
        <v>4235</v>
      </c>
      <c r="M922" s="522" t="str">
        <f ca="1">IF(R922,"Mandatory","N/A")</f>
        <v>N/A</v>
      </c>
      <c r="O922" s="41"/>
      <c r="P922" t="b">
        <v>1</v>
      </c>
      <c r="Q922" t="b">
        <v>0</v>
      </c>
      <c r="R922" t="b">
        <f ca="1">S922</f>
        <v>0</v>
      </c>
      <c r="S922" t="b">
        <f ca="1">IFERROR(S883=5,FALSE)</f>
        <v>0</v>
      </c>
      <c r="T922" t="b">
        <f ca="1">AND(NOT(S922),W922=TRUE)</f>
        <v>0</v>
      </c>
      <c r="W922" s="17"/>
      <c r="X922" s="36"/>
      <c r="Y922" s="396" t="str">
        <f>IF(LEN('Ch7'!X52)=0,"None",'Ch7'!X52)</f>
        <v>None</v>
      </c>
      <c r="Z922" s="652"/>
      <c r="AC922" t="b">
        <f ca="1">OR(AD922:AE922)</f>
        <v>0</v>
      </c>
      <c r="AD922" t="b">
        <f ca="1">T922</f>
        <v>0</v>
      </c>
      <c r="AE922" t="b">
        <f ca="1">AND(R922,NOT(W922))</f>
        <v>0</v>
      </c>
      <c r="AF922" t="b">
        <f ca="1">AND(AE922,NOT(Q922))</f>
        <v>0</v>
      </c>
      <c r="AL922" t="str">
        <f>SUBSTITUTE(SUBSTITUTE(SUBSTITUTE("vpa"&amp;$B922&amp;$C922&amp;$D922&amp;$E922,".","_"),"(","_"),")","")</f>
        <v>vpa701_1_6_6_c</v>
      </c>
      <c r="AM922" t="str">
        <f ca="1">M922</f>
        <v>N/A</v>
      </c>
      <c r="AP922" t="str">
        <f>SUBSTITUTE(SUBSTITUTE(SUBSTITUTE("vch"&amp;$B922&amp;$C922&amp;$D922&amp;$E922,".","_"),"(","_"),")","")</f>
        <v>vch701_1_6_6_c</v>
      </c>
      <c r="AQ922" t="str">
        <f>IF(LEN(W922)=0,"",W922)</f>
        <v/>
      </c>
      <c r="AR922" t="str">
        <f>SUBSTITUTE(SUBSTITUTE(SUBSTITUTE("vnt"&amp;$B922&amp;$C922&amp;$D922&amp;$E922,".","_"),"(","_"),")","")</f>
        <v>vnt701_1_6_6_c</v>
      </c>
      <c r="AS922" t="str">
        <f>IF(LEN(X922)=0,"",X922)</f>
        <v/>
      </c>
      <c r="AX922" s="6" t="str">
        <f>'Overview (Verification)'!A51</f>
        <v>Attached Garage:</v>
      </c>
      <c r="AY922">
        <f>IF(LEN('Overview (Verification)'!P51)=0,0,'Overview (Verification)'!P51)</f>
        <v>0</v>
      </c>
    </row>
    <row r="923" spans="1:51" x14ac:dyDescent="0.35">
      <c r="A923" s="366">
        <v>7</v>
      </c>
      <c r="B923" s="738" t="s">
        <v>4225</v>
      </c>
      <c r="C923" s="736" t="s">
        <v>383</v>
      </c>
      <c r="D923" s="736"/>
      <c r="E923" s="731"/>
      <c r="F923" s="731"/>
      <c r="G923" s="366" t="s">
        <v>3973</v>
      </c>
      <c r="H923" s="366" t="s">
        <v>3970</v>
      </c>
      <c r="I923" s="50"/>
      <c r="J923" s="402" t="s">
        <v>383</v>
      </c>
      <c r="K923" s="481"/>
      <c r="L923" s="470" t="s">
        <v>4236</v>
      </c>
      <c r="M923" s="40"/>
      <c r="O923" s="41"/>
      <c r="P923" s="4"/>
      <c r="Q923" s="4"/>
      <c r="AX923" s="6" t="str">
        <f>'Overview (Verification)'!A52</f>
        <v>Recessed Lighting:</v>
      </c>
      <c r="AY923">
        <f>IF(LEN('Overview (Verification)'!P52)=0,0,'Overview (Verification)'!P52)</f>
        <v>0</v>
      </c>
    </row>
    <row r="924" spans="1:51" x14ac:dyDescent="0.35">
      <c r="A924" s="366">
        <v>7</v>
      </c>
      <c r="B924" s="738" t="s">
        <v>4225</v>
      </c>
      <c r="C924" s="736" t="s">
        <v>383</v>
      </c>
      <c r="D924" s="736" t="s">
        <v>121</v>
      </c>
      <c r="E924" s="731"/>
      <c r="F924" s="731"/>
      <c r="G924" s="366" t="s">
        <v>3973</v>
      </c>
      <c r="H924" s="366" t="s">
        <v>3970</v>
      </c>
      <c r="I924" s="50"/>
      <c r="J924" s="402"/>
      <c r="K924" s="482" t="s">
        <v>121</v>
      </c>
      <c r="L924" s="477" t="s">
        <v>4237</v>
      </c>
      <c r="M924" s="458" t="str">
        <f ca="1">IF(R924,"Mandatory","N/A")</f>
        <v>N/A</v>
      </c>
      <c r="N924" s="104"/>
      <c r="O924" s="546"/>
      <c r="P924" s="104" t="b">
        <v>1</v>
      </c>
      <c r="Q924" s="104" t="b">
        <v>1</v>
      </c>
      <c r="R924" s="104" t="b">
        <f ca="1">S924</f>
        <v>0</v>
      </c>
      <c r="S924" s="104" t="b">
        <f ca="1">IFERROR(S883=5,FALSE)</f>
        <v>0</v>
      </c>
      <c r="T924" s="104" t="b">
        <f ca="1">AND(NOT(S924),W924=TRUE)</f>
        <v>0</v>
      </c>
      <c r="U924" s="104"/>
      <c r="V924" s="335"/>
      <c r="W924" s="17"/>
      <c r="X924" s="36"/>
      <c r="Y924" s="396" t="str">
        <f>IF(LEN('Ch7'!X54)=0,"None",'Ch7'!X54)</f>
        <v>None</v>
      </c>
      <c r="Z924" s="652"/>
      <c r="AC924" t="b">
        <f ca="1">OR(AD924:AE924)</f>
        <v>0</v>
      </c>
      <c r="AD924" t="b">
        <f ca="1">T924</f>
        <v>0</v>
      </c>
      <c r="AE924" t="b">
        <f ca="1">AND(R924,NOT(W924))</f>
        <v>0</v>
      </c>
      <c r="AL924" t="str">
        <f>SUBSTITUTE(SUBSTITUTE(SUBSTITUTE("vpa"&amp;$B924&amp;$C924&amp;$D924&amp;$E924,".","_"),"(","_"),")","")</f>
        <v>vpa701_1_6_7_a</v>
      </c>
      <c r="AM924" t="str">
        <f ca="1">M924</f>
        <v>N/A</v>
      </c>
      <c r="AP924" t="str">
        <f>SUBSTITUTE(SUBSTITUTE(SUBSTITUTE("vch"&amp;$B924&amp;$C924&amp;$D924&amp;$E924,".","_"),"(","_"),")","")</f>
        <v>vch701_1_6_7_a</v>
      </c>
      <c r="AQ924" t="str">
        <f>IF(LEN(W924)=0,"",W924)</f>
        <v/>
      </c>
      <c r="AR924" t="str">
        <f>SUBSTITUTE(SUBSTITUTE(SUBSTITUTE("vnt"&amp;$B924&amp;$C924&amp;$D924&amp;$E924,".","_"),"(","_"),")","")</f>
        <v>vnt701_1_6_7_a</v>
      </c>
      <c r="AS924" t="str">
        <f>IF(LEN(X924)=0,"",X924)</f>
        <v/>
      </c>
      <c r="AX924" s="6"/>
    </row>
    <row r="925" spans="1:51" x14ac:dyDescent="0.35">
      <c r="A925" s="366">
        <v>7</v>
      </c>
      <c r="B925" s="738" t="s">
        <v>4225</v>
      </c>
      <c r="C925" s="736" t="s">
        <v>383</v>
      </c>
      <c r="D925" s="736" t="s">
        <v>122</v>
      </c>
      <c r="E925" s="731"/>
      <c r="F925" s="731"/>
      <c r="G925" s="366" t="s">
        <v>3973</v>
      </c>
      <c r="H925" s="366" t="s">
        <v>3971</v>
      </c>
      <c r="I925" s="50"/>
      <c r="J925" s="402"/>
      <c r="K925" s="528" t="s">
        <v>122</v>
      </c>
      <c r="L925" s="478" t="s">
        <v>4238</v>
      </c>
      <c r="M925" s="460" t="str">
        <f ca="1">IF(R925,"Mandatory","N/A")</f>
        <v>N/A</v>
      </c>
      <c r="N925" s="104"/>
      <c r="O925" s="546"/>
      <c r="P925" s="104" t="b">
        <v>1</v>
      </c>
      <c r="Q925" s="104" t="b">
        <v>0</v>
      </c>
      <c r="R925" s="104" t="b">
        <f ca="1">S925</f>
        <v>0</v>
      </c>
      <c r="S925" s="104" t="b">
        <f ca="1">IFERROR(S883=5,FALSE)</f>
        <v>0</v>
      </c>
      <c r="T925" s="104" t="b">
        <f ca="1">AND(NOT(S925),W925=TRUE)</f>
        <v>0</v>
      </c>
      <c r="U925" s="104"/>
      <c r="V925" s="335"/>
      <c r="W925" s="17"/>
      <c r="X925" s="36"/>
      <c r="Y925" s="396" t="str">
        <f>IF(LEN('Ch7'!X55)=0,"None",'Ch7'!X55)</f>
        <v>None</v>
      </c>
      <c r="Z925" s="652"/>
      <c r="AC925" t="b">
        <f ca="1">OR(AD925:AE925)</f>
        <v>0</v>
      </c>
      <c r="AD925" t="b">
        <f ca="1">T925</f>
        <v>0</v>
      </c>
      <c r="AE925" t="b">
        <f ca="1">AND(R925,NOT(W925))</f>
        <v>0</v>
      </c>
      <c r="AF925" t="b">
        <f ca="1">AND(AE925,NOT(Q925))</f>
        <v>0</v>
      </c>
      <c r="AL925" t="str">
        <f>SUBSTITUTE(SUBSTITUTE(SUBSTITUTE("vpa"&amp;$B925&amp;$C925&amp;$D925&amp;$E925,".","_"),"(","_"),")","")</f>
        <v>vpa701_1_6_7_b</v>
      </c>
      <c r="AM925" t="str">
        <f ca="1">M925</f>
        <v>N/A</v>
      </c>
      <c r="AP925" t="str">
        <f>SUBSTITUTE(SUBSTITUTE(SUBSTITUTE("vch"&amp;$B925&amp;$C925&amp;$D925&amp;$E925,".","_"),"(","_"),")","")</f>
        <v>vch701_1_6_7_b</v>
      </c>
      <c r="AQ925" t="str">
        <f>IF(LEN(W925)=0,"",W925)</f>
        <v/>
      </c>
      <c r="AR925" t="str">
        <f>SUBSTITUTE(SUBSTITUTE(SUBSTITUTE("vnt"&amp;$B925&amp;$C925&amp;$D925&amp;$E925,".","_"),"(","_"),")","")</f>
        <v>vnt701_1_6_7_b</v>
      </c>
      <c r="AS925" t="str">
        <f>IF(LEN(X925)=0,"",X925)</f>
        <v/>
      </c>
      <c r="AX925" s="6"/>
    </row>
    <row r="926" spans="1:51" x14ac:dyDescent="0.35">
      <c r="A926" s="366">
        <v>7</v>
      </c>
      <c r="B926" s="738" t="s">
        <v>4225</v>
      </c>
      <c r="C926" s="736" t="s">
        <v>383</v>
      </c>
      <c r="D926" s="736" t="s">
        <v>123</v>
      </c>
      <c r="E926" s="731"/>
      <c r="F926" s="731"/>
      <c r="G926" s="366" t="s">
        <v>3973</v>
      </c>
      <c r="H926" s="366" t="s">
        <v>3971</v>
      </c>
      <c r="I926" s="50"/>
      <c r="J926" s="416"/>
      <c r="K926" s="482" t="s">
        <v>123</v>
      </c>
      <c r="L926" s="477" t="s">
        <v>4239</v>
      </c>
      <c r="M926" s="460" t="str">
        <f ca="1">IF(R926,"Mandatory","N/A")</f>
        <v>N/A</v>
      </c>
      <c r="N926" s="104"/>
      <c r="O926" s="546"/>
      <c r="P926" s="104" t="b">
        <v>1</v>
      </c>
      <c r="Q926" s="104" t="b">
        <v>0</v>
      </c>
      <c r="R926" s="104" t="b">
        <f ca="1">S926</f>
        <v>0</v>
      </c>
      <c r="S926" s="104" t="b">
        <f ca="1">IFERROR(S883=5,FALSE)</f>
        <v>0</v>
      </c>
      <c r="T926" s="104" t="b">
        <f ca="1">AND(NOT(S926),W926=TRUE)</f>
        <v>0</v>
      </c>
      <c r="U926" s="104"/>
      <c r="V926" s="335"/>
      <c r="W926" s="17"/>
      <c r="X926" s="36"/>
      <c r="Y926" s="396" t="str">
        <f>IF(LEN('Ch7'!X56)=0,"None",'Ch7'!X56)</f>
        <v>None</v>
      </c>
      <c r="Z926" s="652"/>
      <c r="AC926" t="b">
        <f ca="1">OR(AD926:AE926)</f>
        <v>0</v>
      </c>
      <c r="AD926" t="b">
        <f ca="1">T926</f>
        <v>0</v>
      </c>
      <c r="AE926" t="b">
        <f ca="1">AND(R926,NOT(W926))</f>
        <v>0</v>
      </c>
      <c r="AF926" t="b">
        <f ca="1">AND(AE926,NOT(Q926))</f>
        <v>0</v>
      </c>
      <c r="AL926" t="str">
        <f>SUBSTITUTE(SUBSTITUTE(SUBSTITUTE("vpa"&amp;$B926&amp;$C926&amp;$D926&amp;$E926,".","_"),"(","_"),")","")</f>
        <v>vpa701_1_6_7_c</v>
      </c>
      <c r="AM926" t="str">
        <f ca="1">M926</f>
        <v>N/A</v>
      </c>
      <c r="AP926" t="str">
        <f>SUBSTITUTE(SUBSTITUTE(SUBSTITUTE("vch"&amp;$B926&amp;$C926&amp;$D926&amp;$E926,".","_"),"(","_"),")","")</f>
        <v>vch701_1_6_7_c</v>
      </c>
      <c r="AQ926" t="str">
        <f>IF(LEN(W926)=0,"",W926)</f>
        <v/>
      </c>
      <c r="AR926" t="str">
        <f>SUBSTITUTE(SUBSTITUTE(SUBSTITUTE("vnt"&amp;$B926&amp;$C926&amp;$D926&amp;$E926,".","_"),"(","_"),")","")</f>
        <v>vnt701_1_6_7_c</v>
      </c>
      <c r="AS926" t="str">
        <f>IF(LEN(X926)=0,"",X926)</f>
        <v/>
      </c>
      <c r="AX926" s="6" t="str">
        <f>'Overview (Verification)'!A55</f>
        <v>Passive Solar:</v>
      </c>
      <c r="AY926">
        <f>IF(LEN('Overview (Verification)'!P55)=0,0,'Overview (Verification)'!P55)</f>
        <v>0</v>
      </c>
    </row>
    <row r="927" spans="1:51" ht="15" customHeight="1" x14ac:dyDescent="0.35">
      <c r="A927" s="366">
        <v>7</v>
      </c>
      <c r="B927" s="738" t="s">
        <v>4225</v>
      </c>
      <c r="C927" s="736" t="s">
        <v>428</v>
      </c>
      <c r="D927" s="736"/>
      <c r="E927" s="731"/>
      <c r="F927" s="731"/>
      <c r="G927" s="366" t="s">
        <v>3973</v>
      </c>
      <c r="H927" s="366" t="s">
        <v>3972</v>
      </c>
      <c r="I927" s="50"/>
      <c r="J927" s="424" t="s">
        <v>428</v>
      </c>
      <c r="K927" s="527"/>
      <c r="L927" s="828" t="s">
        <v>4240</v>
      </c>
      <c r="M927" s="912" t="str">
        <f ca="1">IF(R927,"Mandatory","N/A")</f>
        <v>N/A</v>
      </c>
      <c r="O927" s="41"/>
      <c r="P927" t="b">
        <v>0</v>
      </c>
      <c r="Q927" t="b">
        <v>1</v>
      </c>
      <c r="R927" t="b">
        <f ca="1">S927</f>
        <v>0</v>
      </c>
      <c r="S927" t="b">
        <f ca="1">IFERROR(S883=5,FALSE)</f>
        <v>0</v>
      </c>
      <c r="T927" t="b">
        <f ca="1">AND(NOT(S927),W927=TRUE)</f>
        <v>0</v>
      </c>
      <c r="W927" s="17"/>
      <c r="X927" s="850"/>
      <c r="Y927" s="1119" t="str">
        <f>IF(LEN('Ch7'!X57)=0,"None",'Ch7'!X57)</f>
        <v>None</v>
      </c>
      <c r="Z927" s="1105"/>
      <c r="AC927" t="b">
        <f ca="1">OR(AD927:AE927)</f>
        <v>0</v>
      </c>
      <c r="AD927" t="b">
        <f ca="1">T927</f>
        <v>0</v>
      </c>
      <c r="AE927" t="b">
        <f ca="1">AND(R927,NOT(W927))</f>
        <v>0</v>
      </c>
      <c r="AL927" t="str">
        <f>SUBSTITUTE(SUBSTITUTE(SUBSTITUTE("vpa"&amp;$B927&amp;$C927&amp;$D927&amp;$E927,".","_"),"(","_"),")","")</f>
        <v>vpa701_1_6_8</v>
      </c>
      <c r="AM927" t="str">
        <f ca="1">M927</f>
        <v>N/A</v>
      </c>
      <c r="AP927" t="str">
        <f>SUBSTITUTE(SUBSTITUTE(SUBSTITUTE("vch"&amp;$B927&amp;$C927&amp;$D927&amp;$E927,".","_"),"(","_"),")","")</f>
        <v>vch701_1_6_8</v>
      </c>
      <c r="AQ927" t="str">
        <f>IF(LEN(W927)=0,"",W927)</f>
        <v/>
      </c>
      <c r="AR927" t="str">
        <f>SUBSTITUTE(SUBSTITUTE(SUBSTITUTE("vnt"&amp;$B927&amp;$C927&amp;$D927&amp;$E927,".","_"),"(","_"),")","")</f>
        <v>vnt701_1_6_8</v>
      </c>
      <c r="AS927" t="str">
        <f>IF(LEN(X927)=0,"",X927)</f>
        <v/>
      </c>
      <c r="AX927" s="6" t="str">
        <f>'Overview (Verification)'!A56</f>
        <v>Mass Walls:</v>
      </c>
      <c r="AY927">
        <f>IF(LEN('Overview (Verification)'!P56)=0,0,'Overview (Verification)'!P56)</f>
        <v>0</v>
      </c>
    </row>
    <row r="928" spans="1:51" x14ac:dyDescent="0.35">
      <c r="A928" s="366">
        <v>7</v>
      </c>
      <c r="B928" s="738" t="s">
        <v>4225</v>
      </c>
      <c r="C928" s="736" t="s">
        <v>428</v>
      </c>
      <c r="D928" s="736"/>
      <c r="E928" s="731"/>
      <c r="F928" s="731"/>
      <c r="G928" s="366" t="s">
        <v>3973</v>
      </c>
      <c r="H928" s="366" t="s">
        <v>3972</v>
      </c>
      <c r="I928" s="50"/>
      <c r="J928" s="416"/>
      <c r="K928" s="482"/>
      <c r="L928" s="842"/>
      <c r="M928" s="890"/>
      <c r="N928" s="104"/>
      <c r="O928" s="546"/>
      <c r="P928" s="133"/>
      <c r="Q928" s="133"/>
      <c r="R928" s="104"/>
      <c r="S928" s="104"/>
      <c r="T928" s="104"/>
      <c r="U928" s="104"/>
      <c r="V928" s="104"/>
      <c r="X928" s="816"/>
      <c r="Y928" s="1117"/>
      <c r="Z928" s="1103"/>
      <c r="AX928" s="6" t="str">
        <f>'Overview (Verification)'!A57</f>
        <v>Radiant/Hydronic:</v>
      </c>
      <c r="AY928">
        <f>IF(LEN('Overview (Verification)'!P57)=0,0,'Overview (Verification)'!P57)</f>
        <v>0</v>
      </c>
    </row>
    <row r="929" spans="1:51" ht="15" customHeight="1" x14ac:dyDescent="0.35">
      <c r="A929" s="366">
        <v>7</v>
      </c>
      <c r="B929" s="738" t="s">
        <v>4225</v>
      </c>
      <c r="C929" s="736" t="s">
        <v>430</v>
      </c>
      <c r="D929" s="736"/>
      <c r="E929" s="731"/>
      <c r="F929" s="731"/>
      <c r="G929" s="366" t="s">
        <v>3973</v>
      </c>
      <c r="H929" s="366" t="s">
        <v>3972</v>
      </c>
      <c r="I929" s="50"/>
      <c r="J929" s="402" t="s">
        <v>430</v>
      </c>
      <c r="K929" s="481"/>
      <c r="L929" s="825" t="s">
        <v>4241</v>
      </c>
      <c r="M929" s="912" t="str">
        <f ca="1">IF(R929,"Mandatory","N/A")</f>
        <v>N/A</v>
      </c>
      <c r="O929" s="41"/>
      <c r="P929" t="b">
        <v>0</v>
      </c>
      <c r="Q929" t="b">
        <v>1</v>
      </c>
      <c r="R929" t="b">
        <f ca="1">S929</f>
        <v>0</v>
      </c>
      <c r="S929" t="b">
        <f ca="1">IFERROR(S883=5,FALSE)</f>
        <v>0</v>
      </c>
      <c r="T929" t="b">
        <f ca="1">AND(NOT(S929),W929=TRUE)</f>
        <v>0</v>
      </c>
      <c r="W929" s="17"/>
      <c r="X929" s="850"/>
      <c r="Y929" s="1119" t="str">
        <f>IF(LEN('Ch7'!X59)=0,"None",'Ch7'!X59)</f>
        <v>None</v>
      </c>
      <c r="Z929" s="1105"/>
      <c r="AC929" t="b">
        <f ca="1">OR(AD929:AE929)</f>
        <v>0</v>
      </c>
      <c r="AD929" t="b">
        <f ca="1">T929</f>
        <v>0</v>
      </c>
      <c r="AE929" t="b">
        <f ca="1">AND(R929,NOT(W929))</f>
        <v>0</v>
      </c>
      <c r="AL929" t="str">
        <f>SUBSTITUTE(SUBSTITUTE(SUBSTITUTE("vpa"&amp;$B929&amp;$C929&amp;$D929&amp;$E929,".","_"),"(","_"),")","")</f>
        <v>vpa701_1_6_9</v>
      </c>
      <c r="AM929" t="str">
        <f ca="1">M929</f>
        <v>N/A</v>
      </c>
      <c r="AP929" t="str">
        <f>SUBSTITUTE(SUBSTITUTE(SUBSTITUTE("vch"&amp;$B929&amp;$C929&amp;$D929&amp;$E929,".","_"),"(","_"),")","")</f>
        <v>vch701_1_6_9</v>
      </c>
      <c r="AQ929" t="str">
        <f>IF(LEN(W929)=0,"",W929)</f>
        <v/>
      </c>
      <c r="AR929" t="str">
        <f>SUBSTITUTE(SUBSTITUTE(SUBSTITUTE("vnt"&amp;$B929&amp;$C929&amp;$D929&amp;$E929,".","_"),"(","_"),")","")</f>
        <v>vnt701_1_6_9</v>
      </c>
      <c r="AS929" t="str">
        <f>IF(LEN(X929)=0,"",X929)</f>
        <v/>
      </c>
      <c r="AX929" s="6" t="str">
        <f>'Overview (Verification)'!A58</f>
        <v>Tankless Water Heater:</v>
      </c>
      <c r="AY929">
        <f>IF(LEN('Overview (Verification)'!P58)=0,0,'Overview (Verification)'!P58)</f>
        <v>0</v>
      </c>
    </row>
    <row r="930" spans="1:51" ht="15" thickBot="1" x14ac:dyDescent="0.4">
      <c r="A930" s="366">
        <v>7</v>
      </c>
      <c r="B930" s="738" t="s">
        <v>4225</v>
      </c>
      <c r="C930" s="736" t="s">
        <v>430</v>
      </c>
      <c r="D930" s="736"/>
      <c r="E930" s="731"/>
      <c r="F930" s="731"/>
      <c r="G930" s="366" t="s">
        <v>3973</v>
      </c>
      <c r="H930" s="366" t="s">
        <v>3972</v>
      </c>
      <c r="I930" s="50"/>
      <c r="J930" s="467"/>
      <c r="K930" s="467"/>
      <c r="L930" s="826"/>
      <c r="M930" s="886"/>
      <c r="O930" s="41"/>
      <c r="X930" s="852"/>
      <c r="Y930" s="1121"/>
      <c r="Z930" s="1108"/>
      <c r="AX930" s="6" t="str">
        <f>'Overview (Verification)'!A59</f>
        <v>Composting Toilet:</v>
      </c>
      <c r="AY930">
        <f>IF(LEN('Overview (Verification)'!P59)=0,0,'Overview (Verification)'!P59)</f>
        <v>0</v>
      </c>
    </row>
    <row r="931" spans="1:51" ht="15.75" customHeight="1" thickTop="1" x14ac:dyDescent="0.35">
      <c r="A931" s="366">
        <v>7</v>
      </c>
      <c r="B931" s="738">
        <v>701.2</v>
      </c>
      <c r="C931" s="735"/>
      <c r="D931" s="731"/>
      <c r="E931" s="731"/>
      <c r="F931" s="731"/>
      <c r="G931" s="366" t="s">
        <v>3973</v>
      </c>
      <c r="H931" s="366" t="s">
        <v>3970</v>
      </c>
      <c r="I931" s="106">
        <v>701.2</v>
      </c>
      <c r="J931" s="316"/>
      <c r="K931" s="316"/>
      <c r="L931" s="837" t="s">
        <v>4852</v>
      </c>
      <c r="M931" s="923" t="s">
        <v>2992</v>
      </c>
      <c r="N931" s="545"/>
      <c r="O931" s="545"/>
      <c r="P931" s="59"/>
      <c r="Q931" s="59"/>
      <c r="R931" s="59"/>
      <c r="S931" s="59"/>
      <c r="T931" s="59"/>
      <c r="U931" s="59"/>
      <c r="V931" s="59"/>
      <c r="W931" s="59"/>
      <c r="X931" s="59"/>
      <c r="AX931" s="6"/>
    </row>
    <row r="932" spans="1:51" ht="15" thickBot="1" x14ac:dyDescent="0.4">
      <c r="A932" s="366">
        <v>7</v>
      </c>
      <c r="B932" s="738">
        <v>701.2</v>
      </c>
      <c r="C932" s="735"/>
      <c r="D932" s="731"/>
      <c r="E932" s="731"/>
      <c r="F932" s="731"/>
      <c r="G932" s="366" t="s">
        <v>3973</v>
      </c>
      <c r="H932" s="366" t="s">
        <v>3970</v>
      </c>
      <c r="I932" s="160"/>
      <c r="J932" s="229"/>
      <c r="K932" s="229"/>
      <c r="L932" s="849"/>
      <c r="M932" s="924"/>
      <c r="N932" s="72"/>
      <c r="O932" s="72"/>
      <c r="P932" s="55"/>
      <c r="Q932" s="55"/>
      <c r="R932" s="55"/>
      <c r="S932" s="55"/>
      <c r="T932" s="55"/>
      <c r="U932" s="55"/>
      <c r="V932" s="55"/>
      <c r="W932" s="55"/>
      <c r="X932" s="55"/>
      <c r="Y932" s="55"/>
      <c r="Z932" s="653"/>
      <c r="AX932" s="6" t="str">
        <f>'Overview (Verification)'!A61</f>
        <v>Local Energy Code:</v>
      </c>
      <c r="AY932">
        <f>IF(LEN('Overview (Verification)'!P61)=0,0,'Overview (Verification)'!P61)</f>
        <v>0</v>
      </c>
    </row>
    <row r="933" spans="1:51" ht="15" thickTop="1" x14ac:dyDescent="0.35">
      <c r="A933" s="366">
        <v>7</v>
      </c>
      <c r="B933" s="738">
        <v>701.3</v>
      </c>
      <c r="C933" s="735"/>
      <c r="D933" s="731"/>
      <c r="E933" s="731"/>
      <c r="F933" s="731"/>
      <c r="G933" s="366" t="s">
        <v>3973</v>
      </c>
      <c r="H933" s="366" t="s">
        <v>3972</v>
      </c>
      <c r="I933" s="106">
        <v>701.3</v>
      </c>
      <c r="J933" s="316"/>
      <c r="K933" s="316"/>
      <c r="L933" s="837" t="s">
        <v>817</v>
      </c>
      <c r="M933" s="267"/>
      <c r="N933" s="545"/>
      <c r="O933" s="545"/>
      <c r="P933" t="b">
        <v>0</v>
      </c>
      <c r="Q933" t="b">
        <v>1</v>
      </c>
      <c r="R933" s="59" t="b">
        <f ca="1">IF(S883=4,FALSE,TRUE)</f>
        <v>1</v>
      </c>
      <c r="S933" s="59" t="b">
        <f ca="1">IF(S883=4,FALSE,TRUE)</f>
        <v>1</v>
      </c>
      <c r="T933" s="59" t="b">
        <f ca="1">AND(NOT(S933),W933=TRUE)</f>
        <v>0</v>
      </c>
      <c r="U933" s="59"/>
      <c r="V933" s="59"/>
      <c r="W933" s="17"/>
      <c r="X933" s="840"/>
      <c r="Y933" s="1118" t="str">
        <f>IF(LEN('Ch7'!X63)=0,"None",'Ch7'!X63)</f>
        <v>NGBS Green Verifier</v>
      </c>
      <c r="Z933" s="1106"/>
      <c r="AC933" t="b">
        <f ca="1">OR(AD933:AE933)</f>
        <v>1</v>
      </c>
      <c r="AD933" t="b">
        <f ca="1">T933</f>
        <v>0</v>
      </c>
      <c r="AE933" t="b">
        <f ca="1">OR(AND(R933,NOT(W933)),AND(W933=TRUE,LEN(X933)=0))</f>
        <v>1</v>
      </c>
      <c r="AP933" t="str">
        <f>SUBSTITUTE(SUBSTITUTE(SUBSTITUTE("vch"&amp;$B933&amp;$C933&amp;$D933&amp;$E933,".","_"),"(","_"),")","")</f>
        <v>vch701_3</v>
      </c>
      <c r="AQ933" t="str">
        <f>IF(LEN(W933)=0,"",W933)</f>
        <v/>
      </c>
      <c r="AR933" t="str">
        <f>SUBSTITUTE(SUBSTITUTE(SUBSTITUTE("vnt"&amp;$B933&amp;$C933&amp;$D933&amp;$E933,".","_"),"(","_"),")","")</f>
        <v>vnt701_3</v>
      </c>
      <c r="AS933" t="str">
        <f>IF(LEN(X933)=0,"",X933)</f>
        <v/>
      </c>
      <c r="AX933" s="6" t="str">
        <f>'Overview (Verification)'!A62</f>
        <v>Local Building Code:</v>
      </c>
      <c r="AY933">
        <f>IF(LEN('Overview (Verification)'!P62)=0,0,'Overview (Verification)'!P62)</f>
        <v>0</v>
      </c>
    </row>
    <row r="934" spans="1:51" x14ac:dyDescent="0.35">
      <c r="A934" s="366">
        <v>7</v>
      </c>
      <c r="B934" s="738">
        <v>701.3</v>
      </c>
      <c r="C934" s="735"/>
      <c r="D934" s="731"/>
      <c r="E934" s="731"/>
      <c r="F934" s="731"/>
      <c r="G934" s="366" t="s">
        <v>3973</v>
      </c>
      <c r="H934" s="366" t="s">
        <v>3972</v>
      </c>
      <c r="I934" s="4"/>
      <c r="J934" s="90"/>
      <c r="K934" s="90"/>
      <c r="L934" s="838"/>
      <c r="M934" s="40"/>
      <c r="N934" s="41"/>
      <c r="O934" s="41"/>
      <c r="X934" s="817"/>
      <c r="Y934" s="1100"/>
      <c r="Z934" s="1102"/>
    </row>
    <row r="935" spans="1:51" ht="15" thickBot="1" x14ac:dyDescent="0.4">
      <c r="A935" s="366">
        <v>7</v>
      </c>
      <c r="B935" s="738">
        <v>701.3</v>
      </c>
      <c r="C935" s="735"/>
      <c r="D935" s="731"/>
      <c r="E935" s="731"/>
      <c r="F935" s="731"/>
      <c r="G935" s="366" t="s">
        <v>3973</v>
      </c>
      <c r="H935" s="366" t="s">
        <v>3972</v>
      </c>
      <c r="I935" s="160"/>
      <c r="J935" s="229"/>
      <c r="K935" s="229"/>
      <c r="L935" s="180" t="s">
        <v>3382</v>
      </c>
      <c r="M935" s="270"/>
      <c r="N935" s="72"/>
      <c r="O935" s="72"/>
      <c r="P935" s="55"/>
      <c r="Q935" s="55"/>
      <c r="R935" s="55"/>
      <c r="S935" s="55"/>
      <c r="T935" s="55"/>
      <c r="U935" s="55"/>
      <c r="V935" s="55"/>
      <c r="W935" s="55"/>
      <c r="X935" s="829"/>
      <c r="Y935" s="1101"/>
      <c r="Z935" s="1104"/>
    </row>
    <row r="936" spans="1:51" ht="15" thickTop="1" x14ac:dyDescent="0.35">
      <c r="A936" s="366">
        <v>7</v>
      </c>
      <c r="B936" s="738">
        <v>701.4</v>
      </c>
      <c r="C936" s="735"/>
      <c r="D936" s="731"/>
      <c r="E936" s="731"/>
      <c r="F936" s="731"/>
      <c r="G936" s="366" t="s">
        <v>3973</v>
      </c>
      <c r="H936" s="366" t="s">
        <v>3970</v>
      </c>
      <c r="I936" s="106">
        <v>701.4</v>
      </c>
      <c r="J936" s="316"/>
      <c r="K936" s="316"/>
      <c r="L936" s="274" t="s">
        <v>818</v>
      </c>
      <c r="M936" s="267"/>
      <c r="N936" s="545"/>
      <c r="O936" s="545"/>
      <c r="P936" s="59"/>
      <c r="Q936" s="59"/>
      <c r="R936" s="59"/>
      <c r="S936" s="59"/>
      <c r="T936" s="59"/>
      <c r="U936" s="59"/>
      <c r="V936" s="59"/>
      <c r="W936" s="59"/>
      <c r="X936" s="59"/>
    </row>
    <row r="937" spans="1:51" x14ac:dyDescent="0.35">
      <c r="A937" s="366">
        <v>7</v>
      </c>
      <c r="B937" s="738" t="s">
        <v>819</v>
      </c>
      <c r="C937" s="735"/>
      <c r="D937" s="731"/>
      <c r="E937" s="731"/>
      <c r="F937" s="731"/>
      <c r="G937" s="366" t="s">
        <v>3973</v>
      </c>
      <c r="H937" s="366" t="s">
        <v>3971</v>
      </c>
      <c r="I937" s="138" t="s">
        <v>819</v>
      </c>
      <c r="J937" s="228"/>
      <c r="K937" s="228"/>
      <c r="L937" s="329" t="s">
        <v>820</v>
      </c>
      <c r="M937" s="268"/>
      <c r="N937" s="546"/>
      <c r="O937" s="546"/>
      <c r="P937" s="104"/>
      <c r="Q937" s="104"/>
      <c r="R937" s="104"/>
      <c r="S937" s="104"/>
      <c r="T937" s="104"/>
      <c r="U937" s="104"/>
      <c r="V937" s="104"/>
      <c r="W937" s="104"/>
      <c r="X937" s="104"/>
    </row>
    <row r="938" spans="1:51" x14ac:dyDescent="0.35">
      <c r="A938" s="366">
        <v>7</v>
      </c>
      <c r="B938" s="738" t="s">
        <v>821</v>
      </c>
      <c r="C938" s="738"/>
      <c r="D938" s="731"/>
      <c r="E938" s="731"/>
      <c r="F938" s="731"/>
      <c r="G938" s="366" t="s">
        <v>3973</v>
      </c>
      <c r="H938" s="366" t="s">
        <v>3971</v>
      </c>
      <c r="I938" s="117" t="s">
        <v>821</v>
      </c>
      <c r="J938" s="286"/>
      <c r="K938" s="286"/>
      <c r="L938" s="905" t="s">
        <v>822</v>
      </c>
      <c r="M938" s="912" t="str">
        <f ca="1">IF(R938,"Mandatory","N/A")</f>
        <v>Mandatory</v>
      </c>
      <c r="N938" s="552"/>
      <c r="O938" s="552"/>
      <c r="P938" t="b">
        <v>1</v>
      </c>
      <c r="Q938" t="b">
        <v>0</v>
      </c>
      <c r="R938" s="120" t="b">
        <f ca="1">S938</f>
        <v>1</v>
      </c>
      <c r="S938" s="120" t="b">
        <f ca="1">NOT(S883=4)</f>
        <v>1</v>
      </c>
      <c r="T938" s="120" t="b">
        <f ca="1">AND(NOT(S938),W938=TRUE)</f>
        <v>0</v>
      </c>
      <c r="U938" s="120"/>
      <c r="V938" s="120"/>
      <c r="W938" s="17"/>
      <c r="X938" s="817"/>
      <c r="Y938" s="1100" t="str">
        <f>IF(LEN('Ch7'!X68)=0,"None",'Ch7'!X68)</f>
        <v>None</v>
      </c>
      <c r="Z938" s="1102"/>
      <c r="AC938" t="b">
        <f ca="1">OR(AD938:AE938)</f>
        <v>1</v>
      </c>
      <c r="AD938" t="b">
        <f ca="1">T938</f>
        <v>0</v>
      </c>
      <c r="AE938" t="b">
        <f ca="1">AND(R938,NOT(W938))</f>
        <v>1</v>
      </c>
      <c r="AF938" t="b">
        <f ca="1">AND(AE938,NOT(Q938))</f>
        <v>1</v>
      </c>
      <c r="AL938" t="str">
        <f>SUBSTITUTE(SUBSTITUTE(SUBSTITUTE("vpa"&amp;$B938&amp;$C938&amp;$D938&amp;$E938,".","_"),"(","_"),")","")</f>
        <v>vpa701_4_1_1</v>
      </c>
      <c r="AM938" t="str">
        <f ca="1">M938</f>
        <v>Mandatory</v>
      </c>
      <c r="AP938" t="str">
        <f>SUBSTITUTE(SUBSTITUTE(SUBSTITUTE("vch"&amp;$B938&amp;$C938&amp;$D938&amp;$E938,".","_"),"(","_"),")","")</f>
        <v>vch701_4_1_1</v>
      </c>
      <c r="AQ938" t="str">
        <f>IF(LEN(W938)=0,"",W938)</f>
        <v/>
      </c>
      <c r="AR938" t="str">
        <f>SUBSTITUTE(SUBSTITUTE(SUBSTITUTE("vnt"&amp;$B938&amp;$C938&amp;$D938&amp;$E938,".","_"),"(","_"),")","")</f>
        <v>vnt701_4_1_1</v>
      </c>
      <c r="AS938" t="str">
        <f>IF(LEN(X938)=0,"",X938)</f>
        <v/>
      </c>
    </row>
    <row r="939" spans="1:51" x14ac:dyDescent="0.35">
      <c r="A939" s="366">
        <v>7</v>
      </c>
      <c r="B939" s="738" t="s">
        <v>821</v>
      </c>
      <c r="C939" s="738"/>
      <c r="D939" s="731"/>
      <c r="E939" s="731"/>
      <c r="F939" s="731"/>
      <c r="G939" s="366" t="s">
        <v>3973</v>
      </c>
      <c r="H939" s="366" t="s">
        <v>3971</v>
      </c>
      <c r="I939" s="4"/>
      <c r="J939" s="90"/>
      <c r="K939" s="90"/>
      <c r="L939" s="838"/>
      <c r="M939" s="885"/>
      <c r="N939" s="41"/>
      <c r="O939" s="41"/>
      <c r="X939" s="817"/>
      <c r="Y939" s="1100"/>
      <c r="Z939" s="1102"/>
    </row>
    <row r="940" spans="1:51" x14ac:dyDescent="0.35">
      <c r="A940" s="366">
        <v>7</v>
      </c>
      <c r="B940" s="738" t="s">
        <v>821</v>
      </c>
      <c r="C940" s="738"/>
      <c r="D940" s="731"/>
      <c r="E940" s="731"/>
      <c r="F940" s="731"/>
      <c r="G940" s="366" t="s">
        <v>3973</v>
      </c>
      <c r="H940" s="366" t="s">
        <v>3971</v>
      </c>
      <c r="I940" s="133"/>
      <c r="J940" s="228"/>
      <c r="K940" s="228"/>
      <c r="L940" s="889"/>
      <c r="M940" s="890"/>
      <c r="N940" s="546"/>
      <c r="O940" s="546"/>
      <c r="P940" s="104"/>
      <c r="Q940" s="104"/>
      <c r="R940" s="104"/>
      <c r="S940" s="104"/>
      <c r="T940" s="104"/>
      <c r="U940" s="104"/>
      <c r="V940" s="104"/>
      <c r="W940" s="104"/>
      <c r="X940" s="817"/>
      <c r="Y940" s="1100"/>
      <c r="Z940" s="1102"/>
    </row>
    <row r="941" spans="1:51" x14ac:dyDescent="0.35">
      <c r="A941" s="366">
        <v>7</v>
      </c>
      <c r="B941" s="738" t="s">
        <v>823</v>
      </c>
      <c r="C941" s="738"/>
      <c r="D941" s="731"/>
      <c r="E941" s="731"/>
      <c r="F941" s="731"/>
      <c r="G941" s="366" t="s">
        <v>3973</v>
      </c>
      <c r="H941" s="366" t="s">
        <v>3971</v>
      </c>
      <c r="I941" s="330" t="s">
        <v>823</v>
      </c>
      <c r="J941" s="286"/>
      <c r="K941" s="286"/>
      <c r="L941" s="905" t="s">
        <v>824</v>
      </c>
      <c r="M941" s="912" t="str">
        <f ca="1">IF(R941,"Mandatory","N/A")</f>
        <v>Mandatory</v>
      </c>
      <c r="N941" s="552"/>
      <c r="O941" s="552"/>
      <c r="P941" t="b">
        <v>1</v>
      </c>
      <c r="Q941" t="b">
        <v>0</v>
      </c>
      <c r="R941" s="120" t="b">
        <f ca="1">S941</f>
        <v>1</v>
      </c>
      <c r="S941" s="120" t="b">
        <f ca="1">NOT(S883=4)</f>
        <v>1</v>
      </c>
      <c r="T941" s="120" t="b">
        <f ca="1">AND(NOT(S941),LEN(W941)&gt;0)</f>
        <v>0</v>
      </c>
      <c r="U941" s="120" t="str">
        <f>SUBSTITUTE(SUBSTITUTE(SUBSTITUTE("dd"&amp;B941&amp;C941&amp;D941&amp;E941&amp;F941,".","_"),"(","_"),")","")</f>
        <v>dd701_4_1_2</v>
      </c>
      <c r="V941" s="120"/>
      <c r="W941" s="9"/>
      <c r="X941" s="817"/>
      <c r="Y941" s="1100" t="str">
        <f>IF(LEN('Ch7'!X71)=0,"None",'Ch7'!X71)</f>
        <v>None</v>
      </c>
      <c r="Z941" s="1102"/>
      <c r="AC941" t="b">
        <f ca="1">OR(AD941:AE941)</f>
        <v>1</v>
      </c>
      <c r="AD941" t="b">
        <f ca="1">T941</f>
        <v>0</v>
      </c>
      <c r="AE941" t="b">
        <f ca="1">AND(R941,OR(W941="Not Met",W941=""))</f>
        <v>1</v>
      </c>
      <c r="AF941" t="b">
        <f ca="1">AND(AE941,NOT(Q941))</f>
        <v>1</v>
      </c>
      <c r="AL941" t="str">
        <f>SUBSTITUTE(SUBSTITUTE(SUBSTITUTE("vpa"&amp;$B941&amp;$C941&amp;$D941&amp;$E941,".","_"),"(","_"),")","")</f>
        <v>vpa701_4_1_2</v>
      </c>
      <c r="AM941" t="str">
        <f ca="1">M941</f>
        <v>Mandatory</v>
      </c>
      <c r="AP941" t="str">
        <f>SUBSTITUTE(SUBSTITUTE(SUBSTITUTE("vch"&amp;$B941&amp;$C941&amp;$D941&amp;$E941,".","_"),"(","_"),")","")</f>
        <v>vch701_4_1_2</v>
      </c>
      <c r="AQ941" t="str">
        <f>IF(LEN(W941)=0,"",W941)</f>
        <v/>
      </c>
      <c r="AR941" t="str">
        <f>SUBSTITUTE(SUBSTITUTE(SUBSTITUTE("vnt"&amp;$B941&amp;$C941&amp;$D941&amp;$E941,".","_"),"(","_"),")","")</f>
        <v>vnt701_4_1_2</v>
      </c>
      <c r="AS941" t="str">
        <f>IF(LEN(X941)=0,"",X941)</f>
        <v/>
      </c>
    </row>
    <row r="942" spans="1:51" x14ac:dyDescent="0.35">
      <c r="A942" s="366">
        <v>7</v>
      </c>
      <c r="B942" s="738" t="s">
        <v>823</v>
      </c>
      <c r="C942" s="738"/>
      <c r="D942" s="731"/>
      <c r="E942" s="731"/>
      <c r="F942" s="731"/>
      <c r="G942" s="366" t="s">
        <v>3973</v>
      </c>
      <c r="H942" s="366" t="s">
        <v>3971</v>
      </c>
      <c r="I942" s="4"/>
      <c r="J942" s="90"/>
      <c r="K942" s="90"/>
      <c r="L942" s="838"/>
      <c r="M942" s="885"/>
      <c r="N942" s="41"/>
      <c r="O942" s="41"/>
      <c r="X942" s="817"/>
      <c r="Y942" s="1100"/>
      <c r="Z942" s="1102"/>
    </row>
    <row r="943" spans="1:51" x14ac:dyDescent="0.35">
      <c r="A943" s="366">
        <v>7</v>
      </c>
      <c r="B943" s="738" t="s">
        <v>823</v>
      </c>
      <c r="C943" s="738"/>
      <c r="D943" s="731"/>
      <c r="E943" s="731"/>
      <c r="F943" s="731"/>
      <c r="G943" s="366" t="s">
        <v>3973</v>
      </c>
      <c r="H943" s="366" t="s">
        <v>3971</v>
      </c>
      <c r="I943" s="4"/>
      <c r="J943" s="90"/>
      <c r="K943" s="90"/>
      <c r="L943" s="838"/>
      <c r="M943" s="885"/>
      <c r="N943" s="41"/>
      <c r="O943" s="41"/>
      <c r="X943" s="817"/>
      <c r="Y943" s="1100"/>
      <c r="Z943" s="1102"/>
    </row>
    <row r="944" spans="1:51" x14ac:dyDescent="0.35">
      <c r="A944" s="366">
        <v>7</v>
      </c>
      <c r="B944" s="738" t="s">
        <v>823</v>
      </c>
      <c r="C944" s="738"/>
      <c r="D944" s="731"/>
      <c r="E944" s="731"/>
      <c r="F944" s="731"/>
      <c r="G944" s="366" t="s">
        <v>3973</v>
      </c>
      <c r="H944" s="366" t="s">
        <v>3971</v>
      </c>
      <c r="I944" s="4"/>
      <c r="J944" s="90"/>
      <c r="K944" s="90"/>
      <c r="L944" s="838"/>
      <c r="M944" s="885"/>
      <c r="N944" s="41"/>
      <c r="O944" s="41"/>
      <c r="X944" s="817"/>
      <c r="Y944" s="1100"/>
      <c r="Z944" s="1102"/>
    </row>
    <row r="945" spans="1:45" x14ac:dyDescent="0.35">
      <c r="A945" s="366">
        <v>7</v>
      </c>
      <c r="B945" s="738" t="s">
        <v>823</v>
      </c>
      <c r="C945" s="738"/>
      <c r="D945" s="731"/>
      <c r="E945" s="731"/>
      <c r="F945" s="731"/>
      <c r="G945" s="366" t="s">
        <v>3973</v>
      </c>
      <c r="H945" s="366" t="s">
        <v>3971</v>
      </c>
      <c r="I945" s="133"/>
      <c r="J945" s="228"/>
      <c r="K945" s="228"/>
      <c r="L945" s="889"/>
      <c r="M945" s="890"/>
      <c r="N945" s="546"/>
      <c r="O945" s="546"/>
      <c r="P945" s="104"/>
      <c r="Q945" s="104"/>
      <c r="R945" s="104"/>
      <c r="S945" s="104"/>
      <c r="T945" s="104"/>
      <c r="U945" s="104"/>
      <c r="V945" s="104"/>
      <c r="W945" s="104"/>
      <c r="X945" s="817"/>
      <c r="Y945" s="1100"/>
      <c r="Z945" s="1102"/>
    </row>
    <row r="946" spans="1:45" x14ac:dyDescent="0.35">
      <c r="A946" s="366">
        <v>7</v>
      </c>
      <c r="B946" s="738" t="s">
        <v>825</v>
      </c>
      <c r="C946" s="738"/>
      <c r="D946" s="731"/>
      <c r="E946" s="731"/>
      <c r="F946" s="731"/>
      <c r="G946" s="366" t="s">
        <v>3973</v>
      </c>
      <c r="H946" s="366" t="s">
        <v>3971</v>
      </c>
      <c r="I946" s="330" t="s">
        <v>825</v>
      </c>
      <c r="J946" s="286"/>
      <c r="K946" s="286"/>
      <c r="L946" s="325" t="s">
        <v>826</v>
      </c>
      <c r="M946" s="282"/>
      <c r="N946" s="552"/>
      <c r="O946" s="552"/>
      <c r="P946" s="120"/>
      <c r="Q946" s="120"/>
      <c r="R946" s="120"/>
      <c r="S946" s="120"/>
      <c r="T946" s="120"/>
      <c r="U946" s="120"/>
      <c r="V946" s="120"/>
      <c r="W946" s="120"/>
      <c r="X946" s="120"/>
    </row>
    <row r="947" spans="1:45" x14ac:dyDescent="0.35">
      <c r="A947" s="366">
        <v>7</v>
      </c>
      <c r="B947" s="738" t="s">
        <v>819</v>
      </c>
      <c r="C947" s="738"/>
      <c r="D947" s="731"/>
      <c r="E947" s="731"/>
      <c r="F947" s="731"/>
      <c r="G947" s="366" t="s">
        <v>3973</v>
      </c>
      <c r="H947" s="366" t="s">
        <v>3971</v>
      </c>
      <c r="I947" s="32" t="s">
        <v>3808</v>
      </c>
      <c r="J947" s="90"/>
      <c r="K947" s="90"/>
      <c r="L947" s="838" t="s">
        <v>827</v>
      </c>
      <c r="M947" s="885" t="str">
        <f ca="1">IF(R947,"Mandatory","N/A")</f>
        <v>Mandatory</v>
      </c>
      <c r="N947" s="41"/>
      <c r="O947" s="41"/>
      <c r="P947" t="b">
        <v>1</v>
      </c>
      <c r="Q947" t="b">
        <v>0</v>
      </c>
      <c r="R947" t="b">
        <f ca="1">S947</f>
        <v>1</v>
      </c>
      <c r="S947" t="b">
        <f ca="1">AND(NOT(S883=4),NOT(AND(OR(AY909=INDEX(INDIRECT('Overview (Design)'!$E$38),2),AY909=INDEX(INDIRECT('Overview (Design)'!$E$38),3)),OR(AY913=INDEX(INDIRECT('Overview (Design)'!$E$42),2),AY913=INDEX(INDIRECT('Overview (Design)'!$E$42),3)))))</f>
        <v>1</v>
      </c>
      <c r="T947" t="b">
        <f ca="1">AND(NOT(S947),W947=TRUE)</f>
        <v>0</v>
      </c>
      <c r="W947" s="17"/>
      <c r="X947" s="817"/>
      <c r="Y947" s="1100" t="str">
        <f>IF(LEN('Ch7'!X77)=0,"None",'Ch7'!X77)</f>
        <v>Aeroseal Aerosol Air Duct Sealing</v>
      </c>
      <c r="Z947" s="1102"/>
      <c r="AC947" t="b">
        <f ca="1">OR(AD947:AE947)</f>
        <v>1</v>
      </c>
      <c r="AD947" t="b">
        <f ca="1">T947</f>
        <v>0</v>
      </c>
      <c r="AE947" t="b">
        <f ca="1">AND(R947,NOT(W947))</f>
        <v>1</v>
      </c>
      <c r="AF947" t="b">
        <f ca="1">AND(AE947,NOT(Q947))</f>
        <v>1</v>
      </c>
      <c r="AL947" t="str">
        <f>SUBSTITUTE(SUBSTITUTE(SUBSTITUTE("vpa"&amp;$B947&amp;$C947&amp;$D947&amp;$E947,".","_"),"(","_"),")","")</f>
        <v>vpa701_4_1</v>
      </c>
      <c r="AM947" t="str">
        <f ca="1">M947</f>
        <v>Mandatory</v>
      </c>
      <c r="AP947" t="str">
        <f>SUBSTITUTE(SUBSTITUTE(SUBSTITUTE("vch"&amp;$B947&amp;$C947&amp;$D947&amp;$E947,".","_"),"(","_"),")","")</f>
        <v>vch701_4_1</v>
      </c>
      <c r="AQ947" t="str">
        <f>IF(LEN(W947)=0,"",W947)</f>
        <v/>
      </c>
      <c r="AR947" t="str">
        <f>SUBSTITUTE(SUBSTITUTE(SUBSTITUTE("vnt"&amp;$B947&amp;$C947&amp;$D947&amp;$E947,".","_"),"(","_"),")","")</f>
        <v>vnt701_4_1</v>
      </c>
      <c r="AS947" t="str">
        <f>IF(LEN(X947)=0,"",X947)</f>
        <v/>
      </c>
    </row>
    <row r="948" spans="1:45" x14ac:dyDescent="0.35">
      <c r="A948" s="366">
        <v>7</v>
      </c>
      <c r="B948" s="738" t="s">
        <v>819</v>
      </c>
      <c r="C948" s="738"/>
      <c r="D948" s="731"/>
      <c r="E948" s="731"/>
      <c r="F948" s="731"/>
      <c r="G948" s="366" t="s">
        <v>3973</v>
      </c>
      <c r="H948" s="366" t="s">
        <v>3971</v>
      </c>
      <c r="I948" s="32"/>
      <c r="J948" s="90"/>
      <c r="K948" s="90"/>
      <c r="L948" s="838"/>
      <c r="M948" s="885"/>
      <c r="N948" s="41"/>
      <c r="O948" s="41"/>
      <c r="X948" s="817"/>
      <c r="Y948" s="1100"/>
      <c r="Z948" s="1102"/>
    </row>
    <row r="949" spans="1:45" x14ac:dyDescent="0.35">
      <c r="A949" s="366">
        <v>7</v>
      </c>
      <c r="B949" s="738" t="s">
        <v>819</v>
      </c>
      <c r="C949" s="738"/>
      <c r="D949" s="731"/>
      <c r="E949" s="731"/>
      <c r="F949" s="731"/>
      <c r="G949" s="366" t="s">
        <v>3973</v>
      </c>
      <c r="H949" s="366" t="s">
        <v>3971</v>
      </c>
      <c r="I949" s="331"/>
      <c r="J949" s="228"/>
      <c r="K949" s="228"/>
      <c r="L949" s="889"/>
      <c r="M949" s="890"/>
      <c r="N949" s="546"/>
      <c r="O949" s="546"/>
      <c r="P949" s="104"/>
      <c r="Q949" s="104"/>
      <c r="R949" s="104"/>
      <c r="S949" s="104"/>
      <c r="T949" s="104"/>
      <c r="U949" s="104"/>
      <c r="V949" s="104"/>
      <c r="W949" s="104"/>
      <c r="X949" s="817"/>
      <c r="Y949" s="1100"/>
      <c r="Z949" s="1102"/>
    </row>
    <row r="950" spans="1:45" ht="15" customHeight="1" x14ac:dyDescent="0.35">
      <c r="A950" s="366">
        <v>7</v>
      </c>
      <c r="B950" s="738" t="s">
        <v>828</v>
      </c>
      <c r="C950" s="738"/>
      <c r="D950" s="731"/>
      <c r="E950" s="731"/>
      <c r="F950" s="731"/>
      <c r="G950" s="366" t="s">
        <v>3973</v>
      </c>
      <c r="H950" s="366" t="s">
        <v>3971</v>
      </c>
      <c r="I950" s="332" t="s">
        <v>828</v>
      </c>
      <c r="J950" s="178"/>
      <c r="K950" s="178"/>
      <c r="L950" s="333" t="s">
        <v>829</v>
      </c>
      <c r="M950" s="460" t="str">
        <f ca="1">IF(R950,"Mandatory","N/A")</f>
        <v>Mandatory</v>
      </c>
      <c r="N950" s="547"/>
      <c r="O950" s="547"/>
      <c r="P950" t="b">
        <v>1</v>
      </c>
      <c r="Q950" t="b">
        <v>0</v>
      </c>
      <c r="R950" s="134" t="b">
        <f ca="1">S950</f>
        <v>1</v>
      </c>
      <c r="S950" s="134" t="b">
        <f ca="1">AND(NOT(S883=4),NOT(AND(OR(AY909=INDEX(INDIRECT('Overview (Design)'!$E$38),2),AY909=INDEX(INDIRECT('Overview (Design)'!$E$38),3)),OR(AY913=INDEX(INDIRECT('Overview (Design)'!$E$42),2),AY913=INDEX(INDIRECT('Overview (Design)'!$E$42),3)))))</f>
        <v>1</v>
      </c>
      <c r="T950" s="134" t="b">
        <f ca="1">AND(NOT(S950),W950=TRUE)</f>
        <v>0</v>
      </c>
      <c r="U950" s="134"/>
      <c r="V950" s="134"/>
      <c r="W950" s="17"/>
      <c r="X950" s="36"/>
      <c r="Y950" s="396" t="str">
        <f>IF(LEN('Ch7'!X80)=0,"None",'Ch7'!X80)</f>
        <v>None</v>
      </c>
      <c r="Z950" s="652"/>
      <c r="AC950" t="b">
        <f ca="1">OR(AD950:AE950)</f>
        <v>1</v>
      </c>
      <c r="AD950" t="b">
        <f ca="1">T950</f>
        <v>0</v>
      </c>
      <c r="AE950" t="b">
        <f ca="1">AND(R950,NOT(W950))</f>
        <v>1</v>
      </c>
      <c r="AF950" t="b">
        <f ca="1">AND(AE950,NOT(Q950))</f>
        <v>1</v>
      </c>
      <c r="AL950" t="str">
        <f>SUBSTITUTE(SUBSTITUTE(SUBSTITUTE("vpa"&amp;$B950&amp;$C950&amp;$D950&amp;$E950,".","_"),"(","_"),")","")</f>
        <v>vpa701_4_2_2</v>
      </c>
      <c r="AM950" t="str">
        <f ca="1">M950</f>
        <v>Mandatory</v>
      </c>
      <c r="AP950" t="str">
        <f>SUBSTITUTE(SUBSTITUTE(SUBSTITUTE("vch"&amp;$B950&amp;$C950&amp;$D950&amp;$E950,".","_"),"(","_"),")","")</f>
        <v>vch701_4_2_2</v>
      </c>
      <c r="AQ950" t="str">
        <f>IF(LEN(W950)=0,"",W950)</f>
        <v/>
      </c>
      <c r="AR950" t="str">
        <f>SUBSTITUTE(SUBSTITUTE(SUBSTITUTE("vnt"&amp;$B950&amp;$C950&amp;$D950&amp;$E950,".","_"),"(","_"),")","")</f>
        <v>vnt701_4_2_2</v>
      </c>
      <c r="AS950" t="str">
        <f>IF(LEN(X950)=0,"",X950)</f>
        <v/>
      </c>
    </row>
    <row r="951" spans="1:45" x14ac:dyDescent="0.35">
      <c r="A951" s="366">
        <v>7</v>
      </c>
      <c r="B951" s="738" t="s">
        <v>830</v>
      </c>
      <c r="C951" s="738"/>
      <c r="D951" s="731"/>
      <c r="E951" s="731"/>
      <c r="F951" s="731"/>
      <c r="G951" s="366" t="s">
        <v>3973</v>
      </c>
      <c r="H951" s="366" t="s">
        <v>3971</v>
      </c>
      <c r="I951" s="330" t="s">
        <v>830</v>
      </c>
      <c r="J951" s="286"/>
      <c r="K951" s="286"/>
      <c r="L951" s="905" t="s">
        <v>831</v>
      </c>
      <c r="M951" s="912" t="str">
        <f ca="1">IF(R951,"Mandatory","N/A")</f>
        <v>Mandatory</v>
      </c>
      <c r="N951" s="552"/>
      <c r="O951" s="552"/>
      <c r="P951" t="b">
        <v>1</v>
      </c>
      <c r="Q951" t="b">
        <v>0</v>
      </c>
      <c r="R951" s="120" t="b">
        <f ca="1">S951</f>
        <v>1</v>
      </c>
      <c r="S951" s="120" t="b">
        <f ca="1">AND(NOT(S883=4),NOT(AND(OR(AY909=INDEX(INDIRECT('Overview (Design)'!$E$38),2),AY909=INDEX(INDIRECT('Overview (Design)'!$E$38),3)),OR(AY913=INDEX(INDIRECT('Overview (Design)'!$E$42),2),AY913=INDEX(INDIRECT('Overview (Design)'!$E$42),3)))))</f>
        <v>1</v>
      </c>
      <c r="T951" s="120" t="b">
        <f ca="1">AND(NOT(S951),W951=TRUE)</f>
        <v>0</v>
      </c>
      <c r="U951" s="120"/>
      <c r="V951" s="120"/>
      <c r="W951" s="17"/>
      <c r="X951" s="817"/>
      <c r="Y951" s="1100" t="str">
        <f>IF(LEN('Ch7'!X81)=0,"None",'Ch7'!X81)</f>
        <v>None</v>
      </c>
      <c r="Z951" s="1102"/>
      <c r="AC951" t="b">
        <f ca="1">OR(AD951:AE951)</f>
        <v>1</v>
      </c>
      <c r="AD951" t="b">
        <f ca="1">T951</f>
        <v>0</v>
      </c>
      <c r="AE951" t="b">
        <f ca="1">AND(R951,NOT(W951))</f>
        <v>1</v>
      </c>
      <c r="AF951" t="b">
        <f ca="1">AND(AE951,NOT(Q951))</f>
        <v>1</v>
      </c>
      <c r="AL951" t="str">
        <f>SUBSTITUTE(SUBSTITUTE(SUBSTITUTE("vpa"&amp;$B951&amp;$C951&amp;$D951&amp;$E951,".","_"),"(","_"),")","")</f>
        <v>vpa701_4_2_3</v>
      </c>
      <c r="AM951" t="str">
        <f ca="1">M951</f>
        <v>Mandatory</v>
      </c>
      <c r="AP951" t="str">
        <f>SUBSTITUTE(SUBSTITUTE(SUBSTITUTE("vch"&amp;$B951&amp;$C951&amp;$D951&amp;$E951,".","_"),"(","_"),")","")</f>
        <v>vch701_4_2_3</v>
      </c>
      <c r="AQ951" t="str">
        <f>IF(LEN(W951)=0,"",W951)</f>
        <v/>
      </c>
      <c r="AR951" t="str">
        <f>SUBSTITUTE(SUBSTITUTE(SUBSTITUTE("vnt"&amp;$B951&amp;$C951&amp;$D951&amp;$E951,".","_"),"(","_"),")","")</f>
        <v>vnt701_4_2_3</v>
      </c>
      <c r="AS951" t="str">
        <f>IF(LEN(X951)=0,"",X951)</f>
        <v/>
      </c>
    </row>
    <row r="952" spans="1:45" x14ac:dyDescent="0.35">
      <c r="A952" s="366">
        <v>7</v>
      </c>
      <c r="B952" s="738" t="s">
        <v>830</v>
      </c>
      <c r="C952" s="738"/>
      <c r="D952" s="731"/>
      <c r="E952" s="731"/>
      <c r="F952" s="731"/>
      <c r="G952" s="366" t="s">
        <v>3973</v>
      </c>
      <c r="H952" s="366" t="s">
        <v>3971</v>
      </c>
      <c r="I952" s="331"/>
      <c r="J952" s="228"/>
      <c r="K952" s="228"/>
      <c r="L952" s="889"/>
      <c r="M952" s="890"/>
      <c r="N952" s="546"/>
      <c r="O952" s="546"/>
      <c r="P952" s="104"/>
      <c r="Q952" s="104"/>
      <c r="R952" s="104"/>
      <c r="S952" s="104"/>
      <c r="T952" s="104"/>
      <c r="U952" s="104"/>
      <c r="V952" s="104"/>
      <c r="W952" s="104"/>
      <c r="X952" s="817"/>
      <c r="Y952" s="1100"/>
      <c r="Z952" s="1102"/>
    </row>
    <row r="953" spans="1:45" x14ac:dyDescent="0.35">
      <c r="A953" s="366">
        <v>7</v>
      </c>
      <c r="B953" s="738" t="s">
        <v>832</v>
      </c>
      <c r="C953" s="738"/>
      <c r="D953" s="731"/>
      <c r="E953" s="731"/>
      <c r="F953" s="731"/>
      <c r="G953" s="366" t="s">
        <v>3973</v>
      </c>
      <c r="H953" s="366" t="s">
        <v>3971</v>
      </c>
      <c r="I953" s="330" t="s">
        <v>832</v>
      </c>
      <c r="J953" s="286"/>
      <c r="K953" s="286"/>
      <c r="L953" s="325" t="s">
        <v>833</v>
      </c>
      <c r="M953" s="282"/>
      <c r="N953" s="552"/>
      <c r="O953" s="552"/>
      <c r="P953" s="120"/>
      <c r="Q953" s="120"/>
      <c r="R953" s="120"/>
      <c r="S953" s="120"/>
      <c r="T953" s="120"/>
      <c r="U953" s="120"/>
      <c r="V953" s="120"/>
      <c r="W953" s="120"/>
      <c r="X953" s="120"/>
    </row>
    <row r="954" spans="1:45" x14ac:dyDescent="0.35">
      <c r="A954" s="366">
        <v>7</v>
      </c>
      <c r="B954" s="738" t="s">
        <v>834</v>
      </c>
      <c r="C954" s="738"/>
      <c r="D954" s="731"/>
      <c r="E954" s="731"/>
      <c r="F954" s="731"/>
      <c r="G954" s="366" t="s">
        <v>3973</v>
      </c>
      <c r="H954" s="366" t="s">
        <v>3971</v>
      </c>
      <c r="I954" s="32" t="s">
        <v>834</v>
      </c>
      <c r="J954" s="90"/>
      <c r="K954" s="90"/>
      <c r="L954" s="838" t="s">
        <v>835</v>
      </c>
      <c r="N954" s="41"/>
      <c r="O954" s="41"/>
      <c r="W954" t="s">
        <v>3413</v>
      </c>
      <c r="X954" s="817"/>
      <c r="Y954" s="1100" t="str">
        <f>IF(LEN('Ch7'!X84)=0,"None",'Ch7'!X84)</f>
        <v>None</v>
      </c>
      <c r="Z954" s="1102"/>
      <c r="AL954" t="str">
        <f>SUBSTITUTE(SUBSTITUTE(SUBSTITUTE("vpa"&amp;$B954&amp;$C954&amp;$D954&amp;$E954,".","_"),"(","_"),")","")</f>
        <v>vpa701_4_3_1</v>
      </c>
      <c r="AM954" t="str">
        <f ca="1">M958</f>
        <v>Mandatory</v>
      </c>
      <c r="AR954" t="str">
        <f>SUBSTITUTE(SUBSTITUTE(SUBSTITUTE("vnt"&amp;$B954&amp;$C954&amp;$D954&amp;$E954,".","_"),"(","_"),")","")</f>
        <v>vnt701_4_3_1</v>
      </c>
      <c r="AS954" t="str">
        <f>IF(LEN(X954)=0,"",X954)</f>
        <v/>
      </c>
    </row>
    <row r="955" spans="1:45" x14ac:dyDescent="0.35">
      <c r="A955" s="366">
        <v>7</v>
      </c>
      <c r="B955" s="738" t="s">
        <v>834</v>
      </c>
      <c r="C955" s="738"/>
      <c r="D955" s="731"/>
      <c r="E955" s="731"/>
      <c r="F955" s="731"/>
      <c r="G955" s="366" t="s">
        <v>3973</v>
      </c>
      <c r="H955" s="366" t="s">
        <v>3971</v>
      </c>
      <c r="I955" s="4"/>
      <c r="J955" s="90"/>
      <c r="K955" s="90"/>
      <c r="L955" s="838"/>
      <c r="N955" s="41"/>
      <c r="O955" s="41"/>
      <c r="P955" t="b">
        <v>1</v>
      </c>
      <c r="Q955" t="b">
        <v>1</v>
      </c>
      <c r="R955" t="b">
        <v>0</v>
      </c>
      <c r="S955" t="b">
        <f ca="1">AND(NOT(S883=4),AY898&gt;3,AY889=INDEX(INDIRECT('Overview (Design)'!$E$18),2))</f>
        <v>0</v>
      </c>
      <c r="T955" t="b">
        <f ca="1">AND(NOT(S955),W955=TRUE)</f>
        <v>0</v>
      </c>
      <c r="W955" s="17"/>
      <c r="X955" s="817"/>
      <c r="Y955" s="1100"/>
      <c r="Z955" s="1102"/>
      <c r="AC955" t="b">
        <f ca="1">OR(AD955:AE955)</f>
        <v>0</v>
      </c>
      <c r="AD955" t="b">
        <f ca="1">T955</f>
        <v>0</v>
      </c>
      <c r="AP955" t="str">
        <f>SUBSTITUTE(SUBSTITUTE(SUBSTITUTE("vch"&amp;$B955&amp;$C955&amp;$D955&amp;$E955,".","_"),"(","_"),")","")</f>
        <v>vch701_4_3_1</v>
      </c>
      <c r="AQ955" t="str">
        <f>IF(LEN(W955)=0,"",W955)</f>
        <v/>
      </c>
    </row>
    <row r="956" spans="1:45" x14ac:dyDescent="0.35">
      <c r="A956" s="366">
        <v>7</v>
      </c>
      <c r="B956" s="738" t="s">
        <v>834</v>
      </c>
      <c r="C956" s="738"/>
      <c r="D956" s="731"/>
      <c r="E956" s="731"/>
      <c r="F956" s="731"/>
      <c r="G956" s="366" t="s">
        <v>3973</v>
      </c>
      <c r="H956" s="366" t="s">
        <v>3971</v>
      </c>
      <c r="I956" s="4"/>
      <c r="J956" s="90"/>
      <c r="K956" s="90"/>
      <c r="L956" s="838"/>
      <c r="N956" s="41"/>
      <c r="O956" s="41"/>
      <c r="X956" s="817"/>
      <c r="Y956" s="1100"/>
      <c r="Z956" s="1102"/>
    </row>
    <row r="957" spans="1:45" x14ac:dyDescent="0.35">
      <c r="A957" s="366">
        <v>7</v>
      </c>
      <c r="B957" s="738" t="s">
        <v>834</v>
      </c>
      <c r="C957" s="738"/>
      <c r="D957" s="731"/>
      <c r="E957" s="731"/>
      <c r="F957" s="731"/>
      <c r="G957" s="366" t="s">
        <v>3973</v>
      </c>
      <c r="H957" s="366" t="s">
        <v>3971</v>
      </c>
      <c r="I957" s="4"/>
      <c r="J957" s="90"/>
      <c r="K957" s="90"/>
      <c r="L957" s="838"/>
      <c r="N957" s="41"/>
      <c r="O957" s="41"/>
      <c r="X957" s="817"/>
      <c r="Y957" s="1100"/>
      <c r="Z957" s="1102"/>
    </row>
    <row r="958" spans="1:45" x14ac:dyDescent="0.35">
      <c r="A958" s="366">
        <v>7</v>
      </c>
      <c r="B958" s="738" t="s">
        <v>834</v>
      </c>
      <c r="C958" s="738"/>
      <c r="D958" s="731" t="s">
        <v>121</v>
      </c>
      <c r="E958" s="731"/>
      <c r="F958" s="731"/>
      <c r="G958" s="366" t="s">
        <v>3973</v>
      </c>
      <c r="H958" s="732" t="s">
        <v>3971</v>
      </c>
      <c r="I958" s="4"/>
      <c r="J958" s="90"/>
      <c r="K958" s="152" t="s">
        <v>121</v>
      </c>
      <c r="L958" s="90" t="s">
        <v>836</v>
      </c>
      <c r="M958" s="885" t="str">
        <f ca="1">IF(R958,"Mandatory","N/A")</f>
        <v>Mandatory</v>
      </c>
      <c r="N958" s="41"/>
      <c r="O958" s="41"/>
      <c r="P958" t="b">
        <v>1</v>
      </c>
      <c r="Q958" t="b">
        <v>1</v>
      </c>
      <c r="R958" t="b">
        <f t="shared" ref="R958:R970" ca="1" si="58">S958</f>
        <v>1</v>
      </c>
      <c r="S958" t="b">
        <f ca="1">AND(NOT(S883=4),NOT(W955))</f>
        <v>1</v>
      </c>
      <c r="T958" t="b">
        <f t="shared" ref="T958:T970" ca="1" si="59">AND(NOT(S958),W958=TRUE)</f>
        <v>0</v>
      </c>
      <c r="U958" t="str">
        <f>SUBSTITUTE(SUBSTITUTE(SUBSTITUTE("dd"&amp;B958&amp;C958&amp;D958&amp;E958&amp;F958,".","_"),"(","_"),")","")</f>
        <v>dd701_4_3_1_a</v>
      </c>
      <c r="W958" s="9"/>
      <c r="X958" s="36"/>
      <c r="Y958" s="396" t="str">
        <f>IF(LEN('Ch7'!X88)=0,"None",'Ch7'!X88)</f>
        <v>None</v>
      </c>
      <c r="Z958" s="652"/>
      <c r="AC958" t="b">
        <f t="shared" ref="AC958:AC970" ca="1" si="60">OR(AD958:AE958)</f>
        <v>1</v>
      </c>
      <c r="AD958" t="b">
        <f t="shared" ref="AD958:AD970" ca="1" si="61">T958</f>
        <v>0</v>
      </c>
      <c r="AE958" t="b">
        <f t="shared" ref="AE958:AE970" ca="1" si="62">AND(R958,OR(W958="Not Met",W958=""))</f>
        <v>1</v>
      </c>
      <c r="AP958" t="str">
        <f t="shared" ref="AP958:AP970" si="63">SUBSTITUTE(SUBSTITUTE(SUBSTITUTE("vch"&amp;$B958&amp;$C958&amp;$D958&amp;$E958,".","_"),"(","_"),")","")</f>
        <v>vch701_4_3_1_a</v>
      </c>
      <c r="AQ958" t="str">
        <f t="shared" ref="AQ958:AQ970" si="64">IF(LEN(W958)=0,"",W958)</f>
        <v/>
      </c>
      <c r="AR958" t="str">
        <f t="shared" ref="AR958:AR970" si="65">SUBSTITUTE(SUBSTITUTE(SUBSTITUTE("vnt"&amp;$B958&amp;$C958&amp;$D958&amp;$E958,".","_"),"(","_"),")","")</f>
        <v>vnt701_4_3_1_a</v>
      </c>
      <c r="AS958" t="str">
        <f t="shared" ref="AS958:AS970" si="66">IF(LEN(X958)=0,"",X958)</f>
        <v/>
      </c>
    </row>
    <row r="959" spans="1:45" x14ac:dyDescent="0.35">
      <c r="A959" s="366">
        <v>7</v>
      </c>
      <c r="B959" s="738" t="s">
        <v>834</v>
      </c>
      <c r="C959" s="738"/>
      <c r="D959" s="731" t="s">
        <v>122</v>
      </c>
      <c r="E959" s="731"/>
      <c r="F959" s="731"/>
      <c r="G959" s="366" t="s">
        <v>3973</v>
      </c>
      <c r="H959" s="732" t="s">
        <v>3971</v>
      </c>
      <c r="I959" s="4"/>
      <c r="J959" s="90"/>
      <c r="K959" s="152" t="s">
        <v>122</v>
      </c>
      <c r="L959" s="90" t="s">
        <v>837</v>
      </c>
      <c r="M959" s="885"/>
      <c r="N959" s="41"/>
      <c r="O959" s="41"/>
      <c r="P959" t="b">
        <v>1</v>
      </c>
      <c r="Q959" t="b">
        <v>1</v>
      </c>
      <c r="R959" t="b">
        <f t="shared" ca="1" si="58"/>
        <v>1</v>
      </c>
      <c r="S959" t="b">
        <f ca="1">AND(NOT(S883=4),NOT(W955))</f>
        <v>1</v>
      </c>
      <c r="T959" t="b">
        <f t="shared" ca="1" si="59"/>
        <v>0</v>
      </c>
      <c r="U959" t="str">
        <f t="shared" ref="U959:U970" si="67">SUBSTITUTE(SUBSTITUTE(SUBSTITUTE("dd"&amp;B959&amp;C959&amp;D959&amp;E959&amp;F959,".","_"),"(","_"),")","")</f>
        <v>dd701_4_3_1_b</v>
      </c>
      <c r="W959" s="9"/>
      <c r="X959" s="36"/>
      <c r="Y959" s="396" t="str">
        <f>IF(LEN('Ch7'!X89)=0,"None",'Ch7'!X89)</f>
        <v>None</v>
      </c>
      <c r="Z959" s="652"/>
      <c r="AC959" t="b">
        <f t="shared" ca="1" si="60"/>
        <v>1</v>
      </c>
      <c r="AD959" t="b">
        <f t="shared" ca="1" si="61"/>
        <v>0</v>
      </c>
      <c r="AE959" t="b">
        <f t="shared" ca="1" si="62"/>
        <v>1</v>
      </c>
      <c r="AP959" t="str">
        <f t="shared" si="63"/>
        <v>vch701_4_3_1_b</v>
      </c>
      <c r="AQ959" t="str">
        <f t="shared" si="64"/>
        <v/>
      </c>
      <c r="AR959" t="str">
        <f t="shared" si="65"/>
        <v>vnt701_4_3_1_b</v>
      </c>
      <c r="AS959" t="str">
        <f t="shared" si="66"/>
        <v/>
      </c>
    </row>
    <row r="960" spans="1:45" ht="15" customHeight="1" x14ac:dyDescent="0.35">
      <c r="A960" s="366">
        <v>7</v>
      </c>
      <c r="B960" s="738" t="s">
        <v>834</v>
      </c>
      <c r="C960" s="738"/>
      <c r="D960" s="733" t="s">
        <v>123</v>
      </c>
      <c r="E960" s="733"/>
      <c r="F960" s="733"/>
      <c r="G960" s="366" t="s">
        <v>3973</v>
      </c>
      <c r="H960" s="734" t="s">
        <v>3971</v>
      </c>
      <c r="I960" s="4"/>
      <c r="J960" s="90"/>
      <c r="K960" s="153" t="s">
        <v>123</v>
      </c>
      <c r="L960" s="90" t="s">
        <v>838</v>
      </c>
      <c r="M960" s="885"/>
      <c r="N960" s="41"/>
      <c r="O960" s="41"/>
      <c r="P960" t="b">
        <v>1</v>
      </c>
      <c r="Q960" t="b">
        <v>1</v>
      </c>
      <c r="R960" t="b">
        <f t="shared" ca="1" si="58"/>
        <v>1</v>
      </c>
      <c r="S960" t="b">
        <f ca="1">AND(NOT(S883=4),NOT(W955))</f>
        <v>1</v>
      </c>
      <c r="T960" t="b">
        <f t="shared" ca="1" si="59"/>
        <v>0</v>
      </c>
      <c r="U960" t="str">
        <f t="shared" si="67"/>
        <v>dd701_4_3_1_c</v>
      </c>
      <c r="W960" s="9"/>
      <c r="X960" s="36"/>
      <c r="Y960" s="396" t="str">
        <f>IF(LEN('Ch7'!X90)=0,"None",'Ch7'!X90)</f>
        <v>None</v>
      </c>
      <c r="Z960" s="652"/>
      <c r="AC960" t="b">
        <f t="shared" ca="1" si="60"/>
        <v>1</v>
      </c>
      <c r="AD960" t="b">
        <f t="shared" ca="1" si="61"/>
        <v>0</v>
      </c>
      <c r="AE960" t="b">
        <f t="shared" ca="1" si="62"/>
        <v>1</v>
      </c>
      <c r="AP960" t="str">
        <f t="shared" si="63"/>
        <v>vch701_4_3_1_c</v>
      </c>
      <c r="AQ960" t="str">
        <f t="shared" si="64"/>
        <v/>
      </c>
      <c r="AR960" t="str">
        <f t="shared" si="65"/>
        <v>vnt701_4_3_1_c</v>
      </c>
      <c r="AS960" t="str">
        <f t="shared" si="66"/>
        <v/>
      </c>
    </row>
    <row r="961" spans="1:45" x14ac:dyDescent="0.35">
      <c r="A961" s="366">
        <v>7</v>
      </c>
      <c r="B961" s="738" t="s">
        <v>834</v>
      </c>
      <c r="C961" s="738"/>
      <c r="D961" s="731" t="s">
        <v>401</v>
      </c>
      <c r="E961" s="731"/>
      <c r="F961" s="731"/>
      <c r="G961" s="366" t="s">
        <v>3973</v>
      </c>
      <c r="H961" s="366" t="s">
        <v>3971</v>
      </c>
      <c r="I961" s="4"/>
      <c r="J961" s="90"/>
      <c r="K961" s="95" t="s">
        <v>401</v>
      </c>
      <c r="L961" s="90" t="s">
        <v>839</v>
      </c>
      <c r="M961" s="885"/>
      <c r="N961" s="41"/>
      <c r="O961" s="41"/>
      <c r="P961" t="b">
        <v>1</v>
      </c>
      <c r="Q961" t="b">
        <v>1</v>
      </c>
      <c r="R961" t="b">
        <f t="shared" ca="1" si="58"/>
        <v>1</v>
      </c>
      <c r="S961" t="b">
        <f ca="1">AND(NOT(S883=4),NOT(W955))</f>
        <v>1</v>
      </c>
      <c r="T961" t="b">
        <f t="shared" ca="1" si="59"/>
        <v>0</v>
      </c>
      <c r="U961" t="str">
        <f t="shared" si="67"/>
        <v>dd701_4_3_1_d</v>
      </c>
      <c r="W961" s="9"/>
      <c r="X961" s="36"/>
      <c r="Y961" s="396" t="str">
        <f>IF(LEN('Ch7'!X91)=0,"None",'Ch7'!X91)</f>
        <v>None</v>
      </c>
      <c r="Z961" s="652"/>
      <c r="AC961" t="b">
        <f t="shared" ca="1" si="60"/>
        <v>1</v>
      </c>
      <c r="AD961" t="b">
        <f t="shared" ca="1" si="61"/>
        <v>0</v>
      </c>
      <c r="AE961" t="b">
        <f t="shared" ca="1" si="62"/>
        <v>1</v>
      </c>
      <c r="AP961" t="str">
        <f t="shared" si="63"/>
        <v>vch701_4_3_1_d</v>
      </c>
      <c r="AQ961" t="str">
        <f t="shared" si="64"/>
        <v/>
      </c>
      <c r="AR961" t="str">
        <f t="shared" si="65"/>
        <v>vnt701_4_3_1_d</v>
      </c>
      <c r="AS961" t="str">
        <f t="shared" si="66"/>
        <v/>
      </c>
    </row>
    <row r="962" spans="1:45" x14ac:dyDescent="0.35">
      <c r="A962" s="366">
        <v>7</v>
      </c>
      <c r="B962" s="738" t="s">
        <v>834</v>
      </c>
      <c r="C962" s="738"/>
      <c r="D962" s="731" t="s">
        <v>539</v>
      </c>
      <c r="E962" s="731"/>
      <c r="F962" s="731"/>
      <c r="G962" s="366" t="s">
        <v>3973</v>
      </c>
      <c r="H962" s="366" t="s">
        <v>3971</v>
      </c>
      <c r="I962" s="4"/>
      <c r="J962" s="90"/>
      <c r="K962" s="95" t="s">
        <v>539</v>
      </c>
      <c r="L962" s="90" t="s">
        <v>840</v>
      </c>
      <c r="M962" s="885"/>
      <c r="N962" s="41"/>
      <c r="O962" s="41"/>
      <c r="P962" t="b">
        <v>1</v>
      </c>
      <c r="Q962" t="b">
        <v>1</v>
      </c>
      <c r="R962" t="b">
        <f t="shared" ca="1" si="58"/>
        <v>1</v>
      </c>
      <c r="S962" t="b">
        <f ca="1">AND(NOT(S883=4),NOT(W955))</f>
        <v>1</v>
      </c>
      <c r="T962" t="b">
        <f t="shared" ca="1" si="59"/>
        <v>0</v>
      </c>
      <c r="U962" t="str">
        <f t="shared" si="67"/>
        <v>dd701_4_3_1_e</v>
      </c>
      <c r="W962" s="9"/>
      <c r="X962" s="36"/>
      <c r="Y962" s="396" t="str">
        <f>IF(LEN('Ch7'!X92)=0,"None",'Ch7'!X92)</f>
        <v>None</v>
      </c>
      <c r="Z962" s="652"/>
      <c r="AC962" t="b">
        <f t="shared" ca="1" si="60"/>
        <v>1</v>
      </c>
      <c r="AD962" t="b">
        <f t="shared" ca="1" si="61"/>
        <v>0</v>
      </c>
      <c r="AE962" t="b">
        <f t="shared" ca="1" si="62"/>
        <v>1</v>
      </c>
      <c r="AP962" t="str">
        <f t="shared" si="63"/>
        <v>vch701_4_3_1_e</v>
      </c>
      <c r="AQ962" t="str">
        <f t="shared" si="64"/>
        <v/>
      </c>
      <c r="AR962" t="str">
        <f t="shared" si="65"/>
        <v>vnt701_4_3_1_e</v>
      </c>
      <c r="AS962" t="str">
        <f t="shared" si="66"/>
        <v/>
      </c>
    </row>
    <row r="963" spans="1:45" x14ac:dyDescent="0.35">
      <c r="A963" s="366">
        <v>7</v>
      </c>
      <c r="B963" s="738" t="s">
        <v>834</v>
      </c>
      <c r="C963" s="738"/>
      <c r="D963" s="733" t="s">
        <v>604</v>
      </c>
      <c r="E963" s="733"/>
      <c r="F963" s="733"/>
      <c r="G963" s="366" t="s">
        <v>3973</v>
      </c>
      <c r="H963" s="734" t="s">
        <v>3971</v>
      </c>
      <c r="I963" s="4"/>
      <c r="J963" s="90"/>
      <c r="K963" s="153" t="s">
        <v>604</v>
      </c>
      <c r="L963" s="90" t="s">
        <v>841</v>
      </c>
      <c r="M963" s="885"/>
      <c r="N963" s="41"/>
      <c r="O963" s="41"/>
      <c r="P963" t="b">
        <v>1</v>
      </c>
      <c r="Q963" t="b">
        <v>1</v>
      </c>
      <c r="R963" t="b">
        <f t="shared" ca="1" si="58"/>
        <v>1</v>
      </c>
      <c r="S963" t="b">
        <f ca="1">AND(NOT(S883=4),NOT(W955))</f>
        <v>1</v>
      </c>
      <c r="T963" t="b">
        <f t="shared" ca="1" si="59"/>
        <v>0</v>
      </c>
      <c r="U963" t="str">
        <f t="shared" si="67"/>
        <v>dd701_4_3_1_f</v>
      </c>
      <c r="W963" s="9"/>
      <c r="X963" s="36"/>
      <c r="Y963" s="396" t="str">
        <f>IF(LEN('Ch7'!X93)=0,"None",'Ch7'!X93)</f>
        <v>None</v>
      </c>
      <c r="Z963" s="652"/>
      <c r="AC963" t="b">
        <f t="shared" ca="1" si="60"/>
        <v>1</v>
      </c>
      <c r="AD963" t="b">
        <f t="shared" ca="1" si="61"/>
        <v>0</v>
      </c>
      <c r="AE963" t="b">
        <f t="shared" ca="1" si="62"/>
        <v>1</v>
      </c>
      <c r="AP963" t="str">
        <f t="shared" si="63"/>
        <v>vch701_4_3_1_f</v>
      </c>
      <c r="AQ963" t="str">
        <f t="shared" si="64"/>
        <v/>
      </c>
      <c r="AR963" t="str">
        <f t="shared" si="65"/>
        <v>vnt701_4_3_1_f</v>
      </c>
      <c r="AS963" t="str">
        <f t="shared" si="66"/>
        <v/>
      </c>
    </row>
    <row r="964" spans="1:45" x14ac:dyDescent="0.35">
      <c r="A964" s="366">
        <v>7</v>
      </c>
      <c r="B964" s="738" t="s">
        <v>834</v>
      </c>
      <c r="C964" s="738"/>
      <c r="D964" s="731" t="s">
        <v>606</v>
      </c>
      <c r="E964" s="731"/>
      <c r="F964" s="731"/>
      <c r="G964" s="366" t="s">
        <v>3973</v>
      </c>
      <c r="H964" s="366" t="s">
        <v>3971</v>
      </c>
      <c r="I964" s="4"/>
      <c r="J964" s="90"/>
      <c r="K964" s="95" t="s">
        <v>606</v>
      </c>
      <c r="L964" s="470" t="s">
        <v>4244</v>
      </c>
      <c r="M964" s="885"/>
      <c r="N964" s="41"/>
      <c r="O964" s="41"/>
      <c r="P964" t="b">
        <v>1</v>
      </c>
      <c r="Q964" t="b">
        <v>1</v>
      </c>
      <c r="R964" t="b">
        <f t="shared" ca="1" si="58"/>
        <v>1</v>
      </c>
      <c r="S964" t="b">
        <f ca="1">AND(NOT(S883=4),NOT(W955))</f>
        <v>1</v>
      </c>
      <c r="T964" t="b">
        <f t="shared" ca="1" si="59"/>
        <v>0</v>
      </c>
      <c r="U964" t="str">
        <f t="shared" si="67"/>
        <v>dd701_4_3_1_g</v>
      </c>
      <c r="W964" s="9"/>
      <c r="X964" s="36"/>
      <c r="Y964" s="396" t="str">
        <f>IF(LEN('Ch7'!X94)=0,"None",'Ch7'!X94)</f>
        <v>None</v>
      </c>
      <c r="Z964" s="652"/>
      <c r="AC964" t="b">
        <f t="shared" ca="1" si="60"/>
        <v>1</v>
      </c>
      <c r="AD964" t="b">
        <f t="shared" ca="1" si="61"/>
        <v>0</v>
      </c>
      <c r="AE964" t="b">
        <f t="shared" ca="1" si="62"/>
        <v>1</v>
      </c>
      <c r="AP964" t="str">
        <f t="shared" si="63"/>
        <v>vch701_4_3_1_g</v>
      </c>
      <c r="AQ964" t="str">
        <f t="shared" si="64"/>
        <v/>
      </c>
      <c r="AR964" t="str">
        <f t="shared" si="65"/>
        <v>vnt701_4_3_1_g</v>
      </c>
      <c r="AS964" t="str">
        <f t="shared" si="66"/>
        <v/>
      </c>
    </row>
    <row r="965" spans="1:45" x14ac:dyDescent="0.35">
      <c r="A965" s="366">
        <v>7</v>
      </c>
      <c r="B965" s="738" t="s">
        <v>834</v>
      </c>
      <c r="C965" s="738"/>
      <c r="D965" s="731" t="s">
        <v>608</v>
      </c>
      <c r="E965" s="731"/>
      <c r="F965" s="731"/>
      <c r="G965" s="366" t="s">
        <v>3973</v>
      </c>
      <c r="H965" s="366" t="s">
        <v>3971</v>
      </c>
      <c r="I965" s="4"/>
      <c r="J965" s="90"/>
      <c r="K965" s="95" t="s">
        <v>608</v>
      </c>
      <c r="L965" s="90" t="s">
        <v>842</v>
      </c>
      <c r="M965" s="885"/>
      <c r="N965" s="41"/>
      <c r="O965" s="41"/>
      <c r="P965" t="b">
        <v>1</v>
      </c>
      <c r="Q965" t="b">
        <v>1</v>
      </c>
      <c r="R965" t="b">
        <f t="shared" ca="1" si="58"/>
        <v>1</v>
      </c>
      <c r="S965" t="b">
        <f ca="1">AND(NOT(S883=4),NOT(W955))</f>
        <v>1</v>
      </c>
      <c r="T965" t="b">
        <f t="shared" ca="1" si="59"/>
        <v>0</v>
      </c>
      <c r="U965" t="str">
        <f t="shared" si="67"/>
        <v>dd701_4_3_1_h</v>
      </c>
      <c r="W965" s="9"/>
      <c r="X965" s="36"/>
      <c r="Y965" s="396" t="str">
        <f>IF(LEN('Ch7'!X95)=0,"None",'Ch7'!X95)</f>
        <v>None</v>
      </c>
      <c r="Z965" s="652"/>
      <c r="AC965" t="b">
        <f t="shared" ca="1" si="60"/>
        <v>1</v>
      </c>
      <c r="AD965" t="b">
        <f t="shared" ca="1" si="61"/>
        <v>0</v>
      </c>
      <c r="AE965" t="b">
        <f t="shared" ca="1" si="62"/>
        <v>1</v>
      </c>
      <c r="AP965" t="str">
        <f t="shared" si="63"/>
        <v>vch701_4_3_1_h</v>
      </c>
      <c r="AQ965" t="str">
        <f t="shared" si="64"/>
        <v/>
      </c>
      <c r="AR965" t="str">
        <f t="shared" si="65"/>
        <v>vnt701_4_3_1_h</v>
      </c>
      <c r="AS965" t="str">
        <f t="shared" si="66"/>
        <v/>
      </c>
    </row>
    <row r="966" spans="1:45" x14ac:dyDescent="0.35">
      <c r="A966" s="366">
        <v>7</v>
      </c>
      <c r="B966" s="738" t="s">
        <v>834</v>
      </c>
      <c r="C966" s="738"/>
      <c r="D966" s="731" t="s">
        <v>843</v>
      </c>
      <c r="E966" s="731"/>
      <c r="F966" s="731"/>
      <c r="G966" s="366" t="s">
        <v>3973</v>
      </c>
      <c r="H966" s="366" t="s">
        <v>3971</v>
      </c>
      <c r="I966" s="4"/>
      <c r="J966" s="90"/>
      <c r="K966" s="95" t="s">
        <v>843</v>
      </c>
      <c r="L966" s="470" t="s">
        <v>4245</v>
      </c>
      <c r="M966" s="885"/>
      <c r="N966" s="41"/>
      <c r="O966" s="41"/>
      <c r="P966" t="b">
        <v>1</v>
      </c>
      <c r="Q966" t="b">
        <v>1</v>
      </c>
      <c r="R966" t="b">
        <f t="shared" ca="1" si="58"/>
        <v>1</v>
      </c>
      <c r="S966" t="b">
        <f ca="1">AND(NOT(S883=4),NOT(W955))</f>
        <v>1</v>
      </c>
      <c r="T966" t="b">
        <f t="shared" ca="1" si="59"/>
        <v>0</v>
      </c>
      <c r="U966" t="str">
        <f t="shared" si="67"/>
        <v>dd701_4_3_1_i</v>
      </c>
      <c r="W966" s="9"/>
      <c r="X966" s="36"/>
      <c r="Y966" s="396" t="str">
        <f>IF(LEN('Ch7'!X96)=0,"None",'Ch7'!X96)</f>
        <v>None</v>
      </c>
      <c r="Z966" s="652"/>
      <c r="AC966" t="b">
        <f t="shared" ca="1" si="60"/>
        <v>1</v>
      </c>
      <c r="AD966" t="b">
        <f t="shared" ca="1" si="61"/>
        <v>0</v>
      </c>
      <c r="AE966" t="b">
        <f t="shared" ca="1" si="62"/>
        <v>1</v>
      </c>
      <c r="AP966" t="str">
        <f t="shared" si="63"/>
        <v>vch701_4_3_1_i</v>
      </c>
      <c r="AQ966" t="str">
        <f t="shared" si="64"/>
        <v/>
      </c>
      <c r="AR966" t="str">
        <f t="shared" si="65"/>
        <v>vnt701_4_3_1_i</v>
      </c>
      <c r="AS966" t="str">
        <f t="shared" si="66"/>
        <v/>
      </c>
    </row>
    <row r="967" spans="1:45" x14ac:dyDescent="0.35">
      <c r="A967" s="366">
        <v>7</v>
      </c>
      <c r="B967" s="738" t="s">
        <v>834</v>
      </c>
      <c r="C967" s="738"/>
      <c r="D967" s="731" t="s">
        <v>844</v>
      </c>
      <c r="E967" s="731"/>
      <c r="F967" s="731"/>
      <c r="G967" s="366" t="s">
        <v>3973</v>
      </c>
      <c r="H967" s="366" t="s">
        <v>3971</v>
      </c>
      <c r="I967" s="4"/>
      <c r="J967" s="90"/>
      <c r="K967" s="95" t="s">
        <v>844</v>
      </c>
      <c r="L967" s="90" t="s">
        <v>845</v>
      </c>
      <c r="M967" s="885"/>
      <c r="N967" s="41"/>
      <c r="O967" s="41"/>
      <c r="P967" t="b">
        <v>1</v>
      </c>
      <c r="Q967" t="b">
        <v>1</v>
      </c>
      <c r="R967" t="b">
        <f t="shared" ca="1" si="58"/>
        <v>1</v>
      </c>
      <c r="S967" t="b">
        <f ca="1">AND(NOT(S883=4),NOT(W955))</f>
        <v>1</v>
      </c>
      <c r="T967" t="b">
        <f t="shared" ca="1" si="59"/>
        <v>0</v>
      </c>
      <c r="U967" t="str">
        <f t="shared" si="67"/>
        <v>dd701_4_3_1_j</v>
      </c>
      <c r="W967" s="9"/>
      <c r="X967" s="36"/>
      <c r="Y967" s="396" t="str">
        <f>IF(LEN('Ch7'!X97)=0,"None",'Ch7'!X97)</f>
        <v>None</v>
      </c>
      <c r="Z967" s="652"/>
      <c r="AC967" t="b">
        <f t="shared" ca="1" si="60"/>
        <v>1</v>
      </c>
      <c r="AD967" t="b">
        <f t="shared" ca="1" si="61"/>
        <v>0</v>
      </c>
      <c r="AE967" t="b">
        <f t="shared" ca="1" si="62"/>
        <v>1</v>
      </c>
      <c r="AP967" t="str">
        <f t="shared" si="63"/>
        <v>vch701_4_3_1_j</v>
      </c>
      <c r="AQ967" t="str">
        <f t="shared" si="64"/>
        <v/>
      </c>
      <c r="AR967" t="str">
        <f t="shared" si="65"/>
        <v>vnt701_4_3_1_j</v>
      </c>
      <c r="AS967" t="str">
        <f t="shared" si="66"/>
        <v/>
      </c>
    </row>
    <row r="968" spans="1:45" x14ac:dyDescent="0.35">
      <c r="A968" s="366">
        <v>7</v>
      </c>
      <c r="B968" s="738" t="s">
        <v>834</v>
      </c>
      <c r="C968" s="738"/>
      <c r="D968" s="731" t="s">
        <v>846</v>
      </c>
      <c r="E968" s="731"/>
      <c r="F968" s="731"/>
      <c r="G968" s="366" t="s">
        <v>3973</v>
      </c>
      <c r="H968" s="366" t="s">
        <v>3971</v>
      </c>
      <c r="I968" s="4"/>
      <c r="J968" s="90"/>
      <c r="K968" s="95" t="s">
        <v>846</v>
      </c>
      <c r="L968" s="470" t="s">
        <v>4246</v>
      </c>
      <c r="M968" s="885"/>
      <c r="N968" s="41"/>
      <c r="O968" s="41"/>
      <c r="P968" t="b">
        <v>1</v>
      </c>
      <c r="Q968" t="b">
        <v>1</v>
      </c>
      <c r="R968" t="b">
        <f t="shared" ca="1" si="58"/>
        <v>1</v>
      </c>
      <c r="S968" t="b">
        <f ca="1">AND(NOT(S883=4),NOT(W955))</f>
        <v>1</v>
      </c>
      <c r="T968" t="b">
        <f t="shared" ca="1" si="59"/>
        <v>0</v>
      </c>
      <c r="U968" t="str">
        <f t="shared" si="67"/>
        <v>dd701_4_3_1_k</v>
      </c>
      <c r="W968" s="9"/>
      <c r="X968" s="36"/>
      <c r="Y968" s="396" t="str">
        <f>IF(LEN('Ch7'!X98)=0,"None",'Ch7'!X98)</f>
        <v>None</v>
      </c>
      <c r="Z968" s="652"/>
      <c r="AC968" t="b">
        <f t="shared" ca="1" si="60"/>
        <v>1</v>
      </c>
      <c r="AD968" t="b">
        <f t="shared" ca="1" si="61"/>
        <v>0</v>
      </c>
      <c r="AE968" t="b">
        <f t="shared" ca="1" si="62"/>
        <v>1</v>
      </c>
      <c r="AP968" t="str">
        <f t="shared" si="63"/>
        <v>vch701_4_3_1_k</v>
      </c>
      <c r="AQ968" t="str">
        <f t="shared" si="64"/>
        <v/>
      </c>
      <c r="AR968" t="str">
        <f t="shared" si="65"/>
        <v>vnt701_4_3_1_k</v>
      </c>
      <c r="AS968" t="str">
        <f t="shared" si="66"/>
        <v/>
      </c>
    </row>
    <row r="969" spans="1:45" x14ac:dyDescent="0.35">
      <c r="A969" s="366">
        <v>7</v>
      </c>
      <c r="B969" s="738" t="s">
        <v>834</v>
      </c>
      <c r="C969" s="738"/>
      <c r="D969" s="731" t="s">
        <v>847</v>
      </c>
      <c r="E969" s="731"/>
      <c r="F969" s="731"/>
      <c r="G969" s="366" t="s">
        <v>3973</v>
      </c>
      <c r="H969" s="366" t="s">
        <v>3971</v>
      </c>
      <c r="K969" s="95" t="s">
        <v>847</v>
      </c>
      <c r="L969" s="470" t="s">
        <v>4247</v>
      </c>
      <c r="M969" s="885"/>
      <c r="O969" s="41"/>
      <c r="P969" t="b">
        <v>1</v>
      </c>
      <c r="Q969" t="b">
        <v>1</v>
      </c>
      <c r="R969" t="b">
        <f t="shared" ca="1" si="58"/>
        <v>1</v>
      </c>
      <c r="S969" t="b">
        <f ca="1">AND(NOT(S883=4),NOT(W955))</f>
        <v>1</v>
      </c>
      <c r="T969" t="b">
        <f t="shared" ca="1" si="59"/>
        <v>0</v>
      </c>
      <c r="U969" t="str">
        <f t="shared" si="67"/>
        <v>dd701_4_3_1_l</v>
      </c>
      <c r="W969" s="9"/>
      <c r="X969" s="36"/>
      <c r="Y969" s="396" t="str">
        <f>IF(LEN('Ch7'!X99)=0,"None",'Ch7'!X99)</f>
        <v>None</v>
      </c>
      <c r="Z969" s="652"/>
      <c r="AC969" t="b">
        <f t="shared" ca="1" si="60"/>
        <v>1</v>
      </c>
      <c r="AD969" t="b">
        <f t="shared" ca="1" si="61"/>
        <v>0</v>
      </c>
      <c r="AE969" t="b">
        <f t="shared" ca="1" si="62"/>
        <v>1</v>
      </c>
      <c r="AP969" t="str">
        <f t="shared" si="63"/>
        <v>vch701_4_3_1_l</v>
      </c>
      <c r="AQ969" t="str">
        <f t="shared" si="64"/>
        <v/>
      </c>
      <c r="AR969" t="str">
        <f t="shared" si="65"/>
        <v>vnt701_4_3_1_l</v>
      </c>
      <c r="AS969" t="str">
        <f t="shared" si="66"/>
        <v/>
      </c>
    </row>
    <row r="970" spans="1:45" x14ac:dyDescent="0.35">
      <c r="A970" s="366">
        <v>7</v>
      </c>
      <c r="B970" s="738" t="s">
        <v>834</v>
      </c>
      <c r="C970" s="738"/>
      <c r="D970" s="731" t="s">
        <v>3968</v>
      </c>
      <c r="E970" s="731"/>
      <c r="F970" s="731"/>
      <c r="G970" s="366" t="s">
        <v>3973</v>
      </c>
      <c r="H970" s="366" t="s">
        <v>3971</v>
      </c>
      <c r="I970" s="133"/>
      <c r="J970" s="228"/>
      <c r="K970" s="329" t="s">
        <v>3968</v>
      </c>
      <c r="L970" s="228" t="s">
        <v>848</v>
      </c>
      <c r="M970" s="890"/>
      <c r="N970" s="546"/>
      <c r="O970" s="546"/>
      <c r="P970" t="b">
        <v>1</v>
      </c>
      <c r="Q970" t="b">
        <v>1</v>
      </c>
      <c r="R970" t="b">
        <f t="shared" ca="1" si="58"/>
        <v>1</v>
      </c>
      <c r="S970" s="104" t="b">
        <f ca="1">AND(NOT(S883=4),NOT(W955))</f>
        <v>1</v>
      </c>
      <c r="T970" t="b">
        <f t="shared" ca="1" si="59"/>
        <v>0</v>
      </c>
      <c r="U970" t="str">
        <f t="shared" si="67"/>
        <v>dd701_4_3_1_m</v>
      </c>
      <c r="V970" s="104"/>
      <c r="W970" s="9"/>
      <c r="X970" s="36"/>
      <c r="Y970" s="396" t="str">
        <f>IF(LEN('Ch7'!X100)=0,"None",'Ch7'!X100)</f>
        <v>Hardie™ Weather Barrier</v>
      </c>
      <c r="Z970" s="652"/>
      <c r="AC970" t="b">
        <f t="shared" ca="1" si="60"/>
        <v>1</v>
      </c>
      <c r="AD970" t="b">
        <f t="shared" ca="1" si="61"/>
        <v>0</v>
      </c>
      <c r="AE970" t="b">
        <f t="shared" ca="1" si="62"/>
        <v>1</v>
      </c>
      <c r="AP970" t="str">
        <f t="shared" si="63"/>
        <v>vch701_4_3_1_m</v>
      </c>
      <c r="AQ970" t="str">
        <f t="shared" si="64"/>
        <v/>
      </c>
      <c r="AR970" t="str">
        <f t="shared" si="65"/>
        <v>vnt701_4_3_1_m</v>
      </c>
      <c r="AS970" t="str">
        <f t="shared" si="66"/>
        <v/>
      </c>
    </row>
    <row r="971" spans="1:45" ht="15" customHeight="1" x14ac:dyDescent="0.35">
      <c r="A971" s="366">
        <v>7</v>
      </c>
      <c r="B971" s="738" t="s">
        <v>849</v>
      </c>
      <c r="C971" s="738"/>
      <c r="D971" s="731"/>
      <c r="E971" s="731"/>
      <c r="F971" s="731"/>
      <c r="G971" s="366" t="s">
        <v>3973</v>
      </c>
      <c r="H971" s="366" t="s">
        <v>3970</v>
      </c>
      <c r="I971" s="32" t="s">
        <v>849</v>
      </c>
      <c r="J971" s="90"/>
      <c r="K971" s="90"/>
      <c r="L971" s="883" t="s">
        <v>4248</v>
      </c>
      <c r="M971" s="912" t="str">
        <f ca="1">IF(OR(R975,R978),"Mandatory","N/A")</f>
        <v>Mandatory</v>
      </c>
      <c r="N971" s="41"/>
      <c r="O971" s="41"/>
      <c r="AL971" t="str">
        <f>SUBSTITUTE(SUBSTITUTE(SUBSTITUTE("vpa"&amp;$B971&amp;$C971&amp;$D971&amp;$E971,".","_"),"(","_"),")","")</f>
        <v>vpa701_4_3_2</v>
      </c>
      <c r="AM971" t="str">
        <f ca="1">M971</f>
        <v>Mandatory</v>
      </c>
    </row>
    <row r="972" spans="1:45" x14ac:dyDescent="0.35">
      <c r="A972" s="366">
        <v>7</v>
      </c>
      <c r="B972" s="738" t="s">
        <v>849</v>
      </c>
      <c r="C972" s="738"/>
      <c r="D972" s="731"/>
      <c r="E972" s="731"/>
      <c r="F972" s="731"/>
      <c r="G972" s="366" t="s">
        <v>3973</v>
      </c>
      <c r="H972" s="366" t="s">
        <v>3970</v>
      </c>
      <c r="I972" s="32"/>
      <c r="J972" s="90"/>
      <c r="K972" s="90"/>
      <c r="L972" s="881"/>
      <c r="M972" s="885"/>
      <c r="N972" s="41"/>
      <c r="O972" s="41"/>
    </row>
    <row r="973" spans="1:45" x14ac:dyDescent="0.35">
      <c r="A973" s="366">
        <v>7</v>
      </c>
      <c r="B973" s="738" t="s">
        <v>849</v>
      </c>
      <c r="C973" s="738"/>
      <c r="D973" s="731"/>
      <c r="E973" s="731"/>
      <c r="F973" s="731"/>
      <c r="G973" s="366" t="s">
        <v>3973</v>
      </c>
      <c r="H973" s="366" t="s">
        <v>3970</v>
      </c>
      <c r="I973" s="4"/>
      <c r="J973" s="90"/>
      <c r="K973" s="90"/>
      <c r="L973" s="881"/>
      <c r="M973" s="885"/>
      <c r="N973" s="41"/>
      <c r="O973" s="41"/>
    </row>
    <row r="974" spans="1:45" x14ac:dyDescent="0.35">
      <c r="A974" s="366">
        <v>7</v>
      </c>
      <c r="B974" s="738" t="s">
        <v>849</v>
      </c>
      <c r="C974" s="738"/>
      <c r="D974" s="731"/>
      <c r="E974" s="731"/>
      <c r="F974" s="731"/>
      <c r="G974" s="366" t="s">
        <v>3973</v>
      </c>
      <c r="H974" s="366" t="s">
        <v>3970</v>
      </c>
      <c r="I974" s="4"/>
      <c r="J974" s="90"/>
      <c r="K974" s="90"/>
      <c r="L974" s="881"/>
      <c r="M974" s="885"/>
      <c r="N974" s="41"/>
      <c r="O974" s="41"/>
      <c r="W974" t="s">
        <v>3762</v>
      </c>
    </row>
    <row r="975" spans="1:45" x14ac:dyDescent="0.35">
      <c r="A975" s="366">
        <v>7</v>
      </c>
      <c r="B975" s="738" t="s">
        <v>849</v>
      </c>
      <c r="C975" s="731" t="s">
        <v>4082</v>
      </c>
      <c r="D975" s="731"/>
      <c r="E975" s="731"/>
      <c r="F975" s="731"/>
      <c r="G975" s="366" t="s">
        <v>3973</v>
      </c>
      <c r="H975" s="366" t="s">
        <v>3970</v>
      </c>
      <c r="I975" s="4"/>
      <c r="J975" s="152" t="s">
        <v>256</v>
      </c>
      <c r="K975" s="90"/>
      <c r="L975" s="838" t="s">
        <v>850</v>
      </c>
      <c r="M975" s="40"/>
      <c r="N975" s="41"/>
      <c r="O975" s="41"/>
      <c r="P975" t="b">
        <v>1</v>
      </c>
      <c r="Q975" t="b">
        <v>1</v>
      </c>
      <c r="R975" t="b">
        <f ca="1">AND(S975,NOT(OR(AND(BF886=2,BG886="Dry"),BI886="Tropical")))</f>
        <v>1</v>
      </c>
      <c r="S975" t="b">
        <f ca="1">AND(NOT(OR(S883=4,S883=5)),NOT(W955),NOT(LEN(W978)&gt;0))</f>
        <v>1</v>
      </c>
      <c r="T975" t="b">
        <f ca="1">AND(OR(NOT(S975),AND(W1081=TRUE,BF886&lt;=2,W975&gt;5),AND(W1081=TRUE,BF886&gt;=3,W975&gt;3)),LEN(W975)&gt;0)</f>
        <v>0</v>
      </c>
      <c r="W975" s="241"/>
      <c r="X975" s="850"/>
      <c r="Y975" s="1119" t="str">
        <f>IF(LEN('Ch7'!X105)=0,"None",'Ch7'!X105)</f>
        <v>None</v>
      </c>
      <c r="Z975" s="1105"/>
      <c r="AC975" t="b">
        <f ca="1">OR(AD975:AE975)</f>
        <v>1</v>
      </c>
      <c r="AD975" t="b">
        <f ca="1">T975</f>
        <v>0</v>
      </c>
      <c r="AE975" t="b">
        <f ca="1">AND(R975,LEN(W975)=0)</f>
        <v>1</v>
      </c>
      <c r="AP975" t="str">
        <f>SUBSTITUTE(SUBSTITUTE(SUBSTITUTE("vch"&amp;$B975&amp;$C975&amp;$D975&amp;$E975,".","_"),"(","_"),")","")</f>
        <v>vch701_4_3_2_1_</v>
      </c>
      <c r="AQ975" t="str">
        <f>IF(LEN(W975)=0,"",W975)</f>
        <v/>
      </c>
      <c r="AR975" t="str">
        <f>SUBSTITUTE(SUBSTITUTE(SUBSTITUTE("vnt"&amp;$B975&amp;$C975&amp;$D975&amp;$E975,".","_"),"(","_"),")","")</f>
        <v>vnt701_4_3_2_1_</v>
      </c>
      <c r="AS975" t="str">
        <f>IF(LEN(X975)=0,"",X975)</f>
        <v/>
      </c>
    </row>
    <row r="976" spans="1:45" x14ac:dyDescent="0.35">
      <c r="A976" s="366">
        <v>7</v>
      </c>
      <c r="B976" s="738" t="s">
        <v>849</v>
      </c>
      <c r="C976" s="731" t="s">
        <v>256</v>
      </c>
      <c r="D976" s="731"/>
      <c r="E976" s="731"/>
      <c r="F976" s="731"/>
      <c r="G976" s="366" t="s">
        <v>3973</v>
      </c>
      <c r="H976" s="366" t="s">
        <v>3970</v>
      </c>
      <c r="I976" s="4"/>
      <c r="J976" s="90"/>
      <c r="K976" s="90"/>
      <c r="L976" s="838"/>
      <c r="M976" s="40"/>
      <c r="N976" s="41"/>
      <c r="O976" s="41"/>
      <c r="X976" s="851"/>
      <c r="Y976" s="1120"/>
      <c r="Z976" s="1109"/>
    </row>
    <row r="977" spans="1:45" x14ac:dyDescent="0.35">
      <c r="A977" s="366">
        <v>7</v>
      </c>
      <c r="B977" s="738" t="s">
        <v>849</v>
      </c>
      <c r="C977" s="731" t="s">
        <v>256</v>
      </c>
      <c r="D977" s="731"/>
      <c r="E977" s="731"/>
      <c r="F977" s="731"/>
      <c r="G977" s="366" t="s">
        <v>3973</v>
      </c>
      <c r="H977" s="366" t="s">
        <v>3970</v>
      </c>
      <c r="I977" s="4"/>
      <c r="J977" s="90"/>
      <c r="K977" s="90"/>
      <c r="L977" s="838"/>
      <c r="M977" s="40"/>
      <c r="N977" s="41"/>
      <c r="O977" s="41"/>
      <c r="W977" t="s">
        <v>4589</v>
      </c>
      <c r="X977" s="816"/>
      <c r="Y977" s="1117"/>
      <c r="Z977" s="1103"/>
    </row>
    <row r="978" spans="1:45" x14ac:dyDescent="0.35">
      <c r="A978" s="366">
        <v>7</v>
      </c>
      <c r="B978" s="738" t="s">
        <v>849</v>
      </c>
      <c r="C978" s="731" t="s">
        <v>2974</v>
      </c>
      <c r="D978" s="731"/>
      <c r="E978" s="731"/>
      <c r="F978" s="731"/>
      <c r="G978" s="366" t="s">
        <v>3973</v>
      </c>
      <c r="H978" s="366" t="s">
        <v>3970</v>
      </c>
      <c r="I978" s="4"/>
      <c r="J978" s="90"/>
      <c r="K978" s="90"/>
      <c r="L978" s="838"/>
      <c r="M978" s="40"/>
      <c r="N978" s="41"/>
      <c r="O978" s="41"/>
      <c r="P978" t="b">
        <v>1</v>
      </c>
      <c r="Q978" t="b">
        <v>1</v>
      </c>
      <c r="R978" t="b">
        <f ca="1">AND(S978,NOT(OR(AND(BF886=2,BG886="Dry"),BI886="Tropical")))</f>
        <v>1</v>
      </c>
      <c r="S978" t="b">
        <f ca="1">AND(NOT(OR(S883=4,S883=5)),NOT(W955),NOT(LEN(W975)&gt;0))</f>
        <v>1</v>
      </c>
      <c r="T978" t="b">
        <f ca="1">AND(OR(NOT(S978),AND(W1081=TRUE,BF886&lt;=2,W978&gt;0.33),AND(W1081=TRUE,BF886&gt;=3,W978&gt;0.23)),LEN(W978)&gt;0)</f>
        <v>0</v>
      </c>
      <c r="W978" s="241"/>
      <c r="X978" s="850"/>
      <c r="Y978" s="1119" t="str">
        <f>IF(LEN('Ch7'!X108)=0,"None",'Ch7'!X108)</f>
        <v>None</v>
      </c>
      <c r="Z978" s="1105"/>
      <c r="AC978" t="b">
        <f ca="1">OR(AD978:AE978)</f>
        <v>0</v>
      </c>
      <c r="AD978" t="b">
        <f ca="1">T978</f>
        <v>0</v>
      </c>
      <c r="AP978" t="str">
        <f>SUBSTITUTE(SUBSTITUTE(SUBSTITUTE("vch"&amp;$B978&amp;$C978&amp;$D978&amp;$E978,".","_"),"(","_"),")","")</f>
        <v>vch701_4_3_2e</v>
      </c>
      <c r="AQ978" t="str">
        <f>IF(LEN(W978)=0,"",W978)</f>
        <v/>
      </c>
      <c r="AR978" t="str">
        <f>SUBSTITUTE(SUBSTITUTE(SUBSTITUTE("vnt"&amp;$B978&amp;$C978&amp;$D978&amp;$E978,".","_"),"(","_"),")","")</f>
        <v>vnt701_4_3_2e</v>
      </c>
      <c r="AS978" t="str">
        <f>IF(LEN(X978)=0,"",X978)</f>
        <v/>
      </c>
    </row>
    <row r="979" spans="1:45" x14ac:dyDescent="0.35">
      <c r="A979" s="366">
        <v>7</v>
      </c>
      <c r="B979" s="738" t="s">
        <v>849</v>
      </c>
      <c r="C979" s="731" t="s">
        <v>256</v>
      </c>
      <c r="D979" s="731"/>
      <c r="E979" s="731"/>
      <c r="F979" s="731"/>
      <c r="G979" s="366" t="s">
        <v>3973</v>
      </c>
      <c r="H979" s="366" t="s">
        <v>3970</v>
      </c>
      <c r="I979" s="4"/>
      <c r="J979" s="90"/>
      <c r="K979" s="90"/>
      <c r="L979" s="838"/>
      <c r="M979" s="40"/>
      <c r="N979" s="41"/>
      <c r="O979" s="41"/>
      <c r="X979" s="816"/>
      <c r="Y979" s="1117"/>
      <c r="Z979" s="1103"/>
    </row>
    <row r="980" spans="1:45" x14ac:dyDescent="0.35">
      <c r="A980" s="366">
        <v>7</v>
      </c>
      <c r="B980" s="738" t="s">
        <v>849</v>
      </c>
      <c r="C980" s="731" t="s">
        <v>256</v>
      </c>
      <c r="D980" s="731" t="s">
        <v>121</v>
      </c>
      <c r="E980" s="731"/>
      <c r="F980" s="731"/>
      <c r="G980" s="366" t="s">
        <v>3973</v>
      </c>
      <c r="H980" s="732" t="s">
        <v>3970</v>
      </c>
      <c r="I980" s="4"/>
      <c r="J980" s="90"/>
      <c r="K980" s="152" t="s">
        <v>121</v>
      </c>
      <c r="L980" s="90" t="s">
        <v>851</v>
      </c>
      <c r="M980" s="40"/>
      <c r="N980" s="41"/>
      <c r="O980" s="41"/>
      <c r="X980" s="36"/>
      <c r="Y980" s="396" t="str">
        <f>IF(LEN('Ch7'!X110)=0,"None",'Ch7'!X110)</f>
        <v>None</v>
      </c>
      <c r="Z980" s="652"/>
      <c r="AR980" t="str">
        <f>SUBSTITUTE(SUBSTITUTE(SUBSTITUTE("vnt"&amp;$B980&amp;$C980&amp;$D980&amp;$E980,".","_"),"(","_"),")","")</f>
        <v>vnt701_4_3_2_1_a</v>
      </c>
      <c r="AS980" t="str">
        <f>IF(LEN(X980)=0,"",X980)</f>
        <v/>
      </c>
    </row>
    <row r="981" spans="1:45" x14ac:dyDescent="0.35">
      <c r="A981" s="366">
        <v>7</v>
      </c>
      <c r="B981" s="738" t="s">
        <v>849</v>
      </c>
      <c r="C981" s="731" t="s">
        <v>256</v>
      </c>
      <c r="D981" s="731" t="s">
        <v>122</v>
      </c>
      <c r="E981" s="731"/>
      <c r="F981" s="731"/>
      <c r="G981" s="366" t="s">
        <v>3973</v>
      </c>
      <c r="H981" s="732" t="s">
        <v>3970</v>
      </c>
      <c r="I981" s="4"/>
      <c r="J981" s="90"/>
      <c r="K981" s="152" t="s">
        <v>122</v>
      </c>
      <c r="L981" s="814" t="s">
        <v>852</v>
      </c>
      <c r="M981" s="40"/>
      <c r="N981" s="41"/>
      <c r="O981" s="41"/>
      <c r="X981" s="817"/>
      <c r="Y981" s="1100" t="str">
        <f>IF(LEN('Ch7'!X111)=0,"None",'Ch7'!X111)</f>
        <v>None</v>
      </c>
      <c r="Z981" s="1102"/>
      <c r="AR981" t="str">
        <f>SUBSTITUTE(SUBSTITUTE(SUBSTITUTE("vnt"&amp;$B981&amp;$C981&amp;$D981&amp;$E981,".","_"),"(","_"),")","")</f>
        <v>vnt701_4_3_2_1_b</v>
      </c>
      <c r="AS981" t="str">
        <f>IF(LEN(X981)=0,"",X981)</f>
        <v/>
      </c>
    </row>
    <row r="982" spans="1:45" x14ac:dyDescent="0.35">
      <c r="A982" s="366">
        <v>7</v>
      </c>
      <c r="B982" s="738" t="s">
        <v>849</v>
      </c>
      <c r="C982" s="731" t="s">
        <v>256</v>
      </c>
      <c r="D982" s="731" t="s">
        <v>122</v>
      </c>
      <c r="E982" s="731"/>
      <c r="F982" s="731"/>
      <c r="G982" s="366" t="s">
        <v>3973</v>
      </c>
      <c r="H982" s="732" t="s">
        <v>3970</v>
      </c>
      <c r="I982" s="4"/>
      <c r="J982" s="90"/>
      <c r="K982" s="152"/>
      <c r="L982" s="814"/>
      <c r="M982" s="40"/>
      <c r="N982" s="41"/>
      <c r="O982" s="41"/>
      <c r="X982" s="817"/>
      <c r="Y982" s="1100"/>
      <c r="Z982" s="1102"/>
    </row>
    <row r="983" spans="1:45" x14ac:dyDescent="0.35">
      <c r="A983" s="366">
        <v>7</v>
      </c>
      <c r="B983" s="738" t="s">
        <v>849</v>
      </c>
      <c r="C983" s="731" t="s">
        <v>256</v>
      </c>
      <c r="D983" s="733" t="s">
        <v>123</v>
      </c>
      <c r="E983" s="733"/>
      <c r="F983" s="733"/>
      <c r="G983" s="366" t="s">
        <v>3973</v>
      </c>
      <c r="H983" s="734" t="s">
        <v>3970</v>
      </c>
      <c r="I983" s="4"/>
      <c r="J983" s="90"/>
      <c r="K983" s="153" t="s">
        <v>123</v>
      </c>
      <c r="L983" s="90" t="s">
        <v>853</v>
      </c>
      <c r="M983" s="40"/>
      <c r="N983" s="41"/>
      <c r="O983" s="41"/>
      <c r="X983" s="36"/>
      <c r="Y983" s="396" t="str">
        <f>IF(LEN('Ch7'!X113)=0,"None",'Ch7'!X113)</f>
        <v>None</v>
      </c>
      <c r="Z983" s="652"/>
      <c r="AR983" t="str">
        <f>SUBSTITUTE(SUBSTITUTE(SUBSTITUTE("vnt"&amp;$B983&amp;$C983&amp;$D983&amp;$E983,".","_"),"(","_"),")","")</f>
        <v>vnt701_4_3_2_1_c</v>
      </c>
      <c r="AS983" t="str">
        <f>IF(LEN(X983)=0,"",X983)</f>
        <v/>
      </c>
    </row>
    <row r="984" spans="1:45" x14ac:dyDescent="0.35">
      <c r="A984" s="366">
        <v>7</v>
      </c>
      <c r="B984" s="738" t="s">
        <v>849</v>
      </c>
      <c r="C984" s="731" t="s">
        <v>256</v>
      </c>
      <c r="D984" s="731" t="s">
        <v>401</v>
      </c>
      <c r="E984" s="731"/>
      <c r="F984" s="731"/>
      <c r="G984" s="366" t="s">
        <v>3973</v>
      </c>
      <c r="H984" s="366" t="s">
        <v>3970</v>
      </c>
      <c r="I984" s="4"/>
      <c r="J984" s="90"/>
      <c r="K984" s="95" t="s">
        <v>401</v>
      </c>
      <c r="L984" s="814" t="s">
        <v>854</v>
      </c>
      <c r="M984" s="40"/>
      <c r="N984" s="41"/>
      <c r="O984" s="41"/>
      <c r="X984" s="817"/>
      <c r="Y984" s="1100" t="str">
        <f>IF(LEN('Ch7'!X114)=0,"None",'Ch7'!X114)</f>
        <v>None</v>
      </c>
      <c r="Z984" s="1102"/>
      <c r="AR984" t="str">
        <f>SUBSTITUTE(SUBSTITUTE(SUBSTITUTE("vnt"&amp;$B984&amp;$C984&amp;$D984&amp;$E984,".","_"),"(","_"),")","")</f>
        <v>vnt701_4_3_2_1_d</v>
      </c>
      <c r="AS984" t="str">
        <f>IF(LEN(X984)=0,"",X984)</f>
        <v/>
      </c>
    </row>
    <row r="985" spans="1:45" x14ac:dyDescent="0.35">
      <c r="A985" s="366">
        <v>7</v>
      </c>
      <c r="B985" s="738" t="s">
        <v>849</v>
      </c>
      <c r="C985" s="731" t="s">
        <v>256</v>
      </c>
      <c r="D985" s="731" t="s">
        <v>401</v>
      </c>
      <c r="E985" s="731"/>
      <c r="F985" s="731"/>
      <c r="G985" s="366" t="s">
        <v>3973</v>
      </c>
      <c r="H985" s="366" t="s">
        <v>3970</v>
      </c>
      <c r="I985" s="4"/>
      <c r="J985" s="90"/>
      <c r="K985" s="95"/>
      <c r="L985" s="814"/>
      <c r="M985" s="40"/>
      <c r="N985" s="41"/>
      <c r="O985" s="41"/>
      <c r="X985" s="817"/>
      <c r="Y985" s="1100"/>
      <c r="Z985" s="1102"/>
    </row>
    <row r="986" spans="1:45" x14ac:dyDescent="0.35">
      <c r="A986" s="366">
        <v>7</v>
      </c>
      <c r="B986" s="738" t="s">
        <v>849</v>
      </c>
      <c r="C986" s="731" t="s">
        <v>256</v>
      </c>
      <c r="D986" s="731" t="s">
        <v>539</v>
      </c>
      <c r="E986" s="731"/>
      <c r="F986" s="731"/>
      <c r="G986" s="366" t="s">
        <v>3973</v>
      </c>
      <c r="H986" s="366" t="s">
        <v>3970</v>
      </c>
      <c r="I986" s="4"/>
      <c r="J986" s="90"/>
      <c r="K986" s="95" t="s">
        <v>539</v>
      </c>
      <c r="L986" s="90" t="s">
        <v>855</v>
      </c>
      <c r="M986" s="40"/>
      <c r="N986" s="41"/>
      <c r="O986" s="41"/>
      <c r="X986" s="36"/>
      <c r="Y986" s="396" t="str">
        <f>IF(LEN('Ch7'!X116)=0,"None",'Ch7'!X116)</f>
        <v>None</v>
      </c>
      <c r="Z986" s="652"/>
      <c r="AR986" t="str">
        <f>SUBSTITUTE(SUBSTITUTE(SUBSTITUTE("vnt"&amp;$B986&amp;$C986&amp;$D986&amp;$E986,".","_"),"(","_"),")","")</f>
        <v>vnt701_4_3_2_1_e</v>
      </c>
      <c r="AS986" t="str">
        <f>IF(LEN(X986)=0,"",X986)</f>
        <v/>
      </c>
    </row>
    <row r="987" spans="1:45" x14ac:dyDescent="0.35">
      <c r="A987" s="366">
        <v>7</v>
      </c>
      <c r="B987" s="738" t="s">
        <v>849</v>
      </c>
      <c r="C987" s="731" t="s">
        <v>256</v>
      </c>
      <c r="D987" s="733" t="s">
        <v>604</v>
      </c>
      <c r="E987" s="733"/>
      <c r="F987" s="733"/>
      <c r="G987" s="366" t="s">
        <v>3973</v>
      </c>
      <c r="H987" s="734" t="s">
        <v>3970</v>
      </c>
      <c r="I987" s="4"/>
      <c r="J987" s="90"/>
      <c r="K987" s="153" t="s">
        <v>604</v>
      </c>
      <c r="L987" s="90" t="s">
        <v>856</v>
      </c>
      <c r="M987" s="40"/>
      <c r="N987" s="41"/>
      <c r="O987" s="41"/>
      <c r="X987" s="36"/>
      <c r="Y987" s="396" t="str">
        <f>IF(LEN('Ch7'!X117)=0,"None",'Ch7'!X117)</f>
        <v>None</v>
      </c>
      <c r="Z987" s="652"/>
      <c r="AR987" t="str">
        <f>SUBSTITUTE(SUBSTITUTE(SUBSTITUTE("vnt"&amp;$B987&amp;$C987&amp;$D987&amp;$E987,".","_"),"(","_"),")","")</f>
        <v>vnt701_4_3_2_1_f</v>
      </c>
      <c r="AS987" t="str">
        <f>IF(LEN(X987)=0,"",X987)</f>
        <v/>
      </c>
    </row>
    <row r="988" spans="1:45" x14ac:dyDescent="0.35">
      <c r="A988" s="366">
        <v>7</v>
      </c>
      <c r="B988" s="738" t="s">
        <v>849</v>
      </c>
      <c r="C988" s="731" t="s">
        <v>256</v>
      </c>
      <c r="D988" s="731" t="s">
        <v>606</v>
      </c>
      <c r="E988" s="731"/>
      <c r="F988" s="731"/>
      <c r="G988" s="366" t="s">
        <v>3973</v>
      </c>
      <c r="H988" s="366" t="s">
        <v>3970</v>
      </c>
      <c r="I988" s="4"/>
      <c r="J988" s="90"/>
      <c r="K988" s="95" t="s">
        <v>606</v>
      </c>
      <c r="L988" s="90" t="s">
        <v>857</v>
      </c>
      <c r="M988" s="40"/>
      <c r="N988" s="41"/>
      <c r="O988" s="41"/>
      <c r="X988" s="36"/>
      <c r="Y988" s="396" t="str">
        <f>IF(LEN('Ch7'!X118)=0,"None",'Ch7'!X118)</f>
        <v>None</v>
      </c>
      <c r="Z988" s="652"/>
      <c r="AR988" t="str">
        <f>SUBSTITUTE(SUBSTITUTE(SUBSTITUTE("vnt"&amp;$B988&amp;$C988&amp;$D988&amp;$E988,".","_"),"(","_"),")","")</f>
        <v>vnt701_4_3_2_1_g</v>
      </c>
      <c r="AS988" t="str">
        <f>IF(LEN(X988)=0,"",X988)</f>
        <v/>
      </c>
    </row>
    <row r="989" spans="1:45" ht="15" customHeight="1" x14ac:dyDescent="0.35">
      <c r="A989" s="366">
        <v>7</v>
      </c>
      <c r="B989" s="738" t="s">
        <v>849</v>
      </c>
      <c r="C989" s="731" t="s">
        <v>256</v>
      </c>
      <c r="D989" s="731" t="s">
        <v>608</v>
      </c>
      <c r="E989" s="731"/>
      <c r="F989" s="731"/>
      <c r="G989" s="366" t="s">
        <v>3973</v>
      </c>
      <c r="H989" s="366" t="s">
        <v>3970</v>
      </c>
      <c r="I989" s="4"/>
      <c r="J989" s="90"/>
      <c r="K989" s="341"/>
      <c r="L989" s="855" t="s">
        <v>4249</v>
      </c>
      <c r="M989" s="40"/>
      <c r="N989" s="41"/>
      <c r="O989" s="41"/>
      <c r="X989" s="817"/>
      <c r="Y989" s="1100" t="str">
        <f>IF(LEN('Ch7'!X119)=0,"None",'Ch7'!X119)</f>
        <v>None</v>
      </c>
      <c r="Z989" s="1102"/>
      <c r="AR989" t="str">
        <f>SUBSTITUTE(SUBSTITUTE(SUBSTITUTE("vnt"&amp;$B989&amp;$C989&amp;$D989&amp;$E989,".","_"),"(","_"),")","")</f>
        <v>vnt701_4_3_2_1_h</v>
      </c>
      <c r="AS989" t="str">
        <f>IF(LEN(X989)=0,"",X989)</f>
        <v/>
      </c>
    </row>
    <row r="990" spans="1:45" x14ac:dyDescent="0.35">
      <c r="A990" s="366">
        <v>7</v>
      </c>
      <c r="B990" s="738" t="s">
        <v>849</v>
      </c>
      <c r="C990" s="731" t="s">
        <v>256</v>
      </c>
      <c r="D990" s="731"/>
      <c r="E990" s="731"/>
      <c r="F990" s="731"/>
      <c r="G990" s="366" t="s">
        <v>3973</v>
      </c>
      <c r="H990" s="366" t="s">
        <v>3970</v>
      </c>
      <c r="I990" s="4"/>
      <c r="J990" s="228"/>
      <c r="K990" s="342"/>
      <c r="L990" s="903"/>
      <c r="M990" s="40"/>
      <c r="N990" s="41"/>
      <c r="O990" s="41"/>
      <c r="X990" s="817"/>
      <c r="Y990" s="1100"/>
      <c r="Z990" s="1102"/>
    </row>
    <row r="991" spans="1:45" x14ac:dyDescent="0.35">
      <c r="A991" s="366">
        <v>7</v>
      </c>
      <c r="B991" s="738" t="s">
        <v>849</v>
      </c>
      <c r="C991" s="731" t="s">
        <v>258</v>
      </c>
      <c r="D991" s="731"/>
      <c r="E991" s="731"/>
      <c r="F991" s="731"/>
      <c r="G991" s="366" t="s">
        <v>3973</v>
      </c>
      <c r="H991" s="366" t="s">
        <v>3971</v>
      </c>
      <c r="I991" s="4"/>
      <c r="J991" s="152" t="s">
        <v>258</v>
      </c>
      <c r="K991" s="90"/>
      <c r="L991" s="838" t="s">
        <v>858</v>
      </c>
      <c r="M991" s="40"/>
      <c r="N991" s="41"/>
      <c r="O991" s="41"/>
      <c r="P991" t="b">
        <v>1</v>
      </c>
      <c r="Q991" t="b">
        <v>0</v>
      </c>
      <c r="R991" t="b">
        <f ca="1">S991</f>
        <v>1</v>
      </c>
      <c r="S991" t="b">
        <f ca="1">AND(NOT(S883=4),NOT(W955))</f>
        <v>1</v>
      </c>
      <c r="T991" t="b">
        <f ca="1">AND(NOT(S991),W991=TRUE)</f>
        <v>0</v>
      </c>
      <c r="W991" s="17"/>
      <c r="X991" s="817"/>
      <c r="Y991" s="1100" t="str">
        <f>IF(LEN('Ch7'!X121)=0,"None",'Ch7'!X121)</f>
        <v>None</v>
      </c>
      <c r="Z991" s="1102"/>
      <c r="AC991" t="b">
        <f ca="1">OR(AD991:AE991)</f>
        <v>1</v>
      </c>
      <c r="AD991" t="b">
        <f ca="1">T991</f>
        <v>0</v>
      </c>
      <c r="AE991" t="b">
        <f ca="1">AND(R991,NOT(W991))</f>
        <v>1</v>
      </c>
      <c r="AP991" t="str">
        <f>SUBSTITUTE(SUBSTITUTE(SUBSTITUTE("vch"&amp;$B991&amp;$C991&amp;$D991&amp;$E991,".","_"),"(","_"),")","")</f>
        <v>vch701_4_3_2_2</v>
      </c>
      <c r="AQ991" t="str">
        <f>IF(LEN(W991)=0,"",W991)</f>
        <v/>
      </c>
      <c r="AR991" t="str">
        <f>SUBSTITUTE(SUBSTITUTE(SUBSTITUTE("vnt"&amp;$B991&amp;$C991&amp;$D991&amp;$E991,".","_"),"(","_"),")","")</f>
        <v>vnt701_4_3_2_2</v>
      </c>
      <c r="AS991" t="str">
        <f>IF(LEN(X991)=0,"",X991)</f>
        <v/>
      </c>
    </row>
    <row r="992" spans="1:45" x14ac:dyDescent="0.35">
      <c r="A992" s="366">
        <v>7</v>
      </c>
      <c r="B992" s="738" t="s">
        <v>849</v>
      </c>
      <c r="C992" s="731" t="s">
        <v>258</v>
      </c>
      <c r="D992" s="731"/>
      <c r="E992" s="731"/>
      <c r="F992" s="731"/>
      <c r="G992" s="366" t="s">
        <v>3973</v>
      </c>
      <c r="H992" s="366" t="s">
        <v>3971</v>
      </c>
      <c r="I992" s="4"/>
      <c r="J992" s="90"/>
      <c r="K992" s="90"/>
      <c r="L992" s="838"/>
      <c r="M992" s="40"/>
      <c r="N992" s="41"/>
      <c r="O992" s="41"/>
      <c r="X992" s="817"/>
      <c r="Y992" s="1100"/>
      <c r="Z992" s="1102"/>
    </row>
    <row r="993" spans="1:45" x14ac:dyDescent="0.35">
      <c r="A993" s="366">
        <v>7</v>
      </c>
      <c r="B993" s="738" t="s">
        <v>849</v>
      </c>
      <c r="C993" s="731" t="s">
        <v>258</v>
      </c>
      <c r="D993" s="731"/>
      <c r="E993" s="731"/>
      <c r="F993" s="731"/>
      <c r="G993" s="366" t="s">
        <v>3973</v>
      </c>
      <c r="H993" s="366" t="s">
        <v>3971</v>
      </c>
      <c r="I993" s="133"/>
      <c r="J993" s="228"/>
      <c r="K993" s="228"/>
      <c r="L993" s="323" t="s">
        <v>3414</v>
      </c>
      <c r="M993" s="268"/>
      <c r="N993" s="546"/>
      <c r="O993" s="546"/>
      <c r="P993" s="104"/>
      <c r="Q993" s="104"/>
      <c r="R993" s="104"/>
      <c r="S993" s="104"/>
      <c r="T993" s="104"/>
      <c r="U993" s="104"/>
      <c r="V993" s="104"/>
      <c r="W993" s="104"/>
      <c r="X993" s="817"/>
      <c r="Y993" s="1100"/>
      <c r="Z993" s="1102"/>
    </row>
    <row r="994" spans="1:45" x14ac:dyDescent="0.35">
      <c r="A994" s="366">
        <v>7</v>
      </c>
      <c r="B994" s="738" t="s">
        <v>859</v>
      </c>
      <c r="C994" s="738"/>
      <c r="D994" s="731"/>
      <c r="E994" s="731"/>
      <c r="F994" s="731"/>
      <c r="G994" s="366" t="s">
        <v>3973</v>
      </c>
      <c r="H994" s="366" t="s">
        <v>3971</v>
      </c>
      <c r="I994" s="32" t="s">
        <v>859</v>
      </c>
      <c r="J994" s="90"/>
      <c r="K994" s="286"/>
      <c r="L994" s="883" t="s">
        <v>4250</v>
      </c>
      <c r="M994" s="912" t="str">
        <f ca="1">IF(R994,"Mandatory","N/A")</f>
        <v>Mandatory</v>
      </c>
      <c r="N994" s="41"/>
      <c r="O994" s="41"/>
      <c r="P994" t="b">
        <v>1</v>
      </c>
      <c r="Q994" t="b">
        <v>0</v>
      </c>
      <c r="R994" t="b">
        <f ca="1">S994</f>
        <v>1</v>
      </c>
      <c r="S994" t="b">
        <f ca="1">AND(NOT(S883=4),NOT(W955))</f>
        <v>1</v>
      </c>
      <c r="T994" t="b">
        <f ca="1">AND(NOT(S994),W994=TRUE)</f>
        <v>0</v>
      </c>
      <c r="W994" s="17"/>
      <c r="AC994" t="b">
        <f ca="1">OR(AD994:AE994)</f>
        <v>1</v>
      </c>
      <c r="AD994" t="b">
        <f ca="1">T994</f>
        <v>0</v>
      </c>
      <c r="AE994" t="b">
        <f ca="1">AND(R994,NOT(W994))</f>
        <v>1</v>
      </c>
      <c r="AF994" t="b">
        <f ca="1">AND(AE994,NOT(Q994))</f>
        <v>1</v>
      </c>
      <c r="AL994" t="str">
        <f>SUBSTITUTE(SUBSTITUTE(SUBSTITUTE("vpa"&amp;$B994&amp;$C994&amp;$D994&amp;$E994,".","_"),"(","_"),")","")</f>
        <v>vpa701_4_3_2_1</v>
      </c>
      <c r="AM994" t="str">
        <f ca="1">M994</f>
        <v>Mandatory</v>
      </c>
      <c r="AP994" t="str">
        <f>SUBSTITUTE(SUBSTITUTE(SUBSTITUTE("vch"&amp;$B994&amp;$C994&amp;$D994&amp;$E994,".","_"),"(","_"),")","")</f>
        <v>vch701_4_3_2_1</v>
      </c>
      <c r="AQ994" t="str">
        <f>IF(LEN(W994)=0,"",W994)</f>
        <v/>
      </c>
    </row>
    <row r="995" spans="1:45" x14ac:dyDescent="0.35">
      <c r="A995" s="366">
        <v>7</v>
      </c>
      <c r="B995" s="738" t="s">
        <v>859</v>
      </c>
      <c r="G995" s="366" t="s">
        <v>3973</v>
      </c>
      <c r="H995" s="732" t="s">
        <v>3971</v>
      </c>
      <c r="I995" s="4"/>
      <c r="L995" s="881"/>
      <c r="M995" s="885"/>
      <c r="N995" s="41"/>
    </row>
    <row r="996" spans="1:45" ht="15" customHeight="1" x14ac:dyDescent="0.35">
      <c r="A996" s="366">
        <v>7</v>
      </c>
      <c r="B996" s="738" t="s">
        <v>859</v>
      </c>
      <c r="G996" s="366" t="s">
        <v>3973</v>
      </c>
      <c r="H996" s="732" t="s">
        <v>3971</v>
      </c>
      <c r="I996" s="4"/>
      <c r="L996" s="881"/>
      <c r="M996" s="885"/>
      <c r="N996" s="41"/>
    </row>
    <row r="997" spans="1:45" x14ac:dyDescent="0.35">
      <c r="A997" s="366">
        <v>7</v>
      </c>
      <c r="B997" s="738" t="s">
        <v>859</v>
      </c>
      <c r="G997" s="366" t="s">
        <v>3973</v>
      </c>
      <c r="H997" s="732" t="s">
        <v>3971</v>
      </c>
      <c r="I997" s="4"/>
      <c r="J997" s="104"/>
      <c r="K997" s="104"/>
      <c r="L997" s="882"/>
      <c r="M997" s="885"/>
      <c r="N997" s="41"/>
    </row>
    <row r="998" spans="1:45" x14ac:dyDescent="0.35">
      <c r="A998" s="366">
        <v>7</v>
      </c>
      <c r="B998" s="738" t="s">
        <v>859</v>
      </c>
      <c r="C998" s="736" t="s">
        <v>256</v>
      </c>
      <c r="D998" s="736"/>
      <c r="E998" s="731"/>
      <c r="F998" s="731"/>
      <c r="G998" s="366" t="s">
        <v>3973</v>
      </c>
      <c r="H998" s="732" t="s">
        <v>3971</v>
      </c>
      <c r="I998" s="4"/>
      <c r="J998" s="416" t="s">
        <v>256</v>
      </c>
      <c r="K998" s="228"/>
      <c r="L998" s="228" t="s">
        <v>860</v>
      </c>
      <c r="M998" s="40"/>
      <c r="N998" s="41"/>
      <c r="O998" s="41"/>
      <c r="X998" s="36"/>
      <c r="Y998" s="396" t="str">
        <f>IF(LEN('Ch7'!X128)=0,"None",'Ch7'!X128)</f>
        <v>None</v>
      </c>
      <c r="Z998" s="652"/>
      <c r="AR998" t="str">
        <f>SUBSTITUTE(SUBSTITUTE(SUBSTITUTE("vnt"&amp;$B998&amp;$C998&amp;$D998&amp;$E998,".","_"),"(","_"),")","")</f>
        <v>vnt701_4_3_2_1_1</v>
      </c>
      <c r="AS998" t="str">
        <f>IF(LEN(X998)=0,"",X998)</f>
        <v/>
      </c>
    </row>
    <row r="999" spans="1:45" ht="15" customHeight="1" x14ac:dyDescent="0.35">
      <c r="A999" s="366">
        <v>7</v>
      </c>
      <c r="B999" s="738" t="s">
        <v>859</v>
      </c>
      <c r="C999" s="736" t="s">
        <v>258</v>
      </c>
      <c r="D999" s="736"/>
      <c r="E999" s="731"/>
      <c r="F999" s="731"/>
      <c r="G999" s="366" t="s">
        <v>3973</v>
      </c>
      <c r="H999" s="732" t="s">
        <v>3971</v>
      </c>
      <c r="I999" s="4"/>
      <c r="J999" s="402" t="s">
        <v>258</v>
      </c>
      <c r="K999" s="90"/>
      <c r="L999" s="814" t="s">
        <v>861</v>
      </c>
      <c r="M999" s="40"/>
      <c r="N999" s="41"/>
      <c r="O999" s="41"/>
      <c r="X999" s="817"/>
      <c r="Y999" s="1100" t="str">
        <f>IF(LEN('Ch7'!X129)=0,"None",'Ch7'!X129)</f>
        <v>None</v>
      </c>
      <c r="Z999" s="1102"/>
      <c r="AR999" t="str">
        <f>SUBSTITUTE(SUBSTITUTE(SUBSTITUTE("vnt"&amp;$B999&amp;$C999&amp;$D999&amp;$E999,".","_"),"(","_"),")","")</f>
        <v>vnt701_4_3_2_1_2</v>
      </c>
      <c r="AS999" t="str">
        <f>IF(LEN(X999)=0,"",X999)</f>
        <v/>
      </c>
    </row>
    <row r="1000" spans="1:45" x14ac:dyDescent="0.35">
      <c r="A1000" s="366">
        <v>7</v>
      </c>
      <c r="B1000" s="738" t="s">
        <v>859</v>
      </c>
      <c r="C1000" s="736" t="s">
        <v>258</v>
      </c>
      <c r="D1000" s="736"/>
      <c r="E1000" s="731"/>
      <c r="F1000" s="731"/>
      <c r="G1000" s="366" t="s">
        <v>3973</v>
      </c>
      <c r="H1000" s="732" t="s">
        <v>3971</v>
      </c>
      <c r="I1000" s="4"/>
      <c r="J1000" s="402"/>
      <c r="K1000" s="90"/>
      <c r="L1000" s="814"/>
      <c r="M1000" s="40"/>
      <c r="N1000" s="41"/>
      <c r="O1000" s="41"/>
      <c r="X1000" s="817"/>
      <c r="Y1000" s="1100"/>
      <c r="Z1000" s="1102"/>
    </row>
    <row r="1001" spans="1:45" x14ac:dyDescent="0.35">
      <c r="A1001" s="366">
        <v>7</v>
      </c>
      <c r="B1001" s="738" t="s">
        <v>859</v>
      </c>
      <c r="C1001" s="736" t="s">
        <v>258</v>
      </c>
      <c r="D1001" s="736"/>
      <c r="E1001" s="731"/>
      <c r="F1001" s="731"/>
      <c r="G1001" s="366" t="s">
        <v>3973</v>
      </c>
      <c r="H1001" s="732" t="s">
        <v>3971</v>
      </c>
      <c r="I1001" s="4"/>
      <c r="J1001" s="402"/>
      <c r="K1001" s="90"/>
      <c r="L1001" s="814"/>
      <c r="M1001" s="40"/>
      <c r="N1001" s="41"/>
      <c r="O1001" s="41"/>
      <c r="X1001" s="817"/>
      <c r="Y1001" s="1100"/>
      <c r="Z1001" s="1102"/>
    </row>
    <row r="1002" spans="1:45" x14ac:dyDescent="0.35">
      <c r="A1002" s="366">
        <v>7</v>
      </c>
      <c r="B1002" s="738" t="s">
        <v>859</v>
      </c>
      <c r="C1002" s="736" t="s">
        <v>258</v>
      </c>
      <c r="D1002" s="736"/>
      <c r="E1002" s="731"/>
      <c r="F1002" s="731"/>
      <c r="G1002" s="366" t="s">
        <v>3973</v>
      </c>
      <c r="H1002" s="732" t="s">
        <v>3971</v>
      </c>
      <c r="I1002" s="4"/>
      <c r="J1002" s="416"/>
      <c r="K1002" s="228"/>
      <c r="L1002" s="815"/>
      <c r="M1002" s="40"/>
      <c r="N1002" s="41"/>
      <c r="O1002" s="41"/>
      <c r="X1002" s="817"/>
      <c r="Y1002" s="1100"/>
      <c r="Z1002" s="1102"/>
    </row>
    <row r="1003" spans="1:45" ht="15" customHeight="1" x14ac:dyDescent="0.35">
      <c r="A1003" s="366">
        <v>7</v>
      </c>
      <c r="B1003" s="738" t="s">
        <v>859</v>
      </c>
      <c r="C1003" s="736" t="s">
        <v>260</v>
      </c>
      <c r="D1003" s="736"/>
      <c r="E1003" s="731"/>
      <c r="F1003" s="731"/>
      <c r="G1003" s="366" t="s">
        <v>3973</v>
      </c>
      <c r="H1003" s="732" t="s">
        <v>3971</v>
      </c>
      <c r="I1003" s="4"/>
      <c r="J1003" s="402" t="s">
        <v>260</v>
      </c>
      <c r="K1003" s="90"/>
      <c r="L1003" s="814" t="s">
        <v>862</v>
      </c>
      <c r="M1003" s="40"/>
      <c r="N1003" s="41"/>
      <c r="O1003" s="41"/>
      <c r="X1003" s="817"/>
      <c r="Y1003" s="1100" t="str">
        <f>IF(LEN('Ch7'!X133)=0,"None",'Ch7'!X133)</f>
        <v>None</v>
      </c>
      <c r="Z1003" s="1102"/>
      <c r="AR1003" t="str">
        <f>SUBSTITUTE(SUBSTITUTE(SUBSTITUTE("vnt"&amp;$B1003&amp;$C1003&amp;$D1003&amp;$E1003,".","_"),"(","_"),")","")</f>
        <v>vnt701_4_3_2_1_3</v>
      </c>
      <c r="AS1003" t="str">
        <f>IF(LEN(X1003)=0,"",X1003)</f>
        <v/>
      </c>
    </row>
    <row r="1004" spans="1:45" x14ac:dyDescent="0.35">
      <c r="A1004" s="366">
        <v>7</v>
      </c>
      <c r="B1004" s="738" t="s">
        <v>859</v>
      </c>
      <c r="C1004" s="736" t="s">
        <v>260</v>
      </c>
      <c r="D1004" s="736"/>
      <c r="E1004" s="731"/>
      <c r="F1004" s="731"/>
      <c r="G1004" s="366" t="s">
        <v>3973</v>
      </c>
      <c r="H1004" s="732" t="s">
        <v>3971</v>
      </c>
      <c r="I1004" s="4"/>
      <c r="J1004" s="416"/>
      <c r="K1004" s="228"/>
      <c r="L1004" s="815"/>
      <c r="M1004" s="40"/>
      <c r="N1004" s="41"/>
      <c r="O1004" s="41"/>
      <c r="X1004" s="817"/>
      <c r="Y1004" s="1100"/>
      <c r="Z1004" s="1102"/>
    </row>
    <row r="1005" spans="1:45" ht="15" customHeight="1" x14ac:dyDescent="0.35">
      <c r="A1005" s="366">
        <v>7</v>
      </c>
      <c r="B1005" s="738" t="s">
        <v>859</v>
      </c>
      <c r="C1005" s="736" t="s">
        <v>269</v>
      </c>
      <c r="D1005" s="736"/>
      <c r="E1005" s="731"/>
      <c r="F1005" s="731"/>
      <c r="G1005" s="366" t="s">
        <v>3973</v>
      </c>
      <c r="H1005" s="732" t="s">
        <v>3971</v>
      </c>
      <c r="I1005" s="4"/>
      <c r="J1005" s="402" t="s">
        <v>269</v>
      </c>
      <c r="K1005" s="286"/>
      <c r="L1005" s="836" t="s">
        <v>863</v>
      </c>
      <c r="M1005" s="40"/>
      <c r="N1005" s="41"/>
      <c r="O1005" s="41"/>
      <c r="X1005" s="817"/>
      <c r="Y1005" s="1100" t="str">
        <f>IF(LEN('Ch7'!X135)=0,"None",'Ch7'!X135)</f>
        <v>None</v>
      </c>
      <c r="Z1005" s="1102"/>
      <c r="AR1005" t="str">
        <f>SUBSTITUTE(SUBSTITUTE(SUBSTITUTE("vnt"&amp;$B1005&amp;$C1005&amp;$D1005&amp;$E1005,".","_"),"(","_"),")","")</f>
        <v>vnt701_4_3_2_1_4</v>
      </c>
      <c r="AS1005" t="str">
        <f>IF(LEN(X1005)=0,"",X1005)</f>
        <v/>
      </c>
    </row>
    <row r="1006" spans="1:45" x14ac:dyDescent="0.35">
      <c r="A1006" s="366">
        <v>7</v>
      </c>
      <c r="B1006" s="738" t="s">
        <v>859</v>
      </c>
      <c r="C1006" s="736" t="s">
        <v>269</v>
      </c>
      <c r="D1006" s="736"/>
      <c r="E1006" s="731"/>
      <c r="F1006" s="731"/>
      <c r="G1006" s="366" t="s">
        <v>3973</v>
      </c>
      <c r="H1006" s="732" t="s">
        <v>3971</v>
      </c>
      <c r="I1006" s="4"/>
      <c r="J1006" s="402"/>
      <c r="K1006" s="90"/>
      <c r="L1006" s="814"/>
      <c r="M1006" s="40"/>
      <c r="N1006" s="41"/>
      <c r="O1006" s="41"/>
      <c r="X1006" s="817"/>
      <c r="Y1006" s="1100"/>
      <c r="Z1006" s="1102"/>
    </row>
    <row r="1007" spans="1:45" x14ac:dyDescent="0.35">
      <c r="A1007" s="366">
        <v>7</v>
      </c>
      <c r="B1007" s="738" t="s">
        <v>859</v>
      </c>
      <c r="C1007" s="736" t="s">
        <v>269</v>
      </c>
      <c r="D1007" s="736"/>
      <c r="E1007" s="731"/>
      <c r="F1007" s="731"/>
      <c r="G1007" s="366" t="s">
        <v>3973</v>
      </c>
      <c r="H1007" s="732" t="s">
        <v>3971</v>
      </c>
      <c r="I1007" s="4"/>
      <c r="J1007" s="416"/>
      <c r="K1007" s="228"/>
      <c r="L1007" s="815"/>
      <c r="M1007" s="40"/>
      <c r="N1007" s="41"/>
      <c r="O1007" s="41"/>
      <c r="X1007" s="817"/>
      <c r="Y1007" s="1100"/>
      <c r="Z1007" s="1102"/>
    </row>
    <row r="1008" spans="1:45" ht="15" customHeight="1" x14ac:dyDescent="0.35">
      <c r="A1008" s="366">
        <v>7</v>
      </c>
      <c r="B1008" s="738" t="s">
        <v>859</v>
      </c>
      <c r="C1008" s="736" t="s">
        <v>275</v>
      </c>
      <c r="D1008" s="736"/>
      <c r="E1008" s="731"/>
      <c r="F1008" s="731"/>
      <c r="G1008" s="366" t="s">
        <v>3973</v>
      </c>
      <c r="H1008" s="732" t="s">
        <v>3971</v>
      </c>
      <c r="I1008" s="4"/>
      <c r="J1008" s="402" t="s">
        <v>275</v>
      </c>
      <c r="K1008" s="286"/>
      <c r="L1008" s="836" t="s">
        <v>864</v>
      </c>
      <c r="M1008" s="40"/>
      <c r="N1008" s="41"/>
      <c r="O1008" s="41"/>
      <c r="X1008" s="817"/>
      <c r="Y1008" s="1100" t="str">
        <f>IF(LEN('Ch7'!X138)=0,"None",'Ch7'!X138)</f>
        <v>None</v>
      </c>
      <c r="Z1008" s="1102"/>
      <c r="AR1008" t="str">
        <f>SUBSTITUTE(SUBSTITUTE(SUBSTITUTE("vnt"&amp;$B1008&amp;$C1008&amp;$D1008&amp;$E1008,".","_"),"(","_"),")","")</f>
        <v>vnt701_4_3_2_1_5</v>
      </c>
      <c r="AS1008" t="str">
        <f>IF(LEN(X1008)=0,"",X1008)</f>
        <v/>
      </c>
    </row>
    <row r="1009" spans="1:45" x14ac:dyDescent="0.35">
      <c r="A1009" s="366">
        <v>7</v>
      </c>
      <c r="B1009" s="738" t="s">
        <v>859</v>
      </c>
      <c r="C1009" s="736" t="s">
        <v>275</v>
      </c>
      <c r="D1009" s="736"/>
      <c r="E1009" s="731"/>
      <c r="F1009" s="731"/>
      <c r="G1009" s="366" t="s">
        <v>3973</v>
      </c>
      <c r="H1009" s="732" t="s">
        <v>3971</v>
      </c>
      <c r="I1009" s="4"/>
      <c r="J1009" s="416"/>
      <c r="K1009" s="228"/>
      <c r="L1009" s="815"/>
      <c r="M1009" s="40"/>
      <c r="N1009" s="41"/>
      <c r="O1009" s="41"/>
      <c r="X1009" s="817"/>
      <c r="Y1009" s="1100"/>
      <c r="Z1009" s="1102"/>
    </row>
    <row r="1010" spans="1:45" ht="15" customHeight="1" x14ac:dyDescent="0.35">
      <c r="A1010" s="366">
        <v>7</v>
      </c>
      <c r="B1010" s="738" t="s">
        <v>859</v>
      </c>
      <c r="C1010" s="736" t="s">
        <v>277</v>
      </c>
      <c r="D1010" s="736"/>
      <c r="E1010" s="731"/>
      <c r="F1010" s="731"/>
      <c r="G1010" s="366" t="s">
        <v>3973</v>
      </c>
      <c r="H1010" s="732" t="s">
        <v>3971</v>
      </c>
      <c r="I1010" s="4"/>
      <c r="J1010" s="416" t="s">
        <v>277</v>
      </c>
      <c r="K1010" s="178"/>
      <c r="L1010" s="178" t="s">
        <v>865</v>
      </c>
      <c r="M1010" s="40"/>
      <c r="N1010" s="41"/>
      <c r="O1010" s="41"/>
      <c r="X1010" s="36"/>
      <c r="Y1010" s="396" t="str">
        <f>IF(LEN('Ch7'!X140)=0,"None",'Ch7'!X140)</f>
        <v>None</v>
      </c>
      <c r="Z1010" s="652"/>
      <c r="AR1010" t="str">
        <f>SUBSTITUTE(SUBSTITUTE(SUBSTITUTE("vnt"&amp;$B1010&amp;$C1010&amp;$D1010&amp;$E1010,".","_"),"(","_"),")","")</f>
        <v>vnt701_4_3_2_1_6</v>
      </c>
      <c r="AS1010" t="str">
        <f>IF(LEN(X1010)=0,"",X1010)</f>
        <v/>
      </c>
    </row>
    <row r="1011" spans="1:45" x14ac:dyDescent="0.35">
      <c r="A1011" s="366">
        <v>7</v>
      </c>
      <c r="B1011" s="738" t="s">
        <v>859</v>
      </c>
      <c r="C1011" s="736" t="s">
        <v>383</v>
      </c>
      <c r="D1011" s="736"/>
      <c r="E1011" s="731"/>
      <c r="F1011" s="731"/>
      <c r="G1011" s="366" t="s">
        <v>3973</v>
      </c>
      <c r="H1011" s="732" t="s">
        <v>3971</v>
      </c>
      <c r="I1011" s="4"/>
      <c r="J1011" s="416" t="s">
        <v>383</v>
      </c>
      <c r="K1011" s="178"/>
      <c r="L1011" s="178" t="s">
        <v>866</v>
      </c>
      <c r="M1011" s="40"/>
      <c r="N1011" s="41"/>
      <c r="O1011" s="41"/>
      <c r="X1011" s="36"/>
      <c r="Y1011" s="396" t="str">
        <f>IF(LEN('Ch7'!X141)=0,"None",'Ch7'!X141)</f>
        <v>None</v>
      </c>
      <c r="Z1011" s="652"/>
      <c r="AR1011" t="str">
        <f>SUBSTITUTE(SUBSTITUTE(SUBSTITUTE("vnt"&amp;$B1011&amp;$C1011&amp;$D1011&amp;$E1011,".","_"),"(","_"),")","")</f>
        <v>vnt701_4_3_2_1_7</v>
      </c>
      <c r="AS1011" t="str">
        <f>IF(LEN(X1011)=0,"",X1011)</f>
        <v/>
      </c>
    </row>
    <row r="1012" spans="1:45" ht="15" customHeight="1" x14ac:dyDescent="0.35">
      <c r="A1012" s="366">
        <v>7</v>
      </c>
      <c r="B1012" s="738" t="s">
        <v>859</v>
      </c>
      <c r="C1012" s="736" t="s">
        <v>428</v>
      </c>
      <c r="D1012" s="736"/>
      <c r="E1012" s="731"/>
      <c r="F1012" s="731"/>
      <c r="G1012" s="366" t="s">
        <v>3973</v>
      </c>
      <c r="H1012" s="732" t="s">
        <v>3971</v>
      </c>
      <c r="I1012" s="4"/>
      <c r="J1012" s="402" t="s">
        <v>428</v>
      </c>
      <c r="K1012" s="286"/>
      <c r="L1012" s="836" t="s">
        <v>867</v>
      </c>
      <c r="M1012" s="40"/>
      <c r="N1012" s="41"/>
      <c r="O1012" s="41"/>
      <c r="X1012" s="817"/>
      <c r="Y1012" s="1100" t="str">
        <f>IF(LEN('Ch7'!X142)=0,"None",'Ch7'!X142)</f>
        <v>None</v>
      </c>
      <c r="Z1012" s="1102"/>
      <c r="AR1012" t="str">
        <f>SUBSTITUTE(SUBSTITUTE(SUBSTITUTE("vnt"&amp;$B1012&amp;$C1012&amp;$D1012&amp;$E1012,".","_"),"(","_"),")","")</f>
        <v>vnt701_4_3_2_1_8</v>
      </c>
      <c r="AS1012" t="str">
        <f>IF(LEN(X1012)=0,"",X1012)</f>
        <v/>
      </c>
    </row>
    <row r="1013" spans="1:45" x14ac:dyDescent="0.35">
      <c r="A1013" s="366">
        <v>7</v>
      </c>
      <c r="B1013" s="738" t="s">
        <v>859</v>
      </c>
      <c r="C1013" s="736" t="s">
        <v>428</v>
      </c>
      <c r="D1013" s="736"/>
      <c r="E1013" s="731"/>
      <c r="F1013" s="731"/>
      <c r="G1013" s="366" t="s">
        <v>3973</v>
      </c>
      <c r="H1013" s="732" t="s">
        <v>3971</v>
      </c>
      <c r="I1013" s="4"/>
      <c r="J1013" s="402"/>
      <c r="K1013" s="90"/>
      <c r="L1013" s="814"/>
      <c r="M1013" s="40"/>
      <c r="N1013" s="41"/>
      <c r="O1013" s="41"/>
      <c r="X1013" s="817"/>
      <c r="Y1013" s="1100"/>
      <c r="Z1013" s="1102"/>
    </row>
    <row r="1014" spans="1:45" x14ac:dyDescent="0.35">
      <c r="A1014" s="366">
        <v>7</v>
      </c>
      <c r="B1014" s="738" t="s">
        <v>859</v>
      </c>
      <c r="C1014" s="736" t="s">
        <v>428</v>
      </c>
      <c r="D1014" s="736"/>
      <c r="E1014" s="731"/>
      <c r="F1014" s="731"/>
      <c r="G1014" s="366" t="s">
        <v>3973</v>
      </c>
      <c r="H1014" s="732" t="s">
        <v>3971</v>
      </c>
      <c r="I1014" s="4"/>
      <c r="J1014" s="416"/>
      <c r="K1014" s="228"/>
      <c r="L1014" s="815"/>
      <c r="M1014" s="40"/>
      <c r="N1014" s="41"/>
      <c r="O1014" s="41"/>
      <c r="X1014" s="817"/>
      <c r="Y1014" s="1100"/>
      <c r="Z1014" s="1102"/>
    </row>
    <row r="1015" spans="1:45" ht="15" customHeight="1" x14ac:dyDescent="0.35">
      <c r="A1015" s="366">
        <v>7</v>
      </c>
      <c r="B1015" s="738" t="s">
        <v>859</v>
      </c>
      <c r="C1015" s="736" t="s">
        <v>430</v>
      </c>
      <c r="D1015" s="736"/>
      <c r="E1015" s="731"/>
      <c r="F1015" s="731"/>
      <c r="G1015" s="366" t="s">
        <v>3973</v>
      </c>
      <c r="H1015" s="732" t="s">
        <v>3971</v>
      </c>
      <c r="I1015" s="4"/>
      <c r="J1015" s="402" t="s">
        <v>430</v>
      </c>
      <c r="K1015" s="90"/>
      <c r="L1015" s="825" t="s">
        <v>4251</v>
      </c>
      <c r="M1015" s="40"/>
      <c r="N1015" s="41"/>
      <c r="O1015" s="41"/>
      <c r="X1015" s="817"/>
      <c r="Y1015" s="1100" t="str">
        <f>IF(LEN('Ch7'!X145)=0,"None",'Ch7'!X145)</f>
        <v>None</v>
      </c>
      <c r="Z1015" s="1102"/>
      <c r="AR1015" t="str">
        <f>SUBSTITUTE(SUBSTITUTE(SUBSTITUTE("vnt"&amp;$B1015&amp;$C1015&amp;$D1015&amp;$E1015,".","_"),"(","_"),")","")</f>
        <v>vnt701_4_3_2_1_9</v>
      </c>
      <c r="AS1015" t="str">
        <f>IF(LEN(X1015)=0,"",X1015)</f>
        <v/>
      </c>
    </row>
    <row r="1016" spans="1:45" x14ac:dyDescent="0.35">
      <c r="A1016" s="366">
        <v>7</v>
      </c>
      <c r="B1016" s="738" t="s">
        <v>859</v>
      </c>
      <c r="C1016" s="736" t="s">
        <v>430</v>
      </c>
      <c r="D1016" s="736"/>
      <c r="E1016" s="731"/>
      <c r="F1016" s="731"/>
      <c r="G1016" s="366" t="s">
        <v>3973</v>
      </c>
      <c r="H1016" s="732" t="s">
        <v>3971</v>
      </c>
      <c r="I1016" s="133"/>
      <c r="J1016" s="152"/>
      <c r="K1016" s="90"/>
      <c r="L1016" s="825"/>
      <c r="M1016" s="40"/>
      <c r="N1016" s="546"/>
      <c r="O1016" s="41"/>
      <c r="P1016" s="104"/>
      <c r="Q1016" s="104"/>
      <c r="R1016" s="104"/>
      <c r="S1016" s="104"/>
      <c r="T1016" s="104"/>
      <c r="U1016" s="104"/>
      <c r="V1016" s="104"/>
      <c r="W1016" s="104"/>
      <c r="X1016" s="817"/>
      <c r="Y1016" s="1100"/>
      <c r="Z1016" s="1102"/>
    </row>
    <row r="1017" spans="1:45" ht="15" customHeight="1" x14ac:dyDescent="0.35">
      <c r="A1017" s="366">
        <v>7</v>
      </c>
      <c r="B1017" s="738" t="s">
        <v>868</v>
      </c>
      <c r="C1017" s="738"/>
      <c r="D1017" s="731"/>
      <c r="E1017" s="731"/>
      <c r="F1017" s="731"/>
      <c r="G1017" s="366" t="s">
        <v>3973</v>
      </c>
      <c r="H1017" s="366" t="s">
        <v>3971</v>
      </c>
      <c r="I1017" s="117" t="s">
        <v>868</v>
      </c>
      <c r="J1017" s="286"/>
      <c r="K1017" s="286"/>
      <c r="L1017" s="905" t="s">
        <v>4371</v>
      </c>
      <c r="M1017" s="282"/>
      <c r="N1017" s="552"/>
      <c r="O1017" s="552"/>
      <c r="P1017" s="120"/>
      <c r="Q1017" s="120"/>
      <c r="R1017" s="120"/>
      <c r="S1017" s="120"/>
      <c r="T1017" s="120"/>
      <c r="U1017" s="120"/>
      <c r="V1017" s="120"/>
      <c r="W1017" s="120" t="s">
        <v>5814</v>
      </c>
      <c r="X1017" s="817"/>
      <c r="Y1017" s="1100" t="str">
        <f>IF(LEN('Ch7'!X147)=0,"None",'Ch7'!X147)</f>
        <v>None</v>
      </c>
      <c r="Z1017" s="1102"/>
      <c r="AR1017" t="str">
        <f>SUBSTITUTE(SUBSTITUTE(SUBSTITUTE("vnt"&amp;$B1017&amp;$C1017&amp;$D1017&amp;$E1017,".","_"),"(","_"),")","")</f>
        <v>vnt701_4_3_3</v>
      </c>
      <c r="AS1017" t="str">
        <f>IF(LEN(X1017)=0,"",X1017)</f>
        <v/>
      </c>
    </row>
    <row r="1018" spans="1:45" x14ac:dyDescent="0.35">
      <c r="A1018" s="366">
        <v>7</v>
      </c>
      <c r="B1018" s="738" t="s">
        <v>868</v>
      </c>
      <c r="C1018" s="738"/>
      <c r="D1018" s="731"/>
      <c r="E1018" s="731"/>
      <c r="F1018" s="731"/>
      <c r="G1018" s="366" t="s">
        <v>3973</v>
      </c>
      <c r="H1018" s="366" t="s">
        <v>3971</v>
      </c>
      <c r="I1018" s="30"/>
      <c r="J1018" s="90"/>
      <c r="K1018" s="90"/>
      <c r="L1018" s="838"/>
      <c r="M1018" s="40"/>
      <c r="N1018" s="41"/>
      <c r="O1018" s="41"/>
      <c r="X1018" s="817"/>
      <c r="Y1018" s="1100"/>
      <c r="Z1018" s="1102"/>
    </row>
    <row r="1019" spans="1:45" x14ac:dyDescent="0.35">
      <c r="A1019" s="366">
        <v>7</v>
      </c>
      <c r="B1019" s="738" t="s">
        <v>868</v>
      </c>
      <c r="C1019" s="738"/>
      <c r="D1019" s="731"/>
      <c r="E1019" s="731"/>
      <c r="F1019" s="731"/>
      <c r="G1019" s="366" t="s">
        <v>3973</v>
      </c>
      <c r="H1019" s="366" t="s">
        <v>3971</v>
      </c>
      <c r="I1019" s="138"/>
      <c r="J1019" s="228"/>
      <c r="K1019" s="228"/>
      <c r="L1019" s="889"/>
      <c r="M1019" s="268"/>
      <c r="N1019" s="546"/>
      <c r="O1019" s="546"/>
      <c r="P1019" s="104"/>
      <c r="Q1019" s="104"/>
      <c r="R1019" s="104"/>
      <c r="S1019" s="104"/>
      <c r="T1019" s="104"/>
      <c r="U1019" s="104"/>
      <c r="V1019" s="104"/>
      <c r="W1019" s="104"/>
      <c r="X1019" s="817"/>
      <c r="Y1019" s="1100"/>
      <c r="Z1019" s="1102"/>
    </row>
    <row r="1020" spans="1:45" ht="15" customHeight="1" x14ac:dyDescent="0.35">
      <c r="A1020" s="366">
        <v>7</v>
      </c>
      <c r="B1020" s="738" t="s">
        <v>869</v>
      </c>
      <c r="C1020" s="738"/>
      <c r="D1020" s="731"/>
      <c r="E1020" s="731"/>
      <c r="F1020" s="731"/>
      <c r="G1020" s="366" t="s">
        <v>3973</v>
      </c>
      <c r="H1020" s="366" t="s">
        <v>3971</v>
      </c>
      <c r="I1020" s="117" t="s">
        <v>869</v>
      </c>
      <c r="J1020" s="286"/>
      <c r="K1020" s="286"/>
      <c r="L1020" s="905" t="s">
        <v>4252</v>
      </c>
      <c r="M1020" s="912" t="str">
        <f ca="1">IF(R1020,"Mandatory","N/A")</f>
        <v>Mandatory</v>
      </c>
      <c r="N1020" s="552"/>
      <c r="O1020" s="552"/>
      <c r="P1020" t="b">
        <v>1</v>
      </c>
      <c r="Q1020" t="b">
        <v>1</v>
      </c>
      <c r="R1020" s="120" t="b">
        <f ca="1">S1020</f>
        <v>1</v>
      </c>
      <c r="S1020" s="120" t="b">
        <f ca="1">NOT(S883=4)</f>
        <v>1</v>
      </c>
      <c r="T1020" s="120" t="b">
        <f ca="1">AND(NOT(S1020),W1020=TRUE)</f>
        <v>0</v>
      </c>
      <c r="U1020" s="120"/>
      <c r="V1020" s="120"/>
      <c r="W1020" s="17"/>
      <c r="X1020" s="817"/>
      <c r="Y1020" s="1100" t="str">
        <f>IF(LEN('Ch7'!X150)=0,"None",'Ch7'!X150)</f>
        <v>None</v>
      </c>
      <c r="Z1020" s="1102"/>
      <c r="AC1020" t="b">
        <f ca="1">OR(AD1020:AE1020)</f>
        <v>1</v>
      </c>
      <c r="AD1020" t="b">
        <f ca="1">T1020</f>
        <v>0</v>
      </c>
      <c r="AE1020" t="b">
        <f ca="1">AND(R1020,NOT(W1020))</f>
        <v>1</v>
      </c>
      <c r="AL1020" t="str">
        <f>SUBSTITUTE(SUBSTITUTE(SUBSTITUTE("vpa"&amp;$B1020&amp;$C1020&amp;$D1020&amp;$E1020,".","_"),"(","_"),")","")</f>
        <v>vpa701_4_3_4</v>
      </c>
      <c r="AM1020" t="str">
        <f ca="1">M1020</f>
        <v>Mandatory</v>
      </c>
      <c r="AP1020" t="str">
        <f>SUBSTITUTE(SUBSTITUTE(SUBSTITUTE("vch"&amp;$B1020&amp;$C1020&amp;$D1020&amp;$E1020,".","_"),"(","_"),")","")</f>
        <v>vch701_4_3_4</v>
      </c>
      <c r="AQ1020" t="str">
        <f>IF(LEN(W1020)=0,"",W1020)</f>
        <v/>
      </c>
      <c r="AR1020" t="str">
        <f>SUBSTITUTE(SUBSTITUTE(SUBSTITUTE("vnt"&amp;$B1020&amp;$C1020&amp;$D1020&amp;$E1020,".","_"),"(","_"),")","")</f>
        <v>vnt701_4_3_4</v>
      </c>
      <c r="AS1020" t="str">
        <f>IF(LEN(X1020)=0,"",X1020)</f>
        <v/>
      </c>
    </row>
    <row r="1021" spans="1:45" x14ac:dyDescent="0.35">
      <c r="A1021" s="366">
        <v>7</v>
      </c>
      <c r="B1021" s="738" t="s">
        <v>869</v>
      </c>
      <c r="C1021" s="738"/>
      <c r="D1021" s="731"/>
      <c r="E1021" s="731"/>
      <c r="F1021" s="731"/>
      <c r="G1021" s="366" t="s">
        <v>3973</v>
      </c>
      <c r="H1021" s="366" t="s">
        <v>3971</v>
      </c>
      <c r="I1021" s="4"/>
      <c r="J1021" s="90"/>
      <c r="K1021" s="90"/>
      <c r="L1021" s="838"/>
      <c r="M1021" s="885"/>
      <c r="N1021" s="41"/>
      <c r="O1021" s="41"/>
      <c r="X1021" s="817"/>
      <c r="Y1021" s="1100"/>
      <c r="Z1021" s="1102"/>
    </row>
    <row r="1022" spans="1:45" x14ac:dyDescent="0.35">
      <c r="A1022" s="366">
        <v>7</v>
      </c>
      <c r="B1022" s="738" t="s">
        <v>869</v>
      </c>
      <c r="C1022" s="738"/>
      <c r="D1022" s="731"/>
      <c r="E1022" s="731"/>
      <c r="F1022" s="731"/>
      <c r="G1022" s="366" t="s">
        <v>3973</v>
      </c>
      <c r="H1022" s="366" t="s">
        <v>3971</v>
      </c>
      <c r="I1022" s="4"/>
      <c r="J1022" s="90"/>
      <c r="K1022" s="90"/>
      <c r="L1022" s="838"/>
      <c r="M1022" s="885"/>
      <c r="N1022" s="41"/>
      <c r="O1022" s="41"/>
      <c r="X1022" s="817"/>
      <c r="Y1022" s="1100"/>
      <c r="Z1022" s="1102"/>
    </row>
    <row r="1023" spans="1:45" x14ac:dyDescent="0.35">
      <c r="A1023" s="366">
        <v>7</v>
      </c>
      <c r="B1023" s="738" t="s">
        <v>869</v>
      </c>
      <c r="C1023" s="738"/>
      <c r="D1023" s="731"/>
      <c r="E1023" s="731"/>
      <c r="F1023" s="731"/>
      <c r="G1023" s="366" t="s">
        <v>3973</v>
      </c>
      <c r="H1023" s="366" t="s">
        <v>3971</v>
      </c>
      <c r="I1023" s="4"/>
      <c r="J1023" s="90"/>
      <c r="K1023" s="90"/>
      <c r="L1023" s="838"/>
      <c r="M1023" s="885"/>
      <c r="N1023" s="41"/>
      <c r="O1023" s="41"/>
      <c r="X1023" s="817"/>
      <c r="Y1023" s="1100"/>
      <c r="Z1023" s="1102"/>
    </row>
    <row r="1024" spans="1:45" x14ac:dyDescent="0.35">
      <c r="A1024" s="366">
        <v>7</v>
      </c>
      <c r="B1024" s="738" t="s">
        <v>869</v>
      </c>
      <c r="C1024" s="738"/>
      <c r="D1024" s="731"/>
      <c r="E1024" s="731"/>
      <c r="F1024" s="731"/>
      <c r="G1024" s="366" t="s">
        <v>3973</v>
      </c>
      <c r="H1024" s="366" t="s">
        <v>3971</v>
      </c>
      <c r="I1024" s="4"/>
      <c r="J1024" s="90"/>
      <c r="K1024" s="90"/>
      <c r="L1024" s="838"/>
      <c r="M1024" s="885"/>
      <c r="N1024" s="41"/>
      <c r="O1024" s="41"/>
      <c r="X1024" s="817"/>
      <c r="Y1024" s="1100"/>
      <c r="Z1024" s="1102"/>
    </row>
    <row r="1025" spans="1:45" x14ac:dyDescent="0.35">
      <c r="A1025" s="366">
        <v>7</v>
      </c>
      <c r="B1025" s="738" t="s">
        <v>869</v>
      </c>
      <c r="C1025" s="738"/>
      <c r="D1025" s="731"/>
      <c r="E1025" s="731"/>
      <c r="F1025" s="731"/>
      <c r="G1025" s="366" t="s">
        <v>3973</v>
      </c>
      <c r="H1025" s="366" t="s">
        <v>3971</v>
      </c>
      <c r="I1025" s="4"/>
      <c r="J1025" s="90"/>
      <c r="K1025" s="90"/>
      <c r="L1025" s="838"/>
      <c r="M1025" s="885"/>
      <c r="N1025" s="41"/>
      <c r="O1025" s="41"/>
      <c r="X1025" s="817"/>
      <c r="Y1025" s="1100"/>
      <c r="Z1025" s="1102"/>
    </row>
    <row r="1026" spans="1:45" x14ac:dyDescent="0.35">
      <c r="A1026" s="366">
        <v>7</v>
      </c>
      <c r="B1026" s="738" t="s">
        <v>869</v>
      </c>
      <c r="C1026" s="738"/>
      <c r="D1026" s="731"/>
      <c r="E1026" s="731"/>
      <c r="F1026" s="731"/>
      <c r="G1026" s="366" t="s">
        <v>3973</v>
      </c>
      <c r="H1026" s="366" t="s">
        <v>3971</v>
      </c>
      <c r="I1026" s="4"/>
      <c r="J1026" s="90"/>
      <c r="K1026" s="90"/>
      <c r="L1026" s="838"/>
      <c r="M1026" s="885"/>
      <c r="N1026" s="41"/>
      <c r="O1026" s="41"/>
      <c r="X1026" s="817"/>
      <c r="Y1026" s="1100"/>
      <c r="Z1026" s="1102"/>
    </row>
    <row r="1027" spans="1:45" x14ac:dyDescent="0.35">
      <c r="A1027" s="366">
        <v>7</v>
      </c>
      <c r="B1027" s="738" t="s">
        <v>869</v>
      </c>
      <c r="C1027" s="738"/>
      <c r="D1027" s="731"/>
      <c r="E1027" s="731"/>
      <c r="F1027" s="731"/>
      <c r="G1027" s="366" t="s">
        <v>3973</v>
      </c>
      <c r="H1027" s="366" t="s">
        <v>3971</v>
      </c>
      <c r="I1027" s="4"/>
      <c r="J1027" s="90"/>
      <c r="K1027" s="90"/>
      <c r="L1027" s="838" t="s">
        <v>4253</v>
      </c>
      <c r="M1027" s="885"/>
      <c r="N1027" s="41"/>
      <c r="O1027" s="41"/>
      <c r="X1027" s="817"/>
      <c r="Y1027" s="1100"/>
      <c r="Z1027" s="1102"/>
    </row>
    <row r="1028" spans="1:45" x14ac:dyDescent="0.35">
      <c r="A1028" s="366">
        <v>7</v>
      </c>
      <c r="B1028" s="738" t="s">
        <v>869</v>
      </c>
      <c r="C1028" s="738"/>
      <c r="D1028" s="731"/>
      <c r="E1028" s="731"/>
      <c r="F1028" s="731"/>
      <c r="G1028" s="366" t="s">
        <v>3973</v>
      </c>
      <c r="H1028" s="366" t="s">
        <v>3971</v>
      </c>
      <c r="I1028" s="4"/>
      <c r="J1028" s="90"/>
      <c r="K1028" s="90"/>
      <c r="L1028" s="838"/>
      <c r="M1028" s="885"/>
      <c r="N1028" s="41"/>
      <c r="O1028" s="41"/>
      <c r="X1028" s="817"/>
      <c r="Y1028" s="1100"/>
      <c r="Z1028" s="1102"/>
    </row>
    <row r="1029" spans="1:45" x14ac:dyDescent="0.35">
      <c r="A1029" s="366">
        <v>7</v>
      </c>
      <c r="B1029" s="738" t="s">
        <v>869</v>
      </c>
      <c r="C1029" s="738"/>
      <c r="D1029" s="731"/>
      <c r="E1029" s="731"/>
      <c r="F1029" s="731"/>
      <c r="G1029" s="366" t="s">
        <v>3973</v>
      </c>
      <c r="H1029" s="366" t="s">
        <v>3971</v>
      </c>
      <c r="I1029" s="133"/>
      <c r="J1029" s="228"/>
      <c r="K1029" s="228"/>
      <c r="L1029" s="889"/>
      <c r="M1029" s="890"/>
      <c r="N1029" s="546"/>
      <c r="O1029" s="546"/>
      <c r="P1029" s="104"/>
      <c r="Q1029" s="104"/>
      <c r="R1029" s="104"/>
      <c r="S1029" s="104"/>
      <c r="T1029" s="104"/>
      <c r="U1029" s="104"/>
      <c r="V1029" s="104"/>
      <c r="W1029" s="104"/>
      <c r="X1029" s="817"/>
      <c r="Y1029" s="1100"/>
      <c r="Z1029" s="1102"/>
    </row>
    <row r="1030" spans="1:45" ht="15" customHeight="1" x14ac:dyDescent="0.35">
      <c r="A1030" s="366">
        <v>7</v>
      </c>
      <c r="B1030" s="738" t="s">
        <v>870</v>
      </c>
      <c r="C1030" s="738"/>
      <c r="D1030" s="731"/>
      <c r="E1030" s="731"/>
      <c r="F1030" s="731"/>
      <c r="G1030" s="366" t="s">
        <v>3973</v>
      </c>
      <c r="H1030" s="366" t="s">
        <v>3970</v>
      </c>
      <c r="I1030" s="117" t="s">
        <v>870</v>
      </c>
      <c r="J1030" s="286"/>
      <c r="K1030" s="286"/>
      <c r="L1030" s="883" t="s">
        <v>4254</v>
      </c>
      <c r="M1030" s="912" t="str">
        <f ca="1">IF(R1030,"Mandatory","N/A")</f>
        <v>Mandatory</v>
      </c>
      <c r="N1030" s="552"/>
      <c r="O1030" s="552"/>
      <c r="P1030" t="b">
        <v>1</v>
      </c>
      <c r="Q1030" t="b">
        <v>1</v>
      </c>
      <c r="R1030" s="120" t="b">
        <f ca="1">S1030</f>
        <v>1</v>
      </c>
      <c r="S1030" s="120" t="b">
        <f ca="1">NOT(S883=4)</f>
        <v>1</v>
      </c>
      <c r="T1030" s="120" t="b">
        <f ca="1">AND(NOT(S1030),LEN(W1030)&gt;0)</f>
        <v>0</v>
      </c>
      <c r="U1030" s="120" t="str">
        <f>SUBSTITUTE(SUBSTITUTE(SUBSTITUTE("dd"&amp;B1030&amp;C1030&amp;D1030&amp;E1030&amp;F1030,".","_"),"(","_"),")","")</f>
        <v>dd701_4_3_5</v>
      </c>
      <c r="V1030" s="120"/>
      <c r="W1030" s="9"/>
      <c r="X1030" s="817"/>
      <c r="Y1030" s="1100" t="str">
        <f>IF(LEN('Ch7'!X160)=0,"None",'Ch7'!X160)</f>
        <v>None</v>
      </c>
      <c r="Z1030" s="1102"/>
      <c r="AC1030" t="b">
        <f ca="1">OR(AD1030:AE1030)</f>
        <v>1</v>
      </c>
      <c r="AD1030" t="b">
        <f ca="1">T1030</f>
        <v>0</v>
      </c>
      <c r="AE1030" t="b">
        <f ca="1">AND(R1030,OR(W1030="Not Met",W1030=""))</f>
        <v>1</v>
      </c>
      <c r="AL1030" t="str">
        <f>SUBSTITUTE(SUBSTITUTE(SUBSTITUTE("vpa"&amp;$B1030&amp;$C1030&amp;$D1030&amp;$E1030,".","_"),"(","_"),")","")</f>
        <v>vpa701_4_3_5</v>
      </c>
      <c r="AM1030" t="str">
        <f ca="1">M1030</f>
        <v>Mandatory</v>
      </c>
      <c r="AP1030" t="str">
        <f>SUBSTITUTE(SUBSTITUTE(SUBSTITUTE("vch"&amp;$B1030&amp;$C1030&amp;$D1030&amp;$E1030,".","_"),"(","_"),")","")</f>
        <v>vch701_4_3_5</v>
      </c>
      <c r="AQ1030" t="str">
        <f>IF(LEN(W1030)=0,"",W1030)</f>
        <v/>
      </c>
      <c r="AR1030" t="str">
        <f>SUBSTITUTE(SUBSTITUTE(SUBSTITUTE("vnt"&amp;$B1030&amp;$C1030&amp;$D1030&amp;$E1030,".","_"),"(","_"),")","")</f>
        <v>vnt701_4_3_5</v>
      </c>
      <c r="AS1030" t="str">
        <f>IF(LEN(X1030)=0,"",X1030)</f>
        <v/>
      </c>
    </row>
    <row r="1031" spans="1:45" x14ac:dyDescent="0.35">
      <c r="A1031" s="366">
        <v>7</v>
      </c>
      <c r="B1031" s="738" t="s">
        <v>870</v>
      </c>
      <c r="C1031" s="738"/>
      <c r="D1031" s="731"/>
      <c r="E1031" s="731"/>
      <c r="F1031" s="731"/>
      <c r="G1031" s="366" t="s">
        <v>3973</v>
      </c>
      <c r="H1031" s="366" t="s">
        <v>3970</v>
      </c>
      <c r="I1031" s="4"/>
      <c r="J1031" s="90"/>
      <c r="K1031" s="90"/>
      <c r="L1031" s="881"/>
      <c r="M1031" s="885"/>
      <c r="N1031" s="41"/>
      <c r="O1031" s="41"/>
      <c r="X1031" s="817"/>
      <c r="Y1031" s="1100"/>
      <c r="Z1031" s="1102"/>
    </row>
    <row r="1032" spans="1:45" x14ac:dyDescent="0.35">
      <c r="A1032" s="366">
        <v>7</v>
      </c>
      <c r="B1032" s="738" t="s">
        <v>870</v>
      </c>
      <c r="C1032" s="738"/>
      <c r="D1032" s="731"/>
      <c r="E1032" s="731"/>
      <c r="F1032" s="731"/>
      <c r="G1032" s="366" t="s">
        <v>3973</v>
      </c>
      <c r="H1032" s="366" t="s">
        <v>3970</v>
      </c>
      <c r="I1032" s="4"/>
      <c r="J1032" s="90"/>
      <c r="K1032" s="90"/>
      <c r="L1032" s="881"/>
      <c r="M1032" s="885"/>
      <c r="N1032" s="41"/>
      <c r="O1032" s="41"/>
      <c r="X1032" s="817"/>
      <c r="Y1032" s="1100"/>
      <c r="Z1032" s="1102"/>
    </row>
    <row r="1033" spans="1:45" x14ac:dyDescent="0.35">
      <c r="A1033" s="366">
        <v>7</v>
      </c>
      <c r="B1033" s="738" t="s">
        <v>870</v>
      </c>
      <c r="C1033" s="738"/>
      <c r="D1033" s="731"/>
      <c r="E1033" s="731"/>
      <c r="F1033" s="731"/>
      <c r="G1033" s="366" t="s">
        <v>3973</v>
      </c>
      <c r="H1033" s="366" t="s">
        <v>3970</v>
      </c>
      <c r="I1033" s="4"/>
      <c r="J1033" s="90"/>
      <c r="K1033" s="90"/>
      <c r="L1033" s="881"/>
      <c r="M1033" s="885"/>
      <c r="N1033" s="41"/>
      <c r="O1033" s="41"/>
      <c r="X1033" s="817"/>
      <c r="Y1033" s="1100"/>
      <c r="Z1033" s="1102"/>
    </row>
    <row r="1034" spans="1:45" x14ac:dyDescent="0.35">
      <c r="A1034" s="366">
        <v>7</v>
      </c>
      <c r="B1034" s="738" t="s">
        <v>870</v>
      </c>
      <c r="C1034" s="738"/>
      <c r="D1034" s="731"/>
      <c r="E1034" s="731"/>
      <c r="F1034" s="731"/>
      <c r="G1034" s="366" t="s">
        <v>3973</v>
      </c>
      <c r="H1034" s="366" t="s">
        <v>3970</v>
      </c>
      <c r="I1034" s="4"/>
      <c r="J1034" s="90"/>
      <c r="K1034" s="90"/>
      <c r="L1034" s="881"/>
      <c r="M1034" s="885"/>
      <c r="N1034" s="41"/>
      <c r="O1034" s="41"/>
      <c r="X1034" s="817"/>
      <c r="Y1034" s="1100"/>
      <c r="Z1034" s="1102"/>
    </row>
    <row r="1035" spans="1:45" x14ac:dyDescent="0.35">
      <c r="A1035" s="366">
        <v>7</v>
      </c>
      <c r="B1035" s="738" t="s">
        <v>870</v>
      </c>
      <c r="C1035" s="738"/>
      <c r="D1035" s="731"/>
      <c r="E1035" s="731"/>
      <c r="F1035" s="731"/>
      <c r="G1035" s="366" t="s">
        <v>3973</v>
      </c>
      <c r="H1035" s="366" t="s">
        <v>3970</v>
      </c>
      <c r="I1035" s="4"/>
      <c r="J1035" s="90"/>
      <c r="K1035" s="90"/>
      <c r="L1035" s="881"/>
      <c r="M1035" s="885"/>
      <c r="N1035" s="41"/>
      <c r="O1035" s="41"/>
      <c r="X1035" s="817"/>
      <c r="Y1035" s="1100"/>
      <c r="Z1035" s="1102"/>
    </row>
    <row r="1036" spans="1:45" x14ac:dyDescent="0.35">
      <c r="A1036" s="366">
        <v>7</v>
      </c>
      <c r="B1036" s="738" t="s">
        <v>870</v>
      </c>
      <c r="C1036" s="738"/>
      <c r="D1036" s="731"/>
      <c r="E1036" s="731"/>
      <c r="F1036" s="731"/>
      <c r="G1036" s="366" t="s">
        <v>3973</v>
      </c>
      <c r="H1036" s="366" t="s">
        <v>3970</v>
      </c>
      <c r="I1036" s="4"/>
      <c r="J1036" s="90"/>
      <c r="K1036" s="90"/>
      <c r="L1036" s="881"/>
      <c r="M1036" s="885"/>
      <c r="N1036" s="41"/>
      <c r="O1036" s="41"/>
      <c r="X1036" s="817"/>
      <c r="Y1036" s="1100"/>
      <c r="Z1036" s="1102"/>
    </row>
    <row r="1037" spans="1:45" x14ac:dyDescent="0.35">
      <c r="A1037" s="366">
        <v>7</v>
      </c>
      <c r="B1037" s="738" t="s">
        <v>870</v>
      </c>
      <c r="C1037" s="738"/>
      <c r="D1037" s="731"/>
      <c r="E1037" s="731"/>
      <c r="F1037" s="731"/>
      <c r="G1037" s="366" t="s">
        <v>3973</v>
      </c>
      <c r="H1037" s="366" t="s">
        <v>3970</v>
      </c>
      <c r="I1037" s="133"/>
      <c r="J1037" s="228"/>
      <c r="K1037" s="228"/>
      <c r="L1037" s="882"/>
      <c r="M1037" s="890"/>
      <c r="N1037" s="546"/>
      <c r="O1037" s="546"/>
      <c r="P1037" s="104"/>
      <c r="Q1037" s="104"/>
      <c r="R1037" s="104"/>
      <c r="S1037" s="104"/>
      <c r="T1037" s="104"/>
      <c r="U1037" s="104"/>
      <c r="V1037" s="104"/>
      <c r="W1037" s="104"/>
      <c r="X1037" s="817"/>
      <c r="Y1037" s="1100"/>
      <c r="Z1037" s="1102"/>
    </row>
    <row r="1038" spans="1:45" ht="15" customHeight="1" x14ac:dyDescent="0.35">
      <c r="A1038" s="366">
        <v>7</v>
      </c>
      <c r="B1038" s="738" t="s">
        <v>871</v>
      </c>
      <c r="C1038" s="735"/>
      <c r="D1038" s="731"/>
      <c r="E1038" s="731"/>
      <c r="F1038" s="731"/>
      <c r="G1038" s="366" t="s">
        <v>3973</v>
      </c>
      <c r="H1038" s="366" t="s">
        <v>3970</v>
      </c>
      <c r="I1038" s="30" t="s">
        <v>871</v>
      </c>
      <c r="J1038" s="90"/>
      <c r="K1038" s="90"/>
      <c r="L1038" s="881" t="s">
        <v>4255</v>
      </c>
      <c r="M1038" s="885" t="str">
        <f ca="1">IF(S1040,"Mandatory","N/A")</f>
        <v>Mandatory</v>
      </c>
      <c r="N1038" s="41"/>
      <c r="O1038" s="41"/>
      <c r="AL1038" t="str">
        <f>SUBSTITUTE(SUBSTITUTE(SUBSTITUTE("vpa"&amp;$B1038&amp;$C1038&amp;$D1038&amp;$E1038,".","_"),"(","_"),")","")</f>
        <v>vpa701_4_4</v>
      </c>
      <c r="AM1038" t="str">
        <f ca="1">M1038</f>
        <v>Mandatory</v>
      </c>
    </row>
    <row r="1039" spans="1:45" x14ac:dyDescent="0.35">
      <c r="A1039" s="366">
        <v>7</v>
      </c>
      <c r="B1039" s="738" t="s">
        <v>871</v>
      </c>
      <c r="C1039" s="735"/>
      <c r="D1039" s="731"/>
      <c r="E1039" s="731"/>
      <c r="F1039" s="731"/>
      <c r="G1039" s="366" t="s">
        <v>3973</v>
      </c>
      <c r="H1039" s="366" t="s">
        <v>3970</v>
      </c>
      <c r="I1039" s="4"/>
      <c r="J1039" s="90"/>
      <c r="K1039" s="90"/>
      <c r="L1039" s="881"/>
      <c r="M1039" s="885"/>
      <c r="N1039" s="41"/>
      <c r="O1039" s="41"/>
    </row>
    <row r="1040" spans="1:45" x14ac:dyDescent="0.35">
      <c r="A1040" s="366">
        <v>7</v>
      </c>
      <c r="B1040" s="738" t="s">
        <v>871</v>
      </c>
      <c r="C1040" s="731" t="s">
        <v>256</v>
      </c>
      <c r="D1040" s="743"/>
      <c r="E1040" s="731"/>
      <c r="F1040" s="731"/>
      <c r="G1040" s="366" t="s">
        <v>3973</v>
      </c>
      <c r="H1040" s="366" t="s">
        <v>3970</v>
      </c>
      <c r="I1040" s="4"/>
      <c r="J1040" s="152" t="s">
        <v>256</v>
      </c>
      <c r="K1040" s="90"/>
      <c r="L1040" s="814" t="s">
        <v>872</v>
      </c>
      <c r="M1040" s="40"/>
      <c r="N1040" s="41"/>
      <c r="O1040" s="41"/>
      <c r="P1040" t="b">
        <v>1</v>
      </c>
      <c r="Q1040" t="b">
        <v>1</v>
      </c>
      <c r="R1040" t="b">
        <f ca="1">AND(S1040,NOT(W1042))</f>
        <v>1</v>
      </c>
      <c r="S1040" t="b">
        <f ca="1">NOT(S883=4)</f>
        <v>1</v>
      </c>
      <c r="T1040" t="b">
        <f ca="1">AND(NOT(S1040),W1040=TRUE)</f>
        <v>0</v>
      </c>
      <c r="W1040" s="17"/>
      <c r="X1040" s="817"/>
      <c r="Y1040" s="1100" t="str">
        <f>IF(LEN('Ch7'!X170)=0,"None",'Ch7'!X170)</f>
        <v>None</v>
      </c>
      <c r="Z1040" s="1102"/>
      <c r="AC1040" t="b">
        <f ca="1">OR(AD1040:AE1040)</f>
        <v>1</v>
      </c>
      <c r="AD1040" t="b">
        <f ca="1">T1040</f>
        <v>0</v>
      </c>
      <c r="AE1040" t="b">
        <f ca="1">AND(R1040,NOT(W1040))</f>
        <v>1</v>
      </c>
      <c r="AP1040" t="str">
        <f>SUBSTITUTE(SUBSTITUTE(SUBSTITUTE("vch"&amp;$B1040&amp;$C1040&amp;$D1040&amp;$E1040,".","_"),"(","_"),")","")</f>
        <v>vch701_4_4_1</v>
      </c>
      <c r="AQ1040" t="str">
        <f>IF(LEN(W1040)=0,"",W1040)</f>
        <v/>
      </c>
      <c r="AR1040" t="str">
        <f>SUBSTITUTE(SUBSTITUTE(SUBSTITUTE("vnt"&amp;$B1040&amp;$C1040&amp;$D1040&amp;$E1040,".","_"),"(","_"),")","")</f>
        <v>vnt701_4_4_1</v>
      </c>
      <c r="AS1040" t="str">
        <f>IF(LEN(X1040)=0,"",X1040)</f>
        <v/>
      </c>
    </row>
    <row r="1041" spans="1:45" x14ac:dyDescent="0.35">
      <c r="A1041" s="366">
        <v>7</v>
      </c>
      <c r="B1041" s="738" t="s">
        <v>871</v>
      </c>
      <c r="C1041" s="731" t="s">
        <v>256</v>
      </c>
      <c r="D1041" s="743"/>
      <c r="E1041" s="731"/>
      <c r="F1041" s="731"/>
      <c r="G1041" s="366" t="s">
        <v>3973</v>
      </c>
      <c r="H1041" s="366" t="s">
        <v>3970</v>
      </c>
      <c r="I1041" s="4"/>
      <c r="J1041" s="326"/>
      <c r="K1041" s="228"/>
      <c r="L1041" s="815"/>
      <c r="M1041" s="40"/>
      <c r="N1041" s="41"/>
      <c r="O1041" s="41"/>
      <c r="X1041" s="817"/>
      <c r="Y1041" s="1100"/>
      <c r="Z1041" s="1102"/>
    </row>
    <row r="1042" spans="1:45" x14ac:dyDescent="0.35">
      <c r="A1042" s="366">
        <v>7</v>
      </c>
      <c r="B1042" s="738" t="s">
        <v>871</v>
      </c>
      <c r="C1042" s="731" t="s">
        <v>258</v>
      </c>
      <c r="D1042" s="743"/>
      <c r="E1042" s="731"/>
      <c r="F1042" s="731"/>
      <c r="G1042" s="366" t="s">
        <v>3973</v>
      </c>
      <c r="H1042" s="366" t="s">
        <v>3970</v>
      </c>
      <c r="I1042" s="133"/>
      <c r="J1042" s="326" t="s">
        <v>258</v>
      </c>
      <c r="K1042" s="228"/>
      <c r="L1042" s="228" t="s">
        <v>873</v>
      </c>
      <c r="M1042" s="268"/>
      <c r="N1042" s="546"/>
      <c r="O1042" s="546"/>
      <c r="P1042" t="b">
        <v>1</v>
      </c>
      <c r="Q1042" t="b">
        <v>1</v>
      </c>
      <c r="R1042" s="104" t="b">
        <f ca="1">AND(S1042,NOT(W1040))</f>
        <v>1</v>
      </c>
      <c r="S1042" s="104" t="b">
        <f ca="1">NOT(S883=4)</f>
        <v>1</v>
      </c>
      <c r="T1042" s="104" t="b">
        <f ca="1">AND(NOT(S1042),W1042=TRUE)</f>
        <v>0</v>
      </c>
      <c r="U1042" s="104"/>
      <c r="V1042" s="104"/>
      <c r="W1042" s="17"/>
      <c r="X1042" s="36"/>
      <c r="Y1042" s="396" t="str">
        <f>IF(LEN('Ch7'!X172)=0,"None",'Ch7'!X172)</f>
        <v>None</v>
      </c>
      <c r="Z1042" s="652"/>
      <c r="AC1042" t="b">
        <f ca="1">OR(AD1042:AE1042)</f>
        <v>1</v>
      </c>
      <c r="AD1042" t="b">
        <f ca="1">T1042</f>
        <v>0</v>
      </c>
      <c r="AE1042" t="b">
        <f ca="1">AND(R1042,NOT(W1042))</f>
        <v>1</v>
      </c>
      <c r="AP1042" t="str">
        <f>SUBSTITUTE(SUBSTITUTE(SUBSTITUTE("vch"&amp;$B1042&amp;$C1042&amp;$D1042&amp;$E1042,".","_"),"(","_"),")","")</f>
        <v>vch701_4_4_2</v>
      </c>
      <c r="AQ1042" t="str">
        <f>IF(LEN(W1042)=0,"",W1042)</f>
        <v/>
      </c>
      <c r="AR1042" t="str">
        <f>SUBSTITUTE(SUBSTITUTE(SUBSTITUTE("vnt"&amp;$B1042&amp;$C1042&amp;$D1042&amp;$E1042,".","_"),"(","_"),")","")</f>
        <v>vnt701_4_4_2</v>
      </c>
      <c r="AS1042" t="str">
        <f>IF(LEN(X1042)=0,"",X1042)</f>
        <v/>
      </c>
    </row>
    <row r="1043" spans="1:45" x14ac:dyDescent="0.35">
      <c r="A1043" s="366">
        <v>7</v>
      </c>
      <c r="B1043" s="738" t="s">
        <v>874</v>
      </c>
      <c r="C1043" s="735"/>
      <c r="D1043" s="731"/>
      <c r="E1043" s="731"/>
      <c r="F1043" s="731"/>
      <c r="G1043" s="366" t="s">
        <v>3973</v>
      </c>
      <c r="H1043" s="366" t="s">
        <v>3971</v>
      </c>
      <c r="I1043" s="30" t="s">
        <v>874</v>
      </c>
      <c r="J1043" s="90"/>
      <c r="K1043" s="90"/>
      <c r="L1043" s="881" t="s">
        <v>4256</v>
      </c>
      <c r="M1043" s="912" t="str">
        <f ca="1">IF(R1043,"Mandatory","N/A")</f>
        <v>N/A</v>
      </c>
      <c r="N1043" s="41"/>
      <c r="O1043" s="41"/>
      <c r="P1043" t="b">
        <v>1</v>
      </c>
      <c r="Q1043" t="b">
        <v>0</v>
      </c>
      <c r="R1043" t="b">
        <f ca="1">S1043</f>
        <v>0</v>
      </c>
      <c r="S1043" t="b">
        <f ca="1">AND(NOT(S883=4),OR(AY905=INDEX(INDIRECT('Overview (Design)'!$E$34),2),AY906=INDEX(INDIRECT('Overview (Design)'!$E$34),2),AY907=INDEX(INDIRECT('Overview (Design)'!$E$34),2)))</f>
        <v>0</v>
      </c>
      <c r="T1043" t="b">
        <f ca="1">AND(NOT(S1043),W1043=TRUE)</f>
        <v>0</v>
      </c>
      <c r="W1043" s="17"/>
      <c r="X1043" s="817"/>
      <c r="Y1043" s="1119" t="str">
        <f>IF(LEN('Ch7'!X173)=0,"None",'Ch7'!X173)</f>
        <v>None</v>
      </c>
      <c r="Z1043" s="1105"/>
      <c r="AC1043" t="b">
        <f ca="1">OR(AD1043:AE1043)</f>
        <v>0</v>
      </c>
      <c r="AD1043" t="b">
        <f ca="1">T1043</f>
        <v>0</v>
      </c>
      <c r="AE1043" t="b">
        <f ca="1">AND(R1043,NOT(W1043))</f>
        <v>0</v>
      </c>
      <c r="AL1043" t="str">
        <f>SUBSTITUTE(SUBSTITUTE(SUBSTITUTE("vpa"&amp;$B1043&amp;$C1043&amp;$D1043&amp;$E1043,".","_"),"(","_"),")","")</f>
        <v>vpa701_4_5</v>
      </c>
      <c r="AM1043" t="str">
        <f ca="1">M1043</f>
        <v>N/A</v>
      </c>
      <c r="AP1043" t="str">
        <f>SUBSTITUTE(SUBSTITUTE(SUBSTITUTE("vch"&amp;$B1043&amp;$C1043&amp;$D1043&amp;$E1043,".","_"),"(","_"),")","")</f>
        <v>vch701_4_5</v>
      </c>
      <c r="AQ1043" t="str">
        <f>IF(LEN(W1043)=0,"",W1043)</f>
        <v/>
      </c>
      <c r="AR1043" t="str">
        <f>SUBSTITUTE(SUBSTITUTE(SUBSTITUTE("vnt"&amp;$B1043&amp;$C1043&amp;$D1043&amp;$E1043,".","_"),"(","_"),")","")</f>
        <v>vnt701_4_5</v>
      </c>
      <c r="AS1043" t="str">
        <f>IF(LEN(X1043)=0,"",X1043)</f>
        <v/>
      </c>
    </row>
    <row r="1044" spans="1:45" x14ac:dyDescent="0.35">
      <c r="A1044" s="366">
        <v>7</v>
      </c>
      <c r="B1044" s="738" t="s">
        <v>874</v>
      </c>
      <c r="G1044" s="366" t="s">
        <v>3973</v>
      </c>
      <c r="H1044" s="366" t="s">
        <v>3971</v>
      </c>
      <c r="L1044" s="881"/>
      <c r="M1044" s="885"/>
      <c r="X1044" s="817"/>
      <c r="Y1044" s="1120"/>
      <c r="Z1044" s="1109"/>
    </row>
    <row r="1045" spans="1:45" ht="18.5" x14ac:dyDescent="0.45">
      <c r="A1045" s="366">
        <v>7</v>
      </c>
      <c r="B1045" s="738">
        <v>702</v>
      </c>
      <c r="C1045" s="735"/>
      <c r="D1045" s="731"/>
      <c r="E1045" s="731"/>
      <c r="F1045" s="731"/>
      <c r="G1045" s="366" t="s">
        <v>3973</v>
      </c>
      <c r="H1045" s="366" t="s">
        <v>3970</v>
      </c>
      <c r="I1045" s="10" t="s">
        <v>875</v>
      </c>
      <c r="J1045" s="44"/>
      <c r="K1045" s="44"/>
      <c r="L1045" s="44"/>
      <c r="M1045" s="243"/>
      <c r="N1045" s="544"/>
      <c r="O1045" s="544"/>
      <c r="P1045" s="15"/>
      <c r="Q1045" s="15"/>
      <c r="R1045" s="15"/>
      <c r="S1045" s="15"/>
      <c r="T1045" s="15"/>
      <c r="U1045" s="15"/>
      <c r="V1045" s="15"/>
      <c r="W1045" s="15"/>
      <c r="X1045" s="15"/>
      <c r="Y1045" s="15"/>
      <c r="Z1045" s="651"/>
    </row>
    <row r="1046" spans="1:45" x14ac:dyDescent="0.35">
      <c r="A1046" s="366">
        <v>7</v>
      </c>
      <c r="B1046" s="738">
        <v>702.1</v>
      </c>
      <c r="C1046" s="735"/>
      <c r="D1046" s="731"/>
      <c r="E1046" s="731"/>
      <c r="F1046" s="731"/>
      <c r="I1046" s="30">
        <v>702.1</v>
      </c>
      <c r="J1046" s="90"/>
      <c r="K1046" s="90"/>
      <c r="L1046" s="838" t="s">
        <v>4853</v>
      </c>
      <c r="M1046" s="269"/>
      <c r="N1046" s="41"/>
      <c r="O1046" s="41"/>
    </row>
    <row r="1047" spans="1:45" ht="15" thickBot="1" x14ac:dyDescent="0.4">
      <c r="A1047" s="366">
        <v>7</v>
      </c>
      <c r="B1047" s="738">
        <v>702.1</v>
      </c>
      <c r="C1047" s="735"/>
      <c r="D1047" s="731"/>
      <c r="E1047" s="731"/>
      <c r="F1047" s="731"/>
      <c r="I1047" s="160"/>
      <c r="J1047" s="229"/>
      <c r="K1047" s="229"/>
      <c r="L1047" s="849"/>
      <c r="M1047" s="318"/>
      <c r="N1047" s="72"/>
      <c r="O1047" s="72"/>
      <c r="P1047" s="55"/>
      <c r="Q1047" s="55"/>
      <c r="R1047" s="55"/>
      <c r="S1047" s="55"/>
      <c r="T1047" s="55"/>
      <c r="U1047" s="55"/>
      <c r="V1047" s="55"/>
      <c r="W1047" s="55"/>
      <c r="X1047" s="55"/>
      <c r="Y1047" s="55"/>
      <c r="Z1047" s="653"/>
    </row>
    <row r="1048" spans="1:45" ht="15" thickTop="1" x14ac:dyDescent="0.35">
      <c r="A1048" s="366">
        <v>7</v>
      </c>
      <c r="B1048" s="738">
        <v>702.2</v>
      </c>
      <c r="C1048" s="735"/>
      <c r="D1048" s="731"/>
      <c r="E1048" s="731"/>
      <c r="F1048" s="731"/>
      <c r="G1048" s="366" t="s">
        <v>3973</v>
      </c>
      <c r="H1048" s="366" t="s">
        <v>3972</v>
      </c>
      <c r="I1048" s="106">
        <v>702.2</v>
      </c>
      <c r="J1048" s="316"/>
      <c r="K1048" s="316"/>
      <c r="L1048" s="274" t="s">
        <v>876</v>
      </c>
      <c r="M1048" s="267"/>
      <c r="N1048" s="545"/>
      <c r="O1048" s="545"/>
      <c r="P1048" s="59"/>
      <c r="Q1048" s="59"/>
      <c r="R1048" s="59"/>
      <c r="S1048" s="59"/>
      <c r="T1048" s="59"/>
      <c r="U1048" s="59"/>
      <c r="V1048" s="59"/>
      <c r="W1048" s="59"/>
      <c r="X1048" s="59"/>
    </row>
    <row r="1049" spans="1:45" x14ac:dyDescent="0.35">
      <c r="A1049" s="366">
        <v>7</v>
      </c>
      <c r="B1049" s="738" t="s">
        <v>877</v>
      </c>
      <c r="C1049" s="735"/>
      <c r="D1049" s="731"/>
      <c r="E1049" s="731"/>
      <c r="F1049" s="731"/>
      <c r="G1049" s="366" t="s">
        <v>3973</v>
      </c>
      <c r="H1049" s="366" t="s">
        <v>3972</v>
      </c>
      <c r="I1049" s="32" t="s">
        <v>877</v>
      </c>
      <c r="J1049" s="90"/>
      <c r="K1049" s="90"/>
      <c r="L1049" s="838" t="s">
        <v>878</v>
      </c>
      <c r="M1049" s="885" t="str">
        <f ca="1">IF(R1049,"Mandatory","N/A")</f>
        <v>N/A</v>
      </c>
      <c r="N1049" s="41"/>
      <c r="O1049" s="41"/>
      <c r="P1049" t="b">
        <v>0</v>
      </c>
      <c r="Q1049" t="b">
        <v>1</v>
      </c>
      <c r="R1049" t="b">
        <f ca="1">S1049</f>
        <v>0</v>
      </c>
      <c r="S1049" t="b">
        <f ca="1">(S883=1)</f>
        <v>0</v>
      </c>
      <c r="T1049" t="b">
        <f ca="1">AND(NOT(S1049),W1049=TRUE)</f>
        <v>0</v>
      </c>
      <c r="W1049" s="17"/>
      <c r="X1049" s="817"/>
      <c r="Y1049" s="1100" t="str">
        <f>IF(LEN('Ch7'!X179)=0,"None",'Ch7'!X179)</f>
        <v>None</v>
      </c>
      <c r="Z1049" s="1102"/>
      <c r="AC1049" t="b">
        <f ca="1">OR(AD1049:AE1049)</f>
        <v>0</v>
      </c>
      <c r="AD1049" t="b">
        <f ca="1">T1049</f>
        <v>0</v>
      </c>
      <c r="AE1049" t="b">
        <f ca="1">AND(R1049,NOT(W1049))</f>
        <v>0</v>
      </c>
      <c r="AL1049" t="str">
        <f>SUBSTITUTE(SUBSTITUTE(SUBSTITUTE("vpa"&amp;$B1049&amp;$C1049&amp;$D1049&amp;$E1049,".","_"),"(","_"),")","")</f>
        <v>vpa702_2_1</v>
      </c>
      <c r="AM1049" t="str">
        <f ca="1">M1049</f>
        <v>N/A</v>
      </c>
      <c r="AP1049" t="str">
        <f>SUBSTITUTE(SUBSTITUTE(SUBSTITUTE("vch"&amp;$B1049&amp;$C1049&amp;$D1049&amp;$E1049,".","_"),"(","_"),")","")</f>
        <v>vch702_2_1</v>
      </c>
      <c r="AQ1049" t="str">
        <f>IF(LEN(W1049)=0,"",W1049)</f>
        <v/>
      </c>
      <c r="AR1049" t="str">
        <f>SUBSTITUTE(SUBSTITUTE(SUBSTITUTE("vnt"&amp;$B1049&amp;$C1049&amp;$D1049&amp;$E1049,".","_"),"(","_"),")","")</f>
        <v>vnt702_2_1</v>
      </c>
      <c r="AS1049" t="str">
        <f>IF(LEN(X1049)=0,"",X1049)</f>
        <v/>
      </c>
    </row>
    <row r="1050" spans="1:45" x14ac:dyDescent="0.35">
      <c r="A1050" s="366">
        <v>7</v>
      </c>
      <c r="B1050" s="738" t="s">
        <v>877</v>
      </c>
      <c r="C1050" s="735"/>
      <c r="D1050" s="731"/>
      <c r="E1050" s="731"/>
      <c r="F1050" s="731"/>
      <c r="G1050" s="366" t="s">
        <v>3973</v>
      </c>
      <c r="H1050" s="366" t="s">
        <v>3972</v>
      </c>
      <c r="I1050" s="4"/>
      <c r="J1050" s="90"/>
      <c r="K1050" s="90"/>
      <c r="L1050" s="838"/>
      <c r="M1050" s="885"/>
      <c r="N1050" s="41"/>
      <c r="O1050" s="41"/>
      <c r="X1050" s="817"/>
      <c r="Y1050" s="1100"/>
      <c r="Z1050" s="1102"/>
    </row>
    <row r="1051" spans="1:45" x14ac:dyDescent="0.35">
      <c r="A1051" s="366">
        <v>7</v>
      </c>
      <c r="B1051" s="738" t="s">
        <v>877</v>
      </c>
      <c r="C1051" s="735"/>
      <c r="D1051" s="731"/>
      <c r="E1051" s="731"/>
      <c r="F1051" s="731"/>
      <c r="G1051" s="366" t="s">
        <v>3973</v>
      </c>
      <c r="H1051" s="366" t="s">
        <v>3972</v>
      </c>
      <c r="I1051" s="4"/>
      <c r="J1051" s="90"/>
      <c r="K1051" s="90"/>
      <c r="L1051" s="838"/>
      <c r="M1051" s="885"/>
      <c r="N1051" s="41"/>
      <c r="O1051" s="41"/>
      <c r="X1051" s="817"/>
      <c r="Y1051" s="1100"/>
      <c r="Z1051" s="1102"/>
    </row>
    <row r="1052" spans="1:45" x14ac:dyDescent="0.35">
      <c r="A1052" s="366">
        <v>7</v>
      </c>
      <c r="B1052" s="738" t="s">
        <v>877</v>
      </c>
      <c r="C1052" s="735"/>
      <c r="D1052" s="731"/>
      <c r="E1052" s="731"/>
      <c r="F1052" s="731"/>
      <c r="G1052" s="366" t="s">
        <v>3973</v>
      </c>
      <c r="H1052" s="366" t="s">
        <v>3972</v>
      </c>
      <c r="I1052" s="133"/>
      <c r="J1052" s="228"/>
      <c r="K1052" s="228"/>
      <c r="L1052" s="889"/>
      <c r="M1052" s="890"/>
      <c r="N1052" s="546"/>
      <c r="O1052" s="546"/>
      <c r="P1052" s="104"/>
      <c r="Q1052" s="104"/>
      <c r="R1052" s="104"/>
      <c r="S1052" s="104"/>
      <c r="T1052" s="104"/>
      <c r="U1052" s="104"/>
      <c r="V1052" s="104"/>
      <c r="W1052" s="104"/>
      <c r="X1052" s="817"/>
      <c r="Y1052" s="1100"/>
      <c r="Z1052" s="1102"/>
    </row>
    <row r="1053" spans="1:45" ht="15" customHeight="1" x14ac:dyDescent="0.35">
      <c r="A1053" s="366">
        <v>7</v>
      </c>
      <c r="B1053" s="738" t="s">
        <v>879</v>
      </c>
      <c r="C1053" s="735"/>
      <c r="D1053" s="731"/>
      <c r="E1053" s="731"/>
      <c r="F1053" s="731"/>
      <c r="G1053" s="366" t="str">
        <f ca="1">IF(N1053&gt;0,"P","")</f>
        <v/>
      </c>
      <c r="H1053" s="366" t="s">
        <v>3972</v>
      </c>
      <c r="I1053" s="32" t="s">
        <v>879</v>
      </c>
      <c r="J1053" s="90"/>
      <c r="K1053" s="90"/>
      <c r="L1053" s="838" t="s">
        <v>4257</v>
      </c>
      <c r="M1053" s="843" t="s">
        <v>3499</v>
      </c>
      <c r="N1053" s="834">
        <f ca="1">'Ch7'!O183</f>
        <v>0</v>
      </c>
      <c r="O1053" s="834">
        <f ca="1">ROUNDDOWN(S1055*IF(NOT(W1055=""),30+(W1055*200),0),0)</f>
        <v>0</v>
      </c>
      <c r="W1053" s="760" t="s">
        <v>5115</v>
      </c>
      <c r="X1053" s="816"/>
      <c r="Y1053" s="1100" t="str">
        <f>IF(LEN('Ch7'!X183)=0,"None",'Ch7'!X183)</f>
        <v>None</v>
      </c>
      <c r="Z1053" s="1102"/>
      <c r="AL1053" t="str">
        <f>SUBSTITUTE(SUBSTITUTE(SUBSTITUTE("vpa"&amp;$B1053&amp;$C1053&amp;$D1053&amp;$E1053,".","_"),"(","_"),")","")</f>
        <v>vpa702_2_2</v>
      </c>
      <c r="AM1053" t="str">
        <f>M1053</f>
        <v>Points per formula</v>
      </c>
      <c r="AN1053" t="str">
        <f>SUBSTITUTE(SUBSTITUTE(SUBSTITUTE("vpc"&amp;$B1053&amp;$C1053&amp;$D1053&amp;$E1053,".","_"),"(","_"),")","")</f>
        <v>vpc702_2_2</v>
      </c>
      <c r="AO1053">
        <f ca="1">O1053</f>
        <v>0</v>
      </c>
      <c r="AR1053" t="str">
        <f>SUBSTITUTE(SUBSTITUTE(SUBSTITUTE("vnt"&amp;$B1053&amp;$C1053&amp;$D1053&amp;$E1053,".","_"),"(","_"),")","")</f>
        <v>vnt702_2_2</v>
      </c>
      <c r="AS1053" t="str">
        <f>IF(LEN(X1053)=0,"",X1053)</f>
        <v/>
      </c>
    </row>
    <row r="1054" spans="1:45" x14ac:dyDescent="0.35">
      <c r="A1054" s="366">
        <v>7</v>
      </c>
      <c r="B1054" s="738" t="s">
        <v>879</v>
      </c>
      <c r="C1054" s="735"/>
      <c r="D1054" s="731"/>
      <c r="E1054" s="731"/>
      <c r="F1054" s="731"/>
      <c r="G1054" s="366" t="str">
        <f t="shared" ref="G1054:G1063" ca="1" si="68">G1053</f>
        <v/>
      </c>
      <c r="H1054" s="366" t="s">
        <v>3972</v>
      </c>
      <c r="I1054" s="4"/>
      <c r="J1054" s="90"/>
      <c r="K1054" s="90"/>
      <c r="L1054" s="838"/>
      <c r="M1054" s="843"/>
      <c r="N1054" s="834"/>
      <c r="O1054" s="834"/>
      <c r="W1054" s="760"/>
      <c r="X1054" s="817"/>
      <c r="Y1054" s="1100"/>
      <c r="Z1054" s="1102"/>
    </row>
    <row r="1055" spans="1:45" x14ac:dyDescent="0.35">
      <c r="A1055" s="366">
        <v>7</v>
      </c>
      <c r="B1055" s="738" t="s">
        <v>879</v>
      </c>
      <c r="C1055" s="735"/>
      <c r="D1055" s="731"/>
      <c r="E1055" s="731"/>
      <c r="F1055" s="731"/>
      <c r="G1055" s="366" t="str">
        <f t="shared" ca="1" si="68"/>
        <v/>
      </c>
      <c r="H1055" s="366" t="s">
        <v>3972</v>
      </c>
      <c r="I1055" s="4"/>
      <c r="J1055" s="90"/>
      <c r="K1055" s="90"/>
      <c r="L1055" s="838"/>
      <c r="M1055" s="843"/>
      <c r="N1055" s="834"/>
      <c r="O1055" s="834"/>
      <c r="P1055" t="b">
        <v>0</v>
      </c>
      <c r="Q1055" t="b">
        <v>1</v>
      </c>
      <c r="R1055" t="b">
        <f ca="1">S1055</f>
        <v>0</v>
      </c>
      <c r="S1055" t="b">
        <f ca="1">(S883=1)</f>
        <v>0</v>
      </c>
      <c r="T1055" t="b">
        <f ca="1">AND(NOT(S1055),LEN(W1055)&gt;0)</f>
        <v>0</v>
      </c>
      <c r="W1055" s="97"/>
      <c r="X1055" s="817"/>
      <c r="Y1055" s="1100"/>
      <c r="Z1055" s="1102"/>
      <c r="AC1055" t="b">
        <f ca="1">OR(AD1055:AE1055)</f>
        <v>0</v>
      </c>
      <c r="AD1055" t="b">
        <f ca="1">T1055</f>
        <v>0</v>
      </c>
      <c r="AE1055" t="b">
        <f ca="1">AND(R1055,ISBLANK(W1055))</f>
        <v>0</v>
      </c>
      <c r="AP1055" t="str">
        <f>SUBSTITUTE(SUBSTITUTE(SUBSTITUTE("vch"&amp;$B1055&amp;$C1055&amp;$D1055&amp;$E1055,".","_"),"(","_"),")","")</f>
        <v>vch702_2_2</v>
      </c>
      <c r="AQ1055" t="str">
        <f>IF(LEN(W1055)=0,"",W1055)</f>
        <v/>
      </c>
    </row>
    <row r="1056" spans="1:45" x14ac:dyDescent="0.35">
      <c r="A1056" s="366">
        <v>7</v>
      </c>
      <c r="B1056" s="738" t="s">
        <v>879</v>
      </c>
      <c r="C1056" s="735"/>
      <c r="D1056" s="731"/>
      <c r="E1056" s="731"/>
      <c r="F1056" s="731"/>
      <c r="G1056" s="366" t="str">
        <f t="shared" ca="1" si="68"/>
        <v/>
      </c>
      <c r="H1056" s="366" t="s">
        <v>3972</v>
      </c>
      <c r="I1056" s="4"/>
      <c r="J1056" s="90"/>
      <c r="K1056" s="90"/>
      <c r="L1056" s="838"/>
      <c r="M1056" s="843"/>
      <c r="N1056" s="834"/>
      <c r="O1056" s="834"/>
      <c r="X1056" s="817"/>
      <c r="Y1056" s="1100"/>
      <c r="Z1056" s="1102"/>
    </row>
    <row r="1057" spans="1:45" x14ac:dyDescent="0.35">
      <c r="A1057" s="366">
        <v>7</v>
      </c>
      <c r="B1057" s="738" t="s">
        <v>879</v>
      </c>
      <c r="C1057" s="735"/>
      <c r="D1057" s="731"/>
      <c r="E1057" s="731"/>
      <c r="F1057" s="731"/>
      <c r="G1057" s="366" t="str">
        <f t="shared" ca="1" si="68"/>
        <v/>
      </c>
      <c r="H1057" s="366" t="s">
        <v>3972</v>
      </c>
      <c r="I1057" s="4"/>
      <c r="J1057" s="90"/>
      <c r="K1057" s="90"/>
      <c r="L1057" s="838"/>
      <c r="M1057" s="843"/>
      <c r="N1057" s="834"/>
      <c r="O1057" s="834"/>
      <c r="X1057" s="817"/>
      <c r="Y1057" s="1100"/>
      <c r="Z1057" s="1102"/>
    </row>
    <row r="1058" spans="1:45" x14ac:dyDescent="0.35">
      <c r="A1058" s="366">
        <v>7</v>
      </c>
      <c r="B1058" s="738" t="s">
        <v>879</v>
      </c>
      <c r="C1058" s="735"/>
      <c r="D1058" s="731"/>
      <c r="E1058" s="731"/>
      <c r="F1058" s="731"/>
      <c r="G1058" s="366" t="str">
        <f t="shared" ca="1" si="68"/>
        <v/>
      </c>
      <c r="H1058" s="366" t="s">
        <v>3972</v>
      </c>
      <c r="I1058" s="4"/>
      <c r="J1058" s="90"/>
      <c r="K1058" s="90"/>
      <c r="L1058" s="95" t="s">
        <v>5116</v>
      </c>
      <c r="M1058" s="40"/>
      <c r="N1058" s="41"/>
      <c r="O1058" s="41"/>
      <c r="X1058" s="817"/>
      <c r="Y1058" s="1100"/>
      <c r="Z1058" s="1102"/>
    </row>
    <row r="1059" spans="1:45" x14ac:dyDescent="0.35">
      <c r="A1059" s="366">
        <v>7</v>
      </c>
      <c r="B1059" s="738" t="s">
        <v>879</v>
      </c>
      <c r="C1059" s="735"/>
      <c r="D1059" s="731" t="s">
        <v>3968</v>
      </c>
      <c r="E1059" s="731"/>
      <c r="F1059" s="731"/>
      <c r="G1059" s="366" t="str">
        <f t="shared" ca="1" si="68"/>
        <v/>
      </c>
      <c r="H1059" s="366" t="s">
        <v>3972</v>
      </c>
      <c r="I1059" s="4"/>
      <c r="J1059" s="90"/>
      <c r="K1059" s="90"/>
      <c r="L1059" s="855" t="s">
        <v>2997</v>
      </c>
      <c r="M1059" s="40"/>
      <c r="N1059" s="41"/>
      <c r="O1059" s="41"/>
      <c r="X1059" s="817"/>
      <c r="Y1059" s="1100" t="str">
        <f>IF(LEN('Ch7'!X189)=0,"None",'Ch7'!X189)</f>
        <v>None</v>
      </c>
      <c r="Z1059" s="1102"/>
      <c r="AR1059" t="str">
        <f>SUBSTITUTE(SUBSTITUTE(SUBSTITUTE("vnt"&amp;$B1059&amp;$C1059&amp;$D1059&amp;$E1059,".","_"),"(","_"),")","")</f>
        <v>vnt702_2_2_m</v>
      </c>
      <c r="AS1059" t="str">
        <f>IF(LEN(X1059)=0,"",X1059)</f>
        <v/>
      </c>
    </row>
    <row r="1060" spans="1:45" x14ac:dyDescent="0.35">
      <c r="A1060" s="366">
        <v>7</v>
      </c>
      <c r="B1060" s="738" t="s">
        <v>879</v>
      </c>
      <c r="C1060" s="735"/>
      <c r="D1060" s="731"/>
      <c r="E1060" s="731"/>
      <c r="F1060" s="731"/>
      <c r="G1060" s="366" t="str">
        <f t="shared" ca="1" si="68"/>
        <v/>
      </c>
      <c r="H1060" s="366" t="s">
        <v>3972</v>
      </c>
      <c r="I1060" s="4"/>
      <c r="J1060" s="90"/>
      <c r="K1060" s="90"/>
      <c r="L1060" s="855"/>
      <c r="M1060" s="40"/>
      <c r="N1060" s="41"/>
      <c r="O1060" s="41"/>
      <c r="X1060" s="817"/>
      <c r="Y1060" s="1100"/>
      <c r="Z1060" s="1102"/>
    </row>
    <row r="1061" spans="1:45" x14ac:dyDescent="0.35">
      <c r="A1061" s="366">
        <v>7</v>
      </c>
      <c r="B1061" s="738" t="s">
        <v>879</v>
      </c>
      <c r="C1061" s="735"/>
      <c r="D1061" s="731"/>
      <c r="E1061" s="731"/>
      <c r="F1061" s="731"/>
      <c r="G1061" s="366" t="str">
        <f t="shared" ca="1" si="68"/>
        <v/>
      </c>
      <c r="H1061" s="366" t="s">
        <v>3972</v>
      </c>
      <c r="I1061" s="133"/>
      <c r="J1061" s="228"/>
      <c r="K1061" s="228"/>
      <c r="L1061" s="903"/>
      <c r="M1061" s="334"/>
      <c r="N1061" s="41"/>
      <c r="O1061" s="41"/>
      <c r="W1061" s="65"/>
      <c r="X1061" s="817"/>
      <c r="Y1061" s="1100"/>
      <c r="Z1061" s="1102"/>
    </row>
    <row r="1062" spans="1:45" x14ac:dyDescent="0.35">
      <c r="A1062" s="366">
        <v>7</v>
      </c>
      <c r="B1062" s="738" t="s">
        <v>880</v>
      </c>
      <c r="C1062" s="735"/>
      <c r="D1062" s="731"/>
      <c r="E1062" s="731"/>
      <c r="F1062" s="731"/>
      <c r="G1062" s="366" t="str">
        <f t="shared" ca="1" si="68"/>
        <v/>
      </c>
      <c r="H1062" s="366" t="s">
        <v>3972</v>
      </c>
      <c r="I1062" s="32" t="s">
        <v>880</v>
      </c>
      <c r="J1062" s="90"/>
      <c r="K1062" s="90"/>
      <c r="L1062" s="838" t="s">
        <v>881</v>
      </c>
      <c r="M1062" s="40"/>
      <c r="N1062" s="41"/>
      <c r="O1062" s="41"/>
      <c r="X1062" s="816"/>
      <c r="Y1062" s="1100" t="str">
        <f>IF(LEN('Ch7'!X192)=0,"None",'Ch7'!X192)</f>
        <v>None</v>
      </c>
      <c r="Z1062" s="1102"/>
      <c r="AR1062" t="str">
        <f>SUBSTITUTE(SUBSTITUTE(SUBSTITUTE("vnt"&amp;$B1062&amp;$C1062&amp;$D1062&amp;$E1062,".","_"),"(","_"),")","")</f>
        <v>vnt702_2_3</v>
      </c>
      <c r="AS1062" t="str">
        <f>IF(LEN(X1062)=0,"",X1062)</f>
        <v/>
      </c>
    </row>
    <row r="1063" spans="1:45" x14ac:dyDescent="0.35">
      <c r="A1063" s="366">
        <v>7</v>
      </c>
      <c r="B1063" s="738" t="s">
        <v>880</v>
      </c>
      <c r="C1063" s="735"/>
      <c r="D1063" s="731"/>
      <c r="E1063" s="731"/>
      <c r="F1063" s="731"/>
      <c r="G1063" s="366" t="str">
        <f t="shared" ca="1" si="68"/>
        <v/>
      </c>
      <c r="H1063" s="366" t="s">
        <v>3972</v>
      </c>
      <c r="I1063" s="4"/>
      <c r="J1063" s="90"/>
      <c r="K1063" s="90"/>
      <c r="L1063" s="838"/>
      <c r="M1063" s="40"/>
      <c r="N1063" s="41"/>
      <c r="O1063" s="41"/>
      <c r="X1063" s="817"/>
      <c r="Y1063" s="1100"/>
      <c r="Z1063" s="1102"/>
    </row>
    <row r="1064" spans="1:45" ht="18.5" x14ac:dyDescent="0.45">
      <c r="A1064" s="366">
        <v>7</v>
      </c>
      <c r="B1064" s="738">
        <v>703</v>
      </c>
      <c r="C1064" s="735"/>
      <c r="D1064" s="731"/>
      <c r="E1064" s="731"/>
      <c r="F1064" s="731"/>
      <c r="G1064" s="366" t="s">
        <v>3973</v>
      </c>
      <c r="H1064" s="366" t="s">
        <v>3970</v>
      </c>
      <c r="I1064" s="10" t="s">
        <v>882</v>
      </c>
      <c r="J1064" s="44"/>
      <c r="K1064" s="44"/>
      <c r="L1064" s="44"/>
      <c r="M1064" s="243"/>
      <c r="N1064" s="544"/>
      <c r="O1064" s="544"/>
      <c r="P1064" s="15"/>
      <c r="Q1064" s="15"/>
      <c r="R1064" s="15"/>
      <c r="S1064" s="15"/>
      <c r="T1064" s="15"/>
      <c r="U1064" s="15"/>
      <c r="V1064" s="15"/>
      <c r="W1064" s="15"/>
      <c r="X1064" s="15"/>
      <c r="Y1064" s="15"/>
      <c r="Z1064" s="651"/>
    </row>
    <row r="1065" spans="1:45" x14ac:dyDescent="0.35">
      <c r="A1065" s="366">
        <v>7</v>
      </c>
      <c r="B1065" s="738">
        <v>703.1</v>
      </c>
      <c r="C1065" s="735"/>
      <c r="D1065" s="731"/>
      <c r="E1065" s="731"/>
      <c r="F1065" s="731"/>
      <c r="G1065" s="366" t="s">
        <v>3973</v>
      </c>
      <c r="H1065" s="366" t="s">
        <v>3972</v>
      </c>
      <c r="I1065" s="30">
        <v>703.1</v>
      </c>
      <c r="J1065" s="90"/>
      <c r="K1065" s="90"/>
      <c r="L1065" s="95" t="s">
        <v>883</v>
      </c>
      <c r="M1065" s="40">
        <v>30</v>
      </c>
      <c r="N1065" s="41">
        <f ca="1">'Ch7'!O195</f>
        <v>30</v>
      </c>
      <c r="O1065" s="40">
        <f ca="1">30*AND((W1081=TRUE),(W1066=TRUE),LEN(W1084)&gt;0)*S1066</f>
        <v>0</v>
      </c>
      <c r="AL1065" t="str">
        <f>SUBSTITUTE(SUBSTITUTE(SUBSTITUTE("vpa"&amp;$B1065&amp;$C1065&amp;$D1065&amp;$E1065,".","_"),"(","_"),")","")</f>
        <v>vpa703_1</v>
      </c>
      <c r="AM1065">
        <f>M1065</f>
        <v>30</v>
      </c>
      <c r="AN1065" t="str">
        <f>SUBSTITUTE(SUBSTITUTE(SUBSTITUTE("vpc"&amp;$B1065&amp;$C1065&amp;$D1065&amp;$E1065,".","_"),"(","_"),")","")</f>
        <v>vpc703_1</v>
      </c>
      <c r="AO1065">
        <f ca="1">O1065</f>
        <v>0</v>
      </c>
    </row>
    <row r="1066" spans="1:45" ht="15" customHeight="1" x14ac:dyDescent="0.35">
      <c r="A1066" s="366">
        <v>7</v>
      </c>
      <c r="B1066" s="738" t="s">
        <v>884</v>
      </c>
      <c r="C1066" s="735"/>
      <c r="D1066" s="731"/>
      <c r="E1066" s="731"/>
      <c r="F1066" s="731"/>
      <c r="G1066" s="366" t="s">
        <v>3973</v>
      </c>
      <c r="H1066" s="366" t="s">
        <v>3972</v>
      </c>
      <c r="I1066" s="32" t="s">
        <v>884</v>
      </c>
      <c r="J1066" s="90"/>
      <c r="K1066" s="90"/>
      <c r="L1066" s="881" t="s">
        <v>4258</v>
      </c>
      <c r="M1066" s="885" t="str">
        <f ca="1">IF(R1066,"Mandatory","N/A")</f>
        <v>N/A</v>
      </c>
      <c r="N1066" s="41"/>
      <c r="O1066" s="41"/>
      <c r="P1066" t="b">
        <v>0</v>
      </c>
      <c r="Q1066" t="b">
        <v>1</v>
      </c>
      <c r="R1066" t="b">
        <f ca="1">AND(S1066,NOT(BI886="Tropical"))</f>
        <v>0</v>
      </c>
      <c r="S1066" t="b">
        <f ca="1">(S883=2)</f>
        <v>0</v>
      </c>
      <c r="T1066" t="b">
        <f ca="1">AND(NOT(S1066),W1066=TRUE)</f>
        <v>0</v>
      </c>
      <c r="W1066" s="17"/>
      <c r="X1066" s="817"/>
      <c r="Y1066" s="1100" t="str">
        <f>IF(LEN('Ch7'!X196)=0,"None",'Ch7'!X196)</f>
        <v>None</v>
      </c>
      <c r="Z1066" s="1102"/>
      <c r="AC1066" t="b">
        <f ca="1">OR(AD1066:AE1066)</f>
        <v>0</v>
      </c>
      <c r="AD1066" t="b">
        <f ca="1">T1066</f>
        <v>0</v>
      </c>
      <c r="AE1066" t="b">
        <f ca="1">AND(R1066,NOT(W1066))</f>
        <v>0</v>
      </c>
      <c r="AL1066" t="str">
        <f>SUBSTITUTE(SUBSTITUTE(SUBSTITUTE("vpa"&amp;$B1066&amp;$C1066&amp;$D1066&amp;$E1066,".","_"),"(","_"),")","")</f>
        <v>vpa703_1_1</v>
      </c>
      <c r="AM1066" t="str">
        <f ca="1">M1066</f>
        <v>N/A</v>
      </c>
      <c r="AP1066" t="str">
        <f>SUBSTITUTE(SUBSTITUTE(SUBSTITUTE("vch"&amp;$B1066&amp;$C1066&amp;$D1066&amp;$E1066,".","_"),"(","_"),")","")</f>
        <v>vch703_1_1</v>
      </c>
      <c r="AQ1066" t="str">
        <f>IF(LEN(W1066)=0,"",W1066)</f>
        <v/>
      </c>
      <c r="AR1066" t="str">
        <f>SUBSTITUTE(SUBSTITUTE(SUBSTITUTE("vnt"&amp;$B1066&amp;$C1066&amp;$D1066&amp;$E1066,".","_"),"(","_"),")","")</f>
        <v>vnt703_1_1</v>
      </c>
      <c r="AS1066" t="str">
        <f>IF(LEN(X1066)=0,"",X1066)</f>
        <v/>
      </c>
    </row>
    <row r="1067" spans="1:45" x14ac:dyDescent="0.35">
      <c r="A1067" s="366">
        <v>7</v>
      </c>
      <c r="B1067" s="738" t="s">
        <v>884</v>
      </c>
      <c r="C1067" s="735"/>
      <c r="D1067" s="731"/>
      <c r="E1067" s="731"/>
      <c r="F1067" s="731"/>
      <c r="G1067" s="366" t="s">
        <v>3973</v>
      </c>
      <c r="H1067" s="366" t="s">
        <v>3972</v>
      </c>
      <c r="I1067" s="4"/>
      <c r="J1067" s="90"/>
      <c r="K1067" s="90"/>
      <c r="L1067" s="881"/>
      <c r="M1067" s="885"/>
      <c r="N1067" s="41"/>
      <c r="O1067" s="41"/>
      <c r="X1067" s="817"/>
      <c r="Y1067" s="1100"/>
      <c r="Z1067" s="1102"/>
    </row>
    <row r="1068" spans="1:45" x14ac:dyDescent="0.35">
      <c r="A1068" s="366">
        <v>7</v>
      </c>
      <c r="B1068" s="738" t="s">
        <v>884</v>
      </c>
      <c r="C1068" s="735"/>
      <c r="D1068" s="731"/>
      <c r="E1068" s="731"/>
      <c r="F1068" s="731"/>
      <c r="G1068" s="366" t="s">
        <v>3973</v>
      </c>
      <c r="H1068" s="366" t="s">
        <v>3972</v>
      </c>
      <c r="I1068" s="133"/>
      <c r="J1068" s="228"/>
      <c r="K1068" s="228"/>
      <c r="L1068" s="284" t="s">
        <v>2998</v>
      </c>
      <c r="M1068" s="40"/>
      <c r="N1068" s="41"/>
      <c r="O1068" s="41"/>
      <c r="X1068" s="817"/>
      <c r="Y1068" s="1100"/>
      <c r="Z1068" s="1102"/>
    </row>
    <row r="1069" spans="1:45" ht="15" customHeight="1" x14ac:dyDescent="0.35">
      <c r="A1069" s="366">
        <v>7</v>
      </c>
      <c r="B1069" s="738" t="s">
        <v>885</v>
      </c>
      <c r="C1069" s="738"/>
      <c r="D1069" s="731"/>
      <c r="E1069" s="731"/>
      <c r="F1069" s="731"/>
      <c r="G1069" s="366" t="s">
        <v>3973</v>
      </c>
      <c r="H1069" s="366" t="s">
        <v>3972</v>
      </c>
      <c r="I1069" s="330" t="s">
        <v>885</v>
      </c>
      <c r="J1069" s="286"/>
      <c r="K1069" s="286"/>
      <c r="L1069" s="883" t="s">
        <v>4259</v>
      </c>
      <c r="M1069" s="40"/>
      <c r="N1069" s="41"/>
      <c r="O1069" s="41"/>
      <c r="X1069" s="817"/>
      <c r="Y1069" s="1100"/>
      <c r="Z1069" s="1102"/>
    </row>
    <row r="1070" spans="1:45" x14ac:dyDescent="0.35">
      <c r="A1070" s="366">
        <v>7</v>
      </c>
      <c r="B1070" s="738" t="s">
        <v>885</v>
      </c>
      <c r="C1070" s="738"/>
      <c r="D1070" s="731"/>
      <c r="E1070" s="731"/>
      <c r="F1070" s="731"/>
      <c r="G1070" s="366" t="s">
        <v>3973</v>
      </c>
      <c r="H1070" s="366" t="s">
        <v>3972</v>
      </c>
      <c r="I1070" s="4"/>
      <c r="J1070" s="90"/>
      <c r="K1070" s="90"/>
      <c r="L1070" s="881"/>
      <c r="M1070" s="40"/>
      <c r="N1070" s="41"/>
      <c r="O1070" s="41"/>
      <c r="X1070" s="817"/>
      <c r="Y1070" s="1100"/>
      <c r="Z1070" s="1102"/>
    </row>
    <row r="1071" spans="1:45" x14ac:dyDescent="0.35">
      <c r="A1071" s="366">
        <v>7</v>
      </c>
      <c r="B1071" s="738" t="s">
        <v>885</v>
      </c>
      <c r="C1071" s="738"/>
      <c r="D1071" s="731"/>
      <c r="E1071" s="731"/>
      <c r="F1071" s="731"/>
      <c r="G1071" s="366" t="s">
        <v>3973</v>
      </c>
      <c r="H1071" s="366" t="s">
        <v>3972</v>
      </c>
      <c r="I1071" s="4"/>
      <c r="J1071" s="90"/>
      <c r="K1071" s="90"/>
      <c r="L1071" s="881"/>
      <c r="M1071" s="40"/>
      <c r="N1071" s="41"/>
      <c r="O1071" s="41"/>
      <c r="X1071" s="817"/>
      <c r="Y1071" s="1100"/>
      <c r="Z1071" s="1102"/>
    </row>
    <row r="1072" spans="1:45" x14ac:dyDescent="0.35">
      <c r="A1072" s="366">
        <v>7</v>
      </c>
      <c r="B1072" s="738" t="s">
        <v>885</v>
      </c>
      <c r="C1072" s="738"/>
      <c r="D1072" s="731"/>
      <c r="E1072" s="731"/>
      <c r="F1072" s="731"/>
      <c r="G1072" s="366" t="s">
        <v>3973</v>
      </c>
      <c r="H1072" s="366" t="s">
        <v>3972</v>
      </c>
      <c r="I1072" s="4"/>
      <c r="J1072" s="90"/>
      <c r="K1072" s="90"/>
      <c r="L1072" s="881"/>
      <c r="M1072" s="40"/>
      <c r="N1072" s="41"/>
      <c r="O1072" s="41"/>
      <c r="X1072" s="817"/>
      <c r="Y1072" s="1100"/>
      <c r="Z1072" s="1102"/>
    </row>
    <row r="1073" spans="1:45" x14ac:dyDescent="0.35">
      <c r="A1073" s="366">
        <v>7</v>
      </c>
      <c r="B1073" s="738" t="s">
        <v>885</v>
      </c>
      <c r="C1073" s="738"/>
      <c r="D1073" s="731"/>
      <c r="E1073" s="731"/>
      <c r="F1073" s="731"/>
      <c r="G1073" s="366" t="s">
        <v>3973</v>
      </c>
      <c r="H1073" s="366" t="s">
        <v>3972</v>
      </c>
      <c r="I1073" s="4"/>
      <c r="J1073" s="90"/>
      <c r="K1073" s="90"/>
      <c r="L1073" s="881"/>
      <c r="M1073" s="40"/>
      <c r="N1073" s="41"/>
      <c r="O1073" s="41"/>
      <c r="X1073" s="817"/>
      <c r="Y1073" s="1100"/>
      <c r="Z1073" s="1102"/>
    </row>
    <row r="1074" spans="1:45" x14ac:dyDescent="0.35">
      <c r="A1074" s="366">
        <v>7</v>
      </c>
      <c r="B1074" s="738" t="s">
        <v>885</v>
      </c>
      <c r="C1074" s="738"/>
      <c r="D1074" s="731"/>
      <c r="E1074" s="731"/>
      <c r="F1074" s="731"/>
      <c r="G1074" s="366" t="s">
        <v>3973</v>
      </c>
      <c r="H1074" s="366" t="s">
        <v>3972</v>
      </c>
      <c r="I1074" s="4"/>
      <c r="J1074" s="90"/>
      <c r="K1074" s="90"/>
      <c r="L1074" s="881"/>
      <c r="M1074" s="40"/>
      <c r="N1074" s="41"/>
      <c r="O1074" s="41"/>
      <c r="X1074" s="817"/>
      <c r="Y1074" s="1100"/>
      <c r="Z1074" s="1102"/>
    </row>
    <row r="1075" spans="1:45" x14ac:dyDescent="0.35">
      <c r="A1075" s="366">
        <v>7</v>
      </c>
      <c r="B1075" s="738" t="s">
        <v>885</v>
      </c>
      <c r="C1075" s="738"/>
      <c r="D1075" s="731"/>
      <c r="E1075" s="731"/>
      <c r="F1075" s="731"/>
      <c r="G1075" s="366" t="s">
        <v>3973</v>
      </c>
      <c r="H1075" s="366" t="s">
        <v>3972</v>
      </c>
      <c r="I1075" s="4"/>
      <c r="J1075" s="90"/>
      <c r="K1075" s="90"/>
      <c r="L1075" s="881"/>
      <c r="M1075" s="40"/>
      <c r="N1075" s="41"/>
      <c r="O1075" s="41"/>
      <c r="X1075" s="817"/>
      <c r="Y1075" s="1100"/>
      <c r="Z1075" s="1102"/>
    </row>
    <row r="1076" spans="1:45" x14ac:dyDescent="0.35">
      <c r="A1076" s="366">
        <v>7</v>
      </c>
      <c r="B1076" s="738" t="s">
        <v>885</v>
      </c>
      <c r="C1076" s="738"/>
      <c r="D1076" s="731"/>
      <c r="E1076" s="731"/>
      <c r="F1076" s="731"/>
      <c r="G1076" s="366" t="s">
        <v>3973</v>
      </c>
      <c r="H1076" s="366" t="s">
        <v>3972</v>
      </c>
      <c r="I1076" s="133"/>
      <c r="J1076" s="228"/>
      <c r="K1076" s="228"/>
      <c r="L1076" s="882"/>
      <c r="M1076" s="40"/>
      <c r="N1076" s="41"/>
      <c r="O1076" s="41"/>
      <c r="X1076" s="817"/>
      <c r="Y1076" s="1100"/>
      <c r="Z1076" s="1102"/>
    </row>
    <row r="1077" spans="1:45" ht="15" customHeight="1" x14ac:dyDescent="0.35">
      <c r="A1077" s="366">
        <v>7</v>
      </c>
      <c r="B1077" s="738" t="s">
        <v>886</v>
      </c>
      <c r="C1077" s="738"/>
      <c r="D1077" s="731"/>
      <c r="E1077" s="731"/>
      <c r="F1077" s="731"/>
      <c r="G1077" s="366" t="s">
        <v>3973</v>
      </c>
      <c r="H1077" s="366" t="s">
        <v>3972</v>
      </c>
      <c r="I1077" s="330" t="s">
        <v>886</v>
      </c>
      <c r="J1077" s="286"/>
      <c r="K1077" s="286"/>
      <c r="L1077" s="883" t="s">
        <v>4260</v>
      </c>
      <c r="M1077" s="40"/>
      <c r="N1077" s="41"/>
      <c r="O1077" s="41"/>
      <c r="X1077" s="817"/>
      <c r="Y1077" s="1100"/>
      <c r="Z1077" s="1102"/>
    </row>
    <row r="1078" spans="1:45" x14ac:dyDescent="0.35">
      <c r="A1078" s="366">
        <v>7</v>
      </c>
      <c r="B1078" s="738" t="s">
        <v>886</v>
      </c>
      <c r="C1078" s="738"/>
      <c r="D1078" s="731"/>
      <c r="E1078" s="731"/>
      <c r="F1078" s="731"/>
      <c r="G1078" s="366" t="s">
        <v>3973</v>
      </c>
      <c r="H1078" s="366" t="s">
        <v>3972</v>
      </c>
      <c r="I1078" s="4"/>
      <c r="J1078" s="90"/>
      <c r="K1078" s="90"/>
      <c r="L1078" s="881"/>
      <c r="M1078" s="40"/>
      <c r="N1078" s="41"/>
      <c r="O1078" s="41"/>
      <c r="X1078" s="817"/>
      <c r="Y1078" s="1100"/>
      <c r="Z1078" s="1102"/>
    </row>
    <row r="1079" spans="1:45" x14ac:dyDescent="0.35">
      <c r="A1079" s="366">
        <v>7</v>
      </c>
      <c r="B1079" s="738" t="s">
        <v>886</v>
      </c>
      <c r="C1079" s="738"/>
      <c r="D1079" s="731"/>
      <c r="E1079" s="731"/>
      <c r="F1079" s="731"/>
      <c r="G1079" s="366" t="s">
        <v>3973</v>
      </c>
      <c r="H1079" s="366" t="s">
        <v>3972</v>
      </c>
      <c r="I1079" s="4"/>
      <c r="J1079" s="90"/>
      <c r="K1079" s="90"/>
      <c r="L1079" s="881"/>
      <c r="M1079" s="40"/>
      <c r="N1079" s="41"/>
      <c r="O1079" s="41"/>
      <c r="X1079" s="817"/>
      <c r="Y1079" s="1100"/>
      <c r="Z1079" s="1102"/>
    </row>
    <row r="1080" spans="1:45" x14ac:dyDescent="0.35">
      <c r="A1080" s="366">
        <v>7</v>
      </c>
      <c r="B1080" s="738" t="s">
        <v>886</v>
      </c>
      <c r="C1080" s="738"/>
      <c r="D1080" s="731"/>
      <c r="E1080" s="731"/>
      <c r="F1080" s="731"/>
      <c r="G1080" s="366" t="s">
        <v>3973</v>
      </c>
      <c r="H1080" s="366" t="s">
        <v>3972</v>
      </c>
      <c r="I1080" s="133"/>
      <c r="J1080" s="228"/>
      <c r="K1080" s="228"/>
      <c r="L1080" s="882"/>
      <c r="M1080" s="268"/>
      <c r="N1080" s="546"/>
      <c r="O1080" s="546"/>
      <c r="P1080" s="104"/>
      <c r="Q1080" s="104"/>
      <c r="R1080" s="104"/>
      <c r="S1080" s="104"/>
      <c r="T1080" s="104"/>
      <c r="U1080" s="104"/>
      <c r="V1080" s="104"/>
      <c r="X1080" s="817"/>
      <c r="Y1080" s="1100"/>
      <c r="Z1080" s="1102"/>
    </row>
    <row r="1081" spans="1:45" ht="15" customHeight="1" x14ac:dyDescent="0.35">
      <c r="A1081" s="366">
        <v>7</v>
      </c>
      <c r="B1081" s="738" t="s">
        <v>887</v>
      </c>
      <c r="C1081" s="735"/>
      <c r="D1081" s="731"/>
      <c r="E1081" s="731"/>
      <c r="F1081" s="731"/>
      <c r="G1081" s="366" t="s">
        <v>3973</v>
      </c>
      <c r="H1081" s="366" t="s">
        <v>3972</v>
      </c>
      <c r="I1081" s="32" t="s">
        <v>887</v>
      </c>
      <c r="J1081" s="90"/>
      <c r="K1081" s="90"/>
      <c r="L1081" s="881" t="s">
        <v>4261</v>
      </c>
      <c r="M1081" s="885" t="str">
        <f ca="1">IF(R1081,"Mandatory","N/A")</f>
        <v>N/A</v>
      </c>
      <c r="N1081" s="41"/>
      <c r="O1081" s="41"/>
      <c r="P1081" t="b">
        <v>0</v>
      </c>
      <c r="Q1081" t="b">
        <v>1</v>
      </c>
      <c r="R1081" t="b">
        <f ca="1">AND(S1081,NOT(BI886="Tropical"))</f>
        <v>0</v>
      </c>
      <c r="S1081" t="b">
        <f ca="1">(S883=2)</f>
        <v>0</v>
      </c>
      <c r="T1081" t="b">
        <f ca="1">AND(W1081=TRUE, OR(NOT(S1081), MAX(W975,W1493)&gt;T1082, MAX(W978,W1495)&gt;T1083))</f>
        <v>0</v>
      </c>
      <c r="W1081" s="17"/>
      <c r="X1081" s="817"/>
      <c r="Y1081" s="1100" t="str">
        <f>IF(LEN('Ch7'!X211)=0,"None",'Ch7'!X211)</f>
        <v>None</v>
      </c>
      <c r="Z1081" s="1102"/>
      <c r="AC1081" t="b">
        <f ca="1">OR(AD1081:AE1081)</f>
        <v>0</v>
      </c>
      <c r="AD1081" t="b">
        <f ca="1">T1081</f>
        <v>0</v>
      </c>
      <c r="AE1081" t="b">
        <f ca="1">AND(R1081,OR(W1081="Not Met",W1081=""))</f>
        <v>0</v>
      </c>
      <c r="AL1081" t="str">
        <f>SUBSTITUTE(SUBSTITUTE(SUBSTITUTE("vpa"&amp;$B1081&amp;$C1081&amp;$D1081&amp;$E1081,".","_"),"(","_"),")","")</f>
        <v>vpa703_1_2</v>
      </c>
      <c r="AM1081" t="str">
        <f ca="1">M1081</f>
        <v>N/A</v>
      </c>
      <c r="AP1081" t="str">
        <f>SUBSTITUTE(SUBSTITUTE(SUBSTITUTE("vch"&amp;$B1081&amp;$C1081&amp;$D1081&amp;$E1081,".","_"),"(","_"),")","")</f>
        <v>vch703_1_2</v>
      </c>
      <c r="AQ1081" t="str">
        <f>IF(LEN(W1081)=0,"",W1081)</f>
        <v/>
      </c>
      <c r="AR1081" t="str">
        <f>SUBSTITUTE(SUBSTITUTE(SUBSTITUTE("vnt"&amp;$B1081&amp;$C1081&amp;$D1081&amp;$E1081,".","_"),"(","_"),")","")</f>
        <v>vnt703_1_2</v>
      </c>
      <c r="AS1081" t="str">
        <f>IF(LEN(X1081)=0,"",X1081)</f>
        <v/>
      </c>
    </row>
    <row r="1082" spans="1:45" x14ac:dyDescent="0.35">
      <c r="A1082" s="366">
        <v>7</v>
      </c>
      <c r="B1082" s="738" t="s">
        <v>887</v>
      </c>
      <c r="C1082" s="735"/>
      <c r="D1082" s="731"/>
      <c r="E1082" s="731"/>
      <c r="F1082" s="731"/>
      <c r="G1082" s="366" t="s">
        <v>3973</v>
      </c>
      <c r="H1082" s="366" t="s">
        <v>3972</v>
      </c>
      <c r="I1082" s="4"/>
      <c r="J1082" s="90"/>
      <c r="K1082" s="90"/>
      <c r="L1082" s="881"/>
      <c r="M1082" s="885"/>
      <c r="N1082" s="41"/>
      <c r="O1082" s="41"/>
      <c r="S1082" s="242" t="s">
        <v>6089</v>
      </c>
      <c r="T1082" s="1">
        <f>IF(BF886&lt;=2, 3, 5)</f>
        <v>5</v>
      </c>
      <c r="X1082" s="817"/>
      <c r="Y1082" s="1100"/>
      <c r="Z1082" s="1102"/>
    </row>
    <row r="1083" spans="1:45" x14ac:dyDescent="0.35">
      <c r="A1083" s="366">
        <v>7</v>
      </c>
      <c r="B1083" s="738" t="s">
        <v>887</v>
      </c>
      <c r="C1083" s="735"/>
      <c r="D1083" s="731"/>
      <c r="E1083" s="731"/>
      <c r="F1083" s="731"/>
      <c r="G1083" s="366" t="s">
        <v>3973</v>
      </c>
      <c r="H1083" s="366" t="s">
        <v>3972</v>
      </c>
      <c r="I1083" s="133"/>
      <c r="J1083" s="228"/>
      <c r="K1083" s="228"/>
      <c r="L1083" s="284" t="s">
        <v>3530</v>
      </c>
      <c r="M1083" s="268"/>
      <c r="N1083" s="546"/>
      <c r="O1083" s="546"/>
      <c r="P1083" s="104"/>
      <c r="Q1083" s="104"/>
      <c r="R1083" s="104"/>
      <c r="S1083" s="541" t="s">
        <v>6090</v>
      </c>
      <c r="T1083" s="327">
        <f>IF(AY898&gt;=5, 0.4, IF(BF886&lt;=2, 0.33, 0.23))</f>
        <v>0.23</v>
      </c>
      <c r="U1083" s="104"/>
      <c r="V1083" s="104"/>
      <c r="X1083" s="817"/>
      <c r="Y1083" s="1100"/>
      <c r="Z1083" s="1102"/>
    </row>
    <row r="1084" spans="1:45" ht="15" customHeight="1" x14ac:dyDescent="0.35">
      <c r="A1084" s="366">
        <v>7</v>
      </c>
      <c r="B1084" s="738" t="s">
        <v>888</v>
      </c>
      <c r="C1084" s="735"/>
      <c r="D1084" s="731"/>
      <c r="E1084" s="731"/>
      <c r="F1084" s="731"/>
      <c r="G1084" s="366" t="s">
        <v>3973</v>
      </c>
      <c r="H1084" s="366" t="s">
        <v>3970</v>
      </c>
      <c r="I1084" s="32" t="s">
        <v>888</v>
      </c>
      <c r="J1084" s="90"/>
      <c r="K1084" s="90"/>
      <c r="L1084" s="838" t="s">
        <v>5118</v>
      </c>
      <c r="M1084" s="885" t="str">
        <f ca="1">IF(R1084,"Mandatory","N/A")</f>
        <v>N/A</v>
      </c>
      <c r="N1084" s="41"/>
      <c r="O1084" s="41"/>
      <c r="P1084" t="b">
        <v>1</v>
      </c>
      <c r="Q1084" t="b">
        <v>1</v>
      </c>
      <c r="R1084" t="b">
        <f ca="1">AND(S1084,NOT(AND(AY889="Multifamily",AY898&gt;3)),NOT(BI886="Tropical"))</f>
        <v>0</v>
      </c>
      <c r="S1084" t="b">
        <f ca="1">AND(S883=2,NOT(AND(AY909=INDEX(INDIRECT('Overview (Design)'!$E$38),3),AY913=INDEX(INDIRECT('Overview (Design)'!$E$42),3))))</f>
        <v>0</v>
      </c>
      <c r="T1084" t="b">
        <f ca="1">AND(NOT(S1084),LEN(W1084)&gt;0)</f>
        <v>0</v>
      </c>
      <c r="U1084" s="120" t="str">
        <f>SUBSTITUTE(SUBSTITUTE(SUBSTITUTE("dd"&amp;B1084&amp;C1084&amp;D1084&amp;E1084&amp;F1084,".","_"),"(","_"),")","")</f>
        <v>dd703_1_3</v>
      </c>
      <c r="W1084" s="9"/>
      <c r="X1084" s="817"/>
      <c r="Y1084" s="1100" t="str">
        <f>IF(LEN('Ch7'!X214)=0,"None",'Ch7'!X214)</f>
        <v>None</v>
      </c>
      <c r="Z1084" s="1102"/>
      <c r="AC1084" t="b">
        <f ca="1">OR(AD1084:AE1084)</f>
        <v>0</v>
      </c>
      <c r="AD1084" t="b">
        <f ca="1">T1084</f>
        <v>0</v>
      </c>
      <c r="AE1084" t="b">
        <f ca="1">AND(R1084,OR(W1084="Not Met",W1084=""))</f>
        <v>0</v>
      </c>
      <c r="AL1084" t="str">
        <f>SUBSTITUTE(SUBSTITUTE(SUBSTITUTE("vpa"&amp;$B1084&amp;$C1084&amp;$D1084&amp;$E1084,".","_"),"(","_"),")","")</f>
        <v>vpa703_1_3</v>
      </c>
      <c r="AM1084" t="str">
        <f ca="1">M1084</f>
        <v>N/A</v>
      </c>
      <c r="AP1084" t="str">
        <f>SUBSTITUTE(SUBSTITUTE(SUBSTITUTE("vch"&amp;$B1084&amp;$C1084&amp;$D1084&amp;$E1084,".","_"),"(","_"),")","")</f>
        <v>vch703_1_3</v>
      </c>
      <c r="AQ1084" t="str">
        <f>IF(LEN(W1084)=0,"",W1084)</f>
        <v/>
      </c>
      <c r="AR1084" t="str">
        <f>SUBSTITUTE(SUBSTITUTE(SUBSTITUTE("vnt"&amp;$B1084&amp;$C1084&amp;$D1084&amp;$E1084,".","_"),"(","_"),")","")</f>
        <v>vnt703_1_3</v>
      </c>
      <c r="AS1084" t="str">
        <f>IF(LEN(X1084)=0,"",X1084)</f>
        <v/>
      </c>
    </row>
    <row r="1085" spans="1:45" ht="15" customHeight="1" x14ac:dyDescent="0.35">
      <c r="A1085" s="366">
        <v>7</v>
      </c>
      <c r="B1085" s="738" t="s">
        <v>888</v>
      </c>
      <c r="C1085" s="735"/>
      <c r="D1085" s="731"/>
      <c r="E1085" s="731"/>
      <c r="F1085" s="731"/>
      <c r="G1085" s="366" t="s">
        <v>3973</v>
      </c>
      <c r="H1085" s="366" t="s">
        <v>3971</v>
      </c>
      <c r="I1085" s="32"/>
      <c r="J1085" s="90"/>
      <c r="K1085" s="90"/>
      <c r="L1085" s="838"/>
      <c r="M1085" s="885"/>
      <c r="N1085" s="41"/>
      <c r="O1085" s="41"/>
      <c r="W1085" t="s">
        <v>5738</v>
      </c>
      <c r="X1085" s="817"/>
      <c r="Y1085" s="1119"/>
      <c r="Z1085" s="1105"/>
    </row>
    <row r="1086" spans="1:45" ht="15" customHeight="1" x14ac:dyDescent="0.35">
      <c r="A1086" s="366">
        <v>7</v>
      </c>
      <c r="B1086" s="738" t="s">
        <v>888</v>
      </c>
      <c r="C1086" s="735" t="s">
        <v>4856</v>
      </c>
      <c r="D1086" s="731"/>
      <c r="E1086" s="731"/>
      <c r="F1086" s="731"/>
      <c r="G1086" s="366" t="s">
        <v>3973</v>
      </c>
      <c r="H1086" s="366" t="s">
        <v>3971</v>
      </c>
      <c r="I1086" s="32"/>
      <c r="J1086" s="90"/>
      <c r="K1086" s="90"/>
      <c r="L1086" s="838"/>
      <c r="M1086" s="885"/>
      <c r="N1086" s="41"/>
      <c r="O1086" s="41"/>
      <c r="P1086" t="b">
        <v>1</v>
      </c>
      <c r="Q1086" t="b">
        <v>0</v>
      </c>
      <c r="R1086" t="b">
        <f ca="1">W1084=INDEX(INDIRECT(U1084),1)</f>
        <v>0</v>
      </c>
      <c r="S1086" t="b">
        <f ca="1">S1084</f>
        <v>0</v>
      </c>
      <c r="T1086" t="b">
        <f ca="1">AND(NOT(S1086),LEN(W1086)&gt;0)</f>
        <v>0</v>
      </c>
      <c r="W1086" s="97"/>
      <c r="X1086" s="817"/>
      <c r="Y1086" s="1119"/>
      <c r="Z1086" s="1105"/>
      <c r="AC1086" t="b">
        <f ca="1">OR(AD1086:AE1086)</f>
        <v>0</v>
      </c>
      <c r="AD1086" t="b">
        <f ca="1">T1086</f>
        <v>0</v>
      </c>
      <c r="AE1086" t="b">
        <f ca="1">AND(R1086,OR(W1086="Not Met",W1086=""))</f>
        <v>0</v>
      </c>
      <c r="AF1086" t="b">
        <f ca="1">AND(AE1086,NOT(Q1086))</f>
        <v>0</v>
      </c>
      <c r="AP1086" t="str">
        <f>SUBSTITUTE(SUBSTITUTE(SUBSTITUTE("vch"&amp;$B1086&amp;$C1086&amp;$D1086&amp;$E1086,".","_"),"(","_"),")","")</f>
        <v>vch703_1_3_1</v>
      </c>
      <c r="AQ1086" t="str">
        <f>IF(LEN(W1086)=0,"",W1086)</f>
        <v/>
      </c>
    </row>
    <row r="1087" spans="1:45" ht="15" customHeight="1" x14ac:dyDescent="0.35">
      <c r="A1087" s="366">
        <v>7</v>
      </c>
      <c r="B1087" s="738" t="s">
        <v>888</v>
      </c>
      <c r="C1087" s="735"/>
      <c r="D1087" s="731"/>
      <c r="E1087" s="731"/>
      <c r="F1087" s="731"/>
      <c r="G1087" s="366" t="s">
        <v>3973</v>
      </c>
      <c r="H1087" s="366" t="s">
        <v>3972</v>
      </c>
      <c r="I1087" s="32"/>
      <c r="J1087" s="90"/>
      <c r="K1087" s="90"/>
      <c r="L1087" s="838"/>
      <c r="M1087" s="885"/>
      <c r="N1087" s="41"/>
      <c r="O1087" s="41"/>
      <c r="W1087" t="s">
        <v>5739</v>
      </c>
      <c r="X1087" s="817"/>
      <c r="Y1087" s="1119"/>
      <c r="Z1087" s="1105"/>
    </row>
    <row r="1088" spans="1:45" ht="15" thickBot="1" x14ac:dyDescent="0.4">
      <c r="A1088" s="366">
        <v>7</v>
      </c>
      <c r="B1088" s="738" t="s">
        <v>888</v>
      </c>
      <c r="C1088" s="735" t="s">
        <v>4857</v>
      </c>
      <c r="D1088" s="731"/>
      <c r="E1088" s="731"/>
      <c r="F1088" s="731"/>
      <c r="G1088" s="366" t="s">
        <v>3973</v>
      </c>
      <c r="H1088" s="366" t="s">
        <v>3972</v>
      </c>
      <c r="I1088" s="160"/>
      <c r="J1088" s="229"/>
      <c r="K1088" s="229"/>
      <c r="L1088" s="849"/>
      <c r="M1088" s="886"/>
      <c r="N1088" s="72"/>
      <c r="O1088" s="72"/>
      <c r="P1088" s="55" t="b">
        <v>0</v>
      </c>
      <c r="Q1088" s="55" t="b">
        <v>1</v>
      </c>
      <c r="R1088" s="55" t="b">
        <f ca="1">W1084=INDEX(INDIRECT(U1084),1)</f>
        <v>0</v>
      </c>
      <c r="S1088" s="55" t="b">
        <f ca="1">S1084</f>
        <v>0</v>
      </c>
      <c r="T1088" t="b">
        <f ca="1">AND(NOT(S1088),LEN(W1088)&gt;0)</f>
        <v>0</v>
      </c>
      <c r="U1088" s="55"/>
      <c r="V1088" s="55"/>
      <c r="W1088" s="675"/>
      <c r="X1088" s="829"/>
      <c r="Y1088" s="1101"/>
      <c r="Z1088" s="1104"/>
      <c r="AC1088" t="b">
        <f ca="1">OR(AD1088:AE1088)</f>
        <v>0</v>
      </c>
      <c r="AD1088" t="b">
        <f ca="1">T1088</f>
        <v>0</v>
      </c>
      <c r="AE1088" t="b">
        <f ca="1">AND(R1088,OR(W1088="Not Met",W1088=""))</f>
        <v>0</v>
      </c>
      <c r="AP1088" t="str">
        <f>SUBSTITUTE(SUBSTITUTE(SUBSTITUTE("vch"&amp;$B1088&amp;$C1088&amp;$D1088&amp;$E1088,".","_"),"(","_"),")","")</f>
        <v>vch703_1_3_2</v>
      </c>
      <c r="AQ1088" t="str">
        <f>IF(LEN(W1088)=0,"",W1088)</f>
        <v/>
      </c>
    </row>
    <row r="1089" spans="1:45" ht="15" thickTop="1" x14ac:dyDescent="0.35">
      <c r="A1089" s="366">
        <v>7</v>
      </c>
      <c r="B1089" s="738">
        <v>703.2</v>
      </c>
      <c r="C1089" s="735"/>
      <c r="D1089" s="731"/>
      <c r="E1089" s="731"/>
      <c r="F1089" s="731"/>
      <c r="G1089" s="727" t="str">
        <f ca="1">IF(COUNTIF(G1090:G1122,"P")&gt;0,"P","")</f>
        <v/>
      </c>
      <c r="H1089" s="366" t="s">
        <v>3970</v>
      </c>
      <c r="I1089" s="30">
        <v>703.2</v>
      </c>
      <c r="J1089" s="90"/>
      <c r="K1089" s="90"/>
      <c r="L1089" s="95" t="s">
        <v>889</v>
      </c>
      <c r="M1089" s="40"/>
      <c r="N1089" s="41"/>
      <c r="O1089" s="41"/>
    </row>
    <row r="1090" spans="1:45" ht="15" customHeight="1" x14ac:dyDescent="0.35">
      <c r="A1090" s="366">
        <v>7</v>
      </c>
      <c r="B1090" s="738" t="s">
        <v>890</v>
      </c>
      <c r="C1090" s="735"/>
      <c r="D1090" s="731"/>
      <c r="E1090" s="731"/>
      <c r="F1090" s="731"/>
      <c r="G1090" s="366" t="str">
        <f>IF(N1090&gt;0,"P","")</f>
        <v/>
      </c>
      <c r="H1090" s="366" t="s">
        <v>3972</v>
      </c>
      <c r="I1090" s="30" t="s">
        <v>890</v>
      </c>
      <c r="J1090" s="90"/>
      <c r="K1090" s="90"/>
      <c r="L1090" s="881" t="s">
        <v>4262</v>
      </c>
      <c r="M1090" s="780" t="s">
        <v>891</v>
      </c>
      <c r="N1090" s="834">
        <f>'Ch7'!O220</f>
        <v>0</v>
      </c>
      <c r="O1090" s="834">
        <f>W1090*IFERROR(Formulas!$C$19,0)</f>
        <v>0</v>
      </c>
      <c r="P1090" t="b">
        <v>0</v>
      </c>
      <c r="Q1090" t="b">
        <v>1</v>
      </c>
      <c r="R1090" t="b">
        <v>0</v>
      </c>
      <c r="S1090" t="b">
        <f ca="1">(S883=2)</f>
        <v>0</v>
      </c>
      <c r="T1090" t="b">
        <f ca="1">AND(NOT(S1090),W1090=TRUE)</f>
        <v>0</v>
      </c>
      <c r="W1090" s="17"/>
      <c r="X1090" s="817"/>
      <c r="Y1090" s="1100" t="str">
        <f>IF(LEN('Ch7'!X220)=0,"None",'Ch7'!X220)</f>
        <v>None</v>
      </c>
      <c r="Z1090" s="1102"/>
      <c r="AC1090" t="b">
        <f ca="1">OR(AD1090:AE1090)</f>
        <v>0</v>
      </c>
      <c r="AD1090" t="b">
        <f ca="1">T1090</f>
        <v>0</v>
      </c>
      <c r="AL1090" t="str">
        <f>SUBSTITUTE(SUBSTITUTE(SUBSTITUTE("vpa"&amp;$B1090&amp;$C1090&amp;$D1090&amp;$E1090,".","_"),"(","_"),")","")</f>
        <v>vpa703_2_1</v>
      </c>
      <c r="AM1090" t="str">
        <f>M1090</f>
        <v>Per Table 703.2.1(b)</v>
      </c>
      <c r="AN1090" t="str">
        <f>SUBSTITUTE(SUBSTITUTE(SUBSTITUTE("vpc"&amp;$B1090&amp;$C1090&amp;$D1090&amp;$E1090,".","_"),"(","_"),")","")</f>
        <v>vpc703_2_1</v>
      </c>
      <c r="AO1090">
        <f>O1090</f>
        <v>0</v>
      </c>
      <c r="AP1090" t="str">
        <f>SUBSTITUTE(SUBSTITUTE(SUBSTITUTE("vch"&amp;$B1090&amp;$C1090&amp;$D1090&amp;$E1090,".","_"),"(","_"),")","")</f>
        <v>vch703_2_1</v>
      </c>
      <c r="AQ1090" t="str">
        <f>IF(LEN(W1090)=0,"",W1090)</f>
        <v/>
      </c>
      <c r="AR1090" t="str">
        <f>SUBSTITUTE(SUBSTITUTE(SUBSTITUTE("vnt"&amp;$B1090&amp;$C1090&amp;$D1090&amp;$E1090,".","_"),"(","_"),")","")</f>
        <v>vnt703_2_1</v>
      </c>
      <c r="AS1090" t="str">
        <f>IF(LEN(X1090)=0,"",X1090)</f>
        <v/>
      </c>
    </row>
    <row r="1091" spans="1:45" x14ac:dyDescent="0.35">
      <c r="A1091" s="366">
        <v>7</v>
      </c>
      <c r="B1091" s="738" t="s">
        <v>890</v>
      </c>
      <c r="C1091" s="735"/>
      <c r="D1091" s="731"/>
      <c r="E1091" s="731"/>
      <c r="F1091" s="731"/>
      <c r="G1091" s="366" t="str">
        <f t="shared" ref="G1091:G1096" si="69">G1090</f>
        <v/>
      </c>
      <c r="H1091" s="366" t="s">
        <v>3972</v>
      </c>
      <c r="I1091" s="4"/>
      <c r="J1091" s="90"/>
      <c r="K1091" s="90"/>
      <c r="L1091" s="881"/>
      <c r="M1091" s="780"/>
      <c r="N1091" s="834"/>
      <c r="O1091" s="834"/>
      <c r="W1091" t="s">
        <v>3533</v>
      </c>
      <c r="X1091" s="817"/>
      <c r="Y1091" s="1100"/>
      <c r="Z1091" s="1102"/>
    </row>
    <row r="1092" spans="1:45" x14ac:dyDescent="0.35">
      <c r="A1092" s="366">
        <v>7</v>
      </c>
      <c r="B1092" s="738" t="s">
        <v>890</v>
      </c>
      <c r="C1092" s="731" t="s">
        <v>258</v>
      </c>
      <c r="D1092" s="743"/>
      <c r="E1092" s="731"/>
      <c r="F1092" s="731"/>
      <c r="G1092" s="366" t="str">
        <f t="shared" si="69"/>
        <v/>
      </c>
      <c r="H1092" s="366" t="s">
        <v>3972</v>
      </c>
      <c r="I1092" s="4"/>
      <c r="J1092" s="90"/>
      <c r="K1092" s="90"/>
      <c r="L1092" s="881"/>
      <c r="M1092" s="780"/>
      <c r="N1092" s="834"/>
      <c r="O1092" s="834"/>
      <c r="P1092" t="b">
        <v>0</v>
      </c>
      <c r="Q1092" t="b">
        <v>1</v>
      </c>
      <c r="R1092" t="b">
        <v>0</v>
      </c>
      <c r="S1092" t="b">
        <f ca="1">(S883=2)</f>
        <v>0</v>
      </c>
      <c r="T1092" t="b">
        <f ca="1">AND(NOT(S1092),LEN(W1092)&gt;0)</f>
        <v>0</v>
      </c>
      <c r="W1092" s="97"/>
      <c r="X1092" s="817"/>
      <c r="Y1092" s="1100"/>
      <c r="Z1092" s="1102"/>
      <c r="AC1092" t="b">
        <f ca="1">OR(AD1092:AE1092)</f>
        <v>0</v>
      </c>
      <c r="AD1092" t="b">
        <f ca="1">T1092</f>
        <v>0</v>
      </c>
      <c r="AP1092" t="str">
        <f>SUBSTITUTE(SUBSTITUTE(SUBSTITUTE("vch"&amp;$B1092&amp;$C1092&amp;$D1092&amp;$E1092,".","_"),"(","_"),")","")</f>
        <v>vch703_2_1_2</v>
      </c>
      <c r="AQ1092" t="str">
        <f>IF(LEN(W1092)=0,"",W1092)</f>
        <v/>
      </c>
    </row>
    <row r="1093" spans="1:45" x14ac:dyDescent="0.35">
      <c r="A1093" s="366">
        <v>7</v>
      </c>
      <c r="B1093" s="738" t="s">
        <v>890</v>
      </c>
      <c r="C1093" s="735"/>
      <c r="D1093" s="731"/>
      <c r="E1093" s="731"/>
      <c r="F1093" s="731"/>
      <c r="G1093" s="366" t="str">
        <f t="shared" si="69"/>
        <v/>
      </c>
      <c r="H1093" s="366" t="s">
        <v>3972</v>
      </c>
      <c r="I1093" s="4"/>
      <c r="J1093" s="90"/>
      <c r="K1093" s="90"/>
      <c r="L1093" s="881"/>
      <c r="M1093" s="780"/>
      <c r="N1093" s="834"/>
      <c r="O1093" s="834"/>
      <c r="X1093" s="817"/>
      <c r="Y1093" s="1100"/>
      <c r="Z1093" s="1102"/>
    </row>
    <row r="1094" spans="1:45" x14ac:dyDescent="0.35">
      <c r="A1094" s="366">
        <v>7</v>
      </c>
      <c r="B1094" s="738" t="s">
        <v>890</v>
      </c>
      <c r="C1094" s="735"/>
      <c r="D1094" s="731"/>
      <c r="E1094" s="731"/>
      <c r="F1094" s="731"/>
      <c r="G1094" s="366" t="str">
        <f t="shared" si="69"/>
        <v/>
      </c>
      <c r="H1094" s="366" t="s">
        <v>3972</v>
      </c>
      <c r="I1094" s="4"/>
      <c r="J1094" s="90"/>
      <c r="K1094" s="90"/>
      <c r="L1094" s="881"/>
      <c r="M1094" s="780"/>
      <c r="N1094" s="834"/>
      <c r="O1094" s="834"/>
      <c r="X1094" s="817"/>
      <c r="Y1094" s="1100"/>
      <c r="Z1094" s="1102"/>
    </row>
    <row r="1095" spans="1:45" x14ac:dyDescent="0.35">
      <c r="A1095" s="366">
        <v>7</v>
      </c>
      <c r="B1095" s="738" t="s">
        <v>890</v>
      </c>
      <c r="C1095" s="735"/>
      <c r="D1095" s="731"/>
      <c r="E1095" s="731"/>
      <c r="F1095" s="731"/>
      <c r="G1095" s="366" t="str">
        <f t="shared" si="69"/>
        <v/>
      </c>
      <c r="H1095" s="366" t="s">
        <v>3972</v>
      </c>
      <c r="I1095" s="4"/>
      <c r="J1095" s="90"/>
      <c r="K1095" s="90"/>
      <c r="L1095" s="881"/>
      <c r="M1095" s="780"/>
      <c r="N1095" s="834"/>
      <c r="O1095" s="834"/>
      <c r="X1095" s="817"/>
      <c r="Y1095" s="1100"/>
      <c r="Z1095" s="1102"/>
    </row>
    <row r="1096" spans="1:45" x14ac:dyDescent="0.35">
      <c r="A1096" s="366">
        <v>7</v>
      </c>
      <c r="B1096" s="738" t="s">
        <v>890</v>
      </c>
      <c r="C1096" s="735"/>
      <c r="D1096" s="731"/>
      <c r="E1096" s="731"/>
      <c r="F1096" s="731"/>
      <c r="G1096" s="366" t="str">
        <f t="shared" si="69"/>
        <v/>
      </c>
      <c r="H1096" s="366" t="s">
        <v>3972</v>
      </c>
      <c r="I1096" s="133"/>
      <c r="J1096" s="228"/>
      <c r="K1096" s="228"/>
      <c r="L1096" s="323" t="s">
        <v>3531</v>
      </c>
      <c r="M1096" s="285"/>
      <c r="N1096" s="546"/>
      <c r="O1096" s="546"/>
      <c r="P1096" s="104"/>
      <c r="Q1096" s="104"/>
      <c r="R1096" s="104"/>
      <c r="S1096" s="104"/>
      <c r="T1096" s="104"/>
      <c r="U1096" s="104"/>
      <c r="V1096" s="104"/>
      <c r="W1096" s="335"/>
      <c r="X1096" s="817"/>
      <c r="Y1096" s="1100"/>
      <c r="Z1096" s="1102"/>
    </row>
    <row r="1097" spans="1:45" ht="15" customHeight="1" x14ac:dyDescent="0.35">
      <c r="A1097" s="366">
        <v>7</v>
      </c>
      <c r="B1097" s="738" t="s">
        <v>892</v>
      </c>
      <c r="C1097" s="735"/>
      <c r="D1097" s="731"/>
      <c r="E1097" s="731"/>
      <c r="F1097" s="731"/>
      <c r="G1097" s="366" t="str">
        <f>IF(N1097&gt;0,"P","")</f>
        <v/>
      </c>
      <c r="H1097" s="366" t="s">
        <v>3970</v>
      </c>
      <c r="I1097" s="117" t="s">
        <v>892</v>
      </c>
      <c r="J1097" s="286"/>
      <c r="K1097" s="286"/>
      <c r="L1097" s="905" t="s">
        <v>893</v>
      </c>
      <c r="M1097" s="915" t="s">
        <v>894</v>
      </c>
      <c r="N1097" s="963">
        <f>'Ch7'!O227</f>
        <v>0</v>
      </c>
      <c r="O1097" s="963">
        <f>IF(ROUND(W1098,0)&gt;=6,INDEX({3,3,3,3,2,2,0,0},BF886),IF(ROUND(W1098,0)&gt;=3,INDEX({1,1,1,1,0,0,0,0},BF886),0))</f>
        <v>0</v>
      </c>
      <c r="P1097" s="120"/>
      <c r="Q1097" s="120"/>
      <c r="R1097" s="120"/>
      <c r="S1097" s="120"/>
      <c r="T1097" s="120"/>
      <c r="U1097" s="120"/>
      <c r="V1097" s="120"/>
      <c r="W1097" s="336" t="s">
        <v>3540</v>
      </c>
      <c r="X1097" s="817"/>
      <c r="Y1097" s="1100" t="str">
        <f>IF(LEN('Ch7'!X227)=0,"None",'Ch7'!X227)</f>
        <v>None</v>
      </c>
      <c r="Z1097" s="1102"/>
      <c r="AL1097" t="str">
        <f>SUBSTITUTE(SUBSTITUTE(SUBSTITUTE("vpa"&amp;$B1097&amp;$C1097&amp;$D1097&amp;$E1097,".","_"),"(","_"),")","")</f>
        <v>vpa703_2_2</v>
      </c>
      <c r="AM1097" t="str">
        <f>M1097</f>
        <v>Per Table 703.2.2</v>
      </c>
      <c r="AN1097" t="str">
        <f>SUBSTITUTE(SUBSTITUTE(SUBSTITUTE("vpc"&amp;$B1097&amp;$C1097&amp;$D1097&amp;$E1097,".","_"),"(","_"),")","")</f>
        <v>vpc703_2_2</v>
      </c>
      <c r="AO1097">
        <f>O1097</f>
        <v>0</v>
      </c>
      <c r="AR1097" t="str">
        <f>SUBSTITUTE(SUBSTITUTE(SUBSTITUTE("vnt"&amp;$B1097&amp;$C1097&amp;$D1097&amp;$E1097,".","_"),"(","_"),")","")</f>
        <v>vnt703_2_2</v>
      </c>
      <c r="AS1097" t="str">
        <f>IF(LEN(X1097)=0,"",X1097)</f>
        <v/>
      </c>
    </row>
    <row r="1098" spans="1:45" x14ac:dyDescent="0.35">
      <c r="A1098" s="366">
        <v>7</v>
      </c>
      <c r="B1098" s="738" t="s">
        <v>892</v>
      </c>
      <c r="C1098" s="735"/>
      <c r="D1098" s="731"/>
      <c r="E1098" s="731"/>
      <c r="F1098" s="731"/>
      <c r="G1098" s="366" t="str">
        <f>G1097</f>
        <v/>
      </c>
      <c r="H1098" s="366" t="s">
        <v>3970</v>
      </c>
      <c r="I1098" s="133"/>
      <c r="J1098" s="228"/>
      <c r="K1098" s="228"/>
      <c r="L1098" s="889"/>
      <c r="M1098" s="916"/>
      <c r="N1098" s="835"/>
      <c r="O1098" s="835"/>
      <c r="P1098" t="b">
        <v>1</v>
      </c>
      <c r="Q1098" t="b">
        <v>1</v>
      </c>
      <c r="R1098" s="104" t="b">
        <v>0</v>
      </c>
      <c r="S1098" s="104" t="b">
        <f ca="1">AND(S883=2,NOT(AY927="No"))</f>
        <v>0</v>
      </c>
      <c r="T1098" s="104" t="b">
        <f ca="1">AND(NOT(S1098),LEN(W1098)&gt;0)</f>
        <v>0</v>
      </c>
      <c r="U1098" s="104"/>
      <c r="V1098" s="104"/>
      <c r="W1098" s="217"/>
      <c r="X1098" s="817"/>
      <c r="Y1098" s="1100"/>
      <c r="Z1098" s="1102"/>
      <c r="AC1098" t="b">
        <f ca="1">OR(AD1098:AE1098)</f>
        <v>0</v>
      </c>
      <c r="AD1098" t="b">
        <f ca="1">T1098</f>
        <v>0</v>
      </c>
      <c r="AP1098" t="str">
        <f>SUBSTITUTE(SUBSTITUTE(SUBSTITUTE("vch"&amp;$B1098&amp;$C1098&amp;$D1098&amp;$E1098,".","_"),"(","_"),")","")</f>
        <v>vch703_2_2</v>
      </c>
      <c r="AQ1098" t="str">
        <f>IF(LEN(W1098)=0,"",W1098)</f>
        <v/>
      </c>
    </row>
    <row r="1099" spans="1:45" x14ac:dyDescent="0.35">
      <c r="A1099" s="366">
        <v>7</v>
      </c>
      <c r="B1099" s="738" t="s">
        <v>895</v>
      </c>
      <c r="C1099" s="735"/>
      <c r="D1099" s="731"/>
      <c r="E1099" s="731"/>
      <c r="F1099" s="731"/>
      <c r="G1099" s="366" t="str">
        <f ca="1">IF(N1099&gt;0,"P","")</f>
        <v/>
      </c>
      <c r="H1099" s="366" t="s">
        <v>3970</v>
      </c>
      <c r="I1099" s="117" t="s">
        <v>895</v>
      </c>
      <c r="J1099" s="286"/>
      <c r="K1099" s="286"/>
      <c r="L1099" s="905" t="s">
        <v>896</v>
      </c>
      <c r="M1099" s="917">
        <f>IFERROR(MIN(IF(AND(AY889=INDEX(ddSingleOrMulti,2),AY898&gt;3,BF886&lt;4),1,3),IF(BI886="Tropical",3,INDEX({2,3,3,1,1,0,0},BF886))),0)</f>
        <v>0</v>
      </c>
      <c r="N1099" s="963">
        <f ca="1">'Ch7'!O229</f>
        <v>0</v>
      </c>
      <c r="O1099" s="963">
        <f ca="1">M1099*S1099*W1099</f>
        <v>0</v>
      </c>
      <c r="P1099" t="b">
        <v>1</v>
      </c>
      <c r="Q1099" t="b">
        <v>1</v>
      </c>
      <c r="R1099" s="120" t="b">
        <v>0</v>
      </c>
      <c r="S1099" s="120" t="b">
        <f ca="1">(S883=2)</f>
        <v>0</v>
      </c>
      <c r="T1099" s="120" t="b">
        <f ca="1">AND(NOT(S1099),W1099=TRUE)</f>
        <v>0</v>
      </c>
      <c r="U1099" s="120"/>
      <c r="V1099" s="120"/>
      <c r="W1099" s="17"/>
      <c r="X1099" s="817"/>
      <c r="Y1099" s="1100" t="str">
        <f>IF(LEN('Ch7'!X229)=0,"None",'Ch7'!X229)</f>
        <v>None</v>
      </c>
      <c r="Z1099" s="1102"/>
      <c r="AC1099" t="b">
        <f ca="1">OR(AD1099:AE1099)</f>
        <v>0</v>
      </c>
      <c r="AD1099" t="b">
        <f ca="1">T1099</f>
        <v>0</v>
      </c>
      <c r="AL1099" t="str">
        <f>SUBSTITUTE(SUBSTITUTE(SUBSTITUTE("vpa"&amp;$B1099&amp;$C1099&amp;$D1099&amp;$E1099,".","_"),"(","_"),")","")</f>
        <v>vpa703_2_3</v>
      </c>
      <c r="AM1099">
        <f>M1099</f>
        <v>0</v>
      </c>
      <c r="AN1099" t="str">
        <f>SUBSTITUTE(SUBSTITUTE(SUBSTITUTE("vpc"&amp;$B1099&amp;$C1099&amp;$D1099&amp;$E1099,".","_"),"(","_"),")","")</f>
        <v>vpc703_2_3</v>
      </c>
      <c r="AO1099">
        <f ca="1">O1099</f>
        <v>0</v>
      </c>
      <c r="AP1099" t="str">
        <f>SUBSTITUTE(SUBSTITUTE(SUBSTITUTE("vch"&amp;$B1099&amp;$C1099&amp;$D1099&amp;$E1099,".","_"),"(","_"),")","")</f>
        <v>vch703_2_3</v>
      </c>
      <c r="AQ1099" t="str">
        <f>IF(LEN(W1099)=0,"",W1099)</f>
        <v/>
      </c>
      <c r="AR1099" t="str">
        <f>SUBSTITUTE(SUBSTITUTE(SUBSTITUTE("vnt"&amp;$B1099&amp;$C1099&amp;$D1099&amp;$E1099,".","_"),"(","_"),")","")</f>
        <v>vnt703_2_3</v>
      </c>
      <c r="AS1099" t="str">
        <f>IF(LEN(X1099)=0,"",X1099)</f>
        <v/>
      </c>
    </row>
    <row r="1100" spans="1:45" x14ac:dyDescent="0.35">
      <c r="A1100" s="366">
        <v>7</v>
      </c>
      <c r="B1100" s="738" t="s">
        <v>895</v>
      </c>
      <c r="C1100" s="735"/>
      <c r="D1100" s="731"/>
      <c r="E1100" s="731"/>
      <c r="F1100" s="731"/>
      <c r="G1100" s="366" t="str">
        <f ca="1">G1099</f>
        <v/>
      </c>
      <c r="H1100" s="366" t="s">
        <v>3970</v>
      </c>
      <c r="I1100" s="4"/>
      <c r="J1100" s="90"/>
      <c r="K1100" s="90"/>
      <c r="L1100" s="838"/>
      <c r="M1100" s="843"/>
      <c r="N1100" s="834"/>
      <c r="O1100" s="834"/>
      <c r="W1100" s="65"/>
      <c r="X1100" s="817"/>
      <c r="Y1100" s="1100"/>
      <c r="Z1100" s="1102"/>
    </row>
    <row r="1101" spans="1:45" x14ac:dyDescent="0.35">
      <c r="A1101" s="366">
        <v>7</v>
      </c>
      <c r="B1101" s="738" t="s">
        <v>895</v>
      </c>
      <c r="C1101" s="735"/>
      <c r="D1101" s="731"/>
      <c r="E1101" s="731"/>
      <c r="F1101" s="731"/>
      <c r="G1101" s="366" t="str">
        <f ca="1">G1100</f>
        <v/>
      </c>
      <c r="H1101" s="366" t="s">
        <v>3970</v>
      </c>
      <c r="I1101" s="133"/>
      <c r="J1101" s="228"/>
      <c r="K1101" s="228"/>
      <c r="L1101" s="889"/>
      <c r="M1101" s="906"/>
      <c r="N1101" s="835"/>
      <c r="O1101" s="835"/>
      <c r="P1101" s="104"/>
      <c r="Q1101" s="104"/>
      <c r="R1101" s="104"/>
      <c r="S1101" s="104"/>
      <c r="T1101" s="104"/>
      <c r="U1101" s="104"/>
      <c r="V1101" s="104"/>
      <c r="W1101" s="335"/>
      <c r="X1101" s="817"/>
      <c r="Y1101" s="1100"/>
      <c r="Z1101" s="1102"/>
    </row>
    <row r="1102" spans="1:45" ht="15" customHeight="1" x14ac:dyDescent="0.35">
      <c r="A1102" s="366">
        <v>7</v>
      </c>
      <c r="B1102" s="738" t="s">
        <v>897</v>
      </c>
      <c r="C1102" s="735"/>
      <c r="D1102" s="731"/>
      <c r="E1102" s="731"/>
      <c r="F1102" s="731"/>
      <c r="G1102" s="366" t="str">
        <f ca="1">IF(N1102&gt;0,"P","")</f>
        <v/>
      </c>
      <c r="H1102" s="366" t="s">
        <v>3970</v>
      </c>
      <c r="I1102" s="117" t="s">
        <v>897</v>
      </c>
      <c r="J1102" s="286"/>
      <c r="K1102" s="286"/>
      <c r="L1102" s="905" t="s">
        <v>4270</v>
      </c>
      <c r="M1102" s="915" t="s">
        <v>4271</v>
      </c>
      <c r="N1102" s="963">
        <f ca="1">'Ch7'!O232</f>
        <v>0</v>
      </c>
      <c r="O1102" s="963">
        <f ca="1">MAX(S1102:T1102)*S1103</f>
        <v>0</v>
      </c>
      <c r="R1102" s="1" t="s">
        <v>4090</v>
      </c>
      <c r="S1102" s="1">
        <f>Formulas!N$38</f>
        <v>0</v>
      </c>
      <c r="T1102" s="1">
        <f>Formulas!O$38</f>
        <v>0</v>
      </c>
      <c r="W1102" s="786" t="s">
        <v>4863</v>
      </c>
      <c r="X1102" s="817"/>
      <c r="Y1102" s="1100" t="str">
        <f>IF(LEN('Ch7'!X232)=0,"None",'Ch7'!X232)</f>
        <v>None</v>
      </c>
      <c r="Z1102" s="1102"/>
      <c r="AL1102" t="str">
        <f>SUBSTITUTE(SUBSTITUTE(SUBSTITUTE("vpa"&amp;$B1102&amp;$C1102&amp;$D1102&amp;$E1102,".","_"),"(","_"),")","")</f>
        <v>vpa703_2_4</v>
      </c>
      <c r="AM1102" t="str">
        <f>M1102</f>
        <v>Per Table 703.2.4a or 703.2.4b</v>
      </c>
      <c r="AN1102" t="str">
        <f>SUBSTITUTE(SUBSTITUTE(SUBSTITUTE("vpc"&amp;$B1102&amp;$C1102&amp;$D1102&amp;$E1102,".","_"),"(","_"),")","")</f>
        <v>vpc703_2_4</v>
      </c>
      <c r="AO1102">
        <f ca="1">O1102</f>
        <v>0</v>
      </c>
      <c r="AR1102" t="str">
        <f>SUBSTITUTE(SUBSTITUTE(SUBSTITUTE("vnt"&amp;$B1102&amp;$C1102&amp;$D1102&amp;$E1102,".","_"),"(","_"),")","")</f>
        <v>vnt703_2_4</v>
      </c>
      <c r="AS1102" t="str">
        <f>IF(LEN(X1102)=0,"",X1102)</f>
        <v/>
      </c>
    </row>
    <row r="1103" spans="1:45" x14ac:dyDescent="0.35">
      <c r="A1103" s="366">
        <v>7</v>
      </c>
      <c r="B1103" s="738" t="s">
        <v>897</v>
      </c>
      <c r="C1103" s="735"/>
      <c r="D1103" s="731"/>
      <c r="E1103" s="731"/>
      <c r="F1103" s="731"/>
      <c r="G1103" s="366" t="str">
        <f ca="1">G1102</f>
        <v/>
      </c>
      <c r="H1103" s="366" t="s">
        <v>3970</v>
      </c>
      <c r="I1103" s="4"/>
      <c r="J1103" s="90"/>
      <c r="K1103" s="90"/>
      <c r="L1103" s="838"/>
      <c r="M1103" s="918"/>
      <c r="N1103" s="834"/>
      <c r="O1103" s="834"/>
      <c r="R1103" t="b">
        <v>0</v>
      </c>
      <c r="S1103" t="b">
        <f ca="1">(S883=2)</f>
        <v>0</v>
      </c>
      <c r="T1103" t="b">
        <v>0</v>
      </c>
      <c r="W1103" s="788"/>
      <c r="X1103" s="817"/>
      <c r="Y1103" s="1100"/>
      <c r="Z1103" s="1102"/>
    </row>
    <row r="1104" spans="1:45" x14ac:dyDescent="0.35">
      <c r="A1104" s="366">
        <v>7</v>
      </c>
      <c r="B1104" s="738" t="s">
        <v>897</v>
      </c>
      <c r="C1104" s="735"/>
      <c r="D1104" s="731"/>
      <c r="E1104" s="731"/>
      <c r="F1104" s="731"/>
      <c r="G1104" s="366" t="str">
        <f ca="1">G1103</f>
        <v/>
      </c>
      <c r="H1104" s="366" t="s">
        <v>3970</v>
      </c>
      <c r="I1104" s="133"/>
      <c r="J1104" s="228"/>
      <c r="K1104" s="228"/>
      <c r="L1104" s="889"/>
      <c r="M1104" s="916"/>
      <c r="N1104" s="835"/>
      <c r="O1104" s="835"/>
      <c r="R1104" s="1" t="s">
        <v>4858</v>
      </c>
      <c r="S1104" s="298">
        <f>Formulas!N25</f>
        <v>0</v>
      </c>
      <c r="T1104" s="298">
        <f>Formulas!O25</f>
        <v>0</v>
      </c>
      <c r="W1104" s="564">
        <f>IF(S1102&gt;=T1102,S1104,T1104)</f>
        <v>0</v>
      </c>
      <c r="X1104" s="817"/>
      <c r="Y1104" s="1100"/>
      <c r="Z1104" s="1102"/>
    </row>
    <row r="1105" spans="1:45" x14ac:dyDescent="0.35">
      <c r="A1105" s="366">
        <v>7</v>
      </c>
      <c r="B1105" s="735" t="s">
        <v>898</v>
      </c>
      <c r="C1105" s="735"/>
      <c r="D1105" s="731"/>
      <c r="E1105" s="731"/>
      <c r="F1105" s="731"/>
      <c r="G1105" s="727" t="str">
        <f ca="1">IF(COUNTIF(G1106:G1122,"P")&gt;0,"P","")</f>
        <v/>
      </c>
      <c r="H1105" s="366" t="s">
        <v>3970</v>
      </c>
      <c r="I1105" s="32" t="s">
        <v>898</v>
      </c>
      <c r="J1105" s="90"/>
      <c r="K1105" s="90"/>
      <c r="L1105" s="95" t="s">
        <v>899</v>
      </c>
      <c r="M1105" s="40"/>
      <c r="N1105" s="41"/>
      <c r="O1105" s="41"/>
    </row>
    <row r="1106" spans="1:45" x14ac:dyDescent="0.35">
      <c r="A1106" s="366">
        <v>7</v>
      </c>
      <c r="B1106" s="738" t="s">
        <v>900</v>
      </c>
      <c r="C1106" s="735"/>
      <c r="D1106" s="731"/>
      <c r="E1106" s="731"/>
      <c r="F1106" s="731"/>
      <c r="G1106" s="366" t="str">
        <f ca="1">IF(M1106="Mandatory","M","")</f>
        <v/>
      </c>
      <c r="H1106" s="366" t="s">
        <v>3970</v>
      </c>
      <c r="I1106" s="32" t="s">
        <v>900</v>
      </c>
      <c r="J1106" s="90"/>
      <c r="K1106" s="90"/>
      <c r="L1106" s="814" t="s">
        <v>901</v>
      </c>
      <c r="M1106" s="885" t="str">
        <f ca="1">IF(R1106,"Mandatory","N/A")</f>
        <v>N/A</v>
      </c>
      <c r="N1106" s="41"/>
      <c r="O1106" s="41"/>
      <c r="P1106" t="b">
        <v>1</v>
      </c>
      <c r="Q1106" t="b">
        <v>1</v>
      </c>
      <c r="R1106" t="b">
        <f ca="1">AND(S1106,NOT(BI886="Tropical"))</f>
        <v>0</v>
      </c>
      <c r="S1106" t="b">
        <f ca="1">(S883=2)</f>
        <v>0</v>
      </c>
      <c r="T1106" t="b">
        <f ca="1">AND(NOT(S1106),LEN(W1106)&gt;0)</f>
        <v>0</v>
      </c>
      <c r="U1106" t="str">
        <f>SUBSTITUTE(SUBSTITUTE(SUBSTITUTE("dd"&amp;B1106&amp;C1106&amp;D1106&amp;E1106&amp;F1106,".","_"),"(","_"),")","")</f>
        <v>dd703_2_5_1</v>
      </c>
      <c r="W1106" s="9"/>
      <c r="X1106" s="817"/>
      <c r="Y1106" s="1100" t="str">
        <f>IF(LEN('Ch7'!X236)=0,"None",'Ch7'!X236)</f>
        <v>None</v>
      </c>
      <c r="Z1106" s="1102"/>
      <c r="AC1106" t="b">
        <f ca="1">OR(AD1106:AE1106)</f>
        <v>0</v>
      </c>
      <c r="AD1106" t="b">
        <f ca="1">T1106</f>
        <v>0</v>
      </c>
      <c r="AE1106" t="b">
        <f ca="1">AND(R1106,OR(W1106="Not Met",W1106=""))</f>
        <v>0</v>
      </c>
      <c r="AL1106" t="str">
        <f>SUBSTITUTE(SUBSTITUTE(SUBSTITUTE("vpa"&amp;$B1106&amp;$C1106&amp;$D1106&amp;$E1106,".","_"),"(","_"),")","")</f>
        <v>vpa703_2_5_1</v>
      </c>
      <c r="AM1106" t="str">
        <f ca="1">M1106</f>
        <v>N/A</v>
      </c>
      <c r="AP1106" t="str">
        <f>SUBSTITUTE(SUBSTITUTE(SUBSTITUTE("vch"&amp;$B1106&amp;$C1106&amp;$D1106&amp;$E1106,".","_"),"(","_"),")","")</f>
        <v>vch703_2_5_1</v>
      </c>
      <c r="AQ1106" t="str">
        <f>IF(LEN(W1106)=0,"",W1106)</f>
        <v/>
      </c>
      <c r="AR1106" t="str">
        <f>SUBSTITUTE(SUBSTITUTE(SUBSTITUTE("vnt"&amp;$B1106&amp;$C1106&amp;$D1106&amp;$E1106,".","_"),"(","_"),")","")</f>
        <v>vnt703_2_5_1</v>
      </c>
      <c r="AS1106" t="str">
        <f>IF(LEN(X1106)=0,"",X1106)</f>
        <v/>
      </c>
    </row>
    <row r="1107" spans="1:45" x14ac:dyDescent="0.35">
      <c r="A1107" s="366">
        <v>7</v>
      </c>
      <c r="B1107" s="738" t="s">
        <v>900</v>
      </c>
      <c r="C1107" s="735"/>
      <c r="D1107" s="731"/>
      <c r="E1107" s="731"/>
      <c r="F1107" s="731"/>
      <c r="G1107" s="366" t="str">
        <f t="shared" ref="G1107:G1121" ca="1" si="70">G1106</f>
        <v/>
      </c>
      <c r="H1107" s="366" t="s">
        <v>3970</v>
      </c>
      <c r="I1107" s="4"/>
      <c r="J1107" s="90"/>
      <c r="K1107" s="90"/>
      <c r="L1107" s="814"/>
      <c r="M1107" s="885"/>
      <c r="N1107" s="41"/>
      <c r="O1107" s="41"/>
      <c r="X1107" s="817"/>
      <c r="Y1107" s="1100"/>
      <c r="Z1107" s="1102"/>
    </row>
    <row r="1108" spans="1:45" x14ac:dyDescent="0.35">
      <c r="A1108" s="366">
        <v>7</v>
      </c>
      <c r="B1108" s="738" t="s">
        <v>900</v>
      </c>
      <c r="C1108" s="735"/>
      <c r="D1108" s="731"/>
      <c r="E1108" s="731"/>
      <c r="F1108" s="731"/>
      <c r="G1108" s="366" t="str">
        <f t="shared" ca="1" si="70"/>
        <v/>
      </c>
      <c r="H1108" s="366" t="s">
        <v>3970</v>
      </c>
      <c r="I1108" s="4"/>
      <c r="J1108" s="90"/>
      <c r="K1108" s="90"/>
      <c r="L1108" s="814"/>
      <c r="M1108" s="885"/>
      <c r="N1108" s="41"/>
      <c r="O1108" s="41"/>
      <c r="X1108" s="817"/>
      <c r="Y1108" s="1100"/>
      <c r="Z1108" s="1102"/>
    </row>
    <row r="1109" spans="1:45" x14ac:dyDescent="0.35">
      <c r="A1109" s="366">
        <v>7</v>
      </c>
      <c r="B1109" s="738" t="s">
        <v>900</v>
      </c>
      <c r="C1109" s="735"/>
      <c r="D1109" s="731"/>
      <c r="E1109" s="731"/>
      <c r="F1109" s="731"/>
      <c r="G1109" s="366" t="str">
        <f t="shared" ca="1" si="70"/>
        <v/>
      </c>
      <c r="H1109" s="366" t="s">
        <v>3970</v>
      </c>
      <c r="I1109" s="4"/>
      <c r="J1109" s="90"/>
      <c r="K1109" s="90"/>
      <c r="L1109" s="814"/>
      <c r="M1109" s="885"/>
      <c r="N1109" s="41"/>
      <c r="O1109" s="41"/>
      <c r="X1109" s="817"/>
      <c r="Y1109" s="1100"/>
      <c r="Z1109" s="1102"/>
    </row>
    <row r="1110" spans="1:45" x14ac:dyDescent="0.35">
      <c r="A1110" s="366">
        <v>7</v>
      </c>
      <c r="B1110" s="738" t="s">
        <v>900</v>
      </c>
      <c r="C1110" s="735"/>
      <c r="D1110" s="731"/>
      <c r="E1110" s="731"/>
      <c r="F1110" s="731"/>
      <c r="G1110" s="366" t="str">
        <f t="shared" ca="1" si="70"/>
        <v/>
      </c>
      <c r="H1110" s="366" t="s">
        <v>3970</v>
      </c>
      <c r="I1110" s="4"/>
      <c r="J1110" s="90"/>
      <c r="K1110" s="90"/>
      <c r="L1110" s="814"/>
      <c r="M1110" s="885"/>
      <c r="N1110" s="41"/>
      <c r="O1110" s="41"/>
      <c r="X1110" s="817"/>
      <c r="Y1110" s="1100"/>
      <c r="Z1110" s="1102"/>
    </row>
    <row r="1111" spans="1:45" x14ac:dyDescent="0.35">
      <c r="A1111" s="366">
        <v>7</v>
      </c>
      <c r="B1111" s="738" t="s">
        <v>900</v>
      </c>
      <c r="C1111" s="735"/>
      <c r="D1111" s="731"/>
      <c r="E1111" s="731"/>
      <c r="F1111" s="731"/>
      <c r="G1111" s="366" t="str">
        <f t="shared" ca="1" si="70"/>
        <v/>
      </c>
      <c r="H1111" s="366" t="s">
        <v>3970</v>
      </c>
      <c r="I1111" s="4"/>
      <c r="J1111" s="90"/>
      <c r="K1111" s="90"/>
      <c r="L1111" s="814"/>
      <c r="M1111" s="885"/>
      <c r="N1111" s="41"/>
      <c r="O1111" s="41"/>
      <c r="X1111" s="817"/>
      <c r="Y1111" s="1100"/>
      <c r="Z1111" s="1102"/>
    </row>
    <row r="1112" spans="1:45" x14ac:dyDescent="0.35">
      <c r="A1112" s="366">
        <v>7</v>
      </c>
      <c r="B1112" s="738" t="s">
        <v>900</v>
      </c>
      <c r="C1112" s="735"/>
      <c r="D1112" s="731"/>
      <c r="E1112" s="731"/>
      <c r="F1112" s="731"/>
      <c r="G1112" s="366" t="str">
        <f t="shared" ca="1" si="70"/>
        <v/>
      </c>
      <c r="H1112" s="366" t="s">
        <v>3970</v>
      </c>
      <c r="I1112" s="4"/>
      <c r="J1112" s="90"/>
      <c r="K1112" s="90"/>
      <c r="L1112" s="814"/>
      <c r="M1112" s="885"/>
      <c r="N1112" s="41"/>
      <c r="O1112" s="41"/>
      <c r="X1112" s="817"/>
      <c r="Y1112" s="1100"/>
      <c r="Z1112" s="1102"/>
    </row>
    <row r="1113" spans="1:45" x14ac:dyDescent="0.35">
      <c r="A1113" s="366">
        <v>7</v>
      </c>
      <c r="B1113" s="738" t="s">
        <v>900</v>
      </c>
      <c r="C1113" s="735"/>
      <c r="D1113" s="731"/>
      <c r="E1113" s="731"/>
      <c r="F1113" s="731"/>
      <c r="G1113" s="366" t="str">
        <f t="shared" ca="1" si="70"/>
        <v/>
      </c>
      <c r="H1113" s="366" t="s">
        <v>3970</v>
      </c>
      <c r="I1113" s="133"/>
      <c r="J1113" s="228"/>
      <c r="K1113" s="228"/>
      <c r="L1113" s="323" t="s">
        <v>3778</v>
      </c>
      <c r="M1113" s="269"/>
      <c r="N1113" s="41"/>
      <c r="O1113" s="41"/>
      <c r="X1113" s="817"/>
      <c r="Y1113" s="1100"/>
      <c r="Z1113" s="1102"/>
    </row>
    <row r="1114" spans="1:45" x14ac:dyDescent="0.35">
      <c r="A1114" s="366">
        <v>7</v>
      </c>
      <c r="B1114" s="738" t="s">
        <v>902</v>
      </c>
      <c r="C1114" s="735"/>
      <c r="D1114" s="731"/>
      <c r="E1114" s="731"/>
      <c r="F1114" s="731"/>
      <c r="G1114" s="366" t="str">
        <f t="shared" ca="1" si="70"/>
        <v/>
      </c>
      <c r="H1114" s="366" t="s">
        <v>3970</v>
      </c>
      <c r="I1114" s="330" t="s">
        <v>902</v>
      </c>
      <c r="J1114" s="286"/>
      <c r="K1114" s="286"/>
      <c r="L1114" s="905" t="s">
        <v>903</v>
      </c>
      <c r="M1114" s="40"/>
      <c r="N1114" s="41"/>
      <c r="O1114" s="41"/>
      <c r="P1114" t="b">
        <v>1</v>
      </c>
      <c r="Q1114" t="b">
        <v>1</v>
      </c>
      <c r="R1114" t="b">
        <f ca="1">AND(S1114,NOT(BI886="Tropical"))</f>
        <v>0</v>
      </c>
      <c r="S1114" t="b">
        <f ca="1">(S883=2)</f>
        <v>0</v>
      </c>
      <c r="T1114" t="b">
        <f ca="1">AND(NOT(S1114),LEN(W1114)&gt;0)</f>
        <v>0</v>
      </c>
      <c r="U1114" t="str">
        <f>SUBSTITUTE(SUBSTITUTE(SUBSTITUTE("dd"&amp;B1114&amp;C1114&amp;D1114&amp;E1114&amp;F1114,".","_"),"(","_"),")","")</f>
        <v>dd703_2_5_1_1</v>
      </c>
      <c r="W1114" s="9"/>
      <c r="X1114" s="817"/>
      <c r="Y1114" s="1100" t="str">
        <f>IF(LEN('Ch7'!X244)=0,"None",'Ch7'!X244)</f>
        <v>None</v>
      </c>
      <c r="Z1114" s="1102"/>
      <c r="AC1114" t="b">
        <f ca="1">OR(AD1114:AE1114)</f>
        <v>0</v>
      </c>
      <c r="AD1114" t="b">
        <f ca="1">T1114</f>
        <v>0</v>
      </c>
      <c r="AE1114" t="b">
        <f ca="1">AND(R1114,OR(W1114="Not Met",W1114=""))</f>
        <v>0</v>
      </c>
      <c r="AP1114" t="str">
        <f>SUBSTITUTE(SUBSTITUTE(SUBSTITUTE("vch"&amp;$B1114&amp;$C1114&amp;$D1114&amp;$E1114,".","_"),"(","_"),")","")</f>
        <v>vch703_2_5_1_1</v>
      </c>
      <c r="AQ1114" t="str">
        <f>IF(LEN(W1114)=0,"",W1114)</f>
        <v/>
      </c>
      <c r="AR1114" t="str">
        <f>SUBSTITUTE(SUBSTITUTE(SUBSTITUTE("vnt"&amp;$B1114&amp;$C1114&amp;$D1114&amp;$E1114,".","_"),"(","_"),")","")</f>
        <v>vnt703_2_5_1_1</v>
      </c>
      <c r="AS1114" t="str">
        <f>IF(LEN(X1114)=0,"",X1114)</f>
        <v/>
      </c>
    </row>
    <row r="1115" spans="1:45" x14ac:dyDescent="0.35">
      <c r="A1115" s="366">
        <v>7</v>
      </c>
      <c r="B1115" s="738" t="s">
        <v>902</v>
      </c>
      <c r="C1115" s="735"/>
      <c r="D1115" s="731"/>
      <c r="E1115" s="731"/>
      <c r="F1115" s="731"/>
      <c r="G1115" s="366" t="str">
        <f t="shared" ca="1" si="70"/>
        <v/>
      </c>
      <c r="H1115" s="366" t="s">
        <v>3970</v>
      </c>
      <c r="I1115" s="4"/>
      <c r="J1115" s="90"/>
      <c r="K1115" s="90"/>
      <c r="L1115" s="838"/>
      <c r="M1115" s="40"/>
      <c r="N1115" s="41"/>
      <c r="O1115" s="41"/>
      <c r="X1115" s="817"/>
      <c r="Y1115" s="1100"/>
      <c r="Z1115" s="1102"/>
    </row>
    <row r="1116" spans="1:45" x14ac:dyDescent="0.35">
      <c r="A1116" s="366">
        <v>7</v>
      </c>
      <c r="B1116" s="738" t="s">
        <v>902</v>
      </c>
      <c r="C1116" s="735"/>
      <c r="D1116" s="731"/>
      <c r="E1116" s="731"/>
      <c r="F1116" s="731"/>
      <c r="G1116" s="366" t="str">
        <f t="shared" ca="1" si="70"/>
        <v/>
      </c>
      <c r="H1116" s="366" t="s">
        <v>3970</v>
      </c>
      <c r="I1116" s="4"/>
      <c r="J1116" s="90"/>
      <c r="K1116" s="90"/>
      <c r="L1116" s="838"/>
      <c r="M1116" s="40"/>
      <c r="N1116" s="41"/>
      <c r="O1116" s="41"/>
      <c r="X1116" s="817"/>
      <c r="Y1116" s="1100"/>
      <c r="Z1116" s="1102"/>
    </row>
    <row r="1117" spans="1:45" x14ac:dyDescent="0.35">
      <c r="A1117" s="366">
        <v>7</v>
      </c>
      <c r="B1117" s="738" t="s">
        <v>902</v>
      </c>
      <c r="C1117" s="735"/>
      <c r="D1117" s="731"/>
      <c r="E1117" s="731"/>
      <c r="F1117" s="731"/>
      <c r="G1117" s="366" t="str">
        <f t="shared" ca="1" si="70"/>
        <v/>
      </c>
      <c r="H1117" s="366" t="s">
        <v>3970</v>
      </c>
      <c r="I1117" s="4"/>
      <c r="J1117" s="90"/>
      <c r="K1117" s="90"/>
      <c r="L1117" s="838"/>
      <c r="M1117" s="40"/>
      <c r="N1117" s="41"/>
      <c r="O1117" s="41"/>
      <c r="X1117" s="817"/>
      <c r="Y1117" s="1100"/>
      <c r="Z1117" s="1102"/>
    </row>
    <row r="1118" spans="1:45" x14ac:dyDescent="0.35">
      <c r="A1118" s="366">
        <v>7</v>
      </c>
      <c r="B1118" s="738" t="s">
        <v>902</v>
      </c>
      <c r="C1118" s="735"/>
      <c r="D1118" s="731"/>
      <c r="E1118" s="731"/>
      <c r="F1118" s="731"/>
      <c r="G1118" s="366" t="str">
        <f t="shared" ca="1" si="70"/>
        <v/>
      </c>
      <c r="H1118" s="366" t="s">
        <v>3970</v>
      </c>
      <c r="I1118" s="4"/>
      <c r="J1118" s="90"/>
      <c r="K1118" s="90"/>
      <c r="L1118" s="838"/>
      <c r="M1118" s="40"/>
      <c r="N1118" s="41"/>
      <c r="O1118" s="41"/>
      <c r="X1118" s="817"/>
      <c r="Y1118" s="1100"/>
      <c r="Z1118" s="1102"/>
    </row>
    <row r="1119" spans="1:45" x14ac:dyDescent="0.35">
      <c r="A1119" s="366">
        <v>7</v>
      </c>
      <c r="B1119" s="738" t="s">
        <v>902</v>
      </c>
      <c r="C1119" s="735"/>
      <c r="D1119" s="731"/>
      <c r="E1119" s="731"/>
      <c r="F1119" s="731"/>
      <c r="G1119" s="366" t="str">
        <f t="shared" ca="1" si="70"/>
        <v/>
      </c>
      <c r="H1119" s="366" t="s">
        <v>3970</v>
      </c>
      <c r="I1119" s="4"/>
      <c r="J1119" s="90"/>
      <c r="K1119" s="90"/>
      <c r="L1119" s="838"/>
      <c r="M1119" s="40"/>
      <c r="N1119" s="41"/>
      <c r="O1119" s="41"/>
      <c r="X1119" s="817"/>
      <c r="Y1119" s="1100"/>
      <c r="Z1119" s="1102"/>
    </row>
    <row r="1120" spans="1:45" x14ac:dyDescent="0.35">
      <c r="A1120" s="366">
        <v>7</v>
      </c>
      <c r="B1120" s="738" t="s">
        <v>902</v>
      </c>
      <c r="C1120" s="735"/>
      <c r="D1120" s="731"/>
      <c r="E1120" s="731"/>
      <c r="F1120" s="731"/>
      <c r="G1120" s="366" t="str">
        <f t="shared" ca="1" si="70"/>
        <v/>
      </c>
      <c r="H1120" s="366" t="s">
        <v>3970</v>
      </c>
      <c r="I1120" s="4"/>
      <c r="J1120" s="90"/>
      <c r="K1120" s="90"/>
      <c r="L1120" s="838"/>
      <c r="M1120" s="40"/>
      <c r="N1120" s="41"/>
      <c r="O1120" s="41"/>
      <c r="X1120" s="817"/>
      <c r="Y1120" s="1100"/>
      <c r="Z1120" s="1102"/>
    </row>
    <row r="1121" spans="1:45" x14ac:dyDescent="0.35">
      <c r="A1121" s="366">
        <v>7</v>
      </c>
      <c r="B1121" s="738" t="s">
        <v>902</v>
      </c>
      <c r="C1121" s="735"/>
      <c r="D1121" s="731"/>
      <c r="E1121" s="731"/>
      <c r="F1121" s="731"/>
      <c r="G1121" s="366" t="str">
        <f t="shared" ca="1" si="70"/>
        <v/>
      </c>
      <c r="H1121" s="366" t="s">
        <v>3970</v>
      </c>
      <c r="I1121" s="133"/>
      <c r="J1121" s="228"/>
      <c r="K1121" s="228"/>
      <c r="L1121" s="889"/>
      <c r="M1121" s="268"/>
      <c r="N1121" s="41"/>
      <c r="O1121" s="41"/>
      <c r="X1121" s="817"/>
      <c r="Y1121" s="1100"/>
      <c r="Z1121" s="1102"/>
    </row>
    <row r="1122" spans="1:45" ht="15" customHeight="1" x14ac:dyDescent="0.35">
      <c r="A1122" s="366">
        <v>7</v>
      </c>
      <c r="B1122" s="738" t="s">
        <v>904</v>
      </c>
      <c r="C1122" s="735"/>
      <c r="D1122" s="731"/>
      <c r="E1122" s="731"/>
      <c r="F1122" s="731"/>
      <c r="G1122" s="366" t="str">
        <f ca="1">IF(N1122&gt;0,"P","")</f>
        <v/>
      </c>
      <c r="H1122" s="366" t="s">
        <v>3970</v>
      </c>
      <c r="I1122" s="32" t="s">
        <v>904</v>
      </c>
      <c r="J1122" s="90"/>
      <c r="K1122" s="90"/>
      <c r="L1122" s="838" t="s">
        <v>905</v>
      </c>
      <c r="M1122" s="780" t="s">
        <v>3780</v>
      </c>
      <c r="N1122" s="834">
        <f ca="1">'Ch7'!O252</f>
        <v>0</v>
      </c>
      <c r="O1122" s="834">
        <f ca="1">IFERROR(INDEX(M1127:M1129,MATCH(W1122,INDIRECT(U1122),0)),0)*S1122</f>
        <v>0</v>
      </c>
      <c r="P1122" t="b">
        <v>1</v>
      </c>
      <c r="Q1122" t="b">
        <v>1</v>
      </c>
      <c r="R1122" t="b">
        <v>0</v>
      </c>
      <c r="S1122" t="b">
        <f ca="1">AND(S883=2,OR(W1130="Met",W1130="N/A"))</f>
        <v>0</v>
      </c>
      <c r="T1122" t="b">
        <f ca="1">AND(NOT(S1122),LEN(W1122)&gt;0)</f>
        <v>0</v>
      </c>
      <c r="U1122" t="str">
        <f>SUBSTITUTE(SUBSTITUTE(SUBSTITUTE("dd"&amp;B1122&amp;C1122&amp;D1122&amp;E1122&amp;F1122,".","_"),"(","_"),")","")</f>
        <v>dd703_2_5_2</v>
      </c>
      <c r="W1122" s="9"/>
      <c r="X1122" s="817"/>
      <c r="Y1122" s="1100" t="str">
        <f>IF(LEN('Ch7'!X252)=0,"None",'Ch7'!X252)</f>
        <v>None</v>
      </c>
      <c r="Z1122" s="1102"/>
      <c r="AC1122" t="b">
        <f ca="1">OR(AD1122:AE1122)</f>
        <v>0</v>
      </c>
      <c r="AD1122" t="b">
        <f ca="1">T1122</f>
        <v>0</v>
      </c>
      <c r="AL1122" t="str">
        <f>SUBSTITUTE(SUBSTITUTE(SUBSTITUTE("vpa"&amp;$B1122&amp;$C1122&amp;$D1122&amp;$E1122,".","_"),"(","_"),")","")</f>
        <v>vpa703_2_5_2</v>
      </c>
      <c r="AM1122" t="str">
        <f>M1122</f>
        <v>Per Table 703.2.5.2(a) or
703.2.5.2(b) or 
703.2.5.2(c)</v>
      </c>
      <c r="AN1122" t="str">
        <f>SUBSTITUTE(SUBSTITUTE(SUBSTITUTE("vpc"&amp;$B1122&amp;$C1122&amp;$D1122&amp;$E1122,".","_"),"(","_"),")","")</f>
        <v>vpc703_2_5_2</v>
      </c>
      <c r="AO1122">
        <f ca="1">O1122</f>
        <v>0</v>
      </c>
      <c r="AP1122" t="str">
        <f>SUBSTITUTE(SUBSTITUTE(SUBSTITUTE("vch"&amp;$B1122&amp;$C1122&amp;$D1122&amp;$E1122,".","_"),"(","_"),")","")</f>
        <v>vch703_2_5_2</v>
      </c>
      <c r="AQ1122" t="str">
        <f>IF(LEN(W1122)=0,"",W1122)</f>
        <v/>
      </c>
      <c r="AR1122" t="str">
        <f>SUBSTITUTE(SUBSTITUTE(SUBSTITUTE("vnt"&amp;$B1122&amp;$C1122&amp;$D1122&amp;$E1122,".","_"),"(","_"),")","")</f>
        <v>vnt703_2_5_2</v>
      </c>
      <c r="AS1122" t="str">
        <f>IF(LEN(X1122)=0,"",X1122)</f>
        <v/>
      </c>
    </row>
    <row r="1123" spans="1:45" x14ac:dyDescent="0.35">
      <c r="A1123" s="366">
        <v>7</v>
      </c>
      <c r="B1123" s="738" t="s">
        <v>904</v>
      </c>
      <c r="C1123" s="735"/>
      <c r="D1123" s="731"/>
      <c r="E1123" s="731"/>
      <c r="F1123" s="731"/>
      <c r="G1123" s="366" t="str">
        <f t="shared" ref="G1123:G1138" ca="1" si="71">G1122</f>
        <v/>
      </c>
      <c r="H1123" s="366" t="s">
        <v>3970</v>
      </c>
      <c r="I1123" s="4"/>
      <c r="J1123" s="90"/>
      <c r="K1123" s="90"/>
      <c r="L1123" s="838"/>
      <c r="M1123" s="780"/>
      <c r="N1123" s="834"/>
      <c r="O1123" s="834"/>
      <c r="X1123" s="817"/>
      <c r="Y1123" s="1100"/>
      <c r="Z1123" s="1102"/>
    </row>
    <row r="1124" spans="1:45" x14ac:dyDescent="0.35">
      <c r="A1124" s="366">
        <v>7</v>
      </c>
      <c r="B1124" s="738" t="s">
        <v>904</v>
      </c>
      <c r="C1124" s="735"/>
      <c r="D1124" s="731"/>
      <c r="E1124" s="731"/>
      <c r="F1124" s="731"/>
      <c r="G1124" s="366" t="str">
        <f t="shared" ca="1" si="71"/>
        <v/>
      </c>
      <c r="H1124" s="366" t="s">
        <v>3970</v>
      </c>
      <c r="I1124" s="4"/>
      <c r="J1124" s="90"/>
      <c r="K1124" s="90"/>
      <c r="L1124" s="838"/>
      <c r="M1124" s="780"/>
      <c r="N1124" s="834"/>
      <c r="O1124" s="834"/>
      <c r="X1124" s="817"/>
      <c r="Y1124" s="1100"/>
      <c r="Z1124" s="1102"/>
    </row>
    <row r="1125" spans="1:45" x14ac:dyDescent="0.35">
      <c r="A1125" s="366">
        <v>7</v>
      </c>
      <c r="B1125" s="738" t="s">
        <v>904</v>
      </c>
      <c r="C1125" s="735"/>
      <c r="D1125" s="731"/>
      <c r="E1125" s="731"/>
      <c r="F1125" s="731"/>
      <c r="G1125" s="366" t="str">
        <f t="shared" ca="1" si="71"/>
        <v/>
      </c>
      <c r="H1125" s="366" t="s">
        <v>3970</v>
      </c>
      <c r="I1125" s="4"/>
      <c r="J1125" s="90"/>
      <c r="K1125" s="90"/>
      <c r="L1125" s="838"/>
      <c r="M1125" s="780"/>
      <c r="N1125" s="834"/>
      <c r="O1125" s="834"/>
      <c r="X1125" s="817"/>
      <c r="Y1125" s="1100"/>
      <c r="Z1125" s="1102"/>
    </row>
    <row r="1126" spans="1:45" x14ac:dyDescent="0.35">
      <c r="A1126" s="366">
        <v>7</v>
      </c>
      <c r="B1126" s="738" t="s">
        <v>904</v>
      </c>
      <c r="C1126" s="735"/>
      <c r="D1126" s="731"/>
      <c r="E1126" s="731"/>
      <c r="F1126" s="731"/>
      <c r="G1126" s="366" t="str">
        <f t="shared" ca="1" si="71"/>
        <v/>
      </c>
      <c r="H1126" s="366" t="s">
        <v>3970</v>
      </c>
      <c r="I1126" s="4"/>
      <c r="J1126" s="90"/>
      <c r="K1126" s="90"/>
      <c r="L1126" s="838"/>
      <c r="M1126" s="780"/>
      <c r="N1126" s="834"/>
      <c r="O1126" s="834"/>
      <c r="X1126" s="817"/>
      <c r="Y1126" s="1100"/>
      <c r="Z1126" s="1102"/>
    </row>
    <row r="1127" spans="1:45" x14ac:dyDescent="0.35">
      <c r="A1127" s="366">
        <v>7</v>
      </c>
      <c r="B1127" s="738" t="s">
        <v>904</v>
      </c>
      <c r="C1127" s="735"/>
      <c r="D1127" s="731" t="s">
        <v>121</v>
      </c>
      <c r="E1127" s="731"/>
      <c r="F1127" s="731"/>
      <c r="G1127" s="366" t="str">
        <f t="shared" ca="1" si="71"/>
        <v/>
      </c>
      <c r="H1127" s="366" t="s">
        <v>3970</v>
      </c>
      <c r="I1127" s="4"/>
      <c r="J1127" s="90"/>
      <c r="K1127" s="326" t="s">
        <v>121</v>
      </c>
      <c r="L1127" s="281" t="s">
        <v>3479</v>
      </c>
      <c r="M1127" s="290">
        <f>IFERROR(INDEX({1,1,2,3,3,4,4,4},T1156),0)</f>
        <v>0</v>
      </c>
      <c r="N1127" s="41"/>
      <c r="O1127" s="41"/>
      <c r="X1127" s="817"/>
      <c r="Y1127" s="1100"/>
      <c r="Z1127" s="1102"/>
      <c r="AL1127" t="str">
        <f>SUBSTITUTE(SUBSTITUTE(SUBSTITUTE("vpa"&amp;$B1127&amp;$C1127&amp;$D1127&amp;$E1127,".","_"),"(","_"),")","")</f>
        <v>vpa703_2_5_2_a</v>
      </c>
      <c r="AM1127">
        <f>M1127</f>
        <v>0</v>
      </c>
    </row>
    <row r="1128" spans="1:45" x14ac:dyDescent="0.35">
      <c r="A1128" s="366">
        <v>7</v>
      </c>
      <c r="B1128" s="738" t="s">
        <v>904</v>
      </c>
      <c r="C1128" s="735"/>
      <c r="D1128" s="731" t="s">
        <v>122</v>
      </c>
      <c r="E1128" s="731"/>
      <c r="F1128" s="731"/>
      <c r="G1128" s="366" t="str">
        <f t="shared" ca="1" si="71"/>
        <v/>
      </c>
      <c r="H1128" s="366" t="s">
        <v>3970</v>
      </c>
      <c r="I1128" s="4"/>
      <c r="J1128" s="90"/>
      <c r="K1128" s="326" t="s">
        <v>122</v>
      </c>
      <c r="L1128" s="281" t="s">
        <v>3478</v>
      </c>
      <c r="M1128" s="290">
        <f>IFERROR(INDEX({2,3,4,4,4,5,5,4},T1156),0)</f>
        <v>0</v>
      </c>
      <c r="N1128" s="41"/>
      <c r="O1128" s="41"/>
      <c r="X1128" s="817"/>
      <c r="Y1128" s="1100"/>
      <c r="Z1128" s="1102"/>
      <c r="AL1128" t="str">
        <f>SUBSTITUTE(SUBSTITUTE(SUBSTITUTE("vpa"&amp;$B1128&amp;$C1128&amp;$D1128&amp;$E1128,".","_"),"(","_"),")","")</f>
        <v>vpa703_2_5_2_b</v>
      </c>
      <c r="AM1128">
        <f>M1128</f>
        <v>0</v>
      </c>
    </row>
    <row r="1129" spans="1:45" x14ac:dyDescent="0.35">
      <c r="A1129" s="366">
        <v>7</v>
      </c>
      <c r="B1129" s="738" t="s">
        <v>904</v>
      </c>
      <c r="C1129" s="735"/>
      <c r="D1129" s="731" t="s">
        <v>123</v>
      </c>
      <c r="E1129" s="731"/>
      <c r="F1129" s="731"/>
      <c r="G1129" s="366" t="str">
        <f t="shared" ca="1" si="71"/>
        <v/>
      </c>
      <c r="H1129" s="366" t="s">
        <v>3970</v>
      </c>
      <c r="I1129" s="133"/>
      <c r="J1129" s="228"/>
      <c r="K1129" s="345" t="s">
        <v>123</v>
      </c>
      <c r="L1129" s="177" t="s">
        <v>3477</v>
      </c>
      <c r="M1129" s="78">
        <f>IF(T1157,3,1)*IFERROR(INDEX({0,0,0,6,6,6,6,6},T1156),0)</f>
        <v>0</v>
      </c>
      <c r="N1129" s="41"/>
      <c r="O1129" s="41"/>
      <c r="X1129" s="817"/>
      <c r="Y1129" s="1100"/>
      <c r="Z1129" s="1102"/>
      <c r="AL1129" t="str">
        <f>SUBSTITUTE(SUBSTITUTE(SUBSTITUTE("vpa"&amp;$B1129&amp;$C1129&amp;$D1129&amp;$E1129,".","_"),"(","_"),")","")</f>
        <v>vpa703_2_5_2_c</v>
      </c>
      <c r="AM1129">
        <f>M1129</f>
        <v>0</v>
      </c>
    </row>
    <row r="1130" spans="1:45" x14ac:dyDescent="0.35">
      <c r="A1130" s="366">
        <v>7</v>
      </c>
      <c r="B1130" s="738" t="s">
        <v>906</v>
      </c>
      <c r="C1130" s="735"/>
      <c r="D1130" s="731"/>
      <c r="E1130" s="731"/>
      <c r="F1130" s="731"/>
      <c r="G1130" s="366" t="str">
        <f t="shared" ca="1" si="71"/>
        <v/>
      </c>
      <c r="H1130" s="366" t="s">
        <v>3970</v>
      </c>
      <c r="I1130" s="32" t="s">
        <v>906</v>
      </c>
      <c r="J1130" s="90"/>
      <c r="L1130" s="838" t="s">
        <v>907</v>
      </c>
      <c r="M1130" s="283"/>
      <c r="N1130" s="41"/>
      <c r="O1130" s="41"/>
      <c r="P1130" t="b">
        <v>1</v>
      </c>
      <c r="Q1130" t="b">
        <v>1</v>
      </c>
      <c r="R1130" t="b">
        <v>0</v>
      </c>
      <c r="S1130" t="b">
        <f ca="1">(S883=2)</f>
        <v>0</v>
      </c>
      <c r="T1130" t="b">
        <f ca="1">AND(NOT(S1130),LEN(W1130)&gt;0)</f>
        <v>0</v>
      </c>
      <c r="U1130" t="str">
        <f>SUBSTITUTE(SUBSTITUTE(SUBSTITUTE("dd"&amp;B1130&amp;C1130&amp;D1130&amp;E1130&amp;F1130,".","_"),"(","_"),")","")</f>
        <v>dd703_2_5_2_1</v>
      </c>
      <c r="W1130" s="9"/>
      <c r="X1130" s="817"/>
      <c r="Y1130" s="1100" t="str">
        <f>IF(LEN('Ch7'!X260)=0,"None",'Ch7'!X260)</f>
        <v>None</v>
      </c>
      <c r="Z1130" s="1102"/>
      <c r="AC1130" t="b">
        <f ca="1">OR(AD1130:AE1130)</f>
        <v>0</v>
      </c>
      <c r="AD1130" t="b">
        <f ca="1">T1130</f>
        <v>0</v>
      </c>
      <c r="AP1130" t="str">
        <f>SUBSTITUTE(SUBSTITUTE(SUBSTITUTE("vch"&amp;$B1130&amp;$C1130&amp;$D1130&amp;$E1130,".","_"),"(","_"),")","")</f>
        <v>vch703_2_5_2_1</v>
      </c>
      <c r="AQ1130" t="str">
        <f>IF(LEN(W1130)=0,"",W1130)</f>
        <v/>
      </c>
      <c r="AR1130" t="str">
        <f>SUBSTITUTE(SUBSTITUTE(SUBSTITUTE("vnt"&amp;$B1130&amp;$C1130&amp;$D1130&amp;$E1130,".","_"),"(","_"),")","")</f>
        <v>vnt703_2_5_2_1</v>
      </c>
      <c r="AS1130" t="str">
        <f>IF(LEN(X1130)=0,"",X1130)</f>
        <v/>
      </c>
    </row>
    <row r="1131" spans="1:45" x14ac:dyDescent="0.35">
      <c r="A1131" s="366">
        <v>7</v>
      </c>
      <c r="B1131" s="738" t="s">
        <v>906</v>
      </c>
      <c r="C1131" s="735"/>
      <c r="D1131" s="731"/>
      <c r="E1131" s="731"/>
      <c r="F1131" s="731"/>
      <c r="G1131" s="366" t="str">
        <f t="shared" ca="1" si="71"/>
        <v/>
      </c>
      <c r="H1131" s="366" t="s">
        <v>3970</v>
      </c>
      <c r="I1131" s="4"/>
      <c r="J1131" s="90"/>
      <c r="K1131" s="90"/>
      <c r="L1131" s="838"/>
      <c r="M1131" s="283"/>
      <c r="N1131" s="41"/>
      <c r="O1131" s="41"/>
      <c r="X1131" s="817"/>
      <c r="Y1131" s="1100"/>
      <c r="Z1131" s="1102"/>
    </row>
    <row r="1132" spans="1:45" x14ac:dyDescent="0.35">
      <c r="A1132" s="366">
        <v>7</v>
      </c>
      <c r="B1132" s="738" t="s">
        <v>906</v>
      </c>
      <c r="C1132" s="735"/>
      <c r="D1132" s="731"/>
      <c r="E1132" s="731"/>
      <c r="F1132" s="731"/>
      <c r="G1132" s="366" t="str">
        <f t="shared" ca="1" si="71"/>
        <v/>
      </c>
      <c r="H1132" s="366" t="s">
        <v>3970</v>
      </c>
      <c r="I1132" s="4"/>
      <c r="J1132" s="90"/>
      <c r="K1132" s="90"/>
      <c r="L1132" s="838"/>
      <c r="M1132" s="283"/>
      <c r="N1132" s="41"/>
      <c r="O1132" s="41"/>
      <c r="X1132" s="817"/>
      <c r="Y1132" s="1100"/>
      <c r="Z1132" s="1102"/>
    </row>
    <row r="1133" spans="1:45" x14ac:dyDescent="0.35">
      <c r="A1133" s="366">
        <v>7</v>
      </c>
      <c r="B1133" s="738" t="s">
        <v>906</v>
      </c>
      <c r="C1133" s="735"/>
      <c r="D1133" s="731"/>
      <c r="E1133" s="731"/>
      <c r="F1133" s="731"/>
      <c r="G1133" s="366" t="str">
        <f t="shared" ca="1" si="71"/>
        <v/>
      </c>
      <c r="H1133" s="366" t="s">
        <v>3970</v>
      </c>
      <c r="I1133" s="4"/>
      <c r="J1133" s="90"/>
      <c r="K1133" s="90"/>
      <c r="L1133" s="838"/>
      <c r="M1133" s="283"/>
      <c r="N1133" s="41"/>
      <c r="O1133" s="41"/>
      <c r="X1133" s="817"/>
      <c r="Y1133" s="1100"/>
      <c r="Z1133" s="1102"/>
    </row>
    <row r="1134" spans="1:45" x14ac:dyDescent="0.35">
      <c r="A1134" s="366">
        <v>7</v>
      </c>
      <c r="B1134" s="738" t="s">
        <v>906</v>
      </c>
      <c r="C1134" s="735"/>
      <c r="D1134" s="731"/>
      <c r="E1134" s="731"/>
      <c r="F1134" s="731"/>
      <c r="G1134" s="366" t="str">
        <f t="shared" ca="1" si="71"/>
        <v/>
      </c>
      <c r="H1134" s="366" t="s">
        <v>3970</v>
      </c>
      <c r="I1134" s="4"/>
      <c r="J1134" s="90"/>
      <c r="K1134" s="90"/>
      <c r="L1134" s="838"/>
      <c r="M1134" s="283"/>
      <c r="N1134" s="41"/>
      <c r="O1134" s="41"/>
      <c r="X1134" s="817"/>
      <c r="Y1134" s="1100"/>
      <c r="Z1134" s="1102"/>
    </row>
    <row r="1135" spans="1:45" x14ac:dyDescent="0.35">
      <c r="A1135" s="366">
        <v>7</v>
      </c>
      <c r="B1135" s="738" t="s">
        <v>906</v>
      </c>
      <c r="C1135" s="735"/>
      <c r="D1135" s="731"/>
      <c r="E1135" s="731"/>
      <c r="F1135" s="731"/>
      <c r="G1135" s="366" t="str">
        <f t="shared" ca="1" si="71"/>
        <v/>
      </c>
      <c r="H1135" s="366" t="s">
        <v>3970</v>
      </c>
      <c r="I1135" s="4"/>
      <c r="J1135" s="90"/>
      <c r="K1135" s="90"/>
      <c r="L1135" s="838"/>
      <c r="M1135" s="283"/>
      <c r="N1135" s="41"/>
      <c r="O1135" s="41"/>
      <c r="X1135" s="817"/>
      <c r="Y1135" s="1100"/>
      <c r="Z1135" s="1102"/>
    </row>
    <row r="1136" spans="1:45" x14ac:dyDescent="0.35">
      <c r="A1136" s="366">
        <v>7</v>
      </c>
      <c r="B1136" s="738" t="s">
        <v>906</v>
      </c>
      <c r="C1136" s="735"/>
      <c r="D1136" s="731"/>
      <c r="E1136" s="731"/>
      <c r="F1136" s="731"/>
      <c r="G1136" s="366" t="str">
        <f t="shared" ca="1" si="71"/>
        <v/>
      </c>
      <c r="H1136" s="366" t="s">
        <v>3970</v>
      </c>
      <c r="I1136" s="4"/>
      <c r="J1136" s="90"/>
      <c r="K1136" s="90"/>
      <c r="L1136" s="838"/>
      <c r="M1136" s="283"/>
      <c r="N1136" s="41"/>
      <c r="O1136" s="41"/>
      <c r="X1136" s="817"/>
      <c r="Y1136" s="1100"/>
      <c r="Z1136" s="1102"/>
    </row>
    <row r="1137" spans="1:45" x14ac:dyDescent="0.35">
      <c r="A1137" s="366">
        <v>7</v>
      </c>
      <c r="B1137" s="738" t="s">
        <v>906</v>
      </c>
      <c r="C1137" s="735"/>
      <c r="D1137" s="731"/>
      <c r="E1137" s="731"/>
      <c r="F1137" s="731"/>
      <c r="G1137" s="366" t="str">
        <f t="shared" ca="1" si="71"/>
        <v/>
      </c>
      <c r="H1137" s="366" t="s">
        <v>3970</v>
      </c>
      <c r="I1137" s="4"/>
      <c r="J1137" s="90"/>
      <c r="K1137" s="90"/>
      <c r="L1137" s="838"/>
      <c r="M1137" s="283"/>
      <c r="N1137" s="41"/>
      <c r="O1137" s="41"/>
      <c r="X1137" s="817"/>
      <c r="Y1137" s="1100"/>
      <c r="Z1137" s="1102"/>
    </row>
    <row r="1138" spans="1:45" ht="15" thickBot="1" x14ac:dyDescent="0.4">
      <c r="A1138" s="366">
        <v>7</v>
      </c>
      <c r="B1138" s="738" t="s">
        <v>906</v>
      </c>
      <c r="C1138" s="735"/>
      <c r="D1138" s="731"/>
      <c r="E1138" s="731"/>
      <c r="F1138" s="731"/>
      <c r="G1138" s="366" t="str">
        <f t="shared" ca="1" si="71"/>
        <v/>
      </c>
      <c r="H1138" s="366" t="s">
        <v>3970</v>
      </c>
      <c r="I1138" s="160"/>
      <c r="J1138" s="229"/>
      <c r="K1138" s="229"/>
      <c r="L1138" s="849"/>
      <c r="M1138" s="318"/>
      <c r="N1138" s="72"/>
      <c r="O1138" s="72"/>
      <c r="P1138" s="55"/>
      <c r="Q1138" s="55"/>
      <c r="R1138" s="55"/>
      <c r="S1138" s="55"/>
      <c r="T1138" s="55"/>
      <c r="U1138" s="55"/>
      <c r="V1138" s="55"/>
      <c r="W1138" s="55"/>
      <c r="X1138" s="829"/>
      <c r="Y1138" s="1101"/>
      <c r="Z1138" s="1104"/>
    </row>
    <row r="1139" spans="1:45" ht="15" thickTop="1" x14ac:dyDescent="0.35">
      <c r="A1139" s="366">
        <v>7</v>
      </c>
      <c r="B1139" s="738" t="s">
        <v>4578</v>
      </c>
      <c r="C1139" s="735"/>
      <c r="D1139" s="731"/>
      <c r="E1139" s="731"/>
      <c r="F1139" s="731"/>
      <c r="G1139" s="366" t="s">
        <v>3973</v>
      </c>
      <c r="H1139" s="366" t="s">
        <v>3970</v>
      </c>
      <c r="I1139" s="19">
        <v>703.3</v>
      </c>
      <c r="J1139" s="90"/>
      <c r="K1139" s="90"/>
      <c r="L1139" s="95" t="s">
        <v>909</v>
      </c>
      <c r="M1139" s="40"/>
      <c r="N1139" s="41"/>
      <c r="O1139" s="41"/>
    </row>
    <row r="1140" spans="1:45" x14ac:dyDescent="0.35">
      <c r="A1140" s="366">
        <v>7</v>
      </c>
      <c r="B1140" s="738" t="s">
        <v>908</v>
      </c>
      <c r="C1140" s="731" t="s">
        <v>256</v>
      </c>
      <c r="D1140" s="731"/>
      <c r="E1140" s="731"/>
      <c r="F1140" s="731"/>
      <c r="G1140" s="366" t="s">
        <v>3973</v>
      </c>
      <c r="H1140" s="366" t="s">
        <v>3970</v>
      </c>
      <c r="I1140" s="32" t="s">
        <v>908</v>
      </c>
      <c r="J1140" s="90"/>
      <c r="K1140" s="90"/>
      <c r="L1140" s="838" t="s">
        <v>910</v>
      </c>
      <c r="M1140" s="40"/>
      <c r="N1140" s="41"/>
      <c r="O1140" s="41"/>
      <c r="W1140" t="s">
        <v>3767</v>
      </c>
      <c r="X1140" s="817"/>
      <c r="Y1140" s="1100" t="str">
        <f>IF(LEN('Ch7'!X270)=0,"None",'Ch7'!X270)</f>
        <v>None</v>
      </c>
      <c r="Z1140" s="1102"/>
      <c r="AR1140" t="str">
        <f>SUBSTITUTE(SUBSTITUTE(SUBSTITUTE("vnt"&amp;$B1140&amp;$C1140&amp;$D1140&amp;$E1140,".","_"),"(","_"),")","")</f>
        <v>vnt703_3_0_1</v>
      </c>
      <c r="AS1140" t="str">
        <f>IF(LEN(X1140)=0,"",X1140)</f>
        <v/>
      </c>
    </row>
    <row r="1141" spans="1:45" x14ac:dyDescent="0.35">
      <c r="A1141" s="366">
        <v>7</v>
      </c>
      <c r="B1141" s="738" t="s">
        <v>908</v>
      </c>
      <c r="C1141" s="731" t="s">
        <v>256</v>
      </c>
      <c r="D1141" s="731"/>
      <c r="E1141" s="731"/>
      <c r="F1141" s="731"/>
      <c r="G1141" s="366" t="s">
        <v>3973</v>
      </c>
      <c r="H1141" s="366" t="s">
        <v>3970</v>
      </c>
      <c r="I1141" s="4"/>
      <c r="J1141" s="90"/>
      <c r="K1141" s="90"/>
      <c r="L1141" s="838"/>
      <c r="M1141" s="40"/>
      <c r="N1141" s="41"/>
      <c r="O1141" s="41"/>
      <c r="P1141" t="b">
        <v>1</v>
      </c>
      <c r="Q1141" t="b">
        <v>1</v>
      </c>
      <c r="R1141" t="b">
        <v>0</v>
      </c>
      <c r="S1141" t="b">
        <f ca="1">(S883=2)</f>
        <v>0</v>
      </c>
      <c r="T1141" t="b">
        <f ca="1">AND(NOT(S1141),LEN(W1141)&gt;0)</f>
        <v>0</v>
      </c>
      <c r="U1141" t="str">
        <f>SUBSTITUTE(SUBSTITUTE(SUBSTITUTE("dd"&amp;B1141&amp;C1141&amp;D1141&amp;E1141&amp;F1141,".","_"),"(","_"),")","")</f>
        <v>dd703_3_0_1</v>
      </c>
      <c r="W1141" s="9"/>
      <c r="X1141" s="817"/>
      <c r="Y1141" s="1100"/>
      <c r="Z1141" s="1102"/>
      <c r="AC1141" t="b">
        <f ca="1">OR(AD1141:AE1141)</f>
        <v>0</v>
      </c>
      <c r="AD1141" t="b">
        <f ca="1">T1141</f>
        <v>0</v>
      </c>
      <c r="AE1141" t="b">
        <f ca="1">AND(W1141=INDEX(INDIRECT(U1141),1),LEN(X1140)=0)</f>
        <v>0</v>
      </c>
      <c r="AP1141" t="str">
        <f>SUBSTITUTE(SUBSTITUTE(SUBSTITUTE("vch"&amp;$B1141&amp;$C1141&amp;$D1141&amp;$E1141,".","_"),"(","_"),")","")</f>
        <v>vch703_3_0_1</v>
      </c>
      <c r="AQ1141" t="str">
        <f>IF(LEN(W1141)=0,"",W1141)</f>
        <v/>
      </c>
    </row>
    <row r="1142" spans="1:45" x14ac:dyDescent="0.35">
      <c r="A1142" s="366">
        <v>7</v>
      </c>
      <c r="B1142" s="738" t="s">
        <v>908</v>
      </c>
      <c r="C1142" s="731"/>
      <c r="D1142" s="731"/>
      <c r="E1142" s="731"/>
      <c r="F1142" s="731"/>
      <c r="G1142" s="366" t="s">
        <v>3973</v>
      </c>
      <c r="H1142" s="366" t="s">
        <v>3970</v>
      </c>
      <c r="I1142" s="4"/>
      <c r="J1142" s="90"/>
      <c r="K1142" s="90"/>
      <c r="L1142" s="838"/>
      <c r="M1142" s="40"/>
      <c r="N1142" s="41"/>
      <c r="O1142" s="41"/>
      <c r="X1142" s="817"/>
      <c r="Y1142" s="1100"/>
      <c r="Z1142" s="1102"/>
    </row>
    <row r="1143" spans="1:45" x14ac:dyDescent="0.35">
      <c r="A1143" s="366">
        <v>7</v>
      </c>
      <c r="B1143" s="738" t="s">
        <v>908</v>
      </c>
      <c r="C1143" s="731"/>
      <c r="D1143" s="731"/>
      <c r="E1143" s="731"/>
      <c r="F1143" s="731"/>
      <c r="G1143" s="366" t="s">
        <v>3973</v>
      </c>
      <c r="H1143" s="366" t="s">
        <v>3970</v>
      </c>
      <c r="I1143" s="4"/>
      <c r="J1143" s="90"/>
      <c r="K1143" s="90"/>
      <c r="L1143" s="838"/>
      <c r="M1143" s="40"/>
      <c r="N1143" s="41"/>
      <c r="O1143" s="41"/>
      <c r="X1143" s="817"/>
      <c r="Y1143" s="1100"/>
      <c r="Z1143" s="1102"/>
    </row>
    <row r="1144" spans="1:45" x14ac:dyDescent="0.35">
      <c r="A1144" s="366">
        <v>7</v>
      </c>
      <c r="B1144" s="738" t="s">
        <v>908</v>
      </c>
      <c r="C1144" s="731"/>
      <c r="D1144" s="731"/>
      <c r="E1144" s="731"/>
      <c r="F1144" s="731"/>
      <c r="G1144" s="366" t="s">
        <v>3973</v>
      </c>
      <c r="H1144" s="366" t="s">
        <v>3970</v>
      </c>
      <c r="I1144" s="4"/>
      <c r="J1144" s="90"/>
      <c r="K1144" s="90"/>
      <c r="L1144" s="838"/>
      <c r="M1144" s="40"/>
      <c r="N1144" s="41"/>
      <c r="O1144" s="41"/>
      <c r="X1144" s="817"/>
      <c r="Y1144" s="1100"/>
      <c r="Z1144" s="1102"/>
    </row>
    <row r="1145" spans="1:45" x14ac:dyDescent="0.35">
      <c r="A1145" s="366">
        <v>7</v>
      </c>
      <c r="B1145" s="738" t="s">
        <v>908</v>
      </c>
      <c r="C1145" s="731"/>
      <c r="D1145" s="731"/>
      <c r="E1145" s="731"/>
      <c r="F1145" s="731"/>
      <c r="G1145" s="366" t="s">
        <v>3973</v>
      </c>
      <c r="H1145" s="366" t="s">
        <v>3970</v>
      </c>
      <c r="I1145" s="4"/>
      <c r="J1145" s="90"/>
      <c r="K1145" s="90"/>
      <c r="L1145" s="838"/>
      <c r="M1145" s="40"/>
      <c r="N1145" s="41"/>
      <c r="O1145" s="41"/>
      <c r="X1145" s="817"/>
      <c r="Y1145" s="1100"/>
      <c r="Z1145" s="1102"/>
    </row>
    <row r="1146" spans="1:45" x14ac:dyDescent="0.35">
      <c r="A1146" s="366">
        <v>7</v>
      </c>
      <c r="B1146" s="738" t="s">
        <v>908</v>
      </c>
      <c r="C1146" s="731"/>
      <c r="D1146" s="731"/>
      <c r="E1146" s="731"/>
      <c r="F1146" s="731"/>
      <c r="G1146" s="366" t="s">
        <v>3973</v>
      </c>
      <c r="H1146" s="366" t="s">
        <v>3970</v>
      </c>
      <c r="I1146" s="4"/>
      <c r="J1146" s="90"/>
      <c r="K1146" s="90"/>
      <c r="L1146" s="838"/>
      <c r="M1146" s="40"/>
      <c r="N1146" s="41"/>
      <c r="O1146" s="41"/>
      <c r="X1146" s="817"/>
      <c r="Y1146" s="1100"/>
      <c r="Z1146" s="1102"/>
    </row>
    <row r="1147" spans="1:45" x14ac:dyDescent="0.35">
      <c r="A1147" s="366">
        <v>7</v>
      </c>
      <c r="B1147" s="738" t="s">
        <v>908</v>
      </c>
      <c r="C1147" s="731" t="s">
        <v>258</v>
      </c>
      <c r="D1147" s="731"/>
      <c r="E1147" s="731"/>
      <c r="F1147" s="731"/>
      <c r="G1147" s="366" t="s">
        <v>3973</v>
      </c>
      <c r="H1147" s="366" t="s">
        <v>3970</v>
      </c>
      <c r="I1147" s="4"/>
      <c r="J1147" s="90"/>
      <c r="K1147" s="90"/>
      <c r="L1147" s="838"/>
      <c r="M1147" s="40"/>
      <c r="N1147" s="41"/>
      <c r="O1147" s="41"/>
      <c r="W1147" t="s">
        <v>3768</v>
      </c>
      <c r="X1147" s="817"/>
      <c r="Y1147" s="1100" t="str">
        <f>IF(LEN('Ch7'!X277)=0,"None",'Ch7'!X277)</f>
        <v>None</v>
      </c>
      <c r="Z1147" s="1102"/>
      <c r="AR1147" t="str">
        <f>SUBSTITUTE(SUBSTITUTE(SUBSTITUTE("vnt"&amp;$B1147&amp;$C1147&amp;$D1147&amp;$E1147,".","_"),"(","_"),")","")</f>
        <v>vnt703_3_0_2</v>
      </c>
      <c r="AS1147" t="str">
        <f>IF(LEN(X1147)=0,"",X1147)</f>
        <v/>
      </c>
    </row>
    <row r="1148" spans="1:45" x14ac:dyDescent="0.35">
      <c r="A1148" s="366">
        <v>7</v>
      </c>
      <c r="B1148" s="738" t="s">
        <v>908</v>
      </c>
      <c r="C1148" s="731" t="s">
        <v>258</v>
      </c>
      <c r="D1148" s="731"/>
      <c r="E1148" s="731"/>
      <c r="F1148" s="731"/>
      <c r="G1148" s="366" t="s">
        <v>3973</v>
      </c>
      <c r="H1148" s="366" t="s">
        <v>3970</v>
      </c>
      <c r="I1148" s="4"/>
      <c r="J1148" s="90"/>
      <c r="K1148" s="90"/>
      <c r="L1148" s="838"/>
      <c r="M1148" s="40"/>
      <c r="N1148" s="41"/>
      <c r="O1148" s="41"/>
      <c r="P1148" t="b">
        <v>1</v>
      </c>
      <c r="Q1148" t="b">
        <v>1</v>
      </c>
      <c r="R1148" t="b">
        <v>0</v>
      </c>
      <c r="S1148" t="b">
        <f ca="1">(S883=2)</f>
        <v>0</v>
      </c>
      <c r="T1148" t="b">
        <f ca="1">AND(NOT(S1148),LEN(W1148)&gt;0)</f>
        <v>0</v>
      </c>
      <c r="U1148" t="str">
        <f>SUBSTITUTE(SUBSTITUTE(SUBSTITUTE("dd"&amp;B1148&amp;C1148&amp;D1148&amp;E1148&amp;F1148,".","_"),"(","_"),")","")</f>
        <v>dd703_3_0_2</v>
      </c>
      <c r="W1148" s="9"/>
      <c r="X1148" s="817"/>
      <c r="Y1148" s="1100"/>
      <c r="Z1148" s="1102"/>
      <c r="AC1148" t="b">
        <f ca="1">OR(AD1148:AE1148)</f>
        <v>0</v>
      </c>
      <c r="AD1148" t="b">
        <f ca="1">T1148</f>
        <v>0</v>
      </c>
      <c r="AE1148" t="b">
        <f ca="1">AND(W1148=INDEX(INDIRECT(U1148),1),LEN(X1147)=0)</f>
        <v>0</v>
      </c>
      <c r="AP1148" t="str">
        <f>SUBSTITUTE(SUBSTITUTE(SUBSTITUTE("vch"&amp;$B1148&amp;$C1148&amp;$D1148&amp;$E1148,".","_"),"(","_"),")","")</f>
        <v>vch703_3_0_2</v>
      </c>
      <c r="AQ1148" t="str">
        <f>IF(LEN(W1148)=0,"",W1148)</f>
        <v/>
      </c>
    </row>
    <row r="1149" spans="1:45" x14ac:dyDescent="0.35">
      <c r="A1149" s="366">
        <v>7</v>
      </c>
      <c r="B1149" s="738" t="s">
        <v>908</v>
      </c>
      <c r="C1149" s="735"/>
      <c r="D1149" s="731"/>
      <c r="E1149" s="731"/>
      <c r="F1149" s="731"/>
      <c r="G1149" s="366" t="s">
        <v>3973</v>
      </c>
      <c r="H1149" s="366" t="s">
        <v>3970</v>
      </c>
      <c r="I1149" s="4"/>
      <c r="J1149" s="90"/>
      <c r="K1149" s="90"/>
      <c r="L1149" s="929" t="s">
        <v>1100</v>
      </c>
      <c r="M1149" s="40"/>
      <c r="N1149" s="41"/>
      <c r="O1149" s="41"/>
      <c r="X1149" s="817"/>
      <c r="Y1149" s="1100"/>
      <c r="Z1149" s="1102"/>
    </row>
    <row r="1150" spans="1:45" x14ac:dyDescent="0.35">
      <c r="A1150" s="366">
        <v>7</v>
      </c>
      <c r="B1150" s="738" t="s">
        <v>908</v>
      </c>
      <c r="C1150" s="735"/>
      <c r="D1150" s="731"/>
      <c r="E1150" s="731"/>
      <c r="F1150" s="731"/>
      <c r="G1150" s="366" t="s">
        <v>3973</v>
      </c>
      <c r="H1150" s="366" t="s">
        <v>3970</v>
      </c>
      <c r="I1150" s="4"/>
      <c r="J1150" s="90"/>
      <c r="K1150" s="90"/>
      <c r="L1150" s="929"/>
      <c r="M1150" s="40"/>
      <c r="N1150" s="41"/>
      <c r="O1150" s="41"/>
      <c r="X1150" s="817"/>
      <c r="Y1150" s="1100"/>
      <c r="Z1150" s="1102"/>
    </row>
    <row r="1151" spans="1:45" x14ac:dyDescent="0.35">
      <c r="A1151" s="366">
        <v>7</v>
      </c>
      <c r="B1151" s="738" t="s">
        <v>908</v>
      </c>
      <c r="C1151" s="735"/>
      <c r="D1151" s="731"/>
      <c r="E1151" s="731"/>
      <c r="F1151" s="731"/>
      <c r="G1151" s="366" t="s">
        <v>3973</v>
      </c>
      <c r="H1151" s="366" t="s">
        <v>3970</v>
      </c>
      <c r="I1151" s="4"/>
      <c r="J1151" s="90"/>
      <c r="K1151" s="90"/>
      <c r="L1151" s="154" t="s">
        <v>911</v>
      </c>
      <c r="M1151" s="40"/>
      <c r="N1151" s="41"/>
      <c r="O1151" s="41"/>
      <c r="X1151" s="817"/>
      <c r="Y1151" s="1100"/>
      <c r="Z1151" s="1102"/>
    </row>
    <row r="1152" spans="1:45" x14ac:dyDescent="0.35">
      <c r="A1152" s="366">
        <v>7</v>
      </c>
      <c r="B1152" s="738" t="s">
        <v>908</v>
      </c>
      <c r="C1152" s="735"/>
      <c r="D1152" s="731"/>
      <c r="E1152" s="731"/>
      <c r="F1152" s="731"/>
      <c r="G1152" s="366" t="s">
        <v>3973</v>
      </c>
      <c r="H1152" s="366" t="s">
        <v>3970</v>
      </c>
      <c r="I1152" s="4"/>
      <c r="J1152" s="90"/>
      <c r="K1152" s="90"/>
      <c r="L1152" s="154" t="s">
        <v>912</v>
      </c>
      <c r="M1152" s="40"/>
      <c r="N1152" s="41"/>
      <c r="O1152" s="41"/>
      <c r="X1152" s="817"/>
      <c r="Y1152" s="1100"/>
      <c r="Z1152" s="1102"/>
    </row>
    <row r="1153" spans="1:45" x14ac:dyDescent="0.35">
      <c r="A1153" s="366">
        <v>7</v>
      </c>
      <c r="B1153" s="738" t="s">
        <v>908</v>
      </c>
      <c r="C1153" s="735"/>
      <c r="D1153" s="731"/>
      <c r="E1153" s="731"/>
      <c r="F1153" s="731"/>
      <c r="G1153" s="366" t="s">
        <v>3973</v>
      </c>
      <c r="H1153" s="366" t="s">
        <v>3970</v>
      </c>
      <c r="I1153" s="133"/>
      <c r="J1153" s="228"/>
      <c r="K1153" s="228"/>
      <c r="L1153" s="337" t="s">
        <v>913</v>
      </c>
      <c r="M1153" s="40"/>
      <c r="N1153" s="41"/>
      <c r="O1153" s="41"/>
      <c r="X1153" s="817"/>
      <c r="Y1153" s="1100"/>
      <c r="Z1153" s="1102"/>
    </row>
    <row r="1154" spans="1:45" ht="15" customHeight="1" x14ac:dyDescent="0.35">
      <c r="A1154" s="366">
        <v>7</v>
      </c>
      <c r="B1154" s="738" t="s">
        <v>914</v>
      </c>
      <c r="C1154" s="735"/>
      <c r="D1154" s="731"/>
      <c r="E1154" s="731"/>
      <c r="F1154" s="731"/>
      <c r="G1154" s="366" t="str">
        <f ca="1">IF(N1154&gt;0,"P","")</f>
        <v/>
      </c>
      <c r="H1154" s="366" t="s">
        <v>3970</v>
      </c>
      <c r="I1154" s="32" t="s">
        <v>914</v>
      </c>
      <c r="J1154" s="90"/>
      <c r="K1154" s="90"/>
      <c r="L1154" s="883" t="s">
        <v>4275</v>
      </c>
      <c r="M1154" s="843">
        <v>4</v>
      </c>
      <c r="N1154" s="834">
        <f ca="1">'Ch7'!O284</f>
        <v>0</v>
      </c>
      <c r="O1154" s="834">
        <f ca="1">M1154*S1154*W1154</f>
        <v>0</v>
      </c>
      <c r="P1154" t="b">
        <v>1</v>
      </c>
      <c r="Q1154" t="b">
        <v>1</v>
      </c>
      <c r="R1154" t="b">
        <v>0</v>
      </c>
      <c r="S1154" t="b">
        <f ca="1">(S883=2)</f>
        <v>0</v>
      </c>
      <c r="T1154" t="b">
        <f ca="1">AND(NOT(S1154),W1154=TRUE)</f>
        <v>0</v>
      </c>
      <c r="W1154" s="17"/>
      <c r="X1154" s="817"/>
      <c r="Y1154" s="1100" t="str">
        <f>IF(LEN('Ch7'!X284)=0,"None",'Ch7'!X284)</f>
        <v>None</v>
      </c>
      <c r="Z1154" s="1102"/>
      <c r="AC1154" t="b">
        <f ca="1">OR(AD1154:AE1154)</f>
        <v>0</v>
      </c>
      <c r="AD1154" t="b">
        <f ca="1">T1154</f>
        <v>0</v>
      </c>
      <c r="AL1154" t="str">
        <f>SUBSTITUTE(SUBSTITUTE(SUBSTITUTE("vpa"&amp;$B1154&amp;$C1154&amp;$D1154&amp;$E1154,".","_"),"(","_"),")","")</f>
        <v>vpa703_3_1</v>
      </c>
      <c r="AM1154">
        <f>M1154</f>
        <v>4</v>
      </c>
      <c r="AN1154" t="str">
        <f>SUBSTITUTE(SUBSTITUTE(SUBSTITUTE("vpc"&amp;$B1154&amp;$C1154&amp;$D1154&amp;$E1154,".","_"),"(","_"),")","")</f>
        <v>vpc703_3_1</v>
      </c>
      <c r="AO1154">
        <f ca="1">O1154</f>
        <v>0</v>
      </c>
      <c r="AP1154" t="str">
        <f>SUBSTITUTE(SUBSTITUTE(SUBSTITUTE("vch"&amp;$B1154&amp;$C1154&amp;$D1154&amp;$E1154,".","_"),"(","_"),")","")</f>
        <v>vch703_3_1</v>
      </c>
      <c r="AQ1154" t="str">
        <f>IF(LEN(W1154)=0,"",W1154)</f>
        <v/>
      </c>
      <c r="AR1154" t="str">
        <f>SUBSTITUTE(SUBSTITUTE(SUBSTITUTE("vnt"&amp;$B1154&amp;$C1154&amp;$D1154&amp;$E1154,".","_"),"(","_"),")","")</f>
        <v>vnt703_3_1</v>
      </c>
      <c r="AS1154" t="str">
        <f>IF(LEN(X1154)=0,"",X1154)</f>
        <v/>
      </c>
    </row>
    <row r="1155" spans="1:45" x14ac:dyDescent="0.35">
      <c r="A1155" s="366">
        <v>7</v>
      </c>
      <c r="B1155" s="738" t="s">
        <v>914</v>
      </c>
      <c r="C1155" s="735"/>
      <c r="D1155" s="731"/>
      <c r="E1155" s="731"/>
      <c r="F1155" s="731"/>
      <c r="G1155" s="366" t="str">
        <f ca="1">G1154</f>
        <v/>
      </c>
      <c r="H1155" s="366" t="s">
        <v>3970</v>
      </c>
      <c r="I1155" s="4"/>
      <c r="J1155" s="90"/>
      <c r="K1155" s="90"/>
      <c r="L1155" s="881"/>
      <c r="M1155" s="843"/>
      <c r="N1155" s="834"/>
      <c r="O1155" s="834"/>
      <c r="X1155" s="817"/>
      <c r="Y1155" s="1100"/>
      <c r="Z1155" s="1102"/>
    </row>
    <row r="1156" spans="1:45" x14ac:dyDescent="0.35">
      <c r="A1156" s="366">
        <v>7</v>
      </c>
      <c r="B1156" s="738" t="s">
        <v>914</v>
      </c>
      <c r="C1156" s="735"/>
      <c r="D1156" s="731"/>
      <c r="E1156" s="731"/>
      <c r="F1156" s="731"/>
      <c r="G1156" s="366" t="str">
        <f ca="1">G1155</f>
        <v/>
      </c>
      <c r="H1156" s="366" t="s">
        <v>3970</v>
      </c>
      <c r="I1156" s="4"/>
      <c r="J1156" s="90"/>
      <c r="K1156" s="90"/>
      <c r="L1156" s="881"/>
      <c r="M1156" s="843"/>
      <c r="N1156" s="834"/>
      <c r="O1156" s="834"/>
      <c r="S1156" s="242" t="s">
        <v>3775</v>
      </c>
      <c r="T1156" s="1" t="str">
        <f>BF886</f>
        <v>!!</v>
      </c>
      <c r="X1156" s="817"/>
      <c r="Y1156" s="1100"/>
      <c r="Z1156" s="1102"/>
    </row>
    <row r="1157" spans="1:45" x14ac:dyDescent="0.35">
      <c r="A1157" s="366">
        <v>7</v>
      </c>
      <c r="B1157" s="738" t="s">
        <v>914</v>
      </c>
      <c r="C1157" s="735"/>
      <c r="D1157" s="731"/>
      <c r="E1157" s="731"/>
      <c r="F1157" s="731"/>
      <c r="G1157" s="366" t="str">
        <f ca="1">G1156</f>
        <v/>
      </c>
      <c r="H1157" s="366" t="s">
        <v>3970</v>
      </c>
      <c r="I1157" s="4"/>
      <c r="J1157" s="90"/>
      <c r="K1157" s="90"/>
      <c r="L1157" s="881"/>
      <c r="M1157" s="843"/>
      <c r="N1157" s="834"/>
      <c r="O1157" s="834"/>
      <c r="R1157" s="1"/>
      <c r="S1157" s="242" t="s">
        <v>5793</v>
      </c>
      <c r="T1157" s="1" t="b">
        <f>AND(AY898&gt;3,AY889=INDEX(ddSingleOrMulti,2))</f>
        <v>0</v>
      </c>
      <c r="X1157" s="817"/>
      <c r="Y1157" s="1100"/>
      <c r="Z1157" s="1102"/>
    </row>
    <row r="1158" spans="1:45" x14ac:dyDescent="0.35">
      <c r="A1158" s="366">
        <v>7</v>
      </c>
      <c r="B1158" s="738" t="s">
        <v>914</v>
      </c>
      <c r="C1158" s="735"/>
      <c r="D1158" s="731"/>
      <c r="E1158" s="731"/>
      <c r="F1158" s="731"/>
      <c r="G1158" s="366" t="str">
        <f ca="1">G1157</f>
        <v/>
      </c>
      <c r="H1158" s="366" t="s">
        <v>3970</v>
      </c>
      <c r="I1158" s="133"/>
      <c r="J1158" s="228"/>
      <c r="K1158" s="228"/>
      <c r="L1158" s="882"/>
      <c r="M1158" s="906"/>
      <c r="N1158" s="835"/>
      <c r="O1158" s="835"/>
      <c r="X1158" s="817"/>
      <c r="Y1158" s="1100"/>
      <c r="Z1158" s="1102"/>
    </row>
    <row r="1159" spans="1:45" x14ac:dyDescent="0.35">
      <c r="A1159" s="366">
        <v>7</v>
      </c>
      <c r="B1159" s="738" t="s">
        <v>915</v>
      </c>
      <c r="C1159" s="735"/>
      <c r="D1159" s="731"/>
      <c r="E1159" s="731"/>
      <c r="F1159" s="731"/>
      <c r="G1159" s="727" t="str">
        <f ca="1">IF(COUNTIF(G1160:G1174,"P")&gt;0,"P","")</f>
        <v>P</v>
      </c>
      <c r="H1159" s="366" t="s">
        <v>3970</v>
      </c>
      <c r="I1159" s="32" t="s">
        <v>915</v>
      </c>
      <c r="J1159" s="90"/>
      <c r="K1159" s="90"/>
      <c r="L1159" s="95" t="s">
        <v>916</v>
      </c>
      <c r="M1159" s="271"/>
      <c r="N1159" s="41"/>
      <c r="O1159" s="41"/>
    </row>
    <row r="1160" spans="1:45" x14ac:dyDescent="0.35">
      <c r="A1160" s="366">
        <v>7</v>
      </c>
      <c r="B1160" s="738" t="s">
        <v>915</v>
      </c>
      <c r="C1160" s="731" t="s">
        <v>256</v>
      </c>
      <c r="D1160" s="731"/>
      <c r="E1160" s="731"/>
      <c r="F1160" s="731"/>
      <c r="G1160" s="366" t="str">
        <f ca="1">IF(N1160&gt;0,"P","")</f>
        <v>P</v>
      </c>
      <c r="H1160" s="366" t="s">
        <v>3970</v>
      </c>
      <c r="I1160" s="4"/>
      <c r="J1160" s="152" t="s">
        <v>256</v>
      </c>
      <c r="K1160" s="90"/>
      <c r="L1160" s="90" t="s">
        <v>917</v>
      </c>
      <c r="M1160" s="40"/>
      <c r="N1160" s="41">
        <f ca="1">'Ch7'!O290</f>
        <v>9</v>
      </c>
      <c r="O1160" s="41">
        <f ca="1">IFERROR(INDEX(M1161:M1165,MATCH(W1161,{0.9,0.92,0.94,0.96,0.98},1)),0)*S1161</f>
        <v>0</v>
      </c>
      <c r="W1160" t="s">
        <v>3784</v>
      </c>
      <c r="X1160" s="817"/>
      <c r="Y1160" s="1100" t="str">
        <f>IF(LEN('Ch7'!X290)=0,"None",'Ch7'!X290)</f>
        <v>None</v>
      </c>
      <c r="Z1160" s="1102"/>
      <c r="AN1160" t="str">
        <f>SUBSTITUTE(SUBSTITUTE(SUBSTITUTE("vpc"&amp;$B1160&amp;$C1160&amp;$D1160&amp;$E1160,".","_"),"(","_"),")","")</f>
        <v>vpc703_3_2 _1</v>
      </c>
      <c r="AO1160">
        <f ca="1">O1160</f>
        <v>0</v>
      </c>
      <c r="AR1160" t="str">
        <f>SUBSTITUTE(SUBSTITUTE(SUBSTITUTE("vnt"&amp;$B1160&amp;$C1160&amp;$D1160&amp;$E1160,".","_"),"(","_"),")","")</f>
        <v>vnt703_3_2 _1</v>
      </c>
      <c r="AS1160" t="str">
        <f>IF(LEN(X1160)=0,"",X1160)</f>
        <v/>
      </c>
    </row>
    <row r="1161" spans="1:45" x14ac:dyDescent="0.35">
      <c r="A1161" s="366">
        <v>7</v>
      </c>
      <c r="B1161" s="738" t="s">
        <v>915</v>
      </c>
      <c r="C1161" s="731" t="s">
        <v>256</v>
      </c>
      <c r="D1161" s="731" t="s">
        <v>256</v>
      </c>
      <c r="E1161" s="731"/>
      <c r="F1161" s="731"/>
      <c r="G1161" s="366" t="str">
        <f ca="1">G1160</f>
        <v>P</v>
      </c>
      <c r="H1161" s="366" t="s">
        <v>3970</v>
      </c>
      <c r="I1161" s="4"/>
      <c r="J1161" s="152"/>
      <c r="K1161" s="90"/>
      <c r="L1161" s="90" t="s">
        <v>3769</v>
      </c>
      <c r="M1161" s="40">
        <f>IF(T1157,IFERROR(INDEX({0,4,4,8,8,10,11,13},T1156),0),IFERROR(INDEX({0,2,3,6,6,9,10,12},T1156),0))</f>
        <v>0</v>
      </c>
      <c r="N1161" s="41"/>
      <c r="O1161" s="41"/>
      <c r="P1161" t="b">
        <v>1</v>
      </c>
      <c r="Q1161" t="b">
        <v>1</v>
      </c>
      <c r="R1161" t="b">
        <v>0</v>
      </c>
      <c r="S1161" t="b">
        <f ca="1">AND(S883=2,LEN(W1167)=0,LEN(W1170)=0,LEN(W1175)=0,LEN(W1181)=0,LEN(W1188)=0,NOT(W1201=TRUE),LEN(W1206)=0)</f>
        <v>0</v>
      </c>
      <c r="T1161" t="b">
        <f ca="1">AND(NOT(S1161),LEN(W1161)&gt;0)</f>
        <v>0</v>
      </c>
      <c r="W1161" s="299"/>
      <c r="X1161" s="817"/>
      <c r="Y1161" s="1100"/>
      <c r="Z1161" s="1102"/>
      <c r="AC1161" t="b">
        <f ca="1">OR(AD1161:AE1161)</f>
        <v>0</v>
      </c>
      <c r="AD1161" t="b">
        <f ca="1">T1161</f>
        <v>0</v>
      </c>
      <c r="AL1161" t="str">
        <f>SUBSTITUTE(SUBSTITUTE(SUBSTITUTE("vpa"&amp;$B1161&amp;$C1161&amp;$D1161&amp;$E1161,".","_"),"(","_"),")","")</f>
        <v>vpa703_3_2 _1_1</v>
      </c>
      <c r="AM1161">
        <f>M1161</f>
        <v>0</v>
      </c>
      <c r="AP1161" t="str">
        <f>SUBSTITUTE(SUBSTITUTE(SUBSTITUTE("vch"&amp;$B1161&amp;$C1161&amp;$D1161&amp;$E1161,".","_"),"(","_"),")","")</f>
        <v>vch703_3_2 _1_1</v>
      </c>
      <c r="AQ1161" t="str">
        <f>IF(LEN(W1161)=0,"",W1161)</f>
        <v/>
      </c>
    </row>
    <row r="1162" spans="1:45" x14ac:dyDescent="0.35">
      <c r="A1162" s="366">
        <v>7</v>
      </c>
      <c r="B1162" s="738" t="s">
        <v>915</v>
      </c>
      <c r="C1162" s="731" t="s">
        <v>256</v>
      </c>
      <c r="D1162" s="731" t="s">
        <v>258</v>
      </c>
      <c r="E1162" s="731"/>
      <c r="F1162" s="731"/>
      <c r="G1162" s="366" t="str">
        <f ca="1">G1161</f>
        <v>P</v>
      </c>
      <c r="H1162" s="366" t="s">
        <v>3970</v>
      </c>
      <c r="I1162" s="4"/>
      <c r="J1162" s="152"/>
      <c r="K1162" s="90"/>
      <c r="L1162" s="90" t="s">
        <v>3770</v>
      </c>
      <c r="M1162" s="40">
        <f>IF(T1157,IFERROR(INDEX({0,4,4,9,10,11,12,14},T1156),0),IFERROR(INDEX({0,2,4,7,8,10,12,14},T1156),0))</f>
        <v>0</v>
      </c>
      <c r="N1162" s="41"/>
      <c r="O1162" s="41"/>
      <c r="X1162" s="817"/>
      <c r="Y1162" s="1100"/>
      <c r="Z1162" s="1102"/>
      <c r="AL1162" t="str">
        <f>SUBSTITUTE(SUBSTITUTE(SUBSTITUTE("vpa"&amp;$B1162&amp;$C1162&amp;$D1162&amp;$E1162,".","_"),"(","_"),")","")</f>
        <v>vpa703_3_2 _1_2</v>
      </c>
      <c r="AM1162">
        <f>M1162</f>
        <v>0</v>
      </c>
    </row>
    <row r="1163" spans="1:45" x14ac:dyDescent="0.35">
      <c r="A1163" s="366">
        <v>7</v>
      </c>
      <c r="B1163" s="738" t="s">
        <v>915</v>
      </c>
      <c r="C1163" s="731" t="s">
        <v>256</v>
      </c>
      <c r="D1163" s="731" t="s">
        <v>260</v>
      </c>
      <c r="E1163" s="731"/>
      <c r="F1163" s="731"/>
      <c r="G1163" s="366" t="str">
        <f ca="1">G1162</f>
        <v>P</v>
      </c>
      <c r="H1163" s="366" t="s">
        <v>3970</v>
      </c>
      <c r="I1163" s="4"/>
      <c r="J1163" s="152"/>
      <c r="K1163" s="90"/>
      <c r="L1163" s="90" t="s">
        <v>3771</v>
      </c>
      <c r="M1163" s="40">
        <f>IF(T1157,IFERROR(INDEX({0,5,5,10,11,12,14,16},T1156),0),IFERROR(INDEX({0,3,4,9,9,12,14,16},T1156),0))</f>
        <v>0</v>
      </c>
      <c r="N1163" s="41"/>
      <c r="O1163" s="41"/>
      <c r="X1163" s="817"/>
      <c r="Y1163" s="1100"/>
      <c r="Z1163" s="1102"/>
      <c r="AL1163" t="str">
        <f>SUBSTITUTE(SUBSTITUTE(SUBSTITUTE("vpa"&amp;$B1163&amp;$C1163&amp;$D1163&amp;$E1163,".","_"),"(","_"),")","")</f>
        <v>vpa703_3_2 _1_3</v>
      </c>
      <c r="AM1163">
        <f>M1163</f>
        <v>0</v>
      </c>
    </row>
    <row r="1164" spans="1:45" x14ac:dyDescent="0.35">
      <c r="A1164" s="366">
        <v>7</v>
      </c>
      <c r="B1164" s="738" t="s">
        <v>915</v>
      </c>
      <c r="C1164" s="731" t="s">
        <v>256</v>
      </c>
      <c r="D1164" s="731" t="s">
        <v>269</v>
      </c>
      <c r="E1164" s="731"/>
      <c r="F1164" s="731"/>
      <c r="G1164" s="366" t="str">
        <f ca="1">G1163</f>
        <v>P</v>
      </c>
      <c r="H1164" s="366" t="s">
        <v>3970</v>
      </c>
      <c r="I1164" s="4"/>
      <c r="J1164" s="152"/>
      <c r="K1164" s="90"/>
      <c r="L1164" s="90" t="s">
        <v>3772</v>
      </c>
      <c r="M1164" s="40">
        <f>IF(T1157,IFERROR(INDEX({0,5,5,12,12,13,15,17},T1156),0),IFERROR(INDEX({1,3,5,10,10,14,16,19},T1156),0))</f>
        <v>0</v>
      </c>
      <c r="N1164" s="41"/>
      <c r="O1164" s="41"/>
      <c r="X1164" s="817"/>
      <c r="Y1164" s="1100"/>
      <c r="Z1164" s="1102"/>
      <c r="AL1164" t="str">
        <f>SUBSTITUTE(SUBSTITUTE(SUBSTITUTE("vpa"&amp;$B1164&amp;$C1164&amp;$D1164&amp;$E1164,".","_"),"(","_"),")","")</f>
        <v>vpa703_3_2 _1_4</v>
      </c>
      <c r="AM1164">
        <f>M1164</f>
        <v>0</v>
      </c>
    </row>
    <row r="1165" spans="1:45" x14ac:dyDescent="0.35">
      <c r="A1165" s="366">
        <v>7</v>
      </c>
      <c r="B1165" s="738" t="s">
        <v>915</v>
      </c>
      <c r="C1165" s="731" t="s">
        <v>256</v>
      </c>
      <c r="D1165" s="731" t="s">
        <v>275</v>
      </c>
      <c r="E1165" s="731"/>
      <c r="F1165" s="731"/>
      <c r="G1165" s="366" t="str">
        <f ca="1">G1164</f>
        <v>P</v>
      </c>
      <c r="H1165" s="366" t="s">
        <v>3970</v>
      </c>
      <c r="I1165" s="4"/>
      <c r="J1165" s="228"/>
      <c r="K1165" s="228"/>
      <c r="L1165" s="228" t="s">
        <v>3773</v>
      </c>
      <c r="M1165" s="268">
        <f>IF(T1157,IFERROR(INDEX({0,6,6,13,13,14,16,18},T1156),0),IFERROR(INDEX({1,3,6,11,12,16,18,21},T1156),0))</f>
        <v>0</v>
      </c>
      <c r="N1165" s="546"/>
      <c r="O1165" s="546"/>
      <c r="X1165" s="817"/>
      <c r="Y1165" s="1100"/>
      <c r="Z1165" s="1102"/>
      <c r="AL1165" t="str">
        <f>SUBSTITUTE(SUBSTITUTE(SUBSTITUTE("vpa"&amp;$B1165&amp;$C1165&amp;$D1165&amp;$E1165,".","_"),"(","_"),")","")</f>
        <v>vpa703_3_2 _1_5</v>
      </c>
      <c r="AM1165">
        <f>M1165</f>
        <v>0</v>
      </c>
    </row>
    <row r="1166" spans="1:45" x14ac:dyDescent="0.35">
      <c r="A1166" s="366">
        <v>7</v>
      </c>
      <c r="B1166" s="738" t="s">
        <v>915</v>
      </c>
      <c r="C1166" s="731" t="s">
        <v>258</v>
      </c>
      <c r="D1166" s="731"/>
      <c r="E1166" s="731"/>
      <c r="F1166" s="731"/>
      <c r="G1166" s="366" t="str">
        <f ca="1">IF(N1166&gt;0,"P","")</f>
        <v/>
      </c>
      <c r="H1166" s="366" t="s">
        <v>3970</v>
      </c>
      <c r="I1166" s="4"/>
      <c r="J1166" s="152" t="s">
        <v>258</v>
      </c>
      <c r="K1166" s="90"/>
      <c r="L1166" s="90" t="s">
        <v>918</v>
      </c>
      <c r="M1166" s="40"/>
      <c r="N1166" s="41">
        <f ca="1">'Ch7'!O296</f>
        <v>0</v>
      </c>
      <c r="O1166" s="41">
        <f ca="1">IFERROR(INDEX(M1167:M1168,MATCH(W1167,{0.85,0.9},1)),0)*S1167</f>
        <v>0</v>
      </c>
      <c r="W1166" t="s">
        <v>3784</v>
      </c>
      <c r="X1166" s="817"/>
      <c r="Y1166" s="1100" t="str">
        <f>IF(LEN('Ch7'!X296)=0,"None",'Ch7'!X296)</f>
        <v>None</v>
      </c>
      <c r="Z1166" s="1102"/>
      <c r="AN1166" t="str">
        <f>SUBSTITUTE(SUBSTITUTE(SUBSTITUTE("vpc"&amp;$B1166&amp;$C1166&amp;$D1166&amp;$E1166,".","_"),"(","_"),")","")</f>
        <v>vpc703_3_2 _2</v>
      </c>
      <c r="AO1166">
        <f ca="1">O1166</f>
        <v>0</v>
      </c>
      <c r="AR1166" t="str">
        <f>SUBSTITUTE(SUBSTITUTE(SUBSTITUTE("vnt"&amp;$B1166&amp;$C1166&amp;$D1166&amp;$E1166,".","_"),"(","_"),")","")</f>
        <v>vnt703_3_2 _2</v>
      </c>
      <c r="AS1166" t="str">
        <f>IF(LEN(X1166)=0,"",X1166)</f>
        <v/>
      </c>
    </row>
    <row r="1167" spans="1:45" x14ac:dyDescent="0.35">
      <c r="A1167" s="366">
        <v>7</v>
      </c>
      <c r="B1167" s="738" t="s">
        <v>915</v>
      </c>
      <c r="C1167" s="731" t="s">
        <v>258</v>
      </c>
      <c r="D1167" s="731" t="s">
        <v>256</v>
      </c>
      <c r="E1167" s="731"/>
      <c r="F1167" s="731"/>
      <c r="G1167" s="366" t="str">
        <f ca="1">G1166</f>
        <v/>
      </c>
      <c r="H1167" s="366" t="s">
        <v>3970</v>
      </c>
      <c r="I1167" s="4"/>
      <c r="J1167" s="152"/>
      <c r="K1167" s="90"/>
      <c r="L1167" s="90" t="s">
        <v>3774</v>
      </c>
      <c r="M1167" s="40">
        <f>IFERROR(INDEX({0,1,2,3,3,4,5,6},T1156),0)</f>
        <v>0</v>
      </c>
      <c r="N1167" s="41"/>
      <c r="O1167" s="41"/>
      <c r="P1167" t="b">
        <v>1</v>
      </c>
      <c r="Q1167" t="b">
        <v>1</v>
      </c>
      <c r="R1167" t="b">
        <v>0</v>
      </c>
      <c r="S1167" t="b">
        <f ca="1">AND(S883=2,LEN(W1161)=0,LEN(W1170)=0,LEN(W1175)=0,LEN(W1181)=0,LEN(W1186)=0,LEN(W1188)=0,NOT(W1201=TRUE),LEN(W1206)=0)</f>
        <v>0</v>
      </c>
      <c r="T1167" t="b">
        <f ca="1">AND(NOT(S1167),LEN(W1167)&gt;0)</f>
        <v>0</v>
      </c>
      <c r="W1167" s="299"/>
      <c r="X1167" s="817"/>
      <c r="Y1167" s="1100"/>
      <c r="Z1167" s="1102"/>
      <c r="AC1167" t="b">
        <f ca="1">OR(AD1167:AE1167)</f>
        <v>0</v>
      </c>
      <c r="AD1167" t="b">
        <f ca="1">T1167</f>
        <v>0</v>
      </c>
      <c r="AL1167" t="str">
        <f>SUBSTITUTE(SUBSTITUTE(SUBSTITUTE("vpa"&amp;$B1167&amp;$C1167&amp;$D1167&amp;$E1167,".","_"),"(","_"),")","")</f>
        <v>vpa703_3_2 _2_1</v>
      </c>
      <c r="AM1167">
        <f>M1167</f>
        <v>0</v>
      </c>
      <c r="AP1167" t="str">
        <f>SUBSTITUTE(SUBSTITUTE(SUBSTITUTE("vch"&amp;$B1167&amp;$C1167&amp;$D1167&amp;$E1167,".","_"),"(","_"),")","")</f>
        <v>vch703_3_2 _2_1</v>
      </c>
      <c r="AQ1167" t="str">
        <f>IF(LEN(W1167)=0,"",W1167)</f>
        <v/>
      </c>
    </row>
    <row r="1168" spans="1:45" x14ac:dyDescent="0.35">
      <c r="A1168" s="366">
        <v>7</v>
      </c>
      <c r="B1168" s="738" t="s">
        <v>915</v>
      </c>
      <c r="C1168" s="731" t="s">
        <v>258</v>
      </c>
      <c r="D1168" s="731" t="s">
        <v>258</v>
      </c>
      <c r="E1168" s="731"/>
      <c r="F1168" s="731"/>
      <c r="G1168" s="366" t="str">
        <f ca="1">G1167</f>
        <v/>
      </c>
      <c r="H1168" s="366" t="s">
        <v>3970</v>
      </c>
      <c r="I1168" s="4"/>
      <c r="J1168" s="228"/>
      <c r="K1168" s="228"/>
      <c r="L1168" s="228" t="s">
        <v>3769</v>
      </c>
      <c r="M1168" s="268">
        <f>IFERROR(INDEX({0,2,3,6,6,9,10,12},T1156),0)</f>
        <v>0</v>
      </c>
      <c r="N1168" s="546"/>
      <c r="O1168" s="546"/>
      <c r="X1168" s="817"/>
      <c r="Y1168" s="1100"/>
      <c r="Z1168" s="1102"/>
      <c r="AL1168" t="str">
        <f>SUBSTITUTE(SUBSTITUTE(SUBSTITUTE("vpa"&amp;$B1168&amp;$C1168&amp;$D1168&amp;$E1168,".","_"),"(","_"),")","")</f>
        <v>vpa703_3_2 _2_2</v>
      </c>
      <c r="AM1168">
        <f>M1168</f>
        <v>0</v>
      </c>
    </row>
    <row r="1169" spans="1:45" x14ac:dyDescent="0.35">
      <c r="A1169" s="366">
        <v>7</v>
      </c>
      <c r="B1169" s="738" t="s">
        <v>915</v>
      </c>
      <c r="C1169" s="731" t="s">
        <v>260</v>
      </c>
      <c r="D1169" s="731"/>
      <c r="E1169" s="731"/>
      <c r="F1169" s="731"/>
      <c r="G1169" s="366" t="str">
        <f ca="1">IF(N1169&gt;0,"P","")</f>
        <v/>
      </c>
      <c r="H1169" s="366" t="s">
        <v>3970</v>
      </c>
      <c r="I1169" s="4"/>
      <c r="J1169" s="152" t="s">
        <v>260</v>
      </c>
      <c r="K1169" s="90"/>
      <c r="L1169" s="90" t="s">
        <v>919</v>
      </c>
      <c r="M1169" s="40"/>
      <c r="N1169" s="41">
        <f ca="1">'Ch7'!O299</f>
        <v>0</v>
      </c>
      <c r="O1169" s="41">
        <f ca="1">IFERROR(INDEX(M1170:M1173,MATCH(W1170,{0.85,0.9,0.94,0.96},1)),0)*S1170</f>
        <v>0</v>
      </c>
      <c r="W1169" t="s">
        <v>3784</v>
      </c>
      <c r="X1169" s="817"/>
      <c r="Y1169" s="1100" t="str">
        <f>IF(LEN('Ch7'!X299)=0,"None",'Ch7'!X299)</f>
        <v>None</v>
      </c>
      <c r="Z1169" s="1102"/>
      <c r="AN1169" t="str">
        <f>SUBSTITUTE(SUBSTITUTE(SUBSTITUTE("vpc"&amp;$B1169&amp;$C1169&amp;$D1169&amp;$E1169,".","_"),"(","_"),")","")</f>
        <v>vpc703_3_2 _3</v>
      </c>
      <c r="AO1169">
        <f ca="1">O1169</f>
        <v>0</v>
      </c>
      <c r="AR1169" t="str">
        <f>SUBSTITUTE(SUBSTITUTE(SUBSTITUTE("vnt"&amp;$B1169&amp;$C1169&amp;$D1169&amp;$E1169,".","_"),"(","_"),")","")</f>
        <v>vnt703_3_2 _3</v>
      </c>
      <c r="AS1169" t="str">
        <f>IF(LEN(X1169)=0,"",X1169)</f>
        <v/>
      </c>
    </row>
    <row r="1170" spans="1:45" x14ac:dyDescent="0.35">
      <c r="A1170" s="366">
        <v>7</v>
      </c>
      <c r="B1170" s="738" t="s">
        <v>915</v>
      </c>
      <c r="C1170" s="731" t="s">
        <v>260</v>
      </c>
      <c r="D1170" s="731" t="s">
        <v>256</v>
      </c>
      <c r="E1170" s="731"/>
      <c r="F1170" s="731"/>
      <c r="G1170" s="366" t="str">
        <f ca="1">G1169</f>
        <v/>
      </c>
      <c r="H1170" s="366" t="s">
        <v>3970</v>
      </c>
      <c r="I1170" s="4"/>
      <c r="J1170" s="152"/>
      <c r="K1170" s="90"/>
      <c r="L1170" s="90" t="s">
        <v>3774</v>
      </c>
      <c r="M1170" s="40">
        <f>IFERROR(INDEX({0,1,1,2,3,4,4,4},T1156),0)</f>
        <v>0</v>
      </c>
      <c r="N1170" s="41"/>
      <c r="O1170" s="41"/>
      <c r="P1170" t="b">
        <v>1</v>
      </c>
      <c r="Q1170" t="b">
        <v>1</v>
      </c>
      <c r="R1170" t="b">
        <v>0</v>
      </c>
      <c r="S1170" t="b">
        <f ca="1">AND(S883=2,LEN(W1161)=0,LEN(W1167)=0,LEN(W1175)=0,LEN(W1181)=0,LEN(W1186)=0,LEN(W1188)=0,NOT(W1201=TRUE),LEN(W1206)=0)</f>
        <v>0</v>
      </c>
      <c r="T1170" t="b">
        <f ca="1">AND(NOT(S1170),LEN(W1170)&gt;0)</f>
        <v>0</v>
      </c>
      <c r="W1170" s="299"/>
      <c r="X1170" s="817"/>
      <c r="Y1170" s="1100"/>
      <c r="Z1170" s="1102"/>
      <c r="AC1170" t="b">
        <f ca="1">OR(AD1170:AE1170)</f>
        <v>0</v>
      </c>
      <c r="AD1170" t="b">
        <f ca="1">T1170</f>
        <v>0</v>
      </c>
      <c r="AL1170" t="str">
        <f>SUBSTITUTE(SUBSTITUTE(SUBSTITUTE("vpa"&amp;$B1170&amp;$C1170&amp;$D1170&amp;$E1170,".","_"),"(","_"),")","")</f>
        <v>vpa703_3_2 _3_1</v>
      </c>
      <c r="AM1170">
        <f>M1170</f>
        <v>0</v>
      </c>
      <c r="AP1170" t="str">
        <f>SUBSTITUTE(SUBSTITUTE(SUBSTITUTE("vch"&amp;$B1170&amp;$C1170&amp;$D1170&amp;$E1170,".","_"),"(","_"),")","")</f>
        <v>vch703_3_2 _3_1</v>
      </c>
      <c r="AQ1170" t="str">
        <f>IF(LEN(W1170)=0,"",W1170)</f>
        <v/>
      </c>
    </row>
    <row r="1171" spans="1:45" x14ac:dyDescent="0.35">
      <c r="A1171" s="366">
        <v>7</v>
      </c>
      <c r="B1171" s="738" t="s">
        <v>915</v>
      </c>
      <c r="C1171" s="731" t="s">
        <v>260</v>
      </c>
      <c r="D1171" s="731" t="s">
        <v>258</v>
      </c>
      <c r="E1171" s="731"/>
      <c r="F1171" s="731"/>
      <c r="G1171" s="366" t="str">
        <f ca="1">G1170</f>
        <v/>
      </c>
      <c r="H1171" s="366" t="s">
        <v>3970</v>
      </c>
      <c r="I1171" s="4"/>
      <c r="J1171" s="152"/>
      <c r="K1171" s="90"/>
      <c r="L1171" s="90" t="s">
        <v>3769</v>
      </c>
      <c r="M1171" s="40">
        <f>IFERROR(INDEX({0,1,2,4,6,7,8,6},T1156),0)</f>
        <v>0</v>
      </c>
      <c r="N1171" s="41"/>
      <c r="O1171" s="41"/>
      <c r="X1171" s="817"/>
      <c r="Y1171" s="1100"/>
      <c r="Z1171" s="1102"/>
      <c r="AL1171" t="str">
        <f>SUBSTITUTE(SUBSTITUTE(SUBSTITUTE("vpa"&amp;$B1171&amp;$C1171&amp;$D1171&amp;$E1171,".","_"),"(","_"),")","")</f>
        <v>vpa703_3_2 _3_2</v>
      </c>
      <c r="AM1171">
        <f>M1171</f>
        <v>0</v>
      </c>
    </row>
    <row r="1172" spans="1:45" x14ac:dyDescent="0.35">
      <c r="A1172" s="366">
        <v>7</v>
      </c>
      <c r="B1172" s="738" t="s">
        <v>915</v>
      </c>
      <c r="C1172" s="731" t="s">
        <v>260</v>
      </c>
      <c r="D1172" s="731" t="s">
        <v>260</v>
      </c>
      <c r="E1172" s="731"/>
      <c r="F1172" s="731"/>
      <c r="G1172" s="366" t="str">
        <f ca="1">G1171</f>
        <v/>
      </c>
      <c r="H1172" s="366" t="s">
        <v>3970</v>
      </c>
      <c r="I1172" s="4"/>
      <c r="J1172" s="152"/>
      <c r="K1172" s="90"/>
      <c r="L1172" s="90" t="s">
        <v>3771</v>
      </c>
      <c r="M1172" s="40">
        <f>IFERROR(INDEX({0,2,3,5,8,9,10,8},T1156),0)</f>
        <v>0</v>
      </c>
      <c r="N1172" s="41"/>
      <c r="O1172" s="41"/>
      <c r="X1172" s="817"/>
      <c r="Y1172" s="1100"/>
      <c r="Z1172" s="1102"/>
      <c r="AL1172" t="str">
        <f>SUBSTITUTE(SUBSTITUTE(SUBSTITUTE("vpa"&amp;$B1172&amp;$C1172&amp;$D1172&amp;$E1172,".","_"),"(","_"),")","")</f>
        <v>vpa703_3_2 _3_3</v>
      </c>
      <c r="AM1172">
        <f>M1172</f>
        <v>0</v>
      </c>
    </row>
    <row r="1173" spans="1:45" x14ac:dyDescent="0.35">
      <c r="A1173" s="366">
        <v>7</v>
      </c>
      <c r="B1173" s="738" t="s">
        <v>915</v>
      </c>
      <c r="C1173" s="731" t="s">
        <v>260</v>
      </c>
      <c r="D1173" s="731" t="s">
        <v>269</v>
      </c>
      <c r="E1173" s="731"/>
      <c r="F1173" s="731"/>
      <c r="G1173" s="366" t="str">
        <f ca="1">G1172</f>
        <v/>
      </c>
      <c r="H1173" s="366" t="s">
        <v>3970</v>
      </c>
      <c r="I1173" s="4"/>
      <c r="J1173" s="228"/>
      <c r="K1173" s="228"/>
      <c r="L1173" s="228" t="s">
        <v>3772</v>
      </c>
      <c r="M1173" s="268">
        <f>IFERROR(INDEX({0,2,4,6,9,11,12,10},T1156),0)</f>
        <v>0</v>
      </c>
      <c r="N1173" s="546"/>
      <c r="O1173" s="546"/>
      <c r="X1173" s="817"/>
      <c r="Y1173" s="1100"/>
      <c r="Z1173" s="1102"/>
      <c r="AL1173" t="str">
        <f>SUBSTITUTE(SUBSTITUTE(SUBSTITUTE("vpa"&amp;$B1173&amp;$C1173&amp;$D1173&amp;$E1173,".","_"),"(","_"),")","")</f>
        <v>vpa703_3_2 _3_4</v>
      </c>
      <c r="AM1173">
        <f>M1173</f>
        <v>0</v>
      </c>
    </row>
    <row r="1174" spans="1:45" x14ac:dyDescent="0.35">
      <c r="A1174" s="366">
        <v>7</v>
      </c>
      <c r="B1174" s="738" t="s">
        <v>915</v>
      </c>
      <c r="C1174" s="731" t="s">
        <v>269</v>
      </c>
      <c r="D1174" s="731"/>
      <c r="E1174" s="731"/>
      <c r="F1174" s="731"/>
      <c r="G1174" s="366" t="str">
        <f ca="1">IF(N1174&gt;0,"P","")</f>
        <v/>
      </c>
      <c r="H1174" s="366" t="s">
        <v>3970</v>
      </c>
      <c r="I1174" s="4"/>
      <c r="J1174" s="152" t="s">
        <v>269</v>
      </c>
      <c r="K1174" s="90"/>
      <c r="L1174" s="90" t="s">
        <v>920</v>
      </c>
      <c r="M1174" s="40"/>
      <c r="N1174" s="41">
        <f ca="1">'Ch7'!O304</f>
        <v>0</v>
      </c>
      <c r="O1174" s="41">
        <f ca="1">IFERROR(INDEX(M1175:M1176,MATCH(W1175,{0.85,0.9},1)),0)*S1175</f>
        <v>0</v>
      </c>
      <c r="W1174" t="s">
        <v>3784</v>
      </c>
      <c r="X1174" s="817"/>
      <c r="Y1174" s="1100" t="str">
        <f>IF(LEN('Ch7'!X304)=0,"None",'Ch7'!X304)</f>
        <v>None</v>
      </c>
      <c r="Z1174" s="1102"/>
      <c r="AN1174" t="str">
        <f>SUBSTITUTE(SUBSTITUTE(SUBSTITUTE("vpc"&amp;$B1174&amp;$C1174&amp;$D1174&amp;$E1174,".","_"),"(","_"),")","")</f>
        <v>vpc703_3_2 _4</v>
      </c>
      <c r="AO1174">
        <f ca="1">O1174</f>
        <v>0</v>
      </c>
      <c r="AR1174" t="str">
        <f>SUBSTITUTE(SUBSTITUTE(SUBSTITUTE("vnt"&amp;$B1174&amp;$C1174&amp;$D1174&amp;$E1174,".","_"),"(","_"),")","")</f>
        <v>vnt703_3_2 _4</v>
      </c>
      <c r="AS1174" t="str">
        <f>IF(LEN(X1174)=0,"",X1174)</f>
        <v/>
      </c>
    </row>
    <row r="1175" spans="1:45" x14ac:dyDescent="0.35">
      <c r="A1175" s="366">
        <v>7</v>
      </c>
      <c r="B1175" s="738" t="s">
        <v>915</v>
      </c>
      <c r="C1175" s="731" t="s">
        <v>269</v>
      </c>
      <c r="D1175" s="731" t="s">
        <v>256</v>
      </c>
      <c r="E1175" s="731"/>
      <c r="F1175" s="731"/>
      <c r="G1175" s="366" t="str">
        <f ca="1">G1174</f>
        <v/>
      </c>
      <c r="H1175" s="366" t="s">
        <v>3970</v>
      </c>
      <c r="I1175" s="4"/>
      <c r="J1175" s="152"/>
      <c r="K1175" s="90"/>
      <c r="L1175" s="90" t="s">
        <v>3774</v>
      </c>
      <c r="M1175" s="40">
        <f>IFERROR(INDEX({0,1,1,3,3,4,4,5},T1156),0)</f>
        <v>0</v>
      </c>
      <c r="N1175" s="41"/>
      <c r="O1175" s="41"/>
      <c r="P1175" t="b">
        <v>1</v>
      </c>
      <c r="Q1175" t="b">
        <v>1</v>
      </c>
      <c r="R1175" t="b">
        <v>0</v>
      </c>
      <c r="S1175" t="b">
        <f ca="1">AND(S883=2,LEN(W1161)=0,LEN(W1167)=0,LEN(W1170)=0,LEN(W1181)=0,LEN(W1186)=0,LEN(W1188)=0,NOT(W1201=TRUE),LEN(W1206)=0)</f>
        <v>0</v>
      </c>
      <c r="T1175" t="b">
        <f ca="1">AND(NOT(S1175),LEN(W1175)&gt;0)</f>
        <v>0</v>
      </c>
      <c r="W1175" s="299"/>
      <c r="X1175" s="817"/>
      <c r="Y1175" s="1100"/>
      <c r="Z1175" s="1102"/>
      <c r="AC1175" t="b">
        <f ca="1">OR(AD1175:AE1175)</f>
        <v>0</v>
      </c>
      <c r="AD1175" t="b">
        <f ca="1">T1175</f>
        <v>0</v>
      </c>
      <c r="AL1175" t="str">
        <f>SUBSTITUTE(SUBSTITUTE(SUBSTITUTE("vpa"&amp;$B1175&amp;$C1175&amp;$D1175&amp;$E1175,".","_"),"(","_"),")","")</f>
        <v>vpa703_3_2 _4_1</v>
      </c>
      <c r="AM1175">
        <f>M1175</f>
        <v>0</v>
      </c>
      <c r="AP1175" t="str">
        <f>SUBSTITUTE(SUBSTITUTE(SUBSTITUTE("vch"&amp;$B1175&amp;$C1175&amp;$D1175&amp;$E1175,".","_"),"(","_"),")","")</f>
        <v>vch703_3_2 _4_1</v>
      </c>
      <c r="AQ1175" t="str">
        <f>IF(LEN(W1175)=0,"",W1175)</f>
        <v/>
      </c>
    </row>
    <row r="1176" spans="1:45" x14ac:dyDescent="0.35">
      <c r="A1176" s="366">
        <v>7</v>
      </c>
      <c r="B1176" s="738" t="s">
        <v>915</v>
      </c>
      <c r="C1176" s="731" t="s">
        <v>269</v>
      </c>
      <c r="D1176" s="731" t="s">
        <v>258</v>
      </c>
      <c r="E1176" s="731"/>
      <c r="F1176" s="731"/>
      <c r="G1176" s="366" t="str">
        <f ca="1">G1175</f>
        <v/>
      </c>
      <c r="H1176" s="366" t="s">
        <v>3970</v>
      </c>
      <c r="I1176" s="133"/>
      <c r="J1176" s="228"/>
      <c r="K1176" s="228"/>
      <c r="L1176" s="228" t="s">
        <v>3769</v>
      </c>
      <c r="M1176" s="268">
        <f>IFERROR(INDEX({1,2,3,5,6,7,9,10},T1156),0)</f>
        <v>0</v>
      </c>
      <c r="N1176" s="41"/>
      <c r="O1176" s="41"/>
      <c r="X1176" s="817"/>
      <c r="Y1176" s="1100"/>
      <c r="Z1176" s="1102"/>
      <c r="AL1176" t="str">
        <f>SUBSTITUTE(SUBSTITUTE(SUBSTITUTE("vpa"&amp;$B1176&amp;$C1176&amp;$D1176&amp;$E1176,".","_"),"(","_"),")","")</f>
        <v>vpa703_3_2 _4_2</v>
      </c>
      <c r="AM1176">
        <f>M1176</f>
        <v>0</v>
      </c>
    </row>
    <row r="1177" spans="1:45" x14ac:dyDescent="0.35">
      <c r="A1177" s="366">
        <v>7</v>
      </c>
      <c r="B1177" s="735" t="s">
        <v>921</v>
      </c>
      <c r="C1177" s="735"/>
      <c r="D1177" s="731"/>
      <c r="E1177" s="731"/>
      <c r="F1177" s="731"/>
      <c r="G1177" s="727" t="str">
        <f ca="1">IF(COUNTIF(G1180:G1188,"P")&gt;0,"P","")</f>
        <v/>
      </c>
      <c r="H1177" s="366" t="s">
        <v>3970</v>
      </c>
      <c r="I1177" s="32" t="s">
        <v>921</v>
      </c>
      <c r="J1177" s="90"/>
      <c r="K1177" s="90"/>
      <c r="L1177" s="838" t="s">
        <v>922</v>
      </c>
      <c r="M1177" s="40"/>
      <c r="N1177" s="41"/>
      <c r="O1177" s="41"/>
    </row>
    <row r="1178" spans="1:45" x14ac:dyDescent="0.35">
      <c r="A1178" s="366">
        <v>7</v>
      </c>
      <c r="B1178" s="735" t="s">
        <v>921</v>
      </c>
      <c r="C1178" s="735"/>
      <c r="D1178" s="731"/>
      <c r="E1178" s="731"/>
      <c r="F1178" s="731"/>
      <c r="G1178" s="366" t="str">
        <f ca="1">G1177</f>
        <v/>
      </c>
      <c r="H1178" s="366" t="s">
        <v>3970</v>
      </c>
      <c r="I1178" s="4"/>
      <c r="J1178" s="90"/>
      <c r="K1178" s="90"/>
      <c r="L1178" s="838"/>
      <c r="M1178" s="40"/>
      <c r="N1178" s="41"/>
      <c r="O1178" s="41"/>
    </row>
    <row r="1179" spans="1:45" x14ac:dyDescent="0.35">
      <c r="A1179" s="366">
        <v>7</v>
      </c>
      <c r="B1179" s="735" t="s">
        <v>921</v>
      </c>
      <c r="C1179" s="735"/>
      <c r="D1179" s="731"/>
      <c r="E1179" s="731"/>
      <c r="F1179" s="731"/>
      <c r="G1179" s="366" t="str">
        <f ca="1">G1178</f>
        <v/>
      </c>
      <c r="H1179" s="366" t="s">
        <v>3970</v>
      </c>
      <c r="I1179" s="4"/>
      <c r="J1179" s="90"/>
      <c r="K1179" s="90"/>
      <c r="L1179" s="838"/>
      <c r="M1179" s="40"/>
      <c r="N1179" s="41"/>
      <c r="O1179" s="41"/>
    </row>
    <row r="1180" spans="1:45" x14ac:dyDescent="0.35">
      <c r="A1180" s="366">
        <v>7</v>
      </c>
      <c r="B1180" s="735" t="s">
        <v>921</v>
      </c>
      <c r="C1180" s="731" t="s">
        <v>256</v>
      </c>
      <c r="D1180" s="731"/>
      <c r="E1180" s="731"/>
      <c r="F1180" s="731"/>
      <c r="G1180" s="366" t="str">
        <f ca="1">IF(N1180&gt;0,"P","")</f>
        <v/>
      </c>
      <c r="H1180" s="366" t="s">
        <v>3970</v>
      </c>
      <c r="I1180" s="4"/>
      <c r="J1180" s="152" t="s">
        <v>256</v>
      </c>
      <c r="K1180" s="90"/>
      <c r="L1180" s="266" t="s">
        <v>3480</v>
      </c>
      <c r="M1180" s="40"/>
      <c r="N1180" s="41">
        <f ca="1">'Ch7'!O310</f>
        <v>0</v>
      </c>
      <c r="O1180" s="41">
        <f ca="1">IFERROR(INDEX(M1181:M1185,MATCH(W1181,{8.5,9,9.5,10,12},1)),0)*S1181</f>
        <v>0</v>
      </c>
      <c r="W1180" t="s">
        <v>3791</v>
      </c>
      <c r="X1180" s="817"/>
      <c r="Y1180" s="1119" t="str">
        <f>IF(LEN('Ch7'!X310)=0,"None",'Ch7'!X310)</f>
        <v>None</v>
      </c>
      <c r="Z1180" s="1105"/>
      <c r="AN1180" t="str">
        <f>SUBSTITUTE(SUBSTITUTE(SUBSTITUTE("vpc"&amp;$B1180&amp;$C1180&amp;$D1180&amp;$E1180,".","_"),"(","_"),")","")</f>
        <v>vpc703_3_3 _1</v>
      </c>
      <c r="AO1180">
        <f ca="1">O1180</f>
        <v>0</v>
      </c>
      <c r="AR1180" t="str">
        <f>SUBSTITUTE(SUBSTITUTE(SUBSTITUTE("vnt"&amp;$B1180&amp;$C1180&amp;$D1180&amp;$E1180,".","_"),"(","_"),")","")</f>
        <v>vnt703_3_3 _1</v>
      </c>
      <c r="AS1180" t="str">
        <f>IF(LEN(X1180)=0,"",X1180)</f>
        <v/>
      </c>
    </row>
    <row r="1181" spans="1:45" x14ac:dyDescent="0.35">
      <c r="A1181" s="366">
        <v>7</v>
      </c>
      <c r="B1181" s="735" t="s">
        <v>921</v>
      </c>
      <c r="C1181" s="731" t="s">
        <v>256</v>
      </c>
      <c r="D1181" s="731" t="s">
        <v>256</v>
      </c>
      <c r="E1181" s="731"/>
      <c r="F1181" s="731"/>
      <c r="G1181" s="366" t="str">
        <f ca="1">G1180</f>
        <v/>
      </c>
      <c r="H1181" s="366" t="s">
        <v>3970</v>
      </c>
      <c r="I1181" s="4"/>
      <c r="J1181" s="152"/>
      <c r="K1181" s="90"/>
      <c r="L1181" s="90" t="s">
        <v>3785</v>
      </c>
      <c r="M1181" s="40">
        <f>IF(T1157,IFERROR(INDEX({0,3,4,8,11,13,13,13},T1156),0),IFERROR(INDEX({0,1,1,2,2,2,2,2},T1156),0))</f>
        <v>0</v>
      </c>
      <c r="N1181" s="41"/>
      <c r="O1181" s="41"/>
      <c r="P1181" t="b">
        <v>1</v>
      </c>
      <c r="Q1181" t="b">
        <v>1</v>
      </c>
      <c r="R1181" t="b">
        <v>0</v>
      </c>
      <c r="S1181" t="b">
        <f ca="1">AND(S883=2,LEN(W1161)=0,LEN(W1167)=0,LEN(W1170)=0,LEN(W1175)=0,LEN(W1186)=0,LEN(W1188)=0,NOT(W1201=TRUE),LEN(W1206)=0)</f>
        <v>0</v>
      </c>
      <c r="T1181" t="b">
        <f ca="1">AND(NOT(S1181),LEN(W1181)&gt;0)</f>
        <v>0</v>
      </c>
      <c r="W1181" s="300"/>
      <c r="X1181" s="817"/>
      <c r="Y1181" s="1120"/>
      <c r="Z1181" s="1109"/>
      <c r="AC1181" t="b">
        <f ca="1">OR(AD1181:AE1181)</f>
        <v>0</v>
      </c>
      <c r="AD1181" t="b">
        <f ca="1">T1181</f>
        <v>0</v>
      </c>
      <c r="AL1181" t="str">
        <f t="shared" ref="AL1181:AL1186" si="72">SUBSTITUTE(SUBSTITUTE(SUBSTITUTE("vpa"&amp;$B1181&amp;$C1181&amp;$D1181&amp;$E1181,".","_"),"(","_"),")","")</f>
        <v>vpa703_3_3 _1_1</v>
      </c>
      <c r="AM1181">
        <f t="shared" ref="AM1181:AM1186" si="73">M1181</f>
        <v>0</v>
      </c>
      <c r="AP1181" t="str">
        <f>SUBSTITUTE(SUBSTITUTE(SUBSTITUTE("vch"&amp;$B1181&amp;$C1181&amp;$D1181&amp;$E1181,".","_"),"(","_"),")","")</f>
        <v>vch703_3_3 _1_1</v>
      </c>
      <c r="AQ1181" t="str">
        <f>IF(LEN(W1181)=0,"",W1181)</f>
        <v/>
      </c>
    </row>
    <row r="1182" spans="1:45" x14ac:dyDescent="0.35">
      <c r="A1182" s="366">
        <v>7</v>
      </c>
      <c r="B1182" s="735" t="s">
        <v>921</v>
      </c>
      <c r="C1182" s="731" t="s">
        <v>256</v>
      </c>
      <c r="D1182" s="731" t="s">
        <v>258</v>
      </c>
      <c r="E1182" s="731"/>
      <c r="F1182" s="731"/>
      <c r="G1182" s="366" t="str">
        <f ca="1">G1181</f>
        <v/>
      </c>
      <c r="H1182" s="366" t="s">
        <v>3970</v>
      </c>
      <c r="I1182" s="4"/>
      <c r="J1182" s="152"/>
      <c r="K1182" s="90"/>
      <c r="L1182" s="90" t="s">
        <v>3786</v>
      </c>
      <c r="M1182" s="40">
        <f>IF(T1157,IFERROR(INDEX({0,3,4,8,11,13,13,13},T1156),0),IFERROR(INDEX({0,2,4,5,6,10,10,10},T1156),0))</f>
        <v>0</v>
      </c>
      <c r="N1182" s="41"/>
      <c r="O1182" s="41"/>
      <c r="X1182" s="817"/>
      <c r="Y1182" s="1120"/>
      <c r="Z1182" s="1109"/>
      <c r="AL1182" t="str">
        <f t="shared" si="72"/>
        <v>vpa703_3_3 _1_2</v>
      </c>
      <c r="AM1182">
        <f t="shared" si="73"/>
        <v>0</v>
      </c>
    </row>
    <row r="1183" spans="1:45" x14ac:dyDescent="0.35">
      <c r="A1183" s="366">
        <v>7</v>
      </c>
      <c r="B1183" s="735" t="s">
        <v>921</v>
      </c>
      <c r="C1183" s="731" t="s">
        <v>256</v>
      </c>
      <c r="D1183" s="731" t="s">
        <v>260</v>
      </c>
      <c r="E1183" s="731"/>
      <c r="F1183" s="731"/>
      <c r="G1183" s="366" t="str">
        <f ca="1">G1182</f>
        <v/>
      </c>
      <c r="H1183" s="366" t="s">
        <v>3970</v>
      </c>
      <c r="I1183" s="4"/>
      <c r="J1183" s="152"/>
      <c r="K1183" s="90"/>
      <c r="L1183" s="90" t="s">
        <v>3787</v>
      </c>
      <c r="M1183" s="40">
        <f>IF(T1157,IFERROR(INDEX({0,3,4,8,11,13,13,13},T1156),0),IFERROR(INDEX({0,3,7,7,11,18,18,18},T1156),0))</f>
        <v>0</v>
      </c>
      <c r="N1183" s="41"/>
      <c r="O1183" s="41"/>
      <c r="X1183" s="817"/>
      <c r="Y1183" s="1120"/>
      <c r="Z1183" s="1109"/>
      <c r="AL1183" t="str">
        <f t="shared" si="72"/>
        <v>vpa703_3_3 _1_3</v>
      </c>
      <c r="AM1183">
        <f t="shared" si="73"/>
        <v>0</v>
      </c>
    </row>
    <row r="1184" spans="1:45" x14ac:dyDescent="0.35">
      <c r="A1184" s="366">
        <v>7</v>
      </c>
      <c r="B1184" s="735" t="s">
        <v>921</v>
      </c>
      <c r="C1184" s="731" t="s">
        <v>256</v>
      </c>
      <c r="D1184" s="731" t="s">
        <v>269</v>
      </c>
      <c r="E1184" s="731"/>
      <c r="F1184" s="731"/>
      <c r="G1184" s="366" t="str">
        <f ca="1">G1183</f>
        <v/>
      </c>
      <c r="H1184" s="366" t="s">
        <v>3970</v>
      </c>
      <c r="I1184" s="4"/>
      <c r="J1184" s="152"/>
      <c r="K1184" s="90"/>
      <c r="L1184" s="90" t="s">
        <v>3788</v>
      </c>
      <c r="M1184" s="40">
        <f>IF(T1157,IFERROR(INDEX({0,3,4,8,11,13,13,13},T1156),0),IFERROR(INDEX({1,5,10,10,15,26,26,26},T1156),0))</f>
        <v>0</v>
      </c>
      <c r="N1184" s="41"/>
      <c r="O1184" s="41"/>
      <c r="X1184" s="817"/>
      <c r="Y1184" s="1120"/>
      <c r="Z1184" s="1109"/>
      <c r="AL1184" t="str">
        <f t="shared" si="72"/>
        <v>vpa703_3_3 _1_4</v>
      </c>
      <c r="AM1184">
        <f t="shared" si="73"/>
        <v>0</v>
      </c>
    </row>
    <row r="1185" spans="1:45" x14ac:dyDescent="0.35">
      <c r="A1185" s="366">
        <v>7</v>
      </c>
      <c r="B1185" s="735" t="s">
        <v>921</v>
      </c>
      <c r="C1185" s="731" t="s">
        <v>256</v>
      </c>
      <c r="D1185" s="731" t="s">
        <v>275</v>
      </c>
      <c r="E1185" s="731"/>
      <c r="F1185" s="731"/>
      <c r="G1185" s="366" t="str">
        <f ca="1">G1184</f>
        <v/>
      </c>
      <c r="H1185" s="366" t="s">
        <v>3970</v>
      </c>
      <c r="J1185" s="326"/>
      <c r="K1185" s="228"/>
      <c r="L1185" s="228" t="s">
        <v>4276</v>
      </c>
      <c r="M1185" s="268">
        <f>IF(T1157,IFERROR(INDEX({0,3,4,8,11,13,13,13},T1156),0),IFERROR(INDEX({1,6,11,11,17,28,28,28},T1156),0))</f>
        <v>0</v>
      </c>
      <c r="N1185" s="104"/>
      <c r="O1185" s="546"/>
      <c r="W1185" t="s">
        <v>3791</v>
      </c>
      <c r="X1185" s="817"/>
      <c r="Y1185" s="1117"/>
      <c r="Z1185" s="1103"/>
      <c r="AL1185" t="str">
        <f t="shared" si="72"/>
        <v>vpa703_3_3 _1_5</v>
      </c>
      <c r="AM1185">
        <f t="shared" si="73"/>
        <v>0</v>
      </c>
    </row>
    <row r="1186" spans="1:45" x14ac:dyDescent="0.35">
      <c r="A1186" s="366">
        <v>7</v>
      </c>
      <c r="B1186" s="735" t="s">
        <v>921</v>
      </c>
      <c r="C1186" s="731" t="s">
        <v>258</v>
      </c>
      <c r="G1186" s="366" t="str">
        <f ca="1">IF(N1186&gt;0,"P","")</f>
        <v/>
      </c>
      <c r="H1186" s="366" t="s">
        <v>3970</v>
      </c>
      <c r="J1186" s="402" t="s">
        <v>258</v>
      </c>
      <c r="K1186" s="402"/>
      <c r="L1186" s="470" t="s">
        <v>4864</v>
      </c>
      <c r="M1186" s="818">
        <f>IFERROR(INDEX({0,3,4,8,11,13,13,13},T1156),0)</f>
        <v>0</v>
      </c>
      <c r="N1186" s="963">
        <f ca="1">'Ch7'!O316</f>
        <v>0</v>
      </c>
      <c r="O1186" s="832">
        <f ca="1">IF(AND(S1186,W1186&gt;=8.5),M1186,0)</f>
        <v>0</v>
      </c>
      <c r="P1186" t="b">
        <v>1</v>
      </c>
      <c r="Q1186" t="b">
        <v>1</v>
      </c>
      <c r="R1186" t="b">
        <v>0</v>
      </c>
      <c r="S1186" t="b">
        <f ca="1">AND(S883=2,T1157,LEN(W1161)=0,LEN(W1167)=0,LEN(W1170)=0,LEN(W1175)=0,LEN(W1181)=0,LEN(W1188)=0,NOT(W1201=TRUE),LEN(W1206)=0)</f>
        <v>0</v>
      </c>
      <c r="T1186" t="b">
        <f ca="1">AND(NOT(S1186),LEN(W1186)&gt;0)</f>
        <v>0</v>
      </c>
      <c r="W1186" s="300"/>
      <c r="X1186" s="817"/>
      <c r="Y1186" s="1100" t="str">
        <f>IF(LEN('Ch7'!X316)=0,"None",'Ch7'!X316)</f>
        <v>None</v>
      </c>
      <c r="Z1186" s="1102"/>
      <c r="AC1186" t="b">
        <f ca="1">OR(AD1186:AE1186)</f>
        <v>0</v>
      </c>
      <c r="AD1186" t="b">
        <f ca="1">T1186</f>
        <v>0</v>
      </c>
      <c r="AL1186" t="str">
        <f t="shared" si="72"/>
        <v>vpa703_3_3 _2</v>
      </c>
      <c r="AM1186">
        <f t="shared" si="73"/>
        <v>0</v>
      </c>
      <c r="AN1186" t="str">
        <f>SUBSTITUTE(SUBSTITUTE(SUBSTITUTE("vpc"&amp;$B1186&amp;$C1186&amp;$D1186&amp;$E1186,".","_"),"(","_"),")","")</f>
        <v>vpc703_3_3 _2</v>
      </c>
      <c r="AO1186">
        <f ca="1">O1186</f>
        <v>0</v>
      </c>
      <c r="AP1186" t="str">
        <f>SUBSTITUTE(SUBSTITUTE(SUBSTITUTE("vch"&amp;$B1186&amp;$C1186&amp;$D1186&amp;$E1186,".","_"),"(","_"),")","")</f>
        <v>vch703_3_3 _2</v>
      </c>
      <c r="AQ1186" t="str">
        <f>IF(LEN(W1186)=0,"",W1186)</f>
        <v/>
      </c>
      <c r="AR1186" t="str">
        <f>SUBSTITUTE(SUBSTITUTE(SUBSTITUTE("vnt"&amp;$B1186&amp;$C1186&amp;$D1186&amp;$E1186,".","_"),"(","_"),")","")</f>
        <v>vnt703_3_3 _2</v>
      </c>
      <c r="AS1186" t="str">
        <f>IF(LEN(X1186)=0,"",X1186)</f>
        <v/>
      </c>
    </row>
    <row r="1187" spans="1:45" x14ac:dyDescent="0.35">
      <c r="A1187" s="366">
        <v>7</v>
      </c>
      <c r="B1187" s="735" t="s">
        <v>921</v>
      </c>
      <c r="C1187" s="731" t="s">
        <v>258</v>
      </c>
      <c r="G1187" s="366" t="str">
        <f ca="1">G1186</f>
        <v/>
      </c>
      <c r="H1187" s="366" t="s">
        <v>3970</v>
      </c>
      <c r="J1187" s="416"/>
      <c r="K1187" s="416"/>
      <c r="L1187" s="477"/>
      <c r="M1187" s="819"/>
      <c r="N1187" s="835"/>
      <c r="O1187" s="824"/>
      <c r="W1187" t="s">
        <v>3790</v>
      </c>
      <c r="X1187" s="817"/>
      <c r="Y1187" s="1100"/>
      <c r="Z1187" s="1102"/>
    </row>
    <row r="1188" spans="1:45" x14ac:dyDescent="0.35">
      <c r="A1188" s="366">
        <v>7</v>
      </c>
      <c r="B1188" s="735" t="s">
        <v>921</v>
      </c>
      <c r="C1188" s="731" t="s">
        <v>260</v>
      </c>
      <c r="D1188" s="731"/>
      <c r="E1188" s="731"/>
      <c r="F1188" s="731"/>
      <c r="G1188" s="366" t="str">
        <f ca="1">IF(N1188&gt;0,"P","")</f>
        <v/>
      </c>
      <c r="H1188" s="366" t="s">
        <v>3970</v>
      </c>
      <c r="I1188" s="133"/>
      <c r="J1188" s="326" t="s">
        <v>260</v>
      </c>
      <c r="K1188" s="228"/>
      <c r="L1188" s="281" t="s">
        <v>3789</v>
      </c>
      <c r="M1188" s="268">
        <f>IFERROR(INDEX({2,7,11,14,16,18,18,18},T1156),0)</f>
        <v>0</v>
      </c>
      <c r="N1188" s="546">
        <f ca="1">'Ch7'!O318</f>
        <v>0</v>
      </c>
      <c r="O1188" s="546">
        <f ca="1">IF(AND(S1188,W1188&gt;=1.3),M1188,0)</f>
        <v>0</v>
      </c>
      <c r="P1188" t="b">
        <v>1</v>
      </c>
      <c r="Q1188" t="b">
        <v>1</v>
      </c>
      <c r="R1188" s="104" t="b">
        <v>0</v>
      </c>
      <c r="S1188" s="104" t="b">
        <f ca="1">AND(S883=2,LEN(W1161)=0,LEN(W1167)=0,LEN(W1170)=0,LEN(W1175)=0,LEN(W1181)=0,LEN(W1186)=0,NOT(W1201=TRUE),LEN(W1206)=0)</f>
        <v>0</v>
      </c>
      <c r="T1188" s="104" t="b">
        <f ca="1">AND(NOT(S1188),LEN(W1188)&gt;0)</f>
        <v>0</v>
      </c>
      <c r="U1188" s="104"/>
      <c r="V1188" s="104"/>
      <c r="W1188" s="300"/>
      <c r="X1188" s="36"/>
      <c r="Y1188" s="396" t="str">
        <f>IF(LEN('Ch7'!X318)=0,"None",'Ch7'!X318)</f>
        <v>None</v>
      </c>
      <c r="Z1188" s="652"/>
      <c r="AC1188" t="b">
        <f ca="1">OR(AD1188:AE1188)</f>
        <v>0</v>
      </c>
      <c r="AD1188" t="b">
        <f ca="1">T1188</f>
        <v>0</v>
      </c>
      <c r="AL1188" t="str">
        <f>SUBSTITUTE(SUBSTITUTE(SUBSTITUTE("vpa"&amp;$B1188&amp;$C1188&amp;$D1188&amp;$E1188,".","_"),"(","_"),")","")</f>
        <v>vpa703_3_3 _3</v>
      </c>
      <c r="AM1188">
        <f>M1188</f>
        <v>0</v>
      </c>
      <c r="AN1188" t="str">
        <f>SUBSTITUTE(SUBSTITUTE(SUBSTITUTE("vpc"&amp;$B1188&amp;$C1188&amp;$D1188&amp;$E1188,".","_"),"(","_"),")","")</f>
        <v>vpc703_3_3 _3</v>
      </c>
      <c r="AO1188">
        <f ca="1">O1188</f>
        <v>0</v>
      </c>
      <c r="AP1188" t="str">
        <f>SUBSTITUTE(SUBSTITUTE(SUBSTITUTE("vch"&amp;$B1188&amp;$C1188&amp;$D1188&amp;$E1188,".","_"),"(","_"),")","")</f>
        <v>vch703_3_3 _3</v>
      </c>
      <c r="AQ1188" t="str">
        <f>IF(LEN(W1188)=0,"",W1188)</f>
        <v/>
      </c>
      <c r="AR1188" t="str">
        <f>SUBSTITUTE(SUBSTITUTE(SUBSTITUTE("vnt"&amp;$B1188&amp;$C1188&amp;$D1188&amp;$E1188,".","_"),"(","_"),")","")</f>
        <v>vnt703_3_3 _3</v>
      </c>
      <c r="AS1188" t="str">
        <f>IF(LEN(X1188)=0,"",X1188)</f>
        <v/>
      </c>
    </row>
    <row r="1189" spans="1:45" x14ac:dyDescent="0.35">
      <c r="A1189" s="366">
        <v>7</v>
      </c>
      <c r="B1189" s="735" t="s">
        <v>923</v>
      </c>
      <c r="C1189" s="735"/>
      <c r="D1189" s="731"/>
      <c r="E1189" s="731"/>
      <c r="F1189" s="731"/>
      <c r="G1189" s="727" t="str">
        <f ca="1">IF(COUNTIF(G1192:G1200,"P")&gt;0,"P","")</f>
        <v>P</v>
      </c>
      <c r="H1189" s="366" t="s">
        <v>3970</v>
      </c>
      <c r="I1189" s="32" t="s">
        <v>923</v>
      </c>
      <c r="J1189" s="90"/>
      <c r="K1189" s="90"/>
      <c r="L1189" s="919" t="s">
        <v>924</v>
      </c>
      <c r="M1189" s="40"/>
      <c r="N1189" s="41"/>
      <c r="O1189" s="41"/>
    </row>
    <row r="1190" spans="1:45" x14ac:dyDescent="0.35">
      <c r="A1190" s="366">
        <v>7</v>
      </c>
      <c r="B1190" s="735" t="s">
        <v>923</v>
      </c>
      <c r="C1190" s="735"/>
      <c r="D1190" s="731"/>
      <c r="E1190" s="731"/>
      <c r="F1190" s="731"/>
      <c r="G1190" s="366" t="str">
        <f ca="1">G1189</f>
        <v>P</v>
      </c>
      <c r="H1190" s="366" t="s">
        <v>3970</v>
      </c>
      <c r="I1190" s="4"/>
      <c r="J1190" s="90"/>
      <c r="K1190" s="90"/>
      <c r="L1190" s="919"/>
      <c r="M1190" s="40"/>
      <c r="N1190" s="41"/>
      <c r="O1190" s="41"/>
    </row>
    <row r="1191" spans="1:45" x14ac:dyDescent="0.35">
      <c r="A1191" s="366">
        <v>7</v>
      </c>
      <c r="B1191" s="735" t="s">
        <v>923</v>
      </c>
      <c r="C1191" s="735"/>
      <c r="D1191" s="731"/>
      <c r="E1191" s="731"/>
      <c r="F1191" s="731"/>
      <c r="G1191" s="366" t="str">
        <f ca="1">G1190</f>
        <v>P</v>
      </c>
      <c r="H1191" s="366" t="s">
        <v>3970</v>
      </c>
      <c r="I1191" s="4"/>
      <c r="J1191" s="90"/>
      <c r="K1191" s="90"/>
      <c r="L1191" s="919"/>
      <c r="M1191" s="40"/>
      <c r="N1191" s="41"/>
      <c r="O1191" s="41"/>
    </row>
    <row r="1192" spans="1:45" x14ac:dyDescent="0.35">
      <c r="A1192" s="366">
        <v>7</v>
      </c>
      <c r="B1192" s="735" t="s">
        <v>923</v>
      </c>
      <c r="C1192" s="731" t="s">
        <v>256</v>
      </c>
      <c r="D1192" s="731"/>
      <c r="E1192" s="731"/>
      <c r="F1192" s="731"/>
      <c r="G1192" s="366" t="str">
        <f ca="1">IF(N1192&gt;0,"P","")</f>
        <v>P</v>
      </c>
      <c r="H1192" s="366" t="s">
        <v>3970</v>
      </c>
      <c r="I1192" s="4"/>
      <c r="J1192" s="152" t="s">
        <v>256</v>
      </c>
      <c r="K1192" s="90"/>
      <c r="L1192" s="266" t="s">
        <v>3798</v>
      </c>
      <c r="M1192" s="40"/>
      <c r="N1192" s="41">
        <f ca="1">'Ch7'!O322</f>
        <v>1</v>
      </c>
      <c r="O1192" s="41">
        <f ca="1">IFERROR(INDEX(M1193:M1197,MATCH(W1193,{15,17,19,21,25},1)),0)*S1193</f>
        <v>0</v>
      </c>
      <c r="W1192" t="s">
        <v>3800</v>
      </c>
      <c r="X1192" s="817"/>
      <c r="Y1192" s="1119" t="str">
        <f>IF(LEN('Ch7'!X322)=0,"None",'Ch7'!X322)</f>
        <v>None</v>
      </c>
      <c r="Z1192" s="1105"/>
      <c r="AN1192" t="str">
        <f>SUBSTITUTE(SUBSTITUTE(SUBSTITUTE("vpc"&amp;$B1192&amp;$C1192&amp;$D1192&amp;$E1192,".","_"),"(","_"),")","")</f>
        <v>vpc703_3_4_1</v>
      </c>
      <c r="AO1192">
        <f ca="1">O1192</f>
        <v>0</v>
      </c>
      <c r="AR1192" t="str">
        <f>SUBSTITUTE(SUBSTITUTE(SUBSTITUTE("vnt"&amp;$B1192&amp;$C1192&amp;$D1192&amp;$E1192,".","_"),"(","_"),")","")</f>
        <v>vnt703_3_4_1</v>
      </c>
      <c r="AS1192" t="str">
        <f>IF(LEN(X1192)=0,"",X1192)</f>
        <v/>
      </c>
    </row>
    <row r="1193" spans="1:45" x14ac:dyDescent="0.35">
      <c r="A1193" s="366">
        <v>7</v>
      </c>
      <c r="B1193" s="735" t="s">
        <v>923</v>
      </c>
      <c r="C1193" s="731" t="s">
        <v>256</v>
      </c>
      <c r="D1193" s="731" t="s">
        <v>256</v>
      </c>
      <c r="E1193" s="731"/>
      <c r="F1193" s="731"/>
      <c r="G1193" s="366" t="str">
        <f ca="1">G1192</f>
        <v>P</v>
      </c>
      <c r="H1193" s="366" t="s">
        <v>3970</v>
      </c>
      <c r="I1193" s="4"/>
      <c r="J1193" s="152"/>
      <c r="K1193" s="90"/>
      <c r="L1193" s="90" t="s">
        <v>3792</v>
      </c>
      <c r="M1193" s="40">
        <f>IFERROR(INDEX({6,4,2,1,1,1,1,0},T1156),0)</f>
        <v>0</v>
      </c>
      <c r="N1193" s="41"/>
      <c r="O1193" s="41"/>
      <c r="P1193" t="b">
        <v>1</v>
      </c>
      <c r="Q1193" t="b">
        <v>1</v>
      </c>
      <c r="R1193" t="b">
        <v>0</v>
      </c>
      <c r="S1193" t="b">
        <f ca="1">AND(S883=2,NOT(W1198=TRUE),LEN(W1200)=0,NOT(W1201=TRUE),LEN(W1206)=0)</f>
        <v>0</v>
      </c>
      <c r="T1193" t="b">
        <f ca="1">AND(NOT(S1193),LEN(W1193)&gt;0)</f>
        <v>0</v>
      </c>
      <c r="W1193" s="300"/>
      <c r="X1193" s="817"/>
      <c r="Y1193" s="1120"/>
      <c r="Z1193" s="1109"/>
      <c r="AC1193" t="b">
        <f ca="1">OR(AD1193:AE1193)</f>
        <v>0</v>
      </c>
      <c r="AD1193" t="b">
        <f ca="1">T1193</f>
        <v>0</v>
      </c>
      <c r="AL1193" t="str">
        <f t="shared" ref="AL1193:AL1198" si="74">SUBSTITUTE(SUBSTITUTE(SUBSTITUTE("vpa"&amp;$B1193&amp;$C1193&amp;$D1193&amp;$E1193,".","_"),"(","_"),")","")</f>
        <v>vpa703_3_4_1_1</v>
      </c>
      <c r="AM1193">
        <f t="shared" ref="AM1193:AM1200" si="75">M1193</f>
        <v>0</v>
      </c>
      <c r="AP1193" t="str">
        <f>SUBSTITUTE(SUBSTITUTE(SUBSTITUTE("vch"&amp;$B1193&amp;$C1193&amp;$D1193&amp;$E1193,".","_"),"(","_"),")","")</f>
        <v>vch703_3_4_1_1</v>
      </c>
      <c r="AQ1193" t="str">
        <f>IF(LEN(W1193)=0,"",W1193)</f>
        <v/>
      </c>
    </row>
    <row r="1194" spans="1:45" x14ac:dyDescent="0.35">
      <c r="A1194" s="366">
        <v>7</v>
      </c>
      <c r="B1194" s="735" t="s">
        <v>923</v>
      </c>
      <c r="C1194" s="731" t="s">
        <v>256</v>
      </c>
      <c r="D1194" s="731" t="s">
        <v>258</v>
      </c>
      <c r="E1194" s="731"/>
      <c r="F1194" s="731"/>
      <c r="G1194" s="366" t="str">
        <f ca="1">G1193</f>
        <v>P</v>
      </c>
      <c r="H1194" s="366" t="s">
        <v>3970</v>
      </c>
      <c r="I1194" s="4"/>
      <c r="J1194" s="152"/>
      <c r="K1194" s="90"/>
      <c r="L1194" s="90" t="s">
        <v>3793</v>
      </c>
      <c r="M1194" s="40">
        <f>IFERROR(INDEX({11,9,7,3,3,2,2,0},T1156),0)</f>
        <v>0</v>
      </c>
      <c r="N1194" s="41"/>
      <c r="O1194" s="41"/>
      <c r="X1194" s="817"/>
      <c r="Y1194" s="1120"/>
      <c r="Z1194" s="1109"/>
      <c r="AL1194" t="str">
        <f t="shared" si="74"/>
        <v>vpa703_3_4_1_2</v>
      </c>
      <c r="AM1194">
        <f t="shared" si="75"/>
        <v>0</v>
      </c>
    </row>
    <row r="1195" spans="1:45" x14ac:dyDescent="0.35">
      <c r="A1195" s="366">
        <v>7</v>
      </c>
      <c r="B1195" s="735" t="s">
        <v>923</v>
      </c>
      <c r="C1195" s="731" t="s">
        <v>256</v>
      </c>
      <c r="D1195" s="731" t="s">
        <v>260</v>
      </c>
      <c r="E1195" s="731"/>
      <c r="F1195" s="731"/>
      <c r="G1195" s="366" t="str">
        <f ca="1">G1194</f>
        <v>P</v>
      </c>
      <c r="H1195" s="366" t="s">
        <v>3970</v>
      </c>
      <c r="I1195" s="4"/>
      <c r="J1195" s="152"/>
      <c r="K1195" s="90"/>
      <c r="L1195" s="90" t="s">
        <v>3794</v>
      </c>
      <c r="M1195" s="40">
        <f>IFERROR(INDEX({19,12,10,6,4,4,4,0},T1156),0)</f>
        <v>0</v>
      </c>
      <c r="N1195" s="41"/>
      <c r="O1195" s="41"/>
      <c r="X1195" s="817"/>
      <c r="Y1195" s="1120"/>
      <c r="Z1195" s="1109"/>
      <c r="AL1195" t="str">
        <f t="shared" si="74"/>
        <v>vpa703_3_4_1_3</v>
      </c>
      <c r="AM1195">
        <f t="shared" si="75"/>
        <v>0</v>
      </c>
    </row>
    <row r="1196" spans="1:45" x14ac:dyDescent="0.35">
      <c r="A1196" s="366">
        <v>7</v>
      </c>
      <c r="B1196" s="735" t="s">
        <v>923</v>
      </c>
      <c r="C1196" s="731" t="s">
        <v>256</v>
      </c>
      <c r="D1196" s="731" t="s">
        <v>269</v>
      </c>
      <c r="E1196" s="731"/>
      <c r="F1196" s="731"/>
      <c r="G1196" s="366" t="str">
        <f ca="1">G1195</f>
        <v>P</v>
      </c>
      <c r="H1196" s="366" t="s">
        <v>3970</v>
      </c>
      <c r="I1196" s="4"/>
      <c r="J1196" s="152"/>
      <c r="K1196" s="90"/>
      <c r="L1196" s="90" t="s">
        <v>3795</v>
      </c>
      <c r="M1196" s="40">
        <f>IFERROR(INDEX({26,15,14,8,6,6,5,0},T1156),0)</f>
        <v>0</v>
      </c>
      <c r="N1196" s="41"/>
      <c r="O1196" s="41"/>
      <c r="X1196" s="817"/>
      <c r="Y1196" s="1120"/>
      <c r="Z1196" s="1109"/>
      <c r="AL1196" t="str">
        <f t="shared" si="74"/>
        <v>vpa703_3_4_1_4</v>
      </c>
      <c r="AM1196">
        <f>M1196</f>
        <v>0</v>
      </c>
    </row>
    <row r="1197" spans="1:45" x14ac:dyDescent="0.35">
      <c r="A1197" s="366">
        <v>7</v>
      </c>
      <c r="B1197" s="735" t="s">
        <v>923</v>
      </c>
      <c r="C1197" s="731" t="s">
        <v>256</v>
      </c>
      <c r="D1197" s="733" t="s">
        <v>275</v>
      </c>
      <c r="E1197" s="731"/>
      <c r="F1197" s="731"/>
      <c r="G1197" s="366" t="str">
        <f ca="1">G1196</f>
        <v>P</v>
      </c>
      <c r="H1197" s="366" t="s">
        <v>3970</v>
      </c>
      <c r="L1197" s="90" t="s">
        <v>4277</v>
      </c>
      <c r="M1197" s="40">
        <f>IFERROR(INDEX({29,18,17,10,8,8,6,0},T1156),0)</f>
        <v>0</v>
      </c>
      <c r="O1197" s="41"/>
      <c r="X1197" s="817"/>
      <c r="Y1197" s="1117"/>
      <c r="Z1197" s="1103"/>
      <c r="AL1197" t="str">
        <f t="shared" si="74"/>
        <v>vpa703_3_4_1_5</v>
      </c>
      <c r="AM1197">
        <f t="shared" si="75"/>
        <v>0</v>
      </c>
    </row>
    <row r="1198" spans="1:45" x14ac:dyDescent="0.35">
      <c r="A1198" s="366">
        <v>7</v>
      </c>
      <c r="B1198" s="735" t="s">
        <v>923</v>
      </c>
      <c r="C1198" s="731" t="s">
        <v>256</v>
      </c>
      <c r="D1198" s="733" t="s">
        <v>277</v>
      </c>
      <c r="E1198" s="731"/>
      <c r="F1198" s="731"/>
      <c r="G1198" s="366" t="str">
        <f ca="1">IF(N1198&gt;0,"P","")</f>
        <v/>
      </c>
      <c r="H1198" s="366" t="s">
        <v>3970</v>
      </c>
      <c r="I1198" s="4"/>
      <c r="K1198" s="152" t="s">
        <v>3797</v>
      </c>
      <c r="L1198" s="848" t="s">
        <v>3796</v>
      </c>
      <c r="M1198" s="818">
        <v>20</v>
      </c>
      <c r="N1198" s="834">
        <f ca="1">'Ch7'!O328</f>
        <v>0</v>
      </c>
      <c r="O1198" s="834">
        <f ca="1">M1198*S1198*W1198</f>
        <v>0</v>
      </c>
      <c r="P1198" t="b">
        <v>1</v>
      </c>
      <c r="Q1198" t="b">
        <v>1</v>
      </c>
      <c r="R1198" t="b">
        <v>0</v>
      </c>
      <c r="S1198" t="b">
        <f ca="1">AND(S883=2,BI886="Tropical",LEN(W1193)=0,LEN(W1200)=0,NOT(W1201=TRUE),LEN(W1206)=0)</f>
        <v>0</v>
      </c>
      <c r="T1198" t="b">
        <f ca="1">AND(NOT(S1198),W1198=TRUE)</f>
        <v>0</v>
      </c>
      <c r="W1198" s="17"/>
      <c r="X1198" s="817"/>
      <c r="Y1198" s="1100" t="str">
        <f>IF(LEN('Ch7'!X328)=0,"None",'Ch7'!X328)</f>
        <v>None</v>
      </c>
      <c r="Z1198" s="1102"/>
      <c r="AC1198" t="b">
        <f ca="1">OR(AD1198:AE1198)</f>
        <v>0</v>
      </c>
      <c r="AD1198" t="b">
        <f ca="1">T1198</f>
        <v>0</v>
      </c>
      <c r="AL1198" t="str">
        <f t="shared" si="74"/>
        <v>vpa703_3_4_1_6</v>
      </c>
      <c r="AM1198">
        <f t="shared" si="75"/>
        <v>20</v>
      </c>
      <c r="AN1198" t="str">
        <f>SUBSTITUTE(SUBSTITUTE(SUBSTITUTE("vpc"&amp;$B1198&amp;$C1198&amp;$D1198&amp;$E1198,".","_"),"(","_"),")","")</f>
        <v>vpc703_3_4_1_6</v>
      </c>
      <c r="AO1198">
        <f ca="1">O1198</f>
        <v>0</v>
      </c>
      <c r="AP1198" t="str">
        <f>SUBSTITUTE(SUBSTITUTE(SUBSTITUTE("vch"&amp;$B1198&amp;$C1198&amp;$D1198&amp;$E1198,".","_"),"(","_"),")","")</f>
        <v>vch703_3_4_1_6</v>
      </c>
      <c r="AQ1198" t="str">
        <f>IF(LEN(W1198)=0,"",W1198)</f>
        <v/>
      </c>
      <c r="AR1198" t="str">
        <f>SUBSTITUTE(SUBSTITUTE(SUBSTITUTE("vnt"&amp;$B1198&amp;$C1198&amp;$D1198&amp;$E1198,".","_"),"(","_"),")","")</f>
        <v>vnt703_3_4_1_6</v>
      </c>
      <c r="AS1198" t="str">
        <f>IF(LEN(X1198)=0,"",X1198)</f>
        <v/>
      </c>
    </row>
    <row r="1199" spans="1:45" x14ac:dyDescent="0.35">
      <c r="A1199" s="366">
        <v>7</v>
      </c>
      <c r="B1199" s="735" t="s">
        <v>923</v>
      </c>
      <c r="C1199" s="731" t="s">
        <v>256</v>
      </c>
      <c r="D1199" s="731"/>
      <c r="E1199" s="731"/>
      <c r="F1199" s="731"/>
      <c r="G1199" s="366" t="str">
        <f ca="1">G1198</f>
        <v/>
      </c>
      <c r="H1199" s="366" t="s">
        <v>3970</v>
      </c>
      <c r="I1199" s="4"/>
      <c r="J1199" s="326"/>
      <c r="K1199" s="228"/>
      <c r="L1199" s="821"/>
      <c r="M1199" s="819"/>
      <c r="N1199" s="835"/>
      <c r="O1199" s="835"/>
      <c r="W1199" t="s">
        <v>3790</v>
      </c>
      <c r="X1199" s="817"/>
      <c r="Y1199" s="1100"/>
      <c r="Z1199" s="1102"/>
    </row>
    <row r="1200" spans="1:45" x14ac:dyDescent="0.35">
      <c r="A1200" s="366">
        <v>7</v>
      </c>
      <c r="B1200" s="735" t="s">
        <v>923</v>
      </c>
      <c r="C1200" s="731" t="s">
        <v>258</v>
      </c>
      <c r="D1200" s="731"/>
      <c r="E1200" s="731"/>
      <c r="F1200" s="731"/>
      <c r="G1200" s="366" t="str">
        <f ca="1">IF(N1200&gt;0,"P","")</f>
        <v/>
      </c>
      <c r="H1200" s="366" t="s">
        <v>3970</v>
      </c>
      <c r="I1200" s="133"/>
      <c r="J1200" s="326" t="s">
        <v>258</v>
      </c>
      <c r="K1200" s="228"/>
      <c r="L1200" s="281" t="s">
        <v>3799</v>
      </c>
      <c r="M1200" s="268">
        <f>IFERROR(INDEX({3,6,3,1,1,0,0,0},T1156),0)</f>
        <v>0</v>
      </c>
      <c r="N1200" s="546">
        <f ca="1">'Ch7'!O330</f>
        <v>0</v>
      </c>
      <c r="O1200" s="546">
        <f ca="1">IF(AND(S1200,W1200&gt;=1.2),M1200,0)</f>
        <v>0</v>
      </c>
      <c r="P1200" t="b">
        <v>1</v>
      </c>
      <c r="Q1200" t="b">
        <v>1</v>
      </c>
      <c r="R1200" t="b">
        <v>0</v>
      </c>
      <c r="S1200" t="b">
        <f ca="1">AND(S883=2,LEN(W1193)=0,NOT(W1198=TRUE),NOT(W1201=TRUE),LEN(W1206)=0)</f>
        <v>0</v>
      </c>
      <c r="T1200" t="b">
        <f ca="1">AND(NOT(S1200),LEN(W1200)&gt;0)</f>
        <v>0</v>
      </c>
      <c r="W1200" s="300"/>
      <c r="X1200" s="36"/>
      <c r="Y1200" s="396" t="str">
        <f>IF(LEN('Ch7'!X330)=0,"None",'Ch7'!X330)</f>
        <v>None</v>
      </c>
      <c r="Z1200" s="652"/>
      <c r="AC1200" t="b">
        <f ca="1">OR(AD1200:AE1200)</f>
        <v>0</v>
      </c>
      <c r="AD1200" t="b">
        <f ca="1">T1200</f>
        <v>0</v>
      </c>
      <c r="AL1200" t="str">
        <f>SUBSTITUTE(SUBSTITUTE(SUBSTITUTE("vpa"&amp;$B1200&amp;$C1200&amp;$D1200&amp;$E1200,".","_"),"(","_"),")","")</f>
        <v>vpa703_3_4_2</v>
      </c>
      <c r="AM1200">
        <f t="shared" si="75"/>
        <v>0</v>
      </c>
      <c r="AN1200" t="str">
        <f>SUBSTITUTE(SUBSTITUTE(SUBSTITUTE("vpc"&amp;$B1200&amp;$C1200&amp;$D1200&amp;$E1200,".","_"),"(","_"),")","")</f>
        <v>vpc703_3_4_2</v>
      </c>
      <c r="AO1200">
        <f ca="1">O1200</f>
        <v>0</v>
      </c>
      <c r="AP1200" t="str">
        <f>SUBSTITUTE(SUBSTITUTE(SUBSTITUTE("vch"&amp;$B1200&amp;$C1200&amp;$D1200&amp;$E1200,".","_"),"(","_"),")","")</f>
        <v>vch703_3_4_2</v>
      </c>
      <c r="AQ1200" t="str">
        <f>IF(LEN(W1200)=0,"",W1200)</f>
        <v/>
      </c>
      <c r="AR1200" t="str">
        <f>SUBSTITUTE(SUBSTITUTE(SUBSTITUTE("vnt"&amp;$B1200&amp;$C1200&amp;$D1200&amp;$E1200,".","_"),"(","_"),")","")</f>
        <v>vnt703_3_4_2</v>
      </c>
      <c r="AS1200" t="str">
        <f>IF(LEN(X1200)=0,"",X1200)</f>
        <v/>
      </c>
    </row>
    <row r="1201" spans="1:45" x14ac:dyDescent="0.35">
      <c r="A1201" s="366">
        <v>7</v>
      </c>
      <c r="B1201" s="735" t="s">
        <v>925</v>
      </c>
      <c r="C1201" s="735"/>
      <c r="D1201" s="731"/>
      <c r="E1201" s="731"/>
      <c r="F1201" s="731"/>
      <c r="G1201" s="366" t="str">
        <f ca="1">IF(N1201&gt;0,"P","")</f>
        <v/>
      </c>
      <c r="H1201" s="366" t="s">
        <v>3970</v>
      </c>
      <c r="I1201" s="330" t="s">
        <v>925</v>
      </c>
      <c r="J1201" s="286"/>
      <c r="K1201" s="286"/>
      <c r="L1201" s="905" t="s">
        <v>926</v>
      </c>
      <c r="M1201" s="822">
        <f>IFERROR(INDEX({14,18,22,30,37,37,37,37},T1156),0)</f>
        <v>0</v>
      </c>
      <c r="N1201" s="963">
        <f ca="1">'Ch7'!O331</f>
        <v>0</v>
      </c>
      <c r="O1201" s="963">
        <f ca="1">M1201*S1201*W1201</f>
        <v>0</v>
      </c>
      <c r="P1201" t="b">
        <v>1</v>
      </c>
      <c r="Q1201" t="b">
        <v>1</v>
      </c>
      <c r="R1201" t="b">
        <v>0</v>
      </c>
      <c r="S1201" t="b">
        <f ca="1">AND(S883=2,LEN(W1161)=0,LEN(W1167)=0,LEN(W1170)=0,LEN(W1175)=0,LEN(W1181)=0,LEN(W1186)=0,LEN(W1188)=0,LEN(W1193)=0,NOT(W1198=TRUE),LEN(W1200)=0,LEN(W1206)=0)</f>
        <v>0</v>
      </c>
      <c r="T1201" t="b">
        <f ca="1">AND(NOT(S1201),W1201=TRUE)</f>
        <v>0</v>
      </c>
      <c r="W1201" s="17"/>
      <c r="X1201" s="817"/>
      <c r="Y1201" s="1100" t="str">
        <f>IF(LEN('Ch7'!X331)=0,"None",'Ch7'!X331)</f>
        <v>None</v>
      </c>
      <c r="Z1201" s="1102"/>
      <c r="AC1201" t="b">
        <f ca="1">OR(AD1201:AE1201)</f>
        <v>0</v>
      </c>
      <c r="AD1201" t="b">
        <f ca="1">T1201</f>
        <v>0</v>
      </c>
      <c r="AL1201" t="str">
        <f>SUBSTITUTE(SUBSTITUTE(SUBSTITUTE("vpa"&amp;$B1201&amp;$C1201&amp;$D1201&amp;$E1201,".","_"),"(","_"),")","")</f>
        <v>vpa703_3_5</v>
      </c>
      <c r="AM1201">
        <f>M1201</f>
        <v>0</v>
      </c>
      <c r="AN1201" t="str">
        <f>SUBSTITUTE(SUBSTITUTE(SUBSTITUTE("vpc"&amp;$B1201&amp;$C1201&amp;$D1201&amp;$E1201,".","_"),"(","_"),")","")</f>
        <v>vpc703_3_5</v>
      </c>
      <c r="AO1201">
        <f ca="1">O1201</f>
        <v>0</v>
      </c>
      <c r="AP1201" t="str">
        <f>SUBSTITUTE(SUBSTITUTE(SUBSTITUTE("vch"&amp;$B1201&amp;$C1201&amp;$D1201&amp;$E1201,".","_"),"(","_"),")","")</f>
        <v>vch703_3_5</v>
      </c>
      <c r="AQ1201" t="str">
        <f>IF(LEN(W1201)=0,"",W1201)</f>
        <v/>
      </c>
      <c r="AR1201" t="str">
        <f>SUBSTITUTE(SUBSTITUTE(SUBSTITUTE("vnt"&amp;$B1201&amp;$C1201&amp;$D1201&amp;$E1201,".","_"),"(","_"),")","")</f>
        <v>vnt703_3_5</v>
      </c>
      <c r="AS1201" t="str">
        <f>IF(LEN(X1201)=0,"",X1201)</f>
        <v/>
      </c>
    </row>
    <row r="1202" spans="1:45" x14ac:dyDescent="0.35">
      <c r="A1202" s="366">
        <v>7</v>
      </c>
      <c r="B1202" s="735" t="s">
        <v>925</v>
      </c>
      <c r="C1202" s="735"/>
      <c r="D1202" s="731"/>
      <c r="E1202" s="731"/>
      <c r="F1202" s="731"/>
      <c r="G1202" s="366" t="str">
        <f ca="1">G1201</f>
        <v/>
      </c>
      <c r="H1202" s="366" t="s">
        <v>3970</v>
      </c>
      <c r="I1202" s="4"/>
      <c r="J1202" s="90"/>
      <c r="K1202" s="90"/>
      <c r="L1202" s="838"/>
      <c r="M1202" s="818"/>
      <c r="N1202" s="834"/>
      <c r="O1202" s="834"/>
      <c r="X1202" s="817"/>
      <c r="Y1202" s="1100"/>
      <c r="Z1202" s="1102"/>
    </row>
    <row r="1203" spans="1:45" x14ac:dyDescent="0.35">
      <c r="A1203" s="366">
        <v>7</v>
      </c>
      <c r="B1203" s="735" t="s">
        <v>925</v>
      </c>
      <c r="C1203" s="735"/>
      <c r="D1203" s="731"/>
      <c r="E1203" s="731"/>
      <c r="F1203" s="731"/>
      <c r="G1203" s="366" t="str">
        <f ca="1">G1202</f>
        <v/>
      </c>
      <c r="H1203" s="366" t="s">
        <v>3970</v>
      </c>
      <c r="I1203" s="4"/>
      <c r="J1203" s="90"/>
      <c r="K1203" s="90"/>
      <c r="L1203" s="838"/>
      <c r="M1203" s="818"/>
      <c r="N1203" s="834"/>
      <c r="O1203" s="834"/>
      <c r="X1203" s="817"/>
      <c r="Y1203" s="1100"/>
      <c r="Z1203" s="1102"/>
    </row>
    <row r="1204" spans="1:45" x14ac:dyDescent="0.35">
      <c r="A1204" s="366">
        <v>7</v>
      </c>
      <c r="B1204" s="735" t="s">
        <v>925</v>
      </c>
      <c r="C1204" s="735"/>
      <c r="D1204" s="731"/>
      <c r="E1204" s="731"/>
      <c r="F1204" s="731"/>
      <c r="G1204" s="366" t="str">
        <f ca="1">G1203</f>
        <v/>
      </c>
      <c r="H1204" s="366" t="s">
        <v>3970</v>
      </c>
      <c r="I1204" s="133"/>
      <c r="J1204" s="228"/>
      <c r="K1204" s="228"/>
      <c r="L1204" s="228" t="s">
        <v>3801</v>
      </c>
      <c r="M1204" s="819"/>
      <c r="N1204" s="835"/>
      <c r="O1204" s="835"/>
      <c r="X1204" s="817"/>
      <c r="Y1204" s="1100"/>
      <c r="Z1204" s="1102"/>
    </row>
    <row r="1205" spans="1:45" x14ac:dyDescent="0.35">
      <c r="A1205" s="366">
        <v>7</v>
      </c>
      <c r="B1205" s="735" t="s">
        <v>927</v>
      </c>
      <c r="C1205" s="735"/>
      <c r="D1205" s="731"/>
      <c r="E1205" s="731"/>
      <c r="F1205" s="731"/>
      <c r="G1205" s="366" t="str">
        <f ca="1">IF(N1205&gt;0,"P","")</f>
        <v/>
      </c>
      <c r="H1205" s="366" t="s">
        <v>3970</v>
      </c>
      <c r="I1205" s="32" t="s">
        <v>927</v>
      </c>
      <c r="J1205" s="90"/>
      <c r="K1205" s="90"/>
      <c r="L1205" s="919" t="s">
        <v>3835</v>
      </c>
      <c r="M1205" s="40"/>
      <c r="N1205" s="834">
        <f ca="1">'Ch7'!O335</f>
        <v>0</v>
      </c>
      <c r="O1205" s="834">
        <f ca="1">IFERROR(INDEX(M1208:M1210,MATCH(W1206,{16,24,28},1)),0)*S1206</f>
        <v>0</v>
      </c>
      <c r="W1205" t="s">
        <v>3805</v>
      </c>
      <c r="X1205" s="817"/>
      <c r="Y1205" s="1100" t="str">
        <f>IF(LEN('Ch7'!X335)=0,"None",'Ch7'!X335)</f>
        <v>None</v>
      </c>
      <c r="Z1205" s="1102"/>
      <c r="AN1205" t="str">
        <f>SUBSTITUTE(SUBSTITUTE(SUBSTITUTE("vpc"&amp;$B1205&amp;$C1205&amp;$D1205&amp;$E1205,".","_"),"(","_"),")","")</f>
        <v>vpc703_3_6</v>
      </c>
      <c r="AO1205">
        <f ca="1">O1205</f>
        <v>0</v>
      </c>
      <c r="AR1205" t="str">
        <f>SUBSTITUTE(SUBSTITUTE(SUBSTITUTE("vnt"&amp;$B1205&amp;$C1205&amp;$D1205&amp;$E1205,".","_"),"(","_"),")","")</f>
        <v>vnt703_3_6</v>
      </c>
      <c r="AS1205" t="str">
        <f>IF(LEN(X1205)=0,"",X1205)</f>
        <v/>
      </c>
    </row>
    <row r="1206" spans="1:45" x14ac:dyDescent="0.35">
      <c r="A1206" s="366">
        <v>7</v>
      </c>
      <c r="B1206" s="735" t="s">
        <v>927</v>
      </c>
      <c r="C1206" s="735"/>
      <c r="D1206" s="731"/>
      <c r="E1206" s="731"/>
      <c r="F1206" s="731"/>
      <c r="G1206" s="366" t="str">
        <f ca="1">G1205</f>
        <v/>
      </c>
      <c r="H1206" s="366" t="s">
        <v>3970</v>
      </c>
      <c r="I1206" s="4"/>
      <c r="J1206" s="90"/>
      <c r="K1206" s="90"/>
      <c r="L1206" s="919"/>
      <c r="M1206" s="40"/>
      <c r="N1206" s="834"/>
      <c r="O1206" s="834"/>
      <c r="P1206" t="b">
        <v>1</v>
      </c>
      <c r="Q1206" t="b">
        <v>1</v>
      </c>
      <c r="R1206" t="b">
        <v>0</v>
      </c>
      <c r="S1206" t="b">
        <f ca="1">AND(S883=2,LEN(W1161)=0,LEN(W1167)=0,LEN(W1170)=0,LEN(W1175)=0,LEN(W1181)=0,LEN(W1186)=0,LEN(W1188)=0,LEN(W1193)=0,NOT(W1198=TRUE),LEN(W1200)=0,NOT(W1201=TRUE))</f>
        <v>0</v>
      </c>
      <c r="T1206" t="b">
        <f ca="1">AND(NOT(S1206),LEN(W1206)&gt;0)</f>
        <v>0</v>
      </c>
      <c r="W1206" s="300"/>
      <c r="X1206" s="817"/>
      <c r="Y1206" s="1100"/>
      <c r="Z1206" s="1102"/>
      <c r="AC1206" t="b">
        <f ca="1">OR(AD1206:AE1206)</f>
        <v>0</v>
      </c>
      <c r="AD1206" t="b">
        <f ca="1">T1206</f>
        <v>0</v>
      </c>
      <c r="AP1206" t="str">
        <f>SUBSTITUTE(SUBSTITUTE(SUBSTITUTE("vch"&amp;$B1206&amp;$C1206&amp;$D1206&amp;$E1206,".","_"),"(","_"),")","")</f>
        <v>vch703_3_6</v>
      </c>
      <c r="AQ1206" t="str">
        <f>IF(LEN(W1206)=0,"",W1206)</f>
        <v/>
      </c>
    </row>
    <row r="1207" spans="1:45" x14ac:dyDescent="0.35">
      <c r="A1207" s="366">
        <v>7</v>
      </c>
      <c r="B1207" s="735" t="s">
        <v>927</v>
      </c>
      <c r="C1207" s="735"/>
      <c r="D1207" s="731"/>
      <c r="E1207" s="731"/>
      <c r="F1207" s="731"/>
      <c r="G1207" s="366" t="str">
        <f ca="1">G1206</f>
        <v/>
      </c>
      <c r="H1207" s="366" t="s">
        <v>3970</v>
      </c>
      <c r="I1207" s="4"/>
      <c r="J1207" s="90"/>
      <c r="K1207" s="90"/>
      <c r="L1207" s="919"/>
      <c r="M1207" s="40"/>
      <c r="N1207" s="834"/>
      <c r="O1207" s="834"/>
      <c r="X1207" s="817"/>
      <c r="Y1207" s="1100"/>
      <c r="Z1207" s="1102"/>
    </row>
    <row r="1208" spans="1:45" x14ac:dyDescent="0.35">
      <c r="A1208" s="366">
        <v>7</v>
      </c>
      <c r="B1208" s="735" t="s">
        <v>927</v>
      </c>
      <c r="C1208" s="731" t="s">
        <v>256</v>
      </c>
      <c r="D1208" s="731"/>
      <c r="E1208" s="731"/>
      <c r="F1208" s="731"/>
      <c r="G1208" s="366" t="str">
        <f ca="1">G1207</f>
        <v/>
      </c>
      <c r="H1208" s="366" t="s">
        <v>3970</v>
      </c>
      <c r="I1208" s="4"/>
      <c r="J1208" s="90"/>
      <c r="K1208" s="90"/>
      <c r="L1208" s="90" t="s">
        <v>3802</v>
      </c>
      <c r="M1208" s="40">
        <f>IFERROR(INDEX({1,1,2,16,22,22,22,22},T1156),0)</f>
        <v>0</v>
      </c>
      <c r="N1208" s="41"/>
      <c r="O1208" s="41"/>
      <c r="X1208" s="817"/>
      <c r="Y1208" s="1100"/>
      <c r="Z1208" s="1102"/>
      <c r="AL1208" t="str">
        <f>SUBSTITUTE(SUBSTITUTE(SUBSTITUTE("vpa"&amp;$B1208&amp;$C1208&amp;$D1208&amp;$E1208,".","_"),"(","_"),")","")</f>
        <v>vpa703_3_6_1</v>
      </c>
      <c r="AM1208">
        <f>M1208</f>
        <v>0</v>
      </c>
    </row>
    <row r="1209" spans="1:45" x14ac:dyDescent="0.35">
      <c r="A1209" s="366">
        <v>7</v>
      </c>
      <c r="B1209" s="735" t="s">
        <v>927</v>
      </c>
      <c r="C1209" s="731" t="s">
        <v>258</v>
      </c>
      <c r="D1209" s="731"/>
      <c r="E1209" s="731"/>
      <c r="F1209" s="731"/>
      <c r="G1209" s="366" t="str">
        <f ca="1">G1208</f>
        <v/>
      </c>
      <c r="H1209" s="366" t="s">
        <v>3970</v>
      </c>
      <c r="I1209" s="4"/>
      <c r="J1209" s="90"/>
      <c r="K1209" s="90"/>
      <c r="L1209" s="90" t="s">
        <v>3803</v>
      </c>
      <c r="M1209" s="40">
        <f>IFERROR(INDEX({24,29,22,31,35,35,35,35},T1156),0)</f>
        <v>0</v>
      </c>
      <c r="N1209" s="41"/>
      <c r="O1209" s="41"/>
      <c r="X1209" s="817"/>
      <c r="Y1209" s="1100"/>
      <c r="Z1209" s="1102"/>
      <c r="AL1209" t="str">
        <f>SUBSTITUTE(SUBSTITUTE(SUBSTITUTE("vpa"&amp;$B1209&amp;$C1209&amp;$D1209&amp;$E1209,".","_"),"(","_"),")","")</f>
        <v>vpa703_3_6_2</v>
      </c>
      <c r="AM1209">
        <f>M1209</f>
        <v>0</v>
      </c>
    </row>
    <row r="1210" spans="1:45" x14ac:dyDescent="0.35">
      <c r="A1210" s="366">
        <v>7</v>
      </c>
      <c r="B1210" s="735" t="s">
        <v>927</v>
      </c>
      <c r="C1210" s="731" t="s">
        <v>260</v>
      </c>
      <c r="D1210" s="731"/>
      <c r="E1210" s="731"/>
      <c r="F1210" s="731"/>
      <c r="G1210" s="366" t="str">
        <f ca="1">G1209</f>
        <v/>
      </c>
      <c r="H1210" s="366" t="s">
        <v>3970</v>
      </c>
      <c r="I1210" s="133"/>
      <c r="J1210" s="228"/>
      <c r="K1210" s="228"/>
      <c r="L1210" s="228" t="s">
        <v>3804</v>
      </c>
      <c r="M1210" s="268">
        <f>IFERROR(INDEX({42,46,35,42,44,44,44,44},T1156),0)</f>
        <v>0</v>
      </c>
      <c r="N1210" s="546"/>
      <c r="O1210" s="546"/>
      <c r="X1210" s="817"/>
      <c r="Y1210" s="1100"/>
      <c r="Z1210" s="1102"/>
      <c r="AL1210" t="str">
        <f>SUBSTITUTE(SUBSTITUTE(SUBSTITUTE("vpa"&amp;$B1210&amp;$C1210&amp;$D1210&amp;$E1210,".","_"),"(","_"),")","")</f>
        <v>vpa703_3_6_3</v>
      </c>
      <c r="AM1210">
        <f>M1210</f>
        <v>0</v>
      </c>
    </row>
    <row r="1211" spans="1:45" x14ac:dyDescent="0.35">
      <c r="A1211" s="366">
        <v>7</v>
      </c>
      <c r="B1211" s="735" t="s">
        <v>928</v>
      </c>
      <c r="C1211" s="731" t="s">
        <v>256</v>
      </c>
      <c r="D1211" s="731"/>
      <c r="E1211" s="731"/>
      <c r="F1211" s="731"/>
      <c r="G1211" s="366" t="str">
        <f ca="1">IF(N1211&gt;0,"P","")</f>
        <v/>
      </c>
      <c r="H1211" s="366" t="s">
        <v>3972</v>
      </c>
      <c r="I1211" s="32" t="s">
        <v>928</v>
      </c>
      <c r="J1211" s="90"/>
      <c r="K1211" s="90"/>
      <c r="L1211" s="95" t="s">
        <v>929</v>
      </c>
      <c r="M1211" s="40">
        <v>1</v>
      </c>
      <c r="N1211" s="41">
        <f ca="1">'Ch7'!O341</f>
        <v>0</v>
      </c>
      <c r="O1211" s="41">
        <f ca="1">IF(AND(S1213,W1213&gt;0),MIN(8,W1213),M1211*S1211*W1211)</f>
        <v>0</v>
      </c>
      <c r="P1211" t="b">
        <v>0</v>
      </c>
      <c r="Q1211" t="b">
        <v>1</v>
      </c>
      <c r="R1211" t="b">
        <v>0</v>
      </c>
      <c r="S1211" t="b">
        <f ca="1">AND(S883=2,NOT(W1218))</f>
        <v>0</v>
      </c>
      <c r="T1211" t="b">
        <f ca="1">AND(NOT(S1211),W1211=TRUE)</f>
        <v>0</v>
      </c>
      <c r="W1211" s="17"/>
      <c r="X1211" s="817"/>
      <c r="Y1211" s="1100" t="str">
        <f>IF(LEN('Ch7'!X341)=0,"None",'Ch7'!X341)</f>
        <v>None</v>
      </c>
      <c r="Z1211" s="1102"/>
      <c r="AC1211" t="b">
        <f ca="1">OR(AD1211:AE1211)</f>
        <v>0</v>
      </c>
      <c r="AD1211" t="b">
        <f ca="1">T1211</f>
        <v>0</v>
      </c>
      <c r="AL1211" t="str">
        <f>SUBSTITUTE(SUBSTITUTE(SUBSTITUTE("vpa"&amp;$B1211&amp;$C1211&amp;$D1211&amp;$E1211,".","_"),"(","_"),")","")</f>
        <v>vpa703_3_7_1</v>
      </c>
      <c r="AM1211">
        <f>M1211</f>
        <v>1</v>
      </c>
      <c r="AN1211" t="str">
        <f>SUBSTITUTE(SUBSTITUTE(SUBSTITUTE("vpc"&amp;$B1211&amp;$C1211&amp;$D1211&amp;$E1211,".","_"),"(","_"),")","")</f>
        <v>vpc703_3_7_1</v>
      </c>
      <c r="AO1211">
        <f ca="1">O1211</f>
        <v>0</v>
      </c>
      <c r="AP1211" t="str">
        <f>SUBSTITUTE(SUBSTITUTE(SUBSTITUTE("vch"&amp;$B1211&amp;$C1211&amp;$D1211&amp;$E1211,".","_"),"(","_"),")","")</f>
        <v>vch703_3_7_1</v>
      </c>
      <c r="AQ1211" t="str">
        <f>IF(LEN(W1211)=0,"",W1211)</f>
        <v/>
      </c>
      <c r="AR1211" t="str">
        <f>SUBSTITUTE(SUBSTITUTE(SUBSTITUTE("vnt"&amp;$B1211&amp;$C1211&amp;$D1211&amp;$E1211,".","_"),"(","_"),")","")</f>
        <v>vnt703_3_7_1</v>
      </c>
      <c r="AS1211" t="str">
        <f>IF(LEN(X1211)=0,"",X1211)</f>
        <v/>
      </c>
    </row>
    <row r="1212" spans="1:45" x14ac:dyDescent="0.35">
      <c r="A1212" s="366">
        <v>7</v>
      </c>
      <c r="B1212" s="735" t="s">
        <v>928</v>
      </c>
      <c r="C1212" s="731"/>
      <c r="D1212" s="731"/>
      <c r="E1212" s="731"/>
      <c r="F1212" s="731"/>
      <c r="G1212" s="366" t="str">
        <f ca="1">G1211</f>
        <v/>
      </c>
      <c r="H1212" s="366" t="s">
        <v>3972</v>
      </c>
      <c r="I1212" s="4"/>
      <c r="J1212" s="90"/>
      <c r="K1212" s="90"/>
      <c r="L1212" s="91" t="s">
        <v>930</v>
      </c>
      <c r="M1212" s="40"/>
      <c r="N1212" s="41"/>
      <c r="O1212" s="41"/>
      <c r="W1212" t="s">
        <v>3761</v>
      </c>
      <c r="X1212" s="817"/>
      <c r="Y1212" s="1100"/>
      <c r="Z1212" s="1102"/>
    </row>
    <row r="1213" spans="1:45" ht="15" customHeight="1" x14ac:dyDescent="0.35">
      <c r="A1213" s="366">
        <v>7</v>
      </c>
      <c r="B1213" s="735" t="s">
        <v>928</v>
      </c>
      <c r="C1213" s="731" t="s">
        <v>258</v>
      </c>
      <c r="D1213" s="731"/>
      <c r="E1213" s="731"/>
      <c r="F1213" s="731"/>
      <c r="G1213" s="366" t="str">
        <f ca="1">G1212</f>
        <v/>
      </c>
      <c r="H1213" s="366" t="s">
        <v>3972</v>
      </c>
      <c r="I1213" s="4"/>
      <c r="J1213" s="90"/>
      <c r="K1213" s="90"/>
      <c r="L1213" s="919" t="s">
        <v>4278</v>
      </c>
      <c r="M1213" s="40"/>
      <c r="N1213" s="41"/>
      <c r="O1213" s="41"/>
      <c r="P1213" t="b">
        <v>0</v>
      </c>
      <c r="Q1213" t="b">
        <v>1</v>
      </c>
      <c r="R1213" t="b">
        <v>0</v>
      </c>
      <c r="S1213" t="b">
        <f ca="1">AND(S883=2,NOT(W1218),W1211=TRUE,OR(BI886="Tropical",AND(BG886="Dry",OR(BF886=2,BF886=3,BF886=4))))</f>
        <v>0</v>
      </c>
      <c r="T1213" t="b">
        <f ca="1">AND(NOT(S1213),LEN(W1213)&gt;0)</f>
        <v>0</v>
      </c>
      <c r="W1213" s="314"/>
      <c r="X1213" s="817"/>
      <c r="Y1213" s="1100"/>
      <c r="Z1213" s="1102"/>
      <c r="AC1213" t="b">
        <f ca="1">OR(AD1213:AE1213)</f>
        <v>0</v>
      </c>
      <c r="AD1213" t="b">
        <f ca="1">T1213</f>
        <v>0</v>
      </c>
      <c r="AP1213" t="str">
        <f>SUBSTITUTE(SUBSTITUTE(SUBSTITUTE("vch"&amp;$B1213&amp;$C1213&amp;$D1213&amp;$E1213,".","_"),"(","_"),")","")</f>
        <v>vch703_3_7_2</v>
      </c>
      <c r="AQ1213" t="str">
        <f>IF(LEN(W1213)=0,"",W1213)</f>
        <v/>
      </c>
    </row>
    <row r="1214" spans="1:45" x14ac:dyDescent="0.35">
      <c r="A1214" s="366">
        <v>7</v>
      </c>
      <c r="B1214" s="735" t="s">
        <v>928</v>
      </c>
      <c r="C1214" s="735"/>
      <c r="D1214" s="731"/>
      <c r="E1214" s="731"/>
      <c r="F1214" s="731"/>
      <c r="G1214" s="366" t="str">
        <f ca="1">G1213</f>
        <v/>
      </c>
      <c r="H1214" s="366" t="s">
        <v>3972</v>
      </c>
      <c r="I1214" s="4"/>
      <c r="J1214" s="90"/>
      <c r="K1214" s="90"/>
      <c r="L1214" s="919"/>
      <c r="M1214" s="40"/>
      <c r="N1214" s="41"/>
      <c r="O1214" s="41"/>
      <c r="X1214" s="817"/>
      <c r="Y1214" s="1100"/>
      <c r="Z1214" s="1102"/>
    </row>
    <row r="1215" spans="1:45" x14ac:dyDescent="0.35">
      <c r="A1215" s="366">
        <v>7</v>
      </c>
      <c r="B1215" s="735" t="s">
        <v>928</v>
      </c>
      <c r="C1215" s="735"/>
      <c r="D1215" s="731"/>
      <c r="E1215" s="731"/>
      <c r="F1215" s="731"/>
      <c r="G1215" s="366" t="str">
        <f ca="1">G1214</f>
        <v/>
      </c>
      <c r="H1215" s="366" t="s">
        <v>3972</v>
      </c>
      <c r="I1215" s="4"/>
      <c r="J1215" s="90"/>
      <c r="K1215" s="90"/>
      <c r="L1215" s="919"/>
      <c r="M1215" s="40"/>
      <c r="N1215" s="41"/>
      <c r="O1215" s="41"/>
      <c r="X1215" s="817"/>
      <c r="Y1215" s="1100"/>
      <c r="Z1215" s="1102"/>
    </row>
    <row r="1216" spans="1:45" x14ac:dyDescent="0.35">
      <c r="A1216" s="366">
        <v>7</v>
      </c>
      <c r="B1216" s="735" t="s">
        <v>928</v>
      </c>
      <c r="C1216" s="735"/>
      <c r="D1216" s="731"/>
      <c r="E1216" s="731"/>
      <c r="F1216" s="731"/>
      <c r="G1216" s="366" t="str">
        <f ca="1">G1215</f>
        <v/>
      </c>
      <c r="H1216" s="366" t="s">
        <v>3972</v>
      </c>
      <c r="I1216" s="4"/>
      <c r="J1216" s="90"/>
      <c r="K1216" s="90"/>
      <c r="L1216" s="919"/>
      <c r="M1216" s="40"/>
      <c r="N1216" s="41"/>
      <c r="O1216" s="41"/>
      <c r="X1216" s="817"/>
      <c r="Y1216" s="1100"/>
      <c r="Z1216" s="1102"/>
    </row>
    <row r="1217" spans="1:45" x14ac:dyDescent="0.35">
      <c r="A1217" s="366">
        <v>7</v>
      </c>
      <c r="B1217" s="735" t="s">
        <v>928</v>
      </c>
      <c r="C1217" s="735"/>
      <c r="D1217" s="731"/>
      <c r="E1217" s="731"/>
      <c r="F1217" s="731"/>
      <c r="I1217" s="133"/>
      <c r="J1217" s="228"/>
      <c r="K1217" s="228"/>
      <c r="L1217" s="284" t="s">
        <v>3777</v>
      </c>
      <c r="M1217" s="268"/>
      <c r="N1217" s="546"/>
      <c r="O1217" s="546"/>
      <c r="P1217" s="104"/>
      <c r="Q1217" s="104"/>
      <c r="R1217" s="104"/>
      <c r="S1217" s="104"/>
      <c r="T1217" s="104"/>
      <c r="U1217" s="104"/>
      <c r="V1217" s="104"/>
      <c r="W1217" s="335"/>
      <c r="X1217" s="817"/>
      <c r="Y1217" s="1100"/>
      <c r="Z1217" s="1102"/>
    </row>
    <row r="1218" spans="1:45" ht="15" customHeight="1" x14ac:dyDescent="0.35">
      <c r="A1218" s="366">
        <v>7</v>
      </c>
      <c r="B1218" s="735" t="s">
        <v>931</v>
      </c>
      <c r="C1218" s="735"/>
      <c r="D1218" s="731"/>
      <c r="E1218" s="731"/>
      <c r="F1218" s="731"/>
      <c r="G1218" s="366" t="str">
        <f ca="1">IF(N1218&gt;0,"P","")</f>
        <v/>
      </c>
      <c r="H1218" s="366" t="s">
        <v>3970</v>
      </c>
      <c r="I1218" s="330" t="s">
        <v>931</v>
      </c>
      <c r="J1218" s="286"/>
      <c r="K1218" s="286"/>
      <c r="L1218" s="921" t="s">
        <v>4279</v>
      </c>
      <c r="M1218" s="822">
        <f>IFERROR(INDEX({4,4,4,3,3,3,0,0},BF886),0)</f>
        <v>0</v>
      </c>
      <c r="N1218" s="963">
        <f ca="1">'Ch7'!O348</f>
        <v>0</v>
      </c>
      <c r="O1218" s="963">
        <f ca="1">M1218*S1218*W1218</f>
        <v>0</v>
      </c>
      <c r="P1218" t="b">
        <v>1</v>
      </c>
      <c r="Q1218" t="b">
        <v>1</v>
      </c>
      <c r="R1218" s="120" t="b">
        <v>0</v>
      </c>
      <c r="S1218" s="120" t="b">
        <f ca="1">(S883=2)</f>
        <v>0</v>
      </c>
      <c r="T1218" s="120" t="b">
        <f ca="1">AND(NOT(S1218),W1218=TRUE)</f>
        <v>0</v>
      </c>
      <c r="U1218" s="120"/>
      <c r="V1218" s="120"/>
      <c r="W1218" s="17"/>
      <c r="X1218" s="817"/>
      <c r="Y1218" s="1100" t="str">
        <f>IF(LEN('Ch7'!X348)=0,"None",'Ch7'!X348)</f>
        <v>None</v>
      </c>
      <c r="Z1218" s="1102"/>
      <c r="AC1218" t="b">
        <f ca="1">OR(AD1218:AE1218)</f>
        <v>0</v>
      </c>
      <c r="AD1218" t="b">
        <f ca="1">T1218</f>
        <v>0</v>
      </c>
      <c r="AL1218" t="str">
        <f>SUBSTITUTE(SUBSTITUTE(SUBSTITUTE("vpa"&amp;$B1218&amp;$C1218&amp;$D1218&amp;$E1218,".","_"),"(","_"),")","")</f>
        <v>vpa703_3_8</v>
      </c>
      <c r="AM1218">
        <f>M1218</f>
        <v>0</v>
      </c>
      <c r="AN1218" t="str">
        <f>SUBSTITUTE(SUBSTITUTE(SUBSTITUTE("vpc"&amp;$B1218&amp;$C1218&amp;$D1218&amp;$E1218,".","_"),"(","_"),")","")</f>
        <v>vpc703_3_8</v>
      </c>
      <c r="AO1218">
        <f ca="1">O1218</f>
        <v>0</v>
      </c>
      <c r="AP1218" t="str">
        <f>SUBSTITUTE(SUBSTITUTE(SUBSTITUTE("vch"&amp;$B1218&amp;$C1218&amp;$D1218&amp;$E1218,".","_"),"(","_"),")","")</f>
        <v>vch703_3_8</v>
      </c>
      <c r="AQ1218" t="str">
        <f>IF(LEN(W1218)=0,"",W1218)</f>
        <v/>
      </c>
      <c r="AR1218" t="str">
        <f>SUBSTITUTE(SUBSTITUTE(SUBSTITUTE("vnt"&amp;$B1218&amp;$C1218&amp;$D1218&amp;$E1218,".","_"),"(","_"),")","")</f>
        <v>vnt703_3_8</v>
      </c>
      <c r="AS1218" t="str">
        <f>IF(LEN(X1218)=0,"",X1218)</f>
        <v/>
      </c>
    </row>
    <row r="1219" spans="1:45" x14ac:dyDescent="0.35">
      <c r="A1219" s="366">
        <v>7</v>
      </c>
      <c r="B1219" s="735" t="s">
        <v>931</v>
      </c>
      <c r="C1219" s="735"/>
      <c r="D1219" s="731"/>
      <c r="E1219" s="731"/>
      <c r="F1219" s="731"/>
      <c r="G1219" s="366" t="str">
        <f ca="1">G1218</f>
        <v/>
      </c>
      <c r="H1219" s="366" t="s">
        <v>3970</v>
      </c>
      <c r="I1219" s="4"/>
      <c r="J1219" s="90"/>
      <c r="K1219" s="90"/>
      <c r="L1219" s="919"/>
      <c r="M1219" s="818"/>
      <c r="N1219" s="834"/>
      <c r="O1219" s="834"/>
      <c r="X1219" s="817"/>
      <c r="Y1219" s="1100"/>
      <c r="Z1219" s="1102"/>
    </row>
    <row r="1220" spans="1:45" x14ac:dyDescent="0.35">
      <c r="A1220" s="366">
        <v>7</v>
      </c>
      <c r="B1220" s="735" t="s">
        <v>931</v>
      </c>
      <c r="C1220" s="735"/>
      <c r="D1220" s="731"/>
      <c r="E1220" s="731"/>
      <c r="F1220" s="731"/>
      <c r="G1220" s="366" t="str">
        <f ca="1">G1219</f>
        <v/>
      </c>
      <c r="H1220" s="366" t="s">
        <v>3970</v>
      </c>
      <c r="I1220" s="4"/>
      <c r="J1220" s="90"/>
      <c r="K1220" s="90"/>
      <c r="L1220" s="92" t="s">
        <v>930</v>
      </c>
      <c r="M1220" s="40"/>
      <c r="N1220" s="41"/>
      <c r="O1220" s="41"/>
      <c r="X1220" s="817"/>
      <c r="Y1220" s="1100"/>
      <c r="Z1220" s="1102"/>
    </row>
    <row r="1221" spans="1:45" x14ac:dyDescent="0.35">
      <c r="A1221" s="366">
        <v>7</v>
      </c>
      <c r="B1221" s="735" t="s">
        <v>931</v>
      </c>
      <c r="C1221" s="735"/>
      <c r="D1221" s="731"/>
      <c r="E1221" s="731"/>
      <c r="F1221" s="731"/>
      <c r="I1221" s="4"/>
      <c r="J1221" s="90"/>
      <c r="K1221" s="90"/>
      <c r="L1221" s="855" t="s">
        <v>3776</v>
      </c>
      <c r="M1221" s="40"/>
      <c r="N1221" s="41"/>
      <c r="O1221" s="41"/>
      <c r="X1221" s="817"/>
      <c r="Y1221" s="1100"/>
      <c r="Z1221" s="1102"/>
    </row>
    <row r="1222" spans="1:45" ht="15" thickBot="1" x14ac:dyDescent="0.4">
      <c r="A1222" s="366">
        <v>7</v>
      </c>
      <c r="B1222" s="735" t="s">
        <v>931</v>
      </c>
      <c r="C1222" s="735"/>
      <c r="D1222" s="731"/>
      <c r="E1222" s="731"/>
      <c r="F1222" s="731"/>
      <c r="I1222" s="160"/>
      <c r="J1222" s="229"/>
      <c r="K1222" s="229"/>
      <c r="L1222" s="922"/>
      <c r="M1222" s="270"/>
      <c r="N1222" s="72"/>
      <c r="O1222" s="72"/>
      <c r="P1222" s="55"/>
      <c r="Q1222" s="55"/>
      <c r="R1222" s="55"/>
      <c r="S1222" s="55"/>
      <c r="T1222" s="55"/>
      <c r="U1222" s="55"/>
      <c r="V1222" s="55"/>
      <c r="W1222" s="55"/>
      <c r="X1222" s="829"/>
      <c r="Y1222" s="1101"/>
      <c r="Z1222" s="1104"/>
    </row>
    <row r="1223" spans="1:45" ht="15" thickTop="1" x14ac:dyDescent="0.35">
      <c r="A1223" s="366">
        <v>7</v>
      </c>
      <c r="B1223" s="738">
        <v>703.4</v>
      </c>
      <c r="C1223" s="735"/>
      <c r="D1223" s="731"/>
      <c r="E1223" s="731"/>
      <c r="F1223" s="731"/>
      <c r="G1223" s="727" t="str">
        <f ca="1">IF(COUNTIF(G1224:G1234,"P")&gt;0,"P","")</f>
        <v>P</v>
      </c>
      <c r="H1223" s="366" t="s">
        <v>3970</v>
      </c>
      <c r="I1223" s="30">
        <v>703.4</v>
      </c>
      <c r="J1223" s="90"/>
      <c r="K1223" s="90"/>
      <c r="L1223" s="95" t="s">
        <v>932</v>
      </c>
      <c r="M1223" s="40"/>
      <c r="N1223" s="41"/>
      <c r="O1223" s="41"/>
      <c r="R1223" s="1"/>
      <c r="S1223" s="242" t="s">
        <v>3643</v>
      </c>
      <c r="T1223" s="1" t="b">
        <f>AND(AY898&gt;4,AY889=INDEX(ddSingleOrMulti,2))</f>
        <v>0</v>
      </c>
    </row>
    <row r="1224" spans="1:45" x14ac:dyDescent="0.35">
      <c r="A1224" s="366">
        <v>7</v>
      </c>
      <c r="B1224" s="738" t="s">
        <v>933</v>
      </c>
      <c r="C1224" s="735"/>
      <c r="D1224" s="731"/>
      <c r="E1224" s="731"/>
      <c r="F1224" s="731"/>
      <c r="G1224" s="366" t="str">
        <f ca="1">IF(N1224&gt;0,"P","")</f>
        <v/>
      </c>
      <c r="H1224" s="366" t="s">
        <v>3970</v>
      </c>
      <c r="I1224" s="30" t="s">
        <v>933</v>
      </c>
      <c r="J1224" s="90"/>
      <c r="K1224" s="90"/>
      <c r="L1224" s="95" t="s">
        <v>934</v>
      </c>
      <c r="M1224" s="818">
        <f>IFERROR(INDEX({0,2,4,6,8,8,8,8},BF886),0)</f>
        <v>0</v>
      </c>
      <c r="N1224" s="834">
        <f ca="1">'Ch7'!O354</f>
        <v>0</v>
      </c>
      <c r="O1224" s="834">
        <f ca="1">M1224*S1224*W1224</f>
        <v>0</v>
      </c>
      <c r="P1224" t="b">
        <v>1</v>
      </c>
      <c r="Q1224" t="b">
        <v>1</v>
      </c>
      <c r="R1224" t="b">
        <v>0</v>
      </c>
      <c r="S1224" t="b">
        <f ca="1">AND(S883=2,NOT(T1223),AY909=INDEX(ddHDucts,2))</f>
        <v>0</v>
      </c>
      <c r="T1224" t="b">
        <f ca="1">AND(NOT(S1224),W1224=TRUE)</f>
        <v>0</v>
      </c>
      <c r="W1224" s="17"/>
      <c r="X1224" s="817"/>
      <c r="Y1224" s="1100" t="str">
        <f>IF(LEN('Ch7'!X354)=0,"None",'Ch7'!X354)</f>
        <v>None</v>
      </c>
      <c r="Z1224" s="1102"/>
      <c r="AC1224" t="b">
        <f ca="1">OR(AD1224:AE1224)</f>
        <v>0</v>
      </c>
      <c r="AD1224" t="b">
        <f ca="1">T1224</f>
        <v>0</v>
      </c>
      <c r="AL1224" t="str">
        <f>SUBSTITUTE(SUBSTITUTE(SUBSTITUTE("vpa"&amp;$B1224&amp;$C1224&amp;$D1224&amp;$E1224,".","_"),"(","_"),")","")</f>
        <v>vpa703_4_1</v>
      </c>
      <c r="AM1224">
        <f>M1224</f>
        <v>0</v>
      </c>
      <c r="AN1224" t="str">
        <f>SUBSTITUTE(SUBSTITUTE(SUBSTITUTE("vpc"&amp;$B1224&amp;$C1224&amp;$D1224&amp;$E1224,".","_"),"(","_"),")","")</f>
        <v>vpc703_4_1</v>
      </c>
      <c r="AO1224">
        <f ca="1">O1224</f>
        <v>0</v>
      </c>
      <c r="AP1224" t="str">
        <f>SUBSTITUTE(SUBSTITUTE(SUBSTITUTE("vch"&amp;$B1224&amp;$C1224&amp;$D1224&amp;$E1224,".","_"),"(","_"),")","")</f>
        <v>vch703_4_1</v>
      </c>
      <c r="AQ1224" t="str">
        <f>IF(LEN(W1224)=0,"",W1224)</f>
        <v/>
      </c>
      <c r="AR1224" t="str">
        <f>SUBSTITUTE(SUBSTITUTE(SUBSTITUTE("vnt"&amp;$B1224&amp;$C1224&amp;$D1224&amp;$E1224,".","_"),"(","_"),")","")</f>
        <v>vnt703_4_1</v>
      </c>
      <c r="AS1224" t="str">
        <f>IF(LEN(X1224)=0,"",X1224)</f>
        <v/>
      </c>
    </row>
    <row r="1225" spans="1:45" x14ac:dyDescent="0.35">
      <c r="A1225" s="366">
        <v>7</v>
      </c>
      <c r="B1225" s="738" t="s">
        <v>933</v>
      </c>
      <c r="C1225" s="735"/>
      <c r="D1225" s="731"/>
      <c r="E1225" s="731"/>
      <c r="F1225" s="731"/>
      <c r="I1225" s="133"/>
      <c r="J1225" s="228"/>
      <c r="K1225" s="228"/>
      <c r="L1225" s="284" t="s">
        <v>935</v>
      </c>
      <c r="M1225" s="819"/>
      <c r="N1225" s="835"/>
      <c r="O1225" s="835"/>
      <c r="X1225" s="817"/>
      <c r="Y1225" s="1100"/>
      <c r="Z1225" s="1102"/>
    </row>
    <row r="1226" spans="1:45" x14ac:dyDescent="0.35">
      <c r="A1226" s="366">
        <v>7</v>
      </c>
      <c r="B1226" s="738" t="s">
        <v>936</v>
      </c>
      <c r="C1226" s="735"/>
      <c r="D1226" s="731"/>
      <c r="E1226" s="731"/>
      <c r="F1226" s="731"/>
      <c r="G1226" s="366" t="str">
        <f ca="1">IF(N1226&gt;0,"P","")</f>
        <v/>
      </c>
      <c r="H1226" s="366" t="s">
        <v>3970</v>
      </c>
      <c r="I1226" s="117" t="s">
        <v>936</v>
      </c>
      <c r="J1226" s="286"/>
      <c r="K1226" s="286"/>
      <c r="L1226" s="325" t="s">
        <v>937</v>
      </c>
      <c r="M1226" s="822">
        <f>IFERROR(INDEX({8,8,4,2,1,0,0,0},BF886),0)</f>
        <v>0</v>
      </c>
      <c r="N1226" s="963">
        <f ca="1">'Ch7'!O356</f>
        <v>0</v>
      </c>
      <c r="O1226" s="963">
        <f ca="1">M1226*S1226*W1226</f>
        <v>0</v>
      </c>
      <c r="P1226" t="b">
        <v>1</v>
      </c>
      <c r="Q1226" t="b">
        <v>1</v>
      </c>
      <c r="R1226" t="b">
        <v>0</v>
      </c>
      <c r="S1226" t="b">
        <f ca="1">AND(S883=2,NOT(T1223),AY913=INDEX(ddCDucts,2))</f>
        <v>0</v>
      </c>
      <c r="T1226" t="b">
        <f ca="1">AND(NOT(S1226),W1226=TRUE)</f>
        <v>0</v>
      </c>
      <c r="W1226" s="17"/>
      <c r="X1226" s="817"/>
      <c r="Y1226" s="1100" t="str">
        <f>IF(LEN('Ch7'!X356)=0,"None",'Ch7'!X356)</f>
        <v>None</v>
      </c>
      <c r="Z1226" s="1102"/>
      <c r="AC1226" t="b">
        <f ca="1">OR(AD1226:AE1226)</f>
        <v>0</v>
      </c>
      <c r="AD1226" t="b">
        <f ca="1">T1226</f>
        <v>0</v>
      </c>
      <c r="AL1226" t="str">
        <f>SUBSTITUTE(SUBSTITUTE(SUBSTITUTE("vpa"&amp;$B1226&amp;$C1226&amp;$D1226&amp;$E1226,".","_"),"(","_"),")","")</f>
        <v>vpa703_4_2</v>
      </c>
      <c r="AM1226">
        <f>M1226</f>
        <v>0</v>
      </c>
      <c r="AN1226" t="str">
        <f>SUBSTITUTE(SUBSTITUTE(SUBSTITUTE("vpc"&amp;$B1226&amp;$C1226&amp;$D1226&amp;$E1226,".","_"),"(","_"),")","")</f>
        <v>vpc703_4_2</v>
      </c>
      <c r="AO1226">
        <f ca="1">O1226</f>
        <v>0</v>
      </c>
      <c r="AP1226" t="str">
        <f>SUBSTITUTE(SUBSTITUTE(SUBSTITUTE("vch"&amp;$B1226&amp;$C1226&amp;$D1226&amp;$E1226,".","_"),"(","_"),")","")</f>
        <v>vch703_4_2</v>
      </c>
      <c r="AQ1226" t="str">
        <f>IF(LEN(W1226)=0,"",W1226)</f>
        <v/>
      </c>
      <c r="AR1226" t="str">
        <f>SUBSTITUTE(SUBSTITUTE(SUBSTITUTE("vnt"&amp;$B1226&amp;$C1226&amp;$D1226&amp;$E1226,".","_"),"(","_"),")","")</f>
        <v>vnt703_4_2</v>
      </c>
      <c r="AS1226" t="str">
        <f>IF(LEN(X1226)=0,"",X1226)</f>
        <v/>
      </c>
    </row>
    <row r="1227" spans="1:45" x14ac:dyDescent="0.35">
      <c r="A1227" s="366">
        <v>7</v>
      </c>
      <c r="B1227" s="738" t="s">
        <v>936</v>
      </c>
      <c r="C1227" s="735"/>
      <c r="D1227" s="731"/>
      <c r="E1227" s="731"/>
      <c r="F1227" s="731"/>
      <c r="I1227" s="133"/>
      <c r="J1227" s="228"/>
      <c r="K1227" s="228"/>
      <c r="L1227" s="284" t="s">
        <v>935</v>
      </c>
      <c r="M1227" s="819"/>
      <c r="N1227" s="835"/>
      <c r="O1227" s="835"/>
      <c r="X1227" s="817"/>
      <c r="Y1227" s="1100"/>
      <c r="Z1227" s="1102"/>
    </row>
    <row r="1228" spans="1:45" x14ac:dyDescent="0.35">
      <c r="A1228" s="366">
        <v>7</v>
      </c>
      <c r="B1228" s="738" t="s">
        <v>938</v>
      </c>
      <c r="C1228" s="735"/>
      <c r="D1228" s="731"/>
      <c r="E1228" s="731"/>
      <c r="F1228" s="731"/>
      <c r="G1228" s="366" t="str">
        <f ca="1">IF(N1228&gt;0,"P","")</f>
        <v>P</v>
      </c>
      <c r="H1228" s="366" t="s">
        <v>3971</v>
      </c>
      <c r="I1228" s="30" t="s">
        <v>938</v>
      </c>
      <c r="J1228" s="90"/>
      <c r="K1228" s="90"/>
      <c r="L1228" s="95" t="s">
        <v>939</v>
      </c>
      <c r="M1228" s="40">
        <f>IFERROR(INDEX({8,10,8,8,8,4,4,4},BF886),0)</f>
        <v>0</v>
      </c>
      <c r="N1228" s="41">
        <f ca="1">'Ch7'!O358</f>
        <v>8</v>
      </c>
      <c r="O1228" s="41">
        <f ca="1">M1228*S1229*S1230*S1232*W1229*W1230*W1232</f>
        <v>0</v>
      </c>
      <c r="AL1228" t="str">
        <f>SUBSTITUTE(SUBSTITUTE(SUBSTITUTE("vpa"&amp;$B1228&amp;$C1228&amp;$D1228&amp;$E1228,".","_"),"(","_"),")","")</f>
        <v>vpa703_4_3</v>
      </c>
      <c r="AM1228">
        <f>M1228</f>
        <v>0</v>
      </c>
      <c r="AN1228" t="str">
        <f>SUBSTITUTE(SUBSTITUTE(SUBSTITUTE("vpc"&amp;$B1228&amp;$C1228&amp;$D1228&amp;$E1228,".","_"),"(","_"),")","")</f>
        <v>vpc703_4_3</v>
      </c>
      <c r="AO1228">
        <f ca="1">O1228</f>
        <v>0</v>
      </c>
    </row>
    <row r="1229" spans="1:45" x14ac:dyDescent="0.35">
      <c r="A1229" s="366">
        <v>7</v>
      </c>
      <c r="B1229" s="738" t="s">
        <v>938</v>
      </c>
      <c r="C1229" s="731" t="s">
        <v>256</v>
      </c>
      <c r="D1229" s="731"/>
      <c r="E1229" s="731"/>
      <c r="F1229" s="731"/>
      <c r="G1229" s="366" t="str">
        <f ca="1">G1228</f>
        <v>P</v>
      </c>
      <c r="H1229" s="366" t="s">
        <v>3971</v>
      </c>
      <c r="I1229" s="4"/>
      <c r="J1229" s="326" t="s">
        <v>256</v>
      </c>
      <c r="K1229" s="228"/>
      <c r="L1229" s="228" t="s">
        <v>940</v>
      </c>
      <c r="M1229" s="40"/>
      <c r="N1229" s="41"/>
      <c r="O1229" s="41"/>
      <c r="P1229" t="b">
        <v>1</v>
      </c>
      <c r="Q1229" t="b">
        <v>0</v>
      </c>
      <c r="R1229" t="b">
        <v>0</v>
      </c>
      <c r="S1229" t="b">
        <f ca="1">AND(S883=2,NOT(T1223),OR(AY909&lt;&gt;INDEX(ddHDucts,2),AY913&lt;&gt;INDEX(ddCDucts,2)))</f>
        <v>0</v>
      </c>
      <c r="T1229" t="b">
        <f ca="1">AND(NOT(S1229),W1229=TRUE)</f>
        <v>0</v>
      </c>
      <c r="W1229" s="17"/>
      <c r="X1229" s="36"/>
      <c r="Y1229" s="396" t="str">
        <f>IF(LEN('Ch7'!X359)=0,"None",'Ch7'!X359)</f>
        <v>None</v>
      </c>
      <c r="Z1229" s="652"/>
      <c r="AC1229" t="b">
        <f ca="1">OR(AD1229:AE1229)</f>
        <v>0</v>
      </c>
      <c r="AD1229" t="b">
        <f ca="1">T1229</f>
        <v>0</v>
      </c>
      <c r="AP1229" t="str">
        <f>SUBSTITUTE(SUBSTITUTE(SUBSTITUTE("vch"&amp;$B1229&amp;$C1229&amp;$D1229&amp;$E1229,".","_"),"(","_"),")","")</f>
        <v>vch703_4_3_1</v>
      </c>
      <c r="AQ1229" t="str">
        <f>IF(LEN(W1229)=0,"",W1229)</f>
        <v/>
      </c>
      <c r="AR1229" t="str">
        <f>SUBSTITUTE(SUBSTITUTE(SUBSTITUTE("vnt"&amp;$B1229&amp;$C1229&amp;$D1229&amp;$E1229,".","_"),"(","_"),")","")</f>
        <v>vnt703_4_3_1</v>
      </c>
      <c r="AS1229" t="str">
        <f>IF(LEN(X1229)=0,"",X1229)</f>
        <v/>
      </c>
    </row>
    <row r="1230" spans="1:45" x14ac:dyDescent="0.35">
      <c r="A1230" s="366">
        <v>7</v>
      </c>
      <c r="B1230" s="738" t="s">
        <v>938</v>
      </c>
      <c r="C1230" s="731" t="s">
        <v>258</v>
      </c>
      <c r="D1230" s="731"/>
      <c r="E1230" s="731"/>
      <c r="F1230" s="731"/>
      <c r="G1230" s="366" t="str">
        <f ca="1">G1229</f>
        <v>P</v>
      </c>
      <c r="H1230" s="366" t="s">
        <v>3971</v>
      </c>
      <c r="I1230" s="4"/>
      <c r="J1230" s="343" t="s">
        <v>258</v>
      </c>
      <c r="K1230" s="286"/>
      <c r="L1230" s="836" t="s">
        <v>941</v>
      </c>
      <c r="M1230" s="40"/>
      <c r="N1230" s="41"/>
      <c r="O1230" s="41"/>
      <c r="P1230" t="b">
        <v>1</v>
      </c>
      <c r="Q1230" t="b">
        <v>0</v>
      </c>
      <c r="R1230" t="b">
        <v>0</v>
      </c>
      <c r="S1230" t="b">
        <f ca="1">AND(S883=2,NOT(T1223),OR(AY909&lt;&gt;INDEX(ddHDucts,2),AY913&lt;&gt;INDEX(ddCDucts,2)),W1234&lt;&gt;INDEX(INDIRECT(U1234),1),W1234&lt;&gt;INDEX(INDIRECT(U1234),3))</f>
        <v>0</v>
      </c>
      <c r="T1230" t="b">
        <f ca="1">AND(NOT(S1230),W1230=TRUE)</f>
        <v>0</v>
      </c>
      <c r="W1230" s="17"/>
      <c r="X1230" s="817"/>
      <c r="Y1230" s="1100" t="str">
        <f>IF(LEN('Ch7'!X360)=0,"None",'Ch7'!X360)</f>
        <v>None</v>
      </c>
      <c r="Z1230" s="1102"/>
      <c r="AC1230" t="b">
        <f ca="1">OR(AD1230:AE1230)</f>
        <v>0</v>
      </c>
      <c r="AD1230" t="b">
        <f ca="1">T1230</f>
        <v>0</v>
      </c>
      <c r="AP1230" t="str">
        <f>SUBSTITUTE(SUBSTITUTE(SUBSTITUTE("vch"&amp;$B1230&amp;$C1230&amp;$D1230&amp;$E1230,".","_"),"(","_"),")","")</f>
        <v>vch703_4_3_2</v>
      </c>
      <c r="AQ1230" t="str">
        <f>IF(LEN(W1230)=0,"",W1230)</f>
        <v/>
      </c>
      <c r="AR1230" t="str">
        <f>SUBSTITUTE(SUBSTITUTE(SUBSTITUTE("vnt"&amp;$B1230&amp;$C1230&amp;$D1230&amp;$E1230,".","_"),"(","_"),")","")</f>
        <v>vnt703_4_3_2</v>
      </c>
      <c r="AS1230" t="str">
        <f>IF(LEN(X1230)=0,"",X1230)</f>
        <v/>
      </c>
    </row>
    <row r="1231" spans="1:45" x14ac:dyDescent="0.35">
      <c r="A1231" s="366">
        <v>7</v>
      </c>
      <c r="B1231" s="738" t="s">
        <v>938</v>
      </c>
      <c r="C1231" s="731" t="s">
        <v>258</v>
      </c>
      <c r="D1231" s="731"/>
      <c r="E1231" s="731"/>
      <c r="F1231" s="731"/>
      <c r="G1231" s="366" t="str">
        <f ca="1">G1230</f>
        <v>P</v>
      </c>
      <c r="H1231" s="366" t="s">
        <v>3971</v>
      </c>
      <c r="I1231" s="4"/>
      <c r="J1231" s="228"/>
      <c r="K1231" s="228"/>
      <c r="L1231" s="815"/>
      <c r="M1231" s="40"/>
      <c r="N1231" s="41"/>
      <c r="O1231" s="41"/>
      <c r="X1231" s="817"/>
      <c r="Y1231" s="1100"/>
      <c r="Z1231" s="1102"/>
    </row>
    <row r="1232" spans="1:45" x14ac:dyDescent="0.35">
      <c r="A1232" s="366">
        <v>7</v>
      </c>
      <c r="B1232" s="738" t="s">
        <v>938</v>
      </c>
      <c r="C1232" s="731" t="s">
        <v>260</v>
      </c>
      <c r="D1232" s="731"/>
      <c r="E1232" s="731"/>
      <c r="F1232" s="731"/>
      <c r="G1232" s="366" t="str">
        <f ca="1">G1231</f>
        <v>P</v>
      </c>
      <c r="H1232" s="366" t="s">
        <v>3971</v>
      </c>
      <c r="I1232" s="4"/>
      <c r="J1232" s="152" t="s">
        <v>260</v>
      </c>
      <c r="K1232" s="90"/>
      <c r="L1232" s="90" t="s">
        <v>942</v>
      </c>
      <c r="M1232" s="40"/>
      <c r="N1232" s="41"/>
      <c r="O1232" s="41"/>
      <c r="P1232" t="b">
        <v>1</v>
      </c>
      <c r="Q1232" t="b">
        <v>0</v>
      </c>
      <c r="R1232" t="b">
        <v>0</v>
      </c>
      <c r="S1232" t="b">
        <f ca="1">AND(S883=2,NOT(T1223),OR(AY909&lt;&gt;INDEX(ddHDucts,2),AY913&lt;&gt;INDEX(ddCDucts,2)))</f>
        <v>0</v>
      </c>
      <c r="T1232" t="b">
        <f ca="1">AND(NOT(S1232),W1232=TRUE)</f>
        <v>0</v>
      </c>
      <c r="W1232" s="17"/>
      <c r="X1232" s="817"/>
      <c r="Y1232" s="1100" t="str">
        <f>IF(LEN('Ch7'!X362)=0,"None",'Ch7'!X362)</f>
        <v>None</v>
      </c>
      <c r="Z1232" s="1102"/>
      <c r="AC1232" t="b">
        <f ca="1">OR(AD1232:AE1232)</f>
        <v>0</v>
      </c>
      <c r="AD1232" t="b">
        <f ca="1">T1232</f>
        <v>0</v>
      </c>
      <c r="AP1232" t="str">
        <f>SUBSTITUTE(SUBSTITUTE(SUBSTITUTE("vch"&amp;$B1232&amp;$C1232&amp;$D1232&amp;$E1232,".","_"),"(","_"),")","")</f>
        <v>vch703_4_3_3</v>
      </c>
      <c r="AQ1232" t="str">
        <f>IF(LEN(W1232)=0,"",W1232)</f>
        <v/>
      </c>
      <c r="AR1232" t="str">
        <f>SUBSTITUTE(SUBSTITUTE(SUBSTITUTE("vnt"&amp;$B1232&amp;$C1232&amp;$D1232&amp;$E1232,".","_"),"(","_"),")","")</f>
        <v>vnt703_4_3_3</v>
      </c>
      <c r="AS1232" t="str">
        <f>IF(LEN(X1232)=0,"",X1232)</f>
        <v/>
      </c>
    </row>
    <row r="1233" spans="1:45" x14ac:dyDescent="0.35">
      <c r="A1233" s="366">
        <v>7</v>
      </c>
      <c r="B1233" s="738" t="s">
        <v>938</v>
      </c>
      <c r="C1233" s="731" t="s">
        <v>260</v>
      </c>
      <c r="D1233" s="731"/>
      <c r="E1233" s="731"/>
      <c r="F1233" s="731"/>
      <c r="I1233" s="133"/>
      <c r="J1233" s="228"/>
      <c r="K1233" s="228"/>
      <c r="L1233" s="284" t="s">
        <v>935</v>
      </c>
      <c r="M1233" s="40"/>
      <c r="N1233" s="41"/>
      <c r="O1233" s="41"/>
      <c r="X1233" s="817"/>
      <c r="Y1233" s="1100"/>
      <c r="Z1233" s="1102"/>
    </row>
    <row r="1234" spans="1:45" x14ac:dyDescent="0.35">
      <c r="A1234" s="366">
        <v>7</v>
      </c>
      <c r="B1234" s="738" t="s">
        <v>943</v>
      </c>
      <c r="C1234" s="735"/>
      <c r="D1234" s="731"/>
      <c r="E1234" s="731"/>
      <c r="F1234" s="731"/>
      <c r="G1234" s="366" t="str">
        <f ca="1">IF(N1234&gt;0,"P","")</f>
        <v/>
      </c>
      <c r="H1234" s="366" t="s">
        <v>3972</v>
      </c>
      <c r="I1234" s="30" t="s">
        <v>943</v>
      </c>
      <c r="J1234" s="90"/>
      <c r="K1234" s="90"/>
      <c r="L1234" s="838" t="s">
        <v>944</v>
      </c>
      <c r="M1234" s="40"/>
      <c r="N1234" s="834">
        <f ca="1">'Ch7'!O364</f>
        <v>0</v>
      </c>
      <c r="O1234" s="834">
        <f ca="1">IFERROR(INDEX(M1240:M1242,MATCH(W1234,INDIRECT(U1234),0)),0)*S1234</f>
        <v>0</v>
      </c>
      <c r="P1234" t="b">
        <v>0</v>
      </c>
      <c r="Q1234" t="b">
        <v>1</v>
      </c>
      <c r="R1234" t="b">
        <f ca="1">AND(S1234,R1084)</f>
        <v>0</v>
      </c>
      <c r="S1234" t="b">
        <f ca="1">AND(S883=2,OR(AY909&lt;&gt;INDEX(ddHDucts,2),AY913&lt;&gt;INDEX(ddCDucts,2)),W1230&lt;&gt;TRUE,LEN(W1507)=0)</f>
        <v>0</v>
      </c>
      <c r="T1234" t="b">
        <f ca="1">AND(NOT(S1234),LEN(W1234)&gt;0)</f>
        <v>0</v>
      </c>
      <c r="U1234" t="str">
        <f>SUBSTITUTE(SUBSTITUTE(SUBSTITUTE("dd"&amp;B1235&amp;C1235&amp;D1235&amp;E1235&amp;F1235,".","_"),"(","_"),")","")</f>
        <v>dd703_4_4</v>
      </c>
      <c r="W1234" s="9"/>
      <c r="X1234" s="817"/>
      <c r="Y1234" s="1100" t="str">
        <f>IF(LEN('Ch7'!X364)=0,"None",'Ch7'!X364)</f>
        <v>None</v>
      </c>
      <c r="Z1234" s="1102"/>
      <c r="AC1234" t="b">
        <f ca="1">OR(AD1234:AE1234)</f>
        <v>0</v>
      </c>
      <c r="AD1234" t="b">
        <f ca="1">T1234</f>
        <v>0</v>
      </c>
      <c r="AN1234" t="str">
        <f>SUBSTITUTE(SUBSTITUTE(SUBSTITUTE("vpc"&amp;$B1234&amp;$C1234&amp;$D1234&amp;$E1234,".","_"),"(","_"),")","")</f>
        <v>vpc703_4_4</v>
      </c>
      <c r="AO1234">
        <f ca="1">O1234</f>
        <v>0</v>
      </c>
      <c r="AP1234" t="str">
        <f>SUBSTITUTE(SUBSTITUTE(SUBSTITUTE("vch"&amp;$B1234&amp;$C1234&amp;$D1234&amp;$E1234,".","_"),"(","_"),")","")</f>
        <v>vch703_4_4</v>
      </c>
      <c r="AQ1234" t="str">
        <f>IF(LEN(W1234)=0,"",W1234)</f>
        <v/>
      </c>
      <c r="AR1234" t="str">
        <f>SUBSTITUTE(SUBSTITUTE(SUBSTITUTE("vnt"&amp;$B1234&amp;$C1234&amp;$D1234&amp;$E1234,".","_"),"(","_"),")","")</f>
        <v>vnt703_4_4</v>
      </c>
      <c r="AS1234" t="str">
        <f>IF(LEN(X1234)=0,"",X1234)</f>
        <v/>
      </c>
    </row>
    <row r="1235" spans="1:45" x14ac:dyDescent="0.35">
      <c r="A1235" s="366">
        <v>7</v>
      </c>
      <c r="B1235" s="738" t="s">
        <v>943</v>
      </c>
      <c r="C1235" s="735"/>
      <c r="D1235" s="731"/>
      <c r="E1235" s="731"/>
      <c r="F1235" s="731"/>
      <c r="G1235" s="366" t="str">
        <f t="shared" ref="G1235:G1242" ca="1" si="76">G1234</f>
        <v/>
      </c>
      <c r="H1235" s="366" t="s">
        <v>3972</v>
      </c>
      <c r="I1235" s="4"/>
      <c r="J1235" s="90"/>
      <c r="K1235" s="90"/>
      <c r="L1235" s="838"/>
      <c r="M1235" s="40"/>
      <c r="N1235" s="834"/>
      <c r="O1235" s="834"/>
      <c r="X1235" s="817"/>
      <c r="Y1235" s="1100"/>
      <c r="Z1235" s="1102"/>
    </row>
    <row r="1236" spans="1:45" x14ac:dyDescent="0.35">
      <c r="A1236" s="366">
        <v>7</v>
      </c>
      <c r="B1236" s="738" t="s">
        <v>943</v>
      </c>
      <c r="C1236" s="735"/>
      <c r="D1236" s="731"/>
      <c r="E1236" s="731"/>
      <c r="F1236" s="731"/>
      <c r="G1236" s="366" t="str">
        <f t="shared" ca="1" si="76"/>
        <v/>
      </c>
      <c r="H1236" s="366" t="s">
        <v>3972</v>
      </c>
      <c r="I1236" s="4"/>
      <c r="J1236" s="90"/>
      <c r="K1236" s="90"/>
      <c r="L1236" s="838"/>
      <c r="M1236" s="40"/>
      <c r="N1236" s="834"/>
      <c r="O1236" s="834"/>
      <c r="X1236" s="817"/>
      <c r="Y1236" s="1100"/>
      <c r="Z1236" s="1102"/>
    </row>
    <row r="1237" spans="1:45" x14ac:dyDescent="0.35">
      <c r="A1237" s="366">
        <v>7</v>
      </c>
      <c r="B1237" s="738" t="s">
        <v>943</v>
      </c>
      <c r="C1237" s="735"/>
      <c r="D1237" s="731"/>
      <c r="E1237" s="731"/>
      <c r="F1237" s="731"/>
      <c r="G1237" s="366" t="str">
        <f t="shared" ca="1" si="76"/>
        <v/>
      </c>
      <c r="H1237" s="366" t="s">
        <v>3972</v>
      </c>
      <c r="I1237" s="4"/>
      <c r="J1237" s="90"/>
      <c r="K1237" s="90"/>
      <c r="L1237" s="838"/>
      <c r="M1237" s="40"/>
      <c r="N1237" s="834"/>
      <c r="O1237" s="834"/>
      <c r="X1237" s="817"/>
      <c r="Y1237" s="1100"/>
      <c r="Z1237" s="1102"/>
    </row>
    <row r="1238" spans="1:45" x14ac:dyDescent="0.35">
      <c r="A1238" s="366">
        <v>7</v>
      </c>
      <c r="B1238" s="738" t="s">
        <v>943</v>
      </c>
      <c r="C1238" s="735"/>
      <c r="D1238" s="731"/>
      <c r="E1238" s="731"/>
      <c r="F1238" s="731"/>
      <c r="G1238" s="366" t="str">
        <f t="shared" ca="1" si="76"/>
        <v/>
      </c>
      <c r="H1238" s="366" t="s">
        <v>3972</v>
      </c>
      <c r="I1238" s="4"/>
      <c r="J1238" s="90"/>
      <c r="K1238" s="90"/>
      <c r="L1238" s="838"/>
      <c r="M1238" s="40"/>
      <c r="N1238" s="834"/>
      <c r="O1238" s="834"/>
      <c r="X1238" s="817"/>
      <c r="Y1238" s="1100"/>
      <c r="Z1238" s="1102"/>
    </row>
    <row r="1239" spans="1:45" x14ac:dyDescent="0.35">
      <c r="A1239" s="366">
        <v>7</v>
      </c>
      <c r="B1239" s="738" t="s">
        <v>943</v>
      </c>
      <c r="C1239" s="735"/>
      <c r="D1239" s="731"/>
      <c r="E1239" s="731"/>
      <c r="F1239" s="731"/>
      <c r="G1239" s="366" t="str">
        <f t="shared" ca="1" si="76"/>
        <v/>
      </c>
      <c r="H1239" s="366" t="s">
        <v>3972</v>
      </c>
      <c r="I1239" s="4"/>
      <c r="J1239" s="90"/>
      <c r="K1239" s="90"/>
      <c r="L1239" s="92" t="s">
        <v>945</v>
      </c>
      <c r="M1239" s="40"/>
      <c r="N1239" s="41"/>
      <c r="O1239" s="41"/>
      <c r="X1239" s="817"/>
      <c r="Y1239" s="1100"/>
      <c r="Z1239" s="1102"/>
    </row>
    <row r="1240" spans="1:45" x14ac:dyDescent="0.35">
      <c r="A1240" s="366">
        <v>7</v>
      </c>
      <c r="B1240" s="738" t="s">
        <v>943</v>
      </c>
      <c r="C1240" s="731" t="s">
        <v>256</v>
      </c>
      <c r="D1240" s="731"/>
      <c r="E1240" s="731"/>
      <c r="F1240" s="731"/>
      <c r="G1240" s="366" t="str">
        <f t="shared" ca="1" si="76"/>
        <v/>
      </c>
      <c r="H1240" s="366" t="s">
        <v>3972</v>
      </c>
      <c r="I1240" s="4"/>
      <c r="J1240" s="326" t="s">
        <v>256</v>
      </c>
      <c r="K1240" s="228"/>
      <c r="L1240" s="228" t="s">
        <v>3641</v>
      </c>
      <c r="M1240" s="268">
        <f>IFERROR(INDEX({4,5,4,3,2,1,1,1},BF886),0)</f>
        <v>0</v>
      </c>
      <c r="N1240" s="41"/>
      <c r="O1240" s="41"/>
      <c r="X1240" s="817"/>
      <c r="Y1240" s="1100"/>
      <c r="Z1240" s="1102"/>
      <c r="AL1240" t="str">
        <f>SUBSTITUTE(SUBSTITUTE(SUBSTITUTE("vpa"&amp;$B1240&amp;$C1240&amp;$D1240&amp;$E1240,".","_"),"(","_"),")","")</f>
        <v>vpa703_4_4_1</v>
      </c>
      <c r="AM1240">
        <f>M1240</f>
        <v>0</v>
      </c>
    </row>
    <row r="1241" spans="1:45" x14ac:dyDescent="0.35">
      <c r="A1241" s="366">
        <v>7</v>
      </c>
      <c r="B1241" s="738" t="s">
        <v>943</v>
      </c>
      <c r="C1241" s="731" t="s">
        <v>258</v>
      </c>
      <c r="D1241" s="731"/>
      <c r="E1241" s="731"/>
      <c r="F1241" s="731"/>
      <c r="G1241" s="366" t="str">
        <f t="shared" ca="1" si="76"/>
        <v/>
      </c>
      <c r="H1241" s="366" t="s">
        <v>3972</v>
      </c>
      <c r="I1241" s="4"/>
      <c r="J1241" s="344" t="s">
        <v>258</v>
      </c>
      <c r="K1241" s="178"/>
      <c r="L1241" s="178" t="s">
        <v>4834</v>
      </c>
      <c r="M1241" s="278">
        <f>IFERROR(INDEX({1,1,1,1,1,1,1,1},BF886),0)</f>
        <v>0</v>
      </c>
      <c r="N1241" s="41"/>
      <c r="O1241" s="41"/>
      <c r="X1241" s="817"/>
      <c r="Y1241" s="1100"/>
      <c r="Z1241" s="1102"/>
      <c r="AL1241" t="str">
        <f>SUBSTITUTE(SUBSTITUTE(SUBSTITUTE("vpa"&amp;$B1241&amp;$C1241&amp;$D1241&amp;$E1241,".","_"),"(","_"),")","")</f>
        <v>vpa703_4_4_2</v>
      </c>
      <c r="AM1241">
        <f>M1241</f>
        <v>0</v>
      </c>
    </row>
    <row r="1242" spans="1:45" ht="15" thickBot="1" x14ac:dyDescent="0.4">
      <c r="A1242" s="366">
        <v>7</v>
      </c>
      <c r="B1242" s="738" t="s">
        <v>943</v>
      </c>
      <c r="C1242" s="731" t="s">
        <v>260</v>
      </c>
      <c r="D1242" s="731"/>
      <c r="E1242" s="731"/>
      <c r="F1242" s="731"/>
      <c r="G1242" s="366" t="str">
        <f t="shared" ca="1" si="76"/>
        <v/>
      </c>
      <c r="H1242" s="366" t="s">
        <v>3972</v>
      </c>
      <c r="I1242" s="160"/>
      <c r="J1242" s="315" t="s">
        <v>260</v>
      </c>
      <c r="K1242" s="229"/>
      <c r="L1242" s="229" t="s">
        <v>3642</v>
      </c>
      <c r="M1242" s="270">
        <f>IFERROR(INDEX({3,4,3,2,1,1,1,1},BF886),0)</f>
        <v>0</v>
      </c>
      <c r="N1242" s="72"/>
      <c r="O1242" s="72"/>
      <c r="P1242" s="55"/>
      <c r="Q1242" s="55"/>
      <c r="R1242" s="55"/>
      <c r="S1242" s="55"/>
      <c r="T1242" s="55"/>
      <c r="U1242" s="55"/>
      <c r="V1242" s="55"/>
      <c r="W1242" s="55"/>
      <c r="X1242" s="829"/>
      <c r="Y1242" s="1101"/>
      <c r="Z1242" s="1104"/>
      <c r="AL1242" t="str">
        <f>SUBSTITUTE(SUBSTITUTE(SUBSTITUTE("vpa"&amp;$B1242&amp;$C1242&amp;$D1242&amp;$E1242,".","_"),"(","_"),")","")</f>
        <v>vpa703_4_4_3</v>
      </c>
      <c r="AM1242">
        <f>M1242</f>
        <v>0</v>
      </c>
    </row>
    <row r="1243" spans="1:45" ht="15" thickTop="1" x14ac:dyDescent="0.35">
      <c r="A1243" s="366">
        <v>7</v>
      </c>
      <c r="B1243" s="738">
        <v>703.5</v>
      </c>
      <c r="C1243" s="735"/>
      <c r="D1243" s="731"/>
      <c r="E1243" s="731"/>
      <c r="F1243" s="731"/>
      <c r="G1243" s="727" t="str">
        <f ca="1">IF(COUNTIF(G1252:G1298,"P")&gt;0,"P","")</f>
        <v>P</v>
      </c>
      <c r="H1243" s="366" t="s">
        <v>3970</v>
      </c>
      <c r="I1243" s="30">
        <v>703.5</v>
      </c>
      <c r="J1243" s="90"/>
      <c r="K1243" s="90"/>
      <c r="L1243" s="95" t="s">
        <v>946</v>
      </c>
      <c r="M1243" s="40"/>
      <c r="N1243" s="41"/>
      <c r="O1243" s="41"/>
    </row>
    <row r="1244" spans="1:45" x14ac:dyDescent="0.35">
      <c r="A1244" s="366">
        <v>7</v>
      </c>
      <c r="B1244" s="738" t="s">
        <v>947</v>
      </c>
      <c r="C1244" s="735"/>
      <c r="D1244" s="731"/>
      <c r="E1244" s="731"/>
      <c r="F1244" s="731"/>
      <c r="G1244" s="727" t="str">
        <f ca="1">IF(COUNTIF(G1251:G1290,"P")&gt;0,"P","")</f>
        <v>P</v>
      </c>
      <c r="H1244" s="366" t="s">
        <v>3970</v>
      </c>
      <c r="I1244" s="30" t="s">
        <v>947</v>
      </c>
      <c r="J1244" s="90"/>
      <c r="K1244" s="90"/>
      <c r="L1244" s="95" t="s">
        <v>4280</v>
      </c>
      <c r="M1244" s="40"/>
      <c r="W1244" t="s">
        <v>3635</v>
      </c>
      <c r="X1244" s="817"/>
      <c r="Y1244" s="1100" t="str">
        <f>IF(LEN('Ch7'!X374)=0,"None",'Ch7'!X374)</f>
        <v>None</v>
      </c>
      <c r="Z1244" s="1102"/>
      <c r="AR1244" t="str">
        <f>SUBSTITUTE(SUBSTITUTE(SUBSTITUTE("vnt"&amp;$B1244&amp;$C1244&amp;$D1244&amp;$E1244,".","_"),"(","_"),")","")</f>
        <v>vnt703_5_1</v>
      </c>
      <c r="AS1244" t="str">
        <f>IF(LEN(X1244)=0,"",X1244)</f>
        <v/>
      </c>
    </row>
    <row r="1245" spans="1:45" x14ac:dyDescent="0.35">
      <c r="A1245" s="366">
        <v>7</v>
      </c>
      <c r="B1245" s="738" t="s">
        <v>947</v>
      </c>
      <c r="C1245" s="735"/>
      <c r="D1245" s="731"/>
      <c r="E1245" s="731"/>
      <c r="F1245" s="731"/>
      <c r="G1245" s="366" t="str">
        <f t="shared" ref="G1245:G1250" ca="1" si="77">G1244</f>
        <v>P</v>
      </c>
      <c r="H1245" s="366" t="s">
        <v>3970</v>
      </c>
      <c r="I1245" s="4"/>
      <c r="J1245" s="90"/>
      <c r="K1245" s="90"/>
      <c r="L1245" s="893" t="s">
        <v>4281</v>
      </c>
      <c r="M1245" s="40"/>
      <c r="P1245" t="b">
        <v>1</v>
      </c>
      <c r="Q1245" t="b">
        <v>1</v>
      </c>
      <c r="R1245" t="b">
        <v>0</v>
      </c>
      <c r="S1245" t="b">
        <f ca="1">AND(S883=2,LEN(W1301)=0)</f>
        <v>0</v>
      </c>
      <c r="T1245" t="b">
        <f ca="1">AND(NOT(S1245),LEN(W1245)&gt;0)</f>
        <v>0</v>
      </c>
      <c r="U1245" t="str">
        <f>SUBSTITUTE(SUBSTITUTE(SUBSTITUTE("dd"&amp;B1245&amp;C1245&amp;D1245&amp;E1245&amp;F1245,".","_"),"(","_"),")","")</f>
        <v>dd703_5_1</v>
      </c>
      <c r="W1245" s="9"/>
      <c r="X1245" s="817"/>
      <c r="Y1245" s="1100"/>
      <c r="Z1245" s="1102"/>
      <c r="AC1245" t="b">
        <f ca="1">OR(AD1245:AE1245)</f>
        <v>0</v>
      </c>
      <c r="AD1245" t="b">
        <f ca="1">T1245</f>
        <v>0</v>
      </c>
      <c r="AP1245" t="str">
        <f>SUBSTITUTE(SUBSTITUTE(SUBSTITUTE("vch"&amp;$B1245&amp;$C1245&amp;$D1245&amp;$E1245,".","_"),"(","_"),")","")</f>
        <v>vch703_5_1</v>
      </c>
      <c r="AQ1245" t="str">
        <f>IF(LEN(W1245)=0,"",W1245)</f>
        <v/>
      </c>
    </row>
    <row r="1246" spans="1:45" x14ac:dyDescent="0.35">
      <c r="A1246" s="366">
        <v>7</v>
      </c>
      <c r="B1246" s="738" t="s">
        <v>947</v>
      </c>
      <c r="C1246" s="735"/>
      <c r="D1246" s="731"/>
      <c r="E1246" s="731"/>
      <c r="F1246" s="731"/>
      <c r="G1246" s="366" t="str">
        <f t="shared" ca="1" si="77"/>
        <v>P</v>
      </c>
      <c r="H1246" s="366" t="s">
        <v>3970</v>
      </c>
      <c r="I1246" s="4"/>
      <c r="J1246" s="90"/>
      <c r="K1246" s="90"/>
      <c r="L1246" s="902"/>
      <c r="M1246" s="40"/>
      <c r="R1246" s="1" t="s">
        <v>4835</v>
      </c>
      <c r="S1246" s="1">
        <f ca="1">IFERROR(MATCH(W1245,INDIRECT(U1245),0),0)</f>
        <v>0</v>
      </c>
      <c r="X1246" s="817"/>
      <c r="Y1246" s="1100"/>
      <c r="Z1246" s="1102"/>
    </row>
    <row r="1247" spans="1:45" x14ac:dyDescent="0.35">
      <c r="A1247" s="366">
        <v>7</v>
      </c>
      <c r="B1247" s="738" t="s">
        <v>947</v>
      </c>
      <c r="C1247" s="735"/>
      <c r="D1247" s="731" t="s">
        <v>2970</v>
      </c>
      <c r="E1247" s="731"/>
      <c r="F1247" s="731"/>
      <c r="G1247" s="366" t="str">
        <f t="shared" ca="1" si="77"/>
        <v>P</v>
      </c>
      <c r="H1247" s="366" t="s">
        <v>3970</v>
      </c>
      <c r="I1247" s="4"/>
      <c r="J1247" s="90"/>
      <c r="K1247" s="90"/>
      <c r="L1247" s="893" t="s">
        <v>4282</v>
      </c>
      <c r="M1247" s="40"/>
      <c r="X1247" s="817"/>
      <c r="Y1247" s="1100"/>
      <c r="Z1247" s="1102"/>
    </row>
    <row r="1248" spans="1:45" x14ac:dyDescent="0.35">
      <c r="A1248" s="366">
        <v>7</v>
      </c>
      <c r="B1248" s="738" t="s">
        <v>947</v>
      </c>
      <c r="C1248" s="735"/>
      <c r="D1248" s="731"/>
      <c r="E1248" s="731"/>
      <c r="F1248" s="731"/>
      <c r="G1248" s="366" t="str">
        <f t="shared" ca="1" si="77"/>
        <v>P</v>
      </c>
      <c r="H1248" s="366" t="s">
        <v>3970</v>
      </c>
      <c r="I1248" s="4"/>
      <c r="J1248" s="90"/>
      <c r="K1248" s="90"/>
      <c r="L1248" s="902"/>
      <c r="M1248" s="40"/>
      <c r="X1248" s="817"/>
      <c r="Y1248" s="1100"/>
      <c r="Z1248" s="1102"/>
    </row>
    <row r="1249" spans="1:43" x14ac:dyDescent="0.35">
      <c r="A1249" s="366">
        <v>7</v>
      </c>
      <c r="B1249" s="738" t="s">
        <v>947</v>
      </c>
      <c r="C1249" s="735"/>
      <c r="D1249" s="731"/>
      <c r="E1249" s="731"/>
      <c r="F1249" s="731"/>
      <c r="G1249" s="366" t="str">
        <f t="shared" ca="1" si="77"/>
        <v>P</v>
      </c>
      <c r="H1249" s="366" t="s">
        <v>3970</v>
      </c>
      <c r="I1249" s="4"/>
      <c r="J1249" s="90"/>
      <c r="K1249" s="90"/>
      <c r="L1249" s="855" t="s">
        <v>4283</v>
      </c>
      <c r="M1249" s="40"/>
      <c r="X1249" s="817"/>
      <c r="Y1249" s="1100"/>
      <c r="Z1249" s="1102"/>
    </row>
    <row r="1250" spans="1:43" x14ac:dyDescent="0.35">
      <c r="A1250" s="366">
        <v>7</v>
      </c>
      <c r="B1250" s="738" t="s">
        <v>947</v>
      </c>
      <c r="C1250" s="735"/>
      <c r="D1250" s="731"/>
      <c r="E1250" s="731"/>
      <c r="F1250" s="731"/>
      <c r="G1250" s="366" t="str">
        <f t="shared" ca="1" si="77"/>
        <v>P</v>
      </c>
      <c r="H1250" s="366" t="s">
        <v>3970</v>
      </c>
      <c r="I1250" s="4"/>
      <c r="J1250" s="90"/>
      <c r="K1250" s="90"/>
      <c r="L1250" s="855"/>
      <c r="M1250" s="40"/>
      <c r="W1250" t="s">
        <v>3635</v>
      </c>
      <c r="X1250" s="817"/>
      <c r="Y1250" s="1100"/>
      <c r="Z1250" s="1102"/>
    </row>
    <row r="1251" spans="1:43" x14ac:dyDescent="0.35">
      <c r="A1251" s="366">
        <v>7</v>
      </c>
      <c r="B1251" s="738" t="s">
        <v>947</v>
      </c>
      <c r="C1251" s="731" t="s">
        <v>256</v>
      </c>
      <c r="D1251" s="731"/>
      <c r="E1251" s="731"/>
      <c r="F1251" s="731"/>
      <c r="G1251" s="727" t="str">
        <f>IF(COUNTIF(G1252:G1266,"P")&gt;0,"P","")</f>
        <v/>
      </c>
      <c r="H1251" s="366" t="s">
        <v>3970</v>
      </c>
      <c r="I1251" s="4"/>
      <c r="J1251" s="152" t="s">
        <v>256</v>
      </c>
      <c r="K1251" s="90"/>
      <c r="L1251" s="90" t="s">
        <v>948</v>
      </c>
      <c r="M1251" s="40"/>
      <c r="N1251" s="41"/>
      <c r="O1251" s="41"/>
      <c r="P1251" t="b">
        <v>1</v>
      </c>
      <c r="Q1251" t="b">
        <v>1</v>
      </c>
      <c r="R1251" t="b">
        <v>0</v>
      </c>
      <c r="S1251" t="b">
        <f ca="1">AND(S883=2,LEN(W1301)=0,S1246=1)</f>
        <v>0</v>
      </c>
      <c r="T1251" t="b">
        <f ca="1">AND(NOT(S1251),LEN(W1251)&gt;0)</f>
        <v>0</v>
      </c>
      <c r="U1251" t="str">
        <f>SUBSTITUTE(SUBSTITUTE(SUBSTITUTE("dd"&amp;B1251&amp;C1251&amp;D1251&amp;E1251&amp;F1251,".","_"),"(","_"),")","")</f>
        <v>dd703_5_1_1</v>
      </c>
      <c r="W1251" s="9"/>
      <c r="X1251" s="817"/>
      <c r="Y1251" s="1100"/>
      <c r="Z1251" s="1102"/>
      <c r="AC1251" t="b">
        <f ca="1">OR(AD1251:AE1251)</f>
        <v>0</v>
      </c>
      <c r="AD1251" t="b">
        <f ca="1">T1251</f>
        <v>0</v>
      </c>
      <c r="AP1251" t="str">
        <f>SUBSTITUTE(SUBSTITUTE(SUBSTITUTE("vch"&amp;$B1251&amp;$C1251&amp;$D1251&amp;$E1251,".","_"),"(","_"),")","")</f>
        <v>vch703_5_1_1</v>
      </c>
      <c r="AQ1251" t="str">
        <f>IF(LEN(W1251)=0,"",W1251)</f>
        <v/>
      </c>
    </row>
    <row r="1252" spans="1:43" ht="15" customHeight="1" x14ac:dyDescent="0.35">
      <c r="A1252" s="366">
        <v>7</v>
      </c>
      <c r="B1252" s="738" t="s">
        <v>947</v>
      </c>
      <c r="C1252" s="731" t="s">
        <v>256</v>
      </c>
      <c r="D1252" s="731" t="s">
        <v>121</v>
      </c>
      <c r="E1252" s="731"/>
      <c r="F1252" s="731"/>
      <c r="G1252" s="366" t="str">
        <f>IF(N1252&gt;0,"P","")</f>
        <v/>
      </c>
      <c r="H1252" s="366" t="s">
        <v>3970</v>
      </c>
      <c r="I1252" s="4"/>
      <c r="J1252" s="152"/>
      <c r="K1252" s="402" t="s">
        <v>121</v>
      </c>
      <c r="L1252" s="825" t="s">
        <v>4284</v>
      </c>
      <c r="M1252" s="40"/>
      <c r="N1252" s="834">
        <f>'Ch7'!O399</f>
        <v>0</v>
      </c>
      <c r="O1252" s="832">
        <f ca="1">IFERROR(INDEX(M1254:M1255,MATCH(W1253,{0.65,0.78},1))*AND(S1251,MATCH(W1251,INDIRECT(U1251),0)=1),0)</f>
        <v>0</v>
      </c>
      <c r="W1252" t="s">
        <v>3634</v>
      </c>
      <c r="X1252" s="817"/>
      <c r="Y1252" s="1100"/>
      <c r="Z1252" s="1102"/>
      <c r="AN1252" t="str">
        <f>SUBSTITUTE(SUBSTITUTE(SUBSTITUTE("vpc"&amp;$B1252&amp;$C1252&amp;$D1252&amp;$E1252,".","_"),"(","_"),")","")</f>
        <v>vpc703_5_1_1_a</v>
      </c>
      <c r="AO1252">
        <f ca="1">O1252</f>
        <v>0</v>
      </c>
    </row>
    <row r="1253" spans="1:43" x14ac:dyDescent="0.35">
      <c r="A1253" s="366">
        <v>7</v>
      </c>
      <c r="B1253" s="738" t="s">
        <v>947</v>
      </c>
      <c r="C1253" s="731" t="s">
        <v>256</v>
      </c>
      <c r="D1253" s="731" t="s">
        <v>121</v>
      </c>
      <c r="E1253" s="731"/>
      <c r="F1253" s="731"/>
      <c r="G1253" s="366" t="str">
        <f>G1252</f>
        <v/>
      </c>
      <c r="H1253" s="366" t="s">
        <v>3970</v>
      </c>
      <c r="I1253" s="4"/>
      <c r="J1253" s="152"/>
      <c r="K1253" s="402"/>
      <c r="L1253" s="825"/>
      <c r="M1253" s="4"/>
      <c r="N1253" s="834"/>
      <c r="O1253" s="832"/>
      <c r="P1253" t="b">
        <v>1</v>
      </c>
      <c r="Q1253" t="b">
        <v>1</v>
      </c>
      <c r="R1253" t="b">
        <v>0</v>
      </c>
      <c r="S1253" t="b">
        <f ca="1">S1251</f>
        <v>0</v>
      </c>
      <c r="T1253" t="b">
        <f ca="1">AND(NOT(S1253),LEN(W1253)&gt;0)</f>
        <v>0</v>
      </c>
      <c r="W1253" s="241"/>
      <c r="X1253" s="817"/>
      <c r="Y1253" s="1100"/>
      <c r="Z1253" s="1102"/>
      <c r="AC1253" t="b">
        <f ca="1">OR(AD1253:AE1253)</f>
        <v>0</v>
      </c>
      <c r="AD1253" t="b">
        <f ca="1">T1253</f>
        <v>0</v>
      </c>
      <c r="AP1253" t="str">
        <f>SUBSTITUTE(SUBSTITUTE(SUBSTITUTE("vch"&amp;$B1253&amp;$C1253&amp;$D1253&amp;$E1253,".","_"),"(","_"),")","")</f>
        <v>vch703_5_1_1_a</v>
      </c>
      <c r="AQ1253" t="str">
        <f>IF(LEN(W1253)=0,"",W1253)</f>
        <v/>
      </c>
    </row>
    <row r="1254" spans="1:43" x14ac:dyDescent="0.35">
      <c r="A1254" s="366">
        <v>7</v>
      </c>
      <c r="B1254" s="735" t="s">
        <v>947</v>
      </c>
      <c r="C1254" s="731" t="s">
        <v>256</v>
      </c>
      <c r="D1254" s="731" t="s">
        <v>121</v>
      </c>
      <c r="E1254" s="731" t="s">
        <v>256</v>
      </c>
      <c r="F1254" s="731"/>
      <c r="G1254" s="366" t="str">
        <f>G1253</f>
        <v/>
      </c>
      <c r="H1254" s="366" t="s">
        <v>3970</v>
      </c>
      <c r="I1254" s="4"/>
      <c r="J1254" s="152"/>
      <c r="K1254" s="31"/>
      <c r="L1254" s="470" t="s">
        <v>5102</v>
      </c>
      <c r="M1254" s="40">
        <f>IFERROR(INDEX({2,2,2,2,2,2,2,1},BF886),0)</f>
        <v>0</v>
      </c>
      <c r="N1254" s="41"/>
      <c r="O1254" s="75"/>
      <c r="X1254" s="817"/>
      <c r="Y1254" s="1100"/>
      <c r="Z1254" s="1102"/>
      <c r="AL1254" t="str">
        <f>SUBSTITUTE(SUBSTITUTE(SUBSTITUTE("vpa"&amp;$B1254&amp;$C1254&amp;$D1254&amp;$E1254,".","_"),"(","_"),")","")</f>
        <v>vpa703_5_1_1_a_1</v>
      </c>
      <c r="AM1254">
        <f>M1254</f>
        <v>0</v>
      </c>
    </row>
    <row r="1255" spans="1:43" x14ac:dyDescent="0.35">
      <c r="A1255" s="366">
        <v>7</v>
      </c>
      <c r="B1255" s="735" t="s">
        <v>947</v>
      </c>
      <c r="C1255" s="731" t="s">
        <v>256</v>
      </c>
      <c r="D1255" s="731" t="s">
        <v>121</v>
      </c>
      <c r="E1255" s="731" t="s">
        <v>258</v>
      </c>
      <c r="F1255" s="731"/>
      <c r="G1255" s="366" t="str">
        <f>G1254</f>
        <v/>
      </c>
      <c r="H1255" s="732" t="s">
        <v>3970</v>
      </c>
      <c r="I1255" s="4"/>
      <c r="J1255" s="152"/>
      <c r="K1255" s="403"/>
      <c r="L1255" s="477" t="s">
        <v>5103</v>
      </c>
      <c r="M1255" s="268">
        <f>IFERROR(INDEX({3,3,3,3,3,3,3,2},BF886),0)</f>
        <v>0</v>
      </c>
      <c r="N1255" s="546"/>
      <c r="O1255" s="309"/>
      <c r="X1255" s="817"/>
      <c r="Y1255" s="1100"/>
      <c r="Z1255" s="1102"/>
      <c r="AL1255" t="str">
        <f>SUBSTITUTE(SUBSTITUTE(SUBSTITUTE("vpa"&amp;$B1255&amp;$C1255&amp;$D1255&amp;$E1255,".","_"),"(","_"),")","")</f>
        <v>vpa703_5_1_1_a_2</v>
      </c>
      <c r="AM1255">
        <f>M1255</f>
        <v>0</v>
      </c>
    </row>
    <row r="1256" spans="1:43" ht="15" customHeight="1" x14ac:dyDescent="0.35">
      <c r="A1256" s="366">
        <v>7</v>
      </c>
      <c r="B1256" s="735" t="s">
        <v>947</v>
      </c>
      <c r="C1256" s="731" t="s">
        <v>256</v>
      </c>
      <c r="D1256" s="731" t="s">
        <v>122</v>
      </c>
      <c r="E1256" s="731"/>
      <c r="F1256" s="731"/>
      <c r="G1256" s="366" t="str">
        <f>IF(N1256&gt;0,"P","")</f>
        <v/>
      </c>
      <c r="H1256" s="366" t="s">
        <v>3970</v>
      </c>
      <c r="I1256" s="4"/>
      <c r="J1256" s="152"/>
      <c r="K1256" s="402" t="s">
        <v>122</v>
      </c>
      <c r="L1256" s="825" t="s">
        <v>4287</v>
      </c>
      <c r="M1256" s="818">
        <v>1</v>
      </c>
      <c r="N1256" s="834">
        <f>'Ch7'!O403</f>
        <v>0</v>
      </c>
      <c r="O1256" s="832">
        <f ca="1">IFERROR((W1253&gt;0.78)*M1256*AND(S1251,MATCH(W1251,INDIRECT(U1251),0)=2),0)</f>
        <v>0</v>
      </c>
      <c r="X1256" s="817"/>
      <c r="Y1256" s="1100"/>
      <c r="Z1256" s="1102"/>
      <c r="AL1256" t="str">
        <f>SUBSTITUTE(SUBSTITUTE(SUBSTITUTE("vpa"&amp;$B1256&amp;$C1256&amp;$D1256&amp;$E1256,".","_"),"(","_"),")","")</f>
        <v>vpa703_5_1_1_b</v>
      </c>
      <c r="AM1256">
        <f>M1256</f>
        <v>1</v>
      </c>
      <c r="AN1256" t="str">
        <f>SUBSTITUTE(SUBSTITUTE(SUBSTITUTE("vpc"&amp;$B1256&amp;$C1256&amp;$D1256&amp;$E1256,".","_"),"(","_"),")","")</f>
        <v>vpc703_5_1_1_b</v>
      </c>
      <c r="AO1256">
        <f ca="1">O1256</f>
        <v>0</v>
      </c>
    </row>
    <row r="1257" spans="1:43" x14ac:dyDescent="0.35">
      <c r="A1257" s="366">
        <v>7</v>
      </c>
      <c r="B1257" s="735" t="s">
        <v>947</v>
      </c>
      <c r="C1257" s="731" t="s">
        <v>256</v>
      </c>
      <c r="D1257" s="731" t="s">
        <v>122</v>
      </c>
      <c r="E1257" s="731"/>
      <c r="F1257" s="731"/>
      <c r="G1257" s="366" t="str">
        <f>G1256</f>
        <v/>
      </c>
      <c r="H1257" s="366" t="s">
        <v>3970</v>
      </c>
      <c r="I1257" s="4"/>
      <c r="J1257" s="152"/>
      <c r="K1257" s="416"/>
      <c r="L1257" s="842"/>
      <c r="M1257" s="819"/>
      <c r="N1257" s="835"/>
      <c r="O1257" s="824"/>
      <c r="X1257" s="817"/>
      <c r="Y1257" s="1100"/>
      <c r="Z1257" s="1102"/>
    </row>
    <row r="1258" spans="1:43" x14ac:dyDescent="0.35">
      <c r="A1258" s="366">
        <v>7</v>
      </c>
      <c r="B1258" s="735" t="s">
        <v>947</v>
      </c>
      <c r="C1258" s="731" t="s">
        <v>256</v>
      </c>
      <c r="D1258" s="731" t="s">
        <v>123</v>
      </c>
      <c r="E1258" s="731"/>
      <c r="F1258" s="731"/>
      <c r="G1258" s="366" t="str">
        <f>IF(N1258&gt;0,"P","")</f>
        <v/>
      </c>
      <c r="H1258" s="366" t="s">
        <v>3970</v>
      </c>
      <c r="I1258" s="4"/>
      <c r="J1258" s="152"/>
      <c r="K1258" s="402" t="s">
        <v>123</v>
      </c>
      <c r="L1258" s="470" t="s">
        <v>4288</v>
      </c>
      <c r="M1258" s="40"/>
      <c r="N1258" s="41">
        <f>'Ch7'!O405</f>
        <v>0</v>
      </c>
      <c r="O1258" s="75">
        <f ca="1">IFERROR(INDEX(M1259:M1260,MATCH(W1253,{0.9,0.95},1))*AND(S1251,MATCH(W1251,INDIRECT(U1251),0)=3),0)</f>
        <v>0</v>
      </c>
      <c r="X1258" s="817"/>
      <c r="Y1258" s="1100"/>
      <c r="Z1258" s="1102"/>
    </row>
    <row r="1259" spans="1:43" x14ac:dyDescent="0.35">
      <c r="A1259" s="366">
        <v>7</v>
      </c>
      <c r="B1259" s="735" t="s">
        <v>947</v>
      </c>
      <c r="C1259" s="731" t="s">
        <v>256</v>
      </c>
      <c r="D1259" s="731" t="s">
        <v>123</v>
      </c>
      <c r="E1259" s="731" t="s">
        <v>256</v>
      </c>
      <c r="F1259" s="731"/>
      <c r="G1259" s="366" t="str">
        <f>G1258</f>
        <v/>
      </c>
      <c r="H1259" s="366" t="s">
        <v>3970</v>
      </c>
      <c r="I1259" s="4"/>
      <c r="J1259" s="152"/>
      <c r="K1259" s="402"/>
      <c r="L1259" s="470" t="s">
        <v>4289</v>
      </c>
      <c r="M1259" s="40">
        <f>IFERROR(INDEX({6,6,5,3,3,3,3,2},BF886),0)</f>
        <v>0</v>
      </c>
      <c r="N1259" s="41"/>
      <c r="O1259" s="75"/>
      <c r="X1259" s="817"/>
      <c r="Y1259" s="1100"/>
      <c r="Z1259" s="1102"/>
      <c r="AL1259" t="str">
        <f>SUBSTITUTE(SUBSTITUTE(SUBSTITUTE("vpa"&amp;$B1259&amp;$C1259&amp;$D1259&amp;$E1259,".","_"),"(","_"),")","")</f>
        <v>vpa703_5_1_1_c_1</v>
      </c>
      <c r="AM1259">
        <f>M1259</f>
        <v>0</v>
      </c>
    </row>
    <row r="1260" spans="1:43" x14ac:dyDescent="0.35">
      <c r="A1260" s="366">
        <v>7</v>
      </c>
      <c r="B1260" s="735" t="s">
        <v>947</v>
      </c>
      <c r="C1260" s="731" t="s">
        <v>256</v>
      </c>
      <c r="D1260" s="731" t="s">
        <v>123</v>
      </c>
      <c r="E1260" s="731" t="s">
        <v>258</v>
      </c>
      <c r="F1260" s="731"/>
      <c r="G1260" s="366" t="str">
        <f>G1259</f>
        <v/>
      </c>
      <c r="H1260" s="366" t="s">
        <v>3970</v>
      </c>
      <c r="I1260" s="4"/>
      <c r="J1260" s="152"/>
      <c r="K1260" s="403"/>
      <c r="L1260" s="477" t="s">
        <v>4290</v>
      </c>
      <c r="M1260" s="268">
        <f>IFERROR(INDEX({7,7,5,4,4,4,4,2},BF886),0)</f>
        <v>0</v>
      </c>
      <c r="N1260" s="546"/>
      <c r="O1260" s="309"/>
      <c r="X1260" s="817"/>
      <c r="Y1260" s="1100"/>
      <c r="Z1260" s="1102"/>
      <c r="AL1260" t="str">
        <f>SUBSTITUTE(SUBSTITUTE(SUBSTITUTE("vpa"&amp;$B1260&amp;$C1260&amp;$D1260&amp;$E1260,".","_"),"(","_"),")","")</f>
        <v>vpa703_5_1_1_c_2</v>
      </c>
      <c r="AM1260">
        <f>M1260</f>
        <v>0</v>
      </c>
    </row>
    <row r="1261" spans="1:43" ht="15" customHeight="1" x14ac:dyDescent="0.35">
      <c r="A1261" s="366">
        <v>7</v>
      </c>
      <c r="B1261" s="735" t="s">
        <v>947</v>
      </c>
      <c r="C1261" s="731" t="s">
        <v>256</v>
      </c>
      <c r="D1261" s="731" t="s">
        <v>401</v>
      </c>
      <c r="E1261" s="731"/>
      <c r="F1261" s="731"/>
      <c r="G1261" s="366" t="str">
        <f>IF(N1261&gt;0,"P","")</f>
        <v/>
      </c>
      <c r="H1261" s="366" t="s">
        <v>3970</v>
      </c>
      <c r="I1261" s="4"/>
      <c r="J1261" s="152"/>
      <c r="K1261" s="402" t="s">
        <v>401</v>
      </c>
      <c r="L1261" s="825" t="s">
        <v>4291</v>
      </c>
      <c r="M1261" s="40"/>
      <c r="N1261" s="834">
        <f>'Ch7'!O408</f>
        <v>0</v>
      </c>
      <c r="O1261" s="832">
        <f ca="1">IFERROR(INDEX(M1264:M1265,MATCH(W1253,{0.92,0.95},1))*AND(S1251,MATCH(W1251,INDIRECT(U1251),0)=4),0)</f>
        <v>0</v>
      </c>
      <c r="X1261" s="817"/>
      <c r="Y1261" s="1100"/>
      <c r="Z1261" s="1102"/>
      <c r="AN1261" t="str">
        <f>SUBSTITUTE(SUBSTITUTE(SUBSTITUTE("vpc"&amp;$B1261&amp;$C1261&amp;$D1261&amp;$E1261,".","_"),"(","_"),")","")</f>
        <v>vpc703_5_1_1_d</v>
      </c>
      <c r="AO1261">
        <f ca="1">O1261</f>
        <v>0</v>
      </c>
    </row>
    <row r="1262" spans="1:43" x14ac:dyDescent="0.35">
      <c r="A1262" s="366">
        <v>7</v>
      </c>
      <c r="B1262" s="735" t="s">
        <v>947</v>
      </c>
      <c r="C1262" s="731" t="s">
        <v>256</v>
      </c>
      <c r="D1262" s="731" t="s">
        <v>401</v>
      </c>
      <c r="E1262" s="731"/>
      <c r="F1262" s="731"/>
      <c r="G1262" s="366" t="str">
        <f>G1261</f>
        <v/>
      </c>
      <c r="H1262" s="366" t="s">
        <v>3970</v>
      </c>
      <c r="I1262" s="4"/>
      <c r="J1262" s="152"/>
      <c r="K1262" s="402"/>
      <c r="L1262" s="825"/>
      <c r="M1262" s="40"/>
      <c r="N1262" s="834"/>
      <c r="O1262" s="832"/>
      <c r="X1262" s="817"/>
      <c r="Y1262" s="1100"/>
      <c r="Z1262" s="1102"/>
    </row>
    <row r="1263" spans="1:43" x14ac:dyDescent="0.35">
      <c r="A1263" s="366">
        <v>7</v>
      </c>
      <c r="B1263" s="735" t="s">
        <v>947</v>
      </c>
      <c r="C1263" s="731" t="s">
        <v>256</v>
      </c>
      <c r="D1263" s="731" t="s">
        <v>401</v>
      </c>
      <c r="E1263" s="731"/>
      <c r="F1263" s="731"/>
      <c r="G1263" s="366" t="str">
        <f>G1262</f>
        <v/>
      </c>
      <c r="H1263" s="366" t="s">
        <v>3970</v>
      </c>
      <c r="I1263" s="4"/>
      <c r="J1263" s="152"/>
      <c r="K1263" s="402"/>
      <c r="L1263" s="825"/>
      <c r="M1263" s="40"/>
      <c r="N1263" s="834"/>
      <c r="O1263" s="832"/>
      <c r="X1263" s="817"/>
      <c r="Y1263" s="1100"/>
      <c r="Z1263" s="1102"/>
    </row>
    <row r="1264" spans="1:43" x14ac:dyDescent="0.35">
      <c r="A1264" s="366">
        <v>7</v>
      </c>
      <c r="B1264" s="735" t="s">
        <v>947</v>
      </c>
      <c r="C1264" s="731" t="s">
        <v>256</v>
      </c>
      <c r="D1264" s="731" t="s">
        <v>401</v>
      </c>
      <c r="E1264" s="731" t="s">
        <v>256</v>
      </c>
      <c r="F1264" s="731"/>
      <c r="G1264" s="366" t="str">
        <f>G1263</f>
        <v/>
      </c>
      <c r="H1264" s="366" t="s">
        <v>3970</v>
      </c>
      <c r="I1264" s="4"/>
      <c r="J1264" s="152"/>
      <c r="K1264" s="31"/>
      <c r="L1264" s="470" t="s">
        <v>4292</v>
      </c>
      <c r="M1264" s="40">
        <v>1</v>
      </c>
      <c r="N1264" s="41"/>
      <c r="O1264" s="75"/>
      <c r="X1264" s="817"/>
      <c r="Y1264" s="1100"/>
      <c r="Z1264" s="1102"/>
      <c r="AL1264" t="str">
        <f>SUBSTITUTE(SUBSTITUTE(SUBSTITUTE("vpa"&amp;$B1264&amp;$C1264&amp;$D1264&amp;$E1264,".","_"),"(","_"),")","")</f>
        <v>vpa703_5_1_1_d_1</v>
      </c>
      <c r="AM1264">
        <f>M1264</f>
        <v>1</v>
      </c>
    </row>
    <row r="1265" spans="1:43" x14ac:dyDescent="0.35">
      <c r="A1265" s="366">
        <v>7</v>
      </c>
      <c r="B1265" s="735" t="s">
        <v>947</v>
      </c>
      <c r="C1265" s="731" t="s">
        <v>256</v>
      </c>
      <c r="D1265" s="731" t="s">
        <v>401</v>
      </c>
      <c r="E1265" s="731" t="s">
        <v>258</v>
      </c>
      <c r="F1265" s="731"/>
      <c r="G1265" s="366" t="str">
        <f>G1264</f>
        <v/>
      </c>
      <c r="H1265" s="366" t="s">
        <v>3970</v>
      </c>
      <c r="I1265" s="4"/>
      <c r="J1265" s="152"/>
      <c r="K1265" s="416"/>
      <c r="L1265" s="477" t="s">
        <v>4290</v>
      </c>
      <c r="M1265" s="268">
        <f>IFERROR(INDEX({2,2,2,2,2,2,2,1},BF886),0)</f>
        <v>0</v>
      </c>
      <c r="N1265" s="546"/>
      <c r="O1265" s="309"/>
      <c r="X1265" s="817"/>
      <c r="Y1265" s="1100"/>
      <c r="Z1265" s="1102"/>
      <c r="AL1265" t="str">
        <f>SUBSTITUTE(SUBSTITUTE(SUBSTITUTE("vpa"&amp;$B1265&amp;$C1265&amp;$D1265&amp;$E1265,".","_"),"(","_"),")","")</f>
        <v>vpa703_5_1_1_d_2</v>
      </c>
      <c r="AM1265">
        <f>M1265</f>
        <v>0</v>
      </c>
    </row>
    <row r="1266" spans="1:43" ht="15" customHeight="1" x14ac:dyDescent="0.35">
      <c r="A1266" s="366">
        <v>7</v>
      </c>
      <c r="B1266" s="735" t="s">
        <v>947</v>
      </c>
      <c r="C1266" s="731" t="s">
        <v>256</v>
      </c>
      <c r="D1266" s="731" t="s">
        <v>539</v>
      </c>
      <c r="E1266" s="731"/>
      <c r="F1266" s="731"/>
      <c r="G1266" s="366" t="str">
        <f>IF(N1266&gt;0,"P","")</f>
        <v/>
      </c>
      <c r="H1266" s="366" t="s">
        <v>3970</v>
      </c>
      <c r="I1266" s="4"/>
      <c r="J1266" s="90"/>
      <c r="K1266" s="402" t="s">
        <v>539</v>
      </c>
      <c r="L1266" s="825" t="s">
        <v>4293</v>
      </c>
      <c r="M1266" s="40"/>
      <c r="N1266" s="834">
        <f>'Ch7'!O413</f>
        <v>0</v>
      </c>
      <c r="O1266" s="832">
        <f ca="1">IFERROR(INDEX(M1268:M1269,MATCH(W1253,{0.89,0.94},1))*AND(S1251,MATCH(W1251,INDIRECT(U1251),0)=5),0)</f>
        <v>0</v>
      </c>
      <c r="X1266" s="817"/>
      <c r="Y1266" s="1100"/>
      <c r="Z1266" s="1102"/>
      <c r="AN1266" t="str">
        <f>SUBSTITUTE(SUBSTITUTE(SUBSTITUTE("vpc"&amp;$B1266&amp;$C1266&amp;$D1266&amp;$E1266,".","_"),"(","_"),")","")</f>
        <v>vpc703_5_1_1_e</v>
      </c>
      <c r="AO1266">
        <f ca="1">O1266</f>
        <v>0</v>
      </c>
    </row>
    <row r="1267" spans="1:43" x14ac:dyDescent="0.35">
      <c r="A1267" s="366">
        <v>7</v>
      </c>
      <c r="B1267" s="735" t="s">
        <v>947</v>
      </c>
      <c r="C1267" s="731" t="s">
        <v>256</v>
      </c>
      <c r="D1267" s="731" t="s">
        <v>539</v>
      </c>
      <c r="E1267" s="731"/>
      <c r="F1267" s="731"/>
      <c r="G1267" s="366" t="str">
        <f>G1266</f>
        <v/>
      </c>
      <c r="H1267" s="366" t="s">
        <v>3970</v>
      </c>
      <c r="I1267" s="4"/>
      <c r="J1267" s="90"/>
      <c r="K1267" s="412"/>
      <c r="L1267" s="825"/>
      <c r="M1267" s="40"/>
      <c r="N1267" s="834"/>
      <c r="O1267" s="832"/>
      <c r="X1267" s="817"/>
      <c r="Y1267" s="1100"/>
      <c r="Z1267" s="1102"/>
    </row>
    <row r="1268" spans="1:43" x14ac:dyDescent="0.35">
      <c r="A1268" s="366">
        <v>7</v>
      </c>
      <c r="B1268" s="735" t="s">
        <v>947</v>
      </c>
      <c r="C1268" s="731" t="s">
        <v>256</v>
      </c>
      <c r="D1268" s="731" t="s">
        <v>539</v>
      </c>
      <c r="E1268" s="731" t="s">
        <v>256</v>
      </c>
      <c r="F1268" s="731"/>
      <c r="G1268" s="366" t="str">
        <f>G1267</f>
        <v/>
      </c>
      <c r="H1268" s="732" t="s">
        <v>3970</v>
      </c>
      <c r="I1268" s="4"/>
      <c r="J1268" s="90"/>
      <c r="K1268" s="467"/>
      <c r="L1268" s="470" t="s">
        <v>5104</v>
      </c>
      <c r="M1268" s="40">
        <f>IFERROR(INDEX({2,2,2,1,1,1,1,1},BF886),0)</f>
        <v>0</v>
      </c>
      <c r="N1268" s="41"/>
      <c r="O1268" s="75"/>
      <c r="X1268" s="817"/>
      <c r="Y1268" s="1100"/>
      <c r="Z1268" s="1102"/>
      <c r="AL1268" t="str">
        <f>SUBSTITUTE(SUBSTITUTE(SUBSTITUTE("vpa"&amp;$B1268&amp;$C1268&amp;$D1268&amp;$E1268,".","_"),"(","_"),")","")</f>
        <v>vpa703_5_1_1_e_1</v>
      </c>
      <c r="AM1268">
        <f>M1268</f>
        <v>0</v>
      </c>
    </row>
    <row r="1269" spans="1:43" x14ac:dyDescent="0.35">
      <c r="A1269" s="366">
        <v>7</v>
      </c>
      <c r="B1269" s="735" t="s">
        <v>947</v>
      </c>
      <c r="C1269" s="731" t="s">
        <v>256</v>
      </c>
      <c r="D1269" s="731" t="s">
        <v>539</v>
      </c>
      <c r="E1269" s="731" t="s">
        <v>258</v>
      </c>
      <c r="F1269" s="731"/>
      <c r="G1269" s="366" t="str">
        <f>G1268</f>
        <v/>
      </c>
      <c r="H1269" s="732" t="s">
        <v>3970</v>
      </c>
      <c r="I1269" s="4"/>
      <c r="J1269" s="228"/>
      <c r="K1269" s="472"/>
      <c r="L1269" s="477" t="s">
        <v>5105</v>
      </c>
      <c r="M1269" s="268">
        <f>IFERROR(INDEX({3,3,2,2,2,2,2,1},BF886),0)</f>
        <v>0</v>
      </c>
      <c r="N1269" s="546"/>
      <c r="O1269" s="309"/>
      <c r="P1269" s="104"/>
      <c r="Q1269" s="104"/>
      <c r="R1269" s="104"/>
      <c r="S1269" s="104"/>
      <c r="T1269" s="104"/>
      <c r="U1269" s="104"/>
      <c r="V1269" s="104"/>
      <c r="W1269" t="s">
        <v>3635</v>
      </c>
      <c r="X1269" s="817"/>
      <c r="Y1269" s="1100"/>
      <c r="Z1269" s="1102"/>
      <c r="AL1269" t="str">
        <f>SUBSTITUTE(SUBSTITUTE(SUBSTITUTE("vpa"&amp;$B1269&amp;$C1269&amp;$D1269&amp;$E1269,".","_"),"(","_"),")","")</f>
        <v>vpa703_5_1_1_e_2</v>
      </c>
      <c r="AM1269">
        <f>M1269</f>
        <v>0</v>
      </c>
    </row>
    <row r="1270" spans="1:43" x14ac:dyDescent="0.35">
      <c r="A1270" s="366">
        <v>7</v>
      </c>
      <c r="B1270" s="735" t="s">
        <v>947</v>
      </c>
      <c r="C1270" s="731" t="s">
        <v>258</v>
      </c>
      <c r="D1270" s="736"/>
      <c r="E1270" s="731"/>
      <c r="F1270" s="731"/>
      <c r="G1270" s="727" t="str">
        <f ca="1">IF(COUNTIF(G1271:G1290,"P")&gt;0,"P","")</f>
        <v>P</v>
      </c>
      <c r="H1270" s="366" t="s">
        <v>3970</v>
      </c>
      <c r="I1270" s="4"/>
      <c r="J1270" s="152" t="s">
        <v>258</v>
      </c>
      <c r="K1270" s="90"/>
      <c r="L1270" s="90" t="s">
        <v>949</v>
      </c>
      <c r="M1270" s="40"/>
      <c r="N1270" s="41"/>
      <c r="O1270" s="75"/>
      <c r="P1270" t="b">
        <v>1</v>
      </c>
      <c r="Q1270" t="b">
        <v>1</v>
      </c>
      <c r="R1270" t="b">
        <v>0</v>
      </c>
      <c r="S1270" t="b">
        <f ca="1">AND(S883=2,LEN(W1301)=0,S1246=2)</f>
        <v>0</v>
      </c>
      <c r="T1270" t="b">
        <f ca="1">AND(NOT(S1270),LEN(W1270)&gt;0)</f>
        <v>0</v>
      </c>
      <c r="U1270" t="str">
        <f>SUBSTITUTE(SUBSTITUTE(SUBSTITUTE("dd"&amp;B1270&amp;C1270&amp;D1270&amp;E1270&amp;F1270,".","_"),"(","_"),")","")</f>
        <v>dd703_5_1_2</v>
      </c>
      <c r="W1270" s="9"/>
      <c r="X1270" s="817"/>
      <c r="Y1270" s="1100"/>
      <c r="Z1270" s="1102"/>
      <c r="AC1270" t="b">
        <f ca="1">OR(AD1270:AE1270)</f>
        <v>0</v>
      </c>
      <c r="AD1270" t="b">
        <f ca="1">T1270</f>
        <v>0</v>
      </c>
      <c r="AP1270" t="str">
        <f>SUBSTITUTE(SUBSTITUTE(SUBSTITUTE("vch"&amp;$B1270&amp;$C1270&amp;$D1270&amp;$E1270,".","_"),"(","_"),")","")</f>
        <v>vch703_5_1_2</v>
      </c>
      <c r="AQ1270" t="str">
        <f>IF(LEN(W1270)=0,"",W1270)</f>
        <v/>
      </c>
    </row>
    <row r="1271" spans="1:43" ht="15" customHeight="1" x14ac:dyDescent="0.35">
      <c r="A1271" s="366">
        <v>7</v>
      </c>
      <c r="B1271" s="735" t="s">
        <v>947</v>
      </c>
      <c r="C1271" s="731" t="s">
        <v>258</v>
      </c>
      <c r="D1271" s="738" t="s">
        <v>121</v>
      </c>
      <c r="E1271" s="731"/>
      <c r="F1271" s="731"/>
      <c r="G1271" s="366" t="str">
        <f ca="1">IF(N1271&gt;0,"P","")</f>
        <v>P</v>
      </c>
      <c r="H1271" s="366" t="s">
        <v>3970</v>
      </c>
      <c r="I1271" s="4"/>
      <c r="J1271" s="152"/>
      <c r="K1271" s="402" t="s">
        <v>121</v>
      </c>
      <c r="L1271" s="825" t="s">
        <v>4296</v>
      </c>
      <c r="M1271" s="40"/>
      <c r="N1271" s="834">
        <f ca="1">'Ch7'!O401</f>
        <v>1</v>
      </c>
      <c r="O1271" s="832">
        <f ca="1">IFERROR(INDEX(M1273:M1279,MATCH(W1272,{0.94,1,1.5,2,2.2,2.5,3},1))*AND(S1270,MATCH(W1270,INDIRECT(U1270),0)=1),0)</f>
        <v>0</v>
      </c>
      <c r="W1271" t="s">
        <v>3634</v>
      </c>
      <c r="X1271" s="817"/>
      <c r="Y1271" s="1100"/>
      <c r="Z1271" s="1102"/>
      <c r="AN1271" t="str">
        <f>SUBSTITUTE(SUBSTITUTE(SUBSTITUTE("vpc"&amp;$B1271&amp;$C1271&amp;$D1271&amp;$E1271,".","_"),"(","_"),")","")</f>
        <v>vpc703_5_1_2_a</v>
      </c>
      <c r="AO1271">
        <f ca="1">O1271</f>
        <v>0</v>
      </c>
    </row>
    <row r="1272" spans="1:43" x14ac:dyDescent="0.35">
      <c r="A1272" s="366">
        <v>7</v>
      </c>
      <c r="B1272" s="735" t="s">
        <v>947</v>
      </c>
      <c r="C1272" s="731" t="s">
        <v>258</v>
      </c>
      <c r="D1272" s="738" t="s">
        <v>121</v>
      </c>
      <c r="E1272" s="731"/>
      <c r="F1272" s="731"/>
      <c r="G1272" s="366" t="str">
        <f ca="1">G1271</f>
        <v>P</v>
      </c>
      <c r="H1272" s="732" t="s">
        <v>3970</v>
      </c>
      <c r="I1272" s="4"/>
      <c r="J1272" s="152"/>
      <c r="K1272" s="402"/>
      <c r="L1272" s="825"/>
      <c r="M1272" s="40"/>
      <c r="N1272" s="834"/>
      <c r="O1272" s="832"/>
      <c r="P1272" t="b">
        <v>1</v>
      </c>
      <c r="Q1272" t="b">
        <v>1</v>
      </c>
      <c r="R1272" t="b">
        <v>0</v>
      </c>
      <c r="S1272" t="b">
        <f ca="1">S1270</f>
        <v>0</v>
      </c>
      <c r="T1272" t="b">
        <f ca="1">AND(NOT(S1272),LEN(W1272)&gt;0)</f>
        <v>0</v>
      </c>
      <c r="W1272" s="241"/>
      <c r="X1272" s="817"/>
      <c r="Y1272" s="1100"/>
      <c r="Z1272" s="1102"/>
      <c r="AC1272" t="b">
        <f ca="1">OR(AD1272:AE1272)</f>
        <v>0</v>
      </c>
      <c r="AD1272" t="b">
        <f ca="1">T1272</f>
        <v>0</v>
      </c>
      <c r="AP1272" t="str">
        <f>SUBSTITUTE(SUBSTITUTE(SUBSTITUTE("vch"&amp;$B1272&amp;$C1272&amp;$D1272&amp;$E1272,".","_"),"(","_"),")","")</f>
        <v>vch703_5_1_2_a</v>
      </c>
      <c r="AQ1272" t="str">
        <f>IF(LEN(W1272)=0,"",W1272)</f>
        <v/>
      </c>
    </row>
    <row r="1273" spans="1:43" x14ac:dyDescent="0.35">
      <c r="A1273" s="366">
        <v>7</v>
      </c>
      <c r="B1273" s="735" t="s">
        <v>947</v>
      </c>
      <c r="C1273" s="731" t="s">
        <v>258</v>
      </c>
      <c r="D1273" s="738" t="s">
        <v>121</v>
      </c>
      <c r="E1273" s="731" t="s">
        <v>256</v>
      </c>
      <c r="F1273" s="731"/>
      <c r="G1273" s="366" t="str">
        <f t="shared" ref="G1273:G1279" ca="1" si="78">G1272</f>
        <v>P</v>
      </c>
      <c r="H1273" s="732" t="s">
        <v>3970</v>
      </c>
      <c r="I1273" s="4"/>
      <c r="J1273" s="152"/>
      <c r="K1273" s="31"/>
      <c r="L1273" s="470" t="s">
        <v>5106</v>
      </c>
      <c r="M1273" s="268">
        <v>1</v>
      </c>
      <c r="N1273" s="41"/>
      <c r="O1273" s="75"/>
      <c r="X1273" s="817"/>
      <c r="Y1273" s="1100"/>
      <c r="Z1273" s="1102"/>
      <c r="AL1273" t="str">
        <f t="shared" ref="AL1273:AL1279" si="79">SUBSTITUTE(SUBSTITUTE(SUBSTITUTE("vpa"&amp;$B1273&amp;$C1273&amp;$D1273&amp;$E1273,".","_"),"(","_"),")","")</f>
        <v>vpa703_5_1_2_a_1</v>
      </c>
      <c r="AM1273">
        <f t="shared" ref="AM1273:AM1279" si="80">M1273</f>
        <v>1</v>
      </c>
    </row>
    <row r="1274" spans="1:43" x14ac:dyDescent="0.35">
      <c r="A1274" s="366">
        <v>7</v>
      </c>
      <c r="B1274" s="735" t="s">
        <v>947</v>
      </c>
      <c r="C1274" s="731" t="s">
        <v>258</v>
      </c>
      <c r="D1274" s="738" t="s">
        <v>121</v>
      </c>
      <c r="E1274" s="731" t="s">
        <v>258</v>
      </c>
      <c r="F1274" s="731"/>
      <c r="G1274" s="366" t="str">
        <f t="shared" ca="1" si="78"/>
        <v>P</v>
      </c>
      <c r="H1274" s="732" t="s">
        <v>3970</v>
      </c>
      <c r="I1274" s="4"/>
      <c r="J1274" s="152"/>
      <c r="K1274" s="31"/>
      <c r="L1274" s="470" t="s">
        <v>5107</v>
      </c>
      <c r="M1274" s="268">
        <f>IFERROR(INDEX({4,2,2,2,1,1,1,1},BF886),0)</f>
        <v>0</v>
      </c>
      <c r="N1274" s="41"/>
      <c r="O1274" s="75"/>
      <c r="X1274" s="817"/>
      <c r="Y1274" s="1100"/>
      <c r="Z1274" s="1102"/>
      <c r="AL1274" t="str">
        <f t="shared" si="79"/>
        <v>vpa703_5_1_2_a_2</v>
      </c>
      <c r="AM1274">
        <f t="shared" si="80"/>
        <v>0</v>
      </c>
    </row>
    <row r="1275" spans="1:43" x14ac:dyDescent="0.35">
      <c r="A1275" s="366">
        <v>7</v>
      </c>
      <c r="B1275" s="735" t="s">
        <v>947</v>
      </c>
      <c r="C1275" s="731" t="s">
        <v>258</v>
      </c>
      <c r="D1275" s="738" t="s">
        <v>121</v>
      </c>
      <c r="E1275" s="731" t="s">
        <v>260</v>
      </c>
      <c r="F1275" s="731"/>
      <c r="G1275" s="366" t="str">
        <f t="shared" ca="1" si="78"/>
        <v>P</v>
      </c>
      <c r="H1275" s="732" t="s">
        <v>3970</v>
      </c>
      <c r="I1275" s="4"/>
      <c r="J1275" s="152"/>
      <c r="K1275" s="45"/>
      <c r="L1275" s="470" t="s">
        <v>5108</v>
      </c>
      <c r="M1275" s="268">
        <f>IFERROR(INDEX({7,4,3,2,2,2,1,1},BF886),0)</f>
        <v>0</v>
      </c>
      <c r="N1275" s="41"/>
      <c r="O1275" s="75"/>
      <c r="X1275" s="817"/>
      <c r="Y1275" s="1100"/>
      <c r="Z1275" s="1102"/>
      <c r="AL1275" t="str">
        <f t="shared" si="79"/>
        <v>vpa703_5_1_2_a_3</v>
      </c>
      <c r="AM1275">
        <f t="shared" si="80"/>
        <v>0</v>
      </c>
    </row>
    <row r="1276" spans="1:43" x14ac:dyDescent="0.35">
      <c r="A1276" s="366">
        <v>7</v>
      </c>
      <c r="B1276" s="735" t="s">
        <v>947</v>
      </c>
      <c r="C1276" s="731" t="s">
        <v>258</v>
      </c>
      <c r="D1276" s="738" t="s">
        <v>121</v>
      </c>
      <c r="E1276" s="731" t="s">
        <v>269</v>
      </c>
      <c r="F1276" s="731"/>
      <c r="G1276" s="366" t="str">
        <f t="shared" ca="1" si="78"/>
        <v>P</v>
      </c>
      <c r="H1276" s="732" t="s">
        <v>3970</v>
      </c>
      <c r="I1276" s="4"/>
      <c r="J1276" s="152"/>
      <c r="K1276" s="45"/>
      <c r="L1276" s="43" t="s">
        <v>5109</v>
      </c>
      <c r="M1276" s="268">
        <f>IFERROR(INDEX({14,8,7,5,4,4,2,2},BF886),0)</f>
        <v>0</v>
      </c>
      <c r="N1276" s="41"/>
      <c r="O1276" s="75"/>
      <c r="X1276" s="817"/>
      <c r="Y1276" s="1100"/>
      <c r="Z1276" s="1102"/>
      <c r="AL1276" t="str">
        <f t="shared" si="79"/>
        <v>vpa703_5_1_2_a_4</v>
      </c>
      <c r="AM1276">
        <f t="shared" si="80"/>
        <v>0</v>
      </c>
    </row>
    <row r="1277" spans="1:43" x14ac:dyDescent="0.35">
      <c r="A1277" s="366">
        <v>7</v>
      </c>
      <c r="B1277" s="735" t="s">
        <v>947</v>
      </c>
      <c r="C1277" s="731" t="s">
        <v>258</v>
      </c>
      <c r="D1277" s="738" t="s">
        <v>121</v>
      </c>
      <c r="E1277" s="731" t="s">
        <v>275</v>
      </c>
      <c r="F1277" s="731"/>
      <c r="G1277" s="366" t="str">
        <f t="shared" ca="1" si="78"/>
        <v>P</v>
      </c>
      <c r="H1277" s="732" t="s">
        <v>3970</v>
      </c>
      <c r="I1277" s="4"/>
      <c r="J1277" s="152"/>
      <c r="K1277" s="45"/>
      <c r="L1277" s="43" t="s">
        <v>5110</v>
      </c>
      <c r="M1277" s="268">
        <f>IFERROR(INDEX({17,9,8,6,5,4,3,3},BF886),0)</f>
        <v>0</v>
      </c>
      <c r="N1277" s="41"/>
      <c r="O1277" s="75"/>
      <c r="X1277" s="817"/>
      <c r="Y1277" s="1100"/>
      <c r="Z1277" s="1102"/>
      <c r="AL1277" t="str">
        <f t="shared" si="79"/>
        <v>vpa703_5_1_2_a_5</v>
      </c>
      <c r="AM1277">
        <f t="shared" si="80"/>
        <v>0</v>
      </c>
    </row>
    <row r="1278" spans="1:43" x14ac:dyDescent="0.35">
      <c r="A1278" s="366">
        <v>7</v>
      </c>
      <c r="B1278" s="735" t="s">
        <v>947</v>
      </c>
      <c r="C1278" s="731" t="s">
        <v>258</v>
      </c>
      <c r="D1278" s="738" t="s">
        <v>121</v>
      </c>
      <c r="E1278" s="731" t="s">
        <v>277</v>
      </c>
      <c r="F1278" s="731"/>
      <c r="G1278" s="366" t="str">
        <f t="shared" ca="1" si="78"/>
        <v>P</v>
      </c>
      <c r="H1278" s="732" t="s">
        <v>3970</v>
      </c>
      <c r="I1278" s="4"/>
      <c r="J1278" s="152"/>
      <c r="K1278" s="45"/>
      <c r="L1278" s="470" t="s">
        <v>5111</v>
      </c>
      <c r="M1278" s="268">
        <f>IFERROR(INDEX({18,12,10,8,6,6,3,3},BF886),0)</f>
        <v>0</v>
      </c>
      <c r="N1278" s="41"/>
      <c r="O1278" s="75"/>
      <c r="X1278" s="817"/>
      <c r="Y1278" s="1100"/>
      <c r="Z1278" s="1102"/>
      <c r="AL1278" t="str">
        <f t="shared" si="79"/>
        <v>vpa703_5_1_2_a_6</v>
      </c>
      <c r="AM1278">
        <f t="shared" si="80"/>
        <v>0</v>
      </c>
    </row>
    <row r="1279" spans="1:43" x14ac:dyDescent="0.35">
      <c r="A1279" s="366">
        <v>7</v>
      </c>
      <c r="B1279" s="735" t="s">
        <v>947</v>
      </c>
      <c r="C1279" s="731" t="s">
        <v>258</v>
      </c>
      <c r="D1279" s="738" t="s">
        <v>121</v>
      </c>
      <c r="E1279" s="731" t="s">
        <v>383</v>
      </c>
      <c r="F1279" s="731"/>
      <c r="G1279" s="366" t="str">
        <f t="shared" ca="1" si="78"/>
        <v>P</v>
      </c>
      <c r="H1279" s="732" t="s">
        <v>3970</v>
      </c>
      <c r="I1279" s="4"/>
      <c r="J1279" s="152"/>
      <c r="K1279" s="139"/>
      <c r="L1279" s="101" t="s">
        <v>5112</v>
      </c>
      <c r="M1279" s="268">
        <f>IFERROR(INDEX({22,16,13,11,8,8,4,3},BF886),0)</f>
        <v>0</v>
      </c>
      <c r="N1279" s="546"/>
      <c r="O1279" s="309"/>
      <c r="X1279" s="817"/>
      <c r="Y1279" s="1100"/>
      <c r="Z1279" s="1102"/>
      <c r="AL1279" t="str">
        <f t="shared" si="79"/>
        <v>vpa703_5_1_2_a_7</v>
      </c>
      <c r="AM1279">
        <f t="shared" si="80"/>
        <v>0</v>
      </c>
    </row>
    <row r="1280" spans="1:43" ht="15" customHeight="1" x14ac:dyDescent="0.35">
      <c r="A1280" s="366">
        <v>7</v>
      </c>
      <c r="B1280" s="735" t="s">
        <v>947</v>
      </c>
      <c r="C1280" s="731" t="s">
        <v>258</v>
      </c>
      <c r="D1280" s="738" t="s">
        <v>122</v>
      </c>
      <c r="E1280" s="731"/>
      <c r="F1280" s="731"/>
      <c r="G1280" s="366" t="str">
        <f ca="1">IF(N1280&gt;0,"P","")</f>
        <v/>
      </c>
      <c r="H1280" s="366" t="s">
        <v>3970</v>
      </c>
      <c r="I1280" s="4"/>
      <c r="J1280" s="152"/>
      <c r="K1280" s="402" t="s">
        <v>122</v>
      </c>
      <c r="L1280" s="825" t="s">
        <v>4304</v>
      </c>
      <c r="M1280" s="40"/>
      <c r="N1280" s="963">
        <f ca="1">'Ch7'!O410</f>
        <v>0</v>
      </c>
      <c r="O1280" s="823">
        <f ca="1">IFERROR(INDEX(M1282:M1285,MATCH(W1272,{2.2,2.5,3,3.5},1))*AND(S1270,MATCH(W1270,INDIRECT(U1270),0)=2),0)</f>
        <v>0</v>
      </c>
      <c r="X1280" s="817"/>
      <c r="Y1280" s="1100"/>
      <c r="Z1280" s="1102"/>
      <c r="AN1280" t="str">
        <f>SUBSTITUTE(SUBSTITUTE(SUBSTITUTE("vpc"&amp;$B1280&amp;$C1280&amp;$D1280&amp;$E1280,".","_"),"(","_"),")","")</f>
        <v>vpc703_5_1_2_b</v>
      </c>
      <c r="AO1280">
        <f ca="1">O1280</f>
        <v>0</v>
      </c>
    </row>
    <row r="1281" spans="1:45" x14ac:dyDescent="0.35">
      <c r="A1281" s="366">
        <v>7</v>
      </c>
      <c r="B1281" s="735" t="s">
        <v>947</v>
      </c>
      <c r="C1281" s="731" t="s">
        <v>258</v>
      </c>
      <c r="D1281" s="738" t="s">
        <v>122</v>
      </c>
      <c r="E1281" s="731"/>
      <c r="F1281" s="731"/>
      <c r="G1281" s="366" t="str">
        <f ca="1">G1280</f>
        <v/>
      </c>
      <c r="H1281" s="732" t="s">
        <v>3970</v>
      </c>
      <c r="I1281" s="4"/>
      <c r="J1281" s="152"/>
      <c r="K1281" s="402"/>
      <c r="L1281" s="825"/>
      <c r="M1281" s="40"/>
      <c r="N1281" s="834"/>
      <c r="O1281" s="832"/>
      <c r="X1281" s="817"/>
      <c r="Y1281" s="1100"/>
      <c r="Z1281" s="1102"/>
    </row>
    <row r="1282" spans="1:45" x14ac:dyDescent="0.35">
      <c r="A1282" s="366">
        <v>7</v>
      </c>
      <c r="B1282" s="735" t="s">
        <v>947</v>
      </c>
      <c r="C1282" s="731" t="s">
        <v>258</v>
      </c>
      <c r="D1282" s="738" t="s">
        <v>122</v>
      </c>
      <c r="E1282" s="731" t="s">
        <v>256</v>
      </c>
      <c r="F1282" s="731"/>
      <c r="G1282" s="366" t="str">
        <f ca="1">G1281</f>
        <v/>
      </c>
      <c r="H1282" s="732" t="s">
        <v>3970</v>
      </c>
      <c r="I1282" s="4"/>
      <c r="J1282" s="152"/>
      <c r="K1282" s="45"/>
      <c r="L1282" s="43" t="s">
        <v>5110</v>
      </c>
      <c r="M1282" s="268">
        <f>IFERROR(INDEX({6,4,3,3,2,2,1,1},BF886),0)</f>
        <v>0</v>
      </c>
      <c r="N1282" s="41"/>
      <c r="O1282" s="75"/>
      <c r="X1282" s="817"/>
      <c r="Y1282" s="1100"/>
      <c r="Z1282" s="1102"/>
      <c r="AL1282" t="str">
        <f>SUBSTITUTE(SUBSTITUTE(SUBSTITUTE("vpa"&amp;$B1282&amp;$C1282&amp;$D1282&amp;$E1282,".","_"),"(","_"),")","")</f>
        <v>vpa703_5_1_2_b_1</v>
      </c>
      <c r="AM1282">
        <f>M1282</f>
        <v>0</v>
      </c>
    </row>
    <row r="1283" spans="1:45" x14ac:dyDescent="0.35">
      <c r="A1283" s="366">
        <v>7</v>
      </c>
      <c r="B1283" s="735" t="s">
        <v>947</v>
      </c>
      <c r="C1283" s="731" t="s">
        <v>258</v>
      </c>
      <c r="D1283" s="738" t="s">
        <v>122</v>
      </c>
      <c r="E1283" s="731" t="s">
        <v>258</v>
      </c>
      <c r="F1283" s="731"/>
      <c r="G1283" s="366" t="str">
        <f ca="1">G1282</f>
        <v/>
      </c>
      <c r="H1283" s="732" t="s">
        <v>3970</v>
      </c>
      <c r="I1283" s="4"/>
      <c r="J1283" s="152"/>
      <c r="K1283" s="402"/>
      <c r="L1283" s="43" t="s">
        <v>5111</v>
      </c>
      <c r="M1283" s="268">
        <f>IFERROR(INDEX({7,5,4,3,3,3,2,2},BF886),0)</f>
        <v>0</v>
      </c>
      <c r="N1283" s="41"/>
      <c r="O1283" s="75"/>
      <c r="X1283" s="817"/>
      <c r="Y1283" s="1100"/>
      <c r="Z1283" s="1102"/>
      <c r="AL1283" t="str">
        <f>SUBSTITUTE(SUBSTITUTE(SUBSTITUTE("vpa"&amp;$B1283&amp;$C1283&amp;$D1283&amp;$E1283,".","_"),"(","_"),")","")</f>
        <v>vpa703_5_1_2_b_2</v>
      </c>
      <c r="AM1283">
        <f>M1283</f>
        <v>0</v>
      </c>
    </row>
    <row r="1284" spans="1:45" x14ac:dyDescent="0.35">
      <c r="A1284" s="366">
        <v>7</v>
      </c>
      <c r="B1284" s="735" t="s">
        <v>947</v>
      </c>
      <c r="C1284" s="731" t="s">
        <v>258</v>
      </c>
      <c r="D1284" s="738" t="s">
        <v>122</v>
      </c>
      <c r="E1284" s="731" t="s">
        <v>260</v>
      </c>
      <c r="F1284" s="731"/>
      <c r="G1284" s="366" t="str">
        <f ca="1">G1283</f>
        <v/>
      </c>
      <c r="H1284" s="732" t="s">
        <v>3970</v>
      </c>
      <c r="I1284" s="4"/>
      <c r="J1284" s="152"/>
      <c r="K1284" s="31"/>
      <c r="L1284" s="470" t="s">
        <v>5113</v>
      </c>
      <c r="M1284" s="268">
        <f>IFERROR(INDEX({8,5,5,4,3,3,3,2},BF886),0)</f>
        <v>0</v>
      </c>
      <c r="N1284" s="41"/>
      <c r="O1284" s="75"/>
      <c r="X1284" s="817"/>
      <c r="Y1284" s="1100"/>
      <c r="Z1284" s="1102"/>
      <c r="AL1284" t="str">
        <f>SUBSTITUTE(SUBSTITUTE(SUBSTITUTE("vpa"&amp;$B1284&amp;$C1284&amp;$D1284&amp;$E1284,".","_"),"(","_"),")","")</f>
        <v>vpa703_5_1_2_b_3</v>
      </c>
      <c r="AM1284">
        <f>M1284</f>
        <v>0</v>
      </c>
    </row>
    <row r="1285" spans="1:45" x14ac:dyDescent="0.35">
      <c r="A1285" s="366">
        <v>7</v>
      </c>
      <c r="B1285" s="735" t="s">
        <v>947</v>
      </c>
      <c r="C1285" s="731" t="s">
        <v>258</v>
      </c>
      <c r="D1285" s="738" t="s">
        <v>122</v>
      </c>
      <c r="E1285" s="731" t="s">
        <v>269</v>
      </c>
      <c r="F1285" s="731"/>
      <c r="G1285" s="366" t="str">
        <f ca="1">G1284</f>
        <v/>
      </c>
      <c r="H1285" s="732" t="s">
        <v>3970</v>
      </c>
      <c r="I1285" s="4"/>
      <c r="J1285" s="152"/>
      <c r="K1285" s="139"/>
      <c r="L1285" s="101" t="s">
        <v>5114</v>
      </c>
      <c r="M1285" s="268">
        <f>IFERROR(INDEX({9,6,6,5,4,4,3,2},BF886),0)</f>
        <v>0</v>
      </c>
      <c r="N1285" s="546"/>
      <c r="O1285" s="309"/>
      <c r="X1285" s="817"/>
      <c r="Y1285" s="1100"/>
      <c r="Z1285" s="1102"/>
      <c r="AL1285" t="str">
        <f>SUBSTITUTE(SUBSTITUTE(SUBSTITUTE("vpa"&amp;$B1285&amp;$C1285&amp;$D1285&amp;$E1285,".","_"),"(","_"),")","")</f>
        <v>vpa703_5_1_2_b_4</v>
      </c>
      <c r="AM1285">
        <f>M1285</f>
        <v>0</v>
      </c>
    </row>
    <row r="1286" spans="1:45" x14ac:dyDescent="0.35">
      <c r="A1286" s="366">
        <v>7</v>
      </c>
      <c r="B1286" s="735" t="s">
        <v>947</v>
      </c>
      <c r="C1286" s="731" t="s">
        <v>258</v>
      </c>
      <c r="D1286" s="738" t="s">
        <v>123</v>
      </c>
      <c r="E1286" s="731"/>
      <c r="F1286" s="731"/>
      <c r="G1286" s="366" t="str">
        <f ca="1">IF(N1286&gt;0,"P","")</f>
        <v/>
      </c>
      <c r="H1286" s="366" t="s">
        <v>3970</v>
      </c>
      <c r="I1286" s="4"/>
      <c r="J1286" s="152"/>
      <c r="K1286" s="402" t="s">
        <v>123</v>
      </c>
      <c r="L1286" s="825" t="s">
        <v>4307</v>
      </c>
      <c r="M1286" s="818">
        <v>1</v>
      </c>
      <c r="N1286" s="834">
        <f ca="1">'Ch7'!O416</f>
        <v>0</v>
      </c>
      <c r="O1286" s="832">
        <f ca="1">IFERROR(M1286*AND(S1270,MATCH(W1270,INDIRECT(U1270),0)=3,W1272&gt;=0.91),0)</f>
        <v>0</v>
      </c>
      <c r="X1286" s="817"/>
      <c r="Y1286" s="1100"/>
      <c r="Z1286" s="1102"/>
      <c r="AL1286" t="str">
        <f>SUBSTITUTE(SUBSTITUTE(SUBSTITUTE("vpa"&amp;$B1286&amp;$C1286&amp;$D1286&amp;$E1286,".","_"),"(","_"),")","")</f>
        <v>vpa703_5_1_2_c</v>
      </c>
      <c r="AM1286">
        <f>M1286</f>
        <v>1</v>
      </c>
      <c r="AN1286" t="str">
        <f>SUBSTITUTE(SUBSTITUTE(SUBSTITUTE("vpc"&amp;$B1286&amp;$C1286&amp;$D1286&amp;$E1286,".","_"),"(","_"),")","")</f>
        <v>vpc703_5_1_2_c</v>
      </c>
      <c r="AO1286">
        <f ca="1">O1286</f>
        <v>0</v>
      </c>
    </row>
    <row r="1287" spans="1:45" x14ac:dyDescent="0.35">
      <c r="A1287" s="366">
        <v>7</v>
      </c>
      <c r="B1287" s="735" t="s">
        <v>947</v>
      </c>
      <c r="C1287" s="731" t="s">
        <v>258</v>
      </c>
      <c r="D1287" s="738" t="s">
        <v>123</v>
      </c>
      <c r="E1287" s="731"/>
      <c r="F1287" s="731"/>
      <c r="G1287" s="366" t="str">
        <f ca="1">G1286</f>
        <v/>
      </c>
      <c r="H1287" s="732" t="s">
        <v>3970</v>
      </c>
      <c r="I1287" s="4"/>
      <c r="J1287" s="152"/>
      <c r="K1287" s="416"/>
      <c r="L1287" s="842"/>
      <c r="M1287" s="819"/>
      <c r="N1287" s="835"/>
      <c r="O1287" s="824"/>
      <c r="X1287" s="817"/>
      <c r="Y1287" s="1100"/>
      <c r="Z1287" s="1102"/>
    </row>
    <row r="1288" spans="1:45" x14ac:dyDescent="0.35">
      <c r="A1288" s="366">
        <v>7</v>
      </c>
      <c r="B1288" s="735" t="s">
        <v>947</v>
      </c>
      <c r="C1288" s="731" t="s">
        <v>258</v>
      </c>
      <c r="D1288" s="738" t="s">
        <v>401</v>
      </c>
      <c r="E1288" s="731"/>
      <c r="F1288" s="731"/>
      <c r="G1288" s="366" t="str">
        <f ca="1">IF(N1288&gt;0,"P","")</f>
        <v/>
      </c>
      <c r="H1288" s="366" t="s">
        <v>3970</v>
      </c>
      <c r="I1288" s="4"/>
      <c r="J1288" s="152"/>
      <c r="K1288" s="402" t="s">
        <v>401</v>
      </c>
      <c r="L1288" s="825" t="s">
        <v>4308</v>
      </c>
      <c r="M1288" s="818">
        <v>1</v>
      </c>
      <c r="N1288" s="834">
        <f ca="1">'Ch7'!O418</f>
        <v>0</v>
      </c>
      <c r="O1288" s="832">
        <f ca="1">IFERROR(M1288*AND(S1270,MATCH(W1270,INDIRECT(U1270),0)=4,W1272&gt;=0.97),0)</f>
        <v>0</v>
      </c>
      <c r="X1288" s="817"/>
      <c r="Y1288" s="1100"/>
      <c r="Z1288" s="1102"/>
      <c r="AL1288" t="str">
        <f>SUBSTITUTE(SUBSTITUTE(SUBSTITUTE("vpa"&amp;$B1288&amp;$C1288&amp;$D1288&amp;$E1288,".","_"),"(","_"),")","")</f>
        <v>vpa703_5_1_2_d</v>
      </c>
      <c r="AM1288">
        <f>M1288</f>
        <v>1</v>
      </c>
      <c r="AN1288" t="str">
        <f>SUBSTITUTE(SUBSTITUTE(SUBSTITUTE("vpc"&amp;$B1288&amp;$C1288&amp;$D1288&amp;$E1288,".","_"),"(","_"),")","")</f>
        <v>vpc703_5_1_2_d</v>
      </c>
      <c r="AO1288">
        <f ca="1">O1288</f>
        <v>0</v>
      </c>
    </row>
    <row r="1289" spans="1:45" x14ac:dyDescent="0.35">
      <c r="A1289" s="366">
        <v>7</v>
      </c>
      <c r="B1289" s="735" t="s">
        <v>947</v>
      </c>
      <c r="C1289" s="731" t="s">
        <v>258</v>
      </c>
      <c r="D1289" s="738" t="s">
        <v>401</v>
      </c>
      <c r="E1289" s="731"/>
      <c r="F1289" s="731"/>
      <c r="G1289" s="366" t="str">
        <f ca="1">G1288</f>
        <v/>
      </c>
      <c r="H1289" s="732" t="s">
        <v>3970</v>
      </c>
      <c r="I1289" s="4"/>
      <c r="J1289" s="152"/>
      <c r="K1289" s="416"/>
      <c r="L1289" s="842"/>
      <c r="M1289" s="819"/>
      <c r="N1289" s="835"/>
      <c r="O1289" s="824"/>
      <c r="X1289" s="817"/>
      <c r="Y1289" s="1100"/>
      <c r="Z1289" s="1102"/>
    </row>
    <row r="1290" spans="1:45" x14ac:dyDescent="0.35">
      <c r="A1290" s="366">
        <v>7</v>
      </c>
      <c r="B1290" s="735" t="s">
        <v>947</v>
      </c>
      <c r="C1290" s="731" t="s">
        <v>258</v>
      </c>
      <c r="D1290" s="738" t="s">
        <v>539</v>
      </c>
      <c r="E1290" s="731"/>
      <c r="F1290" s="731"/>
      <c r="G1290" s="366" t="str">
        <f ca="1">IF(N1290&gt;0,"P","")</f>
        <v/>
      </c>
      <c r="H1290" s="366" t="s">
        <v>3970</v>
      </c>
      <c r="I1290" s="4"/>
      <c r="J1290" s="90"/>
      <c r="K1290" s="402" t="s">
        <v>539</v>
      </c>
      <c r="L1290" s="825" t="s">
        <v>4309</v>
      </c>
      <c r="M1290" s="818">
        <v>2</v>
      </c>
      <c r="N1290" s="834">
        <f ca="1">'Ch7'!O420</f>
        <v>0</v>
      </c>
      <c r="O1290" s="832">
        <f ca="1">IFERROR(M1290*AND(S1270,MATCH(W1270,INDIRECT(U1270),0)=5,W1272&gt;=0.95),0)</f>
        <v>0</v>
      </c>
      <c r="X1290" s="817"/>
      <c r="Y1290" s="1100"/>
      <c r="Z1290" s="1102"/>
      <c r="AL1290" t="str">
        <f>SUBSTITUTE(SUBSTITUTE(SUBSTITUTE("vpa"&amp;$B1290&amp;$C1290&amp;$D1290&amp;$E1290,".","_"),"(","_"),")","")</f>
        <v>vpa703_5_1_2_e</v>
      </c>
      <c r="AM1290">
        <f>M1290</f>
        <v>2</v>
      </c>
      <c r="AN1290" t="str">
        <f>SUBSTITUTE(SUBSTITUTE(SUBSTITUTE("vpc"&amp;$B1290&amp;$C1290&amp;$D1290&amp;$E1290,".","_"),"(","_"),")","")</f>
        <v>vpc703_5_1_2_e</v>
      </c>
      <c r="AO1290">
        <f ca="1">O1290</f>
        <v>0</v>
      </c>
    </row>
    <row r="1291" spans="1:45" x14ac:dyDescent="0.35">
      <c r="A1291" s="366">
        <v>7</v>
      </c>
      <c r="B1291" s="735" t="s">
        <v>947</v>
      </c>
      <c r="C1291" s="731" t="s">
        <v>258</v>
      </c>
      <c r="D1291" s="738" t="s">
        <v>539</v>
      </c>
      <c r="E1291" s="731"/>
      <c r="F1291" s="731"/>
      <c r="G1291" s="366" t="str">
        <f ca="1">G1290</f>
        <v/>
      </c>
      <c r="H1291" s="732" t="s">
        <v>3970</v>
      </c>
      <c r="I1291" s="4"/>
      <c r="J1291" s="228"/>
      <c r="K1291" s="467"/>
      <c r="L1291" s="842"/>
      <c r="M1291" s="819"/>
      <c r="N1291" s="835"/>
      <c r="O1291" s="824"/>
      <c r="P1291" s="104"/>
      <c r="Q1291" s="104"/>
      <c r="R1291" s="104"/>
      <c r="S1291" s="104"/>
      <c r="T1291" s="104"/>
      <c r="U1291" s="104"/>
      <c r="V1291" s="104"/>
      <c r="W1291" t="s">
        <v>3634</v>
      </c>
      <c r="X1291" s="817"/>
      <c r="Y1291" s="1100"/>
      <c r="Z1291" s="1102"/>
    </row>
    <row r="1292" spans="1:45" x14ac:dyDescent="0.35">
      <c r="A1292" s="366">
        <v>7</v>
      </c>
      <c r="B1292" s="738" t="s">
        <v>947</v>
      </c>
      <c r="C1292" s="731" t="s">
        <v>260</v>
      </c>
      <c r="D1292" s="731"/>
      <c r="E1292" s="731"/>
      <c r="F1292" s="731"/>
      <c r="G1292" s="366" t="str">
        <f ca="1">IF(N1292&gt;0,"P","")</f>
        <v/>
      </c>
      <c r="H1292" s="366" t="s">
        <v>3970</v>
      </c>
      <c r="I1292" s="133"/>
      <c r="J1292" s="344" t="s">
        <v>260</v>
      </c>
      <c r="K1292" s="178"/>
      <c r="L1292" s="478" t="s">
        <v>4310</v>
      </c>
      <c r="M1292" s="278">
        <v>1</v>
      </c>
      <c r="N1292" s="547">
        <f ca="1">'Ch7'!O422</f>
        <v>0</v>
      </c>
      <c r="O1292" s="277">
        <f ca="1">M1292*AND(S1292,W1292&gt;=0.62)</f>
        <v>0</v>
      </c>
      <c r="P1292" s="104" t="b">
        <v>1</v>
      </c>
      <c r="Q1292" s="104" t="b">
        <v>1</v>
      </c>
      <c r="R1292" s="104" t="b">
        <v>0</v>
      </c>
      <c r="S1292" s="104" t="b">
        <f ca="1">AND(S883=2,LEN(W1301)=0,S1246=3)</f>
        <v>0</v>
      </c>
      <c r="T1292" s="104" t="b">
        <f ca="1">AND(NOT(S1292),LEN(W1292)&gt;0)</f>
        <v>0</v>
      </c>
      <c r="U1292" s="104"/>
      <c r="V1292" s="335"/>
      <c r="W1292" s="241"/>
      <c r="X1292" s="817"/>
      <c r="Y1292" s="1100"/>
      <c r="Z1292" s="1102"/>
      <c r="AC1292" t="b">
        <f ca="1">OR(AD1292:AE1292)</f>
        <v>0</v>
      </c>
      <c r="AD1292" t="b">
        <f ca="1">T1292</f>
        <v>0</v>
      </c>
      <c r="AL1292" t="str">
        <f>SUBSTITUTE(SUBSTITUTE(SUBSTITUTE("vpa"&amp;$B1292&amp;$C1292&amp;$D1292&amp;$E1292,".","_"),"(","_"),")","")</f>
        <v>vpa703_5_1_3</v>
      </c>
      <c r="AM1292">
        <f>M1292</f>
        <v>1</v>
      </c>
      <c r="AN1292" t="str">
        <f>SUBSTITUTE(SUBSTITUTE(SUBSTITUTE("vpc"&amp;$B1292&amp;$C1292&amp;$D1292&amp;$E1292,".","_"),"(","_"),")","")</f>
        <v>vpc703_5_1_3</v>
      </c>
      <c r="AO1292">
        <f ca="1">O1292</f>
        <v>0</v>
      </c>
      <c r="AP1292" t="str">
        <f>SUBSTITUTE(SUBSTITUTE(SUBSTITUTE("vch"&amp;$B1292&amp;$C1292&amp;$D1292&amp;$E1292,".","_"),"(","_"),")","")</f>
        <v>vch703_5_1_3</v>
      </c>
      <c r="AQ1292" t="str">
        <f>IF(LEN(W1292)=0,"",W1292)</f>
        <v/>
      </c>
    </row>
    <row r="1293" spans="1:45" x14ac:dyDescent="0.35">
      <c r="A1293" s="366">
        <v>7</v>
      </c>
      <c r="B1293" s="738" t="s">
        <v>950</v>
      </c>
      <c r="C1293" s="735"/>
      <c r="D1293" s="731"/>
      <c r="E1293" s="731"/>
      <c r="F1293" s="731"/>
      <c r="G1293" s="366" t="str">
        <f ca="1">IF(N1293&gt;0,"P","")</f>
        <v/>
      </c>
      <c r="H1293" s="366" t="s">
        <v>3970</v>
      </c>
      <c r="I1293" s="32" t="s">
        <v>950</v>
      </c>
      <c r="J1293" s="90"/>
      <c r="K1293" s="90"/>
      <c r="L1293" s="919" t="s">
        <v>951</v>
      </c>
      <c r="M1293" s="845">
        <f>IFERROR(INDEX({23,17,9,7,5,4,2,2},BF886),0)</f>
        <v>0</v>
      </c>
      <c r="N1293" s="834">
        <f ca="1">'Ch7'!O423</f>
        <v>0</v>
      </c>
      <c r="O1293" s="834">
        <f ca="1">M1293*S1293*W1293</f>
        <v>0</v>
      </c>
      <c r="P1293" t="b">
        <v>1</v>
      </c>
      <c r="Q1293" t="b">
        <v>1</v>
      </c>
      <c r="R1293" t="b">
        <v>0</v>
      </c>
      <c r="S1293" t="b">
        <f ca="1">(S883=2)</f>
        <v>0</v>
      </c>
      <c r="T1293" t="b">
        <f ca="1">AND(NOT(S1293),W1293=TRUE)</f>
        <v>0</v>
      </c>
      <c r="W1293" s="17"/>
      <c r="X1293" s="817"/>
      <c r="Y1293" s="1100" t="str">
        <f>IF(LEN('Ch7'!X423)=0,"None",'Ch7'!X423)</f>
        <v>None</v>
      </c>
      <c r="Z1293" s="1102"/>
      <c r="AC1293" t="b">
        <f ca="1">OR(AD1293:AE1293)</f>
        <v>0</v>
      </c>
      <c r="AD1293" t="b">
        <f ca="1">T1293</f>
        <v>0</v>
      </c>
      <c r="AL1293" t="str">
        <f>SUBSTITUTE(SUBSTITUTE(SUBSTITUTE("vpa"&amp;$B1293&amp;$C1293&amp;$D1293&amp;$E1293,".","_"),"(","_"),")","")</f>
        <v>vpa703_5_2</v>
      </c>
      <c r="AM1293">
        <f>M1293</f>
        <v>0</v>
      </c>
      <c r="AN1293" t="str">
        <f>SUBSTITUTE(SUBSTITUTE(SUBSTITUTE("vpc"&amp;$B1293&amp;$C1293&amp;$D1293&amp;$E1293,".","_"),"(","_"),")","")</f>
        <v>vpc703_5_2</v>
      </c>
      <c r="AO1293">
        <f ca="1">O1293</f>
        <v>0</v>
      </c>
      <c r="AP1293" t="str">
        <f>SUBSTITUTE(SUBSTITUTE(SUBSTITUTE("vch"&amp;$B1293&amp;$C1293&amp;$D1293&amp;$E1293,".","_"),"(","_"),")","")</f>
        <v>vch703_5_2</v>
      </c>
      <c r="AQ1293" t="str">
        <f>IF(LEN(W1293)=0,"",W1293)</f>
        <v/>
      </c>
      <c r="AR1293" t="str">
        <f>SUBSTITUTE(SUBSTITUTE(SUBSTITUTE("vnt"&amp;$B1293&amp;$C1293&amp;$D1293&amp;$E1293,".","_"),"(","_"),")","")</f>
        <v>vnt703_5_2</v>
      </c>
      <c r="AS1293" t="str">
        <f>IF(LEN(X1293)=0,"",X1293)</f>
        <v/>
      </c>
    </row>
    <row r="1294" spans="1:45" x14ac:dyDescent="0.35">
      <c r="A1294" s="366">
        <v>7</v>
      </c>
      <c r="B1294" s="738" t="s">
        <v>950</v>
      </c>
      <c r="C1294" s="735"/>
      <c r="D1294" s="731"/>
      <c r="E1294" s="731"/>
      <c r="F1294" s="731"/>
      <c r="G1294" s="366" t="str">
        <f ca="1">G1293</f>
        <v/>
      </c>
      <c r="H1294" s="366" t="s">
        <v>3970</v>
      </c>
      <c r="I1294" s="331"/>
      <c r="J1294" s="228"/>
      <c r="K1294" s="228"/>
      <c r="L1294" s="920"/>
      <c r="M1294" s="846"/>
      <c r="N1294" s="835"/>
      <c r="O1294" s="835"/>
      <c r="P1294" s="104"/>
      <c r="Q1294" s="104"/>
      <c r="R1294" s="104"/>
      <c r="S1294" s="104"/>
      <c r="T1294" s="104"/>
      <c r="U1294" s="104"/>
      <c r="V1294" s="104"/>
      <c r="W1294" s="335"/>
      <c r="X1294" s="817"/>
      <c r="Y1294" s="1100"/>
      <c r="Z1294" s="1102"/>
    </row>
    <row r="1295" spans="1:45" x14ac:dyDescent="0.35">
      <c r="A1295" s="366">
        <v>7</v>
      </c>
      <c r="B1295" s="738" t="s">
        <v>952</v>
      </c>
      <c r="C1295" s="735"/>
      <c r="D1295" s="731"/>
      <c r="E1295" s="731"/>
      <c r="F1295" s="731"/>
      <c r="G1295" s="366" t="str">
        <f ca="1">IF(N1295&gt;0,"P","")</f>
        <v/>
      </c>
      <c r="H1295" s="366" t="s">
        <v>3970</v>
      </c>
      <c r="I1295" s="32" t="s">
        <v>952</v>
      </c>
      <c r="J1295" s="90"/>
      <c r="K1295" s="90"/>
      <c r="L1295" s="95" t="s">
        <v>953</v>
      </c>
      <c r="M1295" s="272">
        <v>2</v>
      </c>
      <c r="N1295" s="41">
        <f ca="1">'Ch7'!O425</f>
        <v>0</v>
      </c>
      <c r="O1295" s="41">
        <f ca="1">M1295*S1295*W1295</f>
        <v>0</v>
      </c>
      <c r="P1295" t="b">
        <v>1</v>
      </c>
      <c r="Q1295" t="b">
        <v>1</v>
      </c>
      <c r="R1295" t="b">
        <v>0</v>
      </c>
      <c r="S1295" t="b">
        <f ca="1">(S883=2)</f>
        <v>0</v>
      </c>
      <c r="T1295" t="b">
        <f ca="1">AND(NOT(S1295),W1295=TRUE)</f>
        <v>0</v>
      </c>
      <c r="W1295" s="17"/>
      <c r="X1295" s="817"/>
      <c r="Y1295" s="1100" t="str">
        <f>IF(LEN('Ch7'!X425)=0,"None",'Ch7'!X425)</f>
        <v>None</v>
      </c>
      <c r="Z1295" s="1102"/>
      <c r="AC1295" t="b">
        <f ca="1">OR(AD1295:AE1295)</f>
        <v>0</v>
      </c>
      <c r="AD1295" t="b">
        <f ca="1">T1295</f>
        <v>0</v>
      </c>
      <c r="AL1295" t="str">
        <f>SUBSTITUTE(SUBSTITUTE(SUBSTITUTE("vpa"&amp;$B1295&amp;$C1295&amp;$D1295&amp;$E1295,".","_"),"(","_"),")","")</f>
        <v>vpa703_5_3</v>
      </c>
      <c r="AM1295">
        <f>M1295</f>
        <v>2</v>
      </c>
      <c r="AN1295" t="str">
        <f>SUBSTITUTE(SUBSTITUTE(SUBSTITUTE("vpc"&amp;$B1295&amp;$C1295&amp;$D1295&amp;$E1295,".","_"),"(","_"),")","")</f>
        <v>vpc703_5_3</v>
      </c>
      <c r="AO1295">
        <f ca="1">O1295</f>
        <v>0</v>
      </c>
      <c r="AP1295" t="str">
        <f>SUBSTITUTE(SUBSTITUTE(SUBSTITUTE("vch"&amp;$B1295&amp;$C1295&amp;$D1295&amp;$E1295,".","_"),"(","_"),")","")</f>
        <v>vch703_5_3</v>
      </c>
      <c r="AQ1295" t="str">
        <f>IF(LEN(W1295)=0,"",W1295)</f>
        <v/>
      </c>
      <c r="AR1295" t="str">
        <f>SUBSTITUTE(SUBSTITUTE(SUBSTITUTE("vnt"&amp;$B1295&amp;$C1295&amp;$D1295&amp;$E1295,".","_"),"(","_"),")","")</f>
        <v>vnt703_5_3</v>
      </c>
      <c r="AS1295" t="str">
        <f>IF(LEN(X1295)=0,"",X1295)</f>
        <v/>
      </c>
    </row>
    <row r="1296" spans="1:45" x14ac:dyDescent="0.35">
      <c r="A1296" s="366">
        <v>7</v>
      </c>
      <c r="B1296" s="738" t="s">
        <v>952</v>
      </c>
      <c r="C1296" s="735"/>
      <c r="D1296" s="731"/>
      <c r="E1296" s="731"/>
      <c r="F1296" s="731"/>
      <c r="G1296" s="366" t="str">
        <f ca="1">G1295</f>
        <v/>
      </c>
      <c r="H1296" s="366" t="s">
        <v>3970</v>
      </c>
      <c r="I1296" s="104"/>
      <c r="J1296" s="228"/>
      <c r="K1296" s="228"/>
      <c r="L1296" s="142" t="s">
        <v>930</v>
      </c>
      <c r="M1296" s="268"/>
      <c r="N1296" s="546"/>
      <c r="O1296" s="546"/>
      <c r="X1296" s="817"/>
      <c r="Y1296" s="1100"/>
      <c r="Z1296" s="1102"/>
    </row>
    <row r="1297" spans="1:45" ht="15" customHeight="1" x14ac:dyDescent="0.35">
      <c r="A1297" s="366">
        <v>7</v>
      </c>
      <c r="B1297" s="738" t="s">
        <v>3633</v>
      </c>
      <c r="C1297" s="735"/>
      <c r="D1297" s="731"/>
      <c r="E1297" s="731"/>
      <c r="F1297" s="731"/>
      <c r="G1297" s="366" t="str">
        <f ca="1">IF(N1297&gt;0,"P","")</f>
        <v/>
      </c>
      <c r="H1297" s="366" t="s">
        <v>3970</v>
      </c>
      <c r="I1297" s="331" t="s">
        <v>3633</v>
      </c>
      <c r="J1297" s="228"/>
      <c r="K1297" s="228"/>
      <c r="L1297" s="329" t="s">
        <v>954</v>
      </c>
      <c r="M1297" s="303">
        <v>1</v>
      </c>
      <c r="N1297" s="546">
        <f ca="1">'Ch7'!O427</f>
        <v>0</v>
      </c>
      <c r="O1297" s="546">
        <f ca="1">M1297*S1297*W1297</f>
        <v>0</v>
      </c>
      <c r="P1297" t="b">
        <v>1</v>
      </c>
      <c r="Q1297" t="b">
        <v>1</v>
      </c>
      <c r="R1297" s="104" t="b">
        <v>0</v>
      </c>
      <c r="S1297" s="104" t="b">
        <f ca="1">AND(S883=2,OR(AY905=INDEX(ddHeat1,2),AY906=INDEX(ddHeat2,2),AY907=INDEX(ddHeat3,2)))</f>
        <v>0</v>
      </c>
      <c r="T1297" s="104" t="b">
        <f ca="1">AND(NOT(S1297),W1297=TRUE)</f>
        <v>0</v>
      </c>
      <c r="U1297" s="104"/>
      <c r="V1297" s="104"/>
      <c r="W1297" s="17"/>
      <c r="X1297" s="36"/>
      <c r="Y1297" s="396" t="str">
        <f>IF(LEN('Ch7'!X427)=0,"None",'Ch7'!X427)</f>
        <v>None</v>
      </c>
      <c r="Z1297" s="652"/>
      <c r="AC1297" t="b">
        <f ca="1">OR(AD1297:AE1297)</f>
        <v>0</v>
      </c>
      <c r="AD1297" t="b">
        <f ca="1">T1297</f>
        <v>0</v>
      </c>
      <c r="AL1297" t="str">
        <f>SUBSTITUTE(SUBSTITUTE(SUBSTITUTE("vpa"&amp;$B1297&amp;$C1297&amp;$D1297&amp;$E1297,".","_"),"(","_"),")","")</f>
        <v>vpa703_5_4</v>
      </c>
      <c r="AM1297">
        <f>M1297</f>
        <v>1</v>
      </c>
      <c r="AN1297" t="str">
        <f>SUBSTITUTE(SUBSTITUTE(SUBSTITUTE("vpc"&amp;$B1297&amp;$C1297&amp;$D1297&amp;$E1297,".","_"),"(","_"),")","")</f>
        <v>vpc703_5_4</v>
      </c>
      <c r="AO1297">
        <f ca="1">O1297</f>
        <v>0</v>
      </c>
      <c r="AP1297" t="str">
        <f>SUBSTITUTE(SUBSTITUTE(SUBSTITUTE("vch"&amp;$B1297&amp;$C1297&amp;$D1297&amp;$E1297,".","_"),"(","_"),")","")</f>
        <v>vch703_5_4</v>
      </c>
      <c r="AQ1297" t="str">
        <f>IF(LEN(W1297)=0,"",W1297)</f>
        <v/>
      </c>
      <c r="AR1297" t="str">
        <f>SUBSTITUTE(SUBSTITUTE(SUBSTITUTE("vnt"&amp;$B1297&amp;$C1297&amp;$D1297&amp;$E1297,".","_"),"(","_"),")","")</f>
        <v>vnt703_5_4</v>
      </c>
      <c r="AS1297" t="str">
        <f>IF(LEN(X1297)=0,"",X1297)</f>
        <v/>
      </c>
    </row>
    <row r="1298" spans="1:45" ht="15" customHeight="1" x14ac:dyDescent="0.35">
      <c r="A1298" s="366">
        <v>7</v>
      </c>
      <c r="B1298" s="738" t="s">
        <v>955</v>
      </c>
      <c r="C1298" s="735"/>
      <c r="D1298" s="731"/>
      <c r="E1298" s="731"/>
      <c r="F1298" s="731"/>
      <c r="G1298" s="727" t="str">
        <f ca="1">IF(COUNTIF(G1301:G1308,"P")&gt;0,"P","")</f>
        <v/>
      </c>
      <c r="H1298" s="366" t="s">
        <v>3970</v>
      </c>
      <c r="I1298" s="330" t="s">
        <v>955</v>
      </c>
      <c r="J1298" s="286"/>
      <c r="K1298" s="286"/>
      <c r="L1298" s="881" t="s">
        <v>4313</v>
      </c>
      <c r="M1298" s="282"/>
      <c r="N1298" s="963"/>
      <c r="W1298" t="s">
        <v>3635</v>
      </c>
      <c r="X1298" s="817"/>
      <c r="Y1298" s="1119" t="str">
        <f>IF(LEN('Ch7'!X428)=0,"None",'Ch7'!X428)</f>
        <v>None</v>
      </c>
      <c r="Z1298" s="1105"/>
      <c r="AR1298" t="str">
        <f>SUBSTITUTE(SUBSTITUTE(SUBSTITUTE("vnt"&amp;$B1298&amp;$C1298&amp;$D1298&amp;$E1298,".","_"),"(","_"),")","")</f>
        <v>vnt703_5_5</v>
      </c>
      <c r="AS1298" t="str">
        <f>IF(LEN(X1298)=0,"",X1298)</f>
        <v/>
      </c>
    </row>
    <row r="1299" spans="1:45" x14ac:dyDescent="0.35">
      <c r="A1299" s="366">
        <v>7</v>
      </c>
      <c r="B1299" s="738" t="s">
        <v>955</v>
      </c>
      <c r="C1299" s="735"/>
      <c r="D1299" s="731"/>
      <c r="E1299" s="731"/>
      <c r="F1299" s="731"/>
      <c r="G1299" s="366" t="str">
        <f t="shared" ref="G1299:G1314" ca="1" si="81">G1298</f>
        <v/>
      </c>
      <c r="H1299" s="366" t="s">
        <v>3970</v>
      </c>
      <c r="I1299" s="4"/>
      <c r="J1299" s="90"/>
      <c r="K1299" s="90"/>
      <c r="L1299" s="881"/>
      <c r="M1299" s="40"/>
      <c r="N1299" s="834"/>
      <c r="P1299" t="b">
        <v>1</v>
      </c>
      <c r="Q1299" t="b">
        <v>1</v>
      </c>
      <c r="R1299" t="b">
        <v>0</v>
      </c>
      <c r="S1299" t="b">
        <f ca="1">AND(S883=2,LEN(W1245)=0,LEN(W1247)=0)</f>
        <v>0</v>
      </c>
      <c r="T1299" t="b">
        <f ca="1">AND(NOT(S1299),LEN(W1299)&gt;0)</f>
        <v>0</v>
      </c>
      <c r="U1299" t="str">
        <f>SUBSTITUTE(SUBSTITUTE(SUBSTITUTE("dd"&amp;B1299&amp;C1299&amp;D1299&amp;E1299&amp;F1299,".","_"),"(","_"),")","")</f>
        <v>dd703_5_5</v>
      </c>
      <c r="W1299" s="9"/>
      <c r="X1299" s="817"/>
      <c r="Y1299" s="1120"/>
      <c r="Z1299" s="1109"/>
      <c r="AC1299" t="b">
        <f ca="1">OR(AD1299:AE1299)</f>
        <v>0</v>
      </c>
      <c r="AD1299" t="b">
        <f ca="1">T1299</f>
        <v>0</v>
      </c>
      <c r="AP1299" t="str">
        <f>SUBSTITUTE(SUBSTITUTE(SUBSTITUTE("vch"&amp;$B1299&amp;$C1299&amp;$D1299&amp;$E1299,".","_"),"(","_"),")","")</f>
        <v>vch703_5_5</v>
      </c>
      <c r="AQ1299" t="str">
        <f>IF(LEN(W1299)=0,"",W1299)</f>
        <v/>
      </c>
    </row>
    <row r="1300" spans="1:45" x14ac:dyDescent="0.35">
      <c r="A1300" s="366">
        <v>7</v>
      </c>
      <c r="B1300" s="738" t="s">
        <v>955</v>
      </c>
      <c r="C1300" s="735"/>
      <c r="D1300" s="731"/>
      <c r="E1300" s="731"/>
      <c r="F1300" s="731"/>
      <c r="G1300" s="366" t="str">
        <f t="shared" ca="1" si="81"/>
        <v/>
      </c>
      <c r="H1300" s="366" t="s">
        <v>3970</v>
      </c>
      <c r="I1300" s="4"/>
      <c r="J1300" s="90"/>
      <c r="K1300" s="90"/>
      <c r="L1300" s="881"/>
      <c r="M1300" s="40"/>
      <c r="N1300" s="834"/>
      <c r="W1300" t="s">
        <v>3632</v>
      </c>
      <c r="X1300" s="817"/>
      <c r="Y1300" s="1120"/>
      <c r="Z1300" s="1109"/>
    </row>
    <row r="1301" spans="1:45" x14ac:dyDescent="0.35">
      <c r="A1301" s="366">
        <v>7</v>
      </c>
      <c r="B1301" s="738" t="s">
        <v>955</v>
      </c>
      <c r="C1301" s="738" t="s">
        <v>121</v>
      </c>
      <c r="D1301" s="731"/>
      <c r="E1301" s="731"/>
      <c r="F1301" s="731"/>
      <c r="G1301" s="366" t="str">
        <f ca="1">IF(N1301&gt;0,"P","")</f>
        <v/>
      </c>
      <c r="H1301" s="366" t="s">
        <v>3970</v>
      </c>
      <c r="I1301" s="4"/>
      <c r="J1301" s="90"/>
      <c r="K1301" s="402" t="s">
        <v>121</v>
      </c>
      <c r="L1301" s="825" t="s">
        <v>4311</v>
      </c>
      <c r="M1301" s="40"/>
      <c r="N1301" s="834">
        <f ca="1">'Ch7'!O431</f>
        <v>0</v>
      </c>
      <c r="O1301" s="834">
        <f ca="1">IFERROR(INDEX(M1303:M1307,MATCH(W1301,{1.3,1.51,1.81,2.31,3.01},1)),0)*S1302</f>
        <v>0</v>
      </c>
      <c r="P1301" t="b">
        <v>1</v>
      </c>
      <c r="Q1301" t="b">
        <v>1</v>
      </c>
      <c r="R1301" t="b">
        <v>0</v>
      </c>
      <c r="S1301" t="b">
        <f ca="1">AND(S883=2,LEN(W1245)=0,LEN(W1247)=0)</f>
        <v>0</v>
      </c>
      <c r="T1301" t="b">
        <f ca="1">AND(NOT(S1301),LEN(W1301)&gt;0)</f>
        <v>0</v>
      </c>
      <c r="W1301" s="241"/>
      <c r="X1301" s="817"/>
      <c r="Y1301" s="1120"/>
      <c r="Z1301" s="1109"/>
      <c r="AC1301" t="b">
        <f ca="1">OR(AD1301:AE1301)</f>
        <v>0</v>
      </c>
      <c r="AD1301" t="b">
        <f ca="1">T1301</f>
        <v>0</v>
      </c>
      <c r="AN1301" t="str">
        <f>SUBSTITUTE(SUBSTITUTE(SUBSTITUTE("vpc"&amp;$B1301&amp;$C1301&amp;$D1301&amp;$E1301,".","_"),"(","_"),")","")</f>
        <v>vpc703_5_5_a</v>
      </c>
      <c r="AO1301">
        <f ca="1">O1301</f>
        <v>0</v>
      </c>
      <c r="AP1301" t="str">
        <f>SUBSTITUTE(SUBSTITUTE(SUBSTITUTE("vch"&amp;$B1301&amp;$C1301&amp;$D1301&amp;$E1301,".","_"),"(","_"),")","")</f>
        <v>vch703_5_5_a</v>
      </c>
      <c r="AQ1301" t="str">
        <f>IF(LEN(W1301)=0,"",W1301)</f>
        <v/>
      </c>
    </row>
    <row r="1302" spans="1:45" x14ac:dyDescent="0.35">
      <c r="A1302" s="366">
        <v>7</v>
      </c>
      <c r="B1302" s="738" t="s">
        <v>955</v>
      </c>
      <c r="C1302" s="738" t="s">
        <v>121</v>
      </c>
      <c r="D1302" s="731"/>
      <c r="E1302" s="731"/>
      <c r="F1302" s="731"/>
      <c r="G1302" s="366" t="str">
        <f t="shared" ca="1" si="81"/>
        <v/>
      </c>
      <c r="H1302" s="366" t="s">
        <v>3970</v>
      </c>
      <c r="I1302" s="4"/>
      <c r="J1302" s="90"/>
      <c r="K1302" s="402"/>
      <c r="L1302" s="825"/>
      <c r="M1302" s="40"/>
      <c r="N1302" s="834"/>
      <c r="O1302" s="834"/>
      <c r="S1302" s="1" t="b">
        <f ca="1">W1299=INDEX(INDIRECT(U1299),1)</f>
        <v>0</v>
      </c>
      <c r="X1302" s="817"/>
      <c r="Y1302" s="1120"/>
      <c r="Z1302" s="1109"/>
    </row>
    <row r="1303" spans="1:45" x14ac:dyDescent="0.35">
      <c r="A1303" s="366">
        <v>7</v>
      </c>
      <c r="B1303" s="738" t="s">
        <v>955</v>
      </c>
      <c r="C1303" s="738" t="s">
        <v>121</v>
      </c>
      <c r="D1303" s="731" t="s">
        <v>256</v>
      </c>
      <c r="E1303" s="731"/>
      <c r="F1303" s="731"/>
      <c r="G1303" s="366" t="str">
        <f t="shared" ca="1" si="81"/>
        <v/>
      </c>
      <c r="H1303" s="366" t="s">
        <v>3970</v>
      </c>
      <c r="I1303" s="4"/>
      <c r="K1303" s="31"/>
      <c r="L1303" s="477" t="s">
        <v>3636</v>
      </c>
      <c r="M1303" s="303">
        <f>IFERROR(INDEX({1,2,3,5,6,7,6,6},BF886),0)</f>
        <v>0</v>
      </c>
      <c r="N1303" s="41"/>
      <c r="O1303" s="41"/>
      <c r="X1303" s="817"/>
      <c r="Y1303" s="1120"/>
      <c r="Z1303" s="1109"/>
      <c r="AL1303" t="str">
        <f>SUBSTITUTE(SUBSTITUTE(SUBSTITUTE("vpa"&amp;$B1303&amp;$C1303&amp;$D1303&amp;$E1303,".","_"),"(","_"),")","")</f>
        <v>vpa703_5_5_a_1</v>
      </c>
      <c r="AM1303">
        <f>M1303</f>
        <v>0</v>
      </c>
    </row>
    <row r="1304" spans="1:45" x14ac:dyDescent="0.35">
      <c r="A1304" s="366">
        <v>7</v>
      </c>
      <c r="B1304" s="738" t="s">
        <v>955</v>
      </c>
      <c r="C1304" s="738" t="s">
        <v>121</v>
      </c>
      <c r="D1304" s="731" t="s">
        <v>258</v>
      </c>
      <c r="E1304" s="731"/>
      <c r="F1304" s="731"/>
      <c r="G1304" s="366" t="str">
        <f t="shared" ca="1" si="81"/>
        <v/>
      </c>
      <c r="H1304" s="366" t="s">
        <v>3970</v>
      </c>
      <c r="I1304" s="4"/>
      <c r="K1304" s="31"/>
      <c r="L1304" s="478" t="s">
        <v>3637</v>
      </c>
      <c r="M1304" s="347">
        <f>IFERROR(INDEX({2,2,4,6,9,10,10,10},BF886),0)</f>
        <v>0</v>
      </c>
      <c r="N1304" s="41"/>
      <c r="O1304" s="41"/>
      <c r="X1304" s="817"/>
      <c r="Y1304" s="1120"/>
      <c r="Z1304" s="1109"/>
      <c r="AL1304" t="str">
        <f>SUBSTITUTE(SUBSTITUTE(SUBSTITUTE("vpa"&amp;$B1304&amp;$C1304&amp;$D1304&amp;$E1304,".","_"),"(","_"),")","")</f>
        <v>vpa703_5_5_a_2</v>
      </c>
      <c r="AM1304">
        <f>M1304</f>
        <v>0</v>
      </c>
    </row>
    <row r="1305" spans="1:45" x14ac:dyDescent="0.35">
      <c r="A1305" s="366">
        <v>7</v>
      </c>
      <c r="B1305" s="738" t="s">
        <v>955</v>
      </c>
      <c r="C1305" s="738" t="s">
        <v>121</v>
      </c>
      <c r="D1305" s="731" t="s">
        <v>260</v>
      </c>
      <c r="E1305" s="731"/>
      <c r="F1305" s="731"/>
      <c r="G1305" s="366" t="str">
        <f t="shared" ca="1" si="81"/>
        <v/>
      </c>
      <c r="H1305" s="366" t="s">
        <v>3970</v>
      </c>
      <c r="I1305" s="4"/>
      <c r="K1305" s="45"/>
      <c r="L1305" s="478" t="s">
        <v>3638</v>
      </c>
      <c r="M1305" s="347">
        <f>IFERROR(INDEX({2,3,5,9,13,14,14,14},BF886),0)</f>
        <v>0</v>
      </c>
      <c r="N1305" s="41"/>
      <c r="O1305" s="41"/>
      <c r="X1305" s="817"/>
      <c r="Y1305" s="1120"/>
      <c r="Z1305" s="1109"/>
      <c r="AL1305" t="str">
        <f>SUBSTITUTE(SUBSTITUTE(SUBSTITUTE("vpa"&amp;$B1305&amp;$C1305&amp;$D1305&amp;$E1305,".","_"),"(","_"),")","")</f>
        <v>vpa703_5_5_a_3</v>
      </c>
      <c r="AM1305">
        <f>M1305</f>
        <v>0</v>
      </c>
    </row>
    <row r="1306" spans="1:45" x14ac:dyDescent="0.35">
      <c r="A1306" s="366">
        <v>7</v>
      </c>
      <c r="B1306" s="738" t="s">
        <v>955</v>
      </c>
      <c r="C1306" s="738" t="s">
        <v>121</v>
      </c>
      <c r="D1306" s="731" t="s">
        <v>269</v>
      </c>
      <c r="E1306" s="731"/>
      <c r="F1306" s="731"/>
      <c r="G1306" s="366" t="str">
        <f t="shared" ca="1" si="81"/>
        <v/>
      </c>
      <c r="H1306" s="366" t="s">
        <v>3970</v>
      </c>
      <c r="I1306" s="4"/>
      <c r="K1306" s="45"/>
      <c r="L1306" s="478" t="s">
        <v>3639</v>
      </c>
      <c r="M1306" s="347">
        <f>IFERROR(INDEX({4,5,8,14,19,21,20,20},BF886),0)</f>
        <v>0</v>
      </c>
      <c r="N1306" s="41"/>
      <c r="O1306" s="41"/>
      <c r="X1306" s="817"/>
      <c r="Y1306" s="1120"/>
      <c r="Z1306" s="1109"/>
      <c r="AL1306" t="str">
        <f>SUBSTITUTE(SUBSTITUTE(SUBSTITUTE("vpa"&amp;$B1306&amp;$C1306&amp;$D1306&amp;$E1306,".","_"),"(","_"),")","")</f>
        <v>vpa703_5_5_a_4</v>
      </c>
      <c r="AM1306">
        <f>M1306</f>
        <v>0</v>
      </c>
    </row>
    <row r="1307" spans="1:45" x14ac:dyDescent="0.35">
      <c r="A1307" s="366">
        <v>7</v>
      </c>
      <c r="B1307" s="738" t="s">
        <v>955</v>
      </c>
      <c r="C1307" s="738" t="s">
        <v>121</v>
      </c>
      <c r="D1307" s="731" t="s">
        <v>275</v>
      </c>
      <c r="E1307" s="731"/>
      <c r="F1307" s="731"/>
      <c r="G1307" s="366" t="str">
        <f t="shared" ca="1" si="81"/>
        <v/>
      </c>
      <c r="H1307" s="366" t="s">
        <v>3970</v>
      </c>
      <c r="I1307" s="4"/>
      <c r="K1307" s="139"/>
      <c r="L1307" s="477" t="s">
        <v>3640</v>
      </c>
      <c r="M1307" s="303">
        <f>IFERROR(INDEX({6,8,12,23,30,34,33,33},BF886),0)</f>
        <v>0</v>
      </c>
      <c r="N1307" s="546"/>
      <c r="O1307" s="546"/>
      <c r="X1307" s="817"/>
      <c r="Y1307" s="1120"/>
      <c r="Z1307" s="1109"/>
      <c r="AL1307" t="str">
        <f>SUBSTITUTE(SUBSTITUTE(SUBSTITUTE("vpa"&amp;$B1307&amp;$C1307&amp;$D1307&amp;$E1307,".","_"),"(","_"),")","")</f>
        <v>vpa703_5_5_a_5</v>
      </c>
      <c r="AM1307">
        <f>M1307</f>
        <v>0</v>
      </c>
    </row>
    <row r="1308" spans="1:45" x14ac:dyDescent="0.35">
      <c r="A1308" s="366">
        <v>7</v>
      </c>
      <c r="B1308" s="738" t="s">
        <v>955</v>
      </c>
      <c r="C1308" s="738" t="s">
        <v>122</v>
      </c>
      <c r="D1308" s="731"/>
      <c r="E1308" s="731"/>
      <c r="F1308" s="731"/>
      <c r="G1308" s="366" t="str">
        <f ca="1">IF(N1308&gt;0,"P","")</f>
        <v/>
      </c>
      <c r="H1308" s="366" t="s">
        <v>3970</v>
      </c>
      <c r="I1308" s="4"/>
      <c r="K1308" s="402" t="s">
        <v>122</v>
      </c>
      <c r="L1308" s="825" t="s">
        <v>4312</v>
      </c>
      <c r="M1308" s="463"/>
      <c r="N1308" s="834">
        <f ca="1">'Ch7'!O438</f>
        <v>0</v>
      </c>
      <c r="O1308" s="834">
        <f ca="1">IFERROR(INDEX(M1310:M1314,MATCH(W1301,{1.3,1.51,1.81,2.31,3.01},1)),0)*S1308</f>
        <v>0</v>
      </c>
      <c r="S1308" s="1" t="b">
        <f ca="1">W1299=INDEX(INDIRECT(U1299),2)</f>
        <v>0</v>
      </c>
      <c r="X1308" s="817"/>
      <c r="Y1308" s="1120"/>
      <c r="Z1308" s="1109"/>
      <c r="AN1308" t="str">
        <f>SUBSTITUTE(SUBSTITUTE(SUBSTITUTE("vpc"&amp;$B1308&amp;$C1308&amp;$D1308&amp;$E1308,".","_"),"(","_"),")","")</f>
        <v>vpc703_5_5_b</v>
      </c>
      <c r="AO1308">
        <f ca="1">O1308</f>
        <v>0</v>
      </c>
    </row>
    <row r="1309" spans="1:45" x14ac:dyDescent="0.35">
      <c r="A1309" s="366">
        <v>7</v>
      </c>
      <c r="B1309" s="738" t="s">
        <v>955</v>
      </c>
      <c r="C1309" s="738" t="s">
        <v>122</v>
      </c>
      <c r="D1309" s="731"/>
      <c r="E1309" s="731"/>
      <c r="F1309" s="731"/>
      <c r="G1309" s="366" t="str">
        <f t="shared" ca="1" si="81"/>
        <v/>
      </c>
      <c r="H1309" s="366" t="s">
        <v>3970</v>
      </c>
      <c r="I1309" s="4"/>
      <c r="K1309" s="43"/>
      <c r="L1309" s="825"/>
      <c r="M1309" s="463"/>
      <c r="N1309" s="834"/>
      <c r="O1309" s="834"/>
      <c r="X1309" s="817"/>
      <c r="Y1309" s="1120"/>
      <c r="Z1309" s="1109"/>
    </row>
    <row r="1310" spans="1:45" x14ac:dyDescent="0.35">
      <c r="A1310" s="366">
        <v>7</v>
      </c>
      <c r="B1310" s="738" t="s">
        <v>955</v>
      </c>
      <c r="C1310" s="738" t="s">
        <v>122</v>
      </c>
      <c r="D1310" s="731" t="s">
        <v>256</v>
      </c>
      <c r="E1310" s="731"/>
      <c r="F1310" s="731"/>
      <c r="G1310" s="366" t="str">
        <f t="shared" ca="1" si="81"/>
        <v/>
      </c>
      <c r="H1310" s="366" t="s">
        <v>3970</v>
      </c>
      <c r="I1310" s="4"/>
      <c r="K1310" s="43"/>
      <c r="L1310" s="477" t="s">
        <v>3636</v>
      </c>
      <c r="M1310" s="303">
        <f>IFERROR(INDEX({1,2,3,5,7,8,7,7},BF886),0)</f>
        <v>0</v>
      </c>
      <c r="O1310" s="41"/>
      <c r="X1310" s="817"/>
      <c r="Y1310" s="1120"/>
      <c r="Z1310" s="1109"/>
      <c r="AL1310" t="str">
        <f>SUBSTITUTE(SUBSTITUTE(SUBSTITUTE("vpa"&amp;$B1310&amp;$C1310&amp;$D1310&amp;$E1310,".","_"),"(","_"),")","")</f>
        <v>vpa703_5_5_b_1</v>
      </c>
      <c r="AM1310">
        <f>M1310</f>
        <v>0</v>
      </c>
    </row>
    <row r="1311" spans="1:45" x14ac:dyDescent="0.35">
      <c r="A1311" s="366">
        <v>7</v>
      </c>
      <c r="B1311" s="738" t="s">
        <v>955</v>
      </c>
      <c r="C1311" s="738" t="s">
        <v>122</v>
      </c>
      <c r="D1311" s="731" t="s">
        <v>258</v>
      </c>
      <c r="E1311" s="731"/>
      <c r="F1311" s="731"/>
      <c r="G1311" s="366" t="str">
        <f t="shared" ca="1" si="81"/>
        <v/>
      </c>
      <c r="H1311" s="366" t="s">
        <v>3970</v>
      </c>
      <c r="I1311" s="4"/>
      <c r="K1311" s="467"/>
      <c r="L1311" s="478" t="s">
        <v>3637</v>
      </c>
      <c r="M1311" s="347">
        <f>IFERROR(INDEX({2,2,4,7,10,11,11,11},BF886),0)</f>
        <v>0</v>
      </c>
      <c r="O1311" s="41"/>
      <c r="X1311" s="817"/>
      <c r="Y1311" s="1120"/>
      <c r="Z1311" s="1109"/>
      <c r="AL1311" t="str">
        <f>SUBSTITUTE(SUBSTITUTE(SUBSTITUTE("vpa"&amp;$B1311&amp;$C1311&amp;$D1311&amp;$E1311,".","_"),"(","_"),")","")</f>
        <v>vpa703_5_5_b_2</v>
      </c>
      <c r="AM1311">
        <f>M1311</f>
        <v>0</v>
      </c>
    </row>
    <row r="1312" spans="1:45" x14ac:dyDescent="0.35">
      <c r="A1312" s="366">
        <v>7</v>
      </c>
      <c r="B1312" s="738" t="s">
        <v>955</v>
      </c>
      <c r="C1312" s="738" t="s">
        <v>122</v>
      </c>
      <c r="D1312" s="731" t="s">
        <v>260</v>
      </c>
      <c r="E1312" s="731"/>
      <c r="F1312" s="731"/>
      <c r="G1312" s="366" t="str">
        <f t="shared" ca="1" si="81"/>
        <v/>
      </c>
      <c r="H1312" s="366" t="s">
        <v>3970</v>
      </c>
      <c r="I1312" s="4"/>
      <c r="K1312" s="467"/>
      <c r="L1312" s="478" t="s">
        <v>3638</v>
      </c>
      <c r="M1312" s="347">
        <f>IFERROR(INDEX({2,3,6,10,14,16,15,15},BF886),0)</f>
        <v>0</v>
      </c>
      <c r="O1312" s="41"/>
      <c r="X1312" s="817"/>
      <c r="Y1312" s="1120"/>
      <c r="Z1312" s="1109"/>
      <c r="AL1312" t="str">
        <f>SUBSTITUTE(SUBSTITUTE(SUBSTITUTE("vpa"&amp;$B1312&amp;$C1312&amp;$D1312&amp;$E1312,".","_"),"(","_"),")","")</f>
        <v>vpa703_5_5_b_3</v>
      </c>
      <c r="AM1312">
        <f>M1312</f>
        <v>0</v>
      </c>
    </row>
    <row r="1313" spans="1:45" x14ac:dyDescent="0.35">
      <c r="A1313" s="366">
        <v>7</v>
      </c>
      <c r="B1313" s="738" t="s">
        <v>955</v>
      </c>
      <c r="C1313" s="738" t="s">
        <v>122</v>
      </c>
      <c r="D1313" s="731" t="s">
        <v>269</v>
      </c>
      <c r="E1313" s="731"/>
      <c r="F1313" s="731"/>
      <c r="G1313" s="366" t="str">
        <f t="shared" ca="1" si="81"/>
        <v/>
      </c>
      <c r="H1313" s="366" t="s">
        <v>3970</v>
      </c>
      <c r="I1313" s="4"/>
      <c r="K1313" s="467"/>
      <c r="L1313" s="478" t="s">
        <v>3639</v>
      </c>
      <c r="M1313" s="347">
        <f>IFERROR(INDEX({4,5,9,16,21,23,22,22},BF886),0)</f>
        <v>0</v>
      </c>
      <c r="O1313" s="41"/>
      <c r="X1313" s="817"/>
      <c r="Y1313" s="1120"/>
      <c r="Z1313" s="1109"/>
      <c r="AL1313" t="str">
        <f>SUBSTITUTE(SUBSTITUTE(SUBSTITUTE("vpa"&amp;$B1313&amp;$C1313&amp;$D1313&amp;$E1313,".","_"),"(","_"),")","")</f>
        <v>vpa703_5_5_b_4</v>
      </c>
      <c r="AM1313">
        <f>M1313</f>
        <v>0</v>
      </c>
    </row>
    <row r="1314" spans="1:45" ht="15" thickBot="1" x14ac:dyDescent="0.4">
      <c r="A1314" s="366">
        <v>7</v>
      </c>
      <c r="B1314" s="738" t="s">
        <v>955</v>
      </c>
      <c r="C1314" s="738" t="s">
        <v>122</v>
      </c>
      <c r="D1314" s="731" t="s">
        <v>275</v>
      </c>
      <c r="E1314" s="731"/>
      <c r="F1314" s="731"/>
      <c r="G1314" s="366" t="str">
        <f t="shared" ca="1" si="81"/>
        <v/>
      </c>
      <c r="H1314" s="366" t="s">
        <v>3970</v>
      </c>
      <c r="I1314" s="160"/>
      <c r="J1314" s="55"/>
      <c r="K1314" s="473"/>
      <c r="L1314" s="474" t="s">
        <v>3640</v>
      </c>
      <c r="M1314" s="490">
        <f>IFERROR(INDEX({6,8,12,23,30,34,33,33},BF886),0)</f>
        <v>0</v>
      </c>
      <c r="N1314" s="55"/>
      <c r="O1314" s="72"/>
      <c r="P1314" s="55"/>
      <c r="Q1314" s="55"/>
      <c r="R1314" s="55"/>
      <c r="S1314" s="55"/>
      <c r="T1314" s="55"/>
      <c r="U1314" s="55"/>
      <c r="V1314" s="55"/>
      <c r="W1314" s="55"/>
      <c r="X1314" s="829"/>
      <c r="Y1314" s="1121"/>
      <c r="Z1314" s="1108"/>
      <c r="AL1314" t="str">
        <f>SUBSTITUTE(SUBSTITUTE(SUBSTITUTE("vpa"&amp;$B1314&amp;$C1314&amp;$D1314&amp;$E1314,".","_"),"(","_"),")","")</f>
        <v>vpa703_5_5_b_5</v>
      </c>
      <c r="AM1314">
        <f>M1314</f>
        <v>0</v>
      </c>
    </row>
    <row r="1315" spans="1:45" ht="15" thickTop="1" x14ac:dyDescent="0.35">
      <c r="A1315" s="366">
        <v>7</v>
      </c>
      <c r="B1315" s="738">
        <v>703.6</v>
      </c>
      <c r="C1315" s="735"/>
      <c r="D1315" s="731"/>
      <c r="E1315" s="731"/>
      <c r="F1315" s="731"/>
      <c r="G1315" s="727" t="str">
        <f ca="1">IF(COUNTIF(G1318:G1327,"P")&gt;0,"P","")</f>
        <v>P</v>
      </c>
      <c r="H1315" s="366" t="s">
        <v>3972</v>
      </c>
      <c r="I1315" s="30">
        <v>703.6</v>
      </c>
      <c r="J1315" s="90"/>
      <c r="K1315" s="90"/>
      <c r="L1315" s="95" t="s">
        <v>956</v>
      </c>
      <c r="M1315" s="40"/>
      <c r="N1315" s="41"/>
      <c r="O1315" s="41"/>
    </row>
    <row r="1316" spans="1:45" x14ac:dyDescent="0.35">
      <c r="A1316" s="366">
        <v>7</v>
      </c>
      <c r="B1316" s="738" t="s">
        <v>957</v>
      </c>
      <c r="C1316" s="735"/>
      <c r="D1316" s="731"/>
      <c r="E1316" s="731"/>
      <c r="F1316" s="731"/>
      <c r="G1316" s="727" t="str">
        <f ca="1">IF(COUNTIF(G1318:G1322,"P")&gt;0,"P","")</f>
        <v/>
      </c>
      <c r="H1316" s="366" t="s">
        <v>3972</v>
      </c>
      <c r="I1316" s="30" t="s">
        <v>957</v>
      </c>
      <c r="J1316" s="90"/>
      <c r="K1316" s="90"/>
      <c r="L1316" s="919" t="s">
        <v>958</v>
      </c>
      <c r="M1316" s="40"/>
      <c r="N1316" s="41"/>
      <c r="O1316" s="41"/>
    </row>
    <row r="1317" spans="1:45" x14ac:dyDescent="0.35">
      <c r="A1317" s="366">
        <v>7</v>
      </c>
      <c r="B1317" s="738" t="s">
        <v>957</v>
      </c>
      <c r="C1317" s="735"/>
      <c r="D1317" s="731"/>
      <c r="E1317" s="731"/>
      <c r="F1317" s="731"/>
      <c r="G1317" s="366" t="str">
        <f ca="1">G1316</f>
        <v/>
      </c>
      <c r="H1317" s="366" t="s">
        <v>3972</v>
      </c>
      <c r="I1317" s="30"/>
      <c r="J1317" s="90"/>
      <c r="K1317" s="90"/>
      <c r="L1317" s="919"/>
      <c r="M1317" s="40"/>
      <c r="N1317" s="41"/>
      <c r="O1317" s="41"/>
    </row>
    <row r="1318" spans="1:45" ht="15" customHeight="1" x14ac:dyDescent="0.35">
      <c r="A1318" s="366">
        <v>7</v>
      </c>
      <c r="B1318" s="738" t="s">
        <v>957</v>
      </c>
      <c r="C1318" s="731" t="s">
        <v>256</v>
      </c>
      <c r="D1318" s="731"/>
      <c r="E1318" s="731"/>
      <c r="F1318" s="731"/>
      <c r="G1318" s="366" t="str">
        <f ca="1">IF(N1318&gt;0,"P","")</f>
        <v/>
      </c>
      <c r="H1318" s="366" t="s">
        <v>3972</v>
      </c>
      <c r="I1318" s="4"/>
      <c r="J1318" s="152" t="s">
        <v>256</v>
      </c>
      <c r="K1318" s="90"/>
      <c r="L1318" s="825" t="s">
        <v>5232</v>
      </c>
      <c r="M1318" s="818">
        <f>IFERROR(INDEX({3,3,3,2,2,2,2,2},BF886),0)</f>
        <v>0</v>
      </c>
      <c r="N1318" s="834">
        <f ca="1">'Ch7'!O448</f>
        <v>0</v>
      </c>
      <c r="O1318" s="834">
        <f ca="1">M1318*S1318*W1318</f>
        <v>0</v>
      </c>
      <c r="P1318" t="b">
        <v>0</v>
      </c>
      <c r="Q1318" t="b">
        <v>1</v>
      </c>
      <c r="R1318" t="b">
        <v>0</v>
      </c>
      <c r="S1318" t="b">
        <f ca="1">AND(S883=2,NOT(W1322),NOT(W1320))</f>
        <v>0</v>
      </c>
      <c r="T1318" t="b">
        <f ca="1">AND(NOT(S1318),W1318=TRUE)</f>
        <v>0</v>
      </c>
      <c r="W1318" s="17"/>
      <c r="X1318" s="817"/>
      <c r="Y1318" s="1100" t="str">
        <f>IF(LEN('Ch7'!X448)=0,"None",'Ch7'!X448)</f>
        <v>None</v>
      </c>
      <c r="Z1318" s="1102"/>
      <c r="AC1318" t="b">
        <f ca="1">OR(AD1318:AE1318)</f>
        <v>0</v>
      </c>
      <c r="AD1318" t="b">
        <f ca="1">T1318</f>
        <v>0</v>
      </c>
      <c r="AL1318" t="str">
        <f>SUBSTITUTE(SUBSTITUTE(SUBSTITUTE("vpa"&amp;$B1318&amp;$C1318&amp;$D1318&amp;$E1318,".","_"),"(","_"),")","")</f>
        <v>vpa703_6_1_1</v>
      </c>
      <c r="AM1318">
        <f>M1318</f>
        <v>0</v>
      </c>
      <c r="AN1318" t="str">
        <f>SUBSTITUTE(SUBSTITUTE(SUBSTITUTE("vpc"&amp;$B1318&amp;$C1318&amp;$D1318&amp;$E1318,".","_"),"(","_"),")","")</f>
        <v>vpc703_6_1_1</v>
      </c>
      <c r="AO1318">
        <f ca="1">O1318</f>
        <v>0</v>
      </c>
      <c r="AP1318" t="str">
        <f>SUBSTITUTE(SUBSTITUTE(SUBSTITUTE("vch"&amp;$B1318&amp;$C1318&amp;$D1318&amp;$E1318,".","_"),"(","_"),")","")</f>
        <v>vch703_6_1_1</v>
      </c>
      <c r="AQ1318" t="str">
        <f>IF(LEN(W1318)=0,"",W1318)</f>
        <v/>
      </c>
      <c r="AR1318" t="str">
        <f>SUBSTITUTE(SUBSTITUTE(SUBSTITUTE("vnt"&amp;$B1318&amp;$C1318&amp;$D1318&amp;$E1318,".","_"),"(","_"),")","")</f>
        <v>vnt703_6_1_1</v>
      </c>
      <c r="AS1318" t="str">
        <f>IF(LEN(X1318)=0,"",X1318)</f>
        <v/>
      </c>
    </row>
    <row r="1319" spans="1:45" x14ac:dyDescent="0.35">
      <c r="A1319" s="366">
        <v>7</v>
      </c>
      <c r="B1319" s="738" t="s">
        <v>957</v>
      </c>
      <c r="C1319" s="731" t="s">
        <v>256</v>
      </c>
      <c r="D1319" s="731"/>
      <c r="E1319" s="731"/>
      <c r="F1319" s="731"/>
      <c r="G1319" s="366" t="str">
        <f ca="1">G1318</f>
        <v/>
      </c>
      <c r="H1319" s="366" t="s">
        <v>3972</v>
      </c>
      <c r="I1319" s="4"/>
      <c r="J1319" s="326"/>
      <c r="K1319" s="228"/>
      <c r="L1319" s="842"/>
      <c r="M1319" s="819"/>
      <c r="N1319" s="835"/>
      <c r="O1319" s="835"/>
      <c r="X1319" s="817"/>
      <c r="Y1319" s="1100"/>
      <c r="Z1319" s="1102"/>
    </row>
    <row r="1320" spans="1:45" ht="15" customHeight="1" x14ac:dyDescent="0.35">
      <c r="A1320" s="366">
        <v>7</v>
      </c>
      <c r="B1320" s="738" t="s">
        <v>957</v>
      </c>
      <c r="C1320" s="731" t="s">
        <v>258</v>
      </c>
      <c r="D1320" s="731"/>
      <c r="E1320" s="731"/>
      <c r="F1320" s="731"/>
      <c r="G1320" s="366" t="str">
        <f ca="1">IF(N1320&gt;0,"P","")</f>
        <v/>
      </c>
      <c r="H1320" s="366" t="s">
        <v>3972</v>
      </c>
      <c r="I1320" s="4"/>
      <c r="J1320" s="343" t="s">
        <v>258</v>
      </c>
      <c r="K1320" s="286"/>
      <c r="L1320" s="825" t="s">
        <v>4314</v>
      </c>
      <c r="M1320" s="822">
        <v>1</v>
      </c>
      <c r="N1320" s="963">
        <f ca="1">'Ch7'!O450</f>
        <v>0</v>
      </c>
      <c r="O1320" s="963">
        <f ca="1">M1320*S1320*W1320</f>
        <v>0</v>
      </c>
      <c r="P1320" t="b">
        <v>0</v>
      </c>
      <c r="Q1320" t="b">
        <v>1</v>
      </c>
      <c r="R1320" t="b">
        <v>0</v>
      </c>
      <c r="S1320" t="b">
        <f ca="1">AND(S883=2,NOT(W1322),NOT(W1318))</f>
        <v>0</v>
      </c>
      <c r="T1320" t="b">
        <f ca="1">AND(NOT(S1320),W1320=TRUE)</f>
        <v>0</v>
      </c>
      <c r="W1320" s="17"/>
      <c r="X1320" s="817"/>
      <c r="Y1320" s="1100" t="str">
        <f>IF(LEN('Ch7'!X450)=0,"None",'Ch7'!X450)</f>
        <v>None</v>
      </c>
      <c r="Z1320" s="1102"/>
      <c r="AC1320" t="b">
        <f ca="1">OR(AD1320:AE1320)</f>
        <v>0</v>
      </c>
      <c r="AD1320" t="b">
        <f ca="1">T1320</f>
        <v>0</v>
      </c>
      <c r="AL1320" t="str">
        <f>SUBSTITUTE(SUBSTITUTE(SUBSTITUTE("vpa"&amp;$B1320&amp;$C1320&amp;$D1320&amp;$E1320,".","_"),"(","_"),")","")</f>
        <v>vpa703_6_1_2</v>
      </c>
      <c r="AM1320">
        <f>M1320</f>
        <v>1</v>
      </c>
      <c r="AN1320" t="str">
        <f>SUBSTITUTE(SUBSTITUTE(SUBSTITUTE("vpc"&amp;$B1320&amp;$C1320&amp;$D1320&amp;$E1320,".","_"),"(","_"),")","")</f>
        <v>vpc703_6_1_2</v>
      </c>
      <c r="AO1320">
        <f ca="1">O1320</f>
        <v>0</v>
      </c>
      <c r="AP1320" t="str">
        <f>SUBSTITUTE(SUBSTITUTE(SUBSTITUTE("vch"&amp;$B1320&amp;$C1320&amp;$D1320&amp;$E1320,".","_"),"(","_"),")","")</f>
        <v>vch703_6_1_2</v>
      </c>
      <c r="AQ1320" t="str">
        <f>IF(LEN(W1320)=0,"",W1320)</f>
        <v/>
      </c>
      <c r="AR1320" t="str">
        <f>SUBSTITUTE(SUBSTITUTE(SUBSTITUTE("vnt"&amp;$B1320&amp;$C1320&amp;$D1320&amp;$E1320,".","_"),"(","_"),")","")</f>
        <v>vnt703_6_1_2</v>
      </c>
      <c r="AS1320" t="str">
        <f>IF(LEN(X1320)=0,"",X1320)</f>
        <v/>
      </c>
    </row>
    <row r="1321" spans="1:45" x14ac:dyDescent="0.35">
      <c r="A1321" s="366">
        <v>7</v>
      </c>
      <c r="B1321" s="738" t="s">
        <v>957</v>
      </c>
      <c r="C1321" s="731" t="s">
        <v>258</v>
      </c>
      <c r="D1321" s="731"/>
      <c r="E1321" s="731"/>
      <c r="F1321" s="731"/>
      <c r="G1321" s="366" t="str">
        <f ca="1">G1320</f>
        <v/>
      </c>
      <c r="H1321" s="366" t="s">
        <v>3972</v>
      </c>
      <c r="I1321" s="4"/>
      <c r="J1321" s="228"/>
      <c r="K1321" s="228"/>
      <c r="L1321" s="842"/>
      <c r="M1321" s="819"/>
      <c r="N1321" s="835"/>
      <c r="O1321" s="835"/>
      <c r="X1321" s="817"/>
      <c r="Y1321" s="1100"/>
      <c r="Z1321" s="1102"/>
    </row>
    <row r="1322" spans="1:45" x14ac:dyDescent="0.35">
      <c r="A1322" s="366">
        <v>7</v>
      </c>
      <c r="B1322" s="738" t="s">
        <v>957</v>
      </c>
      <c r="C1322" s="731" t="s">
        <v>260</v>
      </c>
      <c r="D1322" s="731"/>
      <c r="E1322" s="731"/>
      <c r="F1322" s="731"/>
      <c r="G1322" s="366" t="str">
        <f ca="1">IF(N1322&gt;0,"P","")</f>
        <v/>
      </c>
      <c r="H1322" s="366" t="s">
        <v>3972</v>
      </c>
      <c r="I1322" s="4"/>
      <c r="J1322" s="152" t="s">
        <v>260</v>
      </c>
      <c r="K1322" s="90"/>
      <c r="L1322" s="814" t="s">
        <v>959</v>
      </c>
      <c r="M1322" s="818">
        <v>7</v>
      </c>
      <c r="N1322" s="834">
        <f ca="1">'Ch7'!O452</f>
        <v>0</v>
      </c>
      <c r="O1322" s="834">
        <f ca="1">M1322*S1322*W1322</f>
        <v>0</v>
      </c>
      <c r="P1322" t="b">
        <v>0</v>
      </c>
      <c r="Q1322" t="b">
        <v>1</v>
      </c>
      <c r="R1322" t="b">
        <v>0</v>
      </c>
      <c r="S1322" t="b">
        <f ca="1">AND(S883=2,IF(AY889=INDEX(ddSingleOrMulti,2),TRUE,FALSE),NOT(W1320),NOT(W1318))</f>
        <v>0</v>
      </c>
      <c r="T1322" t="b">
        <f ca="1">AND(NOT(S1322),W1322=TRUE)</f>
        <v>0</v>
      </c>
      <c r="W1322" s="17"/>
      <c r="X1322" s="817"/>
      <c r="Y1322" s="1100" t="str">
        <f>IF(LEN('Ch7'!X452)=0,"None",'Ch7'!X452)</f>
        <v>None</v>
      </c>
      <c r="Z1322" s="1102"/>
      <c r="AC1322" t="b">
        <f ca="1">OR(AD1322:AE1322)</f>
        <v>0</v>
      </c>
      <c r="AD1322" t="b">
        <f ca="1">T1322</f>
        <v>0</v>
      </c>
      <c r="AL1322" t="str">
        <f>SUBSTITUTE(SUBSTITUTE(SUBSTITUTE("vpa"&amp;$B1322&amp;$C1322&amp;$D1322&amp;$E1322,".","_"),"(","_"),")","")</f>
        <v>vpa703_6_1_3</v>
      </c>
      <c r="AM1322">
        <f>M1322</f>
        <v>7</v>
      </c>
      <c r="AN1322" t="str">
        <f>SUBSTITUTE(SUBSTITUTE(SUBSTITUTE("vpc"&amp;$B1322&amp;$C1322&amp;$D1322&amp;$E1322,".","_"),"(","_"),")","")</f>
        <v>vpc703_6_1_3</v>
      </c>
      <c r="AO1322">
        <f ca="1">O1322</f>
        <v>0</v>
      </c>
      <c r="AP1322" t="str">
        <f>SUBSTITUTE(SUBSTITUTE(SUBSTITUTE("vch"&amp;$B1322&amp;$C1322&amp;$D1322&amp;$E1322,".","_"),"(","_"),")","")</f>
        <v>vch703_6_1_3</v>
      </c>
      <c r="AQ1322" t="str">
        <f>IF(LEN(W1322)=0,"",W1322)</f>
        <v/>
      </c>
      <c r="AR1322" t="str">
        <f>SUBSTITUTE(SUBSTITUTE(SUBSTITUTE("vnt"&amp;$B1322&amp;$C1322&amp;$D1322&amp;$E1322,".","_"),"(","_"),")","")</f>
        <v>vnt703_6_1_3</v>
      </c>
      <c r="AS1322" t="str">
        <f>IF(LEN(X1322)=0,"",X1322)</f>
        <v/>
      </c>
    </row>
    <row r="1323" spans="1:45" x14ac:dyDescent="0.35">
      <c r="A1323" s="366">
        <v>7</v>
      </c>
      <c r="B1323" s="738" t="s">
        <v>957</v>
      </c>
      <c r="C1323" s="731" t="s">
        <v>260</v>
      </c>
      <c r="D1323" s="731"/>
      <c r="E1323" s="731"/>
      <c r="F1323" s="731"/>
      <c r="G1323" s="366" t="str">
        <f ca="1">G1322</f>
        <v/>
      </c>
      <c r="H1323" s="366" t="s">
        <v>3972</v>
      </c>
      <c r="I1323" s="133"/>
      <c r="J1323" s="228"/>
      <c r="K1323" s="228"/>
      <c r="L1323" s="815"/>
      <c r="M1323" s="819"/>
      <c r="N1323" s="835"/>
      <c r="O1323" s="835"/>
      <c r="P1323" s="104"/>
      <c r="Q1323" s="104"/>
      <c r="R1323" s="104"/>
      <c r="S1323" s="104"/>
      <c r="T1323" s="104"/>
      <c r="U1323" s="104"/>
      <c r="V1323" s="104"/>
      <c r="W1323" s="104"/>
      <c r="X1323" s="817"/>
      <c r="Y1323" s="1100"/>
      <c r="Z1323" s="1102"/>
    </row>
    <row r="1324" spans="1:45" x14ac:dyDescent="0.35">
      <c r="A1324" s="366">
        <v>7</v>
      </c>
      <c r="B1324" s="738" t="s">
        <v>960</v>
      </c>
      <c r="C1324" s="731"/>
      <c r="D1324" s="731"/>
      <c r="E1324" s="731"/>
      <c r="F1324" s="731"/>
      <c r="G1324" s="727" t="str">
        <f ca="1">IF(COUNTIF(G1325:G1327,"P")&gt;0,"P","")</f>
        <v>P</v>
      </c>
      <c r="H1324" s="366" t="s">
        <v>3972</v>
      </c>
      <c r="I1324" s="32" t="s">
        <v>960</v>
      </c>
      <c r="J1324" s="90"/>
      <c r="K1324" s="90"/>
      <c r="L1324" s="95" t="s">
        <v>961</v>
      </c>
      <c r="M1324" s="40"/>
      <c r="N1324" s="41"/>
      <c r="O1324" s="41"/>
    </row>
    <row r="1325" spans="1:45" x14ac:dyDescent="0.35">
      <c r="A1325" s="366">
        <v>7</v>
      </c>
      <c r="B1325" s="738" t="s">
        <v>960</v>
      </c>
      <c r="C1325" s="731" t="s">
        <v>256</v>
      </c>
      <c r="D1325" s="731"/>
      <c r="E1325" s="731"/>
      <c r="F1325" s="731"/>
      <c r="G1325" s="366" t="str">
        <f ca="1">IF(N1325&gt;0,"P","")</f>
        <v>P</v>
      </c>
      <c r="H1325" s="366" t="s">
        <v>3972</v>
      </c>
      <c r="I1325" s="4"/>
      <c r="J1325" s="326" t="s">
        <v>256</v>
      </c>
      <c r="K1325" s="228"/>
      <c r="L1325" s="346" t="s">
        <v>962</v>
      </c>
      <c r="M1325" s="268">
        <v>1</v>
      </c>
      <c r="N1325" s="546">
        <f ca="1">'Ch7'!O455</f>
        <v>1</v>
      </c>
      <c r="O1325" s="546">
        <f ca="1">M1325*S1325*W1325</f>
        <v>0</v>
      </c>
      <c r="P1325" t="b">
        <v>0</v>
      </c>
      <c r="Q1325" t="b">
        <v>1</v>
      </c>
      <c r="R1325" t="b">
        <v>0</v>
      </c>
      <c r="S1325" t="b">
        <f ca="1">(S883=2)</f>
        <v>0</v>
      </c>
      <c r="T1325" t="b">
        <f ca="1">AND(NOT(S1325),W1325=TRUE)</f>
        <v>0</v>
      </c>
      <c r="W1325" s="17"/>
      <c r="X1325" s="36"/>
      <c r="Y1325" s="396" t="str">
        <f>IF(LEN('Ch7'!X455)=0,"None",'Ch7'!X455)</f>
        <v>None</v>
      </c>
      <c r="Z1325" s="652"/>
      <c r="AC1325" t="b">
        <f ca="1">OR(AD1325:AE1325)</f>
        <v>0</v>
      </c>
      <c r="AD1325" t="b">
        <f ca="1">T1325</f>
        <v>0</v>
      </c>
      <c r="AL1325" t="str">
        <f>SUBSTITUTE(SUBSTITUTE(SUBSTITUTE("vpa"&amp;$B1325&amp;$C1325&amp;$D1325&amp;$E1325,".","_"),"(","_"),")","")</f>
        <v>vpa703_6_2 _1</v>
      </c>
      <c r="AM1325">
        <f>M1325</f>
        <v>1</v>
      </c>
      <c r="AN1325" t="str">
        <f>SUBSTITUTE(SUBSTITUTE(SUBSTITUTE("vpc"&amp;$B1325&amp;$C1325&amp;$D1325&amp;$E1325,".","_"),"(","_"),")","")</f>
        <v>vpc703_6_2 _1</v>
      </c>
      <c r="AO1325">
        <f ca="1">O1325</f>
        <v>0</v>
      </c>
      <c r="AP1325" t="str">
        <f>SUBSTITUTE(SUBSTITUTE(SUBSTITUTE("vch"&amp;$B1325&amp;$C1325&amp;$D1325&amp;$E1325,".","_"),"(","_"),")","")</f>
        <v>vch703_6_2 _1</v>
      </c>
      <c r="AQ1325" t="str">
        <f>IF(LEN(W1325)=0,"",W1325)</f>
        <v/>
      </c>
      <c r="AR1325" t="str">
        <f>SUBSTITUTE(SUBSTITUTE(SUBSTITUTE("vnt"&amp;$B1325&amp;$C1325&amp;$D1325&amp;$E1325,".","_"),"(","_"),")","")</f>
        <v>vnt703_6_2 _1</v>
      </c>
      <c r="AS1325" t="str">
        <f>IF(LEN(X1325)=0,"",X1325)</f>
        <v/>
      </c>
    </row>
    <row r="1326" spans="1:45" x14ac:dyDescent="0.35">
      <c r="A1326" s="366">
        <v>7</v>
      </c>
      <c r="B1326" s="738" t="s">
        <v>960</v>
      </c>
      <c r="C1326" s="731" t="s">
        <v>258</v>
      </c>
      <c r="D1326" s="731"/>
      <c r="E1326" s="731"/>
      <c r="F1326" s="731"/>
      <c r="G1326" s="366" t="str">
        <f ca="1">IF(N1326&gt;0,"P","")</f>
        <v>P</v>
      </c>
      <c r="H1326" s="366" t="s">
        <v>3972</v>
      </c>
      <c r="I1326" s="4"/>
      <c r="J1326" s="344" t="s">
        <v>258</v>
      </c>
      <c r="K1326" s="178"/>
      <c r="L1326" s="178" t="s">
        <v>963</v>
      </c>
      <c r="M1326" s="278">
        <v>1</v>
      </c>
      <c r="N1326" s="547">
        <f ca="1">'Ch7'!O456</f>
        <v>1</v>
      </c>
      <c r="O1326" s="547">
        <f ca="1">M1326*S1326*W1326</f>
        <v>0</v>
      </c>
      <c r="P1326" t="b">
        <v>0</v>
      </c>
      <c r="Q1326" t="b">
        <v>1</v>
      </c>
      <c r="R1326" t="b">
        <v>0</v>
      </c>
      <c r="S1326" t="b">
        <f ca="1">(S883=2)</f>
        <v>0</v>
      </c>
      <c r="T1326" t="b">
        <f ca="1">AND(NOT(S1326),W1326=TRUE)</f>
        <v>0</v>
      </c>
      <c r="W1326" s="17"/>
      <c r="X1326" s="36"/>
      <c r="Y1326" s="396" t="str">
        <f>IF(LEN('Ch7'!X456)=0,"None",'Ch7'!X456)</f>
        <v>None</v>
      </c>
      <c r="Z1326" s="652"/>
      <c r="AC1326" t="b">
        <f ca="1">OR(AD1326:AE1326)</f>
        <v>0</v>
      </c>
      <c r="AD1326" t="b">
        <f ca="1">T1326</f>
        <v>0</v>
      </c>
      <c r="AL1326" t="str">
        <f>SUBSTITUTE(SUBSTITUTE(SUBSTITUTE("vpa"&amp;$B1326&amp;$C1326&amp;$D1326&amp;$E1326,".","_"),"(","_"),")","")</f>
        <v>vpa703_6_2 _2</v>
      </c>
      <c r="AM1326">
        <f>M1326</f>
        <v>1</v>
      </c>
      <c r="AN1326" t="str">
        <f>SUBSTITUTE(SUBSTITUTE(SUBSTITUTE("vpc"&amp;$B1326&amp;$C1326&amp;$D1326&amp;$E1326,".","_"),"(","_"),")","")</f>
        <v>vpc703_6_2 _2</v>
      </c>
      <c r="AO1326">
        <f ca="1">O1326</f>
        <v>0</v>
      </c>
      <c r="AP1326" t="str">
        <f>SUBSTITUTE(SUBSTITUTE(SUBSTITUTE("vch"&amp;$B1326&amp;$C1326&amp;$D1326&amp;$E1326,".","_"),"(","_"),")","")</f>
        <v>vch703_6_2 _2</v>
      </c>
      <c r="AQ1326" t="str">
        <f>IF(LEN(W1326)=0,"",W1326)</f>
        <v/>
      </c>
      <c r="AR1326" t="str">
        <f>SUBSTITUTE(SUBSTITUTE(SUBSTITUTE("vnt"&amp;$B1326&amp;$C1326&amp;$D1326&amp;$E1326,".","_"),"(","_"),")","")</f>
        <v>vnt703_6_2 _2</v>
      </c>
      <c r="AS1326" t="str">
        <f>IF(LEN(X1326)=0,"",X1326)</f>
        <v/>
      </c>
    </row>
    <row r="1327" spans="1:45" x14ac:dyDescent="0.35">
      <c r="A1327" s="366">
        <v>7</v>
      </c>
      <c r="B1327" s="738" t="s">
        <v>960</v>
      </c>
      <c r="C1327" s="731" t="s">
        <v>260</v>
      </c>
      <c r="D1327" s="731"/>
      <c r="E1327" s="731"/>
      <c r="F1327" s="731"/>
      <c r="G1327" s="366" t="str">
        <f ca="1">IF(N1327&gt;0,"P","")</f>
        <v>P</v>
      </c>
      <c r="H1327" s="366" t="s">
        <v>3972</v>
      </c>
      <c r="I1327" s="4"/>
      <c r="J1327" s="152" t="s">
        <v>260</v>
      </c>
      <c r="K1327" s="90"/>
      <c r="L1327" s="90" t="s">
        <v>964</v>
      </c>
      <c r="M1327" s="40">
        <v>4</v>
      </c>
      <c r="N1327" s="41">
        <f ca="1">'Ch7'!O457</f>
        <v>4</v>
      </c>
      <c r="O1327" s="41">
        <f ca="1">M1327*S1327*W1327</f>
        <v>0</v>
      </c>
      <c r="P1327" t="b">
        <v>0</v>
      </c>
      <c r="Q1327" t="b">
        <v>1</v>
      </c>
      <c r="R1327" t="b">
        <v>0</v>
      </c>
      <c r="S1327" t="b">
        <f ca="1">(S883=2)</f>
        <v>0</v>
      </c>
      <c r="T1327" t="b">
        <f ca="1">AND(NOT(S1327),W1327=TRUE)</f>
        <v>0</v>
      </c>
      <c r="W1327" s="17"/>
      <c r="X1327" s="817"/>
      <c r="Y1327" s="1100" t="str">
        <f>IF(LEN('Ch7'!X457)=0,"None",'Ch7'!X457)</f>
        <v>None</v>
      </c>
      <c r="Z1327" s="1102"/>
      <c r="AC1327" t="b">
        <f ca="1">OR(AD1327:AE1327)</f>
        <v>0</v>
      </c>
      <c r="AD1327" t="b">
        <f ca="1">T1327</f>
        <v>0</v>
      </c>
      <c r="AL1327" t="str">
        <f>SUBSTITUTE(SUBSTITUTE(SUBSTITUTE("vpa"&amp;$B1327&amp;$C1327&amp;$D1327&amp;$E1327,".","_"),"(","_"),")","")</f>
        <v>vpa703_6_2 _3</v>
      </c>
      <c r="AM1327">
        <f>M1327</f>
        <v>4</v>
      </c>
      <c r="AN1327" t="str">
        <f>SUBSTITUTE(SUBSTITUTE(SUBSTITUTE("vpc"&amp;$B1327&amp;$C1327&amp;$D1327&amp;$E1327,".","_"),"(","_"),")","")</f>
        <v>vpc703_6_2 _3</v>
      </c>
      <c r="AO1327">
        <f ca="1">O1327</f>
        <v>0</v>
      </c>
      <c r="AP1327" t="str">
        <f>SUBSTITUTE(SUBSTITUTE(SUBSTITUTE("vch"&amp;$B1327&amp;$C1327&amp;$D1327&amp;$E1327,".","_"),"(","_"),")","")</f>
        <v>vch703_6_2 _3</v>
      </c>
      <c r="AQ1327" t="str">
        <f>IF(LEN(W1327)=0,"",W1327)</f>
        <v/>
      </c>
      <c r="AR1327" t="str">
        <f>SUBSTITUTE(SUBSTITUTE(SUBSTITUTE("vnt"&amp;$B1327&amp;$C1327&amp;$D1327&amp;$E1327,".","_"),"(","_"),")","")</f>
        <v>vnt703_6_2 _3</v>
      </c>
      <c r="AS1327" t="str">
        <f>IF(LEN(X1327)=0,"",X1327)</f>
        <v/>
      </c>
    </row>
    <row r="1328" spans="1:45" ht="15" thickBot="1" x14ac:dyDescent="0.4">
      <c r="A1328" s="366">
        <v>7</v>
      </c>
      <c r="B1328" s="738" t="s">
        <v>960</v>
      </c>
      <c r="C1328" s="731" t="s">
        <v>260</v>
      </c>
      <c r="D1328" s="731"/>
      <c r="E1328" s="731"/>
      <c r="F1328" s="731"/>
      <c r="G1328" s="366" t="str">
        <f ca="1">G1327</f>
        <v>P</v>
      </c>
      <c r="H1328" s="366" t="s">
        <v>3972</v>
      </c>
      <c r="I1328" s="160"/>
      <c r="J1328" s="315"/>
      <c r="K1328" s="229"/>
      <c r="L1328" s="180" t="s">
        <v>3626</v>
      </c>
      <c r="M1328" s="270"/>
      <c r="N1328" s="72"/>
      <c r="O1328" s="72"/>
      <c r="P1328" s="55"/>
      <c r="Q1328" s="55"/>
      <c r="R1328" s="55"/>
      <c r="S1328" s="55"/>
      <c r="T1328" s="55"/>
      <c r="U1328" s="55"/>
      <c r="V1328" s="55"/>
      <c r="W1328" s="55"/>
      <c r="X1328" s="829"/>
      <c r="Y1328" s="1101"/>
      <c r="Z1328" s="1104"/>
    </row>
    <row r="1329" spans="1:45" ht="15" thickTop="1" x14ac:dyDescent="0.35">
      <c r="A1329" s="366">
        <v>7</v>
      </c>
      <c r="B1329" s="738">
        <v>703.7</v>
      </c>
      <c r="C1329" s="735"/>
      <c r="D1329" s="731"/>
      <c r="E1329" s="731"/>
      <c r="F1329" s="731"/>
      <c r="G1329" s="727" t="str">
        <f ca="1">IF(COUNTIF(G1330:G1387,"P")&gt;0,"P","")</f>
        <v/>
      </c>
      <c r="H1329" s="366" t="s">
        <v>3970</v>
      </c>
      <c r="I1329" s="31">
        <v>703.7</v>
      </c>
      <c r="J1329" s="90"/>
      <c r="K1329" s="90"/>
      <c r="L1329" s="95" t="s">
        <v>965</v>
      </c>
      <c r="M1329" s="40"/>
      <c r="N1329" s="41"/>
      <c r="O1329" s="41"/>
    </row>
    <row r="1330" spans="1:45" x14ac:dyDescent="0.35">
      <c r="A1330" s="366">
        <v>7</v>
      </c>
      <c r="B1330" s="738" t="s">
        <v>966</v>
      </c>
      <c r="C1330" s="735"/>
      <c r="D1330" s="731"/>
      <c r="E1330" s="731"/>
      <c r="F1330" s="731"/>
      <c r="G1330" s="366" t="str">
        <f ca="1">IF(N1330&gt;0,"P","")</f>
        <v/>
      </c>
      <c r="H1330" s="366" t="s">
        <v>3970</v>
      </c>
      <c r="I1330" s="31" t="s">
        <v>966</v>
      </c>
      <c r="J1330" s="90"/>
      <c r="K1330" s="90"/>
      <c r="L1330" s="838" t="s">
        <v>967</v>
      </c>
      <c r="M1330" s="818">
        <v>4</v>
      </c>
      <c r="N1330" s="834">
        <f ca="1">'Ch7'!O460</f>
        <v>0</v>
      </c>
      <c r="O1330" s="834">
        <f ca="1">M1330*S1330*W1330</f>
        <v>0</v>
      </c>
      <c r="P1330" t="b">
        <v>1</v>
      </c>
      <c r="Q1330" t="b">
        <v>1</v>
      </c>
      <c r="R1330" t="b">
        <v>0</v>
      </c>
      <c r="S1330" t="b">
        <f ca="1">(S883=2)</f>
        <v>0</v>
      </c>
      <c r="T1330" t="b">
        <f ca="1">AND(NOT(S1330),W1330=TRUE)</f>
        <v>0</v>
      </c>
      <c r="W1330" s="17"/>
      <c r="AC1330" t="b">
        <f ca="1">OR(AD1330:AE1330)</f>
        <v>0</v>
      </c>
      <c r="AD1330" t="b">
        <f ca="1">T1330</f>
        <v>0</v>
      </c>
      <c r="AL1330" t="str">
        <f>SUBSTITUTE(SUBSTITUTE(SUBSTITUTE("vpa"&amp;$B1330&amp;$C1330&amp;$D1330&amp;$E1330,".","_"),"(","_"),")","")</f>
        <v>vpa703_7_1</v>
      </c>
      <c r="AM1330">
        <f>M1330</f>
        <v>4</v>
      </c>
      <c r="AN1330" t="str">
        <f>SUBSTITUTE(SUBSTITUTE(SUBSTITUTE("vpc"&amp;$B1330&amp;$C1330&amp;$D1330&amp;$E1330,".","_"),"(","_"),")","")</f>
        <v>vpc703_7_1</v>
      </c>
      <c r="AO1330">
        <f ca="1">O1330</f>
        <v>0</v>
      </c>
      <c r="AP1330" t="str">
        <f>SUBSTITUTE(SUBSTITUTE(SUBSTITUTE("vch"&amp;$B1330&amp;$C1330&amp;$D1330&amp;$E1330,".","_"),"(","_"),")","")</f>
        <v>vch703_7_1</v>
      </c>
      <c r="AQ1330" t="str">
        <f>IF(LEN(W1330)=0,"",W1330)</f>
        <v/>
      </c>
    </row>
    <row r="1331" spans="1:45" x14ac:dyDescent="0.35">
      <c r="A1331" s="366">
        <v>7</v>
      </c>
      <c r="B1331" s="738" t="s">
        <v>966</v>
      </c>
      <c r="C1331" s="735"/>
      <c r="D1331" s="731"/>
      <c r="E1331" s="731"/>
      <c r="F1331" s="731"/>
      <c r="G1331" s="366" t="str">
        <f t="shared" ref="G1331:G1356" ca="1" si="82">G1330</f>
        <v/>
      </c>
      <c r="H1331" s="366" t="s">
        <v>3970</v>
      </c>
      <c r="I1331" s="4"/>
      <c r="J1331" s="90"/>
      <c r="K1331" s="90"/>
      <c r="L1331" s="838"/>
      <c r="M1331" s="818"/>
      <c r="N1331" s="834"/>
      <c r="O1331" s="834"/>
    </row>
    <row r="1332" spans="1:45" x14ac:dyDescent="0.35">
      <c r="A1332" s="366">
        <v>7</v>
      </c>
      <c r="B1332" s="738" t="s">
        <v>966</v>
      </c>
      <c r="C1332" s="731" t="s">
        <v>256</v>
      </c>
      <c r="D1332" s="731"/>
      <c r="E1332" s="731"/>
      <c r="F1332" s="731"/>
      <c r="G1332" s="366" t="str">
        <f t="shared" ca="1" si="82"/>
        <v/>
      </c>
      <c r="H1332" s="366" t="s">
        <v>3970</v>
      </c>
      <c r="I1332" s="4"/>
      <c r="J1332" s="152" t="s">
        <v>256</v>
      </c>
      <c r="K1332" s="90"/>
      <c r="L1332" s="814" t="s">
        <v>968</v>
      </c>
      <c r="M1332" s="40"/>
      <c r="N1332" s="41"/>
      <c r="O1332" s="41"/>
      <c r="X1332" s="817"/>
      <c r="Y1332" s="1100" t="str">
        <f>IF(LEN('Ch7'!X462)=0,"None",'Ch7'!X462)</f>
        <v>None</v>
      </c>
      <c r="Z1332" s="1102"/>
      <c r="AR1332" t="str">
        <f>SUBSTITUTE(SUBSTITUTE(SUBSTITUTE("vnt"&amp;$B1332&amp;$C1332&amp;$D1332&amp;$E1332,".","_"),"(","_"),")","")</f>
        <v>vnt703_7_1_1</v>
      </c>
      <c r="AS1332" t="str">
        <f>IF(LEN(X1332)=0,"",X1332)</f>
        <v/>
      </c>
    </row>
    <row r="1333" spans="1:45" x14ac:dyDescent="0.35">
      <c r="A1333" s="366">
        <v>7</v>
      </c>
      <c r="B1333" s="738" t="s">
        <v>966</v>
      </c>
      <c r="C1333" s="731" t="s">
        <v>256</v>
      </c>
      <c r="D1333" s="731"/>
      <c r="E1333" s="731"/>
      <c r="F1333" s="731"/>
      <c r="G1333" s="366" t="str">
        <f t="shared" ca="1" si="82"/>
        <v/>
      </c>
      <c r="H1333" s="366" t="s">
        <v>3970</v>
      </c>
      <c r="I1333" s="4"/>
      <c r="J1333" s="326"/>
      <c r="K1333" s="228"/>
      <c r="L1333" s="815"/>
      <c r="M1333" s="40"/>
      <c r="N1333" s="41"/>
      <c r="O1333" s="41"/>
      <c r="X1333" s="817"/>
      <c r="Y1333" s="1100"/>
      <c r="Z1333" s="1102"/>
    </row>
    <row r="1334" spans="1:45" ht="15" customHeight="1" x14ac:dyDescent="0.35">
      <c r="A1334" s="366">
        <v>7</v>
      </c>
      <c r="B1334" s="738" t="s">
        <v>966</v>
      </c>
      <c r="C1334" s="731" t="s">
        <v>258</v>
      </c>
      <c r="D1334" s="731"/>
      <c r="E1334" s="731"/>
      <c r="F1334" s="731"/>
      <c r="G1334" s="366" t="str">
        <f t="shared" ca="1" si="82"/>
        <v/>
      </c>
      <c r="H1334" s="366" t="s">
        <v>3970</v>
      </c>
      <c r="I1334" s="4"/>
      <c r="J1334" s="343" t="s">
        <v>258</v>
      </c>
      <c r="K1334" s="286"/>
      <c r="L1334" s="828" t="s">
        <v>4315</v>
      </c>
      <c r="M1334" s="40"/>
      <c r="N1334" s="41"/>
      <c r="O1334" s="41"/>
      <c r="X1334" s="817"/>
      <c r="Y1334" s="1100" t="str">
        <f>IF(LEN('Ch7'!X464)=0,"None",'Ch7'!X464)</f>
        <v>None</v>
      </c>
      <c r="Z1334" s="1102"/>
      <c r="AR1334" t="str">
        <f>SUBSTITUTE(SUBSTITUTE(SUBSTITUTE("vnt"&amp;$B1334&amp;$C1334&amp;$D1334&amp;$E1334,".","_"),"(","_"),")","")</f>
        <v>vnt703_7_1_2</v>
      </c>
      <c r="AS1334" t="str">
        <f>IF(LEN(X1334)=0,"",X1334)</f>
        <v/>
      </c>
    </row>
    <row r="1335" spans="1:45" x14ac:dyDescent="0.35">
      <c r="A1335" s="366">
        <v>7</v>
      </c>
      <c r="B1335" s="738" t="s">
        <v>966</v>
      </c>
      <c r="C1335" s="731" t="s">
        <v>258</v>
      </c>
      <c r="D1335" s="731"/>
      <c r="E1335" s="731"/>
      <c r="F1335" s="731"/>
      <c r="G1335" s="366" t="str">
        <f t="shared" ca="1" si="82"/>
        <v/>
      </c>
      <c r="H1335" s="366" t="s">
        <v>3970</v>
      </c>
      <c r="I1335" s="4"/>
      <c r="J1335" s="326"/>
      <c r="K1335" s="228"/>
      <c r="L1335" s="842"/>
      <c r="M1335" s="40"/>
      <c r="N1335" s="41"/>
      <c r="O1335" s="41"/>
      <c r="X1335" s="817"/>
      <c r="Y1335" s="1100"/>
      <c r="Z1335" s="1102"/>
    </row>
    <row r="1336" spans="1:45" ht="15" customHeight="1" x14ac:dyDescent="0.35">
      <c r="A1336" s="366">
        <v>7</v>
      </c>
      <c r="B1336" s="738" t="s">
        <v>966</v>
      </c>
      <c r="C1336" s="731" t="s">
        <v>260</v>
      </c>
      <c r="D1336" s="731"/>
      <c r="E1336" s="731"/>
      <c r="F1336" s="731"/>
      <c r="G1336" s="366" t="str">
        <f t="shared" ca="1" si="82"/>
        <v/>
      </c>
      <c r="H1336" s="366" t="s">
        <v>3970</v>
      </c>
      <c r="I1336" s="4"/>
      <c r="J1336" s="343" t="s">
        <v>260</v>
      </c>
      <c r="K1336" s="286"/>
      <c r="L1336" s="825" t="s">
        <v>4316</v>
      </c>
      <c r="M1336" s="40"/>
      <c r="N1336" s="41"/>
      <c r="O1336" s="41"/>
      <c r="X1336" s="817"/>
      <c r="Y1336" s="1100" t="str">
        <f>IF(LEN('Ch7'!X466)=0,"None",'Ch7'!X466)</f>
        <v>None</v>
      </c>
      <c r="Z1336" s="1102"/>
      <c r="AR1336" t="str">
        <f>SUBSTITUTE(SUBSTITUTE(SUBSTITUTE("vnt"&amp;$B1336&amp;$C1336&amp;$D1336&amp;$E1336,".","_"),"(","_"),")","")</f>
        <v>vnt703_7_1_3</v>
      </c>
      <c r="AS1336" t="str">
        <f>IF(LEN(X1336)=0,"",X1336)</f>
        <v/>
      </c>
    </row>
    <row r="1337" spans="1:45" x14ac:dyDescent="0.35">
      <c r="A1337" s="366">
        <v>7</v>
      </c>
      <c r="B1337" s="738" t="s">
        <v>966</v>
      </c>
      <c r="C1337" s="731" t="s">
        <v>260</v>
      </c>
      <c r="D1337" s="731"/>
      <c r="E1337" s="731"/>
      <c r="F1337" s="731"/>
      <c r="G1337" s="366" t="str">
        <f t="shared" ca="1" si="82"/>
        <v/>
      </c>
      <c r="H1337" s="366" t="s">
        <v>3970</v>
      </c>
      <c r="I1337" s="4"/>
      <c r="J1337" s="228"/>
      <c r="K1337" s="228"/>
      <c r="L1337" s="842"/>
      <c r="M1337" s="40"/>
      <c r="N1337" s="41"/>
      <c r="O1337" s="41"/>
      <c r="X1337" s="817"/>
      <c r="Y1337" s="1100"/>
      <c r="Z1337" s="1102"/>
    </row>
    <row r="1338" spans="1:45" ht="15" customHeight="1" x14ac:dyDescent="0.35">
      <c r="A1338" s="366">
        <v>7</v>
      </c>
      <c r="B1338" s="738" t="s">
        <v>966</v>
      </c>
      <c r="C1338" s="731" t="s">
        <v>269</v>
      </c>
      <c r="D1338" s="731"/>
      <c r="E1338" s="731"/>
      <c r="F1338" s="731"/>
      <c r="G1338" s="366" t="str">
        <f t="shared" ca="1" si="82"/>
        <v/>
      </c>
      <c r="H1338" s="366" t="s">
        <v>3970</v>
      </c>
      <c r="I1338" s="4"/>
      <c r="J1338" s="343" t="s">
        <v>269</v>
      </c>
      <c r="K1338" s="286"/>
      <c r="L1338" s="825" t="s">
        <v>4317</v>
      </c>
      <c r="M1338" s="40"/>
      <c r="N1338" s="41"/>
      <c r="O1338" s="41"/>
      <c r="X1338" s="817"/>
      <c r="Y1338" s="1100" t="str">
        <f>IF(LEN('Ch7'!X468)=0,"None",'Ch7'!X468)</f>
        <v>None</v>
      </c>
      <c r="Z1338" s="1102"/>
      <c r="AR1338" t="str">
        <f>SUBSTITUTE(SUBSTITUTE(SUBSTITUTE("vnt"&amp;$B1338&amp;$C1338&amp;$D1338&amp;$E1338,".","_"),"(","_"),")","")</f>
        <v>vnt703_7_1_4</v>
      </c>
      <c r="AS1338" t="str">
        <f>IF(LEN(X1338)=0,"",X1338)</f>
        <v/>
      </c>
    </row>
    <row r="1339" spans="1:45" x14ac:dyDescent="0.35">
      <c r="A1339" s="366">
        <v>7</v>
      </c>
      <c r="B1339" s="738" t="s">
        <v>966</v>
      </c>
      <c r="C1339" s="731" t="s">
        <v>269</v>
      </c>
      <c r="D1339" s="731"/>
      <c r="E1339" s="731"/>
      <c r="F1339" s="731"/>
      <c r="G1339" s="366" t="str">
        <f t="shared" ca="1" si="82"/>
        <v/>
      </c>
      <c r="H1339" s="366" t="s">
        <v>3970</v>
      </c>
      <c r="I1339" s="4"/>
      <c r="J1339" s="228"/>
      <c r="K1339" s="228"/>
      <c r="L1339" s="842"/>
      <c r="M1339" s="40"/>
      <c r="N1339" s="41"/>
      <c r="O1339" s="41"/>
      <c r="X1339" s="817"/>
      <c r="Y1339" s="1100"/>
      <c r="Z1339" s="1102"/>
    </row>
    <row r="1340" spans="1:45" ht="15" customHeight="1" x14ac:dyDescent="0.35">
      <c r="A1340" s="366">
        <v>7</v>
      </c>
      <c r="B1340" s="738" t="s">
        <v>966</v>
      </c>
      <c r="C1340" s="731" t="s">
        <v>275</v>
      </c>
      <c r="D1340" s="731"/>
      <c r="E1340" s="731"/>
      <c r="F1340" s="731"/>
      <c r="G1340" s="366" t="str">
        <f t="shared" ca="1" si="82"/>
        <v/>
      </c>
      <c r="H1340" s="366" t="s">
        <v>3970</v>
      </c>
      <c r="I1340" s="4"/>
      <c r="J1340" s="343" t="s">
        <v>275</v>
      </c>
      <c r="K1340" s="286"/>
      <c r="L1340" s="825" t="s">
        <v>4318</v>
      </c>
      <c r="M1340" s="40"/>
      <c r="N1340" s="41"/>
      <c r="O1340" s="41"/>
      <c r="X1340" s="817"/>
      <c r="Y1340" s="1100" t="str">
        <f>IF(LEN('Ch7'!X470)=0,"None",'Ch7'!X470)</f>
        <v>None</v>
      </c>
      <c r="Z1340" s="1102"/>
      <c r="AR1340" t="str">
        <f>SUBSTITUTE(SUBSTITUTE(SUBSTITUTE("vnt"&amp;$B1340&amp;$C1340&amp;$D1340&amp;$E1340,".","_"),"(","_"),")","")</f>
        <v>vnt703_7_1_5</v>
      </c>
      <c r="AS1340" t="str">
        <f>IF(LEN(X1340)=0,"",X1340)</f>
        <v/>
      </c>
    </row>
    <row r="1341" spans="1:45" x14ac:dyDescent="0.35">
      <c r="A1341" s="366">
        <v>7</v>
      </c>
      <c r="B1341" s="738" t="s">
        <v>966</v>
      </c>
      <c r="C1341" s="731" t="s">
        <v>275</v>
      </c>
      <c r="D1341" s="731"/>
      <c r="E1341" s="731"/>
      <c r="F1341" s="731"/>
      <c r="G1341" s="366" t="str">
        <f t="shared" ca="1" si="82"/>
        <v/>
      </c>
      <c r="H1341" s="366" t="s">
        <v>3970</v>
      </c>
      <c r="I1341" s="4"/>
      <c r="J1341" s="228"/>
      <c r="K1341" s="228"/>
      <c r="L1341" s="842"/>
      <c r="M1341" s="40"/>
      <c r="N1341" s="41"/>
      <c r="O1341" s="41"/>
      <c r="X1341" s="817"/>
      <c r="Y1341" s="1100"/>
      <c r="Z1341" s="1102"/>
    </row>
    <row r="1342" spans="1:45" x14ac:dyDescent="0.35">
      <c r="A1342" s="366">
        <v>7</v>
      </c>
      <c r="B1342" s="738" t="s">
        <v>966</v>
      </c>
      <c r="C1342" s="731" t="s">
        <v>277</v>
      </c>
      <c r="D1342" s="731"/>
      <c r="E1342" s="731"/>
      <c r="F1342" s="731"/>
      <c r="G1342" s="366" t="str">
        <f t="shared" ca="1" si="82"/>
        <v/>
      </c>
      <c r="H1342" s="366" t="s">
        <v>3970</v>
      </c>
      <c r="I1342" s="4"/>
      <c r="J1342" s="152" t="s">
        <v>277</v>
      </c>
      <c r="K1342" s="90"/>
      <c r="L1342" s="90" t="s">
        <v>969</v>
      </c>
      <c r="M1342" s="40"/>
      <c r="N1342" s="41"/>
      <c r="O1342" s="41"/>
    </row>
    <row r="1343" spans="1:45" x14ac:dyDescent="0.35">
      <c r="A1343" s="366">
        <v>7</v>
      </c>
      <c r="B1343" s="738" t="s">
        <v>966</v>
      </c>
      <c r="C1343" s="731" t="s">
        <v>277</v>
      </c>
      <c r="D1343" s="731" t="s">
        <v>121</v>
      </c>
      <c r="E1343" s="731"/>
      <c r="F1343" s="731"/>
      <c r="G1343" s="366" t="str">
        <f t="shared" ca="1" si="82"/>
        <v/>
      </c>
      <c r="H1343" s="732" t="s">
        <v>3970</v>
      </c>
      <c r="I1343" s="4"/>
      <c r="J1343" s="90"/>
      <c r="K1343" s="152" t="s">
        <v>121</v>
      </c>
      <c r="L1343" s="90" t="s">
        <v>4319</v>
      </c>
      <c r="M1343" s="40"/>
      <c r="N1343" s="41"/>
      <c r="O1343" s="41"/>
      <c r="X1343" s="36"/>
      <c r="Y1343" s="396" t="str">
        <f>IF(LEN('Ch7'!X473)=0,"None",'Ch7'!X473)</f>
        <v>None</v>
      </c>
      <c r="Z1343" s="652"/>
      <c r="AR1343" t="str">
        <f>SUBSTITUTE(SUBSTITUTE(SUBSTITUTE("vnt"&amp;$B1343&amp;$C1343&amp;$D1343&amp;$E1343,".","_"),"(","_"),")","")</f>
        <v>vnt703_7_1_6_a</v>
      </c>
      <c r="AS1343" t="str">
        <f>IF(LEN(X1343)=0,"",X1343)</f>
        <v/>
      </c>
    </row>
    <row r="1344" spans="1:45" x14ac:dyDescent="0.35">
      <c r="A1344" s="366">
        <v>7</v>
      </c>
      <c r="B1344" s="738" t="s">
        <v>966</v>
      </c>
      <c r="C1344" s="731" t="s">
        <v>277</v>
      </c>
      <c r="D1344" s="731" t="s">
        <v>122</v>
      </c>
      <c r="E1344" s="731"/>
      <c r="F1344" s="731"/>
      <c r="G1344" s="366" t="str">
        <f t="shared" ca="1" si="82"/>
        <v/>
      </c>
      <c r="H1344" s="732" t="s">
        <v>3970</v>
      </c>
      <c r="I1344" s="4"/>
      <c r="J1344" s="90"/>
      <c r="K1344" s="152" t="s">
        <v>122</v>
      </c>
      <c r="L1344" s="90" t="s">
        <v>970</v>
      </c>
      <c r="M1344" s="40"/>
      <c r="N1344" s="41"/>
      <c r="O1344" s="41"/>
      <c r="X1344" s="36"/>
      <c r="Y1344" s="396" t="str">
        <f>IF(LEN('Ch7'!X474)=0,"None",'Ch7'!X474)</f>
        <v>None</v>
      </c>
      <c r="Z1344" s="652"/>
      <c r="AR1344" t="str">
        <f>SUBSTITUTE(SUBSTITUTE(SUBSTITUTE("vnt"&amp;$B1344&amp;$C1344&amp;$D1344&amp;$E1344,".","_"),"(","_"),")","")</f>
        <v>vnt703_7_1_6_b</v>
      </c>
      <c r="AS1344" t="str">
        <f>IF(LEN(X1344)=0,"",X1344)</f>
        <v/>
      </c>
    </row>
    <row r="1345" spans="1:45" x14ac:dyDescent="0.35">
      <c r="A1345" s="366">
        <v>7</v>
      </c>
      <c r="B1345" s="738" t="s">
        <v>966</v>
      </c>
      <c r="C1345" s="731" t="s">
        <v>277</v>
      </c>
      <c r="D1345" s="733" t="s">
        <v>123</v>
      </c>
      <c r="E1345" s="733"/>
      <c r="F1345" s="733"/>
      <c r="G1345" s="366" t="str">
        <f t="shared" ca="1" si="82"/>
        <v/>
      </c>
      <c r="H1345" s="734" t="s">
        <v>3970</v>
      </c>
      <c r="I1345" s="4"/>
      <c r="J1345" s="90"/>
      <c r="K1345" s="153" t="s">
        <v>123</v>
      </c>
      <c r="L1345" s="814" t="s">
        <v>971</v>
      </c>
      <c r="M1345" s="40"/>
      <c r="N1345" s="41"/>
      <c r="O1345" s="41"/>
      <c r="X1345" s="817"/>
      <c r="Y1345" s="1100" t="str">
        <f>IF(LEN('Ch7'!X475)=0,"None",'Ch7'!X475)</f>
        <v>None</v>
      </c>
      <c r="Z1345" s="1102"/>
      <c r="AR1345" t="str">
        <f>SUBSTITUTE(SUBSTITUTE(SUBSTITUTE("vnt"&amp;$B1345&amp;$C1345&amp;$D1345&amp;$E1345,".","_"),"(","_"),")","")</f>
        <v>vnt703_7_1_6_c</v>
      </c>
      <c r="AS1345" t="str">
        <f>IF(LEN(X1345)=0,"",X1345)</f>
        <v/>
      </c>
    </row>
    <row r="1346" spans="1:45" x14ac:dyDescent="0.35">
      <c r="A1346" s="366">
        <v>7</v>
      </c>
      <c r="B1346" s="738" t="s">
        <v>966</v>
      </c>
      <c r="C1346" s="731" t="s">
        <v>277</v>
      </c>
      <c r="D1346" s="733" t="s">
        <v>123</v>
      </c>
      <c r="E1346" s="731"/>
      <c r="F1346" s="731"/>
      <c r="G1346" s="366" t="str">
        <f t="shared" ca="1" si="82"/>
        <v/>
      </c>
      <c r="H1346" s="366" t="s">
        <v>3970</v>
      </c>
      <c r="I1346" s="4"/>
      <c r="J1346" s="228"/>
      <c r="K1346" s="228"/>
      <c r="L1346" s="815"/>
      <c r="M1346" s="40"/>
      <c r="N1346" s="41"/>
      <c r="O1346" s="41"/>
      <c r="X1346" s="817"/>
      <c r="Y1346" s="1100"/>
      <c r="Z1346" s="1102"/>
    </row>
    <row r="1347" spans="1:45" x14ac:dyDescent="0.35">
      <c r="A1347" s="366">
        <v>7</v>
      </c>
      <c r="B1347" s="738" t="s">
        <v>966</v>
      </c>
      <c r="C1347" s="731" t="s">
        <v>383</v>
      </c>
      <c r="D1347" s="731"/>
      <c r="E1347" s="731"/>
      <c r="F1347" s="731"/>
      <c r="G1347" s="366" t="str">
        <f t="shared" ca="1" si="82"/>
        <v/>
      </c>
      <c r="H1347" s="366" t="s">
        <v>3970</v>
      </c>
      <c r="I1347" s="4"/>
      <c r="J1347" s="343" t="s">
        <v>383</v>
      </c>
      <c r="K1347" s="286"/>
      <c r="L1347" s="836" t="s">
        <v>3628</v>
      </c>
      <c r="M1347" s="40"/>
      <c r="N1347" s="41"/>
      <c r="O1347" s="41"/>
      <c r="X1347" s="817"/>
      <c r="Y1347" s="1100" t="str">
        <f>IF(LEN('Ch7'!X477)=0,"None",'Ch7'!X477)</f>
        <v>None</v>
      </c>
      <c r="Z1347" s="1102"/>
      <c r="AR1347" t="str">
        <f>SUBSTITUTE(SUBSTITUTE(SUBSTITUTE("vnt"&amp;$B1347&amp;$C1347&amp;$D1347&amp;$E1347,".","_"),"(","_"),")","")</f>
        <v>vnt703_7_1_7</v>
      </c>
      <c r="AS1347" t="str">
        <f>IF(LEN(X1347)=0,"",X1347)</f>
        <v/>
      </c>
    </row>
    <row r="1348" spans="1:45" x14ac:dyDescent="0.35">
      <c r="A1348" s="366">
        <v>7</v>
      </c>
      <c r="B1348" s="738" t="s">
        <v>966</v>
      </c>
      <c r="C1348" s="731" t="s">
        <v>383</v>
      </c>
      <c r="D1348" s="731"/>
      <c r="E1348" s="731"/>
      <c r="F1348" s="731"/>
      <c r="G1348" s="366" t="str">
        <f t="shared" ca="1" si="82"/>
        <v/>
      </c>
      <c r="H1348" s="366" t="s">
        <v>3970</v>
      </c>
      <c r="I1348" s="4"/>
      <c r="J1348" s="90"/>
      <c r="K1348" s="90"/>
      <c r="L1348" s="814"/>
      <c r="M1348" s="40"/>
      <c r="N1348" s="41"/>
      <c r="O1348" s="41"/>
      <c r="X1348" s="817"/>
      <c r="Y1348" s="1100"/>
      <c r="Z1348" s="1102"/>
    </row>
    <row r="1349" spans="1:45" x14ac:dyDescent="0.35">
      <c r="A1349" s="366">
        <v>7</v>
      </c>
      <c r="B1349" s="738" t="s">
        <v>966</v>
      </c>
      <c r="C1349" s="731" t="s">
        <v>383</v>
      </c>
      <c r="D1349" s="731"/>
      <c r="E1349" s="731"/>
      <c r="F1349" s="731"/>
      <c r="G1349" s="366" t="str">
        <f t="shared" ca="1" si="82"/>
        <v/>
      </c>
      <c r="H1349" s="366" t="s">
        <v>3970</v>
      </c>
      <c r="I1349" s="4"/>
      <c r="J1349" s="228"/>
      <c r="K1349" s="228"/>
      <c r="L1349" s="323" t="s">
        <v>3629</v>
      </c>
      <c r="M1349" s="40"/>
      <c r="N1349" s="41"/>
      <c r="O1349" s="41"/>
      <c r="X1349" s="817"/>
      <c r="Y1349" s="1100"/>
      <c r="Z1349" s="1102"/>
    </row>
    <row r="1350" spans="1:45" x14ac:dyDescent="0.35">
      <c r="A1350" s="366">
        <v>7</v>
      </c>
      <c r="B1350" s="738" t="s">
        <v>966</v>
      </c>
      <c r="C1350" s="731" t="s">
        <v>428</v>
      </c>
      <c r="D1350" s="731"/>
      <c r="E1350" s="731"/>
      <c r="F1350" s="731"/>
      <c r="G1350" s="366" t="str">
        <f t="shared" ca="1" si="82"/>
        <v/>
      </c>
      <c r="H1350" s="366" t="s">
        <v>3970</v>
      </c>
      <c r="I1350" s="4"/>
      <c r="J1350" s="344" t="s">
        <v>428</v>
      </c>
      <c r="K1350" s="178"/>
      <c r="L1350" s="178" t="s">
        <v>972</v>
      </c>
      <c r="M1350" s="40"/>
      <c r="N1350" s="41"/>
      <c r="O1350" s="41"/>
      <c r="X1350" s="36"/>
      <c r="Y1350" s="396" t="str">
        <f>IF(LEN('Ch7'!X480)=0,"None",'Ch7'!X480)</f>
        <v>None</v>
      </c>
      <c r="Z1350" s="652"/>
      <c r="AR1350" t="str">
        <f>SUBSTITUTE(SUBSTITUTE(SUBSTITUTE("vnt"&amp;$B1350&amp;$C1350&amp;$D1350&amp;$E1350,".","_"),"(","_"),")","")</f>
        <v>vnt703_7_1_8</v>
      </c>
      <c r="AS1350" t="str">
        <f>IF(LEN(X1350)=0,"",X1350)</f>
        <v/>
      </c>
    </row>
    <row r="1351" spans="1:45" x14ac:dyDescent="0.35">
      <c r="A1351" s="366">
        <v>7</v>
      </c>
      <c r="B1351" s="738" t="s">
        <v>966</v>
      </c>
      <c r="C1351" s="731" t="s">
        <v>430</v>
      </c>
      <c r="D1351" s="731"/>
      <c r="E1351" s="731"/>
      <c r="F1351" s="731"/>
      <c r="G1351" s="366" t="str">
        <f t="shared" ca="1" si="82"/>
        <v/>
      </c>
      <c r="H1351" s="366" t="s">
        <v>3970</v>
      </c>
      <c r="I1351" s="4"/>
      <c r="J1351" s="152" t="s">
        <v>430</v>
      </c>
      <c r="K1351" s="90"/>
      <c r="L1351" s="90" t="s">
        <v>973</v>
      </c>
      <c r="M1351" s="40"/>
      <c r="N1351" s="41"/>
      <c r="O1351" s="41"/>
      <c r="X1351" s="36"/>
      <c r="Y1351" s="396" t="str">
        <f>IF(LEN('Ch7'!X481)=0,"None",'Ch7'!X481)</f>
        <v>None</v>
      </c>
      <c r="Z1351" s="652"/>
      <c r="AR1351" t="str">
        <f>SUBSTITUTE(SUBSTITUTE(SUBSTITUTE("vnt"&amp;$B1351&amp;$C1351&amp;$D1351&amp;$E1351,".","_"),"(","_"),")","")</f>
        <v>vnt703_7_1_9</v>
      </c>
      <c r="AS1351" t="str">
        <f>IF(LEN(X1351)=0,"",X1351)</f>
        <v/>
      </c>
    </row>
    <row r="1352" spans="1:45" ht="15" customHeight="1" x14ac:dyDescent="0.35">
      <c r="A1352" s="366">
        <v>7</v>
      </c>
      <c r="B1352" s="738" t="s">
        <v>966</v>
      </c>
      <c r="C1352" s="731" t="s">
        <v>430</v>
      </c>
      <c r="D1352" s="731" t="s">
        <v>3968</v>
      </c>
      <c r="E1352" s="731"/>
      <c r="F1352" s="731"/>
      <c r="G1352" s="366" t="str">
        <f t="shared" ca="1" si="82"/>
        <v/>
      </c>
      <c r="H1352" s="366" t="s">
        <v>3970</v>
      </c>
      <c r="I1352" s="4"/>
      <c r="J1352" s="90"/>
      <c r="K1352" s="90"/>
      <c r="L1352" s="855" t="s">
        <v>4320</v>
      </c>
      <c r="M1352" s="40"/>
      <c r="N1352" s="41"/>
      <c r="O1352" s="41"/>
      <c r="X1352" s="817"/>
      <c r="Y1352" s="1100" t="str">
        <f>IF(LEN('Ch7'!X482)=0,"None",'Ch7'!X482)</f>
        <v>None</v>
      </c>
      <c r="Z1352" s="1102"/>
      <c r="AR1352" t="str">
        <f>SUBSTITUTE(SUBSTITUTE(SUBSTITUTE("vnt"&amp;$B1352&amp;$C1352&amp;$D1352&amp;$E1352,".","_"),"(","_"),")","")</f>
        <v>vnt703_7_1_9_m</v>
      </c>
      <c r="AS1352" t="str">
        <f>IF(LEN(X1352)=0,"",X1352)</f>
        <v/>
      </c>
    </row>
    <row r="1353" spans="1:45" x14ac:dyDescent="0.35">
      <c r="A1353" s="366">
        <v>7</v>
      </c>
      <c r="B1353" s="738" t="s">
        <v>966</v>
      </c>
      <c r="C1353" s="731" t="s">
        <v>430</v>
      </c>
      <c r="D1353" s="731"/>
      <c r="E1353" s="731"/>
      <c r="F1353" s="731"/>
      <c r="G1353" s="366" t="str">
        <f t="shared" ca="1" si="82"/>
        <v/>
      </c>
      <c r="H1353" s="366" t="s">
        <v>3970</v>
      </c>
      <c r="I1353" s="4"/>
      <c r="J1353" s="90"/>
      <c r="K1353" s="90"/>
      <c r="L1353" s="855"/>
      <c r="M1353" s="40"/>
      <c r="N1353" s="41"/>
      <c r="O1353" s="41"/>
      <c r="X1353" s="817"/>
      <c r="Y1353" s="1100"/>
      <c r="Z1353" s="1102"/>
    </row>
    <row r="1354" spans="1:45" x14ac:dyDescent="0.35">
      <c r="A1354" s="366">
        <v>7</v>
      </c>
      <c r="B1354" s="738" t="s">
        <v>966</v>
      </c>
      <c r="C1354" s="731" t="s">
        <v>430</v>
      </c>
      <c r="D1354" s="731"/>
      <c r="E1354" s="731"/>
      <c r="F1354" s="731"/>
      <c r="G1354" s="366" t="str">
        <f t="shared" ca="1" si="82"/>
        <v/>
      </c>
      <c r="H1354" s="366" t="s">
        <v>3970</v>
      </c>
      <c r="I1354" s="4"/>
      <c r="J1354" s="90"/>
      <c r="K1354" s="90"/>
      <c r="L1354" s="855"/>
      <c r="M1354" s="40"/>
      <c r="N1354" s="41"/>
      <c r="O1354" s="41"/>
      <c r="X1354" s="817"/>
      <c r="Y1354" s="1100"/>
      <c r="Z1354" s="1102"/>
    </row>
    <row r="1355" spans="1:45" x14ac:dyDescent="0.35">
      <c r="A1355" s="366">
        <v>7</v>
      </c>
      <c r="B1355" s="738" t="s">
        <v>966</v>
      </c>
      <c r="C1355" s="731" t="s">
        <v>430</v>
      </c>
      <c r="D1355" s="731"/>
      <c r="E1355" s="731"/>
      <c r="F1355" s="731"/>
      <c r="G1355" s="366" t="str">
        <f t="shared" ca="1" si="82"/>
        <v/>
      </c>
      <c r="H1355" s="366" t="s">
        <v>3970</v>
      </c>
      <c r="I1355" s="4"/>
      <c r="J1355" s="90"/>
      <c r="K1355" s="90"/>
      <c r="L1355" s="855"/>
      <c r="M1355" s="40"/>
      <c r="N1355" s="41"/>
      <c r="O1355" s="41"/>
      <c r="X1355" s="817"/>
      <c r="Y1355" s="1100"/>
      <c r="Z1355" s="1102"/>
    </row>
    <row r="1356" spans="1:45" x14ac:dyDescent="0.35">
      <c r="A1356" s="366">
        <v>7</v>
      </c>
      <c r="B1356" s="738" t="s">
        <v>966</v>
      </c>
      <c r="C1356" s="731" t="s">
        <v>430</v>
      </c>
      <c r="D1356" s="731"/>
      <c r="E1356" s="731"/>
      <c r="F1356" s="731"/>
      <c r="G1356" s="366" t="str">
        <f t="shared" ca="1" si="82"/>
        <v/>
      </c>
      <c r="H1356" s="366" t="s">
        <v>3970</v>
      </c>
      <c r="I1356" s="133"/>
      <c r="J1356" s="228"/>
      <c r="K1356" s="228"/>
      <c r="L1356" s="903"/>
      <c r="M1356" s="268"/>
      <c r="N1356" s="546"/>
      <c r="O1356" s="546"/>
      <c r="P1356" s="104"/>
      <c r="Q1356" s="104"/>
      <c r="R1356" s="104"/>
      <c r="S1356" s="104"/>
      <c r="T1356" s="104"/>
      <c r="U1356" s="104"/>
      <c r="V1356" s="104"/>
      <c r="W1356" s="104"/>
      <c r="X1356" s="817"/>
      <c r="Y1356" s="1100"/>
      <c r="Z1356" s="1102"/>
    </row>
    <row r="1357" spans="1:45" x14ac:dyDescent="0.35">
      <c r="A1357" s="366">
        <v>7</v>
      </c>
      <c r="B1357" s="735" t="s">
        <v>974</v>
      </c>
      <c r="C1357" s="735"/>
      <c r="D1357" s="731"/>
      <c r="E1357" s="731"/>
      <c r="F1357" s="731"/>
      <c r="G1357" s="366" t="str">
        <f ca="1">IF(N1357&gt;0,"P","")</f>
        <v/>
      </c>
      <c r="H1357" s="366" t="s">
        <v>3970</v>
      </c>
      <c r="I1357" s="330" t="s">
        <v>974</v>
      </c>
      <c r="J1357" s="286"/>
      <c r="K1357" s="286"/>
      <c r="L1357" s="905" t="s">
        <v>975</v>
      </c>
      <c r="M1357" s="822">
        <v>1</v>
      </c>
      <c r="N1357" s="963">
        <f ca="1">'Ch7'!O487</f>
        <v>0</v>
      </c>
      <c r="O1357" s="963">
        <f ca="1">M1357*S1357*W1357</f>
        <v>0</v>
      </c>
      <c r="P1357" t="b">
        <v>1</v>
      </c>
      <c r="Q1357" t="b">
        <v>1</v>
      </c>
      <c r="R1357" t="b">
        <v>0</v>
      </c>
      <c r="S1357" t="b">
        <f ca="1">(S883=2)</f>
        <v>0</v>
      </c>
      <c r="T1357" t="b">
        <f ca="1">AND(NOT(S1357),W1357=TRUE)</f>
        <v>0</v>
      </c>
      <c r="W1357" s="17"/>
      <c r="X1357" s="816"/>
      <c r="Y1357" s="1100" t="str">
        <f>IF(LEN('Ch7'!X487)=0,"None",'Ch7'!X487)</f>
        <v>None</v>
      </c>
      <c r="Z1357" s="1102"/>
      <c r="AA1357" s="350" t="str">
        <f>IF(LEN('Photo Review'!I1356)&gt;0,'Photo Review'!I1356,"")</f>
        <v/>
      </c>
      <c r="AC1357" t="b">
        <f ca="1">OR(AD1357:AE1357)</f>
        <v>0</v>
      </c>
      <c r="AD1357" t="b">
        <f ca="1">T1357</f>
        <v>0</v>
      </c>
      <c r="AL1357" t="str">
        <f>SUBSTITUTE(SUBSTITUTE(SUBSTITUTE("vpa"&amp;$B1357&amp;$C1357&amp;$D1357&amp;$E1357,".","_"),"(","_"),")","")</f>
        <v xml:space="preserve">vpa703_7_2 </v>
      </c>
      <c r="AM1357">
        <f>M1357</f>
        <v>1</v>
      </c>
      <c r="AN1357" t="str">
        <f>SUBSTITUTE(SUBSTITUTE(SUBSTITUTE("vpc"&amp;$B1357&amp;$C1357&amp;$D1357&amp;$E1357,".","_"),"(","_"),")","")</f>
        <v xml:space="preserve">vpc703_7_2 </v>
      </c>
      <c r="AO1357">
        <f ca="1">O1357</f>
        <v>0</v>
      </c>
      <c r="AP1357" t="str">
        <f>SUBSTITUTE(SUBSTITUTE(SUBSTITUTE("vch"&amp;$B1357&amp;$C1357&amp;$D1357&amp;$E1357,".","_"),"(","_"),")","")</f>
        <v xml:space="preserve">vch703_7_2 </v>
      </c>
      <c r="AQ1357" t="str">
        <f>IF(LEN(W1357)=0,"",W1357)</f>
        <v/>
      </c>
      <c r="AR1357" t="str">
        <f>SUBSTITUTE(SUBSTITUTE(SUBSTITUTE("vnt"&amp;$B1357&amp;$C1357&amp;$D1357&amp;$E1357,".","_"),"(","_"),")","")</f>
        <v xml:space="preserve">vnt703_7_2 </v>
      </c>
      <c r="AS1357" t="str">
        <f>IF(LEN(X1357)=0,"",X1357)</f>
        <v/>
      </c>
    </row>
    <row r="1358" spans="1:45" x14ac:dyDescent="0.35">
      <c r="A1358" s="366">
        <v>7</v>
      </c>
      <c r="B1358" s="735" t="s">
        <v>974</v>
      </c>
      <c r="C1358" s="735"/>
      <c r="D1358" s="731"/>
      <c r="E1358" s="731"/>
      <c r="F1358" s="731"/>
      <c r="G1358" s="366" t="str">
        <f ca="1">G1357</f>
        <v/>
      </c>
      <c r="H1358" s="366" t="s">
        <v>3970</v>
      </c>
      <c r="I1358" s="133"/>
      <c r="J1358" s="228"/>
      <c r="K1358" s="228"/>
      <c r="L1358" s="889"/>
      <c r="M1358" s="819"/>
      <c r="N1358" s="835"/>
      <c r="O1358" s="835"/>
      <c r="X1358" s="817"/>
      <c r="Y1358" s="1100"/>
      <c r="Z1358" s="1102"/>
    </row>
    <row r="1359" spans="1:45" x14ac:dyDescent="0.35">
      <c r="A1359" s="366">
        <v>7</v>
      </c>
      <c r="B1359" s="738" t="s">
        <v>976</v>
      </c>
      <c r="C1359" s="735"/>
      <c r="D1359" s="731"/>
      <c r="E1359" s="731"/>
      <c r="F1359" s="731"/>
      <c r="G1359" s="366" t="str">
        <f ca="1">IF(N1359&gt;0,"P","")</f>
        <v/>
      </c>
      <c r="H1359" s="366" t="s">
        <v>3970</v>
      </c>
      <c r="I1359" s="32" t="s">
        <v>976</v>
      </c>
      <c r="J1359" s="90"/>
      <c r="K1359" s="90"/>
      <c r="L1359" s="838" t="s">
        <v>977</v>
      </c>
      <c r="M1359" s="40"/>
      <c r="N1359" s="834">
        <f ca="1">'Ch7'!O489</f>
        <v>0</v>
      </c>
      <c r="O1359" s="834">
        <f ca="1">INDEX({0,3,4},MATCH(S1361,{0,3,4},1))*S1365</f>
        <v>0</v>
      </c>
      <c r="AN1359" t="str">
        <f>SUBSTITUTE(SUBSTITUTE(SUBSTITUTE("vpc"&amp;$B1359&amp;$C1359&amp;$D1359&amp;$E1359,".","_"),"(","_"),")","")</f>
        <v>vpc703_7_3</v>
      </c>
      <c r="AO1359">
        <f ca="1">O1359</f>
        <v>0</v>
      </c>
    </row>
    <row r="1360" spans="1:45" x14ac:dyDescent="0.35">
      <c r="A1360" s="366">
        <v>7</v>
      </c>
      <c r="B1360" s="738" t="s">
        <v>976</v>
      </c>
      <c r="C1360" s="735"/>
      <c r="D1360" s="731"/>
      <c r="E1360" s="731"/>
      <c r="F1360" s="731"/>
      <c r="G1360" s="366" t="str">
        <f t="shared" ref="G1360:G1386" ca="1" si="83">G1359</f>
        <v/>
      </c>
      <c r="H1360" s="366" t="s">
        <v>3970</v>
      </c>
      <c r="I1360" s="4"/>
      <c r="J1360" s="90"/>
      <c r="K1360" s="90"/>
      <c r="L1360" s="838"/>
      <c r="M1360" s="40"/>
      <c r="N1360" s="834"/>
      <c r="O1360" s="834"/>
    </row>
    <row r="1361" spans="1:45" x14ac:dyDescent="0.35">
      <c r="A1361" s="366">
        <v>7</v>
      </c>
      <c r="B1361" s="738" t="s">
        <v>976</v>
      </c>
      <c r="C1361" s="737" t="s">
        <v>256</v>
      </c>
      <c r="D1361" s="731"/>
      <c r="E1361" s="731"/>
      <c r="F1361" s="731"/>
      <c r="G1361" s="366" t="str">
        <f t="shared" ca="1" si="83"/>
        <v/>
      </c>
      <c r="H1361" s="366" t="s">
        <v>3970</v>
      </c>
      <c r="I1361" s="4"/>
      <c r="J1361" s="90"/>
      <c r="K1361" s="90"/>
      <c r="L1361" s="92" t="s">
        <v>978</v>
      </c>
      <c r="M1361" s="40">
        <v>3</v>
      </c>
      <c r="N1361" s="41"/>
      <c r="O1361" s="41"/>
      <c r="R1361" t="s">
        <v>3627</v>
      </c>
      <c r="S1361" s="1">
        <f ca="1">(1*MIN(1,COUNTIF(W1365:W1369,TRUE))+1*S1371*W1371+1*W1374+1*S1376*W1376+1*MIN(1,COUNTIF(W1381:W1383,TRUE))+1*W1385)</f>
        <v>0</v>
      </c>
      <c r="AL1361" t="str">
        <f>SUBSTITUTE(SUBSTITUTE(SUBSTITUTE("vpa"&amp;$B1361&amp;$C1361&amp;$D1361&amp;$E1361,".","_"),"(","_"),")","")</f>
        <v>vpa703_7_3_1</v>
      </c>
      <c r="AM1361">
        <f>M1361</f>
        <v>3</v>
      </c>
    </row>
    <row r="1362" spans="1:45" x14ac:dyDescent="0.35">
      <c r="A1362" s="366">
        <v>7</v>
      </c>
      <c r="B1362" s="738" t="s">
        <v>976</v>
      </c>
      <c r="C1362" s="737" t="s">
        <v>258</v>
      </c>
      <c r="D1362" s="731"/>
      <c r="E1362" s="731"/>
      <c r="F1362" s="731"/>
      <c r="G1362" s="366" t="str">
        <f t="shared" ca="1" si="83"/>
        <v/>
      </c>
      <c r="H1362" s="366" t="s">
        <v>3970</v>
      </c>
      <c r="I1362" s="4"/>
      <c r="J1362" s="90"/>
      <c r="K1362" s="90"/>
      <c r="L1362" s="92" t="s">
        <v>979</v>
      </c>
      <c r="M1362" s="40">
        <v>1</v>
      </c>
      <c r="N1362" s="41"/>
      <c r="O1362" s="41"/>
      <c r="AL1362" t="str">
        <f>SUBSTITUTE(SUBSTITUTE(SUBSTITUTE("vpa"&amp;$B1362&amp;$C1362&amp;$D1362&amp;$E1362,".","_"),"(","_"),")","")</f>
        <v>vpa703_7_3_2</v>
      </c>
      <c r="AM1362">
        <f>M1362</f>
        <v>1</v>
      </c>
    </row>
    <row r="1363" spans="1:45" x14ac:dyDescent="0.35">
      <c r="A1363" s="366">
        <v>7</v>
      </c>
      <c r="B1363" s="738" t="s">
        <v>976</v>
      </c>
      <c r="C1363" s="737" t="s">
        <v>256</v>
      </c>
      <c r="D1363" s="731"/>
      <c r="E1363" s="731"/>
      <c r="F1363" s="731"/>
      <c r="G1363" s="366" t="str">
        <f t="shared" ca="1" si="83"/>
        <v/>
      </c>
      <c r="H1363" s="366" t="s">
        <v>3970</v>
      </c>
      <c r="I1363" s="4"/>
      <c r="J1363" s="156" t="s">
        <v>256</v>
      </c>
      <c r="K1363" s="90"/>
      <c r="L1363" s="814" t="s">
        <v>980</v>
      </c>
      <c r="M1363" s="40"/>
      <c r="N1363" s="41"/>
      <c r="O1363" s="41"/>
      <c r="AA1363" s="350" t="str">
        <f>IF(LEN('Photo Review'!I1362)&gt;0,'Photo Review'!I1362,"")</f>
        <v/>
      </c>
    </row>
    <row r="1364" spans="1:45" x14ac:dyDescent="0.35">
      <c r="A1364" s="366">
        <v>7</v>
      </c>
      <c r="B1364" s="738" t="s">
        <v>976</v>
      </c>
      <c r="C1364" s="737" t="s">
        <v>256</v>
      </c>
      <c r="D1364" s="731"/>
      <c r="E1364" s="731"/>
      <c r="F1364" s="731"/>
      <c r="G1364" s="366" t="str">
        <f t="shared" ca="1" si="83"/>
        <v/>
      </c>
      <c r="H1364" s="366" t="s">
        <v>3970</v>
      </c>
      <c r="I1364" s="4"/>
      <c r="J1364" s="90"/>
      <c r="K1364" s="90"/>
      <c r="L1364" s="814"/>
      <c r="M1364" s="40"/>
      <c r="N1364" s="41"/>
      <c r="O1364" s="41"/>
    </row>
    <row r="1365" spans="1:45" x14ac:dyDescent="0.35">
      <c r="A1365" s="366">
        <v>7</v>
      </c>
      <c r="B1365" s="738" t="s">
        <v>976</v>
      </c>
      <c r="C1365" s="737" t="s">
        <v>256</v>
      </c>
      <c r="D1365" s="731" t="s">
        <v>121</v>
      </c>
      <c r="E1365" s="731"/>
      <c r="F1365" s="731"/>
      <c r="G1365" s="366" t="str">
        <f t="shared" ca="1" si="83"/>
        <v/>
      </c>
      <c r="H1365" s="732" t="s">
        <v>3970</v>
      </c>
      <c r="I1365" s="4"/>
      <c r="J1365" s="90"/>
      <c r="K1365" s="152" t="s">
        <v>121</v>
      </c>
      <c r="L1365" s="814" t="s">
        <v>981</v>
      </c>
      <c r="M1365" s="40"/>
      <c r="N1365" s="41"/>
      <c r="O1365" s="41"/>
      <c r="P1365" t="b">
        <v>1</v>
      </c>
      <c r="Q1365" t="b">
        <v>1</v>
      </c>
      <c r="R1365" t="b">
        <v>0</v>
      </c>
      <c r="S1365" t="b">
        <f ca="1">(S883=2)</f>
        <v>0</v>
      </c>
      <c r="T1365" t="b">
        <f ca="1">AND(NOT(S1365),W1365=TRUE)</f>
        <v>0</v>
      </c>
      <c r="W1365" s="17"/>
      <c r="X1365" s="817"/>
      <c r="Y1365" s="1100" t="str">
        <f>IF(LEN('Ch7'!X495)=0,"None",'Ch7'!X495)</f>
        <v>None</v>
      </c>
      <c r="Z1365" s="1102"/>
      <c r="AC1365" t="b">
        <f ca="1">OR(AD1365:AE1365)</f>
        <v>0</v>
      </c>
      <c r="AD1365" t="b">
        <f ca="1">T1365</f>
        <v>0</v>
      </c>
      <c r="AP1365" t="str">
        <f>SUBSTITUTE(SUBSTITUTE(SUBSTITUTE("vch"&amp;$B1365&amp;$C1365&amp;$D1365&amp;$E1365,".","_"),"(","_"),")","")</f>
        <v>vch703_7_3_1_a</v>
      </c>
      <c r="AQ1365" t="str">
        <f>IF(LEN(W1365)=0,"",W1365)</f>
        <v/>
      </c>
      <c r="AR1365" t="str">
        <f>SUBSTITUTE(SUBSTITUTE(SUBSTITUTE("vnt"&amp;$B1365&amp;$C1365&amp;$D1365&amp;$E1365,".","_"),"(","_"),")","")</f>
        <v>vnt703_7_3_1_a</v>
      </c>
      <c r="AS1365" t="str">
        <f>IF(LEN(X1365)=0,"",X1365)</f>
        <v/>
      </c>
    </row>
    <row r="1366" spans="1:45" x14ac:dyDescent="0.35">
      <c r="A1366" s="366">
        <v>7</v>
      </c>
      <c r="B1366" s="738" t="s">
        <v>976</v>
      </c>
      <c r="C1366" s="737" t="s">
        <v>256</v>
      </c>
      <c r="D1366" s="731" t="s">
        <v>121</v>
      </c>
      <c r="E1366" s="731"/>
      <c r="F1366" s="731"/>
      <c r="G1366" s="366" t="str">
        <f t="shared" ca="1" si="83"/>
        <v/>
      </c>
      <c r="H1366" s="366" t="s">
        <v>3970</v>
      </c>
      <c r="I1366" s="4"/>
      <c r="J1366" s="90"/>
      <c r="K1366" s="90"/>
      <c r="L1366" s="814"/>
      <c r="M1366" s="40"/>
      <c r="N1366" s="41"/>
      <c r="O1366" s="41"/>
      <c r="X1366" s="817"/>
      <c r="Y1366" s="1100"/>
      <c r="Z1366" s="1102"/>
    </row>
    <row r="1367" spans="1:45" x14ac:dyDescent="0.35">
      <c r="A1367" s="366">
        <v>7</v>
      </c>
      <c r="B1367" s="738" t="s">
        <v>976</v>
      </c>
      <c r="C1367" s="737" t="s">
        <v>256</v>
      </c>
      <c r="D1367" s="731" t="s">
        <v>122</v>
      </c>
      <c r="E1367" s="731"/>
      <c r="F1367" s="731"/>
      <c r="G1367" s="366" t="str">
        <f t="shared" ca="1" si="83"/>
        <v/>
      </c>
      <c r="H1367" s="732" t="s">
        <v>3970</v>
      </c>
      <c r="I1367" s="4"/>
      <c r="J1367" s="90"/>
      <c r="K1367" s="152" t="s">
        <v>122</v>
      </c>
      <c r="L1367" s="90" t="s">
        <v>982</v>
      </c>
      <c r="M1367" s="40"/>
      <c r="N1367" s="41"/>
      <c r="O1367" s="41"/>
      <c r="P1367" t="b">
        <v>1</v>
      </c>
      <c r="Q1367" t="b">
        <v>1</v>
      </c>
      <c r="R1367" t="b">
        <v>0</v>
      </c>
      <c r="S1367" t="b">
        <f ca="1">(S883=2)</f>
        <v>0</v>
      </c>
      <c r="T1367" t="b">
        <f ca="1">AND(NOT(S1367),W1367=TRUE)</f>
        <v>0</v>
      </c>
      <c r="W1367" s="17"/>
      <c r="X1367" s="36"/>
      <c r="Y1367" s="396" t="str">
        <f>IF(LEN('Ch7'!X497)=0,"None",'Ch7'!X497)</f>
        <v>None</v>
      </c>
      <c r="Z1367" s="652"/>
      <c r="AC1367" t="b">
        <f ca="1">OR(AD1367:AE1367)</f>
        <v>0</v>
      </c>
      <c r="AD1367" t="b">
        <f ca="1">T1367</f>
        <v>0</v>
      </c>
      <c r="AP1367" t="str">
        <f>SUBSTITUTE(SUBSTITUTE(SUBSTITUTE("vch"&amp;$B1367&amp;$C1367&amp;$D1367&amp;$E1367,".","_"),"(","_"),")","")</f>
        <v>vch703_7_3_1_b</v>
      </c>
      <c r="AQ1367" t="str">
        <f>IF(LEN(W1367)=0,"",W1367)</f>
        <v/>
      </c>
      <c r="AR1367" t="str">
        <f>SUBSTITUTE(SUBSTITUTE(SUBSTITUTE("vnt"&amp;$B1367&amp;$C1367&amp;$D1367&amp;$E1367,".","_"),"(","_"),")","")</f>
        <v>vnt703_7_3_1_b</v>
      </c>
      <c r="AS1367" t="str">
        <f>IF(LEN(X1367)=0,"",X1367)</f>
        <v/>
      </c>
    </row>
    <row r="1368" spans="1:45" x14ac:dyDescent="0.35">
      <c r="A1368" s="366">
        <v>7</v>
      </c>
      <c r="B1368" s="738" t="s">
        <v>976</v>
      </c>
      <c r="C1368" s="737" t="s">
        <v>256</v>
      </c>
      <c r="D1368" s="733" t="s">
        <v>123</v>
      </c>
      <c r="E1368" s="733"/>
      <c r="F1368" s="733"/>
      <c r="G1368" s="366" t="str">
        <f t="shared" ca="1" si="83"/>
        <v/>
      </c>
      <c r="H1368" s="734" t="s">
        <v>3970</v>
      </c>
      <c r="I1368" s="4"/>
      <c r="J1368" s="90"/>
      <c r="K1368" s="153" t="s">
        <v>123</v>
      </c>
      <c r="L1368" s="90" t="s">
        <v>983</v>
      </c>
      <c r="M1368" s="40"/>
      <c r="N1368" s="41"/>
      <c r="O1368" s="41"/>
      <c r="P1368" t="b">
        <v>1</v>
      </c>
      <c r="Q1368" t="b">
        <v>1</v>
      </c>
      <c r="R1368" t="b">
        <v>0</v>
      </c>
      <c r="S1368" t="b">
        <f ca="1">(S883=2)</f>
        <v>0</v>
      </c>
      <c r="T1368" t="b">
        <f ca="1">AND(NOT(S1368),W1368=TRUE)</f>
        <v>0</v>
      </c>
      <c r="W1368" s="17"/>
      <c r="X1368" s="36"/>
      <c r="Y1368" s="396" t="str">
        <f>IF(LEN('Ch7'!X498)=0,"None",'Ch7'!X498)</f>
        <v>None</v>
      </c>
      <c r="Z1368" s="652"/>
      <c r="AC1368" t="b">
        <f ca="1">OR(AD1368:AE1368)</f>
        <v>0</v>
      </c>
      <c r="AD1368" t="b">
        <f ca="1">T1368</f>
        <v>0</v>
      </c>
      <c r="AP1368" t="str">
        <f>SUBSTITUTE(SUBSTITUTE(SUBSTITUTE("vch"&amp;$B1368&amp;$C1368&amp;$D1368&amp;$E1368,".","_"),"(","_"),")","")</f>
        <v>vch703_7_3_1_c</v>
      </c>
      <c r="AQ1368" t="str">
        <f>IF(LEN(W1368)=0,"",W1368)</f>
        <v/>
      </c>
      <c r="AR1368" t="str">
        <f>SUBSTITUTE(SUBSTITUTE(SUBSTITUTE("vnt"&amp;$B1368&amp;$C1368&amp;$D1368&amp;$E1368,".","_"),"(","_"),")","")</f>
        <v>vnt703_7_3_1_c</v>
      </c>
      <c r="AS1368" t="str">
        <f>IF(LEN(X1368)=0,"",X1368)</f>
        <v/>
      </c>
    </row>
    <row r="1369" spans="1:45" x14ac:dyDescent="0.35">
      <c r="A1369" s="366">
        <v>7</v>
      </c>
      <c r="B1369" s="738" t="s">
        <v>976</v>
      </c>
      <c r="C1369" s="737" t="s">
        <v>256</v>
      </c>
      <c r="D1369" s="731" t="s">
        <v>401</v>
      </c>
      <c r="E1369" s="731"/>
      <c r="F1369" s="731"/>
      <c r="G1369" s="366" t="str">
        <f t="shared" ca="1" si="83"/>
        <v/>
      </c>
      <c r="H1369" s="366" t="s">
        <v>3970</v>
      </c>
      <c r="I1369" s="4"/>
      <c r="J1369" s="90"/>
      <c r="K1369" s="95" t="s">
        <v>401</v>
      </c>
      <c r="L1369" s="814" t="s">
        <v>984</v>
      </c>
      <c r="M1369" s="40"/>
      <c r="N1369" s="41"/>
      <c r="O1369" s="41"/>
      <c r="P1369" t="b">
        <v>1</v>
      </c>
      <c r="Q1369" t="b">
        <v>1</v>
      </c>
      <c r="R1369" t="b">
        <v>0</v>
      </c>
      <c r="S1369" t="b">
        <f ca="1">(S883=2)</f>
        <v>0</v>
      </c>
      <c r="T1369" t="b">
        <f ca="1">AND(NOT(S1369),W1369=TRUE)</f>
        <v>0</v>
      </c>
      <c r="W1369" s="17"/>
      <c r="X1369" s="817"/>
      <c r="Y1369" s="1100" t="str">
        <f>IF(LEN('Ch7'!X499)=0,"None",'Ch7'!X499)</f>
        <v>None</v>
      </c>
      <c r="Z1369" s="1102"/>
      <c r="AC1369" t="b">
        <f ca="1">OR(AD1369:AE1369)</f>
        <v>0</v>
      </c>
      <c r="AD1369" t="b">
        <f ca="1">T1369</f>
        <v>0</v>
      </c>
      <c r="AP1369" t="str">
        <f>SUBSTITUTE(SUBSTITUTE(SUBSTITUTE("vch"&amp;$B1369&amp;$C1369&amp;$D1369&amp;$E1369,".","_"),"(","_"),")","")</f>
        <v>vch703_7_3_1_d</v>
      </c>
      <c r="AQ1369" t="str">
        <f>IF(LEN(W1369)=0,"",W1369)</f>
        <v/>
      </c>
      <c r="AR1369" t="str">
        <f>SUBSTITUTE(SUBSTITUTE(SUBSTITUTE("vnt"&amp;$B1369&amp;$C1369&amp;$D1369&amp;$E1369,".","_"),"(","_"),")","")</f>
        <v>vnt703_7_3_1_d</v>
      </c>
      <c r="AS1369" t="str">
        <f>IF(LEN(X1369)=0,"",X1369)</f>
        <v/>
      </c>
    </row>
    <row r="1370" spans="1:45" x14ac:dyDescent="0.35">
      <c r="A1370" s="366">
        <v>7</v>
      </c>
      <c r="B1370" s="738" t="s">
        <v>976</v>
      </c>
      <c r="C1370" s="737" t="s">
        <v>256</v>
      </c>
      <c r="D1370" s="731" t="s">
        <v>401</v>
      </c>
      <c r="E1370" s="731"/>
      <c r="F1370" s="731"/>
      <c r="G1370" s="366" t="str">
        <f t="shared" ca="1" si="83"/>
        <v/>
      </c>
      <c r="H1370" s="366" t="s">
        <v>3970</v>
      </c>
      <c r="I1370" s="4"/>
      <c r="J1370" s="228"/>
      <c r="K1370" s="228"/>
      <c r="L1370" s="815"/>
      <c r="M1370" s="40"/>
      <c r="N1370" s="41"/>
      <c r="O1370" s="41"/>
      <c r="X1370" s="817"/>
      <c r="Y1370" s="1100"/>
      <c r="Z1370" s="1102"/>
    </row>
    <row r="1371" spans="1:45" x14ac:dyDescent="0.35">
      <c r="A1371" s="366">
        <v>7</v>
      </c>
      <c r="B1371" s="738" t="s">
        <v>976</v>
      </c>
      <c r="C1371" s="737" t="s">
        <v>258</v>
      </c>
      <c r="D1371" s="731"/>
      <c r="E1371" s="731"/>
      <c r="F1371" s="731"/>
      <c r="G1371" s="366" t="str">
        <f t="shared" ca="1" si="83"/>
        <v/>
      </c>
      <c r="H1371" s="366" t="s">
        <v>3970</v>
      </c>
      <c r="I1371" s="4"/>
      <c r="J1371" s="156" t="s">
        <v>258</v>
      </c>
      <c r="K1371" s="90"/>
      <c r="L1371" s="814" t="s">
        <v>985</v>
      </c>
      <c r="M1371" s="40"/>
      <c r="N1371" s="41"/>
      <c r="O1371" s="41"/>
      <c r="P1371" t="b">
        <v>1</v>
      </c>
      <c r="Q1371" t="b">
        <v>1</v>
      </c>
      <c r="R1371" t="b">
        <v>0</v>
      </c>
      <c r="S1371" t="b">
        <f ca="1">AND(S883=2,NOT(W1330=TRUE))</f>
        <v>0</v>
      </c>
      <c r="T1371" t="b">
        <f ca="1">AND(NOT(S1371),W1371=TRUE)</f>
        <v>0</v>
      </c>
      <c r="W1371" s="17"/>
      <c r="X1371" s="817"/>
      <c r="Y1371" s="1100" t="str">
        <f>IF(LEN('Ch7'!X501)=0,"None",'Ch7'!X501)</f>
        <v>None</v>
      </c>
      <c r="Z1371" s="1102"/>
      <c r="AA1371" s="350" t="str">
        <f>IF(LEN('Photo Review'!I1370)&gt;0,'Photo Review'!I1370,"")</f>
        <v/>
      </c>
      <c r="AC1371" t="b">
        <f ca="1">OR(AD1371:AE1371)</f>
        <v>0</v>
      </c>
      <c r="AD1371" t="b">
        <f ca="1">T1371</f>
        <v>0</v>
      </c>
      <c r="AP1371" t="str">
        <f>SUBSTITUTE(SUBSTITUTE(SUBSTITUTE("vch"&amp;$B1371&amp;$C1371&amp;$D1371&amp;$E1371,".","_"),"(","_"),")","")</f>
        <v>vch703_7_3_2</v>
      </c>
      <c r="AQ1371" t="str">
        <f>IF(LEN(W1371)=0,"",W1371)</f>
        <v/>
      </c>
      <c r="AR1371" t="str">
        <f>SUBSTITUTE(SUBSTITUTE(SUBSTITUTE("vnt"&amp;$B1371&amp;$C1371&amp;$D1371&amp;$E1371,".","_"),"(","_"),")","")</f>
        <v>vnt703_7_3_2</v>
      </c>
      <c r="AS1371" t="str">
        <f>IF(LEN(X1371)=0,"",X1371)</f>
        <v/>
      </c>
    </row>
    <row r="1372" spans="1:45" x14ac:dyDescent="0.35">
      <c r="A1372" s="366">
        <v>7</v>
      </c>
      <c r="B1372" s="738" t="s">
        <v>976</v>
      </c>
      <c r="C1372" s="731" t="s">
        <v>258</v>
      </c>
      <c r="D1372" s="731"/>
      <c r="E1372" s="731"/>
      <c r="F1372" s="731"/>
      <c r="G1372" s="366" t="str">
        <f t="shared" ca="1" si="83"/>
        <v/>
      </c>
      <c r="H1372" s="366" t="s">
        <v>3970</v>
      </c>
      <c r="I1372" s="4"/>
      <c r="J1372" s="90"/>
      <c r="K1372" s="90"/>
      <c r="L1372" s="814"/>
      <c r="M1372" s="40"/>
      <c r="N1372" s="41"/>
      <c r="O1372" s="41"/>
      <c r="X1372" s="817"/>
      <c r="Y1372" s="1100"/>
      <c r="Z1372" s="1102"/>
    </row>
    <row r="1373" spans="1:45" x14ac:dyDescent="0.35">
      <c r="A1373" s="366">
        <v>7</v>
      </c>
      <c r="B1373" s="738" t="s">
        <v>976</v>
      </c>
      <c r="C1373" s="731" t="s">
        <v>258</v>
      </c>
      <c r="D1373" s="731"/>
      <c r="E1373" s="731"/>
      <c r="F1373" s="731"/>
      <c r="G1373" s="366" t="str">
        <f t="shared" ca="1" si="83"/>
        <v/>
      </c>
      <c r="H1373" s="366" t="s">
        <v>3970</v>
      </c>
      <c r="I1373" s="4"/>
      <c r="J1373" s="228"/>
      <c r="K1373" s="228"/>
      <c r="L1373" s="142" t="s">
        <v>986</v>
      </c>
      <c r="M1373" s="40"/>
      <c r="N1373" s="41"/>
      <c r="O1373" s="41"/>
      <c r="X1373" s="817"/>
      <c r="Y1373" s="1100"/>
      <c r="Z1373" s="1102"/>
    </row>
    <row r="1374" spans="1:45" x14ac:dyDescent="0.35">
      <c r="A1374" s="366">
        <v>7</v>
      </c>
      <c r="B1374" s="738" t="s">
        <v>976</v>
      </c>
      <c r="C1374" s="731" t="s">
        <v>260</v>
      </c>
      <c r="D1374" s="731"/>
      <c r="E1374" s="731"/>
      <c r="F1374" s="731"/>
      <c r="G1374" s="366" t="str">
        <f t="shared" ca="1" si="83"/>
        <v/>
      </c>
      <c r="H1374" s="366" t="s">
        <v>3970</v>
      </c>
      <c r="I1374" s="4"/>
      <c r="J1374" s="349" t="s">
        <v>260</v>
      </c>
      <c r="K1374" s="286"/>
      <c r="L1374" s="825" t="s">
        <v>4321</v>
      </c>
      <c r="M1374" s="40"/>
      <c r="N1374" s="41"/>
      <c r="O1374" s="41"/>
      <c r="P1374" t="b">
        <v>1</v>
      </c>
      <c r="Q1374" t="b">
        <v>1</v>
      </c>
      <c r="R1374" t="b">
        <v>0</v>
      </c>
      <c r="S1374" t="b">
        <f ca="1">(S883=2)</f>
        <v>0</v>
      </c>
      <c r="T1374" t="b">
        <f ca="1">AND(NOT(S1374),W1374=TRUE)</f>
        <v>0</v>
      </c>
      <c r="W1374" s="17"/>
      <c r="X1374" s="817"/>
      <c r="Y1374" s="1100" t="str">
        <f>IF(LEN('Ch7'!X504)=0,"None",'Ch7'!X504)</f>
        <v>None</v>
      </c>
      <c r="Z1374" s="1102"/>
      <c r="AC1374" t="b">
        <f ca="1">OR(AD1374:AE1374)</f>
        <v>0</v>
      </c>
      <c r="AD1374" t="b">
        <f ca="1">T1374</f>
        <v>0</v>
      </c>
      <c r="AP1374" t="str">
        <f>SUBSTITUTE(SUBSTITUTE(SUBSTITUTE("vch"&amp;$B1374&amp;$C1374&amp;$D1374&amp;$E1374,".","_"),"(","_"),")","")</f>
        <v>vch703_7_3_3</v>
      </c>
      <c r="AQ1374" t="str">
        <f>IF(LEN(W1374)=0,"",W1374)</f>
        <v/>
      </c>
      <c r="AR1374" t="str">
        <f>SUBSTITUTE(SUBSTITUTE(SUBSTITUTE("vnt"&amp;$B1374&amp;$C1374&amp;$D1374&amp;$E1374,".","_"),"(","_"),")","")</f>
        <v>vnt703_7_3_3</v>
      </c>
      <c r="AS1374" t="str">
        <f>IF(LEN(X1374)=0,"",X1374)</f>
        <v/>
      </c>
    </row>
    <row r="1375" spans="1:45" x14ac:dyDescent="0.35">
      <c r="A1375" s="366">
        <v>7</v>
      </c>
      <c r="B1375" s="738" t="s">
        <v>976</v>
      </c>
      <c r="C1375" s="731" t="s">
        <v>260</v>
      </c>
      <c r="G1375" s="366" t="str">
        <f t="shared" ca="1" si="83"/>
        <v/>
      </c>
      <c r="H1375" s="366" t="s">
        <v>3970</v>
      </c>
      <c r="L1375" s="825"/>
      <c r="M1375" s="4"/>
      <c r="X1375" s="817"/>
      <c r="Y1375" s="1100"/>
      <c r="Z1375" s="1102"/>
    </row>
    <row r="1376" spans="1:45" x14ac:dyDescent="0.35">
      <c r="A1376" s="366">
        <v>7</v>
      </c>
      <c r="B1376" s="738" t="s">
        <v>976</v>
      </c>
      <c r="C1376" s="731" t="s">
        <v>269</v>
      </c>
      <c r="D1376" s="731"/>
      <c r="E1376" s="731"/>
      <c r="F1376" s="731"/>
      <c r="G1376" s="366" t="str">
        <f t="shared" ca="1" si="83"/>
        <v/>
      </c>
      <c r="H1376" s="366" t="s">
        <v>3970</v>
      </c>
      <c r="I1376" s="4"/>
      <c r="J1376" s="349" t="s">
        <v>269</v>
      </c>
      <c r="K1376" s="286"/>
      <c r="L1376" s="836" t="s">
        <v>987</v>
      </c>
      <c r="M1376" s="40"/>
      <c r="N1376" s="41"/>
      <c r="O1376" s="41"/>
      <c r="P1376" t="b">
        <v>1</v>
      </c>
      <c r="Q1376" t="b">
        <v>1</v>
      </c>
      <c r="R1376" t="b">
        <v>0</v>
      </c>
      <c r="S1376" t="b">
        <f ca="1">AND(S883=2,OR(BF886=1,BF886=2,BF886=3))</f>
        <v>0</v>
      </c>
      <c r="T1376" t="b">
        <f ca="1">AND(NOT(S1376),W1376=TRUE)</f>
        <v>0</v>
      </c>
      <c r="W1376" s="17"/>
      <c r="X1376" s="817"/>
      <c r="Y1376" s="1100" t="str">
        <f>IF(LEN('Ch7'!X506)=0,"None",'Ch7'!X506)</f>
        <v>None</v>
      </c>
      <c r="Z1376" s="1102"/>
      <c r="AC1376" t="b">
        <f ca="1">OR(AD1376:AE1376)</f>
        <v>0</v>
      </c>
      <c r="AD1376" t="b">
        <f ca="1">T1376</f>
        <v>0</v>
      </c>
      <c r="AP1376" t="str">
        <f>SUBSTITUTE(SUBSTITUTE(SUBSTITUTE("vch"&amp;$B1376&amp;$C1376&amp;$D1376&amp;$E1376,".","_"),"(","_"),")","")</f>
        <v>vch703_7_3_4</v>
      </c>
      <c r="AQ1376" t="str">
        <f>IF(LEN(W1376)=0,"",W1376)</f>
        <v/>
      </c>
      <c r="AR1376" t="str">
        <f>SUBSTITUTE(SUBSTITUTE(SUBSTITUTE("vnt"&amp;$B1376&amp;$C1376&amp;$D1376&amp;$E1376,".","_"),"(","_"),")","")</f>
        <v>vnt703_7_3_4</v>
      </c>
      <c r="AS1376" t="str">
        <f>IF(LEN(X1376)=0,"",X1376)</f>
        <v/>
      </c>
    </row>
    <row r="1377" spans="1:45" x14ac:dyDescent="0.35">
      <c r="A1377" s="366">
        <v>7</v>
      </c>
      <c r="B1377" s="738" t="s">
        <v>976</v>
      </c>
      <c r="C1377" s="731" t="s">
        <v>269</v>
      </c>
      <c r="D1377" s="731"/>
      <c r="E1377" s="731"/>
      <c r="F1377" s="731"/>
      <c r="G1377" s="366" t="str">
        <f t="shared" ca="1" si="83"/>
        <v/>
      </c>
      <c r="H1377" s="366" t="s">
        <v>3970</v>
      </c>
      <c r="I1377" s="4"/>
      <c r="J1377" s="228"/>
      <c r="K1377" s="228"/>
      <c r="L1377" s="815"/>
      <c r="M1377" s="40"/>
      <c r="N1377" s="41"/>
      <c r="O1377" s="41"/>
      <c r="X1377" s="817"/>
      <c r="Y1377" s="1100"/>
      <c r="Z1377" s="1102"/>
    </row>
    <row r="1378" spans="1:45" x14ac:dyDescent="0.35">
      <c r="A1378" s="366">
        <v>7</v>
      </c>
      <c r="B1378" s="738" t="s">
        <v>976</v>
      </c>
      <c r="C1378" s="731" t="s">
        <v>275</v>
      </c>
      <c r="D1378" s="731"/>
      <c r="E1378" s="731"/>
      <c r="F1378" s="731"/>
      <c r="G1378" s="366" t="str">
        <f t="shared" ca="1" si="83"/>
        <v/>
      </c>
      <c r="H1378" s="366" t="s">
        <v>3970</v>
      </c>
      <c r="I1378" s="4"/>
      <c r="J1378" s="156" t="s">
        <v>275</v>
      </c>
      <c r="K1378" s="90"/>
      <c r="L1378" s="814" t="s">
        <v>988</v>
      </c>
      <c r="M1378" s="40"/>
      <c r="N1378" s="41"/>
      <c r="O1378" s="41"/>
    </row>
    <row r="1379" spans="1:45" x14ac:dyDescent="0.35">
      <c r="A1379" s="366">
        <v>7</v>
      </c>
      <c r="B1379" s="738" t="s">
        <v>976</v>
      </c>
      <c r="C1379" s="731" t="s">
        <v>275</v>
      </c>
      <c r="D1379" s="731"/>
      <c r="E1379" s="731"/>
      <c r="F1379" s="731"/>
      <c r="G1379" s="366" t="str">
        <f t="shared" ca="1" si="83"/>
        <v/>
      </c>
      <c r="H1379" s="366" t="s">
        <v>3970</v>
      </c>
      <c r="I1379" s="4"/>
      <c r="J1379" s="90"/>
      <c r="K1379" s="90"/>
      <c r="L1379" s="814"/>
      <c r="M1379" s="40"/>
      <c r="N1379" s="41"/>
      <c r="O1379" s="41"/>
    </row>
    <row r="1380" spans="1:45" x14ac:dyDescent="0.35">
      <c r="A1380" s="366">
        <v>7</v>
      </c>
      <c r="B1380" s="738" t="s">
        <v>976</v>
      </c>
      <c r="C1380" s="731" t="s">
        <v>275</v>
      </c>
      <c r="D1380" s="731"/>
      <c r="E1380" s="731"/>
      <c r="F1380" s="731"/>
      <c r="G1380" s="366" t="str">
        <f t="shared" ca="1" si="83"/>
        <v/>
      </c>
      <c r="H1380" s="366" t="s">
        <v>3970</v>
      </c>
      <c r="I1380" s="4"/>
      <c r="J1380" s="90"/>
      <c r="K1380" s="90"/>
      <c r="L1380" s="814"/>
      <c r="M1380" s="40"/>
      <c r="N1380" s="41"/>
      <c r="O1380" s="41"/>
    </row>
    <row r="1381" spans="1:45" x14ac:dyDescent="0.35">
      <c r="A1381" s="366">
        <v>7</v>
      </c>
      <c r="B1381" s="738" t="s">
        <v>976</v>
      </c>
      <c r="C1381" s="744" t="s">
        <v>275</v>
      </c>
      <c r="D1381" s="731" t="s">
        <v>121</v>
      </c>
      <c r="E1381" s="731"/>
      <c r="F1381" s="731"/>
      <c r="G1381" s="366" t="str">
        <f t="shared" ca="1" si="83"/>
        <v/>
      </c>
      <c r="H1381" s="732" t="s">
        <v>3970</v>
      </c>
      <c r="I1381" s="4"/>
      <c r="J1381" s="90"/>
      <c r="K1381" s="152" t="s">
        <v>121</v>
      </c>
      <c r="L1381" s="814" t="s">
        <v>989</v>
      </c>
      <c r="M1381" s="40"/>
      <c r="N1381" s="41"/>
      <c r="O1381" s="41"/>
      <c r="P1381" t="b">
        <v>1</v>
      </c>
      <c r="Q1381" t="b">
        <v>1</v>
      </c>
      <c r="R1381" t="b">
        <v>0</v>
      </c>
      <c r="S1381" t="b">
        <f ca="1">(S883=2)</f>
        <v>0</v>
      </c>
      <c r="T1381" t="b">
        <f ca="1">AND(NOT(S1381),W1381=TRUE)</f>
        <v>0</v>
      </c>
      <c r="W1381" s="17"/>
      <c r="X1381" s="817"/>
      <c r="Y1381" s="1100" t="str">
        <f>IF(LEN('Ch7'!X511)=0,"None",'Ch7'!X511)</f>
        <v>None</v>
      </c>
      <c r="Z1381" s="1102"/>
      <c r="AC1381" t="b">
        <f ca="1">OR(AD1381:AE1381)</f>
        <v>0</v>
      </c>
      <c r="AD1381" t="b">
        <f ca="1">T1381</f>
        <v>0</v>
      </c>
      <c r="AP1381" t="str">
        <f>SUBSTITUTE(SUBSTITUTE(SUBSTITUTE("vch"&amp;$B1381&amp;$C1381&amp;$D1381&amp;$E1381,".","_"),"(","_"),")","")</f>
        <v>vch703_7_3_5_a</v>
      </c>
      <c r="AQ1381" t="str">
        <f>IF(LEN(W1381)=0,"",W1381)</f>
        <v/>
      </c>
      <c r="AR1381" t="str">
        <f>SUBSTITUTE(SUBSTITUTE(SUBSTITUTE("vnt"&amp;$B1381&amp;$C1381&amp;$D1381&amp;$E1381,".","_"),"(","_"),")","")</f>
        <v>vnt703_7_3_5_a</v>
      </c>
      <c r="AS1381" t="str">
        <f>IF(LEN(X1381)=0,"",X1381)</f>
        <v/>
      </c>
    </row>
    <row r="1382" spans="1:45" x14ac:dyDescent="0.35">
      <c r="A1382" s="366">
        <v>7</v>
      </c>
      <c r="B1382" s="738" t="s">
        <v>976</v>
      </c>
      <c r="C1382" s="744" t="s">
        <v>275</v>
      </c>
      <c r="D1382" s="731" t="s">
        <v>121</v>
      </c>
      <c r="E1382" s="731"/>
      <c r="F1382" s="731"/>
      <c r="G1382" s="366" t="str">
        <f t="shared" ca="1" si="83"/>
        <v/>
      </c>
      <c r="H1382" s="366" t="s">
        <v>3970</v>
      </c>
      <c r="I1382" s="4"/>
      <c r="J1382" s="90"/>
      <c r="K1382" s="90"/>
      <c r="L1382" s="814"/>
      <c r="M1382" s="40"/>
      <c r="N1382" s="41"/>
      <c r="O1382" s="41"/>
      <c r="X1382" s="817"/>
      <c r="Y1382" s="1100"/>
      <c r="Z1382" s="1102"/>
    </row>
    <row r="1383" spans="1:45" x14ac:dyDescent="0.35">
      <c r="A1383" s="366">
        <v>7</v>
      </c>
      <c r="B1383" s="738" t="s">
        <v>976</v>
      </c>
      <c r="C1383" s="744" t="s">
        <v>275</v>
      </c>
      <c r="D1383" s="731" t="s">
        <v>122</v>
      </c>
      <c r="E1383" s="731"/>
      <c r="F1383" s="731"/>
      <c r="G1383" s="366" t="str">
        <f t="shared" ca="1" si="83"/>
        <v/>
      </c>
      <c r="H1383" s="732" t="s">
        <v>3970</v>
      </c>
      <c r="I1383" s="4"/>
      <c r="J1383" s="90"/>
      <c r="K1383" s="152" t="s">
        <v>122</v>
      </c>
      <c r="L1383" s="814" t="s">
        <v>990</v>
      </c>
      <c r="M1383" s="40"/>
      <c r="N1383" s="41"/>
      <c r="O1383" s="41"/>
      <c r="P1383" t="b">
        <v>1</v>
      </c>
      <c r="Q1383" t="b">
        <v>1</v>
      </c>
      <c r="R1383" t="b">
        <v>0</v>
      </c>
      <c r="S1383" t="b">
        <f ca="1">(S883=2)</f>
        <v>0</v>
      </c>
      <c r="T1383" t="b">
        <f ca="1">AND(NOT(S1383),W1383=TRUE)</f>
        <v>0</v>
      </c>
      <c r="W1383" s="17"/>
      <c r="X1383" s="817"/>
      <c r="Y1383" s="1100" t="str">
        <f>IF(LEN('Ch7'!X513)=0,"None",'Ch7'!X513)</f>
        <v>None</v>
      </c>
      <c r="Z1383" s="1102"/>
      <c r="AC1383" t="b">
        <f ca="1">OR(AD1383:AE1383)</f>
        <v>0</v>
      </c>
      <c r="AD1383" t="b">
        <f ca="1">T1383</f>
        <v>0</v>
      </c>
      <c r="AP1383" t="str">
        <f>SUBSTITUTE(SUBSTITUTE(SUBSTITUTE("vch"&amp;$B1383&amp;$C1383&amp;$D1383&amp;$E1383,".","_"),"(","_"),")","")</f>
        <v>vch703_7_3_5_b</v>
      </c>
      <c r="AQ1383" t="str">
        <f>IF(LEN(W1383)=0,"",W1383)</f>
        <v/>
      </c>
      <c r="AR1383" t="str">
        <f>SUBSTITUTE(SUBSTITUTE(SUBSTITUTE("vnt"&amp;$B1383&amp;$C1383&amp;$D1383&amp;$E1383,".","_"),"(","_"),")","")</f>
        <v>vnt703_7_3_5_b</v>
      </c>
      <c r="AS1383" t="str">
        <f>IF(LEN(X1383)=0,"",X1383)</f>
        <v/>
      </c>
    </row>
    <row r="1384" spans="1:45" x14ac:dyDescent="0.35">
      <c r="A1384" s="366">
        <v>7</v>
      </c>
      <c r="B1384" s="738" t="s">
        <v>976</v>
      </c>
      <c r="C1384" s="744" t="s">
        <v>275</v>
      </c>
      <c r="D1384" s="731" t="s">
        <v>122</v>
      </c>
      <c r="E1384" s="731"/>
      <c r="F1384" s="731"/>
      <c r="G1384" s="366" t="str">
        <f t="shared" ca="1" si="83"/>
        <v/>
      </c>
      <c r="H1384" s="366" t="s">
        <v>3970</v>
      </c>
      <c r="I1384" s="4"/>
      <c r="J1384" s="228"/>
      <c r="K1384" s="228"/>
      <c r="L1384" s="815"/>
      <c r="M1384" s="40"/>
      <c r="N1384" s="41"/>
      <c r="O1384" s="41"/>
      <c r="X1384" s="817"/>
      <c r="Y1384" s="1100"/>
      <c r="Z1384" s="1102"/>
    </row>
    <row r="1385" spans="1:45" x14ac:dyDescent="0.35">
      <c r="A1385" s="366">
        <v>7</v>
      </c>
      <c r="B1385" s="738" t="s">
        <v>976</v>
      </c>
      <c r="C1385" s="731" t="s">
        <v>277</v>
      </c>
      <c r="D1385" s="731"/>
      <c r="E1385" s="731"/>
      <c r="F1385" s="731"/>
      <c r="G1385" s="366" t="str">
        <f t="shared" ca="1" si="83"/>
        <v/>
      </c>
      <c r="H1385" s="366" t="s">
        <v>3970</v>
      </c>
      <c r="I1385" s="4"/>
      <c r="J1385" s="156" t="s">
        <v>277</v>
      </c>
      <c r="K1385" s="90"/>
      <c r="L1385" s="814" t="s">
        <v>991</v>
      </c>
      <c r="M1385" s="40"/>
      <c r="N1385" s="41"/>
      <c r="O1385" s="41"/>
      <c r="P1385" t="b">
        <v>1</v>
      </c>
      <c r="Q1385" t="b">
        <v>1</v>
      </c>
      <c r="R1385" t="b">
        <v>0</v>
      </c>
      <c r="S1385" t="b">
        <f ca="1">(S883=2)</f>
        <v>0</v>
      </c>
      <c r="T1385" t="b">
        <f ca="1">AND(NOT(S1385),W1385=TRUE)</f>
        <v>0</v>
      </c>
      <c r="W1385" s="17"/>
      <c r="X1385" s="817"/>
      <c r="Y1385" s="1100" t="str">
        <f>IF(LEN('Ch7'!X515)=0,"None",'Ch7'!X515)</f>
        <v>None</v>
      </c>
      <c r="Z1385" s="1102"/>
      <c r="AC1385" t="b">
        <f ca="1">OR(AD1385:AE1385)</f>
        <v>0</v>
      </c>
      <c r="AD1385" t="b">
        <f ca="1">T1385</f>
        <v>0</v>
      </c>
      <c r="AP1385" t="str">
        <f>SUBSTITUTE(SUBSTITUTE(SUBSTITUTE("vch"&amp;$B1385&amp;$C1385&amp;$D1385&amp;$E1385,".","_"),"(","_"),")","")</f>
        <v>vch703_7_3_6</v>
      </c>
      <c r="AQ1385" t="str">
        <f>IF(LEN(W1385)=0,"",W1385)</f>
        <v/>
      </c>
      <c r="AR1385" t="str">
        <f>SUBSTITUTE(SUBSTITUTE(SUBSTITUTE("vnt"&amp;$B1385&amp;$C1385&amp;$D1385&amp;$E1385,".","_"),"(","_"),")","")</f>
        <v>vnt703_7_3_6</v>
      </c>
      <c r="AS1385" t="str">
        <f>IF(LEN(X1385)=0,"",X1385)</f>
        <v/>
      </c>
    </row>
    <row r="1386" spans="1:45" x14ac:dyDescent="0.35">
      <c r="A1386" s="366">
        <v>7</v>
      </c>
      <c r="B1386" s="738" t="s">
        <v>976</v>
      </c>
      <c r="C1386" s="731" t="s">
        <v>277</v>
      </c>
      <c r="D1386" s="731"/>
      <c r="E1386" s="731"/>
      <c r="F1386" s="731"/>
      <c r="G1386" s="366" t="str">
        <f t="shared" ca="1" si="83"/>
        <v/>
      </c>
      <c r="H1386" s="366" t="s">
        <v>3970</v>
      </c>
      <c r="I1386" s="133"/>
      <c r="J1386" s="228"/>
      <c r="K1386" s="228"/>
      <c r="L1386" s="815"/>
      <c r="M1386" s="268"/>
      <c r="N1386" s="546"/>
      <c r="O1386" s="546"/>
      <c r="X1386" s="817"/>
      <c r="Y1386" s="1100"/>
      <c r="Z1386" s="1102"/>
    </row>
    <row r="1387" spans="1:45" x14ac:dyDescent="0.35">
      <c r="A1387" s="366">
        <v>7</v>
      </c>
      <c r="B1387" s="738" t="s">
        <v>992</v>
      </c>
      <c r="C1387" s="735"/>
      <c r="D1387" s="731"/>
      <c r="E1387" s="731"/>
      <c r="F1387" s="731"/>
      <c r="G1387" s="366" t="str">
        <f ca="1">IF(N1387&gt;0,"P","")</f>
        <v/>
      </c>
      <c r="H1387" s="366" t="s">
        <v>3970</v>
      </c>
      <c r="I1387" s="32" t="s">
        <v>992</v>
      </c>
      <c r="J1387" s="90"/>
      <c r="K1387" s="90"/>
      <c r="L1387" s="896" t="s">
        <v>993</v>
      </c>
      <c r="M1387" s="818">
        <v>4</v>
      </c>
      <c r="N1387" s="834">
        <f ca="1">'Ch7'!O517</f>
        <v>0</v>
      </c>
      <c r="O1387" s="834">
        <f ca="1">M1387*S1387*W1387</f>
        <v>0</v>
      </c>
      <c r="P1387" t="b">
        <v>1</v>
      </c>
      <c r="Q1387" t="b">
        <v>1</v>
      </c>
      <c r="R1387" t="b">
        <v>0</v>
      </c>
      <c r="S1387" t="b">
        <f ca="1">AND(S883=2,W1330=TRUE,NOT(BI886="Tropical"))</f>
        <v>0</v>
      </c>
      <c r="T1387" t="b">
        <f ca="1">AND(NOT(S1387),W1387=TRUE)</f>
        <v>0</v>
      </c>
      <c r="W1387" s="17"/>
      <c r="AC1387" t="b">
        <f ca="1">OR(AD1387:AE1387)</f>
        <v>0</v>
      </c>
      <c r="AD1387" t="b">
        <f ca="1">T1387</f>
        <v>0</v>
      </c>
      <c r="AL1387" t="str">
        <f>SUBSTITUTE(SUBSTITUTE(SUBSTITUTE("vpa"&amp;$B1387&amp;$C1387&amp;$D1387&amp;$E1387,".","_"),"(","_"),")","")</f>
        <v>vpa703_7_4</v>
      </c>
      <c r="AM1387">
        <f>M1387</f>
        <v>4</v>
      </c>
      <c r="AN1387" t="str">
        <f>SUBSTITUTE(SUBSTITUTE(SUBSTITUTE("vpc"&amp;$B1387&amp;$C1387&amp;$D1387&amp;$E1387,".","_"),"(","_"),")","")</f>
        <v>vpc703_7_4</v>
      </c>
      <c r="AO1387">
        <f ca="1">O1387</f>
        <v>0</v>
      </c>
      <c r="AP1387" t="str">
        <f>SUBSTITUTE(SUBSTITUTE(SUBSTITUTE("vch"&amp;$B1387&amp;$C1387&amp;$D1387&amp;$E1387,".","_"),"(","_"),")","")</f>
        <v>vch703_7_4</v>
      </c>
      <c r="AQ1387" t="str">
        <f>IF(LEN(W1387)=0,"",W1387)</f>
        <v/>
      </c>
    </row>
    <row r="1388" spans="1:45" x14ac:dyDescent="0.35">
      <c r="A1388" s="366">
        <v>7</v>
      </c>
      <c r="B1388" s="738" t="s">
        <v>992</v>
      </c>
      <c r="C1388" s="735"/>
      <c r="D1388" s="731"/>
      <c r="E1388" s="731"/>
      <c r="F1388" s="731"/>
      <c r="G1388" s="366" t="str">
        <f t="shared" ref="G1388:G1409" ca="1" si="84">G1387</f>
        <v/>
      </c>
      <c r="H1388" s="366" t="s">
        <v>3970</v>
      </c>
      <c r="I1388" s="4"/>
      <c r="J1388" s="90"/>
      <c r="K1388" s="90"/>
      <c r="L1388" s="896"/>
      <c r="M1388" s="818"/>
      <c r="N1388" s="834"/>
      <c r="O1388" s="834"/>
    </row>
    <row r="1389" spans="1:45" x14ac:dyDescent="0.35">
      <c r="A1389" s="366">
        <v>7</v>
      </c>
      <c r="B1389" s="738" t="s">
        <v>992</v>
      </c>
      <c r="C1389" s="735"/>
      <c r="D1389" s="731"/>
      <c r="E1389" s="731"/>
      <c r="F1389" s="731"/>
      <c r="G1389" s="366" t="str">
        <f t="shared" ca="1" si="84"/>
        <v/>
      </c>
      <c r="H1389" s="366" t="s">
        <v>3970</v>
      </c>
      <c r="I1389" s="4"/>
      <c r="J1389" s="90"/>
      <c r="K1389" s="90"/>
      <c r="L1389" s="90" t="s">
        <v>994</v>
      </c>
      <c r="M1389" s="40"/>
      <c r="N1389" s="41"/>
      <c r="O1389" s="41"/>
    </row>
    <row r="1390" spans="1:45" x14ac:dyDescent="0.35">
      <c r="A1390" s="366">
        <v>7</v>
      </c>
      <c r="B1390" s="738" t="s">
        <v>992</v>
      </c>
      <c r="C1390" s="731" t="s">
        <v>256</v>
      </c>
      <c r="D1390" s="731"/>
      <c r="E1390" s="731"/>
      <c r="F1390" s="731"/>
      <c r="G1390" s="366" t="str">
        <f t="shared" ca="1" si="84"/>
        <v/>
      </c>
      <c r="H1390" s="366" t="s">
        <v>3970</v>
      </c>
      <c r="I1390" s="4"/>
      <c r="J1390" s="156" t="s">
        <v>256</v>
      </c>
      <c r="K1390" s="90"/>
      <c r="L1390" s="814" t="s">
        <v>995</v>
      </c>
      <c r="M1390" s="40"/>
      <c r="N1390" s="41"/>
      <c r="O1390" s="41"/>
      <c r="X1390" s="817"/>
      <c r="Y1390" s="1100" t="str">
        <f>IF(LEN('Ch7'!X520)=0,"None",'Ch7'!X520)</f>
        <v>None</v>
      </c>
      <c r="Z1390" s="1102"/>
      <c r="AR1390" t="str">
        <f>SUBSTITUTE(SUBSTITUTE(SUBSTITUTE("vnt"&amp;$B1390&amp;$C1390&amp;$D1390&amp;$E1390,".","_"),"(","_"),")","")</f>
        <v>vnt703_7_4_1</v>
      </c>
      <c r="AS1390" t="str">
        <f>IF(LEN(X1390)=0,"",X1390)</f>
        <v/>
      </c>
    </row>
    <row r="1391" spans="1:45" x14ac:dyDescent="0.35">
      <c r="A1391" s="366">
        <v>7</v>
      </c>
      <c r="B1391" s="738" t="s">
        <v>992</v>
      </c>
      <c r="C1391" s="731" t="s">
        <v>256</v>
      </c>
      <c r="D1391" s="731"/>
      <c r="E1391" s="731"/>
      <c r="F1391" s="731"/>
      <c r="G1391" s="366" t="str">
        <f t="shared" ca="1" si="84"/>
        <v/>
      </c>
      <c r="H1391" s="366" t="s">
        <v>3970</v>
      </c>
      <c r="I1391" s="4"/>
      <c r="J1391" s="228"/>
      <c r="K1391" s="228"/>
      <c r="L1391" s="815"/>
      <c r="M1391" s="40"/>
      <c r="N1391" s="41"/>
      <c r="O1391" s="41"/>
      <c r="X1391" s="817"/>
      <c r="Y1391" s="1100"/>
      <c r="Z1391" s="1102"/>
    </row>
    <row r="1392" spans="1:45" x14ac:dyDescent="0.35">
      <c r="A1392" s="366">
        <v>7</v>
      </c>
      <c r="B1392" s="738" t="s">
        <v>992</v>
      </c>
      <c r="C1392" s="731" t="s">
        <v>258</v>
      </c>
      <c r="D1392" s="731"/>
      <c r="E1392" s="731"/>
      <c r="F1392" s="731"/>
      <c r="G1392" s="366" t="str">
        <f t="shared" ca="1" si="84"/>
        <v/>
      </c>
      <c r="H1392" s="366" t="s">
        <v>3970</v>
      </c>
      <c r="I1392" s="4"/>
      <c r="J1392" s="156" t="s">
        <v>258</v>
      </c>
      <c r="K1392" s="90"/>
      <c r="L1392" s="848" t="s">
        <v>996</v>
      </c>
      <c r="M1392" s="40"/>
      <c r="N1392" s="41"/>
      <c r="O1392" s="41"/>
    </row>
    <row r="1393" spans="1:45" x14ac:dyDescent="0.35">
      <c r="A1393" s="366">
        <v>7</v>
      </c>
      <c r="B1393" s="738" t="s">
        <v>992</v>
      </c>
      <c r="C1393" s="731" t="s">
        <v>258</v>
      </c>
      <c r="D1393" s="731"/>
      <c r="E1393" s="731"/>
      <c r="F1393" s="731"/>
      <c r="G1393" s="366" t="str">
        <f t="shared" ca="1" si="84"/>
        <v/>
      </c>
      <c r="H1393" s="366" t="s">
        <v>3970</v>
      </c>
      <c r="I1393" s="4"/>
      <c r="J1393" s="90"/>
      <c r="K1393" s="90"/>
      <c r="L1393" s="848"/>
      <c r="M1393" s="40"/>
      <c r="N1393" s="41"/>
      <c r="O1393" s="41"/>
    </row>
    <row r="1394" spans="1:45" x14ac:dyDescent="0.35">
      <c r="A1394" s="366">
        <v>7</v>
      </c>
      <c r="B1394" s="738" t="s">
        <v>992</v>
      </c>
      <c r="C1394" s="731" t="s">
        <v>258</v>
      </c>
      <c r="D1394" s="731" t="s">
        <v>121</v>
      </c>
      <c r="E1394" s="731"/>
      <c r="F1394" s="731"/>
      <c r="G1394" s="366" t="str">
        <f t="shared" ca="1" si="84"/>
        <v/>
      </c>
      <c r="H1394" s="732" t="s">
        <v>3970</v>
      </c>
      <c r="I1394" s="4"/>
      <c r="J1394" s="90"/>
      <c r="K1394" s="152" t="s">
        <v>121</v>
      </c>
      <c r="L1394" s="814" t="s">
        <v>997</v>
      </c>
      <c r="M1394" s="40"/>
      <c r="N1394" s="41"/>
      <c r="O1394" s="41"/>
      <c r="X1394" s="817"/>
      <c r="Y1394" s="1100" t="str">
        <f>IF(LEN('Ch7'!X524)=0,"None",'Ch7'!X524)</f>
        <v>None</v>
      </c>
      <c r="Z1394" s="1102"/>
      <c r="AR1394" t="str">
        <f>SUBSTITUTE(SUBSTITUTE(SUBSTITUTE("vnt"&amp;$B1394&amp;$C1394&amp;$D1394&amp;$E1394,".","_"),"(","_"),")","")</f>
        <v>vnt703_7_4_2_a</v>
      </c>
      <c r="AS1394" t="str">
        <f>IF(LEN(X1394)=0,"",X1394)</f>
        <v/>
      </c>
    </row>
    <row r="1395" spans="1:45" x14ac:dyDescent="0.35">
      <c r="A1395" s="366">
        <v>7</v>
      </c>
      <c r="B1395" s="738" t="s">
        <v>992</v>
      </c>
      <c r="C1395" s="731" t="s">
        <v>258</v>
      </c>
      <c r="D1395" s="731" t="s">
        <v>121</v>
      </c>
      <c r="E1395" s="731"/>
      <c r="F1395" s="731"/>
      <c r="G1395" s="366" t="str">
        <f t="shared" ca="1" si="84"/>
        <v/>
      </c>
      <c r="H1395" s="366" t="s">
        <v>3970</v>
      </c>
      <c r="I1395" s="4"/>
      <c r="J1395" s="90"/>
      <c r="K1395" s="90"/>
      <c r="L1395" s="814"/>
      <c r="M1395" s="40"/>
      <c r="N1395" s="41"/>
      <c r="O1395" s="41"/>
      <c r="X1395" s="817"/>
      <c r="Y1395" s="1100"/>
      <c r="Z1395" s="1102"/>
    </row>
    <row r="1396" spans="1:45" x14ac:dyDescent="0.35">
      <c r="A1396" s="366">
        <v>7</v>
      </c>
      <c r="B1396" s="738" t="s">
        <v>992</v>
      </c>
      <c r="C1396" s="731" t="s">
        <v>258</v>
      </c>
      <c r="D1396" s="731" t="s">
        <v>121</v>
      </c>
      <c r="E1396" s="731"/>
      <c r="F1396" s="731"/>
      <c r="G1396" s="366" t="str">
        <f t="shared" ca="1" si="84"/>
        <v/>
      </c>
      <c r="H1396" s="366" t="s">
        <v>3970</v>
      </c>
      <c r="I1396" s="4"/>
      <c r="J1396" s="90"/>
      <c r="K1396" s="228"/>
      <c r="L1396" s="815"/>
      <c r="M1396" s="40"/>
      <c r="N1396" s="41"/>
      <c r="O1396" s="41"/>
      <c r="X1396" s="817"/>
      <c r="Y1396" s="1100"/>
      <c r="Z1396" s="1102"/>
    </row>
    <row r="1397" spans="1:45" x14ac:dyDescent="0.35">
      <c r="A1397" s="366">
        <v>7</v>
      </c>
      <c r="B1397" s="738" t="s">
        <v>992</v>
      </c>
      <c r="C1397" s="731" t="s">
        <v>258</v>
      </c>
      <c r="D1397" s="731" t="s">
        <v>122</v>
      </c>
      <c r="E1397" s="731"/>
      <c r="F1397" s="731"/>
      <c r="G1397" s="366" t="str">
        <f t="shared" ca="1" si="84"/>
        <v/>
      </c>
      <c r="H1397" s="732" t="s">
        <v>3970</v>
      </c>
      <c r="I1397" s="4"/>
      <c r="J1397" s="90"/>
      <c r="K1397" s="152" t="s">
        <v>122</v>
      </c>
      <c r="L1397" s="814" t="s">
        <v>998</v>
      </c>
      <c r="M1397" s="40"/>
      <c r="N1397" s="41"/>
      <c r="O1397" s="41"/>
      <c r="X1397" s="817"/>
      <c r="Y1397" s="1100" t="str">
        <f>IF(LEN('Ch7'!X527)=0,"None",'Ch7'!X527)</f>
        <v>None</v>
      </c>
      <c r="Z1397" s="1102"/>
      <c r="AR1397" t="str">
        <f>SUBSTITUTE(SUBSTITUTE(SUBSTITUTE("vnt"&amp;$B1397&amp;$C1397&amp;$D1397&amp;$E1397,".","_"),"(","_"),")","")</f>
        <v>vnt703_7_4_2_b</v>
      </c>
      <c r="AS1397" t="str">
        <f>IF(LEN(X1397)=0,"",X1397)</f>
        <v/>
      </c>
    </row>
    <row r="1398" spans="1:45" x14ac:dyDescent="0.35">
      <c r="A1398" s="366">
        <v>7</v>
      </c>
      <c r="B1398" s="738" t="s">
        <v>992</v>
      </c>
      <c r="C1398" s="731" t="s">
        <v>258</v>
      </c>
      <c r="D1398" s="731" t="s">
        <v>122</v>
      </c>
      <c r="E1398" s="731"/>
      <c r="F1398" s="731"/>
      <c r="G1398" s="366" t="str">
        <f t="shared" ca="1" si="84"/>
        <v/>
      </c>
      <c r="H1398" s="366" t="s">
        <v>3970</v>
      </c>
      <c r="I1398" s="4"/>
      <c r="J1398" s="90"/>
      <c r="K1398" s="90"/>
      <c r="L1398" s="814"/>
      <c r="M1398" s="40"/>
      <c r="N1398" s="41"/>
      <c r="O1398" s="41"/>
      <c r="X1398" s="817"/>
      <c r="Y1398" s="1100"/>
      <c r="Z1398" s="1102"/>
    </row>
    <row r="1399" spans="1:45" x14ac:dyDescent="0.35">
      <c r="A1399" s="366">
        <v>7</v>
      </c>
      <c r="B1399" s="738" t="s">
        <v>992</v>
      </c>
      <c r="C1399" s="731" t="s">
        <v>258</v>
      </c>
      <c r="D1399" s="731" t="s">
        <v>122</v>
      </c>
      <c r="E1399" s="731" t="s">
        <v>843</v>
      </c>
      <c r="F1399" s="731"/>
      <c r="G1399" s="366" t="str">
        <f t="shared" ca="1" si="84"/>
        <v/>
      </c>
      <c r="H1399" s="366" t="s">
        <v>3970</v>
      </c>
      <c r="I1399" s="4"/>
      <c r="J1399" s="90"/>
      <c r="K1399" s="92" t="s">
        <v>843</v>
      </c>
      <c r="L1399" s="814" t="s">
        <v>999</v>
      </c>
      <c r="M1399" s="40"/>
      <c r="N1399" s="41"/>
      <c r="O1399" s="41"/>
      <c r="X1399" s="817"/>
      <c r="Y1399" s="1100"/>
      <c r="Z1399" s="1102"/>
    </row>
    <row r="1400" spans="1:45" x14ac:dyDescent="0.35">
      <c r="A1400" s="366">
        <v>7</v>
      </c>
      <c r="B1400" s="738" t="s">
        <v>992</v>
      </c>
      <c r="C1400" s="731" t="s">
        <v>258</v>
      </c>
      <c r="D1400" s="731" t="s">
        <v>122</v>
      </c>
      <c r="E1400" s="731" t="s">
        <v>843</v>
      </c>
      <c r="F1400" s="731"/>
      <c r="G1400" s="366" t="str">
        <f t="shared" ca="1" si="84"/>
        <v/>
      </c>
      <c r="H1400" s="366" t="s">
        <v>3970</v>
      </c>
      <c r="I1400" s="4"/>
      <c r="J1400" s="90"/>
      <c r="K1400" s="158"/>
      <c r="L1400" s="814"/>
      <c r="M1400" s="40"/>
      <c r="N1400" s="41"/>
      <c r="O1400" s="41"/>
      <c r="X1400" s="817"/>
      <c r="Y1400" s="1100"/>
      <c r="Z1400" s="1102"/>
    </row>
    <row r="1401" spans="1:45" x14ac:dyDescent="0.35">
      <c r="A1401" s="366">
        <v>7</v>
      </c>
      <c r="B1401" s="738" t="s">
        <v>992</v>
      </c>
      <c r="C1401" s="731" t="s">
        <v>258</v>
      </c>
      <c r="D1401" s="731" t="s">
        <v>122</v>
      </c>
      <c r="E1401" s="731" t="s">
        <v>1000</v>
      </c>
      <c r="F1401" s="731"/>
      <c r="G1401" s="366" t="str">
        <f t="shared" ca="1" si="84"/>
        <v/>
      </c>
      <c r="H1401" s="366" t="s">
        <v>3970</v>
      </c>
      <c r="I1401" s="4"/>
      <c r="J1401" s="90"/>
      <c r="K1401" s="92" t="s">
        <v>1000</v>
      </c>
      <c r="L1401" s="814" t="s">
        <v>1001</v>
      </c>
      <c r="M1401" s="40"/>
      <c r="N1401" s="41"/>
      <c r="O1401" s="41"/>
      <c r="X1401" s="817"/>
      <c r="Y1401" s="1100"/>
      <c r="Z1401" s="1102"/>
    </row>
    <row r="1402" spans="1:45" x14ac:dyDescent="0.35">
      <c r="A1402" s="366">
        <v>7</v>
      </c>
      <c r="B1402" s="738" t="s">
        <v>992</v>
      </c>
      <c r="C1402" s="731" t="s">
        <v>258</v>
      </c>
      <c r="D1402" s="731" t="s">
        <v>122</v>
      </c>
      <c r="E1402" s="731" t="s">
        <v>1000</v>
      </c>
      <c r="F1402" s="731"/>
      <c r="G1402" s="366" t="str">
        <f t="shared" ca="1" si="84"/>
        <v/>
      </c>
      <c r="H1402" s="366" t="s">
        <v>3970</v>
      </c>
      <c r="I1402" s="4"/>
      <c r="J1402" s="90"/>
      <c r="K1402" s="158"/>
      <c r="L1402" s="814"/>
      <c r="M1402" s="40"/>
      <c r="N1402" s="41"/>
      <c r="O1402" s="41"/>
      <c r="X1402" s="817"/>
      <c r="Y1402" s="1100"/>
      <c r="Z1402" s="1102"/>
    </row>
    <row r="1403" spans="1:45" x14ac:dyDescent="0.35">
      <c r="A1403" s="366">
        <v>7</v>
      </c>
      <c r="B1403" s="738" t="s">
        <v>992</v>
      </c>
      <c r="C1403" s="731" t="s">
        <v>258</v>
      </c>
      <c r="D1403" s="731" t="s">
        <v>122</v>
      </c>
      <c r="E1403" s="731" t="s">
        <v>1002</v>
      </c>
      <c r="F1403" s="731"/>
      <c r="G1403" s="366" t="str">
        <f t="shared" ca="1" si="84"/>
        <v/>
      </c>
      <c r="H1403" s="366" t="s">
        <v>3970</v>
      </c>
      <c r="I1403" s="4"/>
      <c r="J1403" s="90"/>
      <c r="K1403" s="92" t="s">
        <v>1002</v>
      </c>
      <c r="L1403" s="814" t="s">
        <v>1003</v>
      </c>
      <c r="M1403" s="40"/>
      <c r="N1403" s="41"/>
      <c r="O1403" s="41"/>
      <c r="X1403" s="817"/>
      <c r="Y1403" s="1100"/>
      <c r="Z1403" s="1102"/>
    </row>
    <row r="1404" spans="1:45" x14ac:dyDescent="0.35">
      <c r="A1404" s="366">
        <v>7</v>
      </c>
      <c r="B1404" s="738" t="s">
        <v>992</v>
      </c>
      <c r="C1404" s="731" t="s">
        <v>258</v>
      </c>
      <c r="D1404" s="731" t="s">
        <v>122</v>
      </c>
      <c r="E1404" s="731" t="s">
        <v>1002</v>
      </c>
      <c r="F1404" s="731"/>
      <c r="G1404" s="366" t="str">
        <f t="shared" ca="1" si="84"/>
        <v/>
      </c>
      <c r="H1404" s="366" t="s">
        <v>3970</v>
      </c>
      <c r="I1404" s="4"/>
      <c r="J1404" s="90"/>
      <c r="K1404" s="228"/>
      <c r="L1404" s="815"/>
      <c r="M1404" s="40"/>
      <c r="N1404" s="41"/>
      <c r="O1404" s="41"/>
      <c r="X1404" s="817"/>
      <c r="Y1404" s="1100"/>
      <c r="Z1404" s="1102"/>
    </row>
    <row r="1405" spans="1:45" x14ac:dyDescent="0.35">
      <c r="A1405" s="366">
        <v>7</v>
      </c>
      <c r="B1405" s="738" t="s">
        <v>992</v>
      </c>
      <c r="C1405" s="731" t="s">
        <v>258</v>
      </c>
      <c r="D1405" s="731" t="s">
        <v>123</v>
      </c>
      <c r="E1405" s="731"/>
      <c r="F1405" s="731"/>
      <c r="G1405" s="366" t="str">
        <f t="shared" ca="1" si="84"/>
        <v/>
      </c>
      <c r="H1405" s="732" t="s">
        <v>3970</v>
      </c>
      <c r="I1405" s="4"/>
      <c r="J1405" s="90"/>
      <c r="K1405" s="152" t="s">
        <v>123</v>
      </c>
      <c r="L1405" s="814" t="s">
        <v>1004</v>
      </c>
      <c r="M1405" s="40"/>
      <c r="N1405" s="41"/>
      <c r="O1405" s="41"/>
      <c r="X1405" s="817"/>
      <c r="Y1405" s="1100" t="str">
        <f>IF(LEN('Ch7'!X535)=0,"None",'Ch7'!X535)</f>
        <v>None</v>
      </c>
      <c r="Z1405" s="1102"/>
      <c r="AR1405" t="str">
        <f>SUBSTITUTE(SUBSTITUTE(SUBSTITUTE("vnt"&amp;$B1405&amp;$C1405&amp;$D1405&amp;$E1405,".","_"),"(","_"),")","")</f>
        <v>vnt703_7_4_2_c</v>
      </c>
      <c r="AS1405" t="str">
        <f>IF(LEN(X1405)=0,"",X1405)</f>
        <v/>
      </c>
    </row>
    <row r="1406" spans="1:45" x14ac:dyDescent="0.35">
      <c r="A1406" s="366">
        <v>7</v>
      </c>
      <c r="B1406" s="738" t="s">
        <v>992</v>
      </c>
      <c r="C1406" s="731" t="s">
        <v>258</v>
      </c>
      <c r="D1406" s="731" t="s">
        <v>123</v>
      </c>
      <c r="E1406" s="731"/>
      <c r="F1406" s="731"/>
      <c r="G1406" s="366" t="str">
        <f t="shared" ca="1" si="84"/>
        <v/>
      </c>
      <c r="H1406" s="366" t="s">
        <v>3970</v>
      </c>
      <c r="I1406" s="4"/>
      <c r="J1406" s="90"/>
      <c r="K1406" s="90"/>
      <c r="L1406" s="814"/>
      <c r="M1406" s="40"/>
      <c r="N1406" s="41"/>
      <c r="O1406" s="41"/>
      <c r="X1406" s="817"/>
      <c r="Y1406" s="1100"/>
      <c r="Z1406" s="1102"/>
    </row>
    <row r="1407" spans="1:45" x14ac:dyDescent="0.35">
      <c r="A1407" s="366">
        <v>7</v>
      </c>
      <c r="B1407" s="738" t="s">
        <v>992</v>
      </c>
      <c r="C1407" s="731" t="s">
        <v>258</v>
      </c>
      <c r="D1407" s="731" t="s">
        <v>123</v>
      </c>
      <c r="E1407" s="731"/>
      <c r="F1407" s="731"/>
      <c r="G1407" s="366" t="str">
        <f t="shared" ca="1" si="84"/>
        <v/>
      </c>
      <c r="H1407" s="366" t="s">
        <v>3970</v>
      </c>
      <c r="I1407" s="4"/>
      <c r="J1407" s="228"/>
      <c r="K1407" s="228"/>
      <c r="L1407" s="815"/>
      <c r="M1407" s="40"/>
      <c r="N1407" s="41"/>
      <c r="O1407" s="41"/>
      <c r="X1407" s="817"/>
      <c r="Y1407" s="1100"/>
      <c r="Z1407" s="1102"/>
    </row>
    <row r="1408" spans="1:45" x14ac:dyDescent="0.35">
      <c r="A1408" s="366">
        <v>7</v>
      </c>
      <c r="B1408" s="738" t="s">
        <v>992</v>
      </c>
      <c r="C1408" s="731" t="s">
        <v>260</v>
      </c>
      <c r="D1408" s="731"/>
      <c r="E1408" s="731"/>
      <c r="F1408" s="731"/>
      <c r="G1408" s="366" t="str">
        <f t="shared" ca="1" si="84"/>
        <v/>
      </c>
      <c r="H1408" s="366" t="s">
        <v>3970</v>
      </c>
      <c r="I1408" s="4"/>
      <c r="J1408" s="156" t="s">
        <v>260</v>
      </c>
      <c r="K1408" s="90"/>
      <c r="L1408" s="814" t="s">
        <v>1005</v>
      </c>
      <c r="M1408" s="40"/>
      <c r="N1408" s="41"/>
      <c r="O1408" s="41"/>
      <c r="X1408" s="817"/>
      <c r="Y1408" s="1100" t="str">
        <f>IF(LEN('Ch7'!X538)=0,"None",'Ch7'!X538)</f>
        <v>None</v>
      </c>
      <c r="Z1408" s="1102"/>
      <c r="AR1408" t="str">
        <f>SUBSTITUTE(SUBSTITUTE(SUBSTITUTE("vnt"&amp;$B1408&amp;$C1408&amp;$D1408&amp;$E1408,".","_"),"(","_"),")","")</f>
        <v>vnt703_7_4_3</v>
      </c>
      <c r="AS1408" t="str">
        <f>IF(LEN(X1408)=0,"",X1408)</f>
        <v/>
      </c>
    </row>
    <row r="1409" spans="1:45" x14ac:dyDescent="0.35">
      <c r="A1409" s="366">
        <v>7</v>
      </c>
      <c r="B1409" s="738" t="s">
        <v>992</v>
      </c>
      <c r="C1409" s="731" t="s">
        <v>260</v>
      </c>
      <c r="D1409" s="731"/>
      <c r="E1409" s="731"/>
      <c r="F1409" s="731"/>
      <c r="G1409" s="366" t="str">
        <f t="shared" ca="1" si="84"/>
        <v/>
      </c>
      <c r="H1409" s="366" t="s">
        <v>3970</v>
      </c>
      <c r="I1409" s="4"/>
      <c r="J1409" s="90"/>
      <c r="K1409" s="90"/>
      <c r="L1409" s="814"/>
      <c r="M1409" s="40"/>
      <c r="N1409" s="41"/>
      <c r="O1409" s="41"/>
      <c r="X1409" s="817"/>
      <c r="Y1409" s="1100"/>
      <c r="Z1409" s="1102"/>
    </row>
    <row r="1410" spans="1:45" ht="18.5" x14ac:dyDescent="0.45">
      <c r="A1410" s="366">
        <v>7</v>
      </c>
      <c r="B1410" s="738">
        <v>704</v>
      </c>
      <c r="C1410" s="735"/>
      <c r="D1410" s="731"/>
      <c r="E1410" s="731"/>
      <c r="F1410" s="731"/>
      <c r="G1410" s="366" t="s">
        <v>3973</v>
      </c>
      <c r="H1410" s="366" t="s">
        <v>3970</v>
      </c>
      <c r="I1410" s="10" t="s">
        <v>4854</v>
      </c>
      <c r="J1410" s="44"/>
      <c r="K1410" s="44"/>
      <c r="L1410" s="44"/>
      <c r="M1410" s="243"/>
      <c r="N1410" s="544"/>
      <c r="O1410" s="544"/>
      <c r="P1410" s="15"/>
      <c r="Q1410" s="15"/>
      <c r="R1410" s="15"/>
      <c r="S1410" s="15"/>
      <c r="T1410" s="15"/>
      <c r="U1410" s="15"/>
      <c r="V1410" s="15"/>
      <c r="W1410" s="15"/>
      <c r="X1410" s="15"/>
      <c r="Y1410" s="15"/>
      <c r="Z1410" s="651"/>
    </row>
    <row r="1411" spans="1:45" ht="15" customHeight="1" x14ac:dyDescent="0.35">
      <c r="A1411" s="366">
        <v>7</v>
      </c>
      <c r="B1411" s="738">
        <v>704.1</v>
      </c>
      <c r="C1411" s="735"/>
      <c r="D1411" s="731"/>
      <c r="E1411" s="731"/>
      <c r="F1411" s="731"/>
      <c r="G1411" s="366" t="str">
        <f>IF(N1411&gt;0,"P","")</f>
        <v/>
      </c>
      <c r="H1411" s="366" t="s">
        <v>3972</v>
      </c>
      <c r="I1411" s="30">
        <v>704.1</v>
      </c>
      <c r="J1411" s="90"/>
      <c r="K1411" s="90"/>
      <c r="L1411" s="881" t="s">
        <v>4322</v>
      </c>
      <c r="M1411" s="40"/>
      <c r="N1411" s="834">
        <f>'Ch7'!O541</f>
        <v>0</v>
      </c>
      <c r="O1411" s="832">
        <f>ROUNDDOWN(IFERROR(IF(AND((W1417-W1419)*2+30&gt;=30,NOT(ISBLANK(W1417)),NOT(ISBLANK(W1419))),(W1417-W1419)*2+30,0),0),0)</f>
        <v>0</v>
      </c>
      <c r="X1411" s="850"/>
      <c r="Y1411" s="1100" t="str">
        <f>IF(LEN('Ch7'!X541)=0,"None",'Ch7'!X541)</f>
        <v>None</v>
      </c>
      <c r="Z1411" s="1102"/>
      <c r="AN1411" t="str">
        <f>SUBSTITUTE(SUBSTITUTE(SUBSTITUTE("vpc"&amp;$B1411&amp;$C1411&amp;$D1411&amp;$E1411,".","_"),"(","_"),")","")</f>
        <v>vpc704_1</v>
      </c>
      <c r="AO1411">
        <f>O1411</f>
        <v>0</v>
      </c>
      <c r="AR1411" t="str">
        <f>SUBSTITUTE(SUBSTITUTE(SUBSTITUTE("vnt"&amp;$B1411&amp;$C1411&amp;$D1411&amp;$E1411,".","_"),"(","_"),")","")</f>
        <v>vnt704_1</v>
      </c>
      <c r="AS1411" t="str">
        <f>IF(LEN(X1411)=0,"",X1411)</f>
        <v/>
      </c>
    </row>
    <row r="1412" spans="1:45" x14ac:dyDescent="0.35">
      <c r="A1412" s="366">
        <v>7</v>
      </c>
      <c r="B1412" s="738">
        <v>704.1</v>
      </c>
      <c r="C1412" s="735"/>
      <c r="D1412" s="731"/>
      <c r="E1412" s="731"/>
      <c r="F1412" s="731"/>
      <c r="G1412" s="366" t="str">
        <f t="shared" ref="G1412:G1421" si="85">G1411</f>
        <v/>
      </c>
      <c r="H1412" s="366" t="s">
        <v>3972</v>
      </c>
      <c r="I1412" s="4"/>
      <c r="J1412" s="90"/>
      <c r="K1412" s="90"/>
      <c r="L1412" s="881"/>
      <c r="M1412" s="40"/>
      <c r="N1412" s="834"/>
      <c r="O1412" s="832"/>
      <c r="X1412" s="851"/>
      <c r="Y1412" s="1100"/>
      <c r="Z1412" s="1102"/>
    </row>
    <row r="1413" spans="1:45" x14ac:dyDescent="0.35">
      <c r="A1413" s="366">
        <v>7</v>
      </c>
      <c r="B1413" s="738">
        <v>704.1</v>
      </c>
      <c r="C1413" s="735"/>
      <c r="D1413" s="731"/>
      <c r="E1413" s="731"/>
      <c r="F1413" s="731"/>
      <c r="G1413" s="366" t="str">
        <f t="shared" si="85"/>
        <v/>
      </c>
      <c r="H1413" s="366" t="s">
        <v>3972</v>
      </c>
      <c r="I1413" s="4"/>
      <c r="J1413" s="90"/>
      <c r="K1413" s="90"/>
      <c r="L1413" s="881"/>
      <c r="M1413" s="40"/>
      <c r="N1413" s="834"/>
      <c r="O1413" s="832"/>
      <c r="X1413" s="851"/>
      <c r="Y1413" s="1100"/>
      <c r="Z1413" s="1102"/>
    </row>
    <row r="1414" spans="1:45" x14ac:dyDescent="0.35">
      <c r="A1414" s="366">
        <v>7</v>
      </c>
      <c r="B1414" s="738">
        <v>704.1</v>
      </c>
      <c r="C1414" s="735"/>
      <c r="D1414" s="731"/>
      <c r="E1414" s="731"/>
      <c r="F1414" s="731"/>
      <c r="G1414" s="366" t="str">
        <f t="shared" si="85"/>
        <v/>
      </c>
      <c r="H1414" s="366" t="s">
        <v>3972</v>
      </c>
      <c r="I1414" s="4"/>
      <c r="J1414" s="90"/>
      <c r="K1414" s="90"/>
      <c r="L1414" s="881"/>
      <c r="M1414" s="40"/>
      <c r="N1414" s="834"/>
      <c r="O1414" s="832"/>
      <c r="X1414" s="851"/>
      <c r="Y1414" s="1100"/>
      <c r="Z1414" s="1102"/>
    </row>
    <row r="1415" spans="1:45" ht="15" customHeight="1" x14ac:dyDescent="0.35">
      <c r="A1415" s="366">
        <v>7</v>
      </c>
      <c r="B1415" s="738">
        <v>704.1</v>
      </c>
      <c r="C1415" s="735"/>
      <c r="D1415" s="731"/>
      <c r="E1415" s="731"/>
      <c r="F1415" s="731"/>
      <c r="G1415" s="366" t="str">
        <f t="shared" si="85"/>
        <v/>
      </c>
      <c r="H1415" s="366" t="s">
        <v>3972</v>
      </c>
      <c r="I1415" s="4"/>
      <c r="J1415" s="90"/>
      <c r="K1415" s="90"/>
      <c r="L1415" s="825" t="s">
        <v>4323</v>
      </c>
      <c r="M1415" s="40"/>
      <c r="N1415" s="834"/>
      <c r="O1415" s="832"/>
      <c r="W1415" s="565"/>
      <c r="X1415" s="851"/>
      <c r="Y1415" s="1100"/>
      <c r="Z1415" s="1102"/>
    </row>
    <row r="1416" spans="1:45" x14ac:dyDescent="0.35">
      <c r="A1416" s="366">
        <v>7</v>
      </c>
      <c r="B1416" s="738">
        <v>704.1</v>
      </c>
      <c r="C1416" s="735"/>
      <c r="D1416" s="731"/>
      <c r="E1416" s="731"/>
      <c r="F1416" s="731"/>
      <c r="G1416" s="366" t="str">
        <f t="shared" si="85"/>
        <v/>
      </c>
      <c r="H1416" s="366" t="s">
        <v>3972</v>
      </c>
      <c r="I1416" s="133"/>
      <c r="J1416" s="228"/>
      <c r="K1416" s="228"/>
      <c r="L1416" s="842"/>
      <c r="M1416" s="40"/>
      <c r="N1416" s="834"/>
      <c r="O1416" s="832"/>
      <c r="W1416" s="21" t="s">
        <v>5233</v>
      </c>
      <c r="X1416" s="851"/>
      <c r="Y1416" s="1100"/>
      <c r="Z1416" s="1102"/>
    </row>
    <row r="1417" spans="1:45" ht="15" customHeight="1" x14ac:dyDescent="0.35">
      <c r="A1417" s="366">
        <v>7</v>
      </c>
      <c r="B1417" s="738">
        <v>704.2</v>
      </c>
      <c r="C1417" s="735" t="s">
        <v>4856</v>
      </c>
      <c r="D1417" s="731"/>
      <c r="E1417" s="731"/>
      <c r="F1417" s="731"/>
      <c r="G1417" s="366" t="str">
        <f t="shared" si="85"/>
        <v/>
      </c>
      <c r="H1417" s="366" t="s">
        <v>3972</v>
      </c>
      <c r="I1417" s="30">
        <v>704.2</v>
      </c>
      <c r="J1417" s="90"/>
      <c r="K1417" s="90"/>
      <c r="L1417" s="881" t="s">
        <v>4324</v>
      </c>
      <c r="M1417" s="40"/>
      <c r="N1417" s="834"/>
      <c r="O1417" s="832"/>
      <c r="P1417" t="b">
        <v>0</v>
      </c>
      <c r="Q1417" t="b">
        <v>1</v>
      </c>
      <c r="R1417" t="b">
        <f ca="1">S1417</f>
        <v>0</v>
      </c>
      <c r="S1417" t="b">
        <f ca="1">(S883=3)</f>
        <v>0</v>
      </c>
      <c r="T1417" t="b">
        <f ca="1">AND(NOT(S1417),LEN(W1417)&gt;0)</f>
        <v>0</v>
      </c>
      <c r="W1417" s="314"/>
      <c r="X1417" s="851"/>
      <c r="Y1417" s="1100"/>
      <c r="Z1417" s="1102"/>
      <c r="AC1417" t="b">
        <f ca="1">OR(AD1417:AE1417)</f>
        <v>0</v>
      </c>
      <c r="AD1417" t="b">
        <f ca="1">T1417</f>
        <v>0</v>
      </c>
      <c r="AE1417" t="b">
        <f ca="1">AND(R1417,OR(W1417="Not Met",W1417=""))</f>
        <v>0</v>
      </c>
      <c r="AP1417" t="str">
        <f>SUBSTITUTE(SUBSTITUTE(SUBSTITUTE("vch"&amp;$B1417&amp;$C1417&amp;$D1417&amp;$E1417,".","_"),"(","_"),")","")</f>
        <v>vch704_2_1</v>
      </c>
      <c r="AQ1417" t="str">
        <f>IF(LEN(W1417)=0,"",W1417)</f>
        <v/>
      </c>
    </row>
    <row r="1418" spans="1:45" x14ac:dyDescent="0.35">
      <c r="A1418" s="366">
        <v>7</v>
      </c>
      <c r="B1418" s="738">
        <v>704.2</v>
      </c>
      <c r="C1418" s="735"/>
      <c r="D1418" s="731"/>
      <c r="E1418" s="731"/>
      <c r="F1418" s="731"/>
      <c r="G1418" s="366" t="str">
        <f t="shared" si="85"/>
        <v/>
      </c>
      <c r="H1418" s="366" t="s">
        <v>3972</v>
      </c>
      <c r="I1418" s="4"/>
      <c r="J1418" s="90"/>
      <c r="K1418" s="90"/>
      <c r="L1418" s="881"/>
      <c r="M1418" s="40"/>
      <c r="N1418" s="834"/>
      <c r="O1418" s="832"/>
      <c r="W1418" s="6" t="s">
        <v>5234</v>
      </c>
      <c r="X1418" s="851"/>
      <c r="Y1418" s="1100"/>
      <c r="Z1418" s="1102"/>
    </row>
    <row r="1419" spans="1:45" x14ac:dyDescent="0.35">
      <c r="A1419" s="366">
        <v>7</v>
      </c>
      <c r="B1419" s="738">
        <v>704.2</v>
      </c>
      <c r="C1419" s="735" t="s">
        <v>4857</v>
      </c>
      <c r="D1419" s="731"/>
      <c r="E1419" s="731"/>
      <c r="F1419" s="731"/>
      <c r="G1419" s="366" t="str">
        <f t="shared" si="85"/>
        <v/>
      </c>
      <c r="H1419" s="366" t="s">
        <v>3972</v>
      </c>
      <c r="I1419" s="4"/>
      <c r="J1419" s="90"/>
      <c r="K1419" s="90"/>
      <c r="L1419" s="881"/>
      <c r="M1419" s="40"/>
      <c r="N1419" s="834"/>
      <c r="O1419" s="832"/>
      <c r="P1419" t="b">
        <v>0</v>
      </c>
      <c r="Q1419" t="b">
        <v>1</v>
      </c>
      <c r="R1419" t="b">
        <f ca="1">S1419</f>
        <v>0</v>
      </c>
      <c r="S1419" t="b">
        <f ca="1">(S883=3)</f>
        <v>0</v>
      </c>
      <c r="T1419" t="b">
        <f ca="1">AND(NOT(S1419),LEN(W1419)&gt;0)</f>
        <v>0</v>
      </c>
      <c r="W1419" s="314"/>
      <c r="X1419" s="851"/>
      <c r="Y1419" s="1100"/>
      <c r="Z1419" s="1102"/>
      <c r="AC1419" t="b">
        <f ca="1">OR(AD1419:AE1419)</f>
        <v>0</v>
      </c>
      <c r="AD1419" t="b">
        <f ca="1">T1419</f>
        <v>0</v>
      </c>
      <c r="AE1419" t="b">
        <f ca="1">AND(R1419,OR(W1419="Not Met",W1419=""))</f>
        <v>0</v>
      </c>
      <c r="AP1419" t="str">
        <f>SUBSTITUTE(SUBSTITUTE(SUBSTITUTE("vch"&amp;$B1419&amp;$C1419&amp;$D1419&amp;$E1419,".","_"),"(","_"),")","")</f>
        <v>vch704_2_2</v>
      </c>
      <c r="AQ1419" t="str">
        <f>IF(LEN(W1419)=0,"",W1419)</f>
        <v/>
      </c>
    </row>
    <row r="1420" spans="1:45" x14ac:dyDescent="0.35">
      <c r="A1420" s="366">
        <v>7</v>
      </c>
      <c r="B1420" s="738">
        <v>704.2</v>
      </c>
      <c r="C1420" s="735"/>
      <c r="D1420" s="731"/>
      <c r="E1420" s="731"/>
      <c r="F1420" s="731"/>
      <c r="G1420" s="366" t="str">
        <f t="shared" si="85"/>
        <v/>
      </c>
      <c r="H1420" s="366" t="s">
        <v>3972</v>
      </c>
      <c r="I1420" s="4"/>
      <c r="J1420" s="90"/>
      <c r="K1420" s="90"/>
      <c r="L1420" s="881" t="s">
        <v>4325</v>
      </c>
      <c r="M1420" s="40"/>
      <c r="N1420" s="834"/>
      <c r="O1420" s="832"/>
      <c r="X1420" s="851"/>
      <c r="Y1420" s="1100"/>
      <c r="Z1420" s="1102"/>
    </row>
    <row r="1421" spans="1:45" x14ac:dyDescent="0.35">
      <c r="A1421" s="366">
        <v>7</v>
      </c>
      <c r="B1421" s="738">
        <v>704.2</v>
      </c>
      <c r="C1421" s="735"/>
      <c r="D1421" s="731"/>
      <c r="E1421" s="731"/>
      <c r="F1421" s="731"/>
      <c r="G1421" s="366" t="str">
        <f t="shared" si="85"/>
        <v/>
      </c>
      <c r="H1421" s="366" t="s">
        <v>3972</v>
      </c>
      <c r="I1421" s="4"/>
      <c r="J1421" s="90"/>
      <c r="K1421" s="90"/>
      <c r="L1421" s="881"/>
      <c r="M1421" s="40"/>
      <c r="N1421" s="834"/>
      <c r="O1421" s="832"/>
      <c r="X1421" s="816"/>
      <c r="Y1421" s="1100"/>
      <c r="Z1421" s="1102"/>
    </row>
    <row r="1422" spans="1:45" ht="18.5" x14ac:dyDescent="0.45">
      <c r="A1422" s="366">
        <v>7</v>
      </c>
      <c r="B1422" s="738">
        <v>705</v>
      </c>
      <c r="C1422" s="735"/>
      <c r="D1422" s="731"/>
      <c r="E1422" s="731"/>
      <c r="F1422" s="731"/>
      <c r="G1422" s="366" t="s">
        <v>3973</v>
      </c>
      <c r="H1422" s="366" t="s">
        <v>3970</v>
      </c>
      <c r="I1422" s="10" t="s">
        <v>1006</v>
      </c>
      <c r="J1422" s="44"/>
      <c r="K1422" s="44"/>
      <c r="L1422" s="44"/>
      <c r="M1422" s="243"/>
      <c r="N1422" s="544"/>
      <c r="O1422" s="544"/>
      <c r="P1422" s="15"/>
      <c r="Q1422" s="15"/>
      <c r="R1422" s="15"/>
      <c r="S1422" s="15"/>
      <c r="T1422" s="15"/>
      <c r="U1422" s="15"/>
      <c r="V1422" s="15"/>
      <c r="W1422" s="15"/>
      <c r="X1422" s="15"/>
      <c r="Y1422" s="15"/>
      <c r="Z1422" s="651"/>
    </row>
    <row r="1423" spans="1:45" x14ac:dyDescent="0.35">
      <c r="A1423" s="366">
        <v>7</v>
      </c>
      <c r="B1423" s="738">
        <v>705.2</v>
      </c>
      <c r="C1423" s="735"/>
      <c r="D1423" s="731"/>
      <c r="E1423" s="731"/>
      <c r="F1423" s="731"/>
      <c r="G1423" s="727" t="str">
        <f ca="1">IF(COUNTIF(G1427:G1453,"P")&gt;0,"P","")</f>
        <v/>
      </c>
      <c r="H1423" s="366" t="s">
        <v>3970</v>
      </c>
      <c r="I1423" s="30">
        <v>705.2</v>
      </c>
      <c r="J1423" s="90"/>
      <c r="K1423" s="90"/>
      <c r="L1423" s="95" t="s">
        <v>1007</v>
      </c>
      <c r="M1423" s="40"/>
      <c r="N1423" s="41"/>
      <c r="O1423" s="41"/>
    </row>
    <row r="1424" spans="1:45" x14ac:dyDescent="0.35">
      <c r="A1424" s="366">
        <v>7</v>
      </c>
      <c r="B1424" s="738" t="s">
        <v>1008</v>
      </c>
      <c r="C1424" s="735"/>
      <c r="D1424" s="731"/>
      <c r="E1424" s="731"/>
      <c r="F1424" s="731"/>
      <c r="G1424" s="727" t="str">
        <f ca="1">IF(COUNTIF(G1427:G1443,"P")&gt;0,"P","")</f>
        <v/>
      </c>
      <c r="H1424" s="366" t="s">
        <v>3972</v>
      </c>
      <c r="I1424" s="32" t="s">
        <v>1008</v>
      </c>
      <c r="J1424" s="90"/>
      <c r="K1424" s="90"/>
      <c r="L1424" s="95" t="s">
        <v>1009</v>
      </c>
      <c r="M1424" s="40"/>
      <c r="N1424" s="41"/>
      <c r="O1424" s="41"/>
    </row>
    <row r="1425" spans="1:45" x14ac:dyDescent="0.35">
      <c r="A1425" s="366">
        <v>7</v>
      </c>
      <c r="B1425" s="738" t="s">
        <v>1008</v>
      </c>
      <c r="C1425" s="735"/>
      <c r="D1425" s="731"/>
      <c r="E1425" s="731"/>
      <c r="F1425" s="731"/>
      <c r="G1425" s="366" t="str">
        <f ca="1">G1424</f>
        <v/>
      </c>
      <c r="H1425" s="366" t="s">
        <v>3972</v>
      </c>
      <c r="I1425" s="32"/>
      <c r="J1425" s="90"/>
      <c r="K1425" s="90"/>
      <c r="L1425" s="935" t="s">
        <v>1010</v>
      </c>
      <c r="M1425" s="40"/>
      <c r="N1425" s="41"/>
      <c r="O1425" s="41"/>
    </row>
    <row r="1426" spans="1:45" x14ac:dyDescent="0.35">
      <c r="A1426" s="366">
        <v>7</v>
      </c>
      <c r="B1426" s="738" t="s">
        <v>1008</v>
      </c>
      <c r="C1426" s="735"/>
      <c r="D1426" s="731"/>
      <c r="E1426" s="731"/>
      <c r="F1426" s="731"/>
      <c r="G1426" s="366" t="str">
        <f ca="1">G1425</f>
        <v/>
      </c>
      <c r="H1426" s="366" t="s">
        <v>3972</v>
      </c>
      <c r="I1426" s="32"/>
      <c r="J1426" s="90"/>
      <c r="K1426" s="90"/>
      <c r="L1426" s="935"/>
      <c r="M1426" s="40"/>
      <c r="N1426" s="41"/>
      <c r="O1426" s="41"/>
    </row>
    <row r="1427" spans="1:45" ht="15" customHeight="1" x14ac:dyDescent="0.35">
      <c r="A1427" s="366">
        <v>7</v>
      </c>
      <c r="B1427" s="738" t="s">
        <v>1011</v>
      </c>
      <c r="C1427" s="735"/>
      <c r="D1427" s="731"/>
      <c r="E1427" s="731"/>
      <c r="F1427" s="731"/>
      <c r="G1427" s="366" t="str">
        <f ca="1">IF(N1427&gt;0,"P","")</f>
        <v/>
      </c>
      <c r="H1427" s="366" t="s">
        <v>3972</v>
      </c>
      <c r="I1427" s="32" t="s">
        <v>1011</v>
      </c>
      <c r="J1427" s="90"/>
      <c r="K1427" s="90"/>
      <c r="L1427" s="881" t="s">
        <v>4326</v>
      </c>
      <c r="M1427" s="40"/>
      <c r="N1427" s="834">
        <f ca="1">'Ch7'!O557</f>
        <v>0</v>
      </c>
      <c r="O1427" s="834">
        <f ca="1">IFERROR(INDEX({1,2},MATCH(W1427,INDIRECT(U1427),0)),0)*S1427</f>
        <v>0</v>
      </c>
      <c r="P1427" t="b">
        <v>0</v>
      </c>
      <c r="Q1427" t="b">
        <v>1</v>
      </c>
      <c r="R1427" t="b">
        <v>0</v>
      </c>
      <c r="S1427" t="b">
        <v>1</v>
      </c>
      <c r="T1427" t="b">
        <v>0</v>
      </c>
      <c r="U1427" t="str">
        <f>SUBSTITUTE(SUBSTITUTE(SUBSTITUTE("dd"&amp;B1427&amp;C1427&amp;D1427&amp;E1427&amp;F1427,".","_"),"(","_"),")","")</f>
        <v>dd705_2_1_1</v>
      </c>
      <c r="W1427" s="9"/>
      <c r="X1427" s="817"/>
      <c r="Y1427" s="1100" t="str">
        <f>IF(LEN('Ch7'!X557)=0,"None",'Ch7'!X557)</f>
        <v>None</v>
      </c>
      <c r="Z1427" s="1102"/>
      <c r="AN1427" t="str">
        <f>SUBSTITUTE(SUBSTITUTE(SUBSTITUTE("vpc"&amp;$B1427&amp;$C1427&amp;$D1427&amp;$E1427,".","_"),"(","_"),")","")</f>
        <v>vpc705_2_1_1</v>
      </c>
      <c r="AO1427">
        <f ca="1">O1427</f>
        <v>0</v>
      </c>
      <c r="AP1427" t="str">
        <f>SUBSTITUTE(SUBSTITUTE(SUBSTITUTE("vch"&amp;$B1427&amp;$C1427&amp;$D1427&amp;$E1427,".","_"),"(","_"),")","")</f>
        <v>vch705_2_1_1</v>
      </c>
      <c r="AQ1427" t="str">
        <f>IF(LEN(W1427)=0,"",W1427)</f>
        <v/>
      </c>
      <c r="AR1427" t="str">
        <f>SUBSTITUTE(SUBSTITUTE(SUBSTITUTE("vnt"&amp;$B1427&amp;$C1427&amp;$D1427&amp;$E1427,".","_"),"(","_"),")","")</f>
        <v>vnt705_2_1_1</v>
      </c>
      <c r="AS1427" t="str">
        <f>IF(LEN(X1427)=0,"",X1427)</f>
        <v/>
      </c>
    </row>
    <row r="1428" spans="1:45" x14ac:dyDescent="0.35">
      <c r="A1428" s="366">
        <v>7</v>
      </c>
      <c r="B1428" s="738" t="s">
        <v>1011</v>
      </c>
      <c r="C1428" s="735"/>
      <c r="D1428" s="731"/>
      <c r="E1428" s="731"/>
      <c r="F1428" s="731"/>
      <c r="G1428" s="366" t="str">
        <f ca="1">G1427</f>
        <v/>
      </c>
      <c r="H1428" s="366" t="s">
        <v>3972</v>
      </c>
      <c r="I1428" s="4"/>
      <c r="J1428" s="90"/>
      <c r="K1428" s="90"/>
      <c r="L1428" s="881"/>
      <c r="M1428" s="40"/>
      <c r="N1428" s="834"/>
      <c r="O1428" s="834"/>
      <c r="X1428" s="817"/>
      <c r="Y1428" s="1100"/>
      <c r="Z1428" s="1102"/>
    </row>
    <row r="1429" spans="1:45" x14ac:dyDescent="0.35">
      <c r="A1429" s="366">
        <v>7</v>
      </c>
      <c r="B1429" s="738" t="s">
        <v>1011</v>
      </c>
      <c r="C1429" s="731" t="s">
        <v>256</v>
      </c>
      <c r="D1429" s="731"/>
      <c r="E1429" s="731"/>
      <c r="F1429" s="731"/>
      <c r="G1429" s="366" t="str">
        <f ca="1">G1428</f>
        <v/>
      </c>
      <c r="H1429" s="366" t="s">
        <v>3972</v>
      </c>
      <c r="I1429" s="4"/>
      <c r="J1429" s="338" t="s">
        <v>256</v>
      </c>
      <c r="K1429" s="228"/>
      <c r="L1429" s="228" t="s">
        <v>1012</v>
      </c>
      <c r="M1429" s="268">
        <v>1</v>
      </c>
      <c r="N1429" s="41"/>
      <c r="O1429" s="41"/>
      <c r="X1429" s="817"/>
      <c r="Y1429" s="1100"/>
      <c r="Z1429" s="1102"/>
      <c r="AL1429" t="str">
        <f>SUBSTITUTE(SUBSTITUTE(SUBSTITUTE("vpa"&amp;$B1429&amp;$C1429&amp;$D1429&amp;$E1429,".","_"),"(","_"),")","")</f>
        <v>vpa705_2_1_1_1</v>
      </c>
      <c r="AM1429">
        <f>M1429</f>
        <v>1</v>
      </c>
    </row>
    <row r="1430" spans="1:45" x14ac:dyDescent="0.35">
      <c r="A1430" s="366">
        <v>7</v>
      </c>
      <c r="B1430" s="738" t="s">
        <v>1011</v>
      </c>
      <c r="C1430" s="731" t="s">
        <v>258</v>
      </c>
      <c r="D1430" s="731"/>
      <c r="E1430" s="731"/>
      <c r="F1430" s="731"/>
      <c r="G1430" s="366" t="str">
        <f ca="1">G1429</f>
        <v/>
      </c>
      <c r="H1430" s="366" t="s">
        <v>3972</v>
      </c>
      <c r="I1430" s="133"/>
      <c r="J1430" s="338" t="s">
        <v>258</v>
      </c>
      <c r="K1430" s="228"/>
      <c r="L1430" s="228" t="s">
        <v>1013</v>
      </c>
      <c r="M1430" s="268">
        <v>2</v>
      </c>
      <c r="N1430" s="546"/>
      <c r="O1430" s="546"/>
      <c r="X1430" s="817"/>
      <c r="Y1430" s="1100"/>
      <c r="Z1430" s="1102"/>
      <c r="AL1430" t="str">
        <f>SUBSTITUTE(SUBSTITUTE(SUBSTITUTE("vpa"&amp;$B1430&amp;$C1430&amp;$D1430&amp;$E1430,".","_"),"(","_"),")","")</f>
        <v>vpa705_2_1_1_2</v>
      </c>
      <c r="AM1430">
        <f>M1430</f>
        <v>2</v>
      </c>
    </row>
    <row r="1431" spans="1:45" x14ac:dyDescent="0.35">
      <c r="A1431" s="366">
        <v>7</v>
      </c>
      <c r="B1431" s="738" t="s">
        <v>1014</v>
      </c>
      <c r="C1431" s="731"/>
      <c r="D1431" s="731"/>
      <c r="E1431" s="731"/>
      <c r="F1431" s="731"/>
      <c r="G1431" s="366" t="str">
        <f>IF(N1431&gt;0,"P","")</f>
        <v/>
      </c>
      <c r="H1431" s="366" t="s">
        <v>3972</v>
      </c>
      <c r="I1431" s="32" t="s">
        <v>1014</v>
      </c>
      <c r="J1431" s="156"/>
      <c r="K1431" s="90"/>
      <c r="L1431" s="838" t="s">
        <v>1015</v>
      </c>
      <c r="M1431" s="818">
        <v>1</v>
      </c>
      <c r="N1431" s="834">
        <f>'Ch7'!O561</f>
        <v>0</v>
      </c>
      <c r="O1431" s="834">
        <f>M1431*S1431*W1431</f>
        <v>0</v>
      </c>
      <c r="P1431" t="b">
        <v>0</v>
      </c>
      <c r="Q1431" t="b">
        <v>1</v>
      </c>
      <c r="R1431" t="b">
        <v>0</v>
      </c>
      <c r="S1431" t="b">
        <v>1</v>
      </c>
      <c r="T1431" t="b">
        <v>0</v>
      </c>
      <c r="W1431" s="17"/>
      <c r="X1431" s="817"/>
      <c r="Y1431" s="1100" t="str">
        <f>IF(LEN('Ch7'!X561)=0,"None",'Ch7'!X561)</f>
        <v>None</v>
      </c>
      <c r="Z1431" s="1102"/>
      <c r="AA1431" s="350" t="str">
        <f>IF(LEN('Photo Review'!I1430)&gt;0,'Photo Review'!I1430,"")</f>
        <v/>
      </c>
      <c r="AL1431" t="str">
        <f>SUBSTITUTE(SUBSTITUTE(SUBSTITUTE("vpa"&amp;$B1431&amp;$C1431&amp;$D1431&amp;$E1431,".","_"),"(","_"),")","")</f>
        <v>vpa705_2_1_2</v>
      </c>
      <c r="AM1431">
        <f>M1431</f>
        <v>1</v>
      </c>
      <c r="AN1431" t="str">
        <f>SUBSTITUTE(SUBSTITUTE(SUBSTITUTE("vpc"&amp;$B1431&amp;$C1431&amp;$D1431&amp;$E1431,".","_"),"(","_"),")","")</f>
        <v>vpc705_2_1_2</v>
      </c>
      <c r="AO1431">
        <f>O1431</f>
        <v>0</v>
      </c>
      <c r="AP1431" t="str">
        <f>SUBSTITUTE(SUBSTITUTE(SUBSTITUTE("vch"&amp;$B1431&amp;$C1431&amp;$D1431&amp;$E1431&amp;$F1431,".","_"),"(","_"),")","")</f>
        <v>vch705_2_1_2</v>
      </c>
      <c r="AQ1431" t="str">
        <f>IF(LEN(W1431)=0,"",W1431)</f>
        <v/>
      </c>
      <c r="AR1431" t="str">
        <f>SUBSTITUTE(SUBSTITUTE(SUBSTITUTE("vnt"&amp;$B1431&amp;$C1431&amp;$D1431&amp;$E1431,".","_"),"(","_"),")","")</f>
        <v>vnt705_2_1_2</v>
      </c>
      <c r="AS1431" t="str">
        <f>IF(LEN(X1431)=0,"",X1431)</f>
        <v/>
      </c>
    </row>
    <row r="1432" spans="1:45" x14ac:dyDescent="0.35">
      <c r="A1432" s="366">
        <v>7</v>
      </c>
      <c r="B1432" s="738" t="s">
        <v>1014</v>
      </c>
      <c r="C1432" s="731"/>
      <c r="D1432" s="731"/>
      <c r="E1432" s="731"/>
      <c r="F1432" s="731"/>
      <c r="G1432" s="366" t="str">
        <f>G1431</f>
        <v/>
      </c>
      <c r="H1432" s="366" t="s">
        <v>3972</v>
      </c>
      <c r="I1432" s="133"/>
      <c r="J1432" s="228"/>
      <c r="K1432" s="228"/>
      <c r="L1432" s="889"/>
      <c r="M1432" s="819"/>
      <c r="N1432" s="835"/>
      <c r="O1432" s="835"/>
      <c r="X1432" s="817"/>
      <c r="Y1432" s="1100"/>
      <c r="Z1432" s="1102"/>
    </row>
    <row r="1433" spans="1:45" x14ac:dyDescent="0.35">
      <c r="A1433" s="366">
        <v>7</v>
      </c>
      <c r="B1433" s="738" t="s">
        <v>1016</v>
      </c>
      <c r="C1433" s="731"/>
      <c r="D1433" s="731"/>
      <c r="E1433" s="731"/>
      <c r="F1433" s="731"/>
      <c r="G1433" s="727" t="str">
        <f ca="1">IF(COUNTIF(G1434:G1438,"P")&gt;0,"P","")</f>
        <v/>
      </c>
      <c r="H1433" s="366" t="s">
        <v>3972</v>
      </c>
      <c r="I1433" s="32" t="s">
        <v>1016</v>
      </c>
      <c r="J1433" s="90"/>
      <c r="K1433" s="90"/>
      <c r="L1433" s="95" t="s">
        <v>1017</v>
      </c>
      <c r="M1433" s="40"/>
      <c r="N1433" s="41"/>
      <c r="O1433" s="41"/>
    </row>
    <row r="1434" spans="1:45" x14ac:dyDescent="0.35">
      <c r="A1434" s="366">
        <v>7</v>
      </c>
      <c r="B1434" s="738" t="s">
        <v>1016</v>
      </c>
      <c r="C1434" s="744" t="s">
        <v>256</v>
      </c>
      <c r="D1434" s="731"/>
      <c r="E1434" s="731"/>
      <c r="F1434" s="731"/>
      <c r="G1434" s="366" t="str">
        <f ca="1">IF(N1434&gt;0,"P","")</f>
        <v/>
      </c>
      <c r="H1434" s="366" t="s">
        <v>3972</v>
      </c>
      <c r="I1434" s="4"/>
      <c r="J1434" s="156" t="s">
        <v>256</v>
      </c>
      <c r="K1434" s="90"/>
      <c r="L1434" s="814" t="s">
        <v>1018</v>
      </c>
      <c r="M1434" s="40"/>
      <c r="N1434" s="834">
        <f ca="1">'Ch7'!O564</f>
        <v>0</v>
      </c>
      <c r="O1434" s="834">
        <f ca="1">IFERROR(INDEX({1,2},MATCH(W1434,INDIRECT(U1434),0)),0)*S1434</f>
        <v>0</v>
      </c>
      <c r="P1434" t="b">
        <v>0</v>
      </c>
      <c r="Q1434" t="b">
        <v>1</v>
      </c>
      <c r="R1434" t="b">
        <v>0</v>
      </c>
      <c r="S1434" t="b">
        <f ca="1">IF(AY889=INDEX(INDIRECT("ddSingleOrMulti"),2),TRUE,FALSE)</f>
        <v>0</v>
      </c>
      <c r="T1434" t="b">
        <f ca="1">AND(NOT(S1434),LEN(W1434)&gt;0)</f>
        <v>0</v>
      </c>
      <c r="U1434" t="str">
        <f>SUBSTITUTE(SUBSTITUTE(SUBSTITUTE("dd"&amp;B1434&amp;C1434&amp;D1434&amp;E1434&amp;F1434,".","_"),"(","_"),")","")</f>
        <v>dd705_2_1_3_1</v>
      </c>
      <c r="W1434" s="9"/>
      <c r="X1434" s="817"/>
      <c r="Y1434" s="1100" t="str">
        <f>IF(LEN('Ch7'!X564)=0,"None",'Ch7'!X564)</f>
        <v>None</v>
      </c>
      <c r="Z1434" s="1102"/>
      <c r="AC1434" t="b">
        <f ca="1">OR(AD1434:AE1434)</f>
        <v>0</v>
      </c>
      <c r="AD1434" t="b">
        <f ca="1">T1434</f>
        <v>0</v>
      </c>
      <c r="AN1434" t="str">
        <f>SUBSTITUTE(SUBSTITUTE(SUBSTITUTE("vpc"&amp;$B1434&amp;$C1434&amp;$D1434&amp;$E1434,".","_"),"(","_"),")","")</f>
        <v>vpc705_2_1_3_1</v>
      </c>
      <c r="AO1434">
        <f ca="1">O1434</f>
        <v>0</v>
      </c>
      <c r="AP1434" t="str">
        <f>SUBSTITUTE(SUBSTITUTE(SUBSTITUTE("vch"&amp;$B1434&amp;$C1434&amp;$D1434&amp;$E1434,".","_"),"(","_"),")","")</f>
        <v>vch705_2_1_3_1</v>
      </c>
      <c r="AQ1434" t="str">
        <f>IF(LEN(W1434)=0,"",W1434)</f>
        <v/>
      </c>
      <c r="AR1434" t="str">
        <f>SUBSTITUTE(SUBSTITUTE(SUBSTITUTE("vnt"&amp;$B1434&amp;$C1434&amp;$D1434&amp;$E1434,".","_"),"(","_"),")","")</f>
        <v>vnt705_2_1_3_1</v>
      </c>
      <c r="AS1434" t="str">
        <f>IF(LEN(X1434)=0,"",X1434)</f>
        <v/>
      </c>
    </row>
    <row r="1435" spans="1:45" x14ac:dyDescent="0.35">
      <c r="A1435" s="366">
        <v>7</v>
      </c>
      <c r="B1435" s="738" t="s">
        <v>1016</v>
      </c>
      <c r="C1435" s="744" t="s">
        <v>256</v>
      </c>
      <c r="D1435" s="731"/>
      <c r="E1435" s="731"/>
      <c r="F1435" s="731"/>
      <c r="G1435" s="366" t="str">
        <f ca="1">G1434</f>
        <v/>
      </c>
      <c r="H1435" s="366" t="s">
        <v>3972</v>
      </c>
      <c r="I1435" s="4"/>
      <c r="J1435" s="90"/>
      <c r="K1435" s="90"/>
      <c r="L1435" s="814"/>
      <c r="M1435" s="40"/>
      <c r="N1435" s="834"/>
      <c r="O1435" s="834"/>
      <c r="X1435" s="817"/>
      <c r="Y1435" s="1100"/>
      <c r="Z1435" s="1102"/>
    </row>
    <row r="1436" spans="1:45" x14ac:dyDescent="0.35">
      <c r="A1436" s="366">
        <v>7</v>
      </c>
      <c r="B1436" s="738" t="s">
        <v>1016</v>
      </c>
      <c r="C1436" s="744" t="s">
        <v>256</v>
      </c>
      <c r="D1436" s="731" t="s">
        <v>121</v>
      </c>
      <c r="E1436" s="731"/>
      <c r="F1436" s="731"/>
      <c r="G1436" s="366" t="str">
        <f ca="1">G1435</f>
        <v/>
      </c>
      <c r="H1436" s="732" t="s">
        <v>3972</v>
      </c>
      <c r="I1436" s="4"/>
      <c r="J1436" s="90"/>
      <c r="K1436" s="152" t="s">
        <v>121</v>
      </c>
      <c r="L1436" s="90" t="s">
        <v>1012</v>
      </c>
      <c r="M1436" s="40">
        <v>1</v>
      </c>
      <c r="N1436" s="41"/>
      <c r="O1436" s="41"/>
      <c r="X1436" s="817"/>
      <c r="Y1436" s="1100"/>
      <c r="Z1436" s="1102"/>
      <c r="AL1436" t="str">
        <f>SUBSTITUTE(SUBSTITUTE(SUBSTITUTE("vpa"&amp;$B1436&amp;$C1436&amp;$D1436&amp;$E1436,".","_"),"(","_"),")","")</f>
        <v>vpa705_2_1_3_1_a</v>
      </c>
      <c r="AM1436">
        <f>M1436</f>
        <v>1</v>
      </c>
    </row>
    <row r="1437" spans="1:45" x14ac:dyDescent="0.35">
      <c r="A1437" s="366">
        <v>7</v>
      </c>
      <c r="B1437" s="738" t="s">
        <v>1016</v>
      </c>
      <c r="C1437" s="744" t="s">
        <v>256</v>
      </c>
      <c r="D1437" s="731" t="s">
        <v>122</v>
      </c>
      <c r="E1437" s="731"/>
      <c r="F1437" s="731"/>
      <c r="G1437" s="366" t="str">
        <f ca="1">G1436</f>
        <v/>
      </c>
      <c r="H1437" s="732" t="s">
        <v>3972</v>
      </c>
      <c r="I1437" s="4"/>
      <c r="J1437" s="228"/>
      <c r="K1437" s="326" t="s">
        <v>122</v>
      </c>
      <c r="L1437" s="228" t="s">
        <v>1013</v>
      </c>
      <c r="M1437" s="268">
        <v>2</v>
      </c>
      <c r="N1437" s="546"/>
      <c r="O1437" s="546"/>
      <c r="X1437" s="817"/>
      <c r="Y1437" s="1100"/>
      <c r="Z1437" s="1102"/>
      <c r="AL1437" t="str">
        <f>SUBSTITUTE(SUBSTITUTE(SUBSTITUTE("vpa"&amp;$B1437&amp;$C1437&amp;$D1437&amp;$E1437,".","_"),"(","_"),")","")</f>
        <v>vpa705_2_1_3_1_b</v>
      </c>
      <c r="AM1437">
        <f>M1437</f>
        <v>2</v>
      </c>
    </row>
    <row r="1438" spans="1:45" x14ac:dyDescent="0.35">
      <c r="A1438" s="366">
        <v>7</v>
      </c>
      <c r="B1438" s="738" t="s">
        <v>1016</v>
      </c>
      <c r="C1438" s="744" t="s">
        <v>258</v>
      </c>
      <c r="D1438" s="731"/>
      <c r="E1438" s="731"/>
      <c r="F1438" s="731"/>
      <c r="G1438" s="366" t="str">
        <f ca="1">IF(N1438&gt;0,"P","")</f>
        <v/>
      </c>
      <c r="H1438" s="366" t="s">
        <v>3972</v>
      </c>
      <c r="I1438" s="4"/>
      <c r="J1438" s="156" t="s">
        <v>258</v>
      </c>
      <c r="K1438" s="90"/>
      <c r="L1438" s="814" t="s">
        <v>1019</v>
      </c>
      <c r="M1438" s="40"/>
      <c r="N1438" s="834">
        <f ca="1">'Ch7'!O568</f>
        <v>0</v>
      </c>
      <c r="O1438" s="834">
        <f ca="1">IFERROR(INDEX({2,3},MATCH(W1438,INDIRECT(U1438),0)),0)*S1438</f>
        <v>0</v>
      </c>
      <c r="P1438" t="b">
        <v>0</v>
      </c>
      <c r="Q1438" t="b">
        <v>1</v>
      </c>
      <c r="R1438" t="b">
        <v>0</v>
      </c>
      <c r="S1438" t="b">
        <f ca="1">IF(AY889=INDEX(INDIRECT("ddSingleOrMulti"),2),TRUE,FALSE)</f>
        <v>0</v>
      </c>
      <c r="T1438" t="b">
        <f ca="1">AND(NOT(S1438),LEN(W1438)&gt;0)</f>
        <v>0</v>
      </c>
      <c r="U1438" t="str">
        <f>SUBSTITUTE(SUBSTITUTE(SUBSTITUTE("dd"&amp;B1438&amp;C1438&amp;D1438&amp;E1438&amp;F1438,".","_"),"(","_"),")","")</f>
        <v>dd705_2_1_3_2</v>
      </c>
      <c r="W1438" s="9"/>
      <c r="X1438" s="817"/>
      <c r="Y1438" s="1100" t="str">
        <f>IF(LEN('Ch7'!X568)=0,"None",'Ch7'!X568)</f>
        <v>None</v>
      </c>
      <c r="Z1438" s="1102"/>
      <c r="AC1438" t="b">
        <f ca="1">OR(AD1438:AE1438)</f>
        <v>0</v>
      </c>
      <c r="AD1438" t="b">
        <f ca="1">T1438</f>
        <v>0</v>
      </c>
      <c r="AN1438" t="str">
        <f>SUBSTITUTE(SUBSTITUTE(SUBSTITUTE("vpc"&amp;$B1438&amp;$C1438&amp;$D1438&amp;$E1438,".","_"),"(","_"),")","")</f>
        <v>vpc705_2_1_3_2</v>
      </c>
      <c r="AO1438">
        <f ca="1">O1438</f>
        <v>0</v>
      </c>
      <c r="AP1438" t="str">
        <f>SUBSTITUTE(SUBSTITUTE(SUBSTITUTE("vch"&amp;$B1438&amp;$C1438&amp;$D1438&amp;$E1438,".","_"),"(","_"),")","")</f>
        <v>vch705_2_1_3_2</v>
      </c>
      <c r="AQ1438" t="str">
        <f>IF(LEN(W1438)=0,"",W1438)</f>
        <v/>
      </c>
      <c r="AR1438" t="str">
        <f>SUBSTITUTE(SUBSTITUTE(SUBSTITUTE("vnt"&amp;$B1438&amp;$C1438&amp;$D1438&amp;$E1438,".","_"),"(","_"),")","")</f>
        <v>vnt705_2_1_3_2</v>
      </c>
      <c r="AS1438" t="str">
        <f>IF(LEN(X1438)=0,"",X1438)</f>
        <v/>
      </c>
    </row>
    <row r="1439" spans="1:45" x14ac:dyDescent="0.35">
      <c r="A1439" s="366">
        <v>7</v>
      </c>
      <c r="B1439" s="738" t="s">
        <v>1016</v>
      </c>
      <c r="C1439" s="744" t="s">
        <v>258</v>
      </c>
      <c r="D1439" s="731"/>
      <c r="E1439" s="731"/>
      <c r="F1439" s="731"/>
      <c r="G1439" s="366" t="str">
        <f ca="1">G1438</f>
        <v/>
      </c>
      <c r="H1439" s="366" t="s">
        <v>3972</v>
      </c>
      <c r="I1439" s="4"/>
      <c r="J1439" s="90"/>
      <c r="K1439" s="90"/>
      <c r="L1439" s="814"/>
      <c r="M1439" s="40"/>
      <c r="N1439" s="834"/>
      <c r="O1439" s="834"/>
      <c r="X1439" s="817"/>
      <c r="Y1439" s="1100"/>
      <c r="Z1439" s="1102"/>
    </row>
    <row r="1440" spans="1:45" x14ac:dyDescent="0.35">
      <c r="A1440" s="366">
        <v>7</v>
      </c>
      <c r="B1440" s="738" t="s">
        <v>1016</v>
      </c>
      <c r="C1440" s="744" t="s">
        <v>258</v>
      </c>
      <c r="D1440" s="731"/>
      <c r="E1440" s="731"/>
      <c r="F1440" s="731"/>
      <c r="G1440" s="366" t="str">
        <f ca="1">G1439</f>
        <v/>
      </c>
      <c r="H1440" s="366" t="s">
        <v>3972</v>
      </c>
      <c r="I1440" s="4"/>
      <c r="J1440" s="90"/>
      <c r="K1440" s="90"/>
      <c r="L1440" s="814"/>
      <c r="M1440" s="40"/>
      <c r="N1440" s="834"/>
      <c r="O1440" s="834"/>
      <c r="X1440" s="817"/>
      <c r="Y1440" s="1100"/>
      <c r="Z1440" s="1102"/>
    </row>
    <row r="1441" spans="1:45" x14ac:dyDescent="0.35">
      <c r="A1441" s="366">
        <v>7</v>
      </c>
      <c r="B1441" s="738" t="s">
        <v>1016</v>
      </c>
      <c r="C1441" s="744" t="s">
        <v>258</v>
      </c>
      <c r="D1441" s="731" t="s">
        <v>121</v>
      </c>
      <c r="E1441" s="731"/>
      <c r="F1441" s="731"/>
      <c r="G1441" s="366" t="str">
        <f ca="1">G1440</f>
        <v/>
      </c>
      <c r="H1441" s="732" t="s">
        <v>3972</v>
      </c>
      <c r="I1441" s="4"/>
      <c r="J1441" s="90"/>
      <c r="K1441" s="152" t="s">
        <v>121</v>
      </c>
      <c r="L1441" s="90" t="s">
        <v>1020</v>
      </c>
      <c r="M1441" s="40">
        <v>2</v>
      </c>
      <c r="N1441" s="41"/>
      <c r="O1441" s="41"/>
      <c r="X1441" s="817"/>
      <c r="Y1441" s="1100"/>
      <c r="Z1441" s="1102"/>
      <c r="AL1441" t="str">
        <f>SUBSTITUTE(SUBSTITUTE(SUBSTITUTE("vpa"&amp;$B1441&amp;$C1441&amp;$D1441&amp;$E1441,".","_"),"(","_"),")","")</f>
        <v>vpa705_2_1_3_2_a</v>
      </c>
      <c r="AM1441">
        <f>M1441</f>
        <v>2</v>
      </c>
    </row>
    <row r="1442" spans="1:45" x14ac:dyDescent="0.35">
      <c r="A1442" s="366">
        <v>7</v>
      </c>
      <c r="B1442" s="738" t="s">
        <v>1016</v>
      </c>
      <c r="C1442" s="744" t="s">
        <v>258</v>
      </c>
      <c r="D1442" s="731" t="s">
        <v>122</v>
      </c>
      <c r="E1442" s="731"/>
      <c r="F1442" s="731"/>
      <c r="G1442" s="366" t="str">
        <f ca="1">G1441</f>
        <v/>
      </c>
      <c r="H1442" s="732" t="s">
        <v>3972</v>
      </c>
      <c r="I1442" s="133"/>
      <c r="J1442" s="228"/>
      <c r="K1442" s="326" t="s">
        <v>122</v>
      </c>
      <c r="L1442" s="228" t="s">
        <v>1021</v>
      </c>
      <c r="M1442" s="268">
        <v>3</v>
      </c>
      <c r="N1442" s="546"/>
      <c r="O1442" s="546"/>
      <c r="X1442" s="817"/>
      <c r="Y1442" s="1100"/>
      <c r="Z1442" s="1102"/>
      <c r="AL1442" t="str">
        <f>SUBSTITUTE(SUBSTITUTE(SUBSTITUTE("vpa"&amp;$B1442&amp;$C1442&amp;$D1442&amp;$E1442,".","_"),"(","_"),")","")</f>
        <v>vpa705_2_1_3_2_b</v>
      </c>
      <c r="AM1442">
        <f>M1442</f>
        <v>3</v>
      </c>
    </row>
    <row r="1443" spans="1:45" x14ac:dyDescent="0.35">
      <c r="A1443" s="366">
        <v>7</v>
      </c>
      <c r="B1443" s="738" t="s">
        <v>1022</v>
      </c>
      <c r="C1443" s="731"/>
      <c r="D1443" s="731"/>
      <c r="E1443" s="731"/>
      <c r="F1443" s="731"/>
      <c r="G1443" s="366" t="str">
        <f ca="1">IF(N1443&gt;0,"P","")</f>
        <v/>
      </c>
      <c r="H1443" s="366" t="s">
        <v>3972</v>
      </c>
      <c r="I1443" s="32" t="s">
        <v>1022</v>
      </c>
      <c r="J1443" s="90"/>
      <c r="K1443" s="90"/>
      <c r="L1443" s="838" t="s">
        <v>1023</v>
      </c>
      <c r="M1443" s="40"/>
      <c r="N1443" s="834">
        <f ca="1">'Ch7'!O573</f>
        <v>0</v>
      </c>
      <c r="O1443" s="834">
        <f ca="1">IFERROR(INDEX({2,3},MATCH(W1443,INDIRECT(U1443),0)),0)*S1443</f>
        <v>0</v>
      </c>
      <c r="P1443" t="b">
        <v>0</v>
      </c>
      <c r="Q1443" t="b">
        <v>1</v>
      </c>
      <c r="R1443" t="b">
        <v>0</v>
      </c>
      <c r="S1443" t="b">
        <f ca="1">IF(AY889=INDEX(INDIRECT("ddSingleOrMulti"),2),TRUE,FALSE)</f>
        <v>0</v>
      </c>
      <c r="T1443" t="b">
        <f ca="1">AND(NOT(S1443),LEN(W1443)&gt;0)</f>
        <v>0</v>
      </c>
      <c r="U1443" t="str">
        <f>SUBSTITUTE(SUBSTITUTE(SUBSTITUTE("dd"&amp;B1443&amp;C1443&amp;D1443&amp;E1443&amp;F1443,".","_"),"(","_"),")","")</f>
        <v>dd705_2_1_4</v>
      </c>
      <c r="W1443" s="9"/>
      <c r="X1443" s="817"/>
      <c r="Y1443" s="1100" t="str">
        <f>IF(LEN('Ch7'!X573)=0,"None",'Ch7'!X573)</f>
        <v>None</v>
      </c>
      <c r="Z1443" s="1102"/>
      <c r="AC1443" t="b">
        <f ca="1">OR(AD1443:AE1443)</f>
        <v>0</v>
      </c>
      <c r="AD1443" t="b">
        <f ca="1">T1443</f>
        <v>0</v>
      </c>
      <c r="AN1443" t="str">
        <f>SUBSTITUTE(SUBSTITUTE(SUBSTITUTE("vpc"&amp;$B1443&amp;$C1443&amp;$D1443&amp;$E1443,".","_"),"(","_"),")","")</f>
        <v>vpc705_2_1_4</v>
      </c>
      <c r="AO1443">
        <f ca="1">O1443</f>
        <v>0</v>
      </c>
      <c r="AP1443" t="str">
        <f>SUBSTITUTE(SUBSTITUTE(SUBSTITUTE("vch"&amp;$B1443&amp;$C1443&amp;$D1443&amp;$E1443,".","_"),"(","_"),")","")</f>
        <v>vch705_2_1_4</v>
      </c>
      <c r="AQ1443" t="str">
        <f>IF(LEN(W1443)=0,"",W1443)</f>
        <v/>
      </c>
      <c r="AR1443" t="str">
        <f>SUBSTITUTE(SUBSTITUTE(SUBSTITUTE("vnt"&amp;$B1443&amp;$C1443&amp;$D1443&amp;$E1443,".","_"),"(","_"),")","")</f>
        <v>vnt705_2_1_4</v>
      </c>
      <c r="AS1443" t="str">
        <f>IF(LEN(X1443)=0,"",X1443)</f>
        <v/>
      </c>
    </row>
    <row r="1444" spans="1:45" x14ac:dyDescent="0.35">
      <c r="A1444" s="366">
        <v>7</v>
      </c>
      <c r="B1444" s="738" t="s">
        <v>1022</v>
      </c>
      <c r="C1444" s="731"/>
      <c r="D1444" s="731"/>
      <c r="E1444" s="731"/>
      <c r="F1444" s="731"/>
      <c r="G1444" s="366" t="str">
        <f ca="1">G1443</f>
        <v/>
      </c>
      <c r="H1444" s="366" t="s">
        <v>3972</v>
      </c>
      <c r="I1444" s="4"/>
      <c r="J1444" s="90"/>
      <c r="K1444" s="90"/>
      <c r="L1444" s="838"/>
      <c r="M1444" s="40"/>
      <c r="N1444" s="834"/>
      <c r="O1444" s="834"/>
      <c r="X1444" s="817"/>
      <c r="Y1444" s="1100"/>
      <c r="Z1444" s="1102"/>
    </row>
    <row r="1445" spans="1:45" x14ac:dyDescent="0.35">
      <c r="A1445" s="366">
        <v>7</v>
      </c>
      <c r="B1445" s="738" t="s">
        <v>1022</v>
      </c>
      <c r="C1445" s="731"/>
      <c r="D1445" s="731"/>
      <c r="E1445" s="731"/>
      <c r="F1445" s="731"/>
      <c r="G1445" s="366" t="str">
        <f ca="1">G1444</f>
        <v/>
      </c>
      <c r="H1445" s="366" t="s">
        <v>3972</v>
      </c>
      <c r="I1445" s="4"/>
      <c r="J1445" s="90"/>
      <c r="K1445" s="90"/>
      <c r="L1445" s="838"/>
      <c r="M1445" s="40"/>
      <c r="N1445" s="834"/>
      <c r="O1445" s="834"/>
      <c r="X1445" s="817"/>
      <c r="Y1445" s="1100"/>
      <c r="Z1445" s="1102"/>
    </row>
    <row r="1446" spans="1:45" x14ac:dyDescent="0.35">
      <c r="A1446" s="366">
        <v>7</v>
      </c>
      <c r="B1446" s="738" t="s">
        <v>1022</v>
      </c>
      <c r="C1446" s="744" t="s">
        <v>256</v>
      </c>
      <c r="D1446" s="731"/>
      <c r="E1446" s="731"/>
      <c r="F1446" s="731"/>
      <c r="G1446" s="366" t="str">
        <f ca="1">G1445</f>
        <v/>
      </c>
      <c r="H1446" s="366" t="s">
        <v>3972</v>
      </c>
      <c r="I1446" s="4"/>
      <c r="J1446" s="338" t="s">
        <v>256</v>
      </c>
      <c r="K1446" s="228"/>
      <c r="L1446" s="228" t="s">
        <v>1020</v>
      </c>
      <c r="M1446" s="40">
        <v>2</v>
      </c>
      <c r="N1446" s="41"/>
      <c r="O1446" s="41"/>
      <c r="X1446" s="817"/>
      <c r="Y1446" s="1100"/>
      <c r="Z1446" s="1102"/>
      <c r="AL1446" t="str">
        <f>SUBSTITUTE(SUBSTITUTE(SUBSTITUTE("vpa"&amp;$B1446&amp;$C1446&amp;$D1446&amp;$E1446,".","_"),"(","_"),")","")</f>
        <v>vpa705_2_1_4_1</v>
      </c>
      <c r="AM1446">
        <f>M1446</f>
        <v>2</v>
      </c>
    </row>
    <row r="1447" spans="1:45" x14ac:dyDescent="0.35">
      <c r="A1447" s="366">
        <v>7</v>
      </c>
      <c r="B1447" s="738" t="s">
        <v>1022</v>
      </c>
      <c r="C1447" s="744" t="s">
        <v>258</v>
      </c>
      <c r="D1447" s="731"/>
      <c r="E1447" s="731"/>
      <c r="F1447" s="731"/>
      <c r="G1447" s="366" t="str">
        <f ca="1">G1446</f>
        <v/>
      </c>
      <c r="H1447" s="366" t="s">
        <v>3972</v>
      </c>
      <c r="I1447" s="133"/>
      <c r="J1447" s="338" t="s">
        <v>258</v>
      </c>
      <c r="K1447" s="228"/>
      <c r="L1447" s="228" t="s">
        <v>1024</v>
      </c>
      <c r="M1447" s="268">
        <v>3</v>
      </c>
      <c r="N1447" s="546"/>
      <c r="O1447" s="546"/>
      <c r="X1447" s="817"/>
      <c r="Y1447" s="1100"/>
      <c r="Z1447" s="1102"/>
      <c r="AL1447" t="str">
        <f>SUBSTITUTE(SUBSTITUTE(SUBSTITUTE("vpa"&amp;$B1447&amp;$C1447&amp;$D1447&amp;$E1447,".","_"),"(","_"),")","")</f>
        <v>vpa705_2_1_4_2</v>
      </c>
      <c r="AM1447">
        <f>M1447</f>
        <v>3</v>
      </c>
    </row>
    <row r="1448" spans="1:45" x14ac:dyDescent="0.35">
      <c r="A1448" s="366">
        <v>7</v>
      </c>
      <c r="B1448" s="738" t="s">
        <v>1025</v>
      </c>
      <c r="C1448" s="735"/>
      <c r="D1448" s="731"/>
      <c r="E1448" s="731"/>
      <c r="F1448" s="731"/>
      <c r="G1448" s="366" t="str">
        <f>IF(N1448&gt;0,"P","")</f>
        <v/>
      </c>
      <c r="H1448" s="366" t="s">
        <v>3970</v>
      </c>
      <c r="I1448" s="330" t="s">
        <v>1025</v>
      </c>
      <c r="J1448" s="286"/>
      <c r="K1448" s="286"/>
      <c r="L1448" s="905" t="s">
        <v>1026</v>
      </c>
      <c r="M1448" s="822">
        <v>2</v>
      </c>
      <c r="N1448" s="963">
        <f>'Ch7'!O578</f>
        <v>0</v>
      </c>
      <c r="O1448" s="963">
        <f>M1448*S1448*W1448</f>
        <v>0</v>
      </c>
      <c r="P1448" t="b">
        <v>1</v>
      </c>
      <c r="Q1448" t="b">
        <v>1</v>
      </c>
      <c r="R1448" t="b">
        <v>0</v>
      </c>
      <c r="S1448" t="b">
        <v>1</v>
      </c>
      <c r="T1448" t="b">
        <v>0</v>
      </c>
      <c r="W1448" s="17"/>
      <c r="X1448" s="817"/>
      <c r="Y1448" s="1100" t="str">
        <f>IF(LEN('Ch7'!X578)=0,"None",'Ch7'!X578)</f>
        <v>None</v>
      </c>
      <c r="Z1448" s="1102"/>
      <c r="AL1448" t="str">
        <f>SUBSTITUTE(SUBSTITUTE(SUBSTITUTE("vpa"&amp;$B1448&amp;$C1448&amp;$D1448&amp;$E1448,".","_"),"(","_"),")","")</f>
        <v>vpa705_2_2</v>
      </c>
      <c r="AM1448">
        <f>M1448</f>
        <v>2</v>
      </c>
      <c r="AN1448" t="str">
        <f>SUBSTITUTE(SUBSTITUTE(SUBSTITUTE("vpc"&amp;$B1448&amp;$C1448&amp;$D1448&amp;$E1448,".","_"),"(","_"),")","")</f>
        <v>vpc705_2_2</v>
      </c>
      <c r="AO1448">
        <f>O1448</f>
        <v>0</v>
      </c>
      <c r="AP1448" t="str">
        <f>SUBSTITUTE(SUBSTITUTE(SUBSTITUTE("vch"&amp;$B1448&amp;$C1448&amp;$D1448&amp;$E1448,".","_"),"(","_"),")","")</f>
        <v>vch705_2_2</v>
      </c>
      <c r="AQ1448" t="str">
        <f>IF(LEN(W1448)=0,"",W1448)</f>
        <v/>
      </c>
      <c r="AR1448" t="str">
        <f>SUBSTITUTE(SUBSTITUTE(SUBSTITUTE("vnt"&amp;$B1448&amp;$C1448&amp;$D1448&amp;$E1448,".","_"),"(","_"),")","")</f>
        <v>vnt705_2_2</v>
      </c>
      <c r="AS1448" t="str">
        <f>IF(LEN(X1448)=0,"",X1448)</f>
        <v/>
      </c>
    </row>
    <row r="1449" spans="1:45" x14ac:dyDescent="0.35">
      <c r="A1449" s="366">
        <v>7</v>
      </c>
      <c r="B1449" s="738" t="s">
        <v>1025</v>
      </c>
      <c r="C1449" s="735"/>
      <c r="D1449" s="731"/>
      <c r="E1449" s="731"/>
      <c r="F1449" s="731"/>
      <c r="G1449" s="366" t="str">
        <f>G1448</f>
        <v/>
      </c>
      <c r="H1449" s="366" t="s">
        <v>3970</v>
      </c>
      <c r="I1449" s="4"/>
      <c r="J1449" s="90"/>
      <c r="K1449" s="90"/>
      <c r="L1449" s="838"/>
      <c r="M1449" s="818"/>
      <c r="N1449" s="834"/>
      <c r="O1449" s="834"/>
      <c r="X1449" s="817"/>
      <c r="Y1449" s="1100"/>
      <c r="Z1449" s="1102"/>
    </row>
    <row r="1450" spans="1:45" x14ac:dyDescent="0.35">
      <c r="A1450" s="366">
        <v>7</v>
      </c>
      <c r="B1450" s="738" t="s">
        <v>1025</v>
      </c>
      <c r="C1450" s="735"/>
      <c r="D1450" s="731"/>
      <c r="E1450" s="731"/>
      <c r="F1450" s="731"/>
      <c r="G1450" s="366" t="str">
        <f>G1449</f>
        <v/>
      </c>
      <c r="H1450" s="366" t="s">
        <v>3970</v>
      </c>
      <c r="I1450" s="133"/>
      <c r="J1450" s="228"/>
      <c r="K1450" s="228"/>
      <c r="L1450" s="142" t="s">
        <v>930</v>
      </c>
      <c r="M1450" s="268"/>
      <c r="N1450" s="546"/>
      <c r="O1450" s="546"/>
      <c r="X1450" s="817"/>
      <c r="Y1450" s="1100"/>
      <c r="Z1450" s="1102"/>
    </row>
    <row r="1451" spans="1:45" x14ac:dyDescent="0.35">
      <c r="A1451" s="366">
        <v>7</v>
      </c>
      <c r="B1451" s="738" t="s">
        <v>1027</v>
      </c>
      <c r="C1451" s="735"/>
      <c r="D1451" s="731"/>
      <c r="E1451" s="731"/>
      <c r="F1451" s="731"/>
      <c r="G1451" s="366" t="str">
        <f>IF(N1451&gt;0,"P","")</f>
        <v/>
      </c>
      <c r="H1451" s="366" t="s">
        <v>3972</v>
      </c>
      <c r="I1451" s="330" t="s">
        <v>1027</v>
      </c>
      <c r="J1451" s="286"/>
      <c r="K1451" s="286"/>
      <c r="L1451" s="905" t="s">
        <v>1028</v>
      </c>
      <c r="M1451" s="822">
        <v>1</v>
      </c>
      <c r="N1451" s="963">
        <f>'Ch7'!O581</f>
        <v>0</v>
      </c>
      <c r="O1451" s="963">
        <f>M1451*S1451*W1451</f>
        <v>0</v>
      </c>
      <c r="P1451" t="b">
        <v>0</v>
      </c>
      <c r="Q1451" t="b">
        <v>1</v>
      </c>
      <c r="R1451" t="b">
        <v>0</v>
      </c>
      <c r="S1451" t="b">
        <v>1</v>
      </c>
      <c r="T1451" t="b">
        <v>0</v>
      </c>
      <c r="W1451" s="17"/>
      <c r="X1451" s="817"/>
      <c r="Y1451" s="1100" t="str">
        <f>IF(LEN('Ch7'!X581)=0,"None",'Ch7'!X581)</f>
        <v>None</v>
      </c>
      <c r="Z1451" s="1102"/>
      <c r="AL1451" t="str">
        <f>SUBSTITUTE(SUBSTITUTE(SUBSTITUTE("vpa"&amp;$B1451&amp;$C1451&amp;$D1451&amp;$E1451,".","_"),"(","_"),")","")</f>
        <v>vpa705_2_3</v>
      </c>
      <c r="AM1451">
        <f>M1451</f>
        <v>1</v>
      </c>
      <c r="AN1451" t="str">
        <f>SUBSTITUTE(SUBSTITUTE(SUBSTITUTE("vpc"&amp;$B1451&amp;$C1451&amp;$D1451&amp;$E1451,".","_"),"(","_"),")","")</f>
        <v>vpc705_2_3</v>
      </c>
      <c r="AO1451">
        <f>O1451</f>
        <v>0</v>
      </c>
      <c r="AP1451" t="str">
        <f>SUBSTITUTE(SUBSTITUTE(SUBSTITUTE("vch"&amp;$B1451&amp;$C1451&amp;$D1451&amp;$E1451,".","_"),"(","_"),")","")</f>
        <v>vch705_2_3</v>
      </c>
      <c r="AQ1451" t="str">
        <f>IF(LEN(W1451)=0,"",W1451)</f>
        <v/>
      </c>
      <c r="AR1451" t="str">
        <f>SUBSTITUTE(SUBSTITUTE(SUBSTITUTE("vnt"&amp;$B1451&amp;$C1451&amp;$D1451&amp;$E1451,".","_"),"(","_"),")","")</f>
        <v>vnt705_2_3</v>
      </c>
      <c r="AS1451" t="str">
        <f>IF(LEN(X1451)=0,"",X1451)</f>
        <v/>
      </c>
    </row>
    <row r="1452" spans="1:45" x14ac:dyDescent="0.35">
      <c r="A1452" s="366">
        <v>7</v>
      </c>
      <c r="B1452" s="738" t="s">
        <v>1027</v>
      </c>
      <c r="C1452" s="735"/>
      <c r="D1452" s="731"/>
      <c r="E1452" s="731"/>
      <c r="F1452" s="731"/>
      <c r="G1452" s="366" t="str">
        <f>G1451</f>
        <v/>
      </c>
      <c r="H1452" s="366" t="s">
        <v>3972</v>
      </c>
      <c r="I1452" s="133"/>
      <c r="J1452" s="228"/>
      <c r="K1452" s="228"/>
      <c r="L1452" s="889"/>
      <c r="M1452" s="819"/>
      <c r="N1452" s="835"/>
      <c r="O1452" s="835"/>
      <c r="X1452" s="817"/>
      <c r="Y1452" s="1100"/>
      <c r="Z1452" s="1102"/>
    </row>
    <row r="1453" spans="1:45" x14ac:dyDescent="0.35">
      <c r="A1453" s="366">
        <v>7</v>
      </c>
      <c r="B1453" s="738" t="s">
        <v>1029</v>
      </c>
      <c r="C1453" s="735"/>
      <c r="D1453" s="731"/>
      <c r="E1453" s="731"/>
      <c r="F1453" s="731"/>
      <c r="G1453" s="366" t="str">
        <f>IF(N1453&gt;0,"P","")</f>
        <v/>
      </c>
      <c r="H1453" s="366" t="s">
        <v>3972</v>
      </c>
      <c r="I1453" s="32" t="s">
        <v>1029</v>
      </c>
      <c r="J1453" s="90"/>
      <c r="K1453" s="90"/>
      <c r="L1453" s="838" t="s">
        <v>1030</v>
      </c>
      <c r="M1453" s="818">
        <v>1</v>
      </c>
      <c r="N1453" s="834">
        <f>'Ch7'!O583</f>
        <v>0</v>
      </c>
      <c r="O1453" s="834">
        <f>IFERROR(IF(AND(NOT(ISBLANK(W1454)),(W1454/W1455)&lt;(1/400)),1,0),0)</f>
        <v>0</v>
      </c>
      <c r="R1453" s="6"/>
      <c r="W1453" t="s">
        <v>3631</v>
      </c>
      <c r="X1453" s="817"/>
      <c r="Y1453" s="1100" t="str">
        <f>IF(LEN('Ch7'!X583)=0,"None",'Ch7'!X583)</f>
        <v>None</v>
      </c>
      <c r="Z1453" s="1102"/>
      <c r="AL1453" t="str">
        <f>SUBSTITUTE(SUBSTITUTE(SUBSTITUTE("vpa"&amp;$B1453&amp;$C1453&amp;$D1453&amp;$E1453,".","_"),"(","_"),")","")</f>
        <v>vpa705_2_4</v>
      </c>
      <c r="AM1453">
        <f>M1453</f>
        <v>1</v>
      </c>
      <c r="AN1453" t="str">
        <f>SUBSTITUTE(SUBSTITUTE(SUBSTITUTE("vpc"&amp;$B1453&amp;$C1453&amp;$D1453&amp;$E1453,".","_"),"(","_"),")","")</f>
        <v>vpc705_2_4</v>
      </c>
      <c r="AO1453">
        <f>O1453</f>
        <v>0</v>
      </c>
      <c r="AR1453" t="str">
        <f>SUBSTITUTE(SUBSTITUTE(SUBSTITUTE("vnt"&amp;$B1453&amp;$C1453&amp;$D1453&amp;$E1453,".","_"),"(","_"),")","")</f>
        <v>vnt705_2_4</v>
      </c>
      <c r="AS1453" t="str">
        <f>IF(LEN(X1453)=0,"",X1453)</f>
        <v/>
      </c>
    </row>
    <row r="1454" spans="1:45" x14ac:dyDescent="0.35">
      <c r="A1454" s="366">
        <v>7</v>
      </c>
      <c r="B1454" s="738" t="s">
        <v>1029</v>
      </c>
      <c r="C1454" s="735"/>
      <c r="D1454" s="731"/>
      <c r="E1454" s="731"/>
      <c r="F1454" s="731"/>
      <c r="G1454" s="366" t="str">
        <f>G1453</f>
        <v/>
      </c>
      <c r="H1454" s="366" t="s">
        <v>3972</v>
      </c>
      <c r="I1454" s="4"/>
      <c r="J1454" s="90"/>
      <c r="K1454" s="90"/>
      <c r="L1454" s="838"/>
      <c r="M1454" s="818"/>
      <c r="N1454" s="834"/>
      <c r="O1454" s="834"/>
      <c r="P1454" t="b">
        <v>0</v>
      </c>
      <c r="Q1454" t="b">
        <v>1</v>
      </c>
      <c r="R1454" t="b">
        <v>0</v>
      </c>
      <c r="S1454" t="b">
        <f>AND(OR(W1030="Met",W1030="N/A"),OR(NOT(AY905="None"),NOT(AY910="None")))</f>
        <v>0</v>
      </c>
      <c r="T1454" t="b">
        <f>OR(AND(NOT(S1454),LEN(W1454)&gt;0),AND(W1454&gt;0,W1030="N/A"))</f>
        <v>0</v>
      </c>
      <c r="W1454" s="240"/>
      <c r="X1454" s="817"/>
      <c r="Y1454" s="1100"/>
      <c r="Z1454" s="1102"/>
      <c r="AC1454" t="b">
        <f>OR(AD1454:AE1454)</f>
        <v>0</v>
      </c>
      <c r="AD1454" t="b">
        <f>T1454</f>
        <v>0</v>
      </c>
      <c r="AP1454" t="str">
        <f>SUBSTITUTE(SUBSTITUTE(SUBSTITUTE("vch"&amp;$B1454&amp;$C1454&amp;$D1454&amp;$E1454,".","_"),"(","_"),")","")</f>
        <v>vch705_2_4</v>
      </c>
      <c r="AQ1454" t="str">
        <f>IF(LEN(W1454)=0,"",W1454)</f>
        <v/>
      </c>
    </row>
    <row r="1455" spans="1:45" ht="15" thickBot="1" x14ac:dyDescent="0.4">
      <c r="A1455" s="366">
        <v>7</v>
      </c>
      <c r="B1455" s="738" t="s">
        <v>1029</v>
      </c>
      <c r="C1455" s="735"/>
      <c r="D1455" s="731"/>
      <c r="E1455" s="731"/>
      <c r="F1455" s="731"/>
      <c r="G1455" s="366" t="str">
        <f>G1454</f>
        <v/>
      </c>
      <c r="H1455" s="366" t="s">
        <v>3972</v>
      </c>
      <c r="I1455" s="160"/>
      <c r="J1455" s="229"/>
      <c r="K1455" s="229"/>
      <c r="L1455" s="849"/>
      <c r="M1455" s="827"/>
      <c r="N1455" s="863"/>
      <c r="O1455" s="863"/>
      <c r="P1455" s="55"/>
      <c r="Q1455" s="55"/>
      <c r="R1455" s="55"/>
      <c r="S1455" s="55"/>
      <c r="T1455" s="55"/>
      <c r="U1455" s="55"/>
      <c r="V1455" s="55"/>
      <c r="W1455" s="339">
        <f>AY897</f>
        <v>0</v>
      </c>
      <c r="X1455" s="829"/>
      <c r="Y1455" s="1101"/>
      <c r="Z1455" s="1104"/>
    </row>
    <row r="1456" spans="1:45" ht="15.5" thickTop="1" thickBot="1" x14ac:dyDescent="0.4">
      <c r="A1456" s="366">
        <v>7</v>
      </c>
      <c r="B1456" s="738">
        <v>705.3</v>
      </c>
      <c r="C1456" s="735"/>
      <c r="D1456" s="731"/>
      <c r="E1456" s="731"/>
      <c r="F1456" s="731"/>
      <c r="G1456" s="366" t="str">
        <f>IF(N1456&gt;0,"P","")</f>
        <v/>
      </c>
      <c r="H1456" s="366" t="s">
        <v>3972</v>
      </c>
      <c r="I1456" s="232">
        <v>705.3</v>
      </c>
      <c r="J1456" s="317"/>
      <c r="K1456" s="317"/>
      <c r="L1456" s="234" t="s">
        <v>1031</v>
      </c>
      <c r="M1456" s="235">
        <v>1</v>
      </c>
      <c r="N1456" s="548">
        <f>'Ch7'!O586</f>
        <v>0</v>
      </c>
      <c r="O1456" s="548">
        <f>M1456*S1456*W1456</f>
        <v>0</v>
      </c>
      <c r="P1456" t="b">
        <v>0</v>
      </c>
      <c r="Q1456" t="b">
        <v>1</v>
      </c>
      <c r="R1456" s="68" t="b">
        <v>0</v>
      </c>
      <c r="S1456" s="68" t="b">
        <v>1</v>
      </c>
      <c r="T1456" s="68" t="b">
        <v>0</v>
      </c>
      <c r="U1456" s="68"/>
      <c r="V1456" s="68"/>
      <c r="W1456" s="70"/>
      <c r="X1456" s="73"/>
      <c r="Y1456" s="539" t="str">
        <f>IF(LEN('Ch7'!X586)=0,"None",'Ch7'!X586)</f>
        <v>None</v>
      </c>
      <c r="Z1456" s="655"/>
      <c r="AL1456" t="str">
        <f>SUBSTITUTE(SUBSTITUTE(SUBSTITUTE("vpa"&amp;$B1456&amp;$C1456&amp;$D1456&amp;$E1456,".","_"),"(","_"),")","")</f>
        <v>vpa705_3</v>
      </c>
      <c r="AM1456">
        <f>M1456</f>
        <v>1</v>
      </c>
      <c r="AN1456" t="str">
        <f>SUBSTITUTE(SUBSTITUTE(SUBSTITUTE("vpc"&amp;$B1456&amp;$C1456&amp;$D1456&amp;$E1456,".","_"),"(","_"),")","")</f>
        <v>vpc705_3</v>
      </c>
      <c r="AO1456">
        <f>O1456</f>
        <v>0</v>
      </c>
      <c r="AP1456" t="str">
        <f>SUBSTITUTE(SUBSTITUTE(SUBSTITUTE("vch"&amp;$B1456&amp;$C1456&amp;$D1456&amp;$E1456,".","_"),"(","_"),")","")</f>
        <v>vch705_3</v>
      </c>
      <c r="AQ1456" t="str">
        <f>IF(LEN(W1456)=0,"",W1456)</f>
        <v/>
      </c>
      <c r="AR1456" t="str">
        <f>SUBSTITUTE(SUBSTITUTE(SUBSTITUTE("vnt"&amp;$B1456&amp;$C1456&amp;$D1456&amp;$E1456,".","_"),"(","_"),")","")</f>
        <v>vnt705_3</v>
      </c>
      <c r="AS1456" t="str">
        <f>IF(LEN(X1456)=0,"",X1456)</f>
        <v/>
      </c>
    </row>
    <row r="1457" spans="1:45" ht="15" thickTop="1" x14ac:dyDescent="0.35">
      <c r="A1457" s="366">
        <v>7</v>
      </c>
      <c r="B1457" s="738">
        <v>705.4</v>
      </c>
      <c r="C1457" s="735"/>
      <c r="D1457" s="731"/>
      <c r="E1457" s="731"/>
      <c r="F1457" s="731"/>
      <c r="G1457" s="366" t="str">
        <f>IF(N1457&gt;0,"P","")</f>
        <v>P</v>
      </c>
      <c r="H1457" s="366" t="s">
        <v>3970</v>
      </c>
      <c r="I1457" s="106">
        <v>705.4</v>
      </c>
      <c r="J1457" s="316"/>
      <c r="K1457" s="316"/>
      <c r="L1457" s="837" t="s">
        <v>1032</v>
      </c>
      <c r="M1457" s="830">
        <v>2</v>
      </c>
      <c r="N1457" s="959">
        <f>'Ch7'!O587</f>
        <v>2</v>
      </c>
      <c r="O1457" s="959">
        <f>M1457*S1457*W1457</f>
        <v>0</v>
      </c>
      <c r="P1457" t="b">
        <v>1</v>
      </c>
      <c r="Q1457" t="b">
        <v>1</v>
      </c>
      <c r="R1457" s="59" t="b">
        <v>0</v>
      </c>
      <c r="S1457" s="59" t="b">
        <v>1</v>
      </c>
      <c r="T1457" s="59" t="b">
        <v>0</v>
      </c>
      <c r="U1457" s="59"/>
      <c r="V1457" s="59"/>
      <c r="W1457" s="69"/>
      <c r="X1457" s="840"/>
      <c r="Y1457" s="1117" t="str">
        <f>IF(LEN('Ch7'!X587)=0,"None",'Ch7'!X587)</f>
        <v>None</v>
      </c>
      <c r="Z1457" s="1103"/>
      <c r="AL1457" t="str">
        <f>SUBSTITUTE(SUBSTITUTE(SUBSTITUTE("vpa"&amp;$B1457&amp;$C1457&amp;$D1457&amp;$E1457,".","_"),"(","_"),")","")</f>
        <v>vpa705_4</v>
      </c>
      <c r="AM1457">
        <f>M1457</f>
        <v>2</v>
      </c>
      <c r="AN1457" t="str">
        <f>SUBSTITUTE(SUBSTITUTE(SUBSTITUTE("vpc"&amp;$B1457&amp;$C1457&amp;$D1457&amp;$E1457,".","_"),"(","_"),")","")</f>
        <v>vpc705_4</v>
      </c>
      <c r="AO1457">
        <f>O1457</f>
        <v>0</v>
      </c>
      <c r="AP1457" t="str">
        <f>SUBSTITUTE(SUBSTITUTE(SUBSTITUTE("vch"&amp;$B1457&amp;$C1457&amp;$D1457&amp;$E1457,".","_"),"(","_"),")","")</f>
        <v>vch705_4</v>
      </c>
      <c r="AQ1457" t="str">
        <f>IF(LEN(W1457)=0,"",W1457)</f>
        <v/>
      </c>
      <c r="AR1457" t="str">
        <f>SUBSTITUTE(SUBSTITUTE(SUBSTITUTE("vnt"&amp;$B1457&amp;$C1457&amp;$D1457&amp;$E1457,".","_"),"(","_"),")","")</f>
        <v>vnt705_4</v>
      </c>
      <c r="AS1457" t="str">
        <f>IF(LEN(X1457)=0,"",X1457)</f>
        <v/>
      </c>
    </row>
    <row r="1458" spans="1:45" x14ac:dyDescent="0.35">
      <c r="A1458" s="366">
        <v>7</v>
      </c>
      <c r="B1458" s="738">
        <v>705.4</v>
      </c>
      <c r="C1458" s="735"/>
      <c r="D1458" s="731"/>
      <c r="E1458" s="731"/>
      <c r="F1458" s="731"/>
      <c r="G1458" s="366" t="str">
        <f>G1457</f>
        <v>P</v>
      </c>
      <c r="H1458" s="366" t="s">
        <v>3970</v>
      </c>
      <c r="I1458" s="4"/>
      <c r="J1458" s="90"/>
      <c r="K1458" s="90"/>
      <c r="L1458" s="838"/>
      <c r="M1458" s="818"/>
      <c r="N1458" s="834"/>
      <c r="O1458" s="834"/>
      <c r="X1458" s="817"/>
      <c r="Y1458" s="1100"/>
      <c r="Z1458" s="1102"/>
    </row>
    <row r="1459" spans="1:45" ht="15" thickBot="1" x14ac:dyDescent="0.4">
      <c r="A1459" s="366">
        <v>7</v>
      </c>
      <c r="B1459" s="738">
        <v>705.4</v>
      </c>
      <c r="C1459" s="735"/>
      <c r="D1459" s="731"/>
      <c r="E1459" s="731"/>
      <c r="F1459" s="731"/>
      <c r="G1459" s="366" t="str">
        <f>G1458</f>
        <v>P</v>
      </c>
      <c r="H1459" s="366" t="s">
        <v>3970</v>
      </c>
      <c r="I1459" s="160"/>
      <c r="J1459" s="229"/>
      <c r="K1459" s="229"/>
      <c r="L1459" s="849"/>
      <c r="M1459" s="827"/>
      <c r="N1459" s="863"/>
      <c r="O1459" s="863"/>
      <c r="P1459" s="55"/>
      <c r="Q1459" s="55"/>
      <c r="R1459" s="55"/>
      <c r="S1459" s="55"/>
      <c r="T1459" s="55"/>
      <c r="U1459" s="55"/>
      <c r="V1459" s="55"/>
      <c r="W1459" s="55"/>
      <c r="X1459" s="829"/>
      <c r="Y1459" s="1101"/>
      <c r="Z1459" s="1104"/>
    </row>
    <row r="1460" spans="1:45" ht="15" thickTop="1" x14ac:dyDescent="0.35">
      <c r="A1460" s="366">
        <v>7</v>
      </c>
      <c r="B1460" s="738">
        <v>705.5</v>
      </c>
      <c r="C1460" s="735"/>
      <c r="D1460" s="731"/>
      <c r="E1460" s="731"/>
      <c r="F1460" s="731"/>
      <c r="G1460" s="727" t="str">
        <f>IF(COUNTIF(G1462:G1475,"P")&gt;0,"P","")</f>
        <v/>
      </c>
      <c r="H1460" s="366" t="s">
        <v>3970</v>
      </c>
      <c r="I1460" s="30">
        <v>705.5</v>
      </c>
      <c r="J1460" s="90"/>
      <c r="K1460" s="90"/>
      <c r="L1460" s="95" t="s">
        <v>1033</v>
      </c>
      <c r="M1460" s="40"/>
      <c r="N1460" s="41"/>
      <c r="O1460" s="41"/>
    </row>
    <row r="1461" spans="1:45" ht="15" customHeight="1" x14ac:dyDescent="0.35">
      <c r="A1461" s="366">
        <v>7</v>
      </c>
      <c r="B1461" s="738" t="s">
        <v>1034</v>
      </c>
      <c r="C1461" s="735"/>
      <c r="D1461" s="731"/>
      <c r="E1461" s="731"/>
      <c r="F1461" s="731"/>
      <c r="G1461" s="727" t="str">
        <f>IF(COUNTIF(G1462:G1465,"P")&gt;0,"P","")</f>
        <v/>
      </c>
      <c r="H1461" s="366" t="s">
        <v>3970</v>
      </c>
      <c r="I1461" s="32" t="s">
        <v>1034</v>
      </c>
      <c r="J1461" s="90"/>
      <c r="K1461" s="90"/>
      <c r="L1461" s="480" t="s">
        <v>4327</v>
      </c>
      <c r="M1461" s="40"/>
      <c r="O1461" s="41"/>
    </row>
    <row r="1462" spans="1:45" x14ac:dyDescent="0.35">
      <c r="A1462" s="366">
        <v>7</v>
      </c>
      <c r="B1462" s="735" t="s">
        <v>1034</v>
      </c>
      <c r="C1462" s="736" t="s">
        <v>256</v>
      </c>
      <c r="D1462" s="731"/>
      <c r="E1462" s="731"/>
      <c r="F1462" s="731"/>
      <c r="G1462" s="366" t="str">
        <f>IF(N1462&gt;0,"P","")</f>
        <v/>
      </c>
      <c r="H1462" s="366" t="s">
        <v>3970</v>
      </c>
      <c r="I1462" s="4"/>
      <c r="J1462" s="402" t="s">
        <v>256</v>
      </c>
      <c r="K1462" s="90"/>
      <c r="L1462" s="825" t="s">
        <v>4328</v>
      </c>
      <c r="M1462" s="818">
        <v>1</v>
      </c>
      <c r="N1462" s="834">
        <f>'Ch7'!O592</f>
        <v>0</v>
      </c>
      <c r="O1462" s="834">
        <f>M1462*S1462*W1462</f>
        <v>0</v>
      </c>
      <c r="P1462" t="b">
        <v>1</v>
      </c>
      <c r="Q1462" t="b">
        <v>1</v>
      </c>
      <c r="R1462" t="b">
        <v>0</v>
      </c>
      <c r="S1462" t="b">
        <v>1</v>
      </c>
      <c r="T1462" t="b">
        <v>0</v>
      </c>
      <c r="W1462" s="17"/>
      <c r="X1462" s="817"/>
      <c r="Y1462" s="1119" t="str">
        <f>IF(LEN('Ch7'!X592)=0,"None",'Ch7'!X592)</f>
        <v>None</v>
      </c>
      <c r="Z1462" s="1105"/>
      <c r="AL1462" t="str">
        <f>SUBSTITUTE(SUBSTITUTE(SUBSTITUTE("vpa"&amp;$B1462&amp;$C1462&amp;$D1462&amp;$E1462,".","_"),"(","_"),")","")</f>
        <v>vpa705_5_1_1</v>
      </c>
      <c r="AM1462">
        <f>M1462</f>
        <v>1</v>
      </c>
      <c r="AN1462" t="str">
        <f>SUBSTITUTE(SUBSTITUTE(SUBSTITUTE("vpc"&amp;$B1462&amp;$C1462&amp;$D1462&amp;$E1462,".","_"),"(","_"),")","")</f>
        <v>vpc705_5_1_1</v>
      </c>
      <c r="AO1462">
        <f>O1462</f>
        <v>0</v>
      </c>
      <c r="AP1462" t="str">
        <f>SUBSTITUTE(SUBSTITUTE(SUBSTITUTE("vch"&amp;$B1462&amp;$C1462&amp;$D1462&amp;$E1462,".","_"),"(","_"),")","")</f>
        <v>vch705_5_1_1</v>
      </c>
      <c r="AQ1462" t="str">
        <f>IF(LEN(W1462)=0,"",W1462)</f>
        <v/>
      </c>
      <c r="AR1462" t="str">
        <f>SUBSTITUTE(SUBSTITUTE(SUBSTITUTE("vnt"&amp;$B1462&amp;$C1462&amp;$D1462&amp;$E1462,".","_"),"(","_"),")","")</f>
        <v>vnt705_5_1_1</v>
      </c>
      <c r="AS1462" t="str">
        <f>IF(LEN(X1462)=0,"",X1462)</f>
        <v/>
      </c>
    </row>
    <row r="1463" spans="1:45" x14ac:dyDescent="0.35">
      <c r="A1463" s="366">
        <v>7</v>
      </c>
      <c r="B1463" s="735" t="s">
        <v>1034</v>
      </c>
      <c r="C1463" s="736" t="s">
        <v>256</v>
      </c>
      <c r="D1463" s="731"/>
      <c r="E1463" s="731"/>
      <c r="F1463" s="731"/>
      <c r="G1463" s="366" t="str">
        <f>G1462</f>
        <v/>
      </c>
      <c r="H1463" s="366" t="s">
        <v>3970</v>
      </c>
      <c r="I1463" s="4"/>
      <c r="J1463" s="402"/>
      <c r="K1463" s="90"/>
      <c r="L1463" s="825"/>
      <c r="M1463" s="818"/>
      <c r="N1463" s="834"/>
      <c r="O1463" s="834"/>
      <c r="X1463" s="817"/>
      <c r="Y1463" s="1120"/>
      <c r="Z1463" s="1109"/>
    </row>
    <row r="1464" spans="1:45" x14ac:dyDescent="0.35">
      <c r="A1464" s="366">
        <v>7</v>
      </c>
      <c r="B1464" s="735" t="s">
        <v>1034</v>
      </c>
      <c r="C1464" s="736" t="s">
        <v>256</v>
      </c>
      <c r="D1464" s="731"/>
      <c r="E1464" s="731"/>
      <c r="F1464" s="731"/>
      <c r="G1464" s="366" t="str">
        <f>G1463</f>
        <v/>
      </c>
      <c r="H1464" s="366" t="s">
        <v>3970</v>
      </c>
      <c r="I1464" s="4"/>
      <c r="J1464" s="416"/>
      <c r="K1464" s="228"/>
      <c r="L1464" s="842"/>
      <c r="M1464" s="819"/>
      <c r="N1464" s="835"/>
      <c r="O1464" s="835"/>
      <c r="X1464" s="817"/>
      <c r="Y1464" s="1117"/>
      <c r="Z1464" s="1103"/>
    </row>
    <row r="1465" spans="1:45" x14ac:dyDescent="0.35">
      <c r="A1465" s="366">
        <v>7</v>
      </c>
      <c r="B1465" s="735" t="s">
        <v>1034</v>
      </c>
      <c r="C1465" s="736" t="s">
        <v>258</v>
      </c>
      <c r="D1465" s="731"/>
      <c r="E1465" s="731"/>
      <c r="F1465" s="731"/>
      <c r="G1465" s="366" t="str">
        <f>IF(N1465&gt;0,"P","")</f>
        <v/>
      </c>
      <c r="H1465" s="366" t="s">
        <v>3970</v>
      </c>
      <c r="I1465" s="4"/>
      <c r="J1465" s="402" t="s">
        <v>258</v>
      </c>
      <c r="K1465" s="90"/>
      <c r="L1465" s="825" t="s">
        <v>4329</v>
      </c>
      <c r="M1465" s="822">
        <v>1</v>
      </c>
      <c r="N1465" s="963">
        <f>'Ch7'!O595</f>
        <v>0</v>
      </c>
      <c r="O1465" s="963">
        <f>M1465*S1465*W1465</f>
        <v>0</v>
      </c>
      <c r="P1465" t="b">
        <v>1</v>
      </c>
      <c r="Q1465" t="b">
        <v>1</v>
      </c>
      <c r="R1465" t="b">
        <v>0</v>
      </c>
      <c r="S1465" t="b">
        <v>1</v>
      </c>
      <c r="T1465" t="b">
        <v>0</v>
      </c>
      <c r="W1465" s="17"/>
      <c r="X1465" s="817"/>
      <c r="Y1465" s="1119" t="str">
        <f>IF(LEN('Ch7'!X595)=0,"None",'Ch7'!X595)</f>
        <v>None</v>
      </c>
      <c r="Z1465" s="1105"/>
      <c r="AL1465" t="str">
        <f>SUBSTITUTE(SUBSTITUTE(SUBSTITUTE("vpa"&amp;$B1465&amp;$C1465&amp;$D1465&amp;$E1465,".","_"),"(","_"),")","")</f>
        <v>vpa705_5_1_2</v>
      </c>
      <c r="AM1465">
        <f>M1465</f>
        <v>1</v>
      </c>
      <c r="AN1465" t="str">
        <f>SUBSTITUTE(SUBSTITUTE(SUBSTITUTE("vpc"&amp;$B1465&amp;$C1465&amp;$D1465&amp;$E1465,".","_"),"(","_"),")","")</f>
        <v>vpc705_5_1_2</v>
      </c>
      <c r="AO1465">
        <f>O1465</f>
        <v>0</v>
      </c>
      <c r="AP1465" t="str">
        <f>SUBSTITUTE(SUBSTITUTE(SUBSTITUTE("vch"&amp;$B1465&amp;$C1465&amp;$D1465&amp;$E1465,".","_"),"(","_"),")","")</f>
        <v>vch705_5_1_2</v>
      </c>
      <c r="AQ1465" t="str">
        <f>IF(LEN(W1465)=0,"",W1465)</f>
        <v/>
      </c>
      <c r="AR1465" t="str">
        <f>SUBSTITUTE(SUBSTITUTE(SUBSTITUTE("vnt"&amp;$B1465&amp;$C1465&amp;$D1465&amp;$E1465,".","_"),"(","_"),")","")</f>
        <v>vnt705_5_1_2</v>
      </c>
      <c r="AS1465" t="str">
        <f>IF(LEN(X1465)=0,"",X1465)</f>
        <v/>
      </c>
    </row>
    <row r="1466" spans="1:45" x14ac:dyDescent="0.35">
      <c r="A1466" s="366">
        <v>7</v>
      </c>
      <c r="B1466" s="735" t="s">
        <v>1034</v>
      </c>
      <c r="C1466" s="736" t="s">
        <v>258</v>
      </c>
      <c r="D1466" s="731"/>
      <c r="E1466" s="731"/>
      <c r="F1466" s="731"/>
      <c r="G1466" s="366" t="str">
        <f>G1465</f>
        <v/>
      </c>
      <c r="H1466" s="366" t="s">
        <v>3970</v>
      </c>
      <c r="I1466" s="133"/>
      <c r="J1466" s="228"/>
      <c r="K1466" s="228"/>
      <c r="L1466" s="842"/>
      <c r="M1466" s="819"/>
      <c r="N1466" s="835"/>
      <c r="O1466" s="835"/>
      <c r="X1466" s="817"/>
      <c r="Y1466" s="1117"/>
      <c r="Z1466" s="1103"/>
    </row>
    <row r="1467" spans="1:45" x14ac:dyDescent="0.35">
      <c r="A1467" s="366">
        <v>7</v>
      </c>
      <c r="B1467" s="738" t="s">
        <v>1035</v>
      </c>
      <c r="C1467" s="731"/>
      <c r="D1467" s="731"/>
      <c r="E1467" s="731"/>
      <c r="F1467" s="731"/>
      <c r="G1467" s="366" t="str">
        <f>IF(N1467&gt;0,"P","")</f>
        <v/>
      </c>
      <c r="H1467" s="366" t="s">
        <v>3972</v>
      </c>
      <c r="I1467" s="32" t="s">
        <v>1035</v>
      </c>
      <c r="J1467" s="90"/>
      <c r="K1467" s="90"/>
      <c r="L1467" s="838" t="s">
        <v>1036</v>
      </c>
      <c r="M1467" s="818">
        <v>3</v>
      </c>
      <c r="N1467" s="834">
        <f>'Ch7'!O597</f>
        <v>0</v>
      </c>
      <c r="O1467" s="834">
        <f>M1467*S1467*W1467</f>
        <v>0</v>
      </c>
      <c r="P1467" t="b">
        <v>0</v>
      </c>
      <c r="Q1467" t="b">
        <v>1</v>
      </c>
      <c r="R1467" t="b">
        <v>0</v>
      </c>
      <c r="S1467" t="b">
        <v>1</v>
      </c>
      <c r="T1467" t="b">
        <v>0</v>
      </c>
      <c r="W1467" s="17"/>
      <c r="X1467" s="817"/>
      <c r="Y1467" s="1100" t="str">
        <f>IF(LEN('Ch7'!X597)=0,"None",'Ch7'!X597)</f>
        <v>None</v>
      </c>
      <c r="Z1467" s="1102"/>
      <c r="AL1467" t="str">
        <f>SUBSTITUTE(SUBSTITUTE(SUBSTITUTE("vpa"&amp;$B1467&amp;$C1467&amp;$D1467&amp;$E1467,".","_"),"(","_"),")","")</f>
        <v>vpa705_5_2</v>
      </c>
      <c r="AM1467">
        <f>M1467</f>
        <v>3</v>
      </c>
      <c r="AN1467" t="str">
        <f>SUBSTITUTE(SUBSTITUTE(SUBSTITUTE("vpc"&amp;$B1467&amp;$C1467&amp;$D1467&amp;$E1467,".","_"),"(","_"),")","")</f>
        <v>vpc705_5_2</v>
      </c>
      <c r="AO1467">
        <f>O1467</f>
        <v>0</v>
      </c>
      <c r="AP1467" t="str">
        <f>SUBSTITUTE(SUBSTITUTE(SUBSTITUTE("vch"&amp;$B1467&amp;$C1467&amp;$D1467&amp;$E1467,".","_"),"(","_"),")","")</f>
        <v>vch705_5_2</v>
      </c>
      <c r="AQ1467" t="str">
        <f>IF(LEN(W1467)=0,"",W1467)</f>
        <v/>
      </c>
      <c r="AR1467" t="str">
        <f>SUBSTITUTE(SUBSTITUTE(SUBSTITUTE("vnt"&amp;$B1467&amp;$C1467&amp;$D1467&amp;$E1467,".","_"),"(","_"),")","")</f>
        <v>vnt705_5_2</v>
      </c>
      <c r="AS1467" t="str">
        <f>IF(LEN(X1467)=0,"",X1467)</f>
        <v/>
      </c>
    </row>
    <row r="1468" spans="1:45" x14ac:dyDescent="0.35">
      <c r="A1468" s="366">
        <v>7</v>
      </c>
      <c r="B1468" s="738" t="s">
        <v>1035</v>
      </c>
      <c r="C1468" s="731"/>
      <c r="D1468" s="731"/>
      <c r="E1468" s="731"/>
      <c r="F1468" s="731"/>
      <c r="G1468" s="366" t="str">
        <f t="shared" ref="G1468:G1474" si="86">G1467</f>
        <v/>
      </c>
      <c r="H1468" s="366" t="s">
        <v>3972</v>
      </c>
      <c r="I1468" s="4"/>
      <c r="J1468" s="90"/>
      <c r="K1468" s="90"/>
      <c r="L1468" s="838"/>
      <c r="M1468" s="818"/>
      <c r="N1468" s="834"/>
      <c r="O1468" s="834"/>
      <c r="X1468" s="817"/>
      <c r="Y1468" s="1100"/>
      <c r="Z1468" s="1102"/>
    </row>
    <row r="1469" spans="1:45" x14ac:dyDescent="0.35">
      <c r="A1469" s="366">
        <v>7</v>
      </c>
      <c r="B1469" s="738" t="s">
        <v>1035</v>
      </c>
      <c r="C1469" s="731" t="s">
        <v>256</v>
      </c>
      <c r="D1469" s="731"/>
      <c r="E1469" s="731"/>
      <c r="F1469" s="731"/>
      <c r="G1469" s="366" t="str">
        <f t="shared" si="86"/>
        <v/>
      </c>
      <c r="H1469" s="366" t="s">
        <v>3972</v>
      </c>
      <c r="I1469" s="4"/>
      <c r="J1469" s="338" t="s">
        <v>256</v>
      </c>
      <c r="K1469" s="228"/>
      <c r="L1469" s="228" t="s">
        <v>1037</v>
      </c>
      <c r="M1469" s="40"/>
      <c r="N1469" s="41"/>
      <c r="O1469" s="41"/>
      <c r="X1469" s="36"/>
      <c r="Y1469" s="396" t="str">
        <f>IF(LEN('Ch7'!X599)=0,"None",'Ch7'!X599)</f>
        <v>None</v>
      </c>
      <c r="Z1469" s="652"/>
      <c r="AR1469" t="str">
        <f t="shared" ref="AR1469:AR1474" si="87">SUBSTITUTE(SUBSTITUTE(SUBSTITUTE("vnt"&amp;$B1469&amp;$C1469&amp;$D1469&amp;$E1469,".","_"),"(","_"),")","")</f>
        <v>vnt705_5_2_1</v>
      </c>
      <c r="AS1469" t="str">
        <f t="shared" ref="AS1469:AS1474" si="88">IF(LEN(X1469)=0,"",X1469)</f>
        <v/>
      </c>
    </row>
    <row r="1470" spans="1:45" x14ac:dyDescent="0.35">
      <c r="A1470" s="366">
        <v>7</v>
      </c>
      <c r="B1470" s="738" t="s">
        <v>1035</v>
      </c>
      <c r="C1470" s="731" t="s">
        <v>258</v>
      </c>
      <c r="D1470" s="731"/>
      <c r="E1470" s="731"/>
      <c r="F1470" s="731"/>
      <c r="G1470" s="366" t="str">
        <f t="shared" si="86"/>
        <v/>
      </c>
      <c r="H1470" s="366" t="s">
        <v>3972</v>
      </c>
      <c r="I1470" s="4"/>
      <c r="J1470" s="338" t="s">
        <v>258</v>
      </c>
      <c r="K1470" s="228"/>
      <c r="L1470" s="228" t="s">
        <v>1038</v>
      </c>
      <c r="M1470" s="40"/>
      <c r="N1470" s="41"/>
      <c r="O1470" s="41"/>
      <c r="X1470" s="36"/>
      <c r="Y1470" s="396" t="str">
        <f>IF(LEN('Ch7'!X600)=0,"None",'Ch7'!X600)</f>
        <v>None</v>
      </c>
      <c r="Z1470" s="652"/>
      <c r="AQ1470" t="str">
        <f>IF(LEN(W1470)=0," ",W1470)</f>
        <v xml:space="preserve"> </v>
      </c>
      <c r="AR1470" t="str">
        <f t="shared" si="87"/>
        <v>vnt705_5_2_2</v>
      </c>
      <c r="AS1470" t="str">
        <f t="shared" si="88"/>
        <v/>
      </c>
    </row>
    <row r="1471" spans="1:45" x14ac:dyDescent="0.35">
      <c r="A1471" s="366">
        <v>7</v>
      </c>
      <c r="B1471" s="738" t="s">
        <v>1035</v>
      </c>
      <c r="C1471" s="731" t="s">
        <v>260</v>
      </c>
      <c r="D1471" s="731"/>
      <c r="E1471" s="731"/>
      <c r="F1471" s="731"/>
      <c r="G1471" s="366" t="str">
        <f t="shared" si="86"/>
        <v/>
      </c>
      <c r="H1471" s="366" t="s">
        <v>3972</v>
      </c>
      <c r="I1471" s="4"/>
      <c r="J1471" s="348" t="s">
        <v>260</v>
      </c>
      <c r="K1471" s="178"/>
      <c r="L1471" s="178" t="s">
        <v>1039</v>
      </c>
      <c r="M1471" s="40"/>
      <c r="N1471" s="41"/>
      <c r="O1471" s="41"/>
      <c r="X1471" s="36"/>
      <c r="Y1471" s="396" t="str">
        <f>IF(LEN('Ch7'!X601)=0,"None",'Ch7'!X601)</f>
        <v>None</v>
      </c>
      <c r="Z1471" s="652"/>
      <c r="AR1471" t="str">
        <f t="shared" si="87"/>
        <v>vnt705_5_2_3</v>
      </c>
      <c r="AS1471" t="str">
        <f t="shared" si="88"/>
        <v/>
      </c>
    </row>
    <row r="1472" spans="1:45" x14ac:dyDescent="0.35">
      <c r="A1472" s="366">
        <v>7</v>
      </c>
      <c r="B1472" s="738" t="s">
        <v>1035</v>
      </c>
      <c r="C1472" s="731" t="s">
        <v>269</v>
      </c>
      <c r="D1472" s="731"/>
      <c r="E1472" s="731"/>
      <c r="F1472" s="731"/>
      <c r="G1472" s="366" t="str">
        <f t="shared" si="86"/>
        <v/>
      </c>
      <c r="H1472" s="366" t="s">
        <v>3972</v>
      </c>
      <c r="I1472" s="4"/>
      <c r="J1472" s="348" t="s">
        <v>269</v>
      </c>
      <c r="K1472" s="178"/>
      <c r="L1472" s="178" t="s">
        <v>1040</v>
      </c>
      <c r="M1472" s="40"/>
      <c r="N1472" s="41"/>
      <c r="O1472" s="41"/>
      <c r="X1472" s="36"/>
      <c r="Y1472" s="396" t="str">
        <f>IF(LEN('Ch7'!X602)=0,"None",'Ch7'!X602)</f>
        <v>None</v>
      </c>
      <c r="Z1472" s="652"/>
      <c r="AQ1472" t="str">
        <f>IF(LEN(W1472)=0," ",W1472)</f>
        <v xml:space="preserve"> </v>
      </c>
      <c r="AR1472" t="str">
        <f t="shared" si="87"/>
        <v>vnt705_5_2_4</v>
      </c>
      <c r="AS1472" t="str">
        <f t="shared" si="88"/>
        <v/>
      </c>
    </row>
    <row r="1473" spans="1:45" x14ac:dyDescent="0.35">
      <c r="A1473" s="366">
        <v>7</v>
      </c>
      <c r="B1473" s="738" t="s">
        <v>1035</v>
      </c>
      <c r="C1473" s="731" t="s">
        <v>275</v>
      </c>
      <c r="D1473" s="731"/>
      <c r="E1473" s="731"/>
      <c r="F1473" s="731"/>
      <c r="G1473" s="366" t="str">
        <f t="shared" si="86"/>
        <v/>
      </c>
      <c r="H1473" s="366" t="s">
        <v>3972</v>
      </c>
      <c r="I1473" s="4"/>
      <c r="J1473" s="348" t="s">
        <v>275</v>
      </c>
      <c r="K1473" s="178"/>
      <c r="L1473" s="178" t="s">
        <v>1041</v>
      </c>
      <c r="M1473" s="40"/>
      <c r="N1473" s="41"/>
      <c r="O1473" s="41"/>
      <c r="X1473" s="36"/>
      <c r="Y1473" s="396" t="str">
        <f>IF(LEN('Ch7'!X603)=0,"None",'Ch7'!X603)</f>
        <v>None</v>
      </c>
      <c r="Z1473" s="652"/>
      <c r="AR1473" t="str">
        <f t="shared" si="87"/>
        <v>vnt705_5_2_5</v>
      </c>
      <c r="AS1473" t="str">
        <f t="shared" si="88"/>
        <v/>
      </c>
    </row>
    <row r="1474" spans="1:45" x14ac:dyDescent="0.35">
      <c r="A1474" s="366">
        <v>7</v>
      </c>
      <c r="B1474" s="738" t="s">
        <v>1035</v>
      </c>
      <c r="C1474" s="731" t="s">
        <v>277</v>
      </c>
      <c r="D1474" s="731"/>
      <c r="E1474" s="731"/>
      <c r="F1474" s="731"/>
      <c r="G1474" s="366" t="str">
        <f t="shared" si="86"/>
        <v/>
      </c>
      <c r="H1474" s="366" t="s">
        <v>3972</v>
      </c>
      <c r="I1474" s="133"/>
      <c r="J1474" s="338" t="s">
        <v>277</v>
      </c>
      <c r="K1474" s="228"/>
      <c r="L1474" s="228" t="s">
        <v>1042</v>
      </c>
      <c r="M1474" s="268"/>
      <c r="N1474" s="546"/>
      <c r="O1474" s="546"/>
      <c r="P1474" s="104"/>
      <c r="Q1474" s="104"/>
      <c r="R1474" s="104"/>
      <c r="S1474" s="104"/>
      <c r="T1474" s="104"/>
      <c r="U1474" s="104"/>
      <c r="V1474" s="104"/>
      <c r="W1474" s="104"/>
      <c r="X1474" s="36"/>
      <c r="Y1474" s="396" t="str">
        <f>IF(LEN('Ch7'!X604)=0,"None",'Ch7'!X604)</f>
        <v>None</v>
      </c>
      <c r="Z1474" s="652"/>
      <c r="AR1474" t="str">
        <f t="shared" si="87"/>
        <v>vnt705_5_2_6</v>
      </c>
      <c r="AS1474" t="str">
        <f t="shared" si="88"/>
        <v/>
      </c>
    </row>
    <row r="1475" spans="1:45" x14ac:dyDescent="0.35">
      <c r="A1475" s="366">
        <v>7</v>
      </c>
      <c r="B1475" s="738" t="s">
        <v>4330</v>
      </c>
      <c r="C1475" s="731"/>
      <c r="D1475" s="731"/>
      <c r="E1475" s="731"/>
      <c r="F1475" s="731"/>
      <c r="G1475" s="727" t="str">
        <f>IF(COUNTIF(G1476:G1478,"P")&gt;0,"P","")</f>
        <v/>
      </c>
      <c r="H1475" s="366" t="s">
        <v>3970</v>
      </c>
      <c r="I1475" s="47" t="s">
        <v>4330</v>
      </c>
      <c r="J1475" s="481"/>
      <c r="K1475" s="467"/>
      <c r="L1475" s="480" t="s">
        <v>4331</v>
      </c>
      <c r="M1475" s="282"/>
      <c r="O1475" s="552"/>
    </row>
    <row r="1476" spans="1:45" x14ac:dyDescent="0.35">
      <c r="A1476" s="366">
        <v>7</v>
      </c>
      <c r="B1476" s="738" t="s">
        <v>4330</v>
      </c>
      <c r="C1476" s="736" t="s">
        <v>256</v>
      </c>
      <c r="D1476" s="731"/>
      <c r="E1476" s="731"/>
      <c r="F1476" s="731"/>
      <c r="G1476" s="366" t="str">
        <f>IF(N1476&gt;0,"P","")</f>
        <v/>
      </c>
      <c r="H1476" s="366" t="s">
        <v>3972</v>
      </c>
      <c r="I1476" s="47"/>
      <c r="J1476" s="481" t="s">
        <v>256</v>
      </c>
      <c r="K1476" s="467"/>
      <c r="L1476" s="825" t="s">
        <v>4332</v>
      </c>
      <c r="M1476" s="818">
        <v>3</v>
      </c>
      <c r="N1476" s="834">
        <f>'Ch7'!O606</f>
        <v>0</v>
      </c>
      <c r="O1476" s="834">
        <f>M1476*S1476*W1476</f>
        <v>0</v>
      </c>
      <c r="P1476" t="b">
        <v>0</v>
      </c>
      <c r="Q1476" t="b">
        <v>1</v>
      </c>
      <c r="R1476" t="b">
        <v>0</v>
      </c>
      <c r="S1476" t="b">
        <v>1</v>
      </c>
      <c r="T1476" t="b">
        <v>0</v>
      </c>
      <c r="W1476" s="17"/>
      <c r="X1476" s="817"/>
      <c r="Y1476" s="1119" t="str">
        <f>IF(LEN('Ch7'!X606)=0,"None",'Ch7'!X606)</f>
        <v>None</v>
      </c>
      <c r="Z1476" s="1105"/>
      <c r="AL1476" t="str">
        <f>SUBSTITUTE(SUBSTITUTE(SUBSTITUTE("vpa"&amp;$B1476&amp;$C1476&amp;$D1476&amp;$E1476,".","_"),"(","_"),")","")</f>
        <v>vpa705_5_3_1</v>
      </c>
      <c r="AM1476">
        <f>M1476</f>
        <v>3</v>
      </c>
      <c r="AN1476" t="str">
        <f>SUBSTITUTE(SUBSTITUTE(SUBSTITUTE("vpc"&amp;$B1476&amp;$C1476&amp;$D1476&amp;$E1476,".","_"),"(","_"),")","")</f>
        <v>vpc705_5_3_1</v>
      </c>
      <c r="AO1476">
        <f>O1476</f>
        <v>0</v>
      </c>
      <c r="AP1476" t="str">
        <f>SUBSTITUTE(SUBSTITUTE(SUBSTITUTE("vch"&amp;$B1476&amp;$C1476&amp;$D1476&amp;$E1476,".","_"),"(","_"),")","")</f>
        <v>vch705_5_3_1</v>
      </c>
      <c r="AQ1476" t="str">
        <f>IF(LEN(W1476)=0,"",W1476)</f>
        <v/>
      </c>
      <c r="AR1476" t="str">
        <f>SUBSTITUTE(SUBSTITUTE(SUBSTITUTE("vnt"&amp;$B1476&amp;$C1476&amp;$D1476&amp;$E1476,".","_"),"(","_"),")","")</f>
        <v>vnt705_5_3_1</v>
      </c>
      <c r="AS1476" t="str">
        <f>IF(LEN(X1476)=0,"",X1476)</f>
        <v/>
      </c>
    </row>
    <row r="1477" spans="1:45" x14ac:dyDescent="0.35">
      <c r="A1477" s="366">
        <v>7</v>
      </c>
      <c r="B1477" s="738" t="s">
        <v>4330</v>
      </c>
      <c r="C1477" s="736" t="s">
        <v>256</v>
      </c>
      <c r="D1477" s="731"/>
      <c r="E1477" s="731"/>
      <c r="F1477" s="731"/>
      <c r="G1477" s="366" t="str">
        <f>G1476</f>
        <v/>
      </c>
      <c r="H1477" s="366" t="s">
        <v>3972</v>
      </c>
      <c r="I1477" s="47"/>
      <c r="J1477" s="482"/>
      <c r="K1477" s="472"/>
      <c r="L1477" s="842"/>
      <c r="M1477" s="819"/>
      <c r="N1477" s="835"/>
      <c r="O1477" s="835"/>
      <c r="X1477" s="817"/>
      <c r="Y1477" s="1117"/>
      <c r="Z1477" s="1103"/>
    </row>
    <row r="1478" spans="1:45" ht="15" thickBot="1" x14ac:dyDescent="0.4">
      <c r="A1478" s="366">
        <v>7</v>
      </c>
      <c r="B1478" s="738" t="s">
        <v>4330</v>
      </c>
      <c r="C1478" s="736" t="s">
        <v>258</v>
      </c>
      <c r="D1478" s="731"/>
      <c r="E1478" s="731"/>
      <c r="F1478" s="731"/>
      <c r="G1478" s="366" t="str">
        <f>IF(N1478&gt;0,"P","")</f>
        <v/>
      </c>
      <c r="H1478" s="366" t="s">
        <v>3972</v>
      </c>
      <c r="I1478" s="52"/>
      <c r="J1478" s="491" t="s">
        <v>258</v>
      </c>
      <c r="K1478" s="473"/>
      <c r="L1478" s="474" t="s">
        <v>4333</v>
      </c>
      <c r="M1478" s="533">
        <v>3</v>
      </c>
      <c r="N1478" s="553">
        <f>'Ch7'!O608</f>
        <v>0</v>
      </c>
      <c r="O1478" s="553">
        <f>M1478*S1478*W1478</f>
        <v>0</v>
      </c>
      <c r="P1478" s="55" t="b">
        <v>0</v>
      </c>
      <c r="Q1478" s="55" t="b">
        <v>1</v>
      </c>
      <c r="R1478" s="55" t="b">
        <v>0</v>
      </c>
      <c r="S1478" s="55" t="b">
        <v>1</v>
      </c>
      <c r="T1478" s="55" t="b">
        <v>0</v>
      </c>
      <c r="U1478" s="55"/>
      <c r="V1478" s="55"/>
      <c r="W1478" s="56"/>
      <c r="X1478" s="98"/>
      <c r="Y1478" s="397" t="str">
        <f>IF(LEN('Ch7'!X608)=0,"None",'Ch7'!X608)</f>
        <v>None</v>
      </c>
      <c r="Z1478" s="658"/>
      <c r="AL1478" t="str">
        <f>SUBSTITUTE(SUBSTITUTE(SUBSTITUTE("vpa"&amp;$B1478&amp;$C1478&amp;$D1478&amp;$E1478,".","_"),"(","_"),")","")</f>
        <v>vpa705_5_3_2</v>
      </c>
      <c r="AM1478">
        <f>M1478</f>
        <v>3</v>
      </c>
      <c r="AN1478" t="str">
        <f>SUBSTITUTE(SUBSTITUTE(SUBSTITUTE("vpc"&amp;$B1478&amp;$C1478&amp;$D1478&amp;$E1478,".","_"),"(","_"),")","")</f>
        <v>vpc705_5_3_2</v>
      </c>
      <c r="AO1478">
        <f>O1478</f>
        <v>0</v>
      </c>
      <c r="AP1478" t="str">
        <f>SUBSTITUTE(SUBSTITUTE(SUBSTITUTE("vch"&amp;$B1478&amp;$C1478&amp;$D1478&amp;$E1478,".","_"),"(","_"),")","")</f>
        <v>vch705_5_3_2</v>
      </c>
      <c r="AQ1478" t="str">
        <f>IF(LEN(W1478)=0,"",W1478)</f>
        <v/>
      </c>
      <c r="AR1478" t="str">
        <f>SUBSTITUTE(SUBSTITUTE(SUBSTITUTE("vnt"&amp;$B1478&amp;$C1478&amp;$D1478&amp;$E1478,".","_"),"(","_"),")","")</f>
        <v>vnt705_5_3_2</v>
      </c>
      <c r="AS1478" t="str">
        <f>IF(LEN(X1478)=0,"",X1478)</f>
        <v/>
      </c>
    </row>
    <row r="1479" spans="1:45" ht="15" thickTop="1" x14ac:dyDescent="0.35">
      <c r="A1479" s="366">
        <v>7</v>
      </c>
      <c r="B1479" s="738">
        <v>705.6</v>
      </c>
      <c r="C1479" s="735"/>
      <c r="D1479" s="731"/>
      <c r="E1479" s="731"/>
      <c r="F1479" s="731"/>
      <c r="G1479" s="727" t="str">
        <f ca="1">IF(COUNTIF(G1480:G1527,"P")&gt;0,"P","")</f>
        <v>P</v>
      </c>
      <c r="H1479" s="366" t="s">
        <v>3970</v>
      </c>
      <c r="I1479" s="31">
        <v>705.6</v>
      </c>
      <c r="J1479" s="90"/>
      <c r="K1479" s="90"/>
      <c r="L1479" s="95" t="s">
        <v>1043</v>
      </c>
      <c r="M1479" s="40"/>
      <c r="N1479" s="41"/>
      <c r="O1479" s="41"/>
    </row>
    <row r="1480" spans="1:45" ht="15" customHeight="1" x14ac:dyDescent="0.35">
      <c r="A1480" s="366">
        <v>7</v>
      </c>
      <c r="B1480" s="738" t="s">
        <v>1044</v>
      </c>
      <c r="C1480" s="735"/>
      <c r="D1480" s="731"/>
      <c r="E1480" s="731"/>
      <c r="F1480" s="731"/>
      <c r="G1480" s="366" t="str">
        <f>IF(N1480&gt;0,"P","")</f>
        <v>P</v>
      </c>
      <c r="H1480" s="366" t="s">
        <v>3970</v>
      </c>
      <c r="I1480" s="32" t="s">
        <v>1044</v>
      </c>
      <c r="J1480" s="90"/>
      <c r="K1480" s="90"/>
      <c r="L1480" s="881" t="s">
        <v>4334</v>
      </c>
      <c r="M1480" s="818">
        <v>3</v>
      </c>
      <c r="N1480" s="834">
        <f>'Ch7'!O610</f>
        <v>3</v>
      </c>
      <c r="O1480" s="834">
        <f>M1480*S1480</f>
        <v>0</v>
      </c>
      <c r="P1480" t="b">
        <v>1</v>
      </c>
      <c r="Q1480" t="b">
        <v>1</v>
      </c>
      <c r="R1480" t="b">
        <v>0</v>
      </c>
      <c r="S1480" t="b">
        <f>LEN(W882)&gt;0</f>
        <v>0</v>
      </c>
      <c r="T1480" t="b">
        <v>0</v>
      </c>
      <c r="W1480" s="913" t="s">
        <v>3620</v>
      </c>
      <c r="X1480" s="817"/>
      <c r="Y1480" s="1100" t="str">
        <f>IF(LEN('Ch7'!X610)=0,"None",'Ch7'!X610)</f>
        <v>None</v>
      </c>
      <c r="Z1480" s="1102"/>
      <c r="AL1480" t="str">
        <f>SUBSTITUTE(SUBSTITUTE(SUBSTITUTE("vpa"&amp;$B1480&amp;$C1480&amp;$D1480&amp;$E1480,".","_"),"(","_"),")","")</f>
        <v>vpa705_6_1</v>
      </c>
      <c r="AM1480">
        <f>M1480</f>
        <v>3</v>
      </c>
      <c r="AN1480" t="str">
        <f>SUBSTITUTE(SUBSTITUTE(SUBSTITUTE("vpc"&amp;$B1480&amp;$C1480&amp;$D1480&amp;$E1480,".","_"),"(","_"),")","")</f>
        <v>vpc705_6_1</v>
      </c>
      <c r="AO1480">
        <f>O1480</f>
        <v>0</v>
      </c>
      <c r="AR1480" t="str">
        <f>SUBSTITUTE(SUBSTITUTE(SUBSTITUTE("vnt"&amp;$B1480&amp;$C1480&amp;$D1480&amp;$E1480,".","_"),"(","_"),")","")</f>
        <v>vnt705_6_1</v>
      </c>
      <c r="AS1480" t="str">
        <f>IF(LEN(X1480)=0,"",X1480)</f>
        <v/>
      </c>
    </row>
    <row r="1481" spans="1:45" x14ac:dyDescent="0.35">
      <c r="A1481" s="366">
        <v>7</v>
      </c>
      <c r="B1481" s="738" t="s">
        <v>1044</v>
      </c>
      <c r="C1481" s="735"/>
      <c r="D1481" s="731"/>
      <c r="E1481" s="731"/>
      <c r="F1481" s="731"/>
      <c r="G1481" s="366" t="str">
        <f>G1480</f>
        <v>P</v>
      </c>
      <c r="H1481" s="366" t="s">
        <v>3970</v>
      </c>
      <c r="I1481" s="4"/>
      <c r="J1481" s="90"/>
      <c r="K1481" s="90"/>
      <c r="L1481" s="881"/>
      <c r="M1481" s="818"/>
      <c r="N1481" s="834"/>
      <c r="O1481" s="834"/>
      <c r="W1481" s="913"/>
      <c r="X1481" s="817"/>
      <c r="Y1481" s="1100"/>
      <c r="Z1481" s="1102"/>
    </row>
    <row r="1482" spans="1:45" x14ac:dyDescent="0.35">
      <c r="A1482" s="366">
        <v>7</v>
      </c>
      <c r="B1482" s="738" t="s">
        <v>1044</v>
      </c>
      <c r="C1482" s="735"/>
      <c r="D1482" s="731"/>
      <c r="E1482" s="731"/>
      <c r="F1482" s="731"/>
      <c r="G1482" s="366" t="str">
        <f>G1481</f>
        <v>P</v>
      </c>
      <c r="H1482" s="366" t="s">
        <v>3970</v>
      </c>
      <c r="I1482" s="4"/>
      <c r="J1482" s="90"/>
      <c r="K1482" s="90"/>
      <c r="L1482" s="881"/>
      <c r="M1482" s="818"/>
      <c r="N1482" s="834"/>
      <c r="O1482" s="834"/>
      <c r="W1482" s="913"/>
      <c r="X1482" s="817"/>
      <c r="Y1482" s="1100"/>
      <c r="Z1482" s="1102"/>
    </row>
    <row r="1483" spans="1:45" x14ac:dyDescent="0.35">
      <c r="A1483" s="366">
        <v>7</v>
      </c>
      <c r="B1483" s="738" t="s">
        <v>1044</v>
      </c>
      <c r="C1483" s="735"/>
      <c r="D1483" s="731"/>
      <c r="E1483" s="731"/>
      <c r="F1483" s="731"/>
      <c r="G1483" s="366" t="str">
        <f>G1482</f>
        <v>P</v>
      </c>
      <c r="H1483" s="366" t="s">
        <v>3970</v>
      </c>
      <c r="I1483" s="4"/>
      <c r="J1483" s="90"/>
      <c r="K1483" s="90"/>
      <c r="L1483" s="881"/>
      <c r="M1483" s="818"/>
      <c r="N1483" s="834"/>
      <c r="O1483" s="834"/>
      <c r="W1483" s="913"/>
      <c r="X1483" s="817"/>
      <c r="Y1483" s="1100"/>
      <c r="Z1483" s="1102"/>
    </row>
    <row r="1484" spans="1:45" x14ac:dyDescent="0.35">
      <c r="A1484" s="366">
        <v>7</v>
      </c>
      <c r="B1484" s="738" t="s">
        <v>1044</v>
      </c>
      <c r="C1484" s="735"/>
      <c r="D1484" s="731"/>
      <c r="E1484" s="731"/>
      <c r="F1484" s="731"/>
      <c r="G1484" s="366" t="str">
        <f>G1483</f>
        <v>P</v>
      </c>
      <c r="H1484" s="366" t="s">
        <v>3970</v>
      </c>
      <c r="I1484" s="4"/>
      <c r="J1484" s="90"/>
      <c r="K1484" s="90"/>
      <c r="L1484" s="881"/>
      <c r="M1484" s="818"/>
      <c r="N1484" s="834"/>
      <c r="O1484" s="834"/>
      <c r="W1484" s="913"/>
      <c r="X1484" s="817"/>
      <c r="Y1484" s="1100"/>
      <c r="Z1484" s="1102"/>
    </row>
    <row r="1485" spans="1:45" x14ac:dyDescent="0.35">
      <c r="A1485" s="366">
        <v>7</v>
      </c>
      <c r="B1485" s="738" t="s">
        <v>1044</v>
      </c>
      <c r="C1485" s="735"/>
      <c r="D1485" s="731"/>
      <c r="E1485" s="731"/>
      <c r="F1485" s="731"/>
      <c r="G1485" s="366" t="str">
        <f>G1484</f>
        <v>P</v>
      </c>
      <c r="H1485" s="366" t="s">
        <v>3970</v>
      </c>
      <c r="I1485" s="133"/>
      <c r="J1485" s="228"/>
      <c r="K1485" s="228"/>
      <c r="L1485" s="882"/>
      <c r="M1485" s="819"/>
      <c r="N1485" s="835"/>
      <c r="O1485" s="835"/>
      <c r="P1485" s="104"/>
      <c r="Q1485" s="104"/>
      <c r="R1485" s="104"/>
      <c r="S1485" s="104"/>
      <c r="T1485" s="104"/>
      <c r="U1485" s="104"/>
      <c r="V1485" s="104"/>
      <c r="W1485" s="914"/>
      <c r="X1485" s="817"/>
      <c r="Y1485" s="1100"/>
      <c r="Z1485" s="1102"/>
    </row>
    <row r="1486" spans="1:45" x14ac:dyDescent="0.35">
      <c r="A1486" s="366">
        <v>7</v>
      </c>
      <c r="B1486" s="738" t="s">
        <v>3618</v>
      </c>
      <c r="C1486" s="735"/>
      <c r="D1486" s="731"/>
      <c r="E1486" s="731"/>
      <c r="F1486" s="731"/>
      <c r="G1486" s="727" t="str">
        <f ca="1">IF(COUNTIF(G1493:G1507,"P")&gt;0,"P","")</f>
        <v/>
      </c>
      <c r="H1486" s="366" t="s">
        <v>3972</v>
      </c>
      <c r="I1486" s="32" t="s">
        <v>3618</v>
      </c>
      <c r="J1486" s="90"/>
      <c r="K1486" s="90"/>
      <c r="L1486" s="95" t="s">
        <v>3619</v>
      </c>
      <c r="M1486" s="40"/>
      <c r="N1486" s="41"/>
      <c r="O1486" s="41"/>
    </row>
    <row r="1487" spans="1:45" ht="15" customHeight="1" x14ac:dyDescent="0.35">
      <c r="A1487" s="366">
        <v>7</v>
      </c>
      <c r="B1487" s="735" t="s">
        <v>1046</v>
      </c>
      <c r="C1487" s="735"/>
      <c r="D1487" s="731"/>
      <c r="E1487" s="731"/>
      <c r="F1487" s="731"/>
      <c r="G1487" s="727" t="str">
        <f>IF(COUNTIF(G1493:G1496,"P")&gt;0,"P","")</f>
        <v/>
      </c>
      <c r="H1487" s="366" t="s">
        <v>3972</v>
      </c>
      <c r="I1487" s="32" t="s">
        <v>1046</v>
      </c>
      <c r="J1487" s="90"/>
      <c r="K1487" s="90"/>
      <c r="L1487" s="838" t="s">
        <v>4827</v>
      </c>
      <c r="M1487" s="40"/>
      <c r="N1487" s="41"/>
      <c r="O1487" s="41"/>
    </row>
    <row r="1488" spans="1:45" x14ac:dyDescent="0.35">
      <c r="A1488" s="366">
        <v>7</v>
      </c>
      <c r="B1488" s="735" t="s">
        <v>1046</v>
      </c>
      <c r="C1488" s="735"/>
      <c r="D1488" s="731"/>
      <c r="E1488" s="731"/>
      <c r="F1488" s="731"/>
      <c r="G1488" s="366" t="str">
        <f>G1487</f>
        <v/>
      </c>
      <c r="H1488" s="366" t="s">
        <v>3972</v>
      </c>
      <c r="I1488" s="4"/>
      <c r="J1488" s="90"/>
      <c r="K1488" s="90"/>
      <c r="L1488" s="838"/>
      <c r="M1488" s="40"/>
      <c r="N1488" s="41"/>
      <c r="O1488" s="41"/>
    </row>
    <row r="1489" spans="1:45" x14ac:dyDescent="0.35">
      <c r="A1489" s="366">
        <v>7</v>
      </c>
      <c r="B1489" s="735" t="s">
        <v>1046</v>
      </c>
      <c r="C1489" s="735"/>
      <c r="D1489" s="731"/>
      <c r="E1489" s="731"/>
      <c r="F1489" s="731"/>
      <c r="G1489" s="366" t="str">
        <f>G1488</f>
        <v/>
      </c>
      <c r="H1489" s="366" t="s">
        <v>3972</v>
      </c>
      <c r="I1489" s="4"/>
      <c r="J1489" s="90"/>
      <c r="K1489" s="90"/>
      <c r="L1489" s="838"/>
      <c r="M1489" s="40"/>
      <c r="N1489" s="41"/>
      <c r="O1489" s="41"/>
    </row>
    <row r="1490" spans="1:45" ht="15" customHeight="1" x14ac:dyDescent="0.35">
      <c r="A1490" s="366">
        <v>7</v>
      </c>
      <c r="B1490" s="735" t="s">
        <v>1046</v>
      </c>
      <c r="C1490" s="735"/>
      <c r="D1490" s="731"/>
      <c r="E1490" s="731"/>
      <c r="F1490" s="731"/>
      <c r="G1490" s="366" t="str">
        <f>G1489</f>
        <v/>
      </c>
      <c r="H1490" s="366" t="s">
        <v>3972</v>
      </c>
      <c r="I1490" s="4"/>
      <c r="J1490" s="90"/>
      <c r="K1490" s="90"/>
      <c r="L1490" s="895" t="s">
        <v>4335</v>
      </c>
      <c r="M1490" s="40"/>
      <c r="N1490" s="41"/>
      <c r="O1490" s="41"/>
    </row>
    <row r="1491" spans="1:45" x14ac:dyDescent="0.35">
      <c r="A1491" s="366">
        <v>7</v>
      </c>
      <c r="B1491" s="735" t="s">
        <v>1046</v>
      </c>
      <c r="C1491" s="735"/>
      <c r="D1491" s="731"/>
      <c r="E1491" s="731"/>
      <c r="F1491" s="731"/>
      <c r="G1491" s="366" t="str">
        <f>G1490</f>
        <v/>
      </c>
      <c r="H1491" s="366" t="s">
        <v>3972</v>
      </c>
      <c r="I1491" s="4"/>
      <c r="J1491" s="90"/>
      <c r="K1491" s="90"/>
      <c r="L1491" s="895"/>
      <c r="M1491" s="40"/>
      <c r="N1491" s="41"/>
      <c r="O1491" s="41"/>
    </row>
    <row r="1492" spans="1:45" x14ac:dyDescent="0.35">
      <c r="A1492" s="366">
        <v>7</v>
      </c>
      <c r="B1492" s="735" t="s">
        <v>1046</v>
      </c>
      <c r="C1492" s="735"/>
      <c r="D1492" s="731"/>
      <c r="E1492" s="731"/>
      <c r="F1492" s="731"/>
      <c r="G1492" s="366" t="str">
        <f>G1491</f>
        <v/>
      </c>
      <c r="H1492" s="366" t="s">
        <v>3972</v>
      </c>
      <c r="I1492" s="4"/>
      <c r="J1492" s="90"/>
      <c r="K1492" s="90"/>
      <c r="L1492" s="92" t="s">
        <v>3621</v>
      </c>
      <c r="M1492" s="40"/>
      <c r="N1492" s="41"/>
      <c r="O1492" s="41"/>
      <c r="W1492" t="s">
        <v>3762</v>
      </c>
    </row>
    <row r="1493" spans="1:45" x14ac:dyDescent="0.35">
      <c r="A1493" s="366">
        <v>7</v>
      </c>
      <c r="B1493" s="735" t="s">
        <v>1046</v>
      </c>
      <c r="C1493" s="731" t="s">
        <v>256</v>
      </c>
      <c r="D1493" s="731" t="s">
        <v>4856</v>
      </c>
      <c r="E1493" s="731"/>
      <c r="F1493" s="731"/>
      <c r="G1493" s="366" t="str">
        <f>IF(N1493&gt;0,"P","")</f>
        <v/>
      </c>
      <c r="H1493" s="366" t="s">
        <v>3972</v>
      </c>
      <c r="I1493" s="4"/>
      <c r="J1493" s="156" t="s">
        <v>256</v>
      </c>
      <c r="K1493" s="90"/>
      <c r="L1493" s="90" t="s">
        <v>1047</v>
      </c>
      <c r="M1493" s="818">
        <v>3</v>
      </c>
      <c r="N1493" s="834">
        <f>'Ch7'!O623</f>
        <v>0</v>
      </c>
      <c r="O1493" s="832">
        <f>IF(OR(LEN(W1493)&gt;0,LEN(W1495)&gt;0),M1493,0)</f>
        <v>0</v>
      </c>
      <c r="P1493" t="b">
        <v>0</v>
      </c>
      <c r="Q1493" t="b">
        <v>1</v>
      </c>
      <c r="R1493" t="b">
        <v>0</v>
      </c>
      <c r="S1493" t="b">
        <f ca="1">AND(OR(S955,AND(OR(AND(BF886=2,BG886="Dry"),BI886="Tropical"),S955,O1102&gt;0)),LEN(W1495)=0)</f>
        <v>0</v>
      </c>
      <c r="T1493" t="b">
        <f ca="1">AND(OR(NOT(S1493),AND(W1081=TRUE,BF886&lt;=2,W1493&gt;5),AND(W1081=TRUE,BF886&gt;=3,W1493&gt;3)),LEN(W1493)&gt;0)</f>
        <v>0</v>
      </c>
      <c r="W1493" s="241"/>
      <c r="X1493" s="817"/>
      <c r="Y1493" s="1100" t="str">
        <f>IF(LEN('Ch7'!X623)=0,"None",'Ch7'!X623)</f>
        <v>None</v>
      </c>
      <c r="Z1493" s="1102"/>
      <c r="AC1493" t="b">
        <f ca="1">OR(AD1493:AE1493)</f>
        <v>0</v>
      </c>
      <c r="AD1493" t="b">
        <f ca="1">T1493</f>
        <v>0</v>
      </c>
      <c r="AL1493" t="str">
        <f>SUBSTITUTE(SUBSTITUTE(SUBSTITUTE("vpa"&amp;$B1493&amp;$C1493&amp;$D1493&amp;$E1493,".","_"),"(","_"),")","")</f>
        <v>vpa705_6_2_1_1_1</v>
      </c>
      <c r="AM1493">
        <f>M1493</f>
        <v>3</v>
      </c>
      <c r="AN1493" t="str">
        <f>SUBSTITUTE(SUBSTITUTE(SUBSTITUTE("vpc"&amp;$B1493&amp;$C1493&amp;$D1493&amp;$E1493,".","_"),"(","_"),")","")</f>
        <v>vpc705_6_2_1_1_1</v>
      </c>
      <c r="AO1493">
        <f>O1493</f>
        <v>0</v>
      </c>
      <c r="AP1493" t="str">
        <f>SUBSTITUTE(SUBSTITUTE(SUBSTITUTE("vch"&amp;$B1493&amp;$C1493&amp;$D1493&amp;$E1493,".","_"),"(","_"),")","")</f>
        <v>vch705_6_2_1_1_1</v>
      </c>
      <c r="AQ1493" t="str">
        <f>IF(LEN(W1493)=0,"",W1493)</f>
        <v/>
      </c>
      <c r="AR1493" t="str">
        <f>SUBSTITUTE(SUBSTITUTE(SUBSTITUTE("vnt"&amp;$B1493&amp;$C1493&amp;$D1493&amp;$E1493,".","_"),"(","_"),")","")</f>
        <v>vnt705_6_2_1_1_1</v>
      </c>
      <c r="AS1493" t="str">
        <f>IF(LEN(X1493)=0,"",X1493)</f>
        <v/>
      </c>
    </row>
    <row r="1494" spans="1:45" x14ac:dyDescent="0.35">
      <c r="A1494" s="366">
        <v>7</v>
      </c>
      <c r="B1494" s="735" t="s">
        <v>1046</v>
      </c>
      <c r="C1494" s="731" t="s">
        <v>256</v>
      </c>
      <c r="D1494" s="731"/>
      <c r="G1494" s="366" t="str">
        <f>G1493</f>
        <v/>
      </c>
      <c r="H1494" s="366" t="s">
        <v>3972</v>
      </c>
      <c r="I1494" s="4"/>
      <c r="M1494" s="818"/>
      <c r="N1494" s="834"/>
      <c r="O1494" s="832"/>
      <c r="W1494" t="s">
        <v>4589</v>
      </c>
      <c r="X1494" s="817"/>
      <c r="Y1494" s="1100"/>
      <c r="Z1494" s="1102"/>
    </row>
    <row r="1495" spans="1:45" x14ac:dyDescent="0.35">
      <c r="A1495" s="366">
        <v>7</v>
      </c>
      <c r="B1495" s="735" t="s">
        <v>1046</v>
      </c>
      <c r="C1495" s="731" t="s">
        <v>256</v>
      </c>
      <c r="D1495" s="731" t="s">
        <v>4857</v>
      </c>
      <c r="G1495" s="366" t="str">
        <f>G1494</f>
        <v/>
      </c>
      <c r="H1495" s="366" t="s">
        <v>3972</v>
      </c>
      <c r="I1495" s="4"/>
      <c r="J1495" s="104"/>
      <c r="K1495" s="104"/>
      <c r="L1495" s="586"/>
      <c r="M1495" s="819"/>
      <c r="N1495" s="835"/>
      <c r="O1495" s="824"/>
      <c r="P1495" t="b">
        <v>0</v>
      </c>
      <c r="Q1495" t="b">
        <v>1</v>
      </c>
      <c r="R1495" t="b">
        <v>0</v>
      </c>
      <c r="S1495" t="b">
        <f ca="1">AND(OR(S955,AND(OR(AND(BF886=2,BG886="Dry"),BI886="Tropical"),S955,O1102&gt;0)),LEN(W1493)=0)</f>
        <v>0</v>
      </c>
      <c r="T1495" t="b">
        <f ca="1">AND(OR(NOT(S1495),AND(W1081=TRUE,BF886&lt;=2,W1495&gt;0.33),AND(W1081=TRUE,BF886&gt;=3,W1495&gt;0.23)),LEN(W1495)&gt;0)</f>
        <v>0</v>
      </c>
      <c r="W1495" s="241"/>
      <c r="X1495" s="817"/>
      <c r="Y1495" s="1100"/>
      <c r="Z1495" s="1102"/>
      <c r="AC1495" t="b">
        <f ca="1">OR(AD1495:AE1495)</f>
        <v>0</v>
      </c>
      <c r="AD1495" t="b">
        <f ca="1">T1495</f>
        <v>0</v>
      </c>
      <c r="AP1495" t="str">
        <f>SUBSTITUTE(SUBSTITUTE(SUBSTITUTE("vch"&amp;$B1495&amp;$C1495&amp;$D1495&amp;$E1495,".","_"),"(","_"),")","")</f>
        <v>vch705_6_2_1_1_2</v>
      </c>
      <c r="AQ1495" t="str">
        <f>IF(LEN(W1495)=0,"",W1495)</f>
        <v/>
      </c>
    </row>
    <row r="1496" spans="1:45" x14ac:dyDescent="0.35">
      <c r="A1496" s="366">
        <v>7</v>
      </c>
      <c r="B1496" s="735" t="s">
        <v>1046</v>
      </c>
      <c r="C1496" s="731" t="s">
        <v>258</v>
      </c>
      <c r="D1496" s="731"/>
      <c r="E1496" s="731"/>
      <c r="F1496" s="731"/>
      <c r="G1496" s="366" t="str">
        <f>IF(N1496&gt;0,"P","")</f>
        <v/>
      </c>
      <c r="H1496" s="366" t="s">
        <v>3972</v>
      </c>
      <c r="I1496" s="4"/>
      <c r="J1496" s="156" t="s">
        <v>258</v>
      </c>
      <c r="K1496" s="90"/>
      <c r="L1496" s="90" t="s">
        <v>1048</v>
      </c>
      <c r="M1496" s="40">
        <v>5</v>
      </c>
      <c r="N1496" s="41">
        <f>'Ch7'!O626</f>
        <v>0</v>
      </c>
      <c r="O1496" s="41">
        <f>M1496*S1496*W1496</f>
        <v>0</v>
      </c>
      <c r="P1496" t="b">
        <v>0</v>
      </c>
      <c r="Q1496" t="b">
        <v>1</v>
      </c>
      <c r="R1496" t="b">
        <v>0</v>
      </c>
      <c r="S1496" t="b">
        <f>O1493&gt;0</f>
        <v>0</v>
      </c>
      <c r="T1496" t="b">
        <f>AND(NOT(S1496),W1496=TRUE)</f>
        <v>0</v>
      </c>
      <c r="W1496" s="17"/>
      <c r="X1496" s="850"/>
      <c r="Y1496" s="1100" t="str">
        <f>IF(LEN('Ch7'!X626)=0,"None",'Ch7'!X626)</f>
        <v>None</v>
      </c>
      <c r="Z1496" s="1102"/>
      <c r="AC1496" t="b">
        <f>OR(AD1496:AE1496)</f>
        <v>0</v>
      </c>
      <c r="AD1496" t="b">
        <f>T1496</f>
        <v>0</v>
      </c>
      <c r="AE1496" t="b">
        <f>AND(W1496=TRUE,LEN(X1496)=0)</f>
        <v>0</v>
      </c>
      <c r="AL1496" t="str">
        <f>SUBSTITUTE(SUBSTITUTE(SUBSTITUTE("vpa"&amp;$B1496&amp;$C1496&amp;$D1496&amp;$E1496,".","_"),"(","_"),")","")</f>
        <v>vpa705_6_2_1_2</v>
      </c>
      <c r="AM1496">
        <f>M1496</f>
        <v>5</v>
      </c>
      <c r="AN1496" t="str">
        <f>SUBSTITUTE(SUBSTITUTE(SUBSTITUTE("vpc"&amp;$B1496&amp;$C1496&amp;$D1496&amp;$E1496,".","_"),"(","_"),")","")</f>
        <v>vpc705_6_2_1_2</v>
      </c>
      <c r="AO1496">
        <f>O1496</f>
        <v>0</v>
      </c>
      <c r="AP1496" t="str">
        <f>SUBSTITUTE(SUBSTITUTE(SUBSTITUTE("vch"&amp;$B1496&amp;$C1496&amp;$D1496&amp;$E1496,".","_"),"(","_"),")","")</f>
        <v>vch705_6_2_1_2</v>
      </c>
      <c r="AQ1496" t="str">
        <f>IF(LEN(W1496)=0,"",W1496)</f>
        <v/>
      </c>
      <c r="AR1496" t="str">
        <f>SUBSTITUTE(SUBSTITUTE(SUBSTITUTE("vnt"&amp;$B1496&amp;$C1496&amp;$D1496&amp;$E1496,".","_"),"(","_"),")","")</f>
        <v>vnt705_6_2_1_2</v>
      </c>
      <c r="AS1496" t="str">
        <f>IF(LEN(X1496)=0,"",X1496)</f>
        <v/>
      </c>
    </row>
    <row r="1497" spans="1:45" x14ac:dyDescent="0.35">
      <c r="A1497" s="366">
        <v>7</v>
      </c>
      <c r="B1497" s="735" t="s">
        <v>1046</v>
      </c>
      <c r="C1497" s="731" t="s">
        <v>258</v>
      </c>
      <c r="D1497" s="731"/>
      <c r="E1497" s="731"/>
      <c r="F1497" s="731"/>
      <c r="G1497" s="366" t="str">
        <f>G1496</f>
        <v/>
      </c>
      <c r="H1497" s="366" t="s">
        <v>3972</v>
      </c>
      <c r="I1497" s="4"/>
      <c r="J1497" s="156"/>
      <c r="K1497" s="90"/>
      <c r="L1497" s="855" t="s">
        <v>3622</v>
      </c>
      <c r="M1497" s="40"/>
      <c r="N1497" s="41"/>
      <c r="O1497" s="41"/>
      <c r="X1497" s="851"/>
      <c r="Y1497" s="1100"/>
      <c r="Z1497" s="1102"/>
    </row>
    <row r="1498" spans="1:45" x14ac:dyDescent="0.35">
      <c r="A1498" s="366">
        <v>7</v>
      </c>
      <c r="B1498" s="735" t="s">
        <v>1046</v>
      </c>
      <c r="C1498" s="731" t="s">
        <v>258</v>
      </c>
      <c r="D1498" s="731"/>
      <c r="E1498" s="731"/>
      <c r="F1498" s="731"/>
      <c r="G1498" s="366" t="str">
        <f>G1497</f>
        <v/>
      </c>
      <c r="H1498" s="366" t="s">
        <v>3972</v>
      </c>
      <c r="I1498" s="133"/>
      <c r="J1498" s="338"/>
      <c r="K1498" s="228"/>
      <c r="L1498" s="903"/>
      <c r="M1498" s="4"/>
      <c r="N1498" s="41"/>
      <c r="X1498" s="816"/>
      <c r="Y1498" s="1100"/>
      <c r="Z1498" s="1102"/>
    </row>
    <row r="1499" spans="1:45" ht="15" customHeight="1" x14ac:dyDescent="0.35">
      <c r="A1499" s="366">
        <v>7</v>
      </c>
      <c r="B1499" s="738" t="s">
        <v>1049</v>
      </c>
      <c r="C1499" s="731"/>
      <c r="D1499" s="731"/>
      <c r="E1499" s="731"/>
      <c r="F1499" s="731"/>
      <c r="G1499" s="727" t="str">
        <f>IF(COUNTIF(G1502:G1504,"P")&gt;0,"P","")</f>
        <v/>
      </c>
      <c r="H1499" s="366" t="s">
        <v>3972</v>
      </c>
      <c r="I1499" s="32" t="s">
        <v>1049</v>
      </c>
      <c r="J1499" s="90"/>
      <c r="K1499" s="90"/>
      <c r="L1499" s="838" t="s">
        <v>4336</v>
      </c>
      <c r="M1499" s="4"/>
    </row>
    <row r="1500" spans="1:45" x14ac:dyDescent="0.35">
      <c r="A1500" s="366">
        <v>7</v>
      </c>
      <c r="B1500" s="738" t="s">
        <v>1049</v>
      </c>
      <c r="C1500" s="731"/>
      <c r="D1500" s="731"/>
      <c r="E1500" s="731"/>
      <c r="F1500" s="731"/>
      <c r="G1500" s="366" t="str">
        <f t="shared" ref="G1500:G1506" si="89">G1499</f>
        <v/>
      </c>
      <c r="H1500" s="366" t="s">
        <v>3972</v>
      </c>
      <c r="I1500" s="4"/>
      <c r="J1500" s="90"/>
      <c r="K1500" s="90"/>
      <c r="L1500" s="838"/>
      <c r="M1500" s="40"/>
      <c r="O1500" s="41"/>
    </row>
    <row r="1501" spans="1:45" x14ac:dyDescent="0.35">
      <c r="A1501" s="366">
        <v>7</v>
      </c>
      <c r="B1501" s="738" t="s">
        <v>1049</v>
      </c>
      <c r="C1501" s="731"/>
      <c r="D1501" s="731"/>
      <c r="E1501" s="731"/>
      <c r="F1501" s="731"/>
      <c r="G1501" s="366" t="str">
        <f t="shared" si="89"/>
        <v/>
      </c>
      <c r="H1501" s="366" t="s">
        <v>3972</v>
      </c>
      <c r="I1501" s="4"/>
      <c r="J1501" s="90"/>
      <c r="K1501" s="90"/>
      <c r="L1501" s="838"/>
      <c r="M1501" s="40"/>
      <c r="O1501" s="41"/>
    </row>
    <row r="1502" spans="1:45" x14ac:dyDescent="0.35">
      <c r="A1502" s="366">
        <v>7</v>
      </c>
      <c r="B1502" s="738" t="s">
        <v>1049</v>
      </c>
      <c r="C1502" s="731" t="s">
        <v>256</v>
      </c>
      <c r="D1502" s="731"/>
      <c r="E1502" s="731"/>
      <c r="F1502" s="731"/>
      <c r="G1502" s="366" t="str">
        <f>IF(N1502&gt;0,"P","")</f>
        <v/>
      </c>
      <c r="H1502" s="366" t="s">
        <v>3972</v>
      </c>
      <c r="I1502" s="4"/>
      <c r="J1502" s="156" t="s">
        <v>256</v>
      </c>
      <c r="K1502" s="90"/>
      <c r="L1502" s="814" t="s">
        <v>1050</v>
      </c>
      <c r="M1502" s="818">
        <v>5</v>
      </c>
      <c r="N1502" s="835">
        <f>'Ch7'!O632</f>
        <v>0</v>
      </c>
      <c r="O1502" s="834">
        <f>M1502*S1502*W1502</f>
        <v>0</v>
      </c>
      <c r="P1502" t="b">
        <v>0</v>
      </c>
      <c r="Q1502" t="b">
        <v>1</v>
      </c>
      <c r="R1502" t="b">
        <v>0</v>
      </c>
      <c r="S1502" t="b">
        <v>1</v>
      </c>
      <c r="T1502" t="b">
        <v>0</v>
      </c>
      <c r="W1502" s="17"/>
      <c r="X1502" s="817"/>
      <c r="Y1502" s="1119" t="str">
        <f>IF(LEN('Ch7'!X632)=0,"None",'Ch7'!X632)</f>
        <v>None</v>
      </c>
      <c r="Z1502" s="1105"/>
      <c r="AL1502" t="str">
        <f>SUBSTITUTE(SUBSTITUTE(SUBSTITUTE("vpa"&amp;$B1502&amp;$C1502&amp;$D1502&amp;$E1502,".","_"),"(","_"),")","")</f>
        <v>vpa705_6_2_2_1</v>
      </c>
      <c r="AM1502">
        <f>M1502</f>
        <v>5</v>
      </c>
      <c r="AN1502" t="str">
        <f>SUBSTITUTE(SUBSTITUTE(SUBSTITUTE("vpc"&amp;$B1502&amp;$C1502&amp;$D1502&amp;$E1502,".","_"),"(","_"),")","")</f>
        <v>vpc705_6_2_2_1</v>
      </c>
      <c r="AO1502">
        <f>O1502</f>
        <v>0</v>
      </c>
      <c r="AP1502" t="str">
        <f>SUBSTITUTE(SUBSTITUTE(SUBSTITUTE("vch"&amp;$B1502&amp;$C1502&amp;$D1502&amp;$E1502,".","_"),"(","_"),")","")</f>
        <v>vch705_6_2_2_1</v>
      </c>
      <c r="AQ1502" t="str">
        <f>IF(LEN(W1502)=0,"",W1502)</f>
        <v/>
      </c>
      <c r="AR1502" t="str">
        <f>SUBSTITUTE(SUBSTITUTE(SUBSTITUTE("vnt"&amp;$B1502&amp;$C1502&amp;$D1502&amp;$E1502,".","_"),"(","_"),")","")</f>
        <v>vnt705_6_2_2_1</v>
      </c>
      <c r="AS1502" t="str">
        <f>IF(LEN(X1502)=0,"",X1502)</f>
        <v/>
      </c>
    </row>
    <row r="1503" spans="1:45" x14ac:dyDescent="0.35">
      <c r="A1503" s="366">
        <v>7</v>
      </c>
      <c r="B1503" s="738" t="s">
        <v>1049</v>
      </c>
      <c r="C1503" s="731" t="s">
        <v>256</v>
      </c>
      <c r="D1503" s="731"/>
      <c r="E1503" s="731"/>
      <c r="F1503" s="731"/>
      <c r="G1503" s="366" t="str">
        <f t="shared" si="89"/>
        <v/>
      </c>
      <c r="H1503" s="366" t="s">
        <v>3972</v>
      </c>
      <c r="I1503" s="4"/>
      <c r="J1503" s="338"/>
      <c r="K1503" s="228"/>
      <c r="L1503" s="815"/>
      <c r="M1503" s="819"/>
      <c r="N1503" s="835"/>
      <c r="O1503" s="835"/>
      <c r="X1503" s="817"/>
      <c r="Y1503" s="1117"/>
      <c r="Z1503" s="1103"/>
    </row>
    <row r="1504" spans="1:45" x14ac:dyDescent="0.35">
      <c r="A1504" s="366">
        <v>7</v>
      </c>
      <c r="B1504" s="738" t="s">
        <v>1049</v>
      </c>
      <c r="C1504" s="731" t="s">
        <v>258</v>
      </c>
      <c r="D1504" s="731"/>
      <c r="E1504" s="731"/>
      <c r="F1504" s="731"/>
      <c r="G1504" s="366" t="str">
        <f>IF(N1504&gt;0,"P","")</f>
        <v/>
      </c>
      <c r="H1504" s="366" t="s">
        <v>3972</v>
      </c>
      <c r="I1504" s="4"/>
      <c r="J1504" s="156" t="s">
        <v>258</v>
      </c>
      <c r="K1504" s="90"/>
      <c r="L1504" s="90" t="s">
        <v>1051</v>
      </c>
      <c r="M1504" s="822">
        <v>3</v>
      </c>
      <c r="N1504" s="963">
        <f>'Ch7'!O634</f>
        <v>0</v>
      </c>
      <c r="O1504" s="963">
        <f>M1504*S1504*W1504</f>
        <v>0</v>
      </c>
      <c r="P1504" t="b">
        <v>0</v>
      </c>
      <c r="Q1504" t="b">
        <v>1</v>
      </c>
      <c r="R1504" t="b">
        <v>0</v>
      </c>
      <c r="S1504" t="b">
        <v>1</v>
      </c>
      <c r="T1504" t="b">
        <v>0</v>
      </c>
      <c r="W1504" s="17"/>
      <c r="X1504" s="850"/>
      <c r="Y1504" s="1119" t="str">
        <f>IF(LEN('Ch7'!X634)=0,"None",'Ch7'!X634)</f>
        <v>None</v>
      </c>
      <c r="Z1504" s="1105"/>
      <c r="AC1504" t="b">
        <f>OR(AD1504:AE1504)</f>
        <v>0</v>
      </c>
      <c r="AD1504" t="b">
        <v>0</v>
      </c>
      <c r="AE1504" t="b">
        <f>AND(W1504=TRUE,LEN(X1504)=0)</f>
        <v>0</v>
      </c>
      <c r="AL1504" t="str">
        <f>SUBSTITUTE(SUBSTITUTE(SUBSTITUTE("vpa"&amp;$B1504&amp;$C1504&amp;$D1504&amp;$E1504,".","_"),"(","_"),")","")</f>
        <v>vpa705_6_2_2_2</v>
      </c>
      <c r="AM1504">
        <f>M1504</f>
        <v>3</v>
      </c>
      <c r="AN1504" t="str">
        <f>SUBSTITUTE(SUBSTITUTE(SUBSTITUTE("vpc"&amp;$B1504&amp;$C1504&amp;$D1504&amp;$E1504,".","_"),"(","_"),")","")</f>
        <v>vpc705_6_2_2_2</v>
      </c>
      <c r="AO1504">
        <f>O1504</f>
        <v>0</v>
      </c>
      <c r="AP1504" t="str">
        <f>SUBSTITUTE(SUBSTITUTE(SUBSTITUTE("vch"&amp;$B1504&amp;$C1504&amp;$D1504&amp;$E1504,".","_"),"(","_"),")","")</f>
        <v>vch705_6_2_2_2</v>
      </c>
      <c r="AQ1504" t="str">
        <f>IF(LEN(W1504)=0,"",W1504)</f>
        <v/>
      </c>
      <c r="AR1504" t="str">
        <f>SUBSTITUTE(SUBSTITUTE(SUBSTITUTE("vnt"&amp;$B1504&amp;$C1504&amp;$D1504&amp;$E1504,".","_"),"(","_"),")","")</f>
        <v>vnt705_6_2_2_2</v>
      </c>
      <c r="AS1504" t="str">
        <f>IF(LEN(X1504)=0,"",X1504)</f>
        <v/>
      </c>
    </row>
    <row r="1505" spans="1:45" x14ac:dyDescent="0.35">
      <c r="A1505" s="366">
        <v>7</v>
      </c>
      <c r="B1505" s="738" t="s">
        <v>1049</v>
      </c>
      <c r="C1505" s="731"/>
      <c r="D1505" s="731"/>
      <c r="E1505" s="731"/>
      <c r="F1505" s="731"/>
      <c r="G1505" s="366" t="str">
        <f t="shared" si="89"/>
        <v/>
      </c>
      <c r="H1505" s="366" t="s">
        <v>3972</v>
      </c>
      <c r="I1505" s="4"/>
      <c r="J1505" s="156"/>
      <c r="K1505" s="90"/>
      <c r="L1505" s="855" t="s">
        <v>3623</v>
      </c>
      <c r="M1505" s="818"/>
      <c r="N1505" s="834"/>
      <c r="O1505" s="834"/>
      <c r="X1505" s="851"/>
      <c r="Y1505" s="1120"/>
      <c r="Z1505" s="1109"/>
    </row>
    <row r="1506" spans="1:45" x14ac:dyDescent="0.35">
      <c r="A1506" s="366">
        <v>7</v>
      </c>
      <c r="B1506" s="738" t="s">
        <v>1049</v>
      </c>
      <c r="C1506" s="731"/>
      <c r="D1506" s="731"/>
      <c r="E1506" s="731"/>
      <c r="F1506" s="731"/>
      <c r="G1506" s="366" t="str">
        <f t="shared" si="89"/>
        <v/>
      </c>
      <c r="H1506" s="366" t="s">
        <v>3972</v>
      </c>
      <c r="I1506" s="133"/>
      <c r="J1506" s="338"/>
      <c r="K1506" s="228"/>
      <c r="L1506" s="903"/>
      <c r="M1506" s="819"/>
      <c r="N1506" s="835"/>
      <c r="O1506" s="835"/>
      <c r="X1506" s="816"/>
      <c r="Y1506" s="1117"/>
      <c r="Z1506" s="1103"/>
    </row>
    <row r="1507" spans="1:45" x14ac:dyDescent="0.35">
      <c r="A1507" s="366">
        <v>7</v>
      </c>
      <c r="B1507" s="738" t="s">
        <v>1052</v>
      </c>
      <c r="C1507" s="731"/>
      <c r="D1507" s="731"/>
      <c r="E1507" s="731"/>
      <c r="F1507" s="731"/>
      <c r="G1507" s="366" t="str">
        <f ca="1">IF(N1507&gt;0,"P","")</f>
        <v/>
      </c>
      <c r="H1507" s="366" t="s">
        <v>3972</v>
      </c>
      <c r="I1507" s="32" t="s">
        <v>1052</v>
      </c>
      <c r="J1507" s="90"/>
      <c r="K1507" s="90"/>
      <c r="L1507" s="95" t="s">
        <v>1053</v>
      </c>
      <c r="M1507" s="40"/>
      <c r="N1507" s="834">
        <f ca="1">'Ch7'!O637</f>
        <v>0</v>
      </c>
      <c r="O1507" s="834">
        <f ca="1">IFERROR(INDEX({3,5},MATCH(W1507,INDIRECT(U1507),0)),0)*S1507</f>
        <v>0</v>
      </c>
      <c r="P1507" t="b">
        <v>0</v>
      </c>
      <c r="Q1507" t="b">
        <v>1</v>
      </c>
      <c r="R1507" t="b">
        <v>0</v>
      </c>
      <c r="S1507" t="b">
        <f>AND(OR(AY909&lt;&gt;INDEX(ddHDucts,2),AY913&lt;&gt;INDEX(ddCDucts,2)),LEN(W1234)=0)</f>
        <v>1</v>
      </c>
      <c r="T1507" t="b">
        <f>AND(NOT(S1507),LEN(W1507)&gt;0)</f>
        <v>0</v>
      </c>
      <c r="U1507" t="str">
        <f>SUBSTITUTE(SUBSTITUTE(SUBSTITUTE("dd"&amp;B1507&amp;C1507&amp;D1507&amp;E1507&amp;F1507,".","_"),"(","_"),")","")</f>
        <v>dd705_6_2_3</v>
      </c>
      <c r="W1507" s="9"/>
      <c r="X1507" s="817"/>
      <c r="Y1507" s="1100" t="str">
        <f>IF(LEN('Ch7'!X637)=0,"None",'Ch7'!X637)</f>
        <v>None</v>
      </c>
      <c r="Z1507" s="1102"/>
      <c r="AN1507" t="str">
        <f>SUBSTITUTE(SUBSTITUTE(SUBSTITUTE("vpc"&amp;$B1507&amp;$C1507&amp;$D1507&amp;$E1507,".","_"),"(","_"),")","")</f>
        <v>vpc705_6_2_3</v>
      </c>
      <c r="AO1507">
        <f ca="1">O1507</f>
        <v>0</v>
      </c>
      <c r="AP1507" t="str">
        <f>SUBSTITUTE(SUBSTITUTE(SUBSTITUTE("vch"&amp;$B1507&amp;$C1507&amp;$D1507&amp;$E1507,".","_"),"(","_"),")","")</f>
        <v>vch705_6_2_3</v>
      </c>
      <c r="AQ1507" t="str">
        <f>IF(LEN(W1507)=0,"",W1507)</f>
        <v/>
      </c>
      <c r="AR1507" t="str">
        <f>SUBSTITUTE(SUBSTITUTE(SUBSTITUTE("vnt"&amp;$B1507&amp;$C1507&amp;$D1507&amp;$E1507,".","_"),"(","_"),")","")</f>
        <v>vnt705_6_2_3</v>
      </c>
      <c r="AS1507" t="str">
        <f>IF(LEN(X1507)=0,"",X1507)</f>
        <v/>
      </c>
    </row>
    <row r="1508" spans="1:45" x14ac:dyDescent="0.35">
      <c r="A1508" s="366">
        <v>7</v>
      </c>
      <c r="B1508" s="738" t="s">
        <v>1052</v>
      </c>
      <c r="C1508" s="731"/>
      <c r="D1508" s="731"/>
      <c r="E1508" s="731"/>
      <c r="F1508" s="731"/>
      <c r="G1508" s="366" t="str">
        <f ca="1">G1507</f>
        <v/>
      </c>
      <c r="H1508" s="366" t="s">
        <v>3972</v>
      </c>
      <c r="I1508" s="4"/>
      <c r="J1508" s="90"/>
      <c r="K1508" s="90"/>
      <c r="L1508" s="92" t="s">
        <v>1054</v>
      </c>
      <c r="M1508" s="40"/>
      <c r="N1508" s="834"/>
      <c r="O1508" s="834"/>
      <c r="X1508" s="817"/>
      <c r="Y1508" s="1100"/>
      <c r="Z1508" s="1102"/>
    </row>
    <row r="1509" spans="1:45" x14ac:dyDescent="0.35">
      <c r="A1509" s="366">
        <v>7</v>
      </c>
      <c r="B1509" s="738" t="s">
        <v>1052</v>
      </c>
      <c r="C1509" s="731"/>
      <c r="D1509" s="731"/>
      <c r="E1509" s="731"/>
      <c r="F1509" s="731"/>
      <c r="G1509" s="366" t="str">
        <f ca="1">G1508</f>
        <v/>
      </c>
      <c r="H1509" s="366" t="s">
        <v>3972</v>
      </c>
      <c r="I1509" s="4"/>
      <c r="J1509" s="90"/>
      <c r="K1509" s="90"/>
      <c r="L1509" s="92" t="s">
        <v>3546</v>
      </c>
      <c r="M1509" s="40"/>
      <c r="N1509" s="834"/>
      <c r="O1509" s="834"/>
      <c r="X1509" s="817"/>
      <c r="Y1509" s="1100"/>
      <c r="Z1509" s="1102"/>
    </row>
    <row r="1510" spans="1:45" x14ac:dyDescent="0.35">
      <c r="A1510" s="366">
        <v>7</v>
      </c>
      <c r="B1510" s="738" t="s">
        <v>1052</v>
      </c>
      <c r="C1510" s="731" t="s">
        <v>256</v>
      </c>
      <c r="D1510" s="731"/>
      <c r="E1510" s="731"/>
      <c r="F1510" s="731"/>
      <c r="G1510" s="366" t="str">
        <f ca="1">G1509</f>
        <v/>
      </c>
      <c r="H1510" s="366" t="s">
        <v>3972</v>
      </c>
      <c r="I1510" s="4"/>
      <c r="J1510" s="338" t="s">
        <v>256</v>
      </c>
      <c r="K1510" s="228"/>
      <c r="L1510" s="228" t="s">
        <v>3547</v>
      </c>
      <c r="M1510" s="268">
        <v>3</v>
      </c>
      <c r="N1510" s="41"/>
      <c r="O1510" s="41"/>
      <c r="X1510" s="817"/>
      <c r="Y1510" s="1100"/>
      <c r="Z1510" s="1102"/>
      <c r="AL1510" t="str">
        <f>SUBSTITUTE(SUBSTITUTE(SUBSTITUTE("vpa"&amp;$B1510&amp;$C1510&amp;$D1510&amp;$E1510,".","_"),"(","_"),")","")</f>
        <v>vpa705_6_2_3_1</v>
      </c>
      <c r="AM1510">
        <f>M1510</f>
        <v>3</v>
      </c>
    </row>
    <row r="1511" spans="1:45" x14ac:dyDescent="0.35">
      <c r="A1511" s="366">
        <v>7</v>
      </c>
      <c r="B1511" s="738" t="s">
        <v>1052</v>
      </c>
      <c r="C1511" s="731" t="s">
        <v>258</v>
      </c>
      <c r="D1511" s="731"/>
      <c r="E1511" s="731"/>
      <c r="F1511" s="731"/>
      <c r="G1511" s="366" t="str">
        <f ca="1">G1510</f>
        <v/>
      </c>
      <c r="H1511" s="366" t="s">
        <v>3972</v>
      </c>
      <c r="I1511" s="4"/>
      <c r="J1511" s="156" t="s">
        <v>258</v>
      </c>
      <c r="K1511" s="90"/>
      <c r="L1511" s="814" t="s">
        <v>3548</v>
      </c>
      <c r="M1511" s="818">
        <v>5</v>
      </c>
      <c r="N1511" s="41"/>
      <c r="O1511" s="41"/>
      <c r="X1511" s="817"/>
      <c r="Y1511" s="1100"/>
      <c r="Z1511" s="1102"/>
      <c r="AL1511" t="str">
        <f>SUBSTITUTE(SUBSTITUTE(SUBSTITUTE("vpa"&amp;$B1511&amp;$C1511&amp;$D1511&amp;$E1511,".","_"),"(","_"),")","")</f>
        <v>vpa705_6_2_3_2</v>
      </c>
      <c r="AM1511">
        <f>M1511</f>
        <v>5</v>
      </c>
    </row>
    <row r="1512" spans="1:45" x14ac:dyDescent="0.35">
      <c r="A1512" s="366">
        <v>7</v>
      </c>
      <c r="B1512" s="738" t="s">
        <v>1052</v>
      </c>
      <c r="C1512" s="735"/>
      <c r="D1512" s="731"/>
      <c r="E1512" s="731"/>
      <c r="F1512" s="731"/>
      <c r="G1512" s="366" t="str">
        <f ca="1">G1511</f>
        <v/>
      </c>
      <c r="H1512" s="366" t="s">
        <v>3972</v>
      </c>
      <c r="I1512" s="133"/>
      <c r="J1512" s="104"/>
      <c r="K1512" s="228"/>
      <c r="L1512" s="815"/>
      <c r="M1512" s="819"/>
      <c r="N1512" s="546"/>
      <c r="O1512" s="546"/>
      <c r="X1512" s="817"/>
      <c r="Y1512" s="1100"/>
      <c r="Z1512" s="1102"/>
    </row>
    <row r="1513" spans="1:45" x14ac:dyDescent="0.35">
      <c r="A1513" s="366">
        <v>7</v>
      </c>
      <c r="B1513" s="738" t="s">
        <v>3545</v>
      </c>
      <c r="C1513" s="735"/>
      <c r="D1513" s="731"/>
      <c r="E1513" s="731"/>
      <c r="F1513" s="731"/>
      <c r="G1513" s="366" t="str">
        <f>IF(N1513&gt;0,"P","")</f>
        <v/>
      </c>
      <c r="H1513" s="366" t="s">
        <v>3971</v>
      </c>
      <c r="I1513" s="32" t="s">
        <v>3545</v>
      </c>
      <c r="J1513" s="90"/>
      <c r="K1513" s="90"/>
      <c r="L1513" s="919" t="s">
        <v>3549</v>
      </c>
      <c r="M1513" s="818">
        <v>1</v>
      </c>
      <c r="N1513" s="834">
        <f>'Ch7'!O643</f>
        <v>0</v>
      </c>
      <c r="O1513" s="834">
        <f>M1513*S1513*W1513*NOT(W1515)</f>
        <v>0</v>
      </c>
      <c r="P1513" t="b">
        <v>1</v>
      </c>
      <c r="Q1513" t="b">
        <v>0</v>
      </c>
      <c r="R1513" t="b">
        <v>0</v>
      </c>
      <c r="S1513" t="b">
        <v>1</v>
      </c>
      <c r="T1513" t="b">
        <v>0</v>
      </c>
      <c r="W1513" s="17"/>
      <c r="AL1513" t="str">
        <f>SUBSTITUTE(SUBSTITUTE(SUBSTITUTE("vpa"&amp;$B1513&amp;$C1513&amp;$D1513&amp;$E1513,".","_"),"(","_"),")","")</f>
        <v>vpa705_6_3</v>
      </c>
      <c r="AM1513">
        <f>M1513</f>
        <v>1</v>
      </c>
      <c r="AN1513" t="str">
        <f>SUBSTITUTE(SUBSTITUTE(SUBSTITUTE("vpc"&amp;$B1513&amp;$C1513&amp;$D1513&amp;$E1513,".","_"),"(","_"),")","")</f>
        <v>vpc705_6_3</v>
      </c>
      <c r="AO1513">
        <f>O1513</f>
        <v>0</v>
      </c>
      <c r="AP1513" t="str">
        <f>SUBSTITUTE(SUBSTITUTE(SUBSTITUTE("vch"&amp;$B1513&amp;$C1513&amp;$D1513&amp;$E1513,".","_"),"(","_"),")","")</f>
        <v>vch705_6_3</v>
      </c>
      <c r="AQ1513" t="str">
        <f>IF(LEN(W1513)=0,"",W1513)</f>
        <v/>
      </c>
    </row>
    <row r="1514" spans="1:45" x14ac:dyDescent="0.35">
      <c r="A1514" s="366">
        <v>7</v>
      </c>
      <c r="B1514" s="738" t="s">
        <v>3545</v>
      </c>
      <c r="C1514" s="735"/>
      <c r="D1514" s="731"/>
      <c r="E1514" s="731"/>
      <c r="F1514" s="731"/>
      <c r="G1514" s="366" t="str">
        <f t="shared" ref="G1514:G1523" si="90">G1513</f>
        <v/>
      </c>
      <c r="H1514" s="366" t="s">
        <v>3971</v>
      </c>
      <c r="I1514" s="4"/>
      <c r="J1514" s="90"/>
      <c r="K1514" s="90"/>
      <c r="L1514" s="919"/>
      <c r="M1514" s="818"/>
      <c r="N1514" s="834"/>
      <c r="O1514" s="834"/>
      <c r="W1514" t="s">
        <v>4100</v>
      </c>
    </row>
    <row r="1515" spans="1:45" x14ac:dyDescent="0.35">
      <c r="A1515" s="366">
        <v>7</v>
      </c>
      <c r="B1515" s="738" t="s">
        <v>3545</v>
      </c>
      <c r="C1515" s="731" t="s">
        <v>256</v>
      </c>
      <c r="D1515" s="731"/>
      <c r="E1515" s="731"/>
      <c r="F1515" s="731"/>
      <c r="G1515" s="366" t="str">
        <f t="shared" si="90"/>
        <v/>
      </c>
      <c r="H1515" s="366" t="s">
        <v>3971</v>
      </c>
      <c r="I1515" s="4"/>
      <c r="J1515" s="90"/>
      <c r="K1515" s="90"/>
      <c r="L1515" s="92" t="s">
        <v>1054</v>
      </c>
      <c r="M1515" s="40"/>
      <c r="N1515" s="41"/>
      <c r="O1515" s="41"/>
      <c r="P1515" t="b">
        <v>1</v>
      </c>
      <c r="Q1515" t="b">
        <v>0</v>
      </c>
      <c r="R1515" t="b">
        <v>0</v>
      </c>
      <c r="S1515" t="b">
        <v>1</v>
      </c>
      <c r="T1515" t="b">
        <v>0</v>
      </c>
      <c r="W1515" s="17"/>
      <c r="AP1515" t="str">
        <f>SUBSTITUTE(SUBSTITUTE(SUBSTITUTE("vch"&amp;$B1515&amp;$C1515&amp;$D1515&amp;$E1515,".","_"),"(","_"),")","")</f>
        <v>vch705_6_3_1</v>
      </c>
      <c r="AQ1515" t="str">
        <f>IF(LEN(W1515)=0,"",W1515)</f>
        <v/>
      </c>
    </row>
    <row r="1516" spans="1:45" x14ac:dyDescent="0.35">
      <c r="A1516" s="366">
        <v>7</v>
      </c>
      <c r="B1516" s="738" t="s">
        <v>3545</v>
      </c>
      <c r="C1516" s="731"/>
      <c r="D1516" s="731" t="s">
        <v>121</v>
      </c>
      <c r="E1516" s="731"/>
      <c r="F1516" s="731"/>
      <c r="G1516" s="366" t="str">
        <f t="shared" si="90"/>
        <v/>
      </c>
      <c r="H1516" s="732" t="s">
        <v>3971</v>
      </c>
      <c r="I1516" s="4"/>
      <c r="J1516" s="90"/>
      <c r="K1516" s="152" t="s">
        <v>121</v>
      </c>
      <c r="L1516" s="90" t="s">
        <v>1055</v>
      </c>
      <c r="M1516" s="40"/>
      <c r="N1516" s="41"/>
      <c r="O1516" s="41"/>
      <c r="X1516" s="36"/>
      <c r="Y1516" s="396" t="str">
        <f>IF(LEN('Ch7'!X646)=0,"None",'Ch7'!X646)</f>
        <v>None</v>
      </c>
      <c r="Z1516" s="652"/>
      <c r="AR1516" t="str">
        <f t="shared" ref="AR1516:AR1522" si="91">SUBSTITUTE(SUBSTITUTE(SUBSTITUTE("vnt"&amp;$B1516&amp;$C1516&amp;$D1516&amp;$E1516,".","_"),"(","_"),")","")</f>
        <v>vnt705_6_3_a</v>
      </c>
      <c r="AS1516" t="str">
        <f t="shared" ref="AS1516:AS1522" si="92">IF(LEN(X1516)=0,"",X1516)</f>
        <v/>
      </c>
    </row>
    <row r="1517" spans="1:45" x14ac:dyDescent="0.35">
      <c r="A1517" s="366">
        <v>7</v>
      </c>
      <c r="B1517" s="738" t="s">
        <v>3545</v>
      </c>
      <c r="C1517" s="731"/>
      <c r="D1517" s="731" t="s">
        <v>122</v>
      </c>
      <c r="E1517" s="731"/>
      <c r="F1517" s="731"/>
      <c r="G1517" s="366" t="str">
        <f t="shared" si="90"/>
        <v/>
      </c>
      <c r="H1517" s="732" t="s">
        <v>3971</v>
      </c>
      <c r="I1517" s="4"/>
      <c r="J1517" s="90"/>
      <c r="K1517" s="152" t="s">
        <v>122</v>
      </c>
      <c r="L1517" s="470" t="s">
        <v>4337</v>
      </c>
      <c r="M1517" s="40"/>
      <c r="N1517" s="41"/>
      <c r="O1517" s="41"/>
      <c r="X1517" s="36"/>
      <c r="Y1517" s="396" t="str">
        <f>IF(LEN('Ch7'!X647)=0,"None",'Ch7'!X647)</f>
        <v>None</v>
      </c>
      <c r="Z1517" s="652"/>
      <c r="AR1517" t="str">
        <f t="shared" si="91"/>
        <v>vnt705_6_3_b</v>
      </c>
      <c r="AS1517" t="str">
        <f t="shared" si="92"/>
        <v/>
      </c>
    </row>
    <row r="1518" spans="1:45" x14ac:dyDescent="0.35">
      <c r="A1518" s="366">
        <v>7</v>
      </c>
      <c r="B1518" s="738" t="s">
        <v>3545</v>
      </c>
      <c r="C1518" s="731"/>
      <c r="D1518" s="733" t="s">
        <v>123</v>
      </c>
      <c r="E1518" s="733"/>
      <c r="F1518" s="733"/>
      <c r="G1518" s="366" t="str">
        <f t="shared" si="90"/>
        <v/>
      </c>
      <c r="H1518" s="734" t="s">
        <v>3971</v>
      </c>
      <c r="I1518" s="4"/>
      <c r="J1518" s="90"/>
      <c r="K1518" s="153" t="s">
        <v>123</v>
      </c>
      <c r="L1518" s="90" t="s">
        <v>1056</v>
      </c>
      <c r="M1518" s="40"/>
      <c r="N1518" s="41"/>
      <c r="O1518" s="41"/>
      <c r="X1518" s="36"/>
      <c r="Y1518" s="396" t="str">
        <f>IF(LEN('Ch7'!X648)=0,"None",'Ch7'!X648)</f>
        <v>None</v>
      </c>
      <c r="Z1518" s="652"/>
      <c r="AR1518" t="str">
        <f t="shared" si="91"/>
        <v>vnt705_6_3_c</v>
      </c>
      <c r="AS1518" t="str">
        <f t="shared" si="92"/>
        <v/>
      </c>
    </row>
    <row r="1519" spans="1:45" x14ac:dyDescent="0.35">
      <c r="A1519" s="366">
        <v>7</v>
      </c>
      <c r="B1519" s="738" t="s">
        <v>3545</v>
      </c>
      <c r="C1519" s="731"/>
      <c r="D1519" s="731" t="s">
        <v>401</v>
      </c>
      <c r="E1519" s="731"/>
      <c r="F1519" s="731"/>
      <c r="G1519" s="366" t="str">
        <f t="shared" si="90"/>
        <v/>
      </c>
      <c r="H1519" s="366" t="s">
        <v>3971</v>
      </c>
      <c r="I1519" s="4"/>
      <c r="J1519" s="90"/>
      <c r="K1519" s="95" t="s">
        <v>401</v>
      </c>
      <c r="L1519" s="90" t="s">
        <v>1057</v>
      </c>
      <c r="M1519" s="40"/>
      <c r="N1519" s="41"/>
      <c r="O1519" s="41"/>
      <c r="X1519" s="36"/>
      <c r="Y1519" s="396" t="str">
        <f>IF(LEN('Ch7'!X649)=0,"None",'Ch7'!X649)</f>
        <v>None</v>
      </c>
      <c r="Z1519" s="652"/>
      <c r="AR1519" t="str">
        <f t="shared" si="91"/>
        <v>vnt705_6_3_d</v>
      </c>
      <c r="AS1519" t="str">
        <f t="shared" si="92"/>
        <v/>
      </c>
    </row>
    <row r="1520" spans="1:45" x14ac:dyDescent="0.35">
      <c r="A1520" s="366">
        <v>7</v>
      </c>
      <c r="B1520" s="738" t="s">
        <v>3545</v>
      </c>
      <c r="C1520" s="731"/>
      <c r="D1520" s="731" t="s">
        <v>539</v>
      </c>
      <c r="E1520" s="731"/>
      <c r="F1520" s="731"/>
      <c r="G1520" s="366" t="str">
        <f t="shared" si="90"/>
        <v/>
      </c>
      <c r="H1520" s="366" t="s">
        <v>3971</v>
      </c>
      <c r="I1520" s="4"/>
      <c r="J1520" s="90"/>
      <c r="K1520" s="95" t="s">
        <v>539</v>
      </c>
      <c r="L1520" s="90" t="s">
        <v>1058</v>
      </c>
      <c r="M1520" s="40"/>
      <c r="N1520" s="41"/>
      <c r="O1520" s="41"/>
      <c r="X1520" s="36"/>
      <c r="Y1520" s="396" t="str">
        <f>IF(LEN('Ch7'!X650)=0,"None",'Ch7'!X650)</f>
        <v>None</v>
      </c>
      <c r="Z1520" s="652"/>
      <c r="AR1520" t="str">
        <f t="shared" si="91"/>
        <v>vnt705_6_3_e</v>
      </c>
      <c r="AS1520" t="str">
        <f t="shared" si="92"/>
        <v/>
      </c>
    </row>
    <row r="1521" spans="1:45" x14ac:dyDescent="0.35">
      <c r="A1521" s="366">
        <v>7</v>
      </c>
      <c r="B1521" s="738" t="s">
        <v>3545</v>
      </c>
      <c r="C1521" s="731"/>
      <c r="D1521" s="733" t="s">
        <v>604</v>
      </c>
      <c r="E1521" s="733"/>
      <c r="F1521" s="733"/>
      <c r="G1521" s="366" t="str">
        <f t="shared" si="90"/>
        <v/>
      </c>
      <c r="H1521" s="734" t="s">
        <v>3971</v>
      </c>
      <c r="I1521" s="4"/>
      <c r="J1521" s="90"/>
      <c r="K1521" s="153" t="s">
        <v>604</v>
      </c>
      <c r="L1521" s="90" t="s">
        <v>1059</v>
      </c>
      <c r="M1521" s="40"/>
      <c r="N1521" s="41"/>
      <c r="O1521" s="41"/>
      <c r="X1521" s="36"/>
      <c r="Y1521" s="396" t="str">
        <f>IF(LEN('Ch7'!X651)=0,"None",'Ch7'!X651)</f>
        <v>None</v>
      </c>
      <c r="Z1521" s="652"/>
      <c r="AR1521" t="str">
        <f t="shared" si="91"/>
        <v>vnt705_6_3_f</v>
      </c>
      <c r="AS1521" t="str">
        <f t="shared" si="92"/>
        <v/>
      </c>
    </row>
    <row r="1522" spans="1:45" x14ac:dyDescent="0.35">
      <c r="A1522" s="366">
        <v>7</v>
      </c>
      <c r="B1522" s="738" t="s">
        <v>3545</v>
      </c>
      <c r="C1522" s="731"/>
      <c r="D1522" s="731" t="s">
        <v>606</v>
      </c>
      <c r="E1522" s="731"/>
      <c r="F1522" s="731"/>
      <c r="G1522" s="366" t="str">
        <f t="shared" si="90"/>
        <v/>
      </c>
      <c r="H1522" s="366" t="s">
        <v>3971</v>
      </c>
      <c r="I1522" s="4"/>
      <c r="J1522" s="90"/>
      <c r="K1522" s="95" t="s">
        <v>606</v>
      </c>
      <c r="L1522" s="848" t="s">
        <v>1060</v>
      </c>
      <c r="M1522" s="40"/>
      <c r="N1522" s="41"/>
      <c r="O1522" s="41"/>
      <c r="X1522" s="817"/>
      <c r="Y1522" s="1100" t="str">
        <f>IF(LEN('Ch7'!X652)=0,"None",'Ch7'!X652)</f>
        <v>None</v>
      </c>
      <c r="Z1522" s="1102"/>
      <c r="AR1522" t="str">
        <f t="shared" si="91"/>
        <v>vnt705_6_3_g</v>
      </c>
      <c r="AS1522" t="str">
        <f t="shared" si="92"/>
        <v/>
      </c>
    </row>
    <row r="1523" spans="1:45" x14ac:dyDescent="0.35">
      <c r="A1523" s="366">
        <v>7</v>
      </c>
      <c r="B1523" s="738" t="s">
        <v>3545</v>
      </c>
      <c r="C1523" s="731"/>
      <c r="D1523" s="731" t="s">
        <v>606</v>
      </c>
      <c r="E1523" s="731"/>
      <c r="F1523" s="731"/>
      <c r="G1523" s="366" t="str">
        <f t="shared" si="90"/>
        <v/>
      </c>
      <c r="H1523" s="366" t="s">
        <v>3971</v>
      </c>
      <c r="I1523" s="133"/>
      <c r="J1523" s="228"/>
      <c r="K1523" s="329"/>
      <c r="L1523" s="821"/>
      <c r="M1523" s="40"/>
      <c r="N1523" s="41"/>
      <c r="O1523" s="41"/>
      <c r="X1523" s="817"/>
      <c r="Y1523" s="1100"/>
      <c r="Z1523" s="1102"/>
    </row>
    <row r="1524" spans="1:45" x14ac:dyDescent="0.35">
      <c r="A1524" s="366">
        <v>7</v>
      </c>
      <c r="B1524" s="738" t="s">
        <v>1061</v>
      </c>
      <c r="C1524" s="735"/>
      <c r="D1524" s="731"/>
      <c r="E1524" s="731"/>
      <c r="F1524" s="731"/>
      <c r="G1524" s="727" t="str">
        <f ca="1">IF(COUNTIF(G1525,"P")&gt;0,"P","")</f>
        <v/>
      </c>
      <c r="H1524" s="366" t="s">
        <v>3970</v>
      </c>
      <c r="I1524" s="32" t="s">
        <v>1061</v>
      </c>
      <c r="J1524" s="90"/>
      <c r="K1524" s="90"/>
      <c r="L1524" s="157" t="s">
        <v>1062</v>
      </c>
      <c r="M1524" s="40"/>
      <c r="N1524" s="41"/>
      <c r="O1524" s="41"/>
    </row>
    <row r="1525" spans="1:45" x14ac:dyDescent="0.35">
      <c r="A1525" s="366">
        <v>7</v>
      </c>
      <c r="B1525" s="738" t="s">
        <v>1063</v>
      </c>
      <c r="C1525" s="735"/>
      <c r="D1525" s="731"/>
      <c r="E1525" s="731"/>
      <c r="F1525" s="731"/>
      <c r="G1525" s="366" t="str">
        <f ca="1">IF(N1525&gt;0,"P","")</f>
        <v/>
      </c>
      <c r="H1525" s="366" t="s">
        <v>3970</v>
      </c>
      <c r="I1525" s="32" t="s">
        <v>1063</v>
      </c>
      <c r="J1525" s="90"/>
      <c r="K1525" s="90"/>
      <c r="L1525" s="933" t="s">
        <v>1064</v>
      </c>
      <c r="M1525" s="818">
        <v>1</v>
      </c>
      <c r="N1525" s="834">
        <f ca="1">'Ch7'!O655</f>
        <v>0</v>
      </c>
      <c r="O1525" s="834">
        <f ca="1">M1525*S1525*W1525</f>
        <v>0</v>
      </c>
      <c r="P1525" t="b">
        <v>1</v>
      </c>
      <c r="Q1525" t="b">
        <v>1</v>
      </c>
      <c r="R1525" t="b">
        <v>0</v>
      </c>
      <c r="S1525" t="b">
        <f ca="1">IF(AY889=INDEX(INDIRECT("ddSingleOrMulti"),1),TRUE,FALSE)</f>
        <v>1</v>
      </c>
      <c r="T1525" t="b">
        <f ca="1">AND(NOT(S1525),W1525=TRUE)</f>
        <v>0</v>
      </c>
      <c r="W1525" s="17"/>
      <c r="X1525" s="817"/>
      <c r="Y1525" s="1100" t="str">
        <f>IF(LEN('Ch7'!X655)=0,"None",'Ch7'!X655)</f>
        <v>None</v>
      </c>
      <c r="Z1525" s="1102"/>
      <c r="AC1525" t="b">
        <f ca="1">OR(AD1525:AE1525)</f>
        <v>0</v>
      </c>
      <c r="AD1525" t="b">
        <f ca="1">T1525</f>
        <v>0</v>
      </c>
      <c r="AL1525" t="str">
        <f>SUBSTITUTE(SUBSTITUTE(SUBSTITUTE("vpa"&amp;$B1525&amp;$C1525&amp;$D1525&amp;$E1525,".","_"),"(","_"),")","")</f>
        <v>vpa705_6_4_1</v>
      </c>
      <c r="AM1525">
        <f>M1525</f>
        <v>1</v>
      </c>
      <c r="AN1525" t="str">
        <f>SUBSTITUTE(SUBSTITUTE(SUBSTITUTE("vpc"&amp;$B1525&amp;$C1525&amp;$D1525&amp;$E1525,".","_"),"(","_"),")","")</f>
        <v>vpc705_6_4_1</v>
      </c>
      <c r="AO1525">
        <f ca="1">O1525</f>
        <v>0</v>
      </c>
      <c r="AP1525" t="str">
        <f>SUBSTITUTE(SUBSTITUTE(SUBSTITUTE("vch"&amp;$B1525&amp;$C1525&amp;$D1525&amp;$E1525,".","_"),"(","_"),")","")</f>
        <v>vch705_6_4_1</v>
      </c>
      <c r="AQ1525" t="str">
        <f>IF(LEN(W1525)=0,"",W1525)</f>
        <v/>
      </c>
      <c r="AR1525" t="str">
        <f>SUBSTITUTE(SUBSTITUTE(SUBSTITUTE("vnt"&amp;$B1525&amp;$C1525&amp;$D1525&amp;$E1525,".","_"),"(","_"),")","")</f>
        <v>vnt705_6_4_1</v>
      </c>
      <c r="AS1525" t="str">
        <f>IF(LEN(X1525)=0,"",X1525)</f>
        <v/>
      </c>
    </row>
    <row r="1526" spans="1:45" x14ac:dyDescent="0.35">
      <c r="A1526" s="366">
        <v>7</v>
      </c>
      <c r="B1526" s="738" t="s">
        <v>1063</v>
      </c>
      <c r="C1526" s="735"/>
      <c r="D1526" s="731"/>
      <c r="E1526" s="731"/>
      <c r="F1526" s="731"/>
      <c r="G1526" s="366" t="str">
        <f ca="1">G1525</f>
        <v/>
      </c>
      <c r="H1526" s="366" t="s">
        <v>3970</v>
      </c>
      <c r="I1526" s="331"/>
      <c r="J1526" s="228"/>
      <c r="K1526" s="228"/>
      <c r="L1526" s="934"/>
      <c r="M1526" s="819"/>
      <c r="N1526" s="835"/>
      <c r="O1526" s="835"/>
      <c r="P1526" s="104"/>
      <c r="Q1526" s="104"/>
      <c r="R1526" s="104"/>
      <c r="S1526" s="104"/>
      <c r="T1526" s="104"/>
      <c r="U1526" s="104"/>
      <c r="V1526" s="104"/>
      <c r="W1526" s="335"/>
      <c r="X1526" s="817"/>
      <c r="Y1526" s="1100"/>
      <c r="Z1526" s="1102"/>
    </row>
    <row r="1527" spans="1:45" ht="15" customHeight="1" x14ac:dyDescent="0.35">
      <c r="A1527" s="366">
        <v>7</v>
      </c>
      <c r="B1527" s="738" t="s">
        <v>1065</v>
      </c>
      <c r="C1527" s="735"/>
      <c r="D1527" s="731"/>
      <c r="E1527" s="731"/>
      <c r="F1527" s="731"/>
      <c r="G1527" s="366" t="str">
        <f ca="1">IF(N1527&gt;0,"P","")</f>
        <v/>
      </c>
      <c r="H1527" s="366" t="s">
        <v>3970</v>
      </c>
      <c r="I1527" s="32" t="s">
        <v>1065</v>
      </c>
      <c r="J1527" s="90"/>
      <c r="K1527" s="90"/>
      <c r="L1527" s="883" t="s">
        <v>4338</v>
      </c>
      <c r="M1527" s="818">
        <v>2</v>
      </c>
      <c r="N1527" s="834">
        <f ca="1">'Ch7'!O657</f>
        <v>0</v>
      </c>
      <c r="O1527" s="834">
        <f ca="1">M1527*S1527*W1527</f>
        <v>0</v>
      </c>
      <c r="P1527" t="b">
        <v>1</v>
      </c>
      <c r="Q1527" t="b">
        <v>1</v>
      </c>
      <c r="R1527" t="b">
        <v>0</v>
      </c>
      <c r="S1527" t="b">
        <f ca="1">IF(AY889=INDEX(INDIRECT("ddSingleOrMulti"),2),TRUE,FALSE)</f>
        <v>0</v>
      </c>
      <c r="T1527" t="b">
        <f ca="1">AND(NOT(S1527),W1527=TRUE)</f>
        <v>0</v>
      </c>
      <c r="W1527" s="17"/>
      <c r="X1527" s="817"/>
      <c r="Y1527" s="1100" t="str">
        <f>IF(LEN('Ch7'!X657)=0,"None",'Ch7'!X657)</f>
        <v>None</v>
      </c>
      <c r="Z1527" s="1102"/>
      <c r="AC1527" t="b">
        <f ca="1">OR(AD1527:AE1527)</f>
        <v>0</v>
      </c>
      <c r="AD1527" t="b">
        <f ca="1">T1527</f>
        <v>0</v>
      </c>
      <c r="AL1527" t="str">
        <f>SUBSTITUTE(SUBSTITUTE(SUBSTITUTE("vpa"&amp;$B1527&amp;$C1527&amp;$D1527&amp;$E1527,".","_"),"(","_"),")","")</f>
        <v>vpa705_6_4_2</v>
      </c>
      <c r="AM1527">
        <f>M1527</f>
        <v>2</v>
      </c>
      <c r="AN1527" t="str">
        <f>SUBSTITUTE(SUBSTITUTE(SUBSTITUTE("vpc"&amp;$B1527&amp;$C1527&amp;$D1527&amp;$E1527,".","_"),"(","_"),")","")</f>
        <v>vpc705_6_4_2</v>
      </c>
      <c r="AO1527">
        <f ca="1">O1527</f>
        <v>0</v>
      </c>
      <c r="AP1527" t="str">
        <f>SUBSTITUTE(SUBSTITUTE(SUBSTITUTE("vch"&amp;$B1527&amp;$C1527&amp;$D1527&amp;$E1527,".","_"),"(","_"),")","")</f>
        <v>vch705_6_4_2</v>
      </c>
      <c r="AQ1527" t="str">
        <f>IF(LEN(W1527)=0,"",W1527)</f>
        <v/>
      </c>
      <c r="AR1527" t="str">
        <f>SUBSTITUTE(SUBSTITUTE(SUBSTITUTE("vnt"&amp;$B1527&amp;$C1527&amp;$D1527&amp;$E1527,".","_"),"(","_"),")","")</f>
        <v>vnt705_6_4_2</v>
      </c>
      <c r="AS1527" t="str">
        <f>IF(LEN(X1527)=0,"",X1527)</f>
        <v/>
      </c>
    </row>
    <row r="1528" spans="1:45" ht="15" thickBot="1" x14ac:dyDescent="0.4">
      <c r="A1528" s="366">
        <v>7</v>
      </c>
      <c r="B1528" s="738" t="s">
        <v>1065</v>
      </c>
      <c r="C1528" s="735"/>
      <c r="D1528" s="731"/>
      <c r="E1528" s="731"/>
      <c r="F1528" s="731"/>
      <c r="G1528" s="366" t="str">
        <f ca="1">G1527</f>
        <v/>
      </c>
      <c r="H1528" s="366" t="s">
        <v>3970</v>
      </c>
      <c r="I1528" s="160"/>
      <c r="J1528" s="229"/>
      <c r="K1528" s="229"/>
      <c r="L1528" s="931"/>
      <c r="M1528" s="827"/>
      <c r="N1528" s="863"/>
      <c r="O1528" s="863"/>
      <c r="P1528" s="55"/>
      <c r="Q1528" s="55"/>
      <c r="R1528" s="55"/>
      <c r="S1528" s="55"/>
      <c r="T1528" s="55"/>
      <c r="U1528" s="55"/>
      <c r="V1528" s="55"/>
      <c r="W1528" s="55"/>
      <c r="X1528" s="829"/>
      <c r="Y1528" s="1101"/>
      <c r="Z1528" s="1104"/>
    </row>
    <row r="1529" spans="1:45" ht="15" thickTop="1" x14ac:dyDescent="0.35">
      <c r="A1529" s="366">
        <v>7</v>
      </c>
      <c r="B1529" s="738">
        <v>705.7</v>
      </c>
      <c r="C1529" s="735"/>
      <c r="D1529" s="731"/>
      <c r="E1529" s="731"/>
      <c r="F1529" s="731"/>
      <c r="G1529" s="366" t="str">
        <f ca="1">IF(N1529&gt;0,"P","")</f>
        <v/>
      </c>
      <c r="H1529" s="366" t="s">
        <v>3972</v>
      </c>
      <c r="I1529" s="30">
        <v>705.7</v>
      </c>
      <c r="J1529" s="90"/>
      <c r="K1529" s="90"/>
      <c r="L1529" s="932" t="s">
        <v>1066</v>
      </c>
      <c r="M1529" s="818">
        <v>1</v>
      </c>
      <c r="N1529" s="834">
        <f ca="1">'Ch7'!O659</f>
        <v>0</v>
      </c>
      <c r="O1529" s="834">
        <f ca="1">M1529*S1529*W1529</f>
        <v>0</v>
      </c>
      <c r="P1529" t="b">
        <v>0</v>
      </c>
      <c r="Q1529" t="b">
        <v>1</v>
      </c>
      <c r="R1529" t="b">
        <v>0</v>
      </c>
      <c r="S1529" t="b">
        <f ca="1">IF(AY889=INDEX(INDIRECT("ddSingleOrMulti"),2),TRUE,FALSE)</f>
        <v>0</v>
      </c>
      <c r="T1529" t="b">
        <f ca="1">AND(NOT(S1529),W1529=TRUE)</f>
        <v>0</v>
      </c>
      <c r="W1529" s="17"/>
      <c r="X1529" s="816"/>
      <c r="Y1529" s="1117" t="str">
        <f>IF(LEN('Ch7'!X659)=0,"None",'Ch7'!X659)</f>
        <v>None</v>
      </c>
      <c r="Z1529" s="1103"/>
      <c r="AC1529" t="b">
        <f ca="1">OR(AD1529:AE1529)</f>
        <v>0</v>
      </c>
      <c r="AD1529" t="b">
        <f ca="1">T1529</f>
        <v>0</v>
      </c>
      <c r="AL1529" t="str">
        <f>SUBSTITUTE(SUBSTITUTE(SUBSTITUTE("vpa"&amp;$B1529&amp;$C1529&amp;$D1529&amp;$E1529,".","_"),"(","_"),")","")</f>
        <v>vpa705_7</v>
      </c>
      <c r="AM1529">
        <f>M1529</f>
        <v>1</v>
      </c>
      <c r="AN1529" t="str">
        <f>SUBSTITUTE(SUBSTITUTE(SUBSTITUTE("vpc"&amp;$B1529&amp;$C1529&amp;$D1529&amp;$E1529,".","_"),"(","_"),")","")</f>
        <v>vpc705_7</v>
      </c>
      <c r="AO1529">
        <f ca="1">O1529</f>
        <v>0</v>
      </c>
      <c r="AP1529" t="str">
        <f>SUBSTITUTE(SUBSTITUTE(SUBSTITUTE("vch"&amp;$B1529&amp;$C1529&amp;$D1529&amp;$E1529,".","_"),"(","_"),")","")</f>
        <v>vch705_7</v>
      </c>
      <c r="AQ1529" t="str">
        <f>IF(LEN(W1529)=0,"",W1529)</f>
        <v/>
      </c>
      <c r="AR1529" t="str">
        <f>SUBSTITUTE(SUBSTITUTE(SUBSTITUTE("vnt"&amp;$B1529&amp;$C1529&amp;$D1529&amp;$E1529,".","_"),"(","_"),")","")</f>
        <v>vnt705_7</v>
      </c>
      <c r="AS1529" t="str">
        <f>IF(LEN(X1529)=0,"",X1529)</f>
        <v/>
      </c>
    </row>
    <row r="1530" spans="1:45" x14ac:dyDescent="0.35">
      <c r="A1530" s="366">
        <v>7</v>
      </c>
      <c r="B1530" s="738">
        <v>705.7</v>
      </c>
      <c r="C1530" s="735"/>
      <c r="D1530" s="731"/>
      <c r="E1530" s="731"/>
      <c r="F1530" s="731"/>
      <c r="G1530" s="366" t="str">
        <f ca="1">G1529</f>
        <v/>
      </c>
      <c r="H1530" s="366" t="s">
        <v>3972</v>
      </c>
      <c r="I1530" s="4"/>
      <c r="J1530" s="90"/>
      <c r="K1530" s="90"/>
      <c r="L1530" s="932"/>
      <c r="M1530" s="818"/>
      <c r="N1530" s="834"/>
      <c r="O1530" s="834"/>
      <c r="X1530" s="817"/>
      <c r="Y1530" s="1100"/>
      <c r="Z1530" s="1102"/>
    </row>
    <row r="1531" spans="1:45" x14ac:dyDescent="0.35">
      <c r="A1531" s="366">
        <v>7</v>
      </c>
      <c r="B1531" s="738">
        <v>705.7</v>
      </c>
      <c r="C1531" s="735"/>
      <c r="D1531" s="731"/>
      <c r="E1531" s="731"/>
      <c r="F1531" s="731"/>
      <c r="G1531" s="366" t="str">
        <f ca="1">G1530</f>
        <v/>
      </c>
      <c r="H1531" s="366" t="s">
        <v>3972</v>
      </c>
      <c r="I1531" s="4"/>
      <c r="J1531" s="90"/>
      <c r="K1531" s="90"/>
      <c r="L1531" s="932"/>
      <c r="M1531" s="818"/>
      <c r="N1531" s="834"/>
      <c r="O1531" s="834"/>
      <c r="X1531" s="817"/>
      <c r="Y1531" s="1100"/>
      <c r="Z1531" s="1102"/>
    </row>
    <row r="1532" spans="1:45" x14ac:dyDescent="0.35">
      <c r="A1532" s="366">
        <v>7</v>
      </c>
      <c r="B1532" s="738">
        <v>705.7</v>
      </c>
      <c r="C1532" s="735"/>
      <c r="D1532" s="731"/>
      <c r="E1532" s="731"/>
      <c r="F1532" s="731"/>
      <c r="G1532" s="366" t="str">
        <f ca="1">G1531</f>
        <v/>
      </c>
      <c r="H1532" s="366" t="s">
        <v>3972</v>
      </c>
      <c r="I1532" s="4"/>
      <c r="J1532" s="90"/>
      <c r="K1532" s="90"/>
      <c r="L1532" s="932"/>
      <c r="M1532" s="818"/>
      <c r="N1532" s="834"/>
      <c r="O1532" s="834"/>
      <c r="X1532" s="817"/>
      <c r="Y1532" s="1100"/>
      <c r="Z1532" s="1102"/>
    </row>
    <row r="1533" spans="1:45" ht="18.5" x14ac:dyDescent="0.45">
      <c r="A1533" s="366">
        <v>7</v>
      </c>
      <c r="B1533" s="738">
        <v>706</v>
      </c>
      <c r="C1533" s="735"/>
      <c r="D1533" s="731"/>
      <c r="E1533" s="731"/>
      <c r="F1533" s="731"/>
      <c r="G1533" s="366" t="s">
        <v>3973</v>
      </c>
      <c r="H1533" s="366" t="s">
        <v>3970</v>
      </c>
      <c r="I1533" s="10" t="s">
        <v>1067</v>
      </c>
      <c r="J1533" s="44"/>
      <c r="K1533" s="44"/>
      <c r="L1533" s="44"/>
      <c r="M1533" s="243"/>
      <c r="N1533" s="544"/>
      <c r="O1533" s="544"/>
      <c r="P1533" s="15"/>
      <c r="Q1533" s="15"/>
      <c r="R1533" s="15"/>
      <c r="S1533" s="15"/>
      <c r="T1533" s="15"/>
      <c r="U1533" s="15"/>
      <c r="V1533" s="15"/>
      <c r="W1533" s="15"/>
      <c r="X1533" s="15"/>
      <c r="Y1533" s="15"/>
      <c r="Z1533" s="651"/>
    </row>
    <row r="1534" spans="1:45" ht="15" customHeight="1" x14ac:dyDescent="0.35">
      <c r="A1534" s="366">
        <v>7</v>
      </c>
      <c r="B1534" s="738">
        <v>706.1</v>
      </c>
      <c r="C1534" s="735"/>
      <c r="D1534" s="731"/>
      <c r="E1534" s="731"/>
      <c r="F1534" s="731"/>
      <c r="G1534" s="366" t="str">
        <f>IF(N1534&gt;0,"P","")</f>
        <v/>
      </c>
      <c r="H1534" s="366" t="s">
        <v>3972</v>
      </c>
      <c r="I1534" s="30">
        <v>706.1</v>
      </c>
      <c r="J1534" s="90"/>
      <c r="K1534" s="90"/>
      <c r="L1534" s="881" t="s">
        <v>4339</v>
      </c>
      <c r="M1534" s="818" t="s">
        <v>792</v>
      </c>
      <c r="N1534" s="834">
        <f>'Ch7'!O664</f>
        <v>0</v>
      </c>
      <c r="O1534" s="834">
        <f>MIN(3,(M1536*S1536*W1536+M1537*S1537*W1537+M1538*S1538*W1538+M1539*S1539*W1539+M1541*S1541*W1541))</f>
        <v>0</v>
      </c>
      <c r="AL1534" t="str">
        <f>SUBSTITUTE(SUBSTITUTE(SUBSTITUTE("vpa"&amp;$B1534&amp;$C1534&amp;$D1534&amp;$E1534,".","_"),"(","_"),")","")</f>
        <v>vpa706_1</v>
      </c>
      <c r="AM1534" t="str">
        <f>M1534</f>
        <v>3 Max</v>
      </c>
      <c r="AN1534" t="str">
        <f>SUBSTITUTE(SUBSTITUTE(SUBSTITUTE("vpc"&amp;$B1534&amp;$C1534&amp;$D1534&amp;$E1534,".","_"),"(","_"),")","")</f>
        <v>vpc706_1</v>
      </c>
      <c r="AO1534">
        <f>O1534</f>
        <v>0</v>
      </c>
    </row>
    <row r="1535" spans="1:45" x14ac:dyDescent="0.35">
      <c r="A1535" s="366">
        <v>7</v>
      </c>
      <c r="B1535" s="738">
        <v>706.1</v>
      </c>
      <c r="C1535" s="735"/>
      <c r="D1535" s="731"/>
      <c r="E1535" s="731"/>
      <c r="F1535" s="731"/>
      <c r="G1535" s="366" t="str">
        <f t="shared" ref="G1535:G1541" si="93">G1534</f>
        <v/>
      </c>
      <c r="H1535" s="366" t="s">
        <v>3972</v>
      </c>
      <c r="I1535" s="4"/>
      <c r="J1535" s="90"/>
      <c r="K1535" s="90"/>
      <c r="L1535" s="881"/>
      <c r="M1535" s="818"/>
      <c r="N1535" s="834"/>
      <c r="O1535" s="834"/>
    </row>
    <row r="1536" spans="1:45" x14ac:dyDescent="0.35">
      <c r="A1536" s="366">
        <v>7</v>
      </c>
      <c r="B1536" s="738">
        <v>706.1</v>
      </c>
      <c r="C1536" s="731" t="s">
        <v>256</v>
      </c>
      <c r="D1536" s="731"/>
      <c r="E1536" s="731"/>
      <c r="F1536" s="731"/>
      <c r="G1536" s="366" t="str">
        <f t="shared" si="93"/>
        <v/>
      </c>
      <c r="H1536" s="366" t="s">
        <v>3972</v>
      </c>
      <c r="I1536" s="4"/>
      <c r="J1536" s="338" t="s">
        <v>256</v>
      </c>
      <c r="K1536" s="228"/>
      <c r="L1536" s="228" t="s">
        <v>1068</v>
      </c>
      <c r="M1536" s="268">
        <v>1</v>
      </c>
      <c r="N1536" s="41"/>
      <c r="O1536" s="41"/>
      <c r="Q1536" t="b">
        <v>1</v>
      </c>
      <c r="R1536" t="b">
        <v>0</v>
      </c>
      <c r="S1536" t="b">
        <v>1</v>
      </c>
      <c r="T1536" t="b">
        <v>0</v>
      </c>
      <c r="W1536" s="17"/>
      <c r="X1536" s="36"/>
      <c r="Y1536" s="396" t="str">
        <f>IF(LEN('Ch7'!X666)=0,"None",'Ch7'!X666)</f>
        <v>None</v>
      </c>
      <c r="Z1536" s="652"/>
      <c r="AL1536" t="str">
        <f>SUBSTITUTE(SUBSTITUTE(SUBSTITUTE("vpa"&amp;$B1536&amp;$C1536&amp;$D1536&amp;$E1536,".","_"),"(","_"),")","")</f>
        <v>vpa706_1_1</v>
      </c>
      <c r="AM1536">
        <f>M1536</f>
        <v>1</v>
      </c>
      <c r="AP1536" t="str">
        <f>SUBSTITUTE(SUBSTITUTE(SUBSTITUTE("vch"&amp;$B1536&amp;$C1536&amp;$D1536&amp;$E1536,".","_"),"(","_"),")","")</f>
        <v>vch706_1_1</v>
      </c>
      <c r="AQ1536" t="str">
        <f>IF(LEN(W1536)=0,"",W1536)</f>
        <v/>
      </c>
      <c r="AR1536" t="str">
        <f>SUBSTITUTE(SUBSTITUTE(SUBSTITUTE("vnt"&amp;$B1536&amp;$C1536&amp;$D1536&amp;$E1536,".","_"),"(","_"),")","")</f>
        <v>vnt706_1_1</v>
      </c>
      <c r="AS1536" t="str">
        <f>IF(LEN(X1536)=0,"",X1536)</f>
        <v/>
      </c>
    </row>
    <row r="1537" spans="1:45" x14ac:dyDescent="0.35">
      <c r="A1537" s="366">
        <v>7</v>
      </c>
      <c r="B1537" s="738">
        <v>706.1</v>
      </c>
      <c r="C1537" s="731" t="s">
        <v>258</v>
      </c>
      <c r="D1537" s="731"/>
      <c r="E1537" s="731"/>
      <c r="F1537" s="731"/>
      <c r="G1537" s="366" t="str">
        <f t="shared" si="93"/>
        <v/>
      </c>
      <c r="H1537" s="366" t="s">
        <v>3972</v>
      </c>
      <c r="I1537" s="4"/>
      <c r="J1537" s="348" t="s">
        <v>258</v>
      </c>
      <c r="K1537" s="178"/>
      <c r="L1537" s="178" t="s">
        <v>1069</v>
      </c>
      <c r="M1537" s="278">
        <v>1</v>
      </c>
      <c r="N1537" s="41"/>
      <c r="O1537" s="41"/>
      <c r="Q1537" t="b">
        <v>1</v>
      </c>
      <c r="R1537" t="b">
        <v>0</v>
      </c>
      <c r="S1537" t="b">
        <v>1</v>
      </c>
      <c r="T1537" t="b">
        <v>0</v>
      </c>
      <c r="W1537" s="17"/>
      <c r="X1537" s="36"/>
      <c r="Y1537" s="396" t="str">
        <f>IF(LEN('Ch7'!X667)=0,"None",'Ch7'!X667)</f>
        <v>None</v>
      </c>
      <c r="Z1537" s="652"/>
      <c r="AL1537" t="str">
        <f>SUBSTITUTE(SUBSTITUTE(SUBSTITUTE("vpa"&amp;$B1537&amp;$C1537&amp;$D1537&amp;$E1537,".","_"),"(","_"),")","")</f>
        <v>vpa706_1_2</v>
      </c>
      <c r="AM1537">
        <f>M1537</f>
        <v>1</v>
      </c>
      <c r="AP1537" t="str">
        <f>SUBSTITUTE(SUBSTITUTE(SUBSTITUTE("vch"&amp;$B1537&amp;$C1537&amp;$D1537&amp;$E1537,".","_"),"(","_"),")","")</f>
        <v>vch706_1_2</v>
      </c>
      <c r="AQ1537" t="str">
        <f>IF(LEN(W1537)=0,"",W1537)</f>
        <v/>
      </c>
      <c r="AR1537" t="str">
        <f>SUBSTITUTE(SUBSTITUTE(SUBSTITUTE("vnt"&amp;$B1537&amp;$C1537&amp;$D1537&amp;$E1537,".","_"),"(","_"),")","")</f>
        <v>vnt706_1_2</v>
      </c>
      <c r="AS1537" t="str">
        <f>IF(LEN(X1537)=0,"",X1537)</f>
        <v/>
      </c>
    </row>
    <row r="1538" spans="1:45" x14ac:dyDescent="0.35">
      <c r="A1538" s="366">
        <v>7</v>
      </c>
      <c r="B1538" s="738">
        <v>706.1</v>
      </c>
      <c r="C1538" s="731" t="s">
        <v>260</v>
      </c>
      <c r="D1538" s="731"/>
      <c r="E1538" s="731"/>
      <c r="F1538" s="731"/>
      <c r="G1538" s="366" t="str">
        <f t="shared" si="93"/>
        <v/>
      </c>
      <c r="H1538" s="366" t="s">
        <v>3972</v>
      </c>
      <c r="I1538" s="4"/>
      <c r="J1538" s="348" t="s">
        <v>260</v>
      </c>
      <c r="K1538" s="178"/>
      <c r="L1538" s="178" t="s">
        <v>1070</v>
      </c>
      <c r="M1538" s="278">
        <v>3</v>
      </c>
      <c r="N1538" s="41"/>
      <c r="O1538" s="41"/>
      <c r="Q1538" t="b">
        <v>1</v>
      </c>
      <c r="R1538" t="b">
        <v>0</v>
      </c>
      <c r="S1538" t="b">
        <v>1</v>
      </c>
      <c r="T1538" t="b">
        <v>0</v>
      </c>
      <c r="W1538" s="17"/>
      <c r="X1538" s="36"/>
      <c r="Y1538" s="396" t="str">
        <f>IF(LEN('Ch7'!X668)=0,"None",'Ch7'!X668)</f>
        <v>None</v>
      </c>
      <c r="Z1538" s="652"/>
      <c r="AL1538" t="str">
        <f>SUBSTITUTE(SUBSTITUTE(SUBSTITUTE("vpa"&amp;$B1538&amp;$C1538&amp;$D1538&amp;$E1538,".","_"),"(","_"),")","")</f>
        <v>vpa706_1_3</v>
      </c>
      <c r="AM1538">
        <f>M1538</f>
        <v>3</v>
      </c>
      <c r="AP1538" t="str">
        <f>SUBSTITUTE(SUBSTITUTE(SUBSTITUTE("vch"&amp;$B1538&amp;$C1538&amp;$D1538&amp;$E1538,".","_"),"(","_"),")","")</f>
        <v>vch706_1_3</v>
      </c>
      <c r="AQ1538" t="str">
        <f>IF(LEN(W1538)=0,"",W1538)</f>
        <v/>
      </c>
      <c r="AR1538" t="str">
        <f>SUBSTITUTE(SUBSTITUTE(SUBSTITUTE("vnt"&amp;$B1538&amp;$C1538&amp;$D1538&amp;$E1538,".","_"),"(","_"),")","")</f>
        <v>vnt706_1_3</v>
      </c>
      <c r="AS1538" t="str">
        <f>IF(LEN(X1538)=0,"",X1538)</f>
        <v/>
      </c>
    </row>
    <row r="1539" spans="1:45" x14ac:dyDescent="0.35">
      <c r="A1539" s="366">
        <v>7</v>
      </c>
      <c r="B1539" s="738">
        <v>706.1</v>
      </c>
      <c r="C1539" s="731" t="s">
        <v>269</v>
      </c>
      <c r="D1539" s="731"/>
      <c r="E1539" s="731"/>
      <c r="F1539" s="731"/>
      <c r="G1539" s="366" t="str">
        <f t="shared" si="93"/>
        <v/>
      </c>
      <c r="H1539" s="366" t="s">
        <v>3972</v>
      </c>
      <c r="I1539" s="4"/>
      <c r="J1539" s="349" t="s">
        <v>269</v>
      </c>
      <c r="K1539" s="286"/>
      <c r="L1539" s="820" t="s">
        <v>1071</v>
      </c>
      <c r="M1539" s="822">
        <v>1</v>
      </c>
      <c r="N1539" s="41"/>
      <c r="O1539" s="41"/>
      <c r="Q1539" t="b">
        <v>1</v>
      </c>
      <c r="R1539" t="b">
        <v>0</v>
      </c>
      <c r="S1539" t="b">
        <v>1</v>
      </c>
      <c r="T1539" t="b">
        <v>0</v>
      </c>
      <c r="W1539" s="17"/>
      <c r="X1539" s="817"/>
      <c r="Y1539" s="1100" t="str">
        <f>IF(LEN('Ch7'!X669)=0,"None",'Ch7'!X669)</f>
        <v>None</v>
      </c>
      <c r="Z1539" s="1102"/>
      <c r="AL1539" t="str">
        <f>SUBSTITUTE(SUBSTITUTE(SUBSTITUTE("vpa"&amp;$B1539&amp;$C1539&amp;$D1539&amp;$E1539,".","_"),"(","_"),")","")</f>
        <v>vpa706_1_4</v>
      </c>
      <c r="AM1539">
        <f>M1539</f>
        <v>1</v>
      </c>
      <c r="AP1539" t="str">
        <f>SUBSTITUTE(SUBSTITUTE(SUBSTITUTE("vch"&amp;$B1539&amp;$C1539&amp;$D1539&amp;$E1539,".","_"),"(","_"),")","")</f>
        <v>vch706_1_4</v>
      </c>
      <c r="AQ1539" t="str">
        <f>IF(LEN(W1539)=0,"",W1539)</f>
        <v/>
      </c>
      <c r="AR1539" t="str">
        <f>SUBSTITUTE(SUBSTITUTE(SUBSTITUTE("vnt"&amp;$B1539&amp;$C1539&amp;$D1539&amp;$E1539,".","_"),"(","_"),")","")</f>
        <v>vnt706_1_4</v>
      </c>
      <c r="AS1539" t="str">
        <f>IF(LEN(X1539)=0,"",X1539)</f>
        <v/>
      </c>
    </row>
    <row r="1540" spans="1:45" x14ac:dyDescent="0.35">
      <c r="A1540" s="366">
        <v>7</v>
      </c>
      <c r="B1540" s="738">
        <v>706.1</v>
      </c>
      <c r="C1540" s="731" t="s">
        <v>269</v>
      </c>
      <c r="D1540" s="731"/>
      <c r="E1540" s="731"/>
      <c r="F1540" s="731"/>
      <c r="G1540" s="366" t="str">
        <f t="shared" si="93"/>
        <v/>
      </c>
      <c r="H1540" s="366" t="s">
        <v>3972</v>
      </c>
      <c r="I1540" s="4"/>
      <c r="J1540" s="338"/>
      <c r="K1540" s="228"/>
      <c r="L1540" s="821"/>
      <c r="M1540" s="819"/>
      <c r="N1540" s="41"/>
      <c r="O1540" s="41"/>
      <c r="X1540" s="817"/>
      <c r="Y1540" s="1100"/>
      <c r="Z1540" s="1102"/>
    </row>
    <row r="1541" spans="1:45" ht="15" thickBot="1" x14ac:dyDescent="0.4">
      <c r="A1541" s="366">
        <v>7</v>
      </c>
      <c r="B1541" s="738">
        <v>706.1</v>
      </c>
      <c r="C1541" s="731" t="s">
        <v>275</v>
      </c>
      <c r="D1541" s="731"/>
      <c r="E1541" s="731"/>
      <c r="F1541" s="731"/>
      <c r="G1541" s="366" t="str">
        <f t="shared" si="93"/>
        <v/>
      </c>
      <c r="H1541" s="366" t="s">
        <v>3972</v>
      </c>
      <c r="I1541" s="160"/>
      <c r="J1541" s="340" t="s">
        <v>275</v>
      </c>
      <c r="K1541" s="229"/>
      <c r="L1541" s="229" t="s">
        <v>1072</v>
      </c>
      <c r="M1541" s="270">
        <v>1</v>
      </c>
      <c r="N1541" s="72"/>
      <c r="O1541" s="72"/>
      <c r="P1541" t="b">
        <v>0</v>
      </c>
      <c r="Q1541" t="b">
        <v>1</v>
      </c>
      <c r="R1541" s="55" t="b">
        <v>0</v>
      </c>
      <c r="S1541" s="55" t="b">
        <v>1</v>
      </c>
      <c r="T1541" s="55" t="b">
        <v>0</v>
      </c>
      <c r="U1541" s="55"/>
      <c r="V1541" s="55"/>
      <c r="W1541" s="56"/>
      <c r="X1541" s="98"/>
      <c r="Y1541" s="397" t="str">
        <f>IF(LEN('Ch7'!X671)=0,"None",'Ch7'!X671)</f>
        <v>None</v>
      </c>
      <c r="Z1541" s="658"/>
      <c r="AL1541" t="str">
        <f>SUBSTITUTE(SUBSTITUTE(SUBSTITUTE("vpa"&amp;$B1541&amp;$C1541&amp;$D1541&amp;$E1541,".","_"),"(","_"),")","")</f>
        <v>vpa706_1_5</v>
      </c>
      <c r="AM1541">
        <f>M1541</f>
        <v>1</v>
      </c>
      <c r="AP1541" t="str">
        <f>SUBSTITUTE(SUBSTITUTE(SUBSTITUTE("vch"&amp;$B1541&amp;$C1541&amp;$D1541&amp;$E1541,".","_"),"(","_"),")","")</f>
        <v>vch706_1_5</v>
      </c>
      <c r="AQ1541" t="str">
        <f>IF(LEN(W1541)=0,"",W1541)</f>
        <v/>
      </c>
      <c r="AR1541" t="str">
        <f>SUBSTITUTE(SUBSTITUTE(SUBSTITUTE("vnt"&amp;$B1541&amp;$C1541&amp;$D1541&amp;$E1541,".","_"),"(","_"),")","")</f>
        <v>vnt706_1_5</v>
      </c>
      <c r="AS1541" t="str">
        <f>IF(LEN(X1541)=0,"",X1541)</f>
        <v/>
      </c>
    </row>
    <row r="1542" spans="1:45" ht="15" thickTop="1" x14ac:dyDescent="0.35">
      <c r="A1542" s="366">
        <v>7</v>
      </c>
      <c r="B1542" s="738">
        <v>706.2</v>
      </c>
      <c r="C1542" s="731"/>
      <c r="D1542" s="731"/>
      <c r="E1542" s="731"/>
      <c r="F1542" s="731"/>
      <c r="G1542" s="727" t="str">
        <f ca="1">IF(COUNTIF(G1544:G1549,"P")&gt;0,"P","")</f>
        <v/>
      </c>
      <c r="H1542" s="366" t="s">
        <v>3972</v>
      </c>
      <c r="I1542" s="30">
        <v>706.2</v>
      </c>
      <c r="J1542" s="90"/>
      <c r="K1542" s="90"/>
      <c r="L1542" s="919" t="s">
        <v>1073</v>
      </c>
      <c r="M1542" s="40"/>
      <c r="N1542" s="41"/>
      <c r="O1542" s="41"/>
    </row>
    <row r="1543" spans="1:45" x14ac:dyDescent="0.35">
      <c r="A1543" s="366">
        <v>7</v>
      </c>
      <c r="B1543" s="738">
        <v>706.2</v>
      </c>
      <c r="C1543" s="731"/>
      <c r="D1543" s="731"/>
      <c r="E1543" s="731"/>
      <c r="F1543" s="731"/>
      <c r="G1543" s="366" t="str">
        <f ca="1">G1542</f>
        <v/>
      </c>
      <c r="H1543" s="366" t="s">
        <v>3972</v>
      </c>
      <c r="I1543" s="30"/>
      <c r="J1543" s="90"/>
      <c r="K1543" s="90"/>
      <c r="L1543" s="919"/>
      <c r="M1543" s="40"/>
      <c r="N1543" s="41"/>
      <c r="O1543" s="41"/>
    </row>
    <row r="1544" spans="1:45" ht="15" customHeight="1" x14ac:dyDescent="0.35">
      <c r="A1544" s="366">
        <v>7</v>
      </c>
      <c r="B1544" s="738">
        <v>706.2</v>
      </c>
      <c r="C1544" s="731" t="s">
        <v>256</v>
      </c>
      <c r="D1544" s="731"/>
      <c r="E1544" s="731"/>
      <c r="F1544" s="731"/>
      <c r="G1544" s="366" t="str">
        <f>IF(N1544&gt;0,"P","")</f>
        <v/>
      </c>
      <c r="H1544" s="366" t="s">
        <v>3972</v>
      </c>
      <c r="I1544" s="4"/>
      <c r="J1544" s="156" t="s">
        <v>256</v>
      </c>
      <c r="K1544" s="90"/>
      <c r="L1544" s="825" t="s">
        <v>4340</v>
      </c>
      <c r="M1544" s="818">
        <v>1</v>
      </c>
      <c r="N1544" s="834">
        <f>'Ch7'!O674</f>
        <v>0</v>
      </c>
      <c r="O1544" s="834">
        <f>M1544*S1544*W1544</f>
        <v>0</v>
      </c>
      <c r="P1544" t="b">
        <v>0</v>
      </c>
      <c r="Q1544" t="b">
        <v>1</v>
      </c>
      <c r="R1544" t="b">
        <v>0</v>
      </c>
      <c r="S1544" t="b">
        <v>1</v>
      </c>
      <c r="T1544" t="b">
        <v>0</v>
      </c>
      <c r="W1544" s="17"/>
      <c r="X1544" s="817"/>
      <c r="Y1544" s="1100" t="str">
        <f>IF(LEN('Ch7'!X674)=0,"None",'Ch7'!X674)</f>
        <v>None</v>
      </c>
      <c r="Z1544" s="1102"/>
      <c r="AC1544" t="b">
        <f>OR(AD1544:AE1544)</f>
        <v>0</v>
      </c>
      <c r="AD1544" t="b">
        <f>T1544</f>
        <v>0</v>
      </c>
      <c r="AE1544" t="b">
        <f>AND(R1544,NOT(W1544))</f>
        <v>0</v>
      </c>
      <c r="AL1544" t="str">
        <f>SUBSTITUTE(SUBSTITUTE(SUBSTITUTE("vpa"&amp;$B1544&amp;$C1544&amp;$D1544&amp;$E1544,".","_"),"(","_"),")","")</f>
        <v>vpa706_2_1</v>
      </c>
      <c r="AM1544">
        <f>M1544</f>
        <v>1</v>
      </c>
      <c r="AN1544" t="str">
        <f>SUBSTITUTE(SUBSTITUTE(SUBSTITUTE("vpc"&amp;$B1544&amp;$C1544&amp;$D1544&amp;$E1544,".","_"),"(","_"),")","")</f>
        <v>vpc706_2_1</v>
      </c>
      <c r="AO1544">
        <f>O1544</f>
        <v>0</v>
      </c>
      <c r="AP1544" t="str">
        <f>SUBSTITUTE(SUBSTITUTE(SUBSTITUTE("vch"&amp;$B1544&amp;$C1544&amp;$D1544&amp;$E1544,".","_"),"(","_"),")","")</f>
        <v>vch706_2_1</v>
      </c>
      <c r="AQ1544" t="str">
        <f>IF(LEN(W1544)=0,"",W1544)</f>
        <v/>
      </c>
      <c r="AR1544" t="str">
        <f>SUBSTITUTE(SUBSTITUTE(SUBSTITUTE("vnt"&amp;$B1544&amp;$C1544&amp;$D1544&amp;$E1544,".","_"),"(","_"),")","")</f>
        <v>vnt706_2_1</v>
      </c>
      <c r="AS1544" t="str">
        <f>IF(LEN(X1544)=0,"",X1544)</f>
        <v/>
      </c>
    </row>
    <row r="1545" spans="1:45" x14ac:dyDescent="0.35">
      <c r="A1545" s="366">
        <v>7</v>
      </c>
      <c r="B1545" s="738">
        <v>706.2</v>
      </c>
      <c r="C1545" s="731" t="s">
        <v>256</v>
      </c>
      <c r="D1545" s="731"/>
      <c r="E1545" s="731"/>
      <c r="F1545" s="731"/>
      <c r="G1545" s="366" t="str">
        <f>G1544</f>
        <v/>
      </c>
      <c r="H1545" s="366" t="s">
        <v>3972</v>
      </c>
      <c r="I1545" s="4"/>
      <c r="J1545" s="90"/>
      <c r="K1545" s="90"/>
      <c r="L1545" s="825"/>
      <c r="M1545" s="818"/>
      <c r="N1545" s="834"/>
      <c r="O1545" s="834"/>
      <c r="X1545" s="817"/>
      <c r="Y1545" s="1100"/>
      <c r="Z1545" s="1102"/>
    </row>
    <row r="1546" spans="1:45" x14ac:dyDescent="0.35">
      <c r="A1546" s="366">
        <v>7</v>
      </c>
      <c r="B1546" s="738">
        <v>706.2</v>
      </c>
      <c r="C1546" s="731" t="s">
        <v>256</v>
      </c>
      <c r="D1546" s="731"/>
      <c r="E1546" s="731"/>
      <c r="F1546" s="731"/>
      <c r="G1546" s="366" t="str">
        <f>G1545</f>
        <v/>
      </c>
      <c r="H1546" s="366" t="s">
        <v>3972</v>
      </c>
      <c r="I1546" s="4"/>
      <c r="J1546" s="90"/>
      <c r="K1546" s="90"/>
      <c r="L1546" s="825"/>
      <c r="M1546" s="818"/>
      <c r="N1546" s="834"/>
      <c r="O1546" s="834"/>
      <c r="X1546" s="817"/>
      <c r="Y1546" s="1100"/>
      <c r="Z1546" s="1102"/>
    </row>
    <row r="1547" spans="1:45" x14ac:dyDescent="0.35">
      <c r="A1547" s="366">
        <v>7</v>
      </c>
      <c r="B1547" s="738">
        <v>706.2</v>
      </c>
      <c r="C1547" s="731" t="s">
        <v>256</v>
      </c>
      <c r="D1547" s="731"/>
      <c r="E1547" s="731"/>
      <c r="F1547" s="731"/>
      <c r="G1547" s="366" t="str">
        <f>G1546</f>
        <v/>
      </c>
      <c r="H1547" s="366" t="s">
        <v>3972</v>
      </c>
      <c r="I1547" s="4"/>
      <c r="J1547" s="90"/>
      <c r="K1547" s="90"/>
      <c r="L1547" s="825"/>
      <c r="M1547" s="818"/>
      <c r="N1547" s="834"/>
      <c r="O1547" s="834"/>
      <c r="X1547" s="817"/>
      <c r="Y1547" s="1100"/>
      <c r="Z1547" s="1102"/>
    </row>
    <row r="1548" spans="1:45" x14ac:dyDescent="0.35">
      <c r="A1548" s="366">
        <v>7</v>
      </c>
      <c r="B1548" s="738">
        <v>706.2</v>
      </c>
      <c r="C1548" s="731" t="s">
        <v>256</v>
      </c>
      <c r="D1548" s="731"/>
      <c r="E1548" s="731"/>
      <c r="F1548" s="731"/>
      <c r="G1548" s="366" t="str">
        <f>G1547</f>
        <v/>
      </c>
      <c r="H1548" s="366" t="s">
        <v>3972</v>
      </c>
      <c r="I1548" s="4"/>
      <c r="J1548" s="228"/>
      <c r="K1548" s="228"/>
      <c r="L1548" s="842"/>
      <c r="M1548" s="819"/>
      <c r="N1548" s="835"/>
      <c r="O1548" s="835"/>
      <c r="X1548" s="817"/>
      <c r="Y1548" s="1100"/>
      <c r="Z1548" s="1102"/>
    </row>
    <row r="1549" spans="1:45" x14ac:dyDescent="0.35">
      <c r="A1549" s="366">
        <v>7</v>
      </c>
      <c r="B1549" s="738">
        <v>706.2</v>
      </c>
      <c r="C1549" s="731" t="s">
        <v>258</v>
      </c>
      <c r="D1549" s="731"/>
      <c r="E1549" s="731"/>
      <c r="F1549" s="731"/>
      <c r="G1549" s="366" t="str">
        <f ca="1">IF(N1549&gt;0,"P","")</f>
        <v/>
      </c>
      <c r="H1549" s="366" t="s">
        <v>3972</v>
      </c>
      <c r="I1549" s="4"/>
      <c r="J1549" s="156" t="s">
        <v>258</v>
      </c>
      <c r="K1549" s="90"/>
      <c r="L1549" s="814" t="s">
        <v>1074</v>
      </c>
      <c r="M1549" s="40"/>
      <c r="N1549" s="834">
        <f ca="1">'Ch7'!O679</f>
        <v>0</v>
      </c>
      <c r="O1549" s="834">
        <f ca="1">IFERROR(INDEX({1,2},MATCH(W1549,INDIRECT(U1549),0)),0)</f>
        <v>0</v>
      </c>
      <c r="P1549" t="b">
        <v>0</v>
      </c>
      <c r="Q1549" t="b">
        <v>1</v>
      </c>
      <c r="R1549" t="b">
        <v>0</v>
      </c>
      <c r="S1549" t="b">
        <v>1</v>
      </c>
      <c r="T1549" t="b">
        <v>0</v>
      </c>
      <c r="U1549" t="str">
        <f>SUBSTITUTE(SUBSTITUTE(SUBSTITUTE("dd"&amp;B1549&amp;C1549&amp;D1549&amp;E1549&amp;F1549,".","_"),"(","_"),")","")</f>
        <v>dd706_2_2</v>
      </c>
      <c r="W1549" s="9"/>
      <c r="X1549" s="817"/>
      <c r="Y1549" s="1100" t="str">
        <f>IF(LEN('Ch7'!X679)=0,"None",'Ch7'!X679)</f>
        <v>None</v>
      </c>
      <c r="Z1549" s="1102"/>
      <c r="AC1549" t="b">
        <f>OR(AD1549:AE1549)</f>
        <v>0</v>
      </c>
      <c r="AD1549" t="b">
        <f>T1549</f>
        <v>0</v>
      </c>
      <c r="AE1549" t="b">
        <f>AND(R1549,OR(W1549="Not Met",W1549=""))</f>
        <v>0</v>
      </c>
      <c r="AN1549" t="str">
        <f>SUBSTITUTE(SUBSTITUTE(SUBSTITUTE("vpc"&amp;$B1549&amp;$C1549&amp;$D1549&amp;$E1549,".","_"),"(","_"),")","")</f>
        <v>vpc706_2_2</v>
      </c>
      <c r="AO1549">
        <f ca="1">O1549</f>
        <v>0</v>
      </c>
      <c r="AP1549" t="str">
        <f>SUBSTITUTE(SUBSTITUTE(SUBSTITUTE("vch"&amp;$B1549&amp;$C1549&amp;$D1549&amp;$E1549,".","_"),"(","_"),")","")</f>
        <v>vch706_2_2</v>
      </c>
      <c r="AQ1549" t="str">
        <f>IF(LEN(W1549)=0,"",W1549)</f>
        <v/>
      </c>
      <c r="AR1549" t="str">
        <f>SUBSTITUTE(SUBSTITUTE(SUBSTITUTE("vnt"&amp;$B1549&amp;$C1549&amp;$D1549&amp;$E1549,".","_"),"(","_"),")","")</f>
        <v>vnt706_2_2</v>
      </c>
      <c r="AS1549" t="str">
        <f>IF(LEN(X1549)=0,"",X1549)</f>
        <v/>
      </c>
    </row>
    <row r="1550" spans="1:45" x14ac:dyDescent="0.35">
      <c r="A1550" s="366">
        <v>7</v>
      </c>
      <c r="B1550" s="738">
        <v>706.2</v>
      </c>
      <c r="C1550" s="731" t="s">
        <v>258</v>
      </c>
      <c r="D1550" s="731"/>
      <c r="E1550" s="731"/>
      <c r="F1550" s="731"/>
      <c r="G1550" s="366" t="str">
        <f t="shared" ref="G1550:G1555" ca="1" si="94">G1549</f>
        <v/>
      </c>
      <c r="H1550" s="366" t="s">
        <v>3972</v>
      </c>
      <c r="I1550" s="4"/>
      <c r="J1550" s="90"/>
      <c r="K1550" s="90"/>
      <c r="L1550" s="814"/>
      <c r="M1550" s="40"/>
      <c r="N1550" s="834"/>
      <c r="O1550" s="834"/>
      <c r="X1550" s="817"/>
      <c r="Y1550" s="1100"/>
      <c r="Z1550" s="1102"/>
    </row>
    <row r="1551" spans="1:45" x14ac:dyDescent="0.35">
      <c r="A1551" s="366">
        <v>7</v>
      </c>
      <c r="B1551" s="738">
        <v>706.2</v>
      </c>
      <c r="C1551" s="731" t="s">
        <v>258</v>
      </c>
      <c r="D1551" s="731"/>
      <c r="E1551" s="731"/>
      <c r="F1551" s="731"/>
      <c r="G1551" s="366" t="str">
        <f t="shared" ca="1" si="94"/>
        <v/>
      </c>
      <c r="H1551" s="366" t="s">
        <v>3972</v>
      </c>
      <c r="I1551" s="4"/>
      <c r="J1551" s="90"/>
      <c r="K1551" s="90"/>
      <c r="L1551" s="814"/>
      <c r="M1551" s="40"/>
      <c r="N1551" s="834"/>
      <c r="O1551" s="834"/>
      <c r="X1551" s="817"/>
      <c r="Y1551" s="1100"/>
      <c r="Z1551" s="1102"/>
    </row>
    <row r="1552" spans="1:45" x14ac:dyDescent="0.35">
      <c r="A1552" s="366">
        <v>7</v>
      </c>
      <c r="B1552" s="738">
        <v>706.2</v>
      </c>
      <c r="C1552" s="731" t="s">
        <v>258</v>
      </c>
      <c r="D1552" s="731" t="s">
        <v>121</v>
      </c>
      <c r="E1552" s="731"/>
      <c r="F1552" s="731"/>
      <c r="G1552" s="366" t="str">
        <f t="shared" ca="1" si="94"/>
        <v/>
      </c>
      <c r="H1552" s="366" t="s">
        <v>3972</v>
      </c>
      <c r="I1552" s="4"/>
      <c r="J1552" s="90"/>
      <c r="K1552" s="152" t="s">
        <v>121</v>
      </c>
      <c r="L1552" s="814" t="s">
        <v>1075</v>
      </c>
      <c r="M1552" s="818">
        <v>1</v>
      </c>
      <c r="N1552" s="41"/>
      <c r="O1552" s="41"/>
      <c r="X1552" s="817"/>
      <c r="Y1552" s="1100"/>
      <c r="Z1552" s="1102"/>
      <c r="AL1552" t="str">
        <f>SUBSTITUTE(SUBSTITUTE(SUBSTITUTE("vpa"&amp;$B1552&amp;$C1552&amp;$D1552&amp;$E1552,".","_"),"(","_"),")","")</f>
        <v>vpa706_2_2_a</v>
      </c>
      <c r="AM1552">
        <f>M1552</f>
        <v>1</v>
      </c>
    </row>
    <row r="1553" spans="1:45" x14ac:dyDescent="0.35">
      <c r="A1553" s="366">
        <v>7</v>
      </c>
      <c r="B1553" s="738">
        <v>706.2</v>
      </c>
      <c r="C1553" s="731" t="s">
        <v>258</v>
      </c>
      <c r="D1553" s="731" t="s">
        <v>121</v>
      </c>
      <c r="E1553" s="731"/>
      <c r="F1553" s="731"/>
      <c r="G1553" s="366" t="str">
        <f t="shared" ca="1" si="94"/>
        <v/>
      </c>
      <c r="H1553" s="366" t="s">
        <v>3972</v>
      </c>
      <c r="I1553" s="4"/>
      <c r="J1553" s="90"/>
      <c r="K1553" s="326"/>
      <c r="L1553" s="815"/>
      <c r="M1553" s="819"/>
      <c r="N1553" s="41"/>
      <c r="O1553" s="41"/>
      <c r="X1553" s="817"/>
      <c r="Y1553" s="1100"/>
      <c r="Z1553" s="1102"/>
    </row>
    <row r="1554" spans="1:45" x14ac:dyDescent="0.35">
      <c r="A1554" s="366">
        <v>7</v>
      </c>
      <c r="B1554" s="738">
        <v>706.2</v>
      </c>
      <c r="C1554" s="731" t="s">
        <v>258</v>
      </c>
      <c r="D1554" s="731" t="s">
        <v>122</v>
      </c>
      <c r="E1554" s="731"/>
      <c r="F1554" s="731"/>
      <c r="G1554" s="366" t="str">
        <f t="shared" ca="1" si="94"/>
        <v/>
      </c>
      <c r="H1554" s="366" t="s">
        <v>3972</v>
      </c>
      <c r="I1554" s="4"/>
      <c r="J1554" s="90"/>
      <c r="K1554" s="152" t="s">
        <v>122</v>
      </c>
      <c r="L1554" s="814" t="s">
        <v>1076</v>
      </c>
      <c r="M1554" s="818">
        <v>2</v>
      </c>
      <c r="N1554" s="41"/>
      <c r="O1554" s="41"/>
      <c r="X1554" s="817"/>
      <c r="Y1554" s="1100"/>
      <c r="Z1554" s="1102"/>
      <c r="AL1554" t="str">
        <f>SUBSTITUTE(SUBSTITUTE(SUBSTITUTE("vpa"&amp;$B1554&amp;$C1554&amp;$D1554&amp;$E1554,".","_"),"(","_"),")","")</f>
        <v>vpa706_2_2_b</v>
      </c>
      <c r="AM1554">
        <f>M1554</f>
        <v>2</v>
      </c>
    </row>
    <row r="1555" spans="1:45" ht="15" thickBot="1" x14ac:dyDescent="0.4">
      <c r="A1555" s="366">
        <v>7</v>
      </c>
      <c r="B1555" s="738">
        <v>706.2</v>
      </c>
      <c r="C1555" s="731" t="s">
        <v>258</v>
      </c>
      <c r="D1555" s="731" t="s">
        <v>122</v>
      </c>
      <c r="E1555" s="731"/>
      <c r="F1555" s="731"/>
      <c r="G1555" s="366" t="str">
        <f t="shared" ca="1" si="94"/>
        <v/>
      </c>
      <c r="H1555" s="366" t="s">
        <v>3972</v>
      </c>
      <c r="I1555" s="160"/>
      <c r="J1555" s="229"/>
      <c r="K1555" s="229"/>
      <c r="L1555" s="839"/>
      <c r="M1555" s="827"/>
      <c r="N1555" s="72"/>
      <c r="O1555" s="72"/>
      <c r="P1555" s="55"/>
      <c r="Q1555" s="55"/>
      <c r="R1555" s="55"/>
      <c r="S1555" s="55"/>
      <c r="T1555" s="55"/>
      <c r="U1555" s="55"/>
      <c r="V1555" s="55"/>
      <c r="W1555" s="55"/>
      <c r="X1555" s="829"/>
      <c r="Y1555" s="1101"/>
      <c r="Z1555" s="1104"/>
    </row>
    <row r="1556" spans="1:45" ht="15" thickTop="1" x14ac:dyDescent="0.35">
      <c r="A1556" s="366">
        <v>7</v>
      </c>
      <c r="B1556" s="738">
        <v>706.3</v>
      </c>
      <c r="C1556" s="731"/>
      <c r="D1556" s="731"/>
      <c r="E1556" s="731"/>
      <c r="F1556" s="731"/>
      <c r="G1556" s="366" t="str">
        <f>IF(N1556&gt;0,"P","")</f>
        <v/>
      </c>
      <c r="H1556" s="366" t="s">
        <v>3972</v>
      </c>
      <c r="I1556" s="30">
        <v>706.3</v>
      </c>
      <c r="J1556" s="90"/>
      <c r="K1556" s="90"/>
      <c r="L1556" s="919" t="s">
        <v>1077</v>
      </c>
      <c r="M1556" s="40"/>
      <c r="N1556" s="834">
        <f>'Ch7'!O686</f>
        <v>0</v>
      </c>
      <c r="O1556" s="834">
        <f>IFERROR(INDEX({0,1,2},MATCH((1*S1564*W1564+1*S1565*W1565+1*S1566*W1566+1*S1567*W1567+1*S1568*W1568+1*S1569*W1569+2*S1570*W1570+2*S1571*W1571),{0,3,6},1)),0)</f>
        <v>0</v>
      </c>
      <c r="X1556" s="816"/>
      <c r="Y1556" s="1117" t="str">
        <f>IF(LEN('Ch7'!X686)=0,"None",'Ch7'!X686)</f>
        <v>None</v>
      </c>
      <c r="Z1556" s="1103"/>
      <c r="AN1556" t="str">
        <f>SUBSTITUTE(SUBSTITUTE(SUBSTITUTE("vpc"&amp;$B1556&amp;$C1556&amp;$D1556&amp;$E1556,".","_"),"(","_"),")","")</f>
        <v>vpc706_3</v>
      </c>
      <c r="AO1556">
        <f>O1556</f>
        <v>0</v>
      </c>
      <c r="AR1556" t="str">
        <f>SUBSTITUTE(SUBSTITUTE(SUBSTITUTE("vnt"&amp;$B1556&amp;$C1556&amp;$D1556&amp;$E1556,".","_"),"(","_"),")","")</f>
        <v>vnt706_3</v>
      </c>
      <c r="AS1556" t="str">
        <f>IF(LEN(X1556)=0,"",X1556)</f>
        <v/>
      </c>
    </row>
    <row r="1557" spans="1:45" x14ac:dyDescent="0.35">
      <c r="A1557" s="366">
        <v>7</v>
      </c>
      <c r="B1557" s="738">
        <v>706.3</v>
      </c>
      <c r="C1557" s="731"/>
      <c r="D1557" s="731"/>
      <c r="E1557" s="731"/>
      <c r="F1557" s="731"/>
      <c r="G1557" s="366" t="str">
        <f t="shared" ref="G1557:G1571" si="95">G1556</f>
        <v/>
      </c>
      <c r="H1557" s="366" t="s">
        <v>3972</v>
      </c>
      <c r="I1557" s="30"/>
      <c r="J1557" s="90"/>
      <c r="K1557" s="90"/>
      <c r="L1557" s="919"/>
      <c r="M1557" s="40"/>
      <c r="N1557" s="834"/>
      <c r="O1557" s="834"/>
      <c r="X1557" s="817"/>
      <c r="Y1557" s="1100"/>
      <c r="Z1557" s="1102"/>
    </row>
    <row r="1558" spans="1:45" x14ac:dyDescent="0.35">
      <c r="A1558" s="366">
        <v>7</v>
      </c>
      <c r="B1558" s="738">
        <v>706.3</v>
      </c>
      <c r="C1558" s="731"/>
      <c r="D1558" s="731" t="s">
        <v>121</v>
      </c>
      <c r="E1558" s="731"/>
      <c r="F1558" s="731"/>
      <c r="G1558" s="366" t="str">
        <f t="shared" si="95"/>
        <v/>
      </c>
      <c r="H1558" s="366" t="s">
        <v>3972</v>
      </c>
      <c r="I1558" s="4"/>
      <c r="J1558" s="90"/>
      <c r="K1558" s="90"/>
      <c r="L1558" s="158" t="s">
        <v>1078</v>
      </c>
      <c r="M1558" s="40">
        <v>1</v>
      </c>
      <c r="N1558" s="41"/>
      <c r="O1558" s="41"/>
      <c r="X1558" s="817"/>
      <c r="Y1558" s="1100"/>
      <c r="Z1558" s="1102"/>
      <c r="AL1558" t="str">
        <f>SUBSTITUTE(SUBSTITUTE(SUBSTITUTE("vpa"&amp;$B1558&amp;$C1558&amp;$D1558&amp;$E1558,".","_"),"(","_"),")","")</f>
        <v>vpa706_3_a</v>
      </c>
      <c r="AM1558">
        <f>M1558</f>
        <v>1</v>
      </c>
    </row>
    <row r="1559" spans="1:45" x14ac:dyDescent="0.35">
      <c r="A1559" s="366">
        <v>7</v>
      </c>
      <c r="B1559" s="738">
        <v>706.3</v>
      </c>
      <c r="C1559" s="731"/>
      <c r="D1559" s="731" t="s">
        <v>122</v>
      </c>
      <c r="E1559" s="731"/>
      <c r="F1559" s="731"/>
      <c r="G1559" s="366" t="str">
        <f t="shared" si="95"/>
        <v/>
      </c>
      <c r="H1559" s="366" t="s">
        <v>3972</v>
      </c>
      <c r="I1559" s="4"/>
      <c r="J1559" s="90"/>
      <c r="K1559" s="90"/>
      <c r="L1559" s="158" t="s">
        <v>1079</v>
      </c>
      <c r="M1559" s="40">
        <v>2</v>
      </c>
      <c r="N1559" s="41"/>
      <c r="O1559" s="41"/>
      <c r="X1559" s="817"/>
      <c r="Y1559" s="1100"/>
      <c r="Z1559" s="1102"/>
      <c r="AL1559" t="str">
        <f>SUBSTITUTE(SUBSTITUTE(SUBSTITUTE("vpa"&amp;$B1559&amp;$C1559&amp;$D1559&amp;$E1559,".","_"),"(","_"),")","")</f>
        <v>vpa706_3_b</v>
      </c>
      <c r="AM1559">
        <f>M1559</f>
        <v>2</v>
      </c>
    </row>
    <row r="1560" spans="1:45" x14ac:dyDescent="0.35">
      <c r="A1560" s="366">
        <v>7</v>
      </c>
      <c r="B1560" s="738">
        <v>706.3</v>
      </c>
      <c r="C1560" s="735"/>
      <c r="D1560" s="731"/>
      <c r="E1560" s="731"/>
      <c r="F1560" s="731"/>
      <c r="G1560" s="366" t="str">
        <f t="shared" si="95"/>
        <v/>
      </c>
      <c r="H1560" s="366" t="s">
        <v>3972</v>
      </c>
      <c r="I1560" s="4"/>
      <c r="K1560" s="159"/>
      <c r="L1560" s="895" t="s">
        <v>1080</v>
      </c>
      <c r="M1560" s="40"/>
      <c r="N1560" s="41"/>
      <c r="O1560" s="41"/>
      <c r="X1560" s="817"/>
      <c r="Y1560" s="1100"/>
      <c r="Z1560" s="1102"/>
    </row>
    <row r="1561" spans="1:45" x14ac:dyDescent="0.35">
      <c r="A1561" s="366">
        <v>7</v>
      </c>
      <c r="B1561" s="738">
        <v>706.3</v>
      </c>
      <c r="C1561" s="735"/>
      <c r="D1561" s="731"/>
      <c r="E1561" s="731"/>
      <c r="F1561" s="731"/>
      <c r="G1561" s="366" t="str">
        <f t="shared" si="95"/>
        <v/>
      </c>
      <c r="H1561" s="366" t="s">
        <v>3972</v>
      </c>
      <c r="I1561" s="4"/>
      <c r="K1561" s="159"/>
      <c r="L1561" s="895"/>
      <c r="M1561" s="40"/>
      <c r="N1561" s="41"/>
      <c r="O1561" s="41"/>
      <c r="X1561" s="817"/>
      <c r="Y1561" s="1100"/>
      <c r="Z1561" s="1102"/>
    </row>
    <row r="1562" spans="1:45" x14ac:dyDescent="0.35">
      <c r="A1562" s="366">
        <v>7</v>
      </c>
      <c r="B1562" s="738">
        <v>706.3</v>
      </c>
      <c r="C1562" s="735"/>
      <c r="D1562" s="731"/>
      <c r="E1562" s="731"/>
      <c r="F1562" s="731"/>
      <c r="G1562" s="366" t="str">
        <f t="shared" si="95"/>
        <v/>
      </c>
      <c r="H1562" s="366" t="s">
        <v>3972</v>
      </c>
      <c r="I1562" s="4"/>
      <c r="J1562" s="90"/>
      <c r="L1562" s="895" t="s">
        <v>1081</v>
      </c>
      <c r="M1562" s="40"/>
      <c r="N1562" s="41"/>
      <c r="O1562" s="41"/>
      <c r="X1562" s="817"/>
      <c r="Y1562" s="1100"/>
      <c r="Z1562" s="1102"/>
    </row>
    <row r="1563" spans="1:45" x14ac:dyDescent="0.35">
      <c r="A1563" s="366">
        <v>7</v>
      </c>
      <c r="B1563" s="738">
        <v>706.3</v>
      </c>
      <c r="C1563" s="735"/>
      <c r="D1563" s="731"/>
      <c r="E1563" s="731"/>
      <c r="F1563" s="731"/>
      <c r="G1563" s="366" t="str">
        <f t="shared" si="95"/>
        <v/>
      </c>
      <c r="H1563" s="366" t="s">
        <v>3972</v>
      </c>
      <c r="I1563" s="4"/>
      <c r="J1563" s="90"/>
      <c r="L1563" s="895"/>
      <c r="M1563" s="40"/>
      <c r="N1563" s="41"/>
      <c r="O1563" s="41"/>
      <c r="X1563" s="817"/>
      <c r="Y1563" s="1100"/>
      <c r="Z1563" s="1102"/>
    </row>
    <row r="1564" spans="1:45" x14ac:dyDescent="0.35">
      <c r="A1564" s="366">
        <v>7</v>
      </c>
      <c r="B1564" s="738">
        <v>706.3</v>
      </c>
      <c r="C1564" s="731" t="s">
        <v>256</v>
      </c>
      <c r="D1564" s="731"/>
      <c r="E1564" s="731"/>
      <c r="F1564" s="731"/>
      <c r="G1564" s="366" t="str">
        <f t="shared" si="95"/>
        <v/>
      </c>
      <c r="H1564" s="366" t="s">
        <v>3972</v>
      </c>
      <c r="I1564" s="4"/>
      <c r="J1564" s="338" t="s">
        <v>256</v>
      </c>
      <c r="K1564" s="228"/>
      <c r="L1564" s="228" t="s">
        <v>962</v>
      </c>
      <c r="M1564" s="40"/>
      <c r="N1564" s="41"/>
      <c r="O1564" s="41"/>
      <c r="P1564" t="b">
        <v>0</v>
      </c>
      <c r="Q1564" t="b">
        <v>1</v>
      </c>
      <c r="R1564" t="b">
        <v>0</v>
      </c>
      <c r="S1564" t="b">
        <f>IFERROR(NOT(OR(W1599:W1600,W1611)),TRUE)</f>
        <v>1</v>
      </c>
      <c r="T1564" t="b">
        <f t="shared" ref="T1564:T1571" si="96">AND(NOT(S1564),W1564=TRUE)</f>
        <v>0</v>
      </c>
      <c r="W1564" s="17"/>
      <c r="X1564" s="36"/>
      <c r="Y1564" s="396" t="str">
        <f>IF(LEN('Ch7'!X694)=0,"None",'Ch7'!X694)</f>
        <v>None</v>
      </c>
      <c r="Z1564" s="652"/>
      <c r="AC1564" t="b">
        <f t="shared" ref="AC1564:AC1571" si="97">OR(AD1564:AE1564)</f>
        <v>0</v>
      </c>
      <c r="AD1564" t="b">
        <f t="shared" ref="AD1564:AD1571" si="98">T1564</f>
        <v>0</v>
      </c>
      <c r="AP1564" t="str">
        <f t="shared" ref="AP1564:AP1571" si="99">SUBSTITUTE(SUBSTITUTE(SUBSTITUTE("vch"&amp;$B1564&amp;$C1564&amp;$D1564&amp;$E1564,".","_"),"(","_"),")","")</f>
        <v>vch706_3_1</v>
      </c>
      <c r="AQ1564" t="str">
        <f t="shared" ref="AQ1564:AQ1571" si="100">IF(LEN(W1564)=0,"",W1564)</f>
        <v/>
      </c>
      <c r="AR1564" t="str">
        <f t="shared" ref="AR1564:AR1571" si="101">SUBSTITUTE(SUBSTITUTE(SUBSTITUTE("vnt"&amp;$B1564&amp;$C1564&amp;$D1564&amp;$E1564,".","_"),"(","_"),")","")</f>
        <v>vnt706_3_1</v>
      </c>
      <c r="AS1564" t="str">
        <f t="shared" ref="AS1564:AS1571" si="102">IF(LEN(X1564)=0,"",X1564)</f>
        <v/>
      </c>
    </row>
    <row r="1565" spans="1:45" x14ac:dyDescent="0.35">
      <c r="A1565" s="366">
        <v>7</v>
      </c>
      <c r="B1565" s="738">
        <v>706.3</v>
      </c>
      <c r="C1565" s="731" t="s">
        <v>258</v>
      </c>
      <c r="D1565" s="731"/>
      <c r="E1565" s="731"/>
      <c r="F1565" s="731"/>
      <c r="G1565" s="366" t="str">
        <f t="shared" si="95"/>
        <v/>
      </c>
      <c r="H1565" s="366" t="s">
        <v>3972</v>
      </c>
      <c r="I1565" s="4"/>
      <c r="J1565" s="348" t="s">
        <v>258</v>
      </c>
      <c r="K1565" s="178"/>
      <c r="L1565" s="178" t="s">
        <v>1082</v>
      </c>
      <c r="M1565" s="40"/>
      <c r="N1565" s="41"/>
      <c r="O1565" s="41"/>
      <c r="P1565" t="b">
        <v>0</v>
      </c>
      <c r="Q1565" t="b">
        <v>1</v>
      </c>
      <c r="R1565" t="b">
        <v>0</v>
      </c>
      <c r="S1565" t="b">
        <f>IFERROR(NOT(OR(W1599:W1600,W1611)),TRUE)</f>
        <v>1</v>
      </c>
      <c r="T1565" t="b">
        <f t="shared" si="96"/>
        <v>0</v>
      </c>
      <c r="W1565" s="17"/>
      <c r="X1565" s="36"/>
      <c r="Y1565" s="396" t="str">
        <f>IF(LEN('Ch7'!X695)=0,"None",'Ch7'!X695)</f>
        <v>None</v>
      </c>
      <c r="Z1565" s="652"/>
      <c r="AC1565" t="b">
        <f t="shared" si="97"/>
        <v>0</v>
      </c>
      <c r="AD1565" t="b">
        <f t="shared" si="98"/>
        <v>0</v>
      </c>
      <c r="AP1565" t="str">
        <f t="shared" si="99"/>
        <v>vch706_3_2</v>
      </c>
      <c r="AQ1565" t="str">
        <f t="shared" si="100"/>
        <v/>
      </c>
      <c r="AR1565" t="str">
        <f t="shared" si="101"/>
        <v>vnt706_3_2</v>
      </c>
      <c r="AS1565" t="str">
        <f t="shared" si="102"/>
        <v/>
      </c>
    </row>
    <row r="1566" spans="1:45" x14ac:dyDescent="0.35">
      <c r="A1566" s="366">
        <v>7</v>
      </c>
      <c r="B1566" s="738">
        <v>706.3</v>
      </c>
      <c r="C1566" s="731" t="s">
        <v>260</v>
      </c>
      <c r="D1566" s="731"/>
      <c r="E1566" s="731"/>
      <c r="F1566" s="731"/>
      <c r="G1566" s="366" t="str">
        <f t="shared" si="95"/>
        <v/>
      </c>
      <c r="H1566" s="366" t="s">
        <v>3972</v>
      </c>
      <c r="I1566" s="4"/>
      <c r="J1566" s="348" t="s">
        <v>260</v>
      </c>
      <c r="K1566" s="178"/>
      <c r="L1566" s="178" t="s">
        <v>963</v>
      </c>
      <c r="M1566" s="40"/>
      <c r="N1566" s="41"/>
      <c r="O1566" s="41"/>
      <c r="P1566" t="b">
        <v>0</v>
      </c>
      <c r="Q1566" t="b">
        <v>1</v>
      </c>
      <c r="R1566" t="b">
        <v>0</v>
      </c>
      <c r="S1566" t="b">
        <f>IFERROR(NOT(OR(W1599:W1600,W1611)),TRUE)</f>
        <v>1</v>
      </c>
      <c r="T1566" t="b">
        <f t="shared" si="96"/>
        <v>0</v>
      </c>
      <c r="W1566" s="17"/>
      <c r="X1566" s="36"/>
      <c r="Y1566" s="396" t="str">
        <f>IF(LEN('Ch7'!X696)=0,"None",'Ch7'!X696)</f>
        <v>None</v>
      </c>
      <c r="Z1566" s="652"/>
      <c r="AC1566" t="b">
        <f t="shared" si="97"/>
        <v>0</v>
      </c>
      <c r="AD1566" t="b">
        <f t="shared" si="98"/>
        <v>0</v>
      </c>
      <c r="AP1566" t="str">
        <f t="shared" si="99"/>
        <v>vch706_3_3</v>
      </c>
      <c r="AQ1566" t="str">
        <f t="shared" si="100"/>
        <v/>
      </c>
      <c r="AR1566" t="str">
        <f t="shared" si="101"/>
        <v>vnt706_3_3</v>
      </c>
      <c r="AS1566" t="str">
        <f t="shared" si="102"/>
        <v/>
      </c>
    </row>
    <row r="1567" spans="1:45" x14ac:dyDescent="0.35">
      <c r="A1567" s="366">
        <v>7</v>
      </c>
      <c r="B1567" s="738">
        <v>706.3</v>
      </c>
      <c r="C1567" s="731" t="s">
        <v>269</v>
      </c>
      <c r="D1567" s="731"/>
      <c r="E1567" s="731"/>
      <c r="F1567" s="731"/>
      <c r="G1567" s="366" t="str">
        <f t="shared" si="95"/>
        <v/>
      </c>
      <c r="H1567" s="366" t="s">
        <v>3972</v>
      </c>
      <c r="I1567" s="4"/>
      <c r="J1567" s="348" t="s">
        <v>269</v>
      </c>
      <c r="K1567" s="178"/>
      <c r="L1567" s="178" t="s">
        <v>1083</v>
      </c>
      <c r="M1567" s="40"/>
      <c r="N1567" s="41"/>
      <c r="O1567" s="41"/>
      <c r="P1567" t="b">
        <v>0</v>
      </c>
      <c r="Q1567" t="b">
        <v>1</v>
      </c>
      <c r="R1567" t="b">
        <v>0</v>
      </c>
      <c r="S1567" t="b">
        <f>IFERROR(NOT(OR(W1599:W1600,W1611)),TRUE)</f>
        <v>1</v>
      </c>
      <c r="T1567" t="b">
        <f t="shared" si="96"/>
        <v>0</v>
      </c>
      <c r="W1567" s="17"/>
      <c r="X1567" s="36"/>
      <c r="Y1567" s="396" t="str">
        <f>IF(LEN('Ch7'!X697)=0,"None",'Ch7'!X697)</f>
        <v>None</v>
      </c>
      <c r="Z1567" s="652"/>
      <c r="AC1567" t="b">
        <f t="shared" si="97"/>
        <v>0</v>
      </c>
      <c r="AD1567" t="b">
        <f t="shared" si="98"/>
        <v>0</v>
      </c>
      <c r="AP1567" t="str">
        <f t="shared" si="99"/>
        <v>vch706_3_4</v>
      </c>
      <c r="AQ1567" t="str">
        <f t="shared" si="100"/>
        <v/>
      </c>
      <c r="AR1567" t="str">
        <f t="shared" si="101"/>
        <v>vnt706_3_4</v>
      </c>
      <c r="AS1567" t="str">
        <f t="shared" si="102"/>
        <v/>
      </c>
    </row>
    <row r="1568" spans="1:45" x14ac:dyDescent="0.35">
      <c r="A1568" s="366">
        <v>7</v>
      </c>
      <c r="B1568" s="738">
        <v>706.3</v>
      </c>
      <c r="C1568" s="731" t="s">
        <v>275</v>
      </c>
      <c r="D1568" s="731"/>
      <c r="E1568" s="731"/>
      <c r="F1568" s="731"/>
      <c r="G1568" s="366" t="str">
        <f t="shared" si="95"/>
        <v/>
      </c>
      <c r="H1568" s="366" t="s">
        <v>3972</v>
      </c>
      <c r="I1568" s="4"/>
      <c r="J1568" s="348" t="s">
        <v>275</v>
      </c>
      <c r="K1568" s="178"/>
      <c r="L1568" s="178" t="s">
        <v>1084</v>
      </c>
      <c r="M1568" s="40"/>
      <c r="N1568" s="41"/>
      <c r="O1568" s="41"/>
      <c r="P1568" t="b">
        <v>0</v>
      </c>
      <c r="Q1568" t="b">
        <v>1</v>
      </c>
      <c r="R1568" t="b">
        <v>0</v>
      </c>
      <c r="S1568" t="b">
        <f>IFERROR(NOT(OR(W1599:W1600,W1611)),TRUE)</f>
        <v>1</v>
      </c>
      <c r="T1568" t="b">
        <f t="shared" si="96"/>
        <v>0</v>
      </c>
      <c r="W1568" s="17"/>
      <c r="X1568" s="36"/>
      <c r="Y1568" s="396" t="str">
        <f>IF(LEN('Ch7'!X698)=0,"None",'Ch7'!X698)</f>
        <v>None</v>
      </c>
      <c r="Z1568" s="652"/>
      <c r="AC1568" t="b">
        <f t="shared" si="97"/>
        <v>0</v>
      </c>
      <c r="AD1568" t="b">
        <f t="shared" si="98"/>
        <v>0</v>
      </c>
      <c r="AP1568" t="str">
        <f t="shared" si="99"/>
        <v>vch706_3_5</v>
      </c>
      <c r="AQ1568" t="str">
        <f t="shared" si="100"/>
        <v/>
      </c>
      <c r="AR1568" t="str">
        <f t="shared" si="101"/>
        <v>vnt706_3_5</v>
      </c>
      <c r="AS1568" t="str">
        <f t="shared" si="102"/>
        <v/>
      </c>
    </row>
    <row r="1569" spans="1:45" x14ac:dyDescent="0.35">
      <c r="A1569" s="366">
        <v>7</v>
      </c>
      <c r="B1569" s="738">
        <v>706.3</v>
      </c>
      <c r="C1569" s="731" t="s">
        <v>277</v>
      </c>
      <c r="D1569" s="731"/>
      <c r="E1569" s="731"/>
      <c r="F1569" s="731"/>
      <c r="G1569" s="366" t="str">
        <f t="shared" si="95"/>
        <v/>
      </c>
      <c r="H1569" s="366" t="s">
        <v>3972</v>
      </c>
      <c r="I1569" s="4"/>
      <c r="J1569" s="348" t="s">
        <v>277</v>
      </c>
      <c r="K1569" s="178"/>
      <c r="L1569" s="178" t="s">
        <v>1085</v>
      </c>
      <c r="M1569" s="40"/>
      <c r="N1569" s="41"/>
      <c r="O1569" s="41"/>
      <c r="P1569" t="b">
        <v>0</v>
      </c>
      <c r="Q1569" t="b">
        <v>1</v>
      </c>
      <c r="R1569" t="b">
        <v>0</v>
      </c>
      <c r="S1569" t="b">
        <f>IFERROR(NOT(OR(W1599:W1600,W1611)),TRUE)</f>
        <v>1</v>
      </c>
      <c r="T1569" t="b">
        <f t="shared" si="96"/>
        <v>0</v>
      </c>
      <c r="W1569" s="17"/>
      <c r="X1569" s="36"/>
      <c r="Y1569" s="396" t="str">
        <f>IF(LEN('Ch7'!X699)=0,"None",'Ch7'!X699)</f>
        <v>None</v>
      </c>
      <c r="Z1569" s="652"/>
      <c r="AC1569" t="b">
        <f t="shared" si="97"/>
        <v>0</v>
      </c>
      <c r="AD1569" t="b">
        <f t="shared" si="98"/>
        <v>0</v>
      </c>
      <c r="AP1569" t="str">
        <f t="shared" si="99"/>
        <v>vch706_3_6</v>
      </c>
      <c r="AQ1569" t="str">
        <f t="shared" si="100"/>
        <v/>
      </c>
      <c r="AR1569" t="str">
        <f t="shared" si="101"/>
        <v>vnt706_3_6</v>
      </c>
      <c r="AS1569" t="str">
        <f t="shared" si="102"/>
        <v/>
      </c>
    </row>
    <row r="1570" spans="1:45" x14ac:dyDescent="0.35">
      <c r="A1570" s="366">
        <v>7</v>
      </c>
      <c r="B1570" s="738">
        <v>706.3</v>
      </c>
      <c r="C1570" s="731" t="s">
        <v>383</v>
      </c>
      <c r="D1570" s="731"/>
      <c r="E1570" s="731"/>
      <c r="F1570" s="731"/>
      <c r="G1570" s="366" t="str">
        <f t="shared" si="95"/>
        <v/>
      </c>
      <c r="H1570" s="366" t="s">
        <v>3972</v>
      </c>
      <c r="I1570" s="4"/>
      <c r="J1570" s="348" t="s">
        <v>383</v>
      </c>
      <c r="K1570" s="178"/>
      <c r="L1570" s="178" t="s">
        <v>1086</v>
      </c>
      <c r="M1570" s="40"/>
      <c r="N1570" s="41"/>
      <c r="O1570" s="41"/>
      <c r="P1570" t="b">
        <v>0</v>
      </c>
      <c r="Q1570" t="b">
        <v>1</v>
      </c>
      <c r="R1570" t="b">
        <v>0</v>
      </c>
      <c r="S1570" t="b">
        <f>IFERROR(NOT(OR(W1599:W1600,W1611)),TRUE)</f>
        <v>1</v>
      </c>
      <c r="T1570" t="b">
        <f t="shared" si="96"/>
        <v>0</v>
      </c>
      <c r="W1570" s="17"/>
      <c r="X1570" s="36"/>
      <c r="Y1570" s="396" t="str">
        <f>IF(LEN('Ch7'!X700)=0,"None",'Ch7'!X700)</f>
        <v>None</v>
      </c>
      <c r="Z1570" s="652"/>
      <c r="AC1570" t="b">
        <f t="shared" si="97"/>
        <v>0</v>
      </c>
      <c r="AD1570" t="b">
        <f t="shared" si="98"/>
        <v>0</v>
      </c>
      <c r="AP1570" t="str">
        <f t="shared" si="99"/>
        <v>vch706_3_7</v>
      </c>
      <c r="AQ1570" t="str">
        <f t="shared" si="100"/>
        <v/>
      </c>
      <c r="AR1570" t="str">
        <f t="shared" si="101"/>
        <v>vnt706_3_7</v>
      </c>
      <c r="AS1570" t="str">
        <f t="shared" si="102"/>
        <v/>
      </c>
    </row>
    <row r="1571" spans="1:45" ht="15" thickBot="1" x14ac:dyDescent="0.4">
      <c r="A1571" s="366">
        <v>7</v>
      </c>
      <c r="B1571" s="738">
        <v>706.3</v>
      </c>
      <c r="C1571" s="731" t="s">
        <v>428</v>
      </c>
      <c r="D1571" s="731"/>
      <c r="E1571" s="731"/>
      <c r="F1571" s="731"/>
      <c r="G1571" s="366" t="str">
        <f t="shared" si="95"/>
        <v/>
      </c>
      <c r="H1571" s="366" t="s">
        <v>3972</v>
      </c>
      <c r="I1571" s="160"/>
      <c r="J1571" s="340" t="s">
        <v>428</v>
      </c>
      <c r="K1571" s="229"/>
      <c r="L1571" s="229" t="s">
        <v>1087</v>
      </c>
      <c r="M1571" s="270"/>
      <c r="N1571" s="72"/>
      <c r="O1571" s="72"/>
      <c r="P1571" t="b">
        <v>0</v>
      </c>
      <c r="Q1571" t="b">
        <v>1</v>
      </c>
      <c r="R1571" s="55" t="b">
        <v>0</v>
      </c>
      <c r="S1571" s="55" t="b">
        <f>IFERROR(NOT(OR(W1599:W1600,W1611)),TRUE)</f>
        <v>1</v>
      </c>
      <c r="T1571" s="55" t="b">
        <f t="shared" si="96"/>
        <v>0</v>
      </c>
      <c r="U1571" s="55"/>
      <c r="V1571" s="55"/>
      <c r="W1571" s="56"/>
      <c r="X1571" s="98"/>
      <c r="Y1571" s="397" t="str">
        <f>IF(LEN('Ch7'!X701)=0,"None",'Ch7'!X701)</f>
        <v>None</v>
      </c>
      <c r="Z1571" s="658"/>
      <c r="AC1571" t="b">
        <f t="shared" si="97"/>
        <v>0</v>
      </c>
      <c r="AD1571" t="b">
        <f t="shared" si="98"/>
        <v>0</v>
      </c>
      <c r="AP1571" t="str">
        <f t="shared" si="99"/>
        <v>vch706_3_8</v>
      </c>
      <c r="AQ1571" t="str">
        <f t="shared" si="100"/>
        <v/>
      </c>
      <c r="AR1571" t="str">
        <f t="shared" si="101"/>
        <v>vnt706_3_8</v>
      </c>
      <c r="AS1571" t="str">
        <f t="shared" si="102"/>
        <v/>
      </c>
    </row>
    <row r="1572" spans="1:45" ht="15" thickTop="1" x14ac:dyDescent="0.35">
      <c r="A1572" s="366">
        <v>7</v>
      </c>
      <c r="B1572" s="738">
        <v>706.4</v>
      </c>
      <c r="C1572" s="731"/>
      <c r="D1572" s="731"/>
      <c r="E1572" s="731"/>
      <c r="F1572" s="731"/>
      <c r="G1572" s="727" t="str">
        <f>IF(COUNTIF(G1574:G1578,"P")&gt;0,"P","")</f>
        <v/>
      </c>
      <c r="H1572" s="366" t="s">
        <v>3972</v>
      </c>
      <c r="I1572" s="30">
        <v>706.4</v>
      </c>
      <c r="J1572" s="90"/>
      <c r="K1572" s="90"/>
      <c r="L1572" s="95" t="s">
        <v>1088</v>
      </c>
      <c r="M1572" s="40"/>
      <c r="N1572" s="41"/>
      <c r="O1572" s="41"/>
    </row>
    <row r="1573" spans="1:45" x14ac:dyDescent="0.35">
      <c r="A1573" s="366">
        <v>7</v>
      </c>
      <c r="B1573" s="738" t="s">
        <v>1089</v>
      </c>
      <c r="C1573" s="731"/>
      <c r="D1573" s="731"/>
      <c r="E1573" s="731"/>
      <c r="F1573" s="731"/>
      <c r="G1573" s="727" t="str">
        <f>IF(COUNTIF(G1574:G1576,"P")&gt;0,"P","")</f>
        <v/>
      </c>
      <c r="H1573" s="366" t="s">
        <v>3972</v>
      </c>
      <c r="I1573" s="30" t="s">
        <v>1089</v>
      </c>
      <c r="J1573" s="90"/>
      <c r="K1573" s="90"/>
      <c r="L1573" s="95" t="s">
        <v>1090</v>
      </c>
      <c r="M1573" s="40"/>
      <c r="N1573" s="41"/>
      <c r="O1573" s="41"/>
    </row>
    <row r="1574" spans="1:45" x14ac:dyDescent="0.35">
      <c r="A1574" s="366">
        <v>7</v>
      </c>
      <c r="B1574" s="738" t="s">
        <v>1089</v>
      </c>
      <c r="C1574" s="731" t="s">
        <v>256</v>
      </c>
      <c r="D1574" s="731"/>
      <c r="E1574" s="731"/>
      <c r="F1574" s="731"/>
      <c r="G1574" s="366" t="str">
        <f>IF(N1574&gt;0,"P","")</f>
        <v/>
      </c>
      <c r="H1574" s="366" t="s">
        <v>3972</v>
      </c>
      <c r="I1574" s="4"/>
      <c r="J1574" s="156" t="s">
        <v>256</v>
      </c>
      <c r="K1574" s="90"/>
      <c r="L1574" s="814" t="s">
        <v>1091</v>
      </c>
      <c r="M1574" s="818">
        <v>1</v>
      </c>
      <c r="N1574" s="834">
        <f>'Ch7'!O704</f>
        <v>0</v>
      </c>
      <c r="O1574" s="834">
        <f>M1574*S1574*W1574</f>
        <v>0</v>
      </c>
      <c r="P1574" t="b">
        <v>1</v>
      </c>
      <c r="Q1574" t="b">
        <v>1</v>
      </c>
      <c r="R1574" t="b">
        <v>0</v>
      </c>
      <c r="S1574" t="b">
        <v>1</v>
      </c>
      <c r="T1574" t="b">
        <v>0</v>
      </c>
      <c r="W1574" s="17"/>
      <c r="X1574" s="817"/>
      <c r="Y1574" s="1100" t="str">
        <f>IF(LEN('Ch7'!X704)=0,"None",'Ch7'!X704)</f>
        <v>None</v>
      </c>
      <c r="Z1574" s="1102"/>
      <c r="AL1574" t="str">
        <f>SUBSTITUTE(SUBSTITUTE(SUBSTITUTE("vpa"&amp;$B1574&amp;$C1574&amp;$D1574&amp;$E1574,".","_"),"(","_"),")","")</f>
        <v>vpa706_4_1_1</v>
      </c>
      <c r="AM1574">
        <f>M1574</f>
        <v>1</v>
      </c>
      <c r="AN1574" t="str">
        <f>SUBSTITUTE(SUBSTITUTE(SUBSTITUTE("vpc"&amp;$B1574&amp;$C1574&amp;$D1574&amp;$E1574,".","_"),"(","_"),")","")</f>
        <v>vpc706_4_1_1</v>
      </c>
      <c r="AO1574">
        <f>O1574</f>
        <v>0</v>
      </c>
      <c r="AP1574" t="str">
        <f>SUBSTITUTE(SUBSTITUTE(SUBSTITUTE("vch"&amp;$B1574&amp;$C1574&amp;$D1574&amp;$E1574,".","_"),"(","_"),")","")</f>
        <v>vch706_4_1_1</v>
      </c>
      <c r="AQ1574" t="str">
        <f>IF(LEN(W1574)=0,"",W1574)</f>
        <v/>
      </c>
      <c r="AR1574" t="str">
        <f>SUBSTITUTE(SUBSTITUTE(SUBSTITUTE("vnt"&amp;$B1574&amp;$C1574&amp;$D1574&amp;$E1574,".","_"),"(","_"),")","")</f>
        <v>vnt706_4_1_1</v>
      </c>
      <c r="AS1574" t="str">
        <f>IF(LEN(X1574)=0,"",X1574)</f>
        <v/>
      </c>
    </row>
    <row r="1575" spans="1:45" x14ac:dyDescent="0.35">
      <c r="A1575" s="366">
        <v>7</v>
      </c>
      <c r="B1575" s="738" t="s">
        <v>1089</v>
      </c>
      <c r="C1575" s="731" t="s">
        <v>256</v>
      </c>
      <c r="D1575" s="731"/>
      <c r="E1575" s="731"/>
      <c r="F1575" s="731"/>
      <c r="G1575" s="366" t="str">
        <f>G1574</f>
        <v/>
      </c>
      <c r="H1575" s="366" t="s">
        <v>3972</v>
      </c>
      <c r="I1575" s="4"/>
      <c r="J1575" s="338"/>
      <c r="K1575" s="228"/>
      <c r="L1575" s="815"/>
      <c r="M1575" s="819"/>
      <c r="N1575" s="835"/>
      <c r="O1575" s="835"/>
      <c r="X1575" s="817"/>
      <c r="Y1575" s="1100"/>
      <c r="Z1575" s="1102"/>
    </row>
    <row r="1576" spans="1:45" x14ac:dyDescent="0.35">
      <c r="A1576" s="366">
        <v>7</v>
      </c>
      <c r="B1576" s="738" t="s">
        <v>1089</v>
      </c>
      <c r="C1576" s="731" t="s">
        <v>258</v>
      </c>
      <c r="D1576" s="731"/>
      <c r="E1576" s="731"/>
      <c r="F1576" s="731"/>
      <c r="G1576" s="366" t="str">
        <f>IF(N1576&gt;0,"P","")</f>
        <v/>
      </c>
      <c r="H1576" s="366" t="s">
        <v>3972</v>
      </c>
      <c r="I1576" s="4"/>
      <c r="J1576" s="156" t="s">
        <v>258</v>
      </c>
      <c r="K1576" s="90"/>
      <c r="L1576" s="814" t="s">
        <v>1092</v>
      </c>
      <c r="M1576" s="818">
        <v>3</v>
      </c>
      <c r="N1576" s="834">
        <f>'Ch7'!O706</f>
        <v>0</v>
      </c>
      <c r="O1576" s="834">
        <f>M1576*S1576*W1576</f>
        <v>0</v>
      </c>
      <c r="P1576" t="b">
        <v>1</v>
      </c>
      <c r="Q1576" t="b">
        <v>1</v>
      </c>
      <c r="R1576" t="b">
        <v>0</v>
      </c>
      <c r="S1576" t="b">
        <v>1</v>
      </c>
      <c r="T1576" t="b">
        <v>0</v>
      </c>
      <c r="W1576" s="17"/>
      <c r="X1576" s="817"/>
      <c r="Y1576" s="1100" t="str">
        <f>IF(LEN('Ch7'!X706)=0,"None",'Ch7'!X706)</f>
        <v>None</v>
      </c>
      <c r="Z1576" s="1102"/>
      <c r="AL1576" t="str">
        <f>SUBSTITUTE(SUBSTITUTE(SUBSTITUTE("vpa"&amp;$B1576&amp;$C1576&amp;$D1576&amp;$E1576,".","_"),"(","_"),")","")</f>
        <v>vpa706_4_1_2</v>
      </c>
      <c r="AM1576">
        <f>M1576</f>
        <v>3</v>
      </c>
      <c r="AN1576" t="str">
        <f>SUBSTITUTE(SUBSTITUTE(SUBSTITUTE("vpc"&amp;$B1576&amp;$C1576&amp;$D1576&amp;$E1576,".","_"),"(","_"),")","")</f>
        <v>vpc706_4_1_2</v>
      </c>
      <c r="AO1576">
        <f>O1576</f>
        <v>0</v>
      </c>
      <c r="AP1576" t="str">
        <f>SUBSTITUTE(SUBSTITUTE(SUBSTITUTE("vch"&amp;$B1576&amp;$C1576&amp;$D1576&amp;$E1576,".","_"),"(","_"),")","")</f>
        <v>vch706_4_1_2</v>
      </c>
      <c r="AQ1576" t="str">
        <f>IF(LEN(W1576)=0,"",W1576)</f>
        <v/>
      </c>
      <c r="AR1576" t="str">
        <f>SUBSTITUTE(SUBSTITUTE(SUBSTITUTE("vnt"&amp;$B1576&amp;$C1576&amp;$D1576&amp;$E1576,".","_"),"(","_"),")","")</f>
        <v>vnt706_4_1_2</v>
      </c>
      <c r="AS1576" t="str">
        <f>IF(LEN(X1576)=0,"",X1576)</f>
        <v/>
      </c>
    </row>
    <row r="1577" spans="1:45" x14ac:dyDescent="0.35">
      <c r="A1577" s="366">
        <v>7</v>
      </c>
      <c r="B1577" s="738" t="s">
        <v>1089</v>
      </c>
      <c r="C1577" s="731" t="s">
        <v>258</v>
      </c>
      <c r="D1577" s="731"/>
      <c r="E1577" s="731"/>
      <c r="F1577" s="731"/>
      <c r="G1577" s="366" t="str">
        <f>G1576</f>
        <v/>
      </c>
      <c r="H1577" s="366" t="s">
        <v>3972</v>
      </c>
      <c r="I1577" s="133"/>
      <c r="J1577" s="228"/>
      <c r="K1577" s="228"/>
      <c r="L1577" s="815"/>
      <c r="M1577" s="819"/>
      <c r="N1577" s="835"/>
      <c r="O1577" s="835"/>
      <c r="P1577" s="104"/>
      <c r="Q1577" s="104"/>
      <c r="R1577" s="104"/>
      <c r="S1577" s="104"/>
      <c r="T1577" s="104"/>
      <c r="U1577" s="104"/>
      <c r="V1577" s="104"/>
      <c r="W1577" s="104"/>
      <c r="X1577" s="817"/>
      <c r="Y1577" s="1100"/>
      <c r="Z1577" s="1102"/>
    </row>
    <row r="1578" spans="1:45" x14ac:dyDescent="0.35">
      <c r="A1578" s="366">
        <v>7</v>
      </c>
      <c r="B1578" s="738" t="s">
        <v>1093</v>
      </c>
      <c r="C1578" s="731"/>
      <c r="D1578" s="731"/>
      <c r="E1578" s="731"/>
      <c r="F1578" s="731"/>
      <c r="G1578" s="366" t="str">
        <f>IF(N1578&gt;0,"P","")</f>
        <v/>
      </c>
      <c r="H1578" s="366" t="s">
        <v>3972</v>
      </c>
      <c r="I1578" s="117" t="s">
        <v>1093</v>
      </c>
      <c r="J1578" s="286"/>
      <c r="K1578" s="286"/>
      <c r="L1578" s="905" t="s">
        <v>1094</v>
      </c>
      <c r="M1578" s="822">
        <v>1</v>
      </c>
      <c r="N1578" s="963">
        <f>'Ch7'!O708</f>
        <v>0</v>
      </c>
      <c r="O1578" s="963">
        <f>M1578*S1578*W1578</f>
        <v>0</v>
      </c>
      <c r="P1578" t="b">
        <v>1</v>
      </c>
      <c r="Q1578" t="b">
        <v>1</v>
      </c>
      <c r="R1578" s="120" t="b">
        <v>0</v>
      </c>
      <c r="S1578" s="120" t="b">
        <v>1</v>
      </c>
      <c r="T1578" s="120" t="b">
        <v>0</v>
      </c>
      <c r="U1578" s="120"/>
      <c r="V1578" s="120"/>
      <c r="W1578" s="17"/>
      <c r="X1578" s="817"/>
      <c r="Y1578" s="1100" t="str">
        <f>IF(LEN('Ch7'!X708)=0,"None",'Ch7'!X708)</f>
        <v>None</v>
      </c>
      <c r="Z1578" s="1102"/>
      <c r="AL1578" t="str">
        <f>SUBSTITUTE(SUBSTITUTE(SUBSTITUTE("vpa"&amp;$B1578&amp;$C1578&amp;$D1578&amp;$E1578,".","_"),"(","_"),")","")</f>
        <v>vpa706_4_2</v>
      </c>
      <c r="AM1578">
        <f>M1578</f>
        <v>1</v>
      </c>
      <c r="AN1578" t="str">
        <f>SUBSTITUTE(SUBSTITUTE(SUBSTITUTE("vpc"&amp;$B1578&amp;$C1578&amp;$D1578&amp;$E1578,".","_"),"(","_"),")","")</f>
        <v>vpc706_4_2</v>
      </c>
      <c r="AO1578">
        <f>O1578</f>
        <v>0</v>
      </c>
      <c r="AP1578" t="str">
        <f>SUBSTITUTE(SUBSTITUTE(SUBSTITUTE("vch"&amp;$B1578&amp;$C1578&amp;$D1578&amp;$E1578,".","_"),"(","_"),")","")</f>
        <v>vch706_4_2</v>
      </c>
      <c r="AQ1578" t="str">
        <f>IF(LEN(W1578)=0,"",W1578)</f>
        <v/>
      </c>
      <c r="AR1578" t="str">
        <f>SUBSTITUTE(SUBSTITUTE(SUBSTITUTE("vnt"&amp;$B1578&amp;$C1578&amp;$D1578&amp;$E1578,".","_"),"(","_"),")","")</f>
        <v>vnt706_4_2</v>
      </c>
      <c r="AS1578" t="str">
        <f>IF(LEN(X1578)=0,"",X1578)</f>
        <v/>
      </c>
    </row>
    <row r="1579" spans="1:45" ht="15" thickBot="1" x14ac:dyDescent="0.4">
      <c r="A1579" s="366">
        <v>7</v>
      </c>
      <c r="B1579" s="738" t="s">
        <v>1093</v>
      </c>
      <c r="C1579" s="731"/>
      <c r="D1579" s="731"/>
      <c r="E1579" s="731"/>
      <c r="F1579" s="731"/>
      <c r="G1579" s="366" t="str">
        <f>G1578</f>
        <v/>
      </c>
      <c r="H1579" s="366" t="s">
        <v>3972</v>
      </c>
      <c r="I1579" s="160"/>
      <c r="J1579" s="229"/>
      <c r="K1579" s="229"/>
      <c r="L1579" s="849"/>
      <c r="M1579" s="827"/>
      <c r="N1579" s="863"/>
      <c r="O1579" s="863"/>
      <c r="P1579" s="55"/>
      <c r="Q1579" s="55"/>
      <c r="R1579" s="55"/>
      <c r="S1579" s="55"/>
      <c r="T1579" s="55"/>
      <c r="U1579" s="55"/>
      <c r="V1579" s="55"/>
      <c r="W1579" s="55"/>
      <c r="X1579" s="829"/>
      <c r="Y1579" s="1101"/>
      <c r="Z1579" s="1104"/>
    </row>
    <row r="1580" spans="1:45" ht="15.75" customHeight="1" thickTop="1" x14ac:dyDescent="0.35">
      <c r="A1580" s="366">
        <v>7</v>
      </c>
      <c r="B1580" s="738">
        <v>706.5</v>
      </c>
      <c r="C1580" s="731"/>
      <c r="D1580" s="731"/>
      <c r="E1580" s="731"/>
      <c r="F1580" s="731"/>
      <c r="G1580" s="727" t="str">
        <f ca="1">IF(COUNTIF(G1581:G1585,"P")&gt;0,"P","")</f>
        <v/>
      </c>
      <c r="H1580" s="366" t="s">
        <v>3972</v>
      </c>
      <c r="I1580" s="60">
        <v>706.5</v>
      </c>
      <c r="J1580" s="402"/>
      <c r="K1580" s="402"/>
      <c r="L1580" s="480" t="s">
        <v>4347</v>
      </c>
      <c r="M1580" s="4"/>
      <c r="U1580" s="59"/>
      <c r="V1580" s="59"/>
      <c r="X1580" s="840"/>
      <c r="Y1580" s="1141" t="str">
        <f>IF(LEN('Ch7'!X710)=0,"None",'Ch7'!X710)</f>
        <v>None</v>
      </c>
      <c r="Z1580" s="1107"/>
      <c r="AR1580" t="str">
        <f>SUBSTITUTE(SUBSTITUTE(SUBSTITUTE("vnt"&amp;$B1580&amp;$C1580&amp;$D1580&amp;$E1580,".","_"),"(","_"),")","")</f>
        <v>vnt706_5</v>
      </c>
      <c r="AS1580" t="str">
        <f>IF(LEN(X1580)=0,"",X1580)</f>
        <v/>
      </c>
    </row>
    <row r="1581" spans="1:45" x14ac:dyDescent="0.35">
      <c r="A1581" s="366">
        <v>7</v>
      </c>
      <c r="B1581" s="738">
        <v>706.5</v>
      </c>
      <c r="C1581" s="731" t="s">
        <v>256</v>
      </c>
      <c r="D1581" s="731"/>
      <c r="E1581" s="731"/>
      <c r="F1581" s="731"/>
      <c r="G1581" s="366" t="str">
        <f>IF(N1581&gt;0,"P","")</f>
        <v/>
      </c>
      <c r="H1581" s="366" t="s">
        <v>3972</v>
      </c>
      <c r="I1581" s="4"/>
      <c r="J1581" s="402" t="s">
        <v>256</v>
      </c>
      <c r="K1581" s="402"/>
      <c r="L1581" s="470" t="s">
        <v>4341</v>
      </c>
      <c r="M1581" s="818">
        <v>1</v>
      </c>
      <c r="N1581" s="834">
        <f>'Ch7'!O711</f>
        <v>0</v>
      </c>
      <c r="O1581" s="834">
        <f>M1581*S1581*W1581</f>
        <v>0</v>
      </c>
      <c r="P1581" t="b">
        <v>0</v>
      </c>
      <c r="Q1581" t="b">
        <v>1</v>
      </c>
      <c r="R1581" t="b">
        <v>0</v>
      </c>
      <c r="S1581" t="b">
        <v>1</v>
      </c>
      <c r="T1581" t="b">
        <v>0</v>
      </c>
      <c r="W1581" s="17"/>
      <c r="X1581" s="817"/>
      <c r="Y1581" s="1120"/>
      <c r="Z1581" s="1109"/>
      <c r="AL1581" t="str">
        <f>SUBSTITUTE(SUBSTITUTE(SUBSTITUTE("vpa"&amp;$B1581&amp;$C1581&amp;$D1581&amp;$E1581,".","_"),"(","_"),")","")</f>
        <v>vpa706_5_1</v>
      </c>
      <c r="AM1581">
        <f>M1581</f>
        <v>1</v>
      </c>
      <c r="AN1581" t="str">
        <f>SUBSTITUTE(SUBSTITUTE(SUBSTITUTE("vpc"&amp;$B1581&amp;$C1581&amp;$D1581&amp;$E1581,".","_"),"(","_"),")","")</f>
        <v>vpc706_5_1</v>
      </c>
      <c r="AO1581">
        <f>O1581</f>
        <v>0</v>
      </c>
      <c r="AP1581" t="str">
        <f>SUBSTITUTE(SUBSTITUTE(SUBSTITUTE("vch"&amp;$B1581&amp;$C1581&amp;$D1581&amp;$E1581,".","_"),"(","_"),")","")</f>
        <v>vch706_5_1</v>
      </c>
      <c r="AQ1581" t="str">
        <f>IF(LEN(W1581)=0,"",W1581)</f>
        <v/>
      </c>
    </row>
    <row r="1582" spans="1:45" x14ac:dyDescent="0.35">
      <c r="A1582" s="366">
        <v>7</v>
      </c>
      <c r="B1582" s="738">
        <v>706.5</v>
      </c>
      <c r="C1582" s="731" t="s">
        <v>256</v>
      </c>
      <c r="D1582" s="731"/>
      <c r="E1582" s="731"/>
      <c r="F1582" s="731"/>
      <c r="G1582" s="366" t="str">
        <f t="shared" ref="G1582:G1594" si="103">G1581</f>
        <v/>
      </c>
      <c r="H1582" s="366" t="s">
        <v>3972</v>
      </c>
      <c r="I1582" s="4"/>
      <c r="J1582" s="416"/>
      <c r="K1582" s="416"/>
      <c r="L1582" s="477"/>
      <c r="M1582" s="819"/>
      <c r="N1582" s="835"/>
      <c r="O1582" s="835"/>
      <c r="S1582" s="1">
        <f ca="1">IF(AY889=INDEX(INDIRECT("ddSingleOrMulti"),1),1,AY890)</f>
        <v>1</v>
      </c>
      <c r="W1582" t="str">
        <f ca="1">"kW per "&amp;IF(AY889=INDEX(INDIRECT("ddSingleOrMulti"),1),"1 unit:",AY890&amp;" units:")</f>
        <v>kW per 1 unit:</v>
      </c>
      <c r="X1582" s="817"/>
      <c r="Y1582" s="1120"/>
      <c r="Z1582" s="1109"/>
    </row>
    <row r="1583" spans="1:45" x14ac:dyDescent="0.35">
      <c r="A1583" s="366">
        <v>7</v>
      </c>
      <c r="B1583" s="738">
        <v>706.5</v>
      </c>
      <c r="C1583" s="731" t="s">
        <v>258</v>
      </c>
      <c r="D1583" s="731"/>
      <c r="E1583" s="731"/>
      <c r="F1583" s="731"/>
      <c r="G1583" s="366" t="str">
        <f ca="1">IF(N1583&gt;0,"P","")</f>
        <v/>
      </c>
      <c r="H1583" s="366" t="s">
        <v>3972</v>
      </c>
      <c r="I1583" s="4"/>
      <c r="J1583" s="402" t="s">
        <v>258</v>
      </c>
      <c r="K1583" s="402"/>
      <c r="L1583" s="470" t="s">
        <v>4342</v>
      </c>
      <c r="M1583" s="843" t="s">
        <v>4348</v>
      </c>
      <c r="N1583" s="834">
        <f ca="1">'Ch7'!O713</f>
        <v>0</v>
      </c>
      <c r="O1583" s="834">
        <f ca="1">IFERROR(ROUNDDOWN(2*W1583/S1582,0),0)*S1583</f>
        <v>0</v>
      </c>
      <c r="P1583" t="b">
        <v>0</v>
      </c>
      <c r="Q1583" t="b">
        <v>1</v>
      </c>
      <c r="R1583" t="b">
        <v>0</v>
      </c>
      <c r="S1583" t="b">
        <v>1</v>
      </c>
      <c r="T1583" t="b">
        <v>0</v>
      </c>
      <c r="W1583" s="239"/>
      <c r="X1583" s="817"/>
      <c r="Y1583" s="1120"/>
      <c r="Z1583" s="1109"/>
      <c r="AA1583" s="350" t="str">
        <f>IF(LEN('Photo Review'!I1582)&gt;0,'Photo Review'!I1582,"")</f>
        <v/>
      </c>
      <c r="AL1583" t="str">
        <f>SUBSTITUTE(SUBSTITUTE(SUBSTITUTE("vpa"&amp;$B1583&amp;$C1583&amp;$D1583&amp;$E1583,".","_"),"(","_"),")","")</f>
        <v>vpa706_5_2</v>
      </c>
      <c r="AM1583" t="str">
        <f>M1583</f>
        <v>2 per kW</v>
      </c>
      <c r="AN1583" t="str">
        <f>SUBSTITUTE(SUBSTITUTE(SUBSTITUTE("vpc"&amp;$B1583&amp;$C1583&amp;$D1583&amp;$E1583,".","_"),"(","_"),")","")</f>
        <v>vpc706_5_2</v>
      </c>
      <c r="AO1583">
        <f ca="1">O1583</f>
        <v>0</v>
      </c>
      <c r="AP1583" t="str">
        <f>SUBSTITUTE(SUBSTITUTE(SUBSTITUTE("vch"&amp;$B1583&amp;$C1583&amp;$D1583&amp;$E1583,".","_"),"(","_"),")","")</f>
        <v>vch706_5_2</v>
      </c>
      <c r="AQ1583" t="str">
        <f>IF(LEN(W1583)=0,"",W1583)</f>
        <v/>
      </c>
    </row>
    <row r="1584" spans="1:45" x14ac:dyDescent="0.35">
      <c r="A1584" s="366">
        <v>7</v>
      </c>
      <c r="B1584" s="738">
        <v>706.5</v>
      </c>
      <c r="C1584" s="731" t="s">
        <v>258</v>
      </c>
      <c r="D1584" s="731"/>
      <c r="E1584" s="731"/>
      <c r="F1584" s="731"/>
      <c r="G1584" s="366" t="str">
        <f t="shared" ca="1" si="103"/>
        <v/>
      </c>
      <c r="H1584" s="366" t="s">
        <v>3972</v>
      </c>
      <c r="I1584" s="4"/>
      <c r="J1584" s="416"/>
      <c r="K1584" s="416"/>
      <c r="L1584" s="477"/>
      <c r="M1584" s="906"/>
      <c r="N1584" s="835"/>
      <c r="O1584" s="835"/>
      <c r="W1584" t="str">
        <f ca="1">"kWh of strg. per "&amp;IF(AY889=INDEX(INDIRECT("ddSingleOrMulti"),1),"1 unit:",AY890&amp;" units:")</f>
        <v>kWh of strg. per 1 unit:</v>
      </c>
      <c r="X1584" s="817"/>
      <c r="Y1584" s="1120"/>
      <c r="Z1584" s="1109"/>
    </row>
    <row r="1585" spans="1:45" ht="15" customHeight="1" x14ac:dyDescent="0.35">
      <c r="A1585" s="366">
        <v>7</v>
      </c>
      <c r="B1585" s="738">
        <v>706.5</v>
      </c>
      <c r="C1585" s="731" t="s">
        <v>260</v>
      </c>
      <c r="D1585" s="731"/>
      <c r="E1585" s="731"/>
      <c r="F1585" s="731"/>
      <c r="G1585" s="366" t="str">
        <f ca="1">IF(N1585&gt;0,"P","")</f>
        <v/>
      </c>
      <c r="H1585" s="366" t="s">
        <v>3972</v>
      </c>
      <c r="I1585" s="4"/>
      <c r="J1585" s="402" t="s">
        <v>260</v>
      </c>
      <c r="K1585" s="402"/>
      <c r="L1585" s="825" t="s">
        <v>4343</v>
      </c>
      <c r="M1585" s="843" t="s">
        <v>4349</v>
      </c>
      <c r="N1585" s="834">
        <f ca="1">'Ch7'!O715</f>
        <v>0</v>
      </c>
      <c r="O1585" s="834">
        <f ca="1">IFERROR(ROUNDDOWN(W1585/2/S1582,0),0)*S1585</f>
        <v>0</v>
      </c>
      <c r="P1585" t="b">
        <v>0</v>
      </c>
      <c r="Q1585" t="b">
        <v>1</v>
      </c>
      <c r="R1585" t="b">
        <v>0</v>
      </c>
      <c r="S1585" t="b">
        <f>(W1583&gt;0)</f>
        <v>0</v>
      </c>
      <c r="T1585" t="b">
        <f>AND(NOT(S1585),LEN(W1585)&gt;0)</f>
        <v>0</v>
      </c>
      <c r="W1585" s="492"/>
      <c r="X1585" s="817"/>
      <c r="Y1585" s="1120"/>
      <c r="Z1585" s="1109"/>
      <c r="AC1585" t="b">
        <f>OR(AD1585:AE1585)</f>
        <v>0</v>
      </c>
      <c r="AD1585" t="b">
        <f>T1585</f>
        <v>0</v>
      </c>
      <c r="AL1585" t="str">
        <f>SUBSTITUTE(SUBSTITUTE(SUBSTITUTE("vpa"&amp;$B1585&amp;$C1585&amp;$D1585&amp;$E1585,".","_"),"(","_"),")","")</f>
        <v>vpa706_5_3</v>
      </c>
      <c r="AM1585" t="str">
        <f>M1585</f>
        <v>2 per kW,
1 per 2 kWh</v>
      </c>
      <c r="AN1585" t="str">
        <f>SUBSTITUTE(SUBSTITUTE(SUBSTITUTE("vpc"&amp;$B1585&amp;$C1585&amp;$D1585&amp;$E1585,".","_"),"(","_"),")","")</f>
        <v>vpc706_5_3</v>
      </c>
      <c r="AO1585">
        <f ca="1">O1585</f>
        <v>0</v>
      </c>
      <c r="AP1585" t="str">
        <f>SUBSTITUTE(SUBSTITUTE(SUBSTITUTE("vch"&amp;$B1585&amp;$C1585&amp;$D1585&amp;$E1585,".","_"),"(","_"),")","")</f>
        <v>vch706_5_3</v>
      </c>
      <c r="AQ1585" t="str">
        <f>IF(LEN(W1585)=0,"",W1585)</f>
        <v/>
      </c>
    </row>
    <row r="1586" spans="1:45" x14ac:dyDescent="0.35">
      <c r="A1586" s="366">
        <v>7</v>
      </c>
      <c r="B1586" s="738">
        <v>706.5</v>
      </c>
      <c r="C1586" s="731" t="s">
        <v>260</v>
      </c>
      <c r="D1586" s="731"/>
      <c r="E1586" s="731"/>
      <c r="F1586" s="731"/>
      <c r="G1586" s="366" t="str">
        <f t="shared" ca="1" si="103"/>
        <v/>
      </c>
      <c r="H1586" s="366" t="s">
        <v>3972</v>
      </c>
      <c r="I1586" s="4"/>
      <c r="J1586" s="402"/>
      <c r="K1586" s="402"/>
      <c r="L1586" s="825"/>
      <c r="M1586" s="843"/>
      <c r="N1586" s="834"/>
      <c r="O1586" s="834"/>
      <c r="X1586" s="817"/>
      <c r="Y1586" s="1120"/>
      <c r="Z1586" s="1109"/>
    </row>
    <row r="1587" spans="1:45" ht="15" customHeight="1" x14ac:dyDescent="0.35">
      <c r="A1587" s="366">
        <v>7</v>
      </c>
      <c r="B1587" s="738">
        <v>706.5</v>
      </c>
      <c r="C1587" s="735"/>
      <c r="D1587" s="731"/>
      <c r="E1587" s="731"/>
      <c r="F1587" s="731"/>
      <c r="G1587" s="366" t="str">
        <f ca="1">G1580</f>
        <v/>
      </c>
      <c r="H1587" s="366" t="s">
        <v>3972</v>
      </c>
      <c r="I1587" s="4"/>
      <c r="J1587" s="402"/>
      <c r="K1587" s="402"/>
      <c r="L1587" s="838" t="s">
        <v>4880</v>
      </c>
      <c r="M1587" s="271"/>
      <c r="N1587" s="41"/>
      <c r="O1587" s="41"/>
      <c r="X1587" s="817"/>
      <c r="Y1587" s="1120"/>
      <c r="Z1587" s="1109"/>
    </row>
    <row r="1588" spans="1:45" x14ac:dyDescent="0.35">
      <c r="A1588" s="366">
        <v>7</v>
      </c>
      <c r="B1588" s="738">
        <v>706.5</v>
      </c>
      <c r="C1588" s="735"/>
      <c r="D1588" s="731"/>
      <c r="E1588" s="731"/>
      <c r="F1588" s="731"/>
      <c r="G1588" s="366" t="str">
        <f t="shared" ca="1" si="103"/>
        <v/>
      </c>
      <c r="H1588" s="366" t="s">
        <v>3972</v>
      </c>
      <c r="I1588" s="4"/>
      <c r="J1588" s="402"/>
      <c r="K1588" s="402"/>
      <c r="L1588" s="838"/>
      <c r="M1588" s="271"/>
      <c r="N1588" s="41"/>
      <c r="O1588" s="41"/>
      <c r="X1588" s="817"/>
      <c r="Y1588" s="1120"/>
      <c r="Z1588" s="1109"/>
    </row>
    <row r="1589" spans="1:45" x14ac:dyDescent="0.35">
      <c r="A1589" s="366">
        <v>7</v>
      </c>
      <c r="B1589" s="738">
        <v>706.5</v>
      </c>
      <c r="C1589" s="735"/>
      <c r="D1589" s="731"/>
      <c r="E1589" s="731"/>
      <c r="F1589" s="731"/>
      <c r="G1589" s="366" t="str">
        <f t="shared" ca="1" si="103"/>
        <v/>
      </c>
      <c r="H1589" s="366" t="s">
        <v>3972</v>
      </c>
      <c r="I1589" s="4"/>
      <c r="J1589" s="402"/>
      <c r="K1589" s="402"/>
      <c r="L1589" s="838"/>
      <c r="M1589" s="271"/>
      <c r="N1589" s="41"/>
      <c r="O1589" s="41"/>
      <c r="X1589" s="817"/>
      <c r="Y1589" s="1120"/>
      <c r="Z1589" s="1109"/>
    </row>
    <row r="1590" spans="1:45" x14ac:dyDescent="0.35">
      <c r="A1590" s="366">
        <v>7</v>
      </c>
      <c r="B1590" s="738">
        <v>706.5</v>
      </c>
      <c r="C1590" s="735"/>
      <c r="D1590" s="731"/>
      <c r="E1590" s="731"/>
      <c r="F1590" s="731"/>
      <c r="G1590" s="366" t="str">
        <f t="shared" ca="1" si="103"/>
        <v/>
      </c>
      <c r="H1590" s="366" t="s">
        <v>3972</v>
      </c>
      <c r="I1590" s="4"/>
      <c r="J1590" s="402"/>
      <c r="K1590" s="402"/>
      <c r="L1590" s="838"/>
      <c r="M1590" s="271"/>
      <c r="N1590" s="41"/>
      <c r="O1590" s="41"/>
      <c r="X1590" s="817"/>
      <c r="Y1590" s="1120"/>
      <c r="Z1590" s="1109"/>
    </row>
    <row r="1591" spans="1:45" x14ac:dyDescent="0.35">
      <c r="A1591" s="366">
        <v>7</v>
      </c>
      <c r="B1591" s="738">
        <v>706.5</v>
      </c>
      <c r="C1591" s="735"/>
      <c r="D1591" s="731"/>
      <c r="E1591" s="731"/>
      <c r="F1591" s="731"/>
      <c r="G1591" s="366" t="str">
        <f t="shared" ca="1" si="103"/>
        <v/>
      </c>
      <c r="H1591" s="366" t="s">
        <v>3972</v>
      </c>
      <c r="I1591" s="4"/>
      <c r="J1591" s="402"/>
      <c r="K1591" s="402"/>
      <c r="L1591" s="838"/>
      <c r="M1591" s="271"/>
      <c r="N1591" s="41"/>
      <c r="O1591" s="41"/>
      <c r="X1591" s="817"/>
      <c r="Y1591" s="1120"/>
      <c r="Z1591" s="1109"/>
    </row>
    <row r="1592" spans="1:45" ht="15" customHeight="1" x14ac:dyDescent="0.35">
      <c r="A1592" s="366">
        <v>7</v>
      </c>
      <c r="B1592" s="738">
        <v>706.5</v>
      </c>
      <c r="C1592" s="735"/>
      <c r="D1592" s="731"/>
      <c r="E1592" s="731"/>
      <c r="F1592" s="731"/>
      <c r="G1592" s="366" t="str">
        <f ca="1">G1589</f>
        <v/>
      </c>
      <c r="H1592" s="366" t="s">
        <v>3972</v>
      </c>
      <c r="I1592" s="4"/>
      <c r="J1592" s="402"/>
      <c r="K1592" s="402"/>
      <c r="L1592" s="838"/>
      <c r="M1592" s="271"/>
      <c r="N1592" s="41"/>
      <c r="O1592" s="41"/>
      <c r="X1592" s="817"/>
      <c r="Y1592" s="1120"/>
      <c r="Z1592" s="1109"/>
    </row>
    <row r="1593" spans="1:45" x14ac:dyDescent="0.35">
      <c r="A1593" s="366">
        <v>7</v>
      </c>
      <c r="B1593" s="738">
        <v>706.5</v>
      </c>
      <c r="C1593" s="735"/>
      <c r="D1593" s="731"/>
      <c r="E1593" s="731"/>
      <c r="F1593" s="731"/>
      <c r="G1593" s="366" t="str">
        <f t="shared" ca="1" si="103"/>
        <v/>
      </c>
      <c r="H1593" s="366" t="s">
        <v>3972</v>
      </c>
      <c r="I1593" s="4"/>
      <c r="J1593" s="402"/>
      <c r="K1593" s="402"/>
      <c r="L1593" s="936" t="s">
        <v>4345</v>
      </c>
      <c r="M1593" s="40"/>
      <c r="N1593" s="41"/>
      <c r="O1593" s="41"/>
      <c r="X1593" s="817"/>
      <c r="Y1593" s="1120"/>
      <c r="Z1593" s="1109"/>
    </row>
    <row r="1594" spans="1:45" ht="15" thickBot="1" x14ac:dyDescent="0.4">
      <c r="A1594" s="366">
        <v>7</v>
      </c>
      <c r="B1594" s="738">
        <v>706.5</v>
      </c>
      <c r="C1594" s="735"/>
      <c r="D1594" s="731"/>
      <c r="E1594" s="731"/>
      <c r="F1594" s="731"/>
      <c r="G1594" s="366" t="str">
        <f t="shared" ca="1" si="103"/>
        <v/>
      </c>
      <c r="H1594" s="366" t="s">
        <v>3972</v>
      </c>
      <c r="I1594" s="4"/>
      <c r="J1594" s="407"/>
      <c r="K1594" s="407"/>
      <c r="L1594" s="937"/>
      <c r="M1594" s="270"/>
      <c r="N1594" s="41"/>
      <c r="O1594" s="72"/>
      <c r="W1594" s="64"/>
      <c r="X1594" s="829"/>
      <c r="Y1594" s="1121"/>
      <c r="Z1594" s="1108"/>
    </row>
    <row r="1595" spans="1:45" ht="15" thickTop="1" x14ac:dyDescent="0.35">
      <c r="A1595" s="366">
        <v>7</v>
      </c>
      <c r="B1595" s="738">
        <v>706.6</v>
      </c>
      <c r="C1595" s="735"/>
      <c r="D1595" s="731"/>
      <c r="E1595" s="731"/>
      <c r="F1595" s="731"/>
      <c r="G1595" s="366" t="str">
        <f ca="1">IF(N1595&gt;0,"P","")</f>
        <v/>
      </c>
      <c r="H1595" s="366" t="s">
        <v>3970</v>
      </c>
      <c r="I1595" s="106">
        <v>706.6</v>
      </c>
      <c r="J1595" s="316"/>
      <c r="K1595" s="316"/>
      <c r="L1595" s="837" t="s">
        <v>1095</v>
      </c>
      <c r="M1595" s="830">
        <v>2</v>
      </c>
      <c r="N1595" s="959">
        <f ca="1">'Ch7'!O725</f>
        <v>0</v>
      </c>
      <c r="O1595" s="959">
        <f ca="1">M1595*S1595*W1595</f>
        <v>0</v>
      </c>
      <c r="P1595" t="b">
        <v>1</v>
      </c>
      <c r="Q1595" t="b">
        <v>1</v>
      </c>
      <c r="R1595" s="59" t="b">
        <v>0</v>
      </c>
      <c r="S1595" s="59" t="b">
        <f ca="1">AY889=INDEX(INDIRECT("ddSingleOrMulti"),2)</f>
        <v>0</v>
      </c>
      <c r="T1595" s="59" t="b">
        <f ca="1">AND(NOT(S1595),W1595=TRUE)</f>
        <v>0</v>
      </c>
      <c r="U1595" s="59"/>
      <c r="V1595" s="59"/>
      <c r="W1595" s="69"/>
      <c r="X1595" s="840"/>
      <c r="Y1595" s="1117" t="str">
        <f>IF(LEN('Ch7'!X725)=0,"None",'Ch7'!X725)</f>
        <v>None</v>
      </c>
      <c r="Z1595" s="1103"/>
      <c r="AA1595" s="350" t="str">
        <f>IF(LEN('Photo Review'!I1594)&gt;0,'Photo Review'!I1594,"")</f>
        <v/>
      </c>
      <c r="AC1595" t="b">
        <f ca="1">OR(AD1595:AE1595)</f>
        <v>0</v>
      </c>
      <c r="AD1595" t="b">
        <f ca="1">T1595</f>
        <v>0</v>
      </c>
      <c r="AL1595" t="str">
        <f>SUBSTITUTE(SUBSTITUTE(SUBSTITUTE("vpa"&amp;$B1595&amp;$C1595&amp;$D1595&amp;$E1595,".","_"),"(","_"),")","")</f>
        <v>vpa706_6</v>
      </c>
      <c r="AM1595">
        <f>M1595</f>
        <v>2</v>
      </c>
      <c r="AN1595" t="str">
        <f>SUBSTITUTE(SUBSTITUTE(SUBSTITUTE("vpc"&amp;$B1595&amp;$C1595&amp;$D1595&amp;$E1595,".","_"),"(","_"),")","")</f>
        <v>vpc706_6</v>
      </c>
      <c r="AO1595">
        <f ca="1">O1595</f>
        <v>0</v>
      </c>
      <c r="AP1595" t="str">
        <f>SUBSTITUTE(SUBSTITUTE(SUBSTITUTE("vch"&amp;$B1595&amp;$C1595&amp;$D1595&amp;$E1595,".","_"),"(","_"),")","")</f>
        <v>vch706_6</v>
      </c>
      <c r="AQ1595" t="str">
        <f>IF(LEN(W1595)=0,"",W1595)</f>
        <v/>
      </c>
      <c r="AR1595" t="str">
        <f>SUBSTITUTE(SUBSTITUTE(SUBSTITUTE("vnt"&amp;$B1595&amp;$C1595&amp;$D1595&amp;$E1595,".","_"),"(","_"),")","")</f>
        <v>vnt706_6</v>
      </c>
      <c r="AS1595" t="str">
        <f>IF(LEN(X1595)=0,"",X1595)</f>
        <v/>
      </c>
    </row>
    <row r="1596" spans="1:45" ht="15" thickBot="1" x14ac:dyDescent="0.4">
      <c r="A1596" s="366">
        <v>7</v>
      </c>
      <c r="B1596" s="738">
        <v>706.6</v>
      </c>
      <c r="C1596" s="735"/>
      <c r="D1596" s="731"/>
      <c r="E1596" s="731"/>
      <c r="F1596" s="731"/>
      <c r="G1596" s="366" t="str">
        <f ca="1">G1595</f>
        <v/>
      </c>
      <c r="H1596" s="366" t="s">
        <v>3970</v>
      </c>
      <c r="I1596" s="160"/>
      <c r="J1596" s="229"/>
      <c r="K1596" s="229"/>
      <c r="L1596" s="849"/>
      <c r="M1596" s="827"/>
      <c r="N1596" s="863"/>
      <c r="O1596" s="863"/>
      <c r="P1596" s="55"/>
      <c r="Q1596" s="55"/>
      <c r="R1596" s="55"/>
      <c r="S1596" s="55"/>
      <c r="T1596" s="55"/>
      <c r="U1596" s="55"/>
      <c r="V1596" s="55"/>
      <c r="W1596" s="55"/>
      <c r="X1596" s="829"/>
      <c r="Y1596" s="1101"/>
      <c r="Z1596" s="1104"/>
    </row>
    <row r="1597" spans="1:45" ht="15" thickTop="1" x14ac:dyDescent="0.35">
      <c r="A1597" s="366">
        <v>7</v>
      </c>
      <c r="B1597" s="738">
        <v>706.7</v>
      </c>
      <c r="C1597" s="735"/>
      <c r="D1597" s="731"/>
      <c r="E1597" s="731"/>
      <c r="F1597" s="731"/>
      <c r="G1597" s="727" t="str">
        <f>IF(COUNTIF(G1599:G1600,"P")&gt;0,"P","")</f>
        <v/>
      </c>
      <c r="H1597" s="366" t="s">
        <v>3972</v>
      </c>
      <c r="I1597" s="30">
        <v>706.7</v>
      </c>
      <c r="J1597" s="90"/>
      <c r="K1597" s="90"/>
      <c r="L1597" s="838" t="s">
        <v>1096</v>
      </c>
      <c r="M1597" s="40"/>
      <c r="N1597" s="41"/>
      <c r="O1597" s="41"/>
    </row>
    <row r="1598" spans="1:45" x14ac:dyDescent="0.35">
      <c r="A1598" s="366">
        <v>7</v>
      </c>
      <c r="B1598" s="738">
        <v>706.7</v>
      </c>
      <c r="C1598" s="735"/>
      <c r="D1598" s="731"/>
      <c r="E1598" s="731"/>
      <c r="F1598" s="731"/>
      <c r="G1598" s="366" t="str">
        <f>G1597</f>
        <v/>
      </c>
      <c r="H1598" s="366" t="s">
        <v>3972</v>
      </c>
      <c r="I1598" s="4"/>
      <c r="J1598" s="90"/>
      <c r="K1598" s="90"/>
      <c r="L1598" s="838"/>
      <c r="M1598" s="40"/>
      <c r="N1598" s="41"/>
      <c r="O1598" s="41"/>
    </row>
    <row r="1599" spans="1:45" x14ac:dyDescent="0.35">
      <c r="A1599" s="366">
        <v>7</v>
      </c>
      <c r="B1599" s="738">
        <v>706.7</v>
      </c>
      <c r="C1599" s="731" t="s">
        <v>256</v>
      </c>
      <c r="D1599" s="731"/>
      <c r="E1599" s="731"/>
      <c r="F1599" s="731"/>
      <c r="G1599" s="366" t="str">
        <f>IF(N1599&gt;0,"P","")</f>
        <v/>
      </c>
      <c r="H1599" s="366" t="s">
        <v>3972</v>
      </c>
      <c r="I1599" s="4"/>
      <c r="J1599" s="338" t="s">
        <v>256</v>
      </c>
      <c r="K1599" s="228"/>
      <c r="L1599" s="228" t="s">
        <v>1097</v>
      </c>
      <c r="M1599" s="268">
        <v>1</v>
      </c>
      <c r="N1599" s="546">
        <f>'Ch7'!O729</f>
        <v>0</v>
      </c>
      <c r="O1599" s="546">
        <f>M1599*S1599*W1599</f>
        <v>0</v>
      </c>
      <c r="P1599" t="b">
        <v>0</v>
      </c>
      <c r="Q1599" t="b">
        <v>1</v>
      </c>
      <c r="R1599" t="b">
        <v>0</v>
      </c>
      <c r="S1599" t="b">
        <f>IFERROR(NOT(OR(W1564:W1571,W1611)),TRUE)</f>
        <v>1</v>
      </c>
      <c r="T1599" t="b">
        <f>AND(NOT(S1599),W1599=TRUE)</f>
        <v>0</v>
      </c>
      <c r="W1599" s="17"/>
      <c r="X1599" s="36"/>
      <c r="Y1599" s="396" t="str">
        <f>IF(LEN('Ch7'!X729)=0,"None",'Ch7'!X729)</f>
        <v>None</v>
      </c>
      <c r="Z1599" s="652"/>
      <c r="AC1599" t="b">
        <f>OR(AD1599:AE1599)</f>
        <v>0</v>
      </c>
      <c r="AD1599" t="b">
        <f>T1599</f>
        <v>0</v>
      </c>
      <c r="AL1599" t="str">
        <f>SUBSTITUTE(SUBSTITUTE(SUBSTITUTE("vpa"&amp;$B1599&amp;$C1599&amp;$D1599&amp;$E1599,".","_"),"(","_"),")","")</f>
        <v>vpa706_7_1</v>
      </c>
      <c r="AM1599">
        <f>M1599</f>
        <v>1</v>
      </c>
      <c r="AN1599" t="str">
        <f>SUBSTITUTE(SUBSTITUTE(SUBSTITUTE("vpc"&amp;$B1599&amp;$C1599&amp;$D1599&amp;$E1599,".","_"),"(","_"),")","")</f>
        <v>vpc706_7_1</v>
      </c>
      <c r="AO1599">
        <f>O1599</f>
        <v>0</v>
      </c>
      <c r="AP1599" t="str">
        <f>SUBSTITUTE(SUBSTITUTE(SUBSTITUTE("vch"&amp;$B1599&amp;$C1599&amp;$D1599&amp;$E1599,".","_"),"(","_"),")","")</f>
        <v>vch706_7_1</v>
      </c>
      <c r="AQ1599" t="str">
        <f>IF(LEN(W1599)=0,"",W1599)</f>
        <v/>
      </c>
      <c r="AR1599" t="str">
        <f>SUBSTITUTE(SUBSTITUTE(SUBSTITUTE("vnt"&amp;$B1599&amp;$C1599&amp;$D1599&amp;$E1599,".","_"),"(","_"),")","")</f>
        <v>vnt706_7_1</v>
      </c>
      <c r="AS1599" t="str">
        <f>IF(LEN(X1599)=0,"",X1599)</f>
        <v/>
      </c>
    </row>
    <row r="1600" spans="1:45" x14ac:dyDescent="0.35">
      <c r="A1600" s="366">
        <v>7</v>
      </c>
      <c r="B1600" s="738">
        <v>706.7</v>
      </c>
      <c r="C1600" s="731" t="s">
        <v>258</v>
      </c>
      <c r="D1600" s="731"/>
      <c r="E1600" s="731"/>
      <c r="F1600" s="731"/>
      <c r="G1600" s="366" t="str">
        <f>IF(N1600&gt;0,"P","")</f>
        <v/>
      </c>
      <c r="H1600" s="366" t="s">
        <v>3972</v>
      </c>
      <c r="I1600" s="4"/>
      <c r="J1600" s="156" t="s">
        <v>258</v>
      </c>
      <c r="K1600" s="90"/>
      <c r="L1600" s="90" t="s">
        <v>1098</v>
      </c>
      <c r="M1600" s="40">
        <v>1</v>
      </c>
      <c r="N1600" s="41">
        <f>'Ch7'!O730</f>
        <v>0</v>
      </c>
      <c r="O1600" s="41">
        <f>M1600*S1600*W1600</f>
        <v>0</v>
      </c>
      <c r="P1600" t="b">
        <v>0</v>
      </c>
      <c r="Q1600" t="b">
        <v>1</v>
      </c>
      <c r="R1600" t="b">
        <v>0</v>
      </c>
      <c r="S1600" t="b">
        <f>IFERROR(NOT(OR(W1564:W1571,W1611)),TRUE)</f>
        <v>1</v>
      </c>
      <c r="T1600" t="b">
        <f>AND(NOT(S1600),W1600=TRUE)</f>
        <v>0</v>
      </c>
      <c r="W1600" s="17"/>
      <c r="X1600" s="817"/>
      <c r="Y1600" s="1100" t="str">
        <f>IF(LEN('Ch7'!X730)=0,"None",'Ch7'!X730)</f>
        <v>None</v>
      </c>
      <c r="Z1600" s="1102"/>
      <c r="AC1600" t="b">
        <f>OR(AD1600:AE1600)</f>
        <v>0</v>
      </c>
      <c r="AD1600" t="b">
        <f>T1600</f>
        <v>0</v>
      </c>
      <c r="AL1600" t="str">
        <f>SUBSTITUTE(SUBSTITUTE(SUBSTITUTE("vpa"&amp;$B1600&amp;$C1600&amp;$D1600&amp;$E1600,".","_"),"(","_"),")","")</f>
        <v>vpa706_7_2</v>
      </c>
      <c r="AM1600">
        <f>M1600</f>
        <v>1</v>
      </c>
      <c r="AN1600" t="str">
        <f>SUBSTITUTE(SUBSTITUTE(SUBSTITUTE("vpc"&amp;$B1600&amp;$C1600&amp;$D1600&amp;$E1600,".","_"),"(","_"),")","")</f>
        <v>vpc706_7_2</v>
      </c>
      <c r="AO1600">
        <f>O1600</f>
        <v>0</v>
      </c>
      <c r="AP1600" t="str">
        <f>SUBSTITUTE(SUBSTITUTE(SUBSTITUTE("vch"&amp;$B1600&amp;$C1600&amp;$D1600&amp;$E1600,".","_"),"(","_"),")","")</f>
        <v>vch706_7_2</v>
      </c>
      <c r="AQ1600" t="str">
        <f>IF(LEN(W1600)=0,"",W1600)</f>
        <v/>
      </c>
      <c r="AR1600" t="str">
        <f>SUBSTITUTE(SUBSTITUTE(SUBSTITUTE("vnt"&amp;$B1600&amp;$C1600&amp;$D1600&amp;$E1600,".","_"),"(","_"),")","")</f>
        <v>vnt706_7_2</v>
      </c>
      <c r="AS1600" t="str">
        <f>IF(LEN(X1600)=0,"",X1600)</f>
        <v/>
      </c>
    </row>
    <row r="1601" spans="1:45" x14ac:dyDescent="0.35">
      <c r="A1601" s="366">
        <v>7</v>
      </c>
      <c r="B1601" s="738">
        <v>706.7</v>
      </c>
      <c r="C1601" s="735"/>
      <c r="D1601" s="731"/>
      <c r="E1601" s="731"/>
      <c r="F1601" s="731"/>
      <c r="G1601" s="366" t="str">
        <f t="shared" ref="G1601:G1621" si="104">G1600</f>
        <v/>
      </c>
      <c r="H1601" s="366" t="s">
        <v>3972</v>
      </c>
      <c r="I1601" s="4"/>
      <c r="J1601" s="90"/>
      <c r="K1601" s="90"/>
      <c r="L1601" s="838" t="s">
        <v>1099</v>
      </c>
      <c r="M1601" s="40"/>
      <c r="N1601" s="41"/>
      <c r="O1601" s="41"/>
      <c r="X1601" s="817"/>
      <c r="Y1601" s="1100"/>
      <c r="Z1601" s="1102"/>
    </row>
    <row r="1602" spans="1:45" ht="15" thickBot="1" x14ac:dyDescent="0.4">
      <c r="A1602" s="366">
        <v>7</v>
      </c>
      <c r="B1602" s="738">
        <v>706.7</v>
      </c>
      <c r="C1602" s="735"/>
      <c r="D1602" s="731"/>
      <c r="E1602" s="731"/>
      <c r="F1602" s="731"/>
      <c r="G1602" s="366" t="str">
        <f t="shared" si="104"/>
        <v/>
      </c>
      <c r="H1602" s="366" t="s">
        <v>3972</v>
      </c>
      <c r="I1602" s="160"/>
      <c r="J1602" s="229"/>
      <c r="K1602" s="229"/>
      <c r="L1602" s="849"/>
      <c r="M1602" s="270"/>
      <c r="N1602" s="72"/>
      <c r="O1602" s="72"/>
      <c r="P1602" s="55"/>
      <c r="Q1602" s="55"/>
      <c r="R1602" s="55"/>
      <c r="S1602" s="55"/>
      <c r="T1602" s="55"/>
      <c r="U1602" s="55"/>
      <c r="V1602" s="55"/>
      <c r="W1602" s="55"/>
      <c r="X1602" s="829"/>
      <c r="Y1602" s="1101"/>
      <c r="Z1602" s="1104"/>
    </row>
    <row r="1603" spans="1:45" ht="15.75" customHeight="1" thickTop="1" x14ac:dyDescent="0.35">
      <c r="A1603" s="366">
        <v>7</v>
      </c>
      <c r="B1603" s="738">
        <v>706.8</v>
      </c>
      <c r="C1603" s="735"/>
      <c r="D1603" s="731"/>
      <c r="E1603" s="731"/>
      <c r="F1603" s="731"/>
      <c r="G1603" s="366" t="str">
        <f>IF(N1603&gt;0,"P","")</f>
        <v/>
      </c>
      <c r="H1603" s="366" t="s">
        <v>3970</v>
      </c>
      <c r="I1603" s="106">
        <v>706.8</v>
      </c>
      <c r="J1603" s="316"/>
      <c r="K1603" s="316"/>
      <c r="L1603" s="930" t="s">
        <v>4350</v>
      </c>
      <c r="M1603" s="830">
        <v>2</v>
      </c>
      <c r="N1603" s="959">
        <f>'Ch7'!O733</f>
        <v>0</v>
      </c>
      <c r="O1603" s="959">
        <f>M1603*S1603*W1603</f>
        <v>0</v>
      </c>
      <c r="P1603" t="b">
        <v>1</v>
      </c>
      <c r="Q1603" t="b">
        <v>1</v>
      </c>
      <c r="R1603" s="59" t="b">
        <v>0</v>
      </c>
      <c r="S1603" s="59" t="b">
        <v>1</v>
      </c>
      <c r="T1603" s="59" t="b">
        <v>0</v>
      </c>
      <c r="U1603" s="59"/>
      <c r="V1603" s="59"/>
      <c r="W1603" s="17"/>
      <c r="X1603" s="840"/>
      <c r="Y1603" s="1117" t="str">
        <f>IF(LEN('Ch7'!X733)=0,"None",'Ch7'!X733)</f>
        <v>None</v>
      </c>
      <c r="Z1603" s="1103"/>
      <c r="AL1603" t="str">
        <f>SUBSTITUTE(SUBSTITUTE(SUBSTITUTE("vpa"&amp;$B1603&amp;$C1603&amp;$D1603&amp;$E1603,".","_"),"(","_"),")","")</f>
        <v>vpa706_8</v>
      </c>
      <c r="AM1603">
        <f>M1603</f>
        <v>2</v>
      </c>
      <c r="AN1603" t="str">
        <f>SUBSTITUTE(SUBSTITUTE(SUBSTITUTE("vpc"&amp;$B1603&amp;$C1603&amp;$D1603&amp;$E1603,".","_"),"(","_"),")","")</f>
        <v>vpc706_8</v>
      </c>
      <c r="AO1603">
        <f>O1603</f>
        <v>0</v>
      </c>
      <c r="AP1603" t="str">
        <f>SUBSTITUTE(SUBSTITUTE(SUBSTITUTE("vch"&amp;$B1603&amp;$C1603&amp;$D1603&amp;$E1603,".","_"),"(","_"),")","")</f>
        <v>vch706_8</v>
      </c>
      <c r="AQ1603" t="str">
        <f>IF(LEN(W1603)=0,"",W1603)</f>
        <v/>
      </c>
      <c r="AR1603" t="str">
        <f>SUBSTITUTE(SUBSTITUTE(SUBSTITUTE("vnt"&amp;$B1603&amp;$C1603&amp;$D1603&amp;$E1603,".","_"),"(","_"),")","")</f>
        <v>vnt706_8</v>
      </c>
      <c r="AS1603" t="str">
        <f>IF(LEN(X1603)=0,"",X1603)</f>
        <v/>
      </c>
    </row>
    <row r="1604" spans="1:45" x14ac:dyDescent="0.35">
      <c r="A1604" s="366">
        <v>7</v>
      </c>
      <c r="B1604" s="738">
        <v>706.8</v>
      </c>
      <c r="C1604" s="735"/>
      <c r="D1604" s="731"/>
      <c r="E1604" s="731"/>
      <c r="F1604" s="731"/>
      <c r="G1604" s="366" t="str">
        <f t="shared" si="104"/>
        <v/>
      </c>
      <c r="H1604" s="366" t="s">
        <v>3970</v>
      </c>
      <c r="I1604" s="4"/>
      <c r="J1604" s="90"/>
      <c r="K1604" s="90"/>
      <c r="L1604" s="881"/>
      <c r="M1604" s="818"/>
      <c r="N1604" s="834"/>
      <c r="O1604" s="834"/>
      <c r="X1604" s="817"/>
      <c r="Y1604" s="1100"/>
      <c r="Z1604" s="1102"/>
    </row>
    <row r="1605" spans="1:45" ht="15" thickBot="1" x14ac:dyDescent="0.4">
      <c r="A1605" s="366">
        <v>7</v>
      </c>
      <c r="B1605" s="738">
        <v>706.8</v>
      </c>
      <c r="C1605" s="735"/>
      <c r="D1605" s="731"/>
      <c r="E1605" s="731"/>
      <c r="F1605" s="731"/>
      <c r="G1605" s="366" t="str">
        <f t="shared" si="104"/>
        <v/>
      </c>
      <c r="H1605" s="366" t="s">
        <v>3970</v>
      </c>
      <c r="I1605" s="160"/>
      <c r="J1605" s="229"/>
      <c r="K1605" s="229"/>
      <c r="L1605" s="931"/>
      <c r="M1605" s="827"/>
      <c r="N1605" s="863"/>
      <c r="O1605" s="863"/>
      <c r="P1605" s="55"/>
      <c r="Q1605" s="55"/>
      <c r="R1605" s="55"/>
      <c r="S1605" s="55"/>
      <c r="T1605" s="55"/>
      <c r="U1605" s="55"/>
      <c r="V1605" s="55"/>
      <c r="W1605" s="55"/>
      <c r="X1605" s="829"/>
      <c r="Y1605" s="1101"/>
      <c r="Z1605" s="1104"/>
    </row>
    <row r="1606" spans="1:45" ht="15" thickTop="1" x14ac:dyDescent="0.35">
      <c r="A1606" s="366">
        <v>7</v>
      </c>
      <c r="B1606" s="738">
        <v>706.9</v>
      </c>
      <c r="C1606" s="735"/>
      <c r="D1606" s="731"/>
      <c r="E1606" s="731"/>
      <c r="F1606" s="731"/>
      <c r="G1606" s="366" t="str">
        <f>IF(N1606&gt;0,"P","")</f>
        <v/>
      </c>
      <c r="H1606" s="366" t="s">
        <v>3970</v>
      </c>
      <c r="I1606" s="47" t="s">
        <v>4351</v>
      </c>
      <c r="J1606" s="467"/>
      <c r="K1606" s="467"/>
      <c r="L1606" s="881" t="s">
        <v>4352</v>
      </c>
      <c r="M1606" s="830">
        <v>1</v>
      </c>
      <c r="N1606" s="959">
        <f>'Ch7'!O736</f>
        <v>0</v>
      </c>
      <c r="O1606" s="959">
        <f>M1606*S1606*W1606</f>
        <v>0</v>
      </c>
      <c r="P1606" s="59" t="b">
        <v>1</v>
      </c>
      <c r="Q1606" s="59" t="b">
        <v>1</v>
      </c>
      <c r="R1606" s="59" t="b">
        <v>0</v>
      </c>
      <c r="S1606" s="59" t="b">
        <v>1</v>
      </c>
      <c r="T1606" s="59" t="b">
        <v>0</v>
      </c>
      <c r="W1606" s="17"/>
      <c r="X1606" s="864"/>
      <c r="Y1606" s="1141" t="str">
        <f>IF(LEN('Ch7'!X736)=0,"None",'Ch7'!X736)</f>
        <v>None</v>
      </c>
      <c r="Z1606" s="1107"/>
      <c r="AL1606" t="str">
        <f>SUBSTITUTE(SUBSTITUTE(SUBSTITUTE("vpa"&amp;$B1606&amp;$C1606&amp;$D1606&amp;$E1606,".","_"),"(","_"),")","")</f>
        <v>vpa706_9</v>
      </c>
      <c r="AM1606">
        <f>M1606</f>
        <v>1</v>
      </c>
      <c r="AN1606" t="str">
        <f>SUBSTITUTE(SUBSTITUTE(SUBSTITUTE("vpc"&amp;$B1606&amp;$C1606&amp;$D1606&amp;$E1606,".","_"),"(","_"),")","")</f>
        <v>vpc706_9</v>
      </c>
      <c r="AO1606">
        <f>O1606</f>
        <v>0</v>
      </c>
      <c r="AP1606" t="str">
        <f>SUBSTITUTE(SUBSTITUTE(SUBSTITUTE("vch"&amp;$B1606&amp;$C1606&amp;$D1606&amp;$E1606,".","_"),"(","_"),")","")</f>
        <v>vch706_9</v>
      </c>
      <c r="AQ1606" t="str">
        <f>IF(LEN(W1606)=0,"",W1606)</f>
        <v/>
      </c>
      <c r="AR1606" t="str">
        <f>SUBSTITUTE(SUBSTITUTE(SUBSTITUTE("vnt"&amp;$B1606&amp;$C1606&amp;$D1606&amp;$E1606,".","_"),"(","_"),")","")</f>
        <v>vnt706_9</v>
      </c>
      <c r="AS1606" t="str">
        <f>IF(LEN(X1606)=0,"",X1606)</f>
        <v/>
      </c>
    </row>
    <row r="1607" spans="1:45" x14ac:dyDescent="0.35">
      <c r="A1607" s="366">
        <v>7</v>
      </c>
      <c r="B1607" s="738">
        <v>706.9</v>
      </c>
      <c r="C1607" s="735"/>
      <c r="D1607" s="731"/>
      <c r="E1607" s="731"/>
      <c r="F1607" s="731"/>
      <c r="G1607" s="366" t="str">
        <f>G1606</f>
        <v/>
      </c>
      <c r="H1607" s="366" t="s">
        <v>3970</v>
      </c>
      <c r="I1607" s="50"/>
      <c r="J1607" s="467"/>
      <c r="K1607" s="467"/>
      <c r="L1607" s="881"/>
      <c r="M1607" s="818"/>
      <c r="N1607" s="834"/>
      <c r="O1607" s="834"/>
      <c r="X1607" s="851"/>
      <c r="Y1607" s="1120"/>
      <c r="Z1607" s="1109"/>
    </row>
    <row r="1608" spans="1:45" x14ac:dyDescent="0.35">
      <c r="A1608" s="366">
        <v>7</v>
      </c>
      <c r="B1608" s="738">
        <v>706.9</v>
      </c>
      <c r="C1608" s="735"/>
      <c r="D1608" s="731"/>
      <c r="E1608" s="731"/>
      <c r="F1608" s="731"/>
      <c r="G1608" s="366" t="str">
        <f>G1607</f>
        <v/>
      </c>
      <c r="H1608" s="366" t="s">
        <v>3970</v>
      </c>
      <c r="I1608" s="50"/>
      <c r="J1608" s="467"/>
      <c r="K1608" s="467"/>
      <c r="L1608" s="881"/>
      <c r="M1608" s="818"/>
      <c r="N1608" s="834"/>
      <c r="O1608" s="834"/>
      <c r="X1608" s="851"/>
      <c r="Y1608" s="1120"/>
      <c r="Z1608" s="1109"/>
    </row>
    <row r="1609" spans="1:45" x14ac:dyDescent="0.35">
      <c r="A1609" s="366">
        <v>7</v>
      </c>
      <c r="B1609" s="738">
        <v>706.9</v>
      </c>
      <c r="C1609" s="735"/>
      <c r="D1609" s="731"/>
      <c r="E1609" s="731"/>
      <c r="F1609" s="731"/>
      <c r="G1609" s="366" t="str">
        <f>G1608</f>
        <v/>
      </c>
      <c r="H1609" s="366" t="s">
        <v>3970</v>
      </c>
      <c r="I1609" s="50"/>
      <c r="J1609" s="467"/>
      <c r="K1609" s="467"/>
      <c r="L1609" s="881"/>
      <c r="M1609" s="818"/>
      <c r="N1609" s="834"/>
      <c r="O1609" s="834"/>
      <c r="X1609" s="851"/>
      <c r="Y1609" s="1120"/>
      <c r="Z1609" s="1109"/>
    </row>
    <row r="1610" spans="1:45" ht="15" thickBot="1" x14ac:dyDescent="0.4">
      <c r="A1610" s="366">
        <v>7</v>
      </c>
      <c r="B1610" s="738">
        <v>706.9</v>
      </c>
      <c r="C1610" s="735"/>
      <c r="D1610" s="731"/>
      <c r="E1610" s="731"/>
      <c r="F1610" s="731"/>
      <c r="G1610" s="366" t="str">
        <f>G1609</f>
        <v/>
      </c>
      <c r="H1610" s="366" t="s">
        <v>3970</v>
      </c>
      <c r="I1610" s="57"/>
      <c r="J1610" s="473"/>
      <c r="K1610" s="473"/>
      <c r="L1610" s="931"/>
      <c r="M1610" s="827"/>
      <c r="N1610" s="863"/>
      <c r="O1610" s="863"/>
      <c r="P1610" s="55"/>
      <c r="Q1610" s="55"/>
      <c r="R1610" s="55"/>
      <c r="S1610" s="55"/>
      <c r="T1610" s="55"/>
      <c r="U1610" s="55"/>
      <c r="V1610" s="55"/>
      <c r="W1610" s="64"/>
      <c r="X1610" s="852"/>
      <c r="Y1610" s="1121"/>
      <c r="Z1610" s="1108"/>
    </row>
    <row r="1611" spans="1:45" ht="15" customHeight="1" thickTop="1" x14ac:dyDescent="0.35">
      <c r="A1611" s="366">
        <v>7</v>
      </c>
      <c r="B1611" s="738" t="s">
        <v>4353</v>
      </c>
      <c r="C1611" s="735"/>
      <c r="D1611" s="731"/>
      <c r="E1611" s="731"/>
      <c r="F1611" s="731"/>
      <c r="G1611" s="366" t="str">
        <f>IF(N1611&gt;0,"P","")</f>
        <v/>
      </c>
      <c r="H1611" s="366" t="s">
        <v>3972</v>
      </c>
      <c r="I1611" s="38" t="s">
        <v>4353</v>
      </c>
      <c r="J1611" s="90"/>
      <c r="K1611" s="90"/>
      <c r="L1611" s="838" t="s">
        <v>4354</v>
      </c>
      <c r="M1611" s="818">
        <v>1</v>
      </c>
      <c r="N1611" s="834">
        <f>'Ch7'!O741</f>
        <v>0</v>
      </c>
      <c r="O1611" s="834">
        <f>M1611*S1611*W1611</f>
        <v>0</v>
      </c>
      <c r="P1611" t="b">
        <v>0</v>
      </c>
      <c r="Q1611" t="b">
        <v>1</v>
      </c>
      <c r="R1611" t="b">
        <v>0</v>
      </c>
      <c r="S1611" t="b">
        <f>IFERROR(NOT(OR(W1564:W1571,W1599:W1600)),TRUE)</f>
        <v>1</v>
      </c>
      <c r="T1611" t="b">
        <f>AND(NOT(S1611),W1611=TRUE)</f>
        <v>0</v>
      </c>
      <c r="W1611" s="69"/>
      <c r="X1611" s="816"/>
      <c r="Y1611" s="1118" t="str">
        <f>IF(LEN('Ch7'!X741)=0,"None",'Ch7'!X741)</f>
        <v>None</v>
      </c>
      <c r="Z1611" s="1106"/>
      <c r="AC1611" t="b">
        <f>OR(AD1611:AE1611)</f>
        <v>0</v>
      </c>
      <c r="AD1611" t="b">
        <f>T1611</f>
        <v>0</v>
      </c>
      <c r="AL1611" t="str">
        <f>SUBSTITUTE(SUBSTITUTE(SUBSTITUTE("vpa"&amp;$B1611&amp;$C1611&amp;$D1611&amp;$E1611,".","_"),"(","_"),")","")</f>
        <v>vpa706_10</v>
      </c>
      <c r="AM1611">
        <f>M1611</f>
        <v>1</v>
      </c>
      <c r="AN1611" t="str">
        <f>SUBSTITUTE(SUBSTITUTE(SUBSTITUTE("vpc"&amp;$B1611&amp;$C1611&amp;$D1611&amp;$E1611,".","_"),"(","_"),")","")</f>
        <v>vpc706_10</v>
      </c>
      <c r="AO1611">
        <f>O1611</f>
        <v>0</v>
      </c>
      <c r="AP1611" t="str">
        <f>SUBSTITUTE(SUBSTITUTE(SUBSTITUTE("vch"&amp;$B1611&amp;$C1611&amp;$D1611&amp;$E1611,".","_"),"(","_"),")","")</f>
        <v>vch706_10</v>
      </c>
      <c r="AQ1611" t="str">
        <f>IF(LEN(W1611)=0,"",W1611)</f>
        <v/>
      </c>
      <c r="AR1611" t="str">
        <f>SUBSTITUTE(SUBSTITUTE(SUBSTITUTE("vnt"&amp;$B1611&amp;$C1611&amp;$D1611&amp;$E1611,".","_"),"(","_"),")","")</f>
        <v>vnt706_10</v>
      </c>
      <c r="AS1611" t="str">
        <f>IF(LEN(X1611)=0,"",X1611)</f>
        <v/>
      </c>
    </row>
    <row r="1612" spans="1:45" ht="15" customHeight="1" x14ac:dyDescent="0.35">
      <c r="A1612" s="366">
        <v>7</v>
      </c>
      <c r="B1612" s="738" t="s">
        <v>4353</v>
      </c>
      <c r="C1612" s="735"/>
      <c r="D1612" s="731"/>
      <c r="E1612" s="731"/>
      <c r="F1612" s="731"/>
      <c r="G1612" s="366" t="str">
        <f t="shared" si="104"/>
        <v/>
      </c>
      <c r="H1612" s="366" t="s">
        <v>3972</v>
      </c>
      <c r="I1612" s="4"/>
      <c r="J1612" s="90"/>
      <c r="K1612" s="90"/>
      <c r="L1612" s="838"/>
      <c r="M1612" s="818"/>
      <c r="N1612" s="834"/>
      <c r="O1612" s="834"/>
      <c r="X1612" s="817"/>
      <c r="Y1612" s="1100"/>
      <c r="Z1612" s="1102"/>
    </row>
    <row r="1613" spans="1:45" ht="15" customHeight="1" x14ac:dyDescent="0.35">
      <c r="A1613" s="366">
        <v>7</v>
      </c>
      <c r="B1613" s="738" t="s">
        <v>4353</v>
      </c>
      <c r="C1613" s="735"/>
      <c r="D1613" s="731"/>
      <c r="E1613" s="731"/>
      <c r="F1613" s="731"/>
      <c r="G1613" s="366" t="str">
        <f t="shared" si="104"/>
        <v/>
      </c>
      <c r="H1613" s="366" t="s">
        <v>3972</v>
      </c>
      <c r="I1613" s="4"/>
      <c r="J1613" s="90"/>
      <c r="K1613" s="90"/>
      <c r="L1613" s="838"/>
      <c r="M1613" s="818"/>
      <c r="N1613" s="834"/>
      <c r="O1613" s="834"/>
      <c r="X1613" s="817"/>
      <c r="Y1613" s="1100"/>
      <c r="Z1613" s="1102"/>
    </row>
    <row r="1614" spans="1:45" ht="15" customHeight="1" x14ac:dyDescent="0.35">
      <c r="A1614" s="366">
        <v>7</v>
      </c>
      <c r="B1614" s="738" t="s">
        <v>4353</v>
      </c>
      <c r="C1614" s="735"/>
      <c r="D1614" s="731"/>
      <c r="E1614" s="731"/>
      <c r="F1614" s="731"/>
      <c r="G1614" s="366" t="str">
        <f t="shared" si="104"/>
        <v/>
      </c>
      <c r="H1614" s="366" t="s">
        <v>3972</v>
      </c>
      <c r="I1614" s="4"/>
      <c r="J1614" s="90"/>
      <c r="K1614" s="90"/>
      <c r="L1614" s="838" t="s">
        <v>4355</v>
      </c>
      <c r="M1614" s="75"/>
      <c r="N1614" s="41"/>
      <c r="O1614" s="41"/>
      <c r="X1614" s="817"/>
      <c r="Y1614" s="1100"/>
      <c r="Z1614" s="1102"/>
    </row>
    <row r="1615" spans="1:45" ht="15" thickBot="1" x14ac:dyDescent="0.4">
      <c r="A1615" s="366">
        <v>7</v>
      </c>
      <c r="B1615" s="738" t="s">
        <v>4353</v>
      </c>
      <c r="C1615" s="735"/>
      <c r="D1615" s="731"/>
      <c r="E1615" s="731"/>
      <c r="F1615" s="731"/>
      <c r="G1615" s="366" t="str">
        <f t="shared" si="104"/>
        <v/>
      </c>
      <c r="H1615" s="366" t="s">
        <v>3972</v>
      </c>
      <c r="I1615" s="4"/>
      <c r="J1615" s="90"/>
      <c r="K1615" s="90"/>
      <c r="L1615" s="838"/>
      <c r="M1615" s="75"/>
      <c r="N1615" s="72"/>
      <c r="O1615" s="41"/>
      <c r="U1615" s="55"/>
      <c r="V1615" s="55"/>
      <c r="W1615" s="64"/>
      <c r="X1615" s="817"/>
      <c r="Y1615" s="1101"/>
      <c r="Z1615" s="1104"/>
    </row>
    <row r="1616" spans="1:45" ht="15" thickTop="1" x14ac:dyDescent="0.35">
      <c r="A1616" s="366">
        <v>7</v>
      </c>
      <c r="B1616" s="738">
        <v>706.11</v>
      </c>
      <c r="C1616" s="738"/>
      <c r="G1616" s="366" t="str">
        <f>IF(N1616&gt;0,"P","")</f>
        <v/>
      </c>
      <c r="H1616" s="366" t="s">
        <v>3970</v>
      </c>
      <c r="I1616" s="414" t="s">
        <v>4362</v>
      </c>
      <c r="J1616" s="414"/>
      <c r="K1616" s="414"/>
      <c r="L1616" s="930" t="s">
        <v>4370</v>
      </c>
      <c r="M1616" s="830">
        <v>2</v>
      </c>
      <c r="N1616" s="959">
        <f>'Ch7'!O746</f>
        <v>0</v>
      </c>
      <c r="O1616" s="959">
        <f>M1616*S1616*W1616</f>
        <v>0</v>
      </c>
      <c r="P1616" s="59" t="b">
        <v>1</v>
      </c>
      <c r="Q1616" s="59" t="b">
        <v>1</v>
      </c>
      <c r="R1616" s="59" t="b">
        <v>0</v>
      </c>
      <c r="S1616" s="59" t="b">
        <v>1</v>
      </c>
      <c r="T1616" s="59" t="b">
        <v>0</v>
      </c>
      <c r="W1616" s="69"/>
      <c r="X1616" s="840"/>
      <c r="Y1616" s="1120" t="str">
        <f>IF(LEN('Ch7'!X746)=0,"None",'Ch7'!X746)</f>
        <v>None</v>
      </c>
      <c r="Z1616" s="1107"/>
      <c r="AL1616" t="str">
        <f>SUBSTITUTE(SUBSTITUTE(SUBSTITUTE("vpa"&amp;$B1616&amp;$C1616&amp;$D1616&amp;$E1616,".","_"),"(","_"),")","")</f>
        <v>vpa706_11</v>
      </c>
      <c r="AM1616">
        <f>M1616</f>
        <v>2</v>
      </c>
      <c r="AN1616" t="str">
        <f>SUBSTITUTE(SUBSTITUTE(SUBSTITUTE("vpc"&amp;$B1616&amp;$C1616&amp;$D1616&amp;$E1616,".","_"),"(","_"),")","")</f>
        <v>vpc706_11</v>
      </c>
      <c r="AO1616">
        <f>O1616</f>
        <v>0</v>
      </c>
      <c r="AP1616" t="str">
        <f>SUBSTITUTE(SUBSTITUTE(SUBSTITUTE("vch"&amp;$B1616&amp;$C1616&amp;$D1616&amp;$E1616,".","_"),"(","_"),")","")</f>
        <v>vch706_11</v>
      </c>
      <c r="AQ1616" t="str">
        <f>IF(LEN(W1616)=0,"",W1616)</f>
        <v/>
      </c>
      <c r="AR1616" t="str">
        <f>SUBSTITUTE(SUBSTITUTE(SUBSTITUTE("vnt"&amp;$B1616&amp;$C1616&amp;$D1616&amp;$E1616,".","_"),"(","_"),")","")</f>
        <v>vnt706_11</v>
      </c>
      <c r="AS1616" t="str">
        <f>IF(LEN(X1616)=0,"",X1616)</f>
        <v/>
      </c>
    </row>
    <row r="1617" spans="1:45" ht="15" thickBot="1" x14ac:dyDescent="0.4">
      <c r="A1617" s="366">
        <v>7</v>
      </c>
      <c r="B1617" s="738">
        <v>706.11</v>
      </c>
      <c r="C1617" s="738"/>
      <c r="G1617" s="366" t="str">
        <f t="shared" si="104"/>
        <v/>
      </c>
      <c r="H1617" s="366" t="s">
        <v>3970</v>
      </c>
      <c r="I1617" s="407"/>
      <c r="J1617" s="407"/>
      <c r="K1617" s="407"/>
      <c r="L1617" s="931"/>
      <c r="M1617" s="827"/>
      <c r="N1617" s="863"/>
      <c r="O1617" s="863"/>
      <c r="P1617" s="55"/>
      <c r="Q1617" s="55"/>
      <c r="R1617" s="55"/>
      <c r="S1617" s="55"/>
      <c r="T1617" s="55"/>
      <c r="U1617" s="55"/>
      <c r="V1617" s="55"/>
      <c r="W1617" s="64"/>
      <c r="X1617" s="829"/>
      <c r="Y1617" s="1121"/>
      <c r="Z1617" s="1108"/>
    </row>
    <row r="1618" spans="1:45" ht="15" thickTop="1" x14ac:dyDescent="0.35">
      <c r="A1618" s="366">
        <v>7</v>
      </c>
      <c r="B1618" s="738">
        <v>706.12</v>
      </c>
      <c r="C1618" s="738"/>
      <c r="G1618" s="366" t="str">
        <f>IF(N1618&gt;0,"P","")</f>
        <v/>
      </c>
      <c r="H1618" s="366" t="s">
        <v>3970</v>
      </c>
      <c r="I1618" s="414" t="s">
        <v>4363</v>
      </c>
      <c r="J1618" s="414"/>
      <c r="K1618" s="414"/>
      <c r="L1618" s="930" t="s">
        <v>5585</v>
      </c>
      <c r="M1618" s="830">
        <v>1</v>
      </c>
      <c r="N1618" s="959">
        <f>'Ch7'!O748</f>
        <v>0</v>
      </c>
      <c r="O1618" s="959">
        <f>M1618*S1618*W1618</f>
        <v>0</v>
      </c>
      <c r="P1618" s="59" t="b">
        <v>1</v>
      </c>
      <c r="Q1618" s="59" t="b">
        <v>1</v>
      </c>
      <c r="R1618" s="59" t="b">
        <v>0</v>
      </c>
      <c r="S1618" s="59" t="b">
        <v>1</v>
      </c>
      <c r="T1618" s="59" t="b">
        <v>0</v>
      </c>
      <c r="W1618" s="69"/>
      <c r="X1618" s="840"/>
      <c r="Y1618" s="1141" t="str">
        <f>IF(LEN('Ch7'!X748)=0,"None",'Ch7'!X748)</f>
        <v>None</v>
      </c>
      <c r="Z1618" s="1107"/>
      <c r="AL1618" t="str">
        <f>SUBSTITUTE(SUBSTITUTE(SUBSTITUTE("vpa"&amp;$B1618&amp;$C1618&amp;$D1618&amp;$E1618,".","_"),"(","_"),")","")</f>
        <v>vpa706_12</v>
      </c>
      <c r="AM1618">
        <f>M1618</f>
        <v>1</v>
      </c>
      <c r="AN1618" t="str">
        <f>SUBSTITUTE(SUBSTITUTE(SUBSTITUTE("vpc"&amp;$B1618&amp;$C1618&amp;$D1618&amp;$E1618,".","_"),"(","_"),")","")</f>
        <v>vpc706_12</v>
      </c>
      <c r="AO1618">
        <f>O1618</f>
        <v>0</v>
      </c>
      <c r="AP1618" t="str">
        <f>SUBSTITUTE(SUBSTITUTE(SUBSTITUTE("vch"&amp;$B1618&amp;$C1618&amp;$D1618&amp;$E1618,".","_"),"(","_"),")","")</f>
        <v>vch706_12</v>
      </c>
      <c r="AQ1618" t="str">
        <f>IF(LEN(W1618)=0,"",W1618)</f>
        <v/>
      </c>
      <c r="AR1618" t="str">
        <f>SUBSTITUTE(SUBSTITUTE(SUBSTITUTE("vnt"&amp;$B1618&amp;$C1618&amp;$D1618&amp;$E1618,".","_"),"(","_"),")","")</f>
        <v>vnt706_12</v>
      </c>
      <c r="AS1618" t="str">
        <f>IF(LEN(X1618)=0,"",X1618)</f>
        <v/>
      </c>
    </row>
    <row r="1619" spans="1:45" x14ac:dyDescent="0.35">
      <c r="A1619" s="366">
        <v>7</v>
      </c>
      <c r="B1619" s="738">
        <v>706.12</v>
      </c>
      <c r="C1619" s="738"/>
      <c r="G1619" s="366" t="str">
        <f t="shared" si="104"/>
        <v/>
      </c>
      <c r="H1619" s="366" t="s">
        <v>3970</v>
      </c>
      <c r="I1619" s="402"/>
      <c r="J1619" s="402"/>
      <c r="K1619" s="402"/>
      <c r="L1619" s="881"/>
      <c r="M1619" s="818"/>
      <c r="N1619" s="834"/>
      <c r="O1619" s="834"/>
      <c r="X1619" s="817"/>
      <c r="Y1619" s="1120"/>
      <c r="Z1619" s="1109"/>
    </row>
    <row r="1620" spans="1:45" x14ac:dyDescent="0.35">
      <c r="A1620" s="366">
        <v>7</v>
      </c>
      <c r="B1620" s="738">
        <v>706.12</v>
      </c>
      <c r="C1620" s="738"/>
      <c r="G1620" s="366" t="str">
        <f t="shared" si="104"/>
        <v/>
      </c>
      <c r="H1620" s="366" t="s">
        <v>3970</v>
      </c>
      <c r="I1620" s="402"/>
      <c r="J1620" s="402"/>
      <c r="K1620" s="402"/>
      <c r="L1620" s="881"/>
      <c r="M1620" s="818"/>
      <c r="N1620" s="834"/>
      <c r="O1620" s="834"/>
      <c r="X1620" s="817"/>
      <c r="Y1620" s="1120"/>
      <c r="Z1620" s="1109"/>
    </row>
    <row r="1621" spans="1:45" ht="15" thickBot="1" x14ac:dyDescent="0.4">
      <c r="A1621" s="366">
        <v>7</v>
      </c>
      <c r="B1621" s="738">
        <v>706.12</v>
      </c>
      <c r="C1621" s="738"/>
      <c r="G1621" s="366" t="str">
        <f t="shared" si="104"/>
        <v/>
      </c>
      <c r="H1621" s="366" t="s">
        <v>3970</v>
      </c>
      <c r="I1621" s="407"/>
      <c r="J1621" s="407"/>
      <c r="K1621" s="407"/>
      <c r="L1621" s="931"/>
      <c r="M1621" s="827"/>
      <c r="N1621" s="863"/>
      <c r="O1621" s="863"/>
      <c r="P1621" s="55"/>
      <c r="Q1621" s="55"/>
      <c r="R1621" s="55"/>
      <c r="S1621" s="55"/>
      <c r="T1621" s="55"/>
      <c r="U1621" s="55"/>
      <c r="V1621" s="55"/>
      <c r="W1621" s="64"/>
      <c r="X1621" s="829"/>
      <c r="Y1621" s="1121"/>
      <c r="Z1621" s="1108"/>
    </row>
    <row r="1622" spans="1:45" ht="15" thickTop="1" x14ac:dyDescent="0.35">
      <c r="A1622" s="366">
        <v>7</v>
      </c>
      <c r="B1622" s="738">
        <v>706.13</v>
      </c>
      <c r="C1622" s="738"/>
      <c r="G1622" s="366" t="str">
        <f ca="1">IF(N1622&gt;0,"P","")</f>
        <v/>
      </c>
      <c r="H1622" s="366" t="s">
        <v>3972</v>
      </c>
      <c r="I1622" s="414" t="s">
        <v>4364</v>
      </c>
      <c r="J1622" s="414"/>
      <c r="K1622" s="414"/>
      <c r="L1622" s="930" t="s">
        <v>4369</v>
      </c>
      <c r="M1622" s="107"/>
      <c r="N1622" s="959">
        <f ca="1">'Ch7'!O752</f>
        <v>0</v>
      </c>
      <c r="O1622" s="959">
        <f ca="1">IFERROR(INDEX({1,2},MATCH(W1622,INDIRECT(U1622),0)),0)</f>
        <v>0</v>
      </c>
      <c r="P1622" s="59" t="b">
        <v>0</v>
      </c>
      <c r="Q1622" s="59" t="b">
        <v>1</v>
      </c>
      <c r="R1622" s="59" t="b">
        <v>0</v>
      </c>
      <c r="S1622" s="59" t="b">
        <v>1</v>
      </c>
      <c r="T1622" s="59" t="b">
        <v>0</v>
      </c>
      <c r="U1622" s="59" t="str">
        <f>SUBSTITUTE(SUBSTITUTE(SUBSTITUTE("dd"&amp;B1622&amp;C1622&amp;D1622&amp;E1622&amp;F1622,".","_"),"(","_"),")","")</f>
        <v>dd706_13</v>
      </c>
      <c r="W1622" s="9"/>
      <c r="X1622" s="840"/>
      <c r="Y1622" s="1141" t="str">
        <f>IF(LEN('Ch7'!X752)=0,"None",'Ch7'!X752)</f>
        <v>None</v>
      </c>
      <c r="Z1622" s="1107"/>
      <c r="AN1622" t="str">
        <f>SUBSTITUTE(SUBSTITUTE(SUBSTITUTE("vpc"&amp;$B1622&amp;$C1622&amp;$D1622&amp;$E1622,".","_"),"(","_"),")","")</f>
        <v>vpc706_13</v>
      </c>
      <c r="AO1622">
        <f ca="1">O1622</f>
        <v>0</v>
      </c>
      <c r="AP1622" t="str">
        <f>SUBSTITUTE(SUBSTITUTE(SUBSTITUTE("vch"&amp;$B1622&amp;$C1622&amp;$D1622&amp;$E1622,".","_"),"(","_"),")","")</f>
        <v>vch706_13</v>
      </c>
      <c r="AQ1622" t="str">
        <f>IF(LEN(W1622)=0,"",W1622)</f>
        <v/>
      </c>
      <c r="AR1622" t="str">
        <f>SUBSTITUTE(SUBSTITUTE(SUBSTITUTE("vnt"&amp;$B1622&amp;$C1622&amp;$D1622&amp;$E1622,".","_"),"(","_"),")","")</f>
        <v>vnt706_13</v>
      </c>
      <c r="AS1622" t="str">
        <f>IF(LEN(X1622)=0,"",X1622)</f>
        <v/>
      </c>
    </row>
    <row r="1623" spans="1:45" x14ac:dyDescent="0.35">
      <c r="A1623" s="366">
        <v>7</v>
      </c>
      <c r="B1623" s="738">
        <v>706.13</v>
      </c>
      <c r="C1623" s="738"/>
      <c r="G1623" s="366" t="str">
        <f ca="1">G1622</f>
        <v/>
      </c>
      <c r="H1623" s="366" t="s">
        <v>3972</v>
      </c>
      <c r="I1623" s="402"/>
      <c r="J1623" s="402"/>
      <c r="K1623" s="402"/>
      <c r="L1623" s="881"/>
      <c r="M1623" s="4"/>
      <c r="N1623" s="834"/>
      <c r="O1623" s="834"/>
      <c r="X1623" s="817"/>
      <c r="Y1623" s="1120"/>
      <c r="Z1623" s="1109"/>
    </row>
    <row r="1624" spans="1:45" x14ac:dyDescent="0.35">
      <c r="A1624" s="366">
        <v>7</v>
      </c>
      <c r="B1624" s="738">
        <v>706.13</v>
      </c>
      <c r="C1624" s="738" t="s">
        <v>256</v>
      </c>
      <c r="G1624" s="366" t="str">
        <f ca="1">G1623</f>
        <v/>
      </c>
      <c r="H1624" s="366" t="s">
        <v>3972</v>
      </c>
      <c r="I1624" s="402"/>
      <c r="J1624" s="416" t="s">
        <v>256</v>
      </c>
      <c r="K1624" s="416"/>
      <c r="L1624" s="477" t="s">
        <v>4356</v>
      </c>
      <c r="M1624" s="291">
        <v>1</v>
      </c>
      <c r="O1624" s="41"/>
      <c r="X1624" s="817"/>
      <c r="Y1624" s="1120"/>
      <c r="Z1624" s="1109"/>
      <c r="AL1624" t="str">
        <f>SUBSTITUTE(SUBSTITUTE(SUBSTITUTE("vpa"&amp;$B1624&amp;$C1624&amp;$D1624&amp;$E1624,".","_"),"(","_"),")","")</f>
        <v>vpa706_13_1</v>
      </c>
      <c r="AM1624">
        <f>M1624</f>
        <v>1</v>
      </c>
    </row>
    <row r="1625" spans="1:45" ht="15" thickBot="1" x14ac:dyDescent="0.4">
      <c r="A1625" s="366">
        <v>7</v>
      </c>
      <c r="B1625" s="738">
        <v>706.13</v>
      </c>
      <c r="C1625" s="738" t="s">
        <v>258</v>
      </c>
      <c r="G1625" s="366" t="str">
        <f ca="1">G1624</f>
        <v/>
      </c>
      <c r="H1625" s="366" t="s">
        <v>3972</v>
      </c>
      <c r="I1625" s="407"/>
      <c r="J1625" s="407" t="s">
        <v>258</v>
      </c>
      <c r="K1625" s="407"/>
      <c r="L1625" s="474" t="s">
        <v>4357</v>
      </c>
      <c r="M1625" s="398">
        <v>2</v>
      </c>
      <c r="N1625" s="55"/>
      <c r="O1625" s="55"/>
      <c r="P1625" s="55"/>
      <c r="Q1625" s="55"/>
      <c r="R1625" s="55"/>
      <c r="S1625" s="55"/>
      <c r="T1625" s="55"/>
      <c r="U1625" s="55"/>
      <c r="V1625" s="55"/>
      <c r="W1625" s="64"/>
      <c r="X1625" s="829"/>
      <c r="Y1625" s="1121"/>
      <c r="Z1625" s="1108"/>
      <c r="AL1625" t="str">
        <f>SUBSTITUTE(SUBSTITUTE(SUBSTITUTE("vpa"&amp;$B1625&amp;$C1625&amp;$D1625&amp;$E1625,".","_"),"(","_"),")","")</f>
        <v>vpa706_13_2</v>
      </c>
      <c r="AM1625">
        <f>M1625</f>
        <v>2</v>
      </c>
    </row>
    <row r="1626" spans="1:45" ht="15" thickTop="1" x14ac:dyDescent="0.35">
      <c r="A1626" s="366">
        <v>7</v>
      </c>
      <c r="B1626" s="738">
        <v>706.14</v>
      </c>
      <c r="C1626" s="738"/>
      <c r="G1626" s="727" t="str">
        <f ca="1">IF(COUNTIF(G1627:G1631,"P")&gt;0,"P","")</f>
        <v/>
      </c>
      <c r="H1626" s="366" t="s">
        <v>3970</v>
      </c>
      <c r="I1626" s="402" t="s">
        <v>4365</v>
      </c>
      <c r="J1626" s="402"/>
      <c r="K1626" s="402"/>
      <c r="L1626" s="480" t="s">
        <v>4368</v>
      </c>
      <c r="M1626" s="4"/>
      <c r="N1626" s="59"/>
    </row>
    <row r="1627" spans="1:45" x14ac:dyDescent="0.35">
      <c r="A1627" s="366">
        <v>7</v>
      </c>
      <c r="B1627" s="738">
        <v>706.14</v>
      </c>
      <c r="C1627" s="738" t="s">
        <v>256</v>
      </c>
      <c r="G1627" s="366" t="str">
        <f ca="1">IF(N1627&gt;0,"P","")</f>
        <v/>
      </c>
      <c r="H1627" s="366" t="s">
        <v>3970</v>
      </c>
      <c r="I1627" s="402"/>
      <c r="J1627" s="402" t="s">
        <v>256</v>
      </c>
      <c r="K1627" s="402"/>
      <c r="L1627" s="825" t="s">
        <v>4358</v>
      </c>
      <c r="M1627" s="818">
        <v>3</v>
      </c>
      <c r="N1627" s="834">
        <f ca="1">'Ch7'!O757</f>
        <v>0</v>
      </c>
      <c r="O1627" s="834">
        <f ca="1">M1627*S1627*W1627</f>
        <v>0</v>
      </c>
      <c r="P1627" t="b">
        <v>1</v>
      </c>
      <c r="Q1627" t="b">
        <v>1</v>
      </c>
      <c r="R1627" t="b">
        <v>0</v>
      </c>
      <c r="S1627" t="b">
        <f ca="1">IF(AY889=INDEX(INDIRECT("ddSingleOrMulti"),2),TRUE,FALSE)</f>
        <v>0</v>
      </c>
      <c r="T1627" t="b">
        <v>0</v>
      </c>
      <c r="W1627" s="17"/>
      <c r="X1627" s="817"/>
      <c r="Y1627" s="1119" t="str">
        <f>IF(LEN('Ch7'!X757)=0,"None",'Ch7'!X757)</f>
        <v>None</v>
      </c>
      <c r="Z1627" s="1105"/>
      <c r="AC1627" t="b">
        <f>OR(AD1627:AE1627)</f>
        <v>0</v>
      </c>
      <c r="AD1627" t="b">
        <f>T1627</f>
        <v>0</v>
      </c>
      <c r="AL1627" t="str">
        <f>SUBSTITUTE(SUBSTITUTE(SUBSTITUTE("vpa"&amp;$B1627&amp;$C1627&amp;$D1627&amp;$E1627,".","_"),"(","_"),")","")</f>
        <v>vpa706_14_1</v>
      </c>
      <c r="AM1627">
        <f>M1627</f>
        <v>3</v>
      </c>
      <c r="AN1627" t="str">
        <f>SUBSTITUTE(SUBSTITUTE(SUBSTITUTE("vpc"&amp;$B1627&amp;$C1627&amp;$D1627&amp;$E1627,".","_"),"(","_"),")","")</f>
        <v>vpc706_14_1</v>
      </c>
      <c r="AO1627">
        <f ca="1">O1627</f>
        <v>0</v>
      </c>
      <c r="AP1627" t="str">
        <f>SUBSTITUTE(SUBSTITUTE(SUBSTITUTE("vch"&amp;$B1627&amp;$C1627&amp;$D1627&amp;$E1627,".","_"),"(","_"),")","")</f>
        <v>vch706_14_1</v>
      </c>
      <c r="AQ1627" t="str">
        <f>IF(LEN(W1627)=0,"",W1627)</f>
        <v/>
      </c>
      <c r="AR1627" t="str">
        <f>SUBSTITUTE(SUBSTITUTE(SUBSTITUTE("vnt"&amp;$B1627&amp;$C1627&amp;$D1627&amp;$E1627,".","_"),"(","_"),")","")</f>
        <v>vnt706_14_1</v>
      </c>
      <c r="AS1627" t="str">
        <f>IF(LEN(X1627)=0,"",X1627)</f>
        <v/>
      </c>
    </row>
    <row r="1628" spans="1:45" x14ac:dyDescent="0.35">
      <c r="A1628" s="366">
        <v>7</v>
      </c>
      <c r="B1628" s="738">
        <v>706.14</v>
      </c>
      <c r="C1628" s="738" t="s">
        <v>256</v>
      </c>
      <c r="G1628" s="366" t="str">
        <f ca="1">G1627</f>
        <v/>
      </c>
      <c r="H1628" s="366" t="s">
        <v>3970</v>
      </c>
      <c r="I1628" s="402"/>
      <c r="J1628" s="402"/>
      <c r="K1628" s="402"/>
      <c r="L1628" s="825"/>
      <c r="M1628" s="818"/>
      <c r="N1628" s="834"/>
      <c r="O1628" s="834"/>
      <c r="X1628" s="817"/>
      <c r="Y1628" s="1120"/>
      <c r="Z1628" s="1109"/>
    </row>
    <row r="1629" spans="1:45" x14ac:dyDescent="0.35">
      <c r="A1629" s="366">
        <v>7</v>
      </c>
      <c r="B1629" s="738">
        <v>706.14</v>
      </c>
      <c r="C1629" s="738" t="s">
        <v>256</v>
      </c>
      <c r="G1629" s="366" t="str">
        <f ca="1">G1628</f>
        <v/>
      </c>
      <c r="H1629" s="366" t="s">
        <v>3970</v>
      </c>
      <c r="I1629" s="402"/>
      <c r="J1629" s="402"/>
      <c r="K1629" s="402"/>
      <c r="L1629" s="825"/>
      <c r="M1629" s="818"/>
      <c r="N1629" s="834"/>
      <c r="O1629" s="834"/>
      <c r="X1629" s="817"/>
      <c r="Y1629" s="1120"/>
      <c r="Z1629" s="1109"/>
    </row>
    <row r="1630" spans="1:45" x14ac:dyDescent="0.35">
      <c r="A1630" s="366">
        <v>7</v>
      </c>
      <c r="B1630" s="738">
        <v>706.14</v>
      </c>
      <c r="C1630" s="738" t="s">
        <v>256</v>
      </c>
      <c r="G1630" s="366" t="str">
        <f ca="1">G1629</f>
        <v/>
      </c>
      <c r="H1630" s="366" t="s">
        <v>3970</v>
      </c>
      <c r="I1630" s="402"/>
      <c r="J1630" s="416"/>
      <c r="K1630" s="416"/>
      <c r="L1630" s="842"/>
      <c r="M1630" s="819"/>
      <c r="N1630" s="835"/>
      <c r="O1630" s="835"/>
      <c r="X1630" s="817"/>
      <c r="Y1630" s="1117"/>
      <c r="Z1630" s="1103"/>
    </row>
    <row r="1631" spans="1:45" x14ac:dyDescent="0.35">
      <c r="A1631" s="366">
        <v>7</v>
      </c>
      <c r="B1631" s="738">
        <v>706.14</v>
      </c>
      <c r="C1631" s="738" t="s">
        <v>258</v>
      </c>
      <c r="G1631" s="366" t="str">
        <f>IF(N1631&gt;0,"P","")</f>
        <v/>
      </c>
      <c r="H1631" s="366" t="s">
        <v>3972</v>
      </c>
      <c r="I1631" s="402"/>
      <c r="J1631" s="402" t="s">
        <v>258</v>
      </c>
      <c r="K1631" s="402"/>
      <c r="L1631" s="825" t="s">
        <v>4359</v>
      </c>
      <c r="M1631" s="818">
        <v>1</v>
      </c>
      <c r="N1631" s="963">
        <f>'Ch7'!O761</f>
        <v>0</v>
      </c>
      <c r="O1631" s="834">
        <f>M1631*S1631*W1631</f>
        <v>0</v>
      </c>
      <c r="P1631" t="b">
        <v>0</v>
      </c>
      <c r="Q1631" t="b">
        <v>1</v>
      </c>
      <c r="R1631" t="b">
        <v>0</v>
      </c>
      <c r="S1631" t="b">
        <v>1</v>
      </c>
      <c r="T1631" t="b">
        <v>0</v>
      </c>
      <c r="W1631" s="17"/>
      <c r="X1631" s="817"/>
      <c r="Y1631" s="1119" t="str">
        <f>IF(LEN('Ch7'!X761)=0,"None",'Ch7'!X761)</f>
        <v>None</v>
      </c>
      <c r="Z1631" s="1105"/>
      <c r="AL1631" t="str">
        <f>SUBSTITUTE(SUBSTITUTE(SUBSTITUTE("vpa"&amp;$B1631&amp;$C1631&amp;$D1631&amp;$E1631,".","_"),"(","_"),")","")</f>
        <v>vpa706_14_2</v>
      </c>
      <c r="AM1631">
        <f>M1631</f>
        <v>1</v>
      </c>
      <c r="AN1631" t="str">
        <f>SUBSTITUTE(SUBSTITUTE(SUBSTITUTE("vpc"&amp;$B1631&amp;$C1631&amp;$D1631&amp;$E1631,".","_"),"(","_"),")","")</f>
        <v>vpc706_14_2</v>
      </c>
      <c r="AO1631">
        <f>O1631</f>
        <v>0</v>
      </c>
      <c r="AP1631" t="str">
        <f>SUBSTITUTE(SUBSTITUTE(SUBSTITUTE("vch"&amp;$B1631&amp;$C1631&amp;$D1631&amp;$E1631,".","_"),"(","_"),")","")</f>
        <v>vch706_14_2</v>
      </c>
      <c r="AQ1631" t="str">
        <f>IF(LEN(W1631)=0,"",W1631)</f>
        <v/>
      </c>
      <c r="AR1631" t="str">
        <f>SUBSTITUTE(SUBSTITUTE(SUBSTITUTE("vnt"&amp;$B1631&amp;$C1631&amp;$D1631&amp;$E1631,".","_"),"(","_"),")","")</f>
        <v>vnt706_14_2</v>
      </c>
      <c r="AS1631" t="str">
        <f>IF(LEN(X1631)=0,"",X1631)</f>
        <v/>
      </c>
    </row>
    <row r="1632" spans="1:45" ht="15" thickBot="1" x14ac:dyDescent="0.4">
      <c r="A1632" s="366">
        <v>7</v>
      </c>
      <c r="B1632" s="738">
        <v>706.14</v>
      </c>
      <c r="C1632" s="738" t="s">
        <v>258</v>
      </c>
      <c r="G1632" s="366" t="str">
        <f>G1631</f>
        <v/>
      </c>
      <c r="H1632" s="366" t="s">
        <v>3972</v>
      </c>
      <c r="I1632" s="407"/>
      <c r="J1632" s="407"/>
      <c r="K1632" s="407"/>
      <c r="L1632" s="826"/>
      <c r="M1632" s="827"/>
      <c r="N1632" s="863"/>
      <c r="O1632" s="863"/>
      <c r="P1632" s="55"/>
      <c r="Q1632" s="55"/>
      <c r="R1632" s="55"/>
      <c r="S1632" s="55"/>
      <c r="T1632" s="55"/>
      <c r="U1632" s="55"/>
      <c r="V1632" s="55"/>
      <c r="W1632" s="64"/>
      <c r="X1632" s="829"/>
      <c r="Y1632" s="1121"/>
      <c r="Z1632" s="1108"/>
    </row>
    <row r="1633" spans="1:61" ht="15" thickTop="1" x14ac:dyDescent="0.35">
      <c r="A1633" s="366">
        <v>7</v>
      </c>
      <c r="B1633" s="738">
        <v>706.15</v>
      </c>
      <c r="C1633" s="738"/>
      <c r="G1633" s="727" t="str">
        <f ca="1">IF(COUNTIF(G1636:G1637,"P")&gt;0,"P","")</f>
        <v/>
      </c>
      <c r="H1633" s="366" t="s">
        <v>3970</v>
      </c>
      <c r="I1633" s="402" t="s">
        <v>4366</v>
      </c>
      <c r="J1633" s="402"/>
      <c r="K1633" s="402"/>
      <c r="L1633" s="881" t="s">
        <v>4367</v>
      </c>
      <c r="M1633" s="4"/>
    </row>
    <row r="1634" spans="1:61" x14ac:dyDescent="0.35">
      <c r="A1634" s="366">
        <v>7</v>
      </c>
      <c r="B1634" s="738">
        <v>706.15</v>
      </c>
      <c r="C1634" s="738"/>
      <c r="G1634" s="366" t="str">
        <f ca="1">G1633</f>
        <v/>
      </c>
      <c r="H1634" s="366" t="s">
        <v>3970</v>
      </c>
      <c r="I1634" s="402"/>
      <c r="J1634" s="402"/>
      <c r="K1634" s="402"/>
      <c r="L1634" s="881"/>
      <c r="M1634" s="4"/>
    </row>
    <row r="1635" spans="1:61" x14ac:dyDescent="0.35">
      <c r="A1635" s="366">
        <v>7</v>
      </c>
      <c r="B1635" s="738">
        <v>706.15</v>
      </c>
      <c r="C1635" s="738"/>
      <c r="G1635" s="366" t="str">
        <f ca="1">G1634</f>
        <v/>
      </c>
      <c r="H1635" s="366" t="s">
        <v>3970</v>
      </c>
      <c r="I1635" s="402"/>
      <c r="J1635" s="402"/>
      <c r="K1635" s="402"/>
      <c r="L1635" s="881"/>
      <c r="M1635" s="4"/>
    </row>
    <row r="1636" spans="1:61" x14ac:dyDescent="0.35">
      <c r="A1636" s="366">
        <v>7</v>
      </c>
      <c r="B1636" s="738">
        <v>706.15</v>
      </c>
      <c r="C1636" s="738" t="s">
        <v>256</v>
      </c>
      <c r="G1636" s="366" t="str">
        <f ca="1">IF(N1636&gt;0,"P","")</f>
        <v/>
      </c>
      <c r="H1636" s="366" t="s">
        <v>3970</v>
      </c>
      <c r="I1636" s="402"/>
      <c r="J1636" s="416" t="s">
        <v>256</v>
      </c>
      <c r="K1636" s="416"/>
      <c r="L1636" s="477" t="s">
        <v>4360</v>
      </c>
      <c r="M1636" s="268">
        <v>2</v>
      </c>
      <c r="N1636" s="41">
        <f ca="1">'Ch7'!O766</f>
        <v>0</v>
      </c>
      <c r="O1636" s="546">
        <f ca="1">M1636*S1636*W1636</f>
        <v>0</v>
      </c>
      <c r="P1636" t="b">
        <v>1</v>
      </c>
      <c r="Q1636" t="b">
        <v>1</v>
      </c>
      <c r="R1636" t="b">
        <v>0</v>
      </c>
      <c r="S1636" t="b">
        <f ca="1">IF(AY889=INDEX(INDIRECT("ddSingleOrMulti"),2),TRUE,FALSE)</f>
        <v>0</v>
      </c>
      <c r="T1636" t="b">
        <v>0</v>
      </c>
      <c r="W1636" s="17"/>
      <c r="X1636" s="36"/>
      <c r="Y1636" s="396" t="str">
        <f>IF(LEN('Ch7'!X766)=0,"None",'Ch7'!X766)</f>
        <v>None</v>
      </c>
      <c r="Z1636" s="652"/>
      <c r="AC1636" t="b">
        <f>OR(AD1636:AE1636)</f>
        <v>0</v>
      </c>
      <c r="AD1636" t="b">
        <f>T1636</f>
        <v>0</v>
      </c>
      <c r="AL1636" t="str">
        <f>SUBSTITUTE(SUBSTITUTE(SUBSTITUTE("vpa"&amp;$B1636&amp;$C1636&amp;$D1636&amp;$E1636,".","_"),"(","_"),")","")</f>
        <v>vpa706_15_1</v>
      </c>
      <c r="AM1636">
        <f>M1636</f>
        <v>2</v>
      </c>
      <c r="AN1636" t="str">
        <f>SUBSTITUTE(SUBSTITUTE(SUBSTITUTE("vpc"&amp;$B1636&amp;$C1636&amp;$D1636&amp;$E1636,".","_"),"(","_"),")","")</f>
        <v>vpc706_15_1</v>
      </c>
      <c r="AO1636">
        <f ca="1">O1636</f>
        <v>0</v>
      </c>
      <c r="AP1636" t="str">
        <f>SUBSTITUTE(SUBSTITUTE(SUBSTITUTE("vch"&amp;$B1636&amp;$C1636&amp;$D1636&amp;$E1636,".","_"),"(","_"),")","")</f>
        <v>vch706_15_1</v>
      </c>
      <c r="AQ1636" t="str">
        <f>IF(LEN(W1636)=0,"",W1636)</f>
        <v/>
      </c>
      <c r="AR1636" t="str">
        <f>SUBSTITUTE(SUBSTITUTE(SUBSTITUTE("vnt"&amp;$B1636&amp;$C1636&amp;$D1636&amp;$E1636,".","_"),"(","_"),")","")</f>
        <v>vnt706_15_1</v>
      </c>
      <c r="AS1636" t="str">
        <f>IF(LEN(X1636)=0,"",X1636)</f>
        <v/>
      </c>
    </row>
    <row r="1637" spans="1:61" x14ac:dyDescent="0.35">
      <c r="A1637" s="366">
        <v>7</v>
      </c>
      <c r="B1637" s="738">
        <v>706.15</v>
      </c>
      <c r="C1637" s="738" t="s">
        <v>258</v>
      </c>
      <c r="G1637" s="366" t="str">
        <f ca="1">IF(N1637&gt;0,"P","")</f>
        <v/>
      </c>
      <c r="H1637" s="366" t="s">
        <v>3970</v>
      </c>
      <c r="I1637" s="402"/>
      <c r="J1637" s="402" t="s">
        <v>258</v>
      </c>
      <c r="K1637" s="402"/>
      <c r="L1637" s="470" t="s">
        <v>4361</v>
      </c>
      <c r="M1637" s="282">
        <v>2</v>
      </c>
      <c r="N1637" s="552">
        <f ca="1">'Ch7'!O767</f>
        <v>0</v>
      </c>
      <c r="O1637" s="552">
        <f ca="1">M1637*S1637*W1637</f>
        <v>0</v>
      </c>
      <c r="P1637" t="b">
        <v>1</v>
      </c>
      <c r="Q1637" t="b">
        <v>1</v>
      </c>
      <c r="R1637" t="b">
        <v>0</v>
      </c>
      <c r="S1637" t="b">
        <f ca="1">IF(AY889=INDEX(INDIRECT("ddSingleOrMulti"),2),TRUE,FALSE)</f>
        <v>0</v>
      </c>
      <c r="T1637" t="b">
        <v>0</v>
      </c>
      <c r="W1637" s="17"/>
      <c r="X1637" s="36"/>
      <c r="Y1637" s="396" t="str">
        <f>IF(LEN('Ch7'!X767)=0,"None",'Ch7'!X767)</f>
        <v>None</v>
      </c>
      <c r="Z1637" s="652"/>
      <c r="AC1637" t="b">
        <f>OR(AD1637:AE1637)</f>
        <v>0</v>
      </c>
      <c r="AD1637" t="b">
        <f>T1637</f>
        <v>0</v>
      </c>
      <c r="AL1637" t="str">
        <f>SUBSTITUTE(SUBSTITUTE(SUBSTITUTE("vpa"&amp;$B1637&amp;$C1637&amp;$D1637&amp;$E1637,".","_"),"(","_"),")","")</f>
        <v>vpa706_15_2</v>
      </c>
      <c r="AM1637">
        <f>M1637</f>
        <v>2</v>
      </c>
      <c r="AN1637" t="str">
        <f>SUBSTITUTE(SUBSTITUTE(SUBSTITUTE("vpc"&amp;$B1637&amp;$C1637&amp;$D1637&amp;$E1637,".","_"),"(","_"),")","")</f>
        <v>vpc706_15_2</v>
      </c>
      <c r="AO1637">
        <f ca="1">O1637</f>
        <v>0</v>
      </c>
      <c r="AP1637" t="str">
        <f>SUBSTITUTE(SUBSTITUTE(SUBSTITUTE("vch"&amp;$B1637&amp;$C1637&amp;$D1637&amp;$E1637,".","_"),"(","_"),")","")</f>
        <v>vch706_15_2</v>
      </c>
      <c r="AQ1637" t="str">
        <f>IF(LEN(W1637)=0,"",W1637)</f>
        <v/>
      </c>
      <c r="AR1637" t="str">
        <f>SUBSTITUTE(SUBSTITUTE(SUBSTITUTE("vnt"&amp;$B1637&amp;$C1637&amp;$D1637&amp;$E1637,".","_"),"(","_"),")","")</f>
        <v>vnt706_15_2</v>
      </c>
      <c r="AS1637" t="str">
        <f>IF(LEN(X1637)=0,"",X1637)</f>
        <v/>
      </c>
    </row>
    <row r="1638" spans="1:61" ht="18.5" x14ac:dyDescent="0.45">
      <c r="A1638" s="366">
        <v>8</v>
      </c>
      <c r="B1638" s="745">
        <v>801</v>
      </c>
      <c r="G1638" s="366" t="s">
        <v>3973</v>
      </c>
      <c r="H1638" s="366" t="s">
        <v>3970</v>
      </c>
      <c r="I1638" s="14" t="s">
        <v>771</v>
      </c>
      <c r="J1638" s="14"/>
      <c r="K1638" s="14"/>
      <c r="L1638" s="584"/>
      <c r="M1638" s="554"/>
      <c r="N1638" s="549"/>
      <c r="O1638" s="549"/>
      <c r="P1638" t="s">
        <v>247</v>
      </c>
      <c r="Q1638" t="s">
        <v>247</v>
      </c>
      <c r="R1638" t="s">
        <v>247</v>
      </c>
      <c r="S1638" t="s">
        <v>247</v>
      </c>
      <c r="T1638" t="s">
        <v>247</v>
      </c>
      <c r="U1638" t="s">
        <v>247</v>
      </c>
      <c r="V1638" t="s">
        <v>247</v>
      </c>
      <c r="W1638" s="15"/>
      <c r="X1638" s="15"/>
      <c r="Y1638" s="15"/>
      <c r="Z1638" s="651"/>
      <c r="AB1638" s="2" t="s">
        <v>247</v>
      </c>
      <c r="AC1638" s="2" t="s">
        <v>247</v>
      </c>
      <c r="AD1638" s="2" t="s">
        <v>247</v>
      </c>
      <c r="AE1638" s="2" t="s">
        <v>247</v>
      </c>
      <c r="AF1638" s="2" t="s">
        <v>247</v>
      </c>
      <c r="AG1638" s="2" t="s">
        <v>247</v>
      </c>
      <c r="AH1638" s="2" t="s">
        <v>247</v>
      </c>
      <c r="AI1638" s="2" t="s">
        <v>247</v>
      </c>
      <c r="AJ1638" s="2" t="s">
        <v>247</v>
      </c>
      <c r="AK1638" s="2" t="s">
        <v>247</v>
      </c>
      <c r="AL1638" s="2"/>
      <c r="AM1638" s="2"/>
      <c r="AN1638" s="2"/>
      <c r="AO1638" s="2"/>
      <c r="AP1638" s="2"/>
      <c r="AQ1638" s="2"/>
      <c r="AR1638" s="2"/>
      <c r="AS1638" s="2"/>
      <c r="AT1638" s="2" t="s">
        <v>247</v>
      </c>
      <c r="AU1638" s="2" t="s">
        <v>247</v>
      </c>
      <c r="AV1638" s="2" t="s">
        <v>247</v>
      </c>
      <c r="AW1638" s="2" t="s">
        <v>247</v>
      </c>
      <c r="AX1638" s="2" t="s">
        <v>247</v>
      </c>
      <c r="AY1638" s="2" t="s">
        <v>247</v>
      </c>
      <c r="AZ1638" s="2" t="s">
        <v>247</v>
      </c>
      <c r="BA1638" s="2" t="s">
        <v>247</v>
      </c>
      <c r="BB1638" s="2" t="s">
        <v>247</v>
      </c>
      <c r="BC1638" s="2" t="s">
        <v>247</v>
      </c>
      <c r="BD1638" s="2" t="s">
        <v>247</v>
      </c>
      <c r="BE1638" s="2" t="s">
        <v>247</v>
      </c>
      <c r="BF1638" s="2" t="s">
        <v>247</v>
      </c>
      <c r="BG1638" s="2" t="s">
        <v>247</v>
      </c>
      <c r="BH1638" s="2" t="s">
        <v>247</v>
      </c>
      <c r="BI1638" s="2" t="s">
        <v>247</v>
      </c>
    </row>
    <row r="1639" spans="1:61" x14ac:dyDescent="0.35">
      <c r="A1639" s="366">
        <v>8</v>
      </c>
      <c r="B1639" s="745" t="s">
        <v>772</v>
      </c>
      <c r="C1639" s="731"/>
      <c r="D1639" s="731"/>
      <c r="E1639" s="731"/>
      <c r="F1639" s="731"/>
      <c r="I1639" s="38" t="s">
        <v>772</v>
      </c>
      <c r="J1639" s="93"/>
      <c r="K1639" s="4"/>
      <c r="L1639" s="838" t="s">
        <v>4372</v>
      </c>
      <c r="M1639" s="40"/>
      <c r="O1639" s="41"/>
    </row>
    <row r="1640" spans="1:61" x14ac:dyDescent="0.35">
      <c r="A1640" s="366">
        <v>8</v>
      </c>
      <c r="B1640" s="745" t="s">
        <v>772</v>
      </c>
      <c r="C1640" s="731"/>
      <c r="D1640" s="731"/>
      <c r="E1640" s="731"/>
      <c r="F1640" s="731"/>
      <c r="I1640" s="38"/>
      <c r="J1640" s="93"/>
      <c r="K1640" s="4"/>
      <c r="L1640" s="838"/>
      <c r="M1640" s="40"/>
      <c r="O1640" s="41"/>
      <c r="AX1640" s="6" t="str">
        <f>'Overview (Verification)'!A10</f>
        <v>Builder Name:</v>
      </c>
      <c r="AY1640">
        <f>IF(LEN('Overview (Verification)'!P10)=0,0,'Overview (Verification)'!P10)</f>
        <v>0</v>
      </c>
    </row>
    <row r="1641" spans="1:61" x14ac:dyDescent="0.35">
      <c r="A1641" s="366">
        <v>8</v>
      </c>
      <c r="B1641" s="745" t="s">
        <v>772</v>
      </c>
      <c r="C1641" s="731"/>
      <c r="D1641" s="731"/>
      <c r="E1641" s="731"/>
      <c r="F1641" s="731"/>
      <c r="I1641" s="497"/>
      <c r="J1641" s="320"/>
      <c r="K1641" s="133"/>
      <c r="L1641" s="889"/>
      <c r="M1641" s="40"/>
      <c r="O1641" s="41"/>
      <c r="AX1641" s="6" t="str">
        <f>'Overview (Verification)'!A11</f>
        <v>Physical Address of Home:</v>
      </c>
      <c r="AY1641">
        <f>IF(LEN('Overview (Verification)'!P11)=0,0,'Overview (Verification)'!P11)</f>
        <v>0</v>
      </c>
    </row>
    <row r="1642" spans="1:61" x14ac:dyDescent="0.35">
      <c r="A1642" s="366">
        <v>8</v>
      </c>
      <c r="B1642" s="745">
        <v>801.1</v>
      </c>
      <c r="C1642" s="731"/>
      <c r="D1642" s="731"/>
      <c r="E1642" s="731"/>
      <c r="F1642" s="731"/>
      <c r="G1642" s="366" t="s">
        <v>3973</v>
      </c>
      <c r="H1642" s="366" t="s">
        <v>3970</v>
      </c>
      <c r="I1642" s="30">
        <v>801.1</v>
      </c>
      <c r="J1642" s="93"/>
      <c r="K1642" s="4"/>
      <c r="L1642" s="953" t="s">
        <v>4819</v>
      </c>
      <c r="M1642" s="40"/>
      <c r="O1642" s="41"/>
      <c r="P1642" t="b">
        <v>1</v>
      </c>
      <c r="Q1642" t="b">
        <v>0</v>
      </c>
      <c r="R1642" t="b">
        <v>1</v>
      </c>
      <c r="S1642" t="b">
        <v>1</v>
      </c>
      <c r="T1642" t="b">
        <v>0</v>
      </c>
      <c r="U1642" t="str">
        <f>SUBSTITUTE(SUBSTITUTE(SUBSTITUTE("dd"&amp;B1642&amp;C1642&amp;D1642&amp;E1642&amp;F1642,".","_"),"(","_"),")","")</f>
        <v>dd801_1</v>
      </c>
      <c r="W1642" s="9"/>
      <c r="X1642" s="817"/>
      <c r="Y1642" s="1119" t="str">
        <f>IF(LEN('Ch8'!X13)=0,"None",'Ch8'!X13)</f>
        <v>None</v>
      </c>
      <c r="Z1642" s="1105"/>
      <c r="AP1642" t="str">
        <f>SUBSTITUTE(SUBSTITUTE(SUBSTITUTE("vch"&amp;$B1642&amp;$C1642&amp;$D1642&amp;$E1642,".","_"),"(","_"),")","")</f>
        <v>vch801_1</v>
      </c>
      <c r="AQ1642" t="str">
        <f>IF(LEN(W1642)=0,"",W1642)</f>
        <v/>
      </c>
      <c r="AR1642" t="str">
        <f>SUBSTITUTE(SUBSTITUTE(SUBSTITUTE("vnt"&amp;$B1642&amp;$C1642&amp;$D1642&amp;$E1642,".","_"),"(","_"),")","")</f>
        <v>vnt801_1</v>
      </c>
      <c r="AS1642" t="str">
        <f>IF(LEN(X1642)=0,"",X1642)</f>
        <v/>
      </c>
      <c r="AX1642" s="6" t="str">
        <f>'Overview (Verification)'!A12</f>
        <v>Community/Lot #:</v>
      </c>
      <c r="AY1642">
        <f>IF(LEN('Overview (Verification)'!P12)=0,0,'Overview (Verification)'!P12)</f>
        <v>0</v>
      </c>
    </row>
    <row r="1643" spans="1:61" x14ac:dyDescent="0.35">
      <c r="A1643" s="366">
        <v>8</v>
      </c>
      <c r="B1643" s="745">
        <v>801.1</v>
      </c>
      <c r="C1643" s="731"/>
      <c r="D1643" s="731"/>
      <c r="E1643" s="731"/>
      <c r="F1643" s="731"/>
      <c r="G1643" s="366" t="s">
        <v>3973</v>
      </c>
      <c r="H1643" s="366" t="s">
        <v>3970</v>
      </c>
      <c r="I1643" s="38"/>
      <c r="J1643" s="93"/>
      <c r="K1643" s="4"/>
      <c r="L1643" s="953"/>
      <c r="M1643" s="40"/>
      <c r="O1643" s="41"/>
      <c r="R1643" t="s">
        <v>3380</v>
      </c>
      <c r="S1643">
        <f ca="1">IFERROR(MATCH(W1642,INDIRECT(U1642),0),0)</f>
        <v>0</v>
      </c>
      <c r="X1643" s="817"/>
      <c r="Y1643" s="1120"/>
      <c r="Z1643" s="1109"/>
      <c r="AX1643" s="6" t="str">
        <f>'Overview (Verification)'!A13</f>
        <v>City:</v>
      </c>
      <c r="AY1643">
        <f>IF(LEN('Overview (Verification)'!P13)=0,0,'Overview (Verification)'!P13)</f>
        <v>0</v>
      </c>
    </row>
    <row r="1644" spans="1:61" x14ac:dyDescent="0.35">
      <c r="A1644" s="366">
        <v>8</v>
      </c>
      <c r="B1644" s="745">
        <v>801.1</v>
      </c>
      <c r="C1644" s="731"/>
      <c r="D1644" s="731"/>
      <c r="E1644" s="731"/>
      <c r="F1644" s="731"/>
      <c r="G1644" s="366" t="s">
        <v>3973</v>
      </c>
      <c r="H1644" s="366" t="s">
        <v>3970</v>
      </c>
      <c r="I1644" s="38"/>
      <c r="J1644" s="93"/>
      <c r="K1644" s="4"/>
      <c r="L1644" s="953"/>
      <c r="M1644" s="40"/>
      <c r="O1644" s="41"/>
      <c r="X1644" s="817"/>
      <c r="Y1644" s="1120"/>
      <c r="Z1644" s="1109"/>
      <c r="AX1644" s="6" t="str">
        <f>'Overview (Verification)'!A14</f>
        <v>State:</v>
      </c>
      <c r="AY1644">
        <f>IF(LEN('Overview (Verification)'!P14)=0,0,'Overview (Verification)'!P14)</f>
        <v>0</v>
      </c>
      <c r="BC1644" t="str">
        <f>'Overview (Verification)'!T14</f>
        <v>State</v>
      </c>
      <c r="BD1644" t="str">
        <f>'Overview (Verification)'!U14</f>
        <v>County</v>
      </c>
      <c r="BE1644" t="str">
        <f>'Overview (Verification)'!V14</f>
        <v>Radon</v>
      </c>
      <c r="BF1644" t="str">
        <f>'Overview (Verification)'!W14</f>
        <v>Climate</v>
      </c>
      <c r="BG1644" t="str">
        <f>'Overview (Verification)'!X14</f>
        <v>Moist</v>
      </c>
      <c r="BH1644" t="str">
        <f>'Overview (Verification)'!Y14</f>
        <v>WarmHumid</v>
      </c>
    </row>
    <row r="1645" spans="1:61" x14ac:dyDescent="0.35">
      <c r="A1645" s="366">
        <v>8</v>
      </c>
      <c r="B1645" s="745">
        <v>801.1</v>
      </c>
      <c r="C1645" s="731"/>
      <c r="D1645" s="731"/>
      <c r="E1645" s="731"/>
      <c r="F1645" s="731"/>
      <c r="G1645" s="366" t="s">
        <v>3973</v>
      </c>
      <c r="H1645" s="366" t="s">
        <v>3970</v>
      </c>
      <c r="I1645" s="38"/>
      <c r="J1645" s="93"/>
      <c r="K1645" s="4"/>
      <c r="L1645" s="953"/>
      <c r="M1645" s="40"/>
      <c r="O1645" s="41"/>
      <c r="X1645" s="817"/>
      <c r="Y1645" s="1120"/>
      <c r="Z1645" s="1109"/>
      <c r="AX1645" s="6" t="str">
        <f>'Overview (Verification)'!A15</f>
        <v>County:</v>
      </c>
      <c r="AY1645">
        <f>IF(LEN('Overview (Verification)'!P15)=0,0,'Overview (Verification)'!P15)</f>
        <v>0</v>
      </c>
      <c r="BC1645" t="str">
        <f>'Overview (Verification)'!T15</f>
        <v/>
      </c>
      <c r="BD1645" t="str">
        <f>'Overview (Verification)'!U15</f>
        <v/>
      </c>
      <c r="BE1645" t="str">
        <f>'Overview (Verification)'!V15</f>
        <v>!!</v>
      </c>
      <c r="BF1645" t="str">
        <f>'Overview (Verification)'!W15</f>
        <v>!!</v>
      </c>
      <c r="BG1645" t="str">
        <f>'Overview (Verification)'!X15</f>
        <v>!!</v>
      </c>
      <c r="BH1645" t="str">
        <f>'Overview (Verification)'!Y15</f>
        <v>!!</v>
      </c>
    </row>
    <row r="1646" spans="1:61" x14ac:dyDescent="0.35">
      <c r="A1646" s="366">
        <v>8</v>
      </c>
      <c r="B1646" s="745">
        <v>801.1</v>
      </c>
      <c r="C1646" s="731"/>
      <c r="D1646" s="731"/>
      <c r="E1646" s="731"/>
      <c r="F1646" s="731"/>
      <c r="G1646" s="366" t="s">
        <v>3973</v>
      </c>
      <c r="H1646" s="366" t="s">
        <v>3970</v>
      </c>
      <c r="I1646" s="38"/>
      <c r="J1646" s="93"/>
      <c r="K1646" s="4"/>
      <c r="L1646" s="953"/>
      <c r="M1646" s="40"/>
      <c r="O1646" s="41"/>
      <c r="X1646" s="817"/>
      <c r="Y1646" s="1120"/>
      <c r="Z1646" s="1109"/>
      <c r="AX1646" s="6" t="str">
        <f>'Overview (Verification)'!A16</f>
        <v>Zip:</v>
      </c>
      <c r="AY1646">
        <f>IF(LEN('Overview (Verification)'!P16)=0,0,'Overview (Verification)'!P16)</f>
        <v>0</v>
      </c>
    </row>
    <row r="1647" spans="1:61" ht="15" thickBot="1" x14ac:dyDescent="0.4">
      <c r="A1647" s="366">
        <v>8</v>
      </c>
      <c r="B1647" s="745">
        <v>801.1</v>
      </c>
      <c r="C1647" s="731"/>
      <c r="D1647" s="731"/>
      <c r="E1647" s="731"/>
      <c r="F1647" s="731"/>
      <c r="G1647" s="366" t="s">
        <v>3973</v>
      </c>
      <c r="H1647" s="366" t="s">
        <v>3970</v>
      </c>
      <c r="I1647" s="230"/>
      <c r="J1647" s="294"/>
      <c r="K1647" s="160"/>
      <c r="L1647" s="954"/>
      <c r="M1647" s="270"/>
      <c r="N1647" s="55"/>
      <c r="O1647" s="72"/>
      <c r="P1647" s="55"/>
      <c r="Q1647" s="55"/>
      <c r="R1647" s="55"/>
      <c r="S1647" s="55"/>
      <c r="T1647" s="55"/>
      <c r="U1647" s="55"/>
      <c r="V1647" s="55"/>
      <c r="W1647" s="55"/>
      <c r="X1647" s="817"/>
      <c r="Y1647" s="1120"/>
      <c r="Z1647" s="1109"/>
      <c r="AX1647" s="6"/>
    </row>
    <row r="1648" spans="1:61" ht="19" thickTop="1" x14ac:dyDescent="0.45">
      <c r="A1648" s="366">
        <v>8</v>
      </c>
      <c r="B1648" s="738" t="s">
        <v>4395</v>
      </c>
      <c r="C1648" s="731"/>
      <c r="D1648" s="731"/>
      <c r="E1648" s="731"/>
      <c r="F1648" s="731"/>
      <c r="G1648" s="366" t="s">
        <v>3973</v>
      </c>
      <c r="H1648" s="366" t="s">
        <v>3970</v>
      </c>
      <c r="I1648" s="10" t="s">
        <v>4396</v>
      </c>
      <c r="J1648" s="10"/>
      <c r="K1648" s="15"/>
      <c r="L1648" s="151"/>
      <c r="M1648" s="307"/>
      <c r="N1648" s="551"/>
      <c r="O1648" s="544"/>
      <c r="P1648" s="15"/>
      <c r="Q1648" s="15"/>
      <c r="R1648" s="15"/>
      <c r="S1648" s="15"/>
      <c r="T1648" s="15"/>
      <c r="U1648" s="15"/>
      <c r="V1648" s="15"/>
      <c r="W1648" s="15"/>
      <c r="X1648" s="15"/>
      <c r="Y1648" s="15"/>
      <c r="Z1648" s="651"/>
      <c r="AX1648" s="6" t="str">
        <f>'Overview (Verification)'!A18</f>
        <v>Single-Family or Multifamily:</v>
      </c>
      <c r="AY1648" t="str">
        <f>IF(LEN('Overview (Verification)'!P18)=0,0,'Overview (Verification)'!P18)</f>
        <v>Single-Family</v>
      </c>
    </row>
    <row r="1649" spans="1:51" ht="15" customHeight="1" x14ac:dyDescent="0.35">
      <c r="A1649" s="366">
        <v>8</v>
      </c>
      <c r="B1649" s="738">
        <v>802.1</v>
      </c>
      <c r="C1649" s="731"/>
      <c r="D1649" s="731"/>
      <c r="E1649" s="731"/>
      <c r="F1649" s="731"/>
      <c r="G1649" s="366" t="str">
        <f ca="1">IF(N1649&gt;0,"P","")</f>
        <v/>
      </c>
      <c r="H1649" s="366" t="s">
        <v>3970</v>
      </c>
      <c r="I1649" s="30">
        <v>802.1</v>
      </c>
      <c r="J1649" s="4"/>
      <c r="K1649" s="4"/>
      <c r="L1649" s="838" t="s">
        <v>4394</v>
      </c>
      <c r="M1649" s="40"/>
      <c r="N1649" s="834">
        <f ca="1">'Ch8'!O20</f>
        <v>0</v>
      </c>
      <c r="O1649" s="832">
        <f ca="1">IFERROR(INDEX({8,12,20,24,28,9},MATCH(W1650,INDIRECT(U1650),0)),0)*S1650*NOT(T1650)</f>
        <v>0</v>
      </c>
      <c r="AN1649" t="str">
        <f>SUBSTITUTE(SUBSTITUTE(SUBSTITUTE("vpc"&amp;$B1649&amp;$C1649&amp;$D1649&amp;$E1649,".","_"),"(","_"),")","")</f>
        <v>vpc802_1</v>
      </c>
      <c r="AO1649">
        <f ca="1">O1649</f>
        <v>0</v>
      </c>
      <c r="AX1649" s="6" t="str">
        <f>'Overview (Verification)'!A19</f>
        <v>Number of Units:</v>
      </c>
      <c r="AY1649">
        <f>IF(LEN('Overview (Verification)'!P19)=0,0,'Overview (Verification)'!P19)</f>
        <v>0</v>
      </c>
    </row>
    <row r="1650" spans="1:51" x14ac:dyDescent="0.35">
      <c r="A1650" s="366">
        <v>8</v>
      </c>
      <c r="B1650" s="738">
        <v>802.1</v>
      </c>
      <c r="C1650" s="731"/>
      <c r="D1650" s="731"/>
      <c r="E1650" s="731"/>
      <c r="F1650" s="731"/>
      <c r="G1650" s="366" t="str">
        <f t="shared" ref="G1650:G1678" ca="1" si="105">G1649</f>
        <v/>
      </c>
      <c r="H1650" s="366" t="s">
        <v>3970</v>
      </c>
      <c r="I1650" s="30"/>
      <c r="J1650" s="4"/>
      <c r="K1650" s="4"/>
      <c r="L1650" s="838"/>
      <c r="M1650" s="40"/>
      <c r="N1650" s="834"/>
      <c r="O1650" s="832"/>
      <c r="P1650" t="b">
        <v>1</v>
      </c>
      <c r="Q1650" t="b">
        <v>1</v>
      </c>
      <c r="R1650" t="b">
        <v>0</v>
      </c>
      <c r="S1650" t="b">
        <f ca="1">AND(S1652,S1653=TRUE,S1643=2)</f>
        <v>0</v>
      </c>
      <c r="T1650" t="b">
        <f ca="1">OR(IF(AND(NOT(S1650),LEN(W1650)&gt;0),TRUE,FALSE),AND(W1650=INDEX(INDIRECT(U1650),6),NOT(AY1648=INDEX(ddSingleOrMulti,2))))</f>
        <v>0</v>
      </c>
      <c r="U1650" t="str">
        <f>SUBSTITUTE(SUBSTITUTE(SUBSTITUTE("dd"&amp;B1650&amp;C1650&amp;D1650&amp;E1650&amp;F1650,".","_"),"(","_"),")","")</f>
        <v>dd802_1</v>
      </c>
      <c r="W1650" s="9"/>
      <c r="AC1650" t="b">
        <f ca="1">OR(AD1650:AE1650)</f>
        <v>0</v>
      </c>
      <c r="AD1650" t="b">
        <f ca="1">T1650</f>
        <v>0</v>
      </c>
      <c r="AP1650" t="str">
        <f>SUBSTITUTE(SUBSTITUTE(SUBSTITUTE("vch"&amp;$B1650&amp;$C1650&amp;$D1650&amp;$E1650,".","_"),"(","_"),")","")</f>
        <v>vch802_1</v>
      </c>
      <c r="AQ1650" t="str">
        <f>IF(LEN(W1650)=0,"",W1650)</f>
        <v/>
      </c>
      <c r="AX1650" s="6" t="str">
        <f>'Overview (Verification)'!A20</f>
        <v>Building includes commercial space pursuing Commercial Space certification?</v>
      </c>
      <c r="AY1650">
        <f>IF(LEN('Overview (Verification)'!P20)=0,0,'Overview (Verification)'!P20)</f>
        <v>0</v>
      </c>
    </row>
    <row r="1651" spans="1:51" x14ac:dyDescent="0.35">
      <c r="A1651" s="366">
        <v>8</v>
      </c>
      <c r="B1651" s="738">
        <v>802.1</v>
      </c>
      <c r="C1651" s="731"/>
      <c r="D1651" s="731"/>
      <c r="E1651" s="731"/>
      <c r="F1651" s="731"/>
      <c r="G1651" s="366" t="str">
        <f t="shared" ca="1" si="105"/>
        <v/>
      </c>
      <c r="H1651" s="366" t="s">
        <v>3970</v>
      </c>
      <c r="I1651" s="30"/>
      <c r="J1651" s="4"/>
      <c r="K1651" s="4"/>
      <c r="L1651" s="838"/>
      <c r="M1651" s="40"/>
      <c r="N1651" s="834"/>
      <c r="O1651" s="832"/>
    </row>
    <row r="1652" spans="1:51" x14ac:dyDescent="0.35">
      <c r="A1652" s="366">
        <v>8</v>
      </c>
      <c r="B1652" s="738">
        <v>802.1</v>
      </c>
      <c r="C1652" s="731"/>
      <c r="D1652" s="731"/>
      <c r="E1652" s="731"/>
      <c r="F1652" s="731"/>
      <c r="G1652" s="366" t="str">
        <f t="shared" ca="1" si="105"/>
        <v/>
      </c>
      <c r="H1652" s="366" t="s">
        <v>3970</v>
      </c>
      <c r="I1652" s="30"/>
      <c r="J1652" s="4"/>
      <c r="K1652" s="4"/>
      <c r="L1652" s="838"/>
      <c r="M1652" s="40"/>
      <c r="N1652" s="834"/>
      <c r="O1652" s="832"/>
      <c r="S1652" s="1" t="b">
        <f>S1513</f>
        <v>1</v>
      </c>
    </row>
    <row r="1653" spans="1:51" x14ac:dyDescent="0.35">
      <c r="A1653" s="366">
        <v>8</v>
      </c>
      <c r="B1653" s="738">
        <v>802.1</v>
      </c>
      <c r="C1653" s="731"/>
      <c r="D1653" s="731"/>
      <c r="E1653" s="731"/>
      <c r="F1653" s="731"/>
      <c r="G1653" s="366" t="str">
        <f t="shared" ca="1" si="105"/>
        <v/>
      </c>
      <c r="H1653" s="366" t="s">
        <v>3970</v>
      </c>
      <c r="I1653" s="30"/>
      <c r="J1653" s="4"/>
      <c r="K1653" s="4"/>
      <c r="L1653" s="838"/>
      <c r="M1653" s="40"/>
      <c r="N1653" s="834"/>
      <c r="O1653" s="832"/>
      <c r="S1653" s="1">
        <f>W1513</f>
        <v>0</v>
      </c>
      <c r="AX1653" s="6" t="str">
        <f>'Overview (Verification)'!A23</f>
        <v>Project Name:</v>
      </c>
      <c r="AY1653">
        <f>IF(LEN('Overview (Verification)'!P23)=0,0,'Overview (Verification)'!P23)</f>
        <v>0</v>
      </c>
    </row>
    <row r="1654" spans="1:51" x14ac:dyDescent="0.35">
      <c r="A1654" s="366">
        <v>8</v>
      </c>
      <c r="B1654" s="738">
        <v>802.1</v>
      </c>
      <c r="C1654" s="731"/>
      <c r="D1654" s="731"/>
      <c r="E1654" s="731"/>
      <c r="F1654" s="731"/>
      <c r="G1654" s="366" t="str">
        <f t="shared" ca="1" si="105"/>
        <v/>
      </c>
      <c r="H1654" s="366" t="s">
        <v>3970</v>
      </c>
      <c r="I1654" s="30"/>
      <c r="J1654" s="4"/>
      <c r="K1654" s="4"/>
      <c r="L1654" s="955" t="s">
        <v>773</v>
      </c>
      <c r="M1654" s="40"/>
      <c r="N1654" s="41"/>
      <c r="O1654" s="75"/>
      <c r="AX1654" s="6"/>
    </row>
    <row r="1655" spans="1:51" x14ac:dyDescent="0.35">
      <c r="A1655" s="366">
        <v>8</v>
      </c>
      <c r="B1655" s="738">
        <v>802.1</v>
      </c>
      <c r="C1655" s="731"/>
      <c r="D1655" s="731"/>
      <c r="E1655" s="731"/>
      <c r="F1655" s="731"/>
      <c r="G1655" s="366" t="str">
        <f t="shared" ca="1" si="105"/>
        <v/>
      </c>
      <c r="H1655" s="366" t="s">
        <v>3970</v>
      </c>
      <c r="I1655" s="30"/>
      <c r="J1655" s="4"/>
      <c r="K1655" s="4"/>
      <c r="L1655" s="955"/>
      <c r="M1655" s="40"/>
      <c r="N1655" s="41"/>
      <c r="O1655" s="75"/>
      <c r="AX1655" s="6" t="str">
        <f>'Overview (Verification)'!A25</f>
        <v>Above grade plane finished floor area:</v>
      </c>
      <c r="AY1655">
        <f>IF(LEN('Overview (Verification)'!P25)=0,0,'Overview (Verification)'!P25)</f>
        <v>0</v>
      </c>
    </row>
    <row r="1656" spans="1:51" x14ac:dyDescent="0.35">
      <c r="A1656" s="366">
        <v>8</v>
      </c>
      <c r="B1656" s="738">
        <v>802.1</v>
      </c>
      <c r="C1656" s="731"/>
      <c r="D1656" s="731"/>
      <c r="E1656" s="731"/>
      <c r="F1656" s="731"/>
      <c r="G1656" s="366" t="str">
        <f t="shared" ca="1" si="105"/>
        <v/>
      </c>
      <c r="H1656" s="366" t="s">
        <v>3970</v>
      </c>
      <c r="I1656" s="30"/>
      <c r="J1656" s="4"/>
      <c r="K1656" s="4"/>
      <c r="L1656" s="955"/>
      <c r="M1656" s="40"/>
      <c r="N1656" s="41"/>
      <c r="O1656" s="75"/>
      <c r="AX1656" s="6" t="str">
        <f>'Overview (Verification)'!A26</f>
        <v>Total conditioned floor area:</v>
      </c>
      <c r="AY1656">
        <f>IF(LEN('Overview (Verification)'!P26)=0,0,'Overview (Verification)'!P26)</f>
        <v>0</v>
      </c>
    </row>
    <row r="1657" spans="1:51" x14ac:dyDescent="0.35">
      <c r="A1657" s="366">
        <v>8</v>
      </c>
      <c r="B1657" s="738">
        <v>802.1</v>
      </c>
      <c r="C1657" s="731"/>
      <c r="D1657" s="731"/>
      <c r="E1657" s="731"/>
      <c r="F1657" s="731"/>
      <c r="G1657" s="366" t="str">
        <f t="shared" ca="1" si="105"/>
        <v/>
      </c>
      <c r="H1657" s="366" t="s">
        <v>3970</v>
      </c>
      <c r="I1657" s="30"/>
      <c r="J1657" s="4"/>
      <c r="K1657" s="4"/>
      <c r="L1657" s="955" t="s">
        <v>774</v>
      </c>
      <c r="M1657" s="40"/>
      <c r="N1657" s="41"/>
      <c r="O1657" s="75"/>
      <c r="AX1657" s="6" t="str">
        <f>'Overview (Verification)'!A27</f>
        <v>Stories above grade:</v>
      </c>
      <c r="AY1657">
        <f>IF(LEN('Overview (Verification)'!P27)=0,0,'Overview (Verification)'!P27)</f>
        <v>0</v>
      </c>
    </row>
    <row r="1658" spans="1:51" x14ac:dyDescent="0.35">
      <c r="A1658" s="366">
        <v>8</v>
      </c>
      <c r="B1658" s="738">
        <v>802.1</v>
      </c>
      <c r="C1658" s="731"/>
      <c r="D1658" s="731"/>
      <c r="E1658" s="731"/>
      <c r="F1658" s="731"/>
      <c r="G1658" s="366" t="str">
        <f t="shared" ca="1" si="105"/>
        <v/>
      </c>
      <c r="H1658" s="366" t="s">
        <v>3970</v>
      </c>
      <c r="I1658" s="30"/>
      <c r="J1658" s="4"/>
      <c r="K1658" s="4"/>
      <c r="L1658" s="955"/>
      <c r="M1658" s="40"/>
      <c r="N1658" s="41"/>
      <c r="O1658" s="75"/>
      <c r="AX1658" s="6" t="str">
        <f>'Overview (Verification)'!A28</f>
        <v>Project Elevation (ft. above sea level):</v>
      </c>
      <c r="AY1658">
        <f>IF(LEN('Overview (Verification)'!P28)=0,0,'Overview (Verification)'!P28)</f>
        <v>0</v>
      </c>
    </row>
    <row r="1659" spans="1:51" x14ac:dyDescent="0.35">
      <c r="A1659" s="366">
        <v>8</v>
      </c>
      <c r="B1659" s="738">
        <v>802.1</v>
      </c>
      <c r="C1659" s="731"/>
      <c r="D1659" s="731"/>
      <c r="E1659" s="731"/>
      <c r="F1659" s="731"/>
      <c r="G1659" s="366" t="str">
        <f t="shared" ca="1" si="105"/>
        <v/>
      </c>
      <c r="H1659" s="366" t="s">
        <v>3970</v>
      </c>
      <c r="I1659" s="30"/>
      <c r="J1659" s="4"/>
      <c r="K1659" s="4"/>
      <c r="L1659" s="955"/>
      <c r="M1659" s="40"/>
      <c r="N1659" s="41"/>
      <c r="O1659" s="75"/>
    </row>
    <row r="1660" spans="1:51" x14ac:dyDescent="0.35">
      <c r="A1660" s="366">
        <v>8</v>
      </c>
      <c r="B1660" s="738">
        <v>802.1</v>
      </c>
      <c r="C1660" s="731"/>
      <c r="D1660" s="731"/>
      <c r="E1660" s="731"/>
      <c r="F1660" s="731"/>
      <c r="G1660" s="366" t="str">
        <f t="shared" ca="1" si="105"/>
        <v/>
      </c>
      <c r="H1660" s="366" t="s">
        <v>3970</v>
      </c>
      <c r="I1660" s="30"/>
      <c r="J1660" s="4"/>
      <c r="K1660" s="4"/>
      <c r="L1660" s="218" t="s">
        <v>775</v>
      </c>
      <c r="M1660" s="40"/>
      <c r="N1660" s="41"/>
      <c r="O1660" s="75"/>
      <c r="AX1660" s="6" t="str">
        <f>'Overview (Verification)'!A30</f>
        <v xml:space="preserve">Project Description (optional): </v>
      </c>
      <c r="AY1660">
        <f>IF(LEN('Overview (Verification)'!P30)=0,0,'Overview (Verification)'!P30)</f>
        <v>0</v>
      </c>
    </row>
    <row r="1661" spans="1:51" x14ac:dyDescent="0.35">
      <c r="A1661" s="366">
        <v>8</v>
      </c>
      <c r="B1661" s="738">
        <v>802.1</v>
      </c>
      <c r="C1661" s="731"/>
      <c r="D1661" s="731"/>
      <c r="E1661" s="731"/>
      <c r="F1661" s="731"/>
      <c r="G1661" s="366" t="str">
        <f t="shared" ca="1" si="105"/>
        <v/>
      </c>
      <c r="H1661" s="366" t="s">
        <v>3970</v>
      </c>
      <c r="I1661" s="30"/>
      <c r="J1661" s="4"/>
      <c r="K1661" s="4"/>
      <c r="L1661" s="276" t="s">
        <v>4582</v>
      </c>
      <c r="M1661" s="40"/>
      <c r="N1661" s="41"/>
      <c r="O1661" s="75"/>
    </row>
    <row r="1662" spans="1:51" x14ac:dyDescent="0.35">
      <c r="A1662" s="366">
        <v>8</v>
      </c>
      <c r="B1662" s="738">
        <v>802.1</v>
      </c>
      <c r="C1662" s="731"/>
      <c r="D1662" s="731"/>
      <c r="E1662" s="731"/>
      <c r="F1662" s="731"/>
      <c r="G1662" s="366" t="str">
        <f t="shared" ca="1" si="105"/>
        <v/>
      </c>
      <c r="H1662" s="366" t="s">
        <v>3970</v>
      </c>
      <c r="I1662" s="30"/>
      <c r="J1662" s="4"/>
      <c r="K1662" s="4"/>
      <c r="L1662" s="276" t="s">
        <v>4583</v>
      </c>
      <c r="M1662" s="40"/>
      <c r="N1662" s="41"/>
      <c r="O1662" s="75"/>
      <c r="AX1662" s="6" t="str">
        <f>'Overview (Verification)'!A32</f>
        <v>Foundation Type:</v>
      </c>
      <c r="AY1662">
        <f>IF(LEN('Overview (Verification)'!P32)=0,0,'Overview (Verification)'!P32)</f>
        <v>0</v>
      </c>
    </row>
    <row r="1663" spans="1:51" x14ac:dyDescent="0.35">
      <c r="A1663" s="366">
        <v>8</v>
      </c>
      <c r="B1663" s="738">
        <v>802.1</v>
      </c>
      <c r="C1663" s="731" t="s">
        <v>256</v>
      </c>
      <c r="D1663" s="731"/>
      <c r="E1663" s="731"/>
      <c r="F1663" s="746"/>
      <c r="G1663" s="366" t="str">
        <f t="shared" ca="1" si="105"/>
        <v/>
      </c>
      <c r="H1663" s="366" t="s">
        <v>3970</v>
      </c>
      <c r="I1663" s="30"/>
      <c r="J1663" s="19" t="s">
        <v>256</v>
      </c>
      <c r="K1663" s="4"/>
      <c r="L1663" s="814" t="s">
        <v>776</v>
      </c>
      <c r="M1663" s="818">
        <v>8</v>
      </c>
      <c r="N1663" s="41"/>
      <c r="O1663" s="75"/>
      <c r="X1663" s="817"/>
      <c r="Y1663" s="1100" t="str">
        <f>IF(LEN('Ch8'!X34)=0,"None",'Ch8'!X34)</f>
        <v>None</v>
      </c>
      <c r="Z1663" s="1102"/>
      <c r="AL1663" t="str">
        <f>SUBSTITUTE(SUBSTITUTE(SUBSTITUTE("vpa"&amp;$B1663&amp;$C1663&amp;$D1663&amp;$E1663,".","_"),"(","_"),")","")</f>
        <v>vpa802_1_1</v>
      </c>
      <c r="AM1663">
        <f>M1663</f>
        <v>8</v>
      </c>
      <c r="AR1663" t="str">
        <f>SUBSTITUTE(SUBSTITUTE(SUBSTITUTE("vnt"&amp;$B1663&amp;$C1663&amp;$D1663&amp;$E1663,".","_"),"(","_"),")","")</f>
        <v>vnt802_1_1</v>
      </c>
      <c r="AS1663" t="str">
        <f>IF(LEN(X1663)=0,"",X1663)</f>
        <v/>
      </c>
      <c r="AX1663" s="6"/>
    </row>
    <row r="1664" spans="1:51" x14ac:dyDescent="0.35">
      <c r="A1664" s="366">
        <v>8</v>
      </c>
      <c r="B1664" s="738">
        <v>802.1</v>
      </c>
      <c r="C1664" s="731" t="s">
        <v>256</v>
      </c>
      <c r="D1664" s="731"/>
      <c r="E1664" s="731"/>
      <c r="F1664" s="746"/>
      <c r="G1664" s="366" t="str">
        <f t="shared" ca="1" si="105"/>
        <v/>
      </c>
      <c r="H1664" s="366" t="s">
        <v>3970</v>
      </c>
      <c r="I1664" s="30"/>
      <c r="J1664" s="129"/>
      <c r="K1664" s="133"/>
      <c r="L1664" s="815"/>
      <c r="M1664" s="819"/>
      <c r="N1664" s="41"/>
      <c r="O1664" s="75"/>
      <c r="X1664" s="817"/>
      <c r="Y1664" s="1100"/>
      <c r="Z1664" s="1102"/>
      <c r="AX1664" s="6" t="str">
        <f>'Overview (Verification)'!A34</f>
        <v>Type of Heating System (main system):</v>
      </c>
      <c r="AY1664">
        <f>IF(LEN('Overview (Verification)'!P34)=0,0,'Overview (Verification)'!P34)</f>
        <v>0</v>
      </c>
    </row>
    <row r="1665" spans="1:51" x14ac:dyDescent="0.35">
      <c r="A1665" s="366">
        <v>8</v>
      </c>
      <c r="B1665" s="738">
        <v>802.1</v>
      </c>
      <c r="C1665" s="731" t="s">
        <v>258</v>
      </c>
      <c r="D1665" s="731"/>
      <c r="E1665" s="731"/>
      <c r="F1665" s="746"/>
      <c r="G1665" s="366" t="str">
        <f t="shared" ca="1" si="105"/>
        <v/>
      </c>
      <c r="H1665" s="366" t="s">
        <v>3970</v>
      </c>
      <c r="I1665" s="30"/>
      <c r="J1665" s="19" t="s">
        <v>258</v>
      </c>
      <c r="K1665" s="4"/>
      <c r="L1665" s="814" t="s">
        <v>777</v>
      </c>
      <c r="M1665" s="818">
        <v>12</v>
      </c>
      <c r="N1665" s="41"/>
      <c r="O1665" s="75"/>
      <c r="X1665" s="817"/>
      <c r="Y1665" s="1100"/>
      <c r="Z1665" s="1102"/>
      <c r="AL1665" t="str">
        <f>SUBSTITUTE(SUBSTITUTE(SUBSTITUTE("vpa"&amp;$B1665&amp;$C1665&amp;$D1665&amp;$E1665,".","_"),"(","_"),")","")</f>
        <v>vpa802_1_2</v>
      </c>
      <c r="AM1665">
        <f>M1665</f>
        <v>12</v>
      </c>
      <c r="AX1665" s="6" t="str">
        <f>'Overview (Verification)'!A35</f>
        <v>Type of Heating System (system 2):</v>
      </c>
      <c r="AY1665">
        <f>IF(LEN('Overview (Verification)'!P35)=0,0,'Overview (Verification)'!P35)</f>
        <v>0</v>
      </c>
    </row>
    <row r="1666" spans="1:51" x14ac:dyDescent="0.35">
      <c r="A1666" s="366">
        <v>8</v>
      </c>
      <c r="B1666" s="738">
        <v>802.1</v>
      </c>
      <c r="C1666" s="731" t="s">
        <v>258</v>
      </c>
      <c r="D1666" s="731"/>
      <c r="E1666" s="731"/>
      <c r="F1666" s="746"/>
      <c r="G1666" s="366" t="str">
        <f t="shared" ca="1" si="105"/>
        <v/>
      </c>
      <c r="H1666" s="366" t="s">
        <v>3970</v>
      </c>
      <c r="I1666" s="30"/>
      <c r="J1666" s="129"/>
      <c r="K1666" s="133"/>
      <c r="L1666" s="815"/>
      <c r="M1666" s="819"/>
      <c r="N1666" s="41"/>
      <c r="O1666" s="75"/>
      <c r="X1666" s="817"/>
      <c r="Y1666" s="1100"/>
      <c r="Z1666" s="1102"/>
      <c r="AX1666" s="6" t="str">
        <f>'Overview (Verification)'!A36</f>
        <v>Type of Heating System (system 3):</v>
      </c>
      <c r="AY1666">
        <f>IF(LEN('Overview (Verification)'!P36)=0,0,'Overview (Verification)'!P36)</f>
        <v>0</v>
      </c>
    </row>
    <row r="1667" spans="1:51" x14ac:dyDescent="0.35">
      <c r="A1667" s="366">
        <v>8</v>
      </c>
      <c r="B1667" s="738">
        <v>802.1</v>
      </c>
      <c r="C1667" s="731" t="s">
        <v>260</v>
      </c>
      <c r="D1667" s="731"/>
      <c r="E1667" s="731"/>
      <c r="F1667" s="746"/>
      <c r="G1667" s="366" t="str">
        <f t="shared" ca="1" si="105"/>
        <v/>
      </c>
      <c r="H1667" s="366" t="s">
        <v>3970</v>
      </c>
      <c r="I1667" s="30"/>
      <c r="J1667" s="19" t="s">
        <v>260</v>
      </c>
      <c r="K1667" s="4"/>
      <c r="L1667" s="814" t="s">
        <v>778</v>
      </c>
      <c r="M1667" s="818">
        <v>20</v>
      </c>
      <c r="N1667" s="41"/>
      <c r="O1667" s="75"/>
      <c r="X1667" s="817"/>
      <c r="Y1667" s="1100"/>
      <c r="Z1667" s="1102"/>
      <c r="AL1667" t="str">
        <f>SUBSTITUTE(SUBSTITUTE(SUBSTITUTE("vpa"&amp;$B1667&amp;$C1667&amp;$D1667&amp;$E1667,".","_"),"(","_"),")","")</f>
        <v>vpa802_1_3</v>
      </c>
      <c r="AM1667">
        <f>M1667</f>
        <v>20</v>
      </c>
      <c r="AX1667" s="6" t="str">
        <f>'Overview (Verification)'!A37</f>
        <v>Primary Heating Fuel:</v>
      </c>
      <c r="AY1667">
        <f>IF(LEN('Overview (Verification)'!P37)=0,0,'Overview (Verification)'!P37)</f>
        <v>0</v>
      </c>
    </row>
    <row r="1668" spans="1:51" x14ac:dyDescent="0.35">
      <c r="A1668" s="366">
        <v>8</v>
      </c>
      <c r="B1668" s="738">
        <v>802.1</v>
      </c>
      <c r="C1668" s="731" t="s">
        <v>260</v>
      </c>
      <c r="D1668" s="731"/>
      <c r="E1668" s="731"/>
      <c r="F1668" s="746"/>
      <c r="G1668" s="366" t="str">
        <f t="shared" ca="1" si="105"/>
        <v/>
      </c>
      <c r="H1668" s="366" t="s">
        <v>3970</v>
      </c>
      <c r="I1668" s="30"/>
      <c r="J1668" s="129"/>
      <c r="K1668" s="133"/>
      <c r="L1668" s="815"/>
      <c r="M1668" s="819"/>
      <c r="N1668" s="41"/>
      <c r="O1668" s="75"/>
      <c r="X1668" s="817"/>
      <c r="Y1668" s="1100"/>
      <c r="Z1668" s="1102"/>
      <c r="AX1668" s="6" t="str">
        <f>'Overview (Verification)'!A38</f>
        <v>Heating Ducts:</v>
      </c>
      <c r="AY1668">
        <f>IF(LEN('Overview (Verification)'!P38)=0,0,'Overview (Verification)'!P38)</f>
        <v>0</v>
      </c>
    </row>
    <row r="1669" spans="1:51" x14ac:dyDescent="0.35">
      <c r="A1669" s="366">
        <v>8</v>
      </c>
      <c r="B1669" s="738">
        <v>802.1</v>
      </c>
      <c r="C1669" s="731" t="s">
        <v>269</v>
      </c>
      <c r="D1669" s="731"/>
      <c r="E1669" s="731"/>
      <c r="F1669" s="746"/>
      <c r="G1669" s="366" t="str">
        <f t="shared" ca="1" si="105"/>
        <v/>
      </c>
      <c r="H1669" s="366" t="s">
        <v>3970</v>
      </c>
      <c r="I1669" s="30"/>
      <c r="J1669" s="19" t="s">
        <v>269</v>
      </c>
      <c r="K1669" s="4"/>
      <c r="L1669" s="814" t="s">
        <v>779</v>
      </c>
      <c r="M1669" s="818">
        <v>24</v>
      </c>
      <c r="N1669" s="41"/>
      <c r="O1669" s="75"/>
      <c r="X1669" s="817"/>
      <c r="Y1669" s="1100"/>
      <c r="Z1669" s="1102"/>
      <c r="AL1669" t="str">
        <f>SUBSTITUTE(SUBSTITUTE(SUBSTITUTE("vpa"&amp;$B1669&amp;$C1669&amp;$D1669&amp;$E1669,".","_"),"(","_"),")","")</f>
        <v>vpa802_1_4</v>
      </c>
      <c r="AM1669">
        <f>M1669</f>
        <v>24</v>
      </c>
      <c r="AX1669" s="6" t="str">
        <f>'Overview (Verification)'!A39</f>
        <v>Type of Cooling System (main system):</v>
      </c>
      <c r="AY1669">
        <f>IF(LEN('Overview (Verification)'!P39)=0,0,'Overview (Verification)'!P39)</f>
        <v>0</v>
      </c>
    </row>
    <row r="1670" spans="1:51" x14ac:dyDescent="0.35">
      <c r="A1670" s="366">
        <v>8</v>
      </c>
      <c r="B1670" s="738">
        <v>802.1</v>
      </c>
      <c r="C1670" s="731" t="s">
        <v>269</v>
      </c>
      <c r="D1670" s="731"/>
      <c r="E1670" s="731"/>
      <c r="F1670" s="746"/>
      <c r="G1670" s="366" t="str">
        <f t="shared" ca="1" si="105"/>
        <v/>
      </c>
      <c r="H1670" s="366" t="s">
        <v>3970</v>
      </c>
      <c r="I1670" s="30"/>
      <c r="J1670" s="4"/>
      <c r="K1670" s="4"/>
      <c r="L1670" s="814"/>
      <c r="M1670" s="818"/>
      <c r="N1670" s="41"/>
      <c r="O1670" s="75"/>
      <c r="X1670" s="817"/>
      <c r="Y1670" s="1100"/>
      <c r="Z1670" s="1102"/>
      <c r="AX1670" s="6" t="str">
        <f>'Overview (Verification)'!A40</f>
        <v>Type of Cooling System (system 2):</v>
      </c>
      <c r="AY1670">
        <f>IF(LEN('Overview (Verification)'!P40)=0,0,'Overview (Verification)'!P40)</f>
        <v>0</v>
      </c>
    </row>
    <row r="1671" spans="1:51" x14ac:dyDescent="0.35">
      <c r="A1671" s="366">
        <v>8</v>
      </c>
      <c r="B1671" s="738">
        <v>802.1</v>
      </c>
      <c r="C1671" s="731" t="s">
        <v>269</v>
      </c>
      <c r="D1671" s="731"/>
      <c r="E1671" s="731"/>
      <c r="F1671" s="746"/>
      <c r="G1671" s="366" t="str">
        <f t="shared" ca="1" si="105"/>
        <v/>
      </c>
      <c r="H1671" s="366" t="s">
        <v>3970</v>
      </c>
      <c r="I1671" s="30"/>
      <c r="J1671" s="4"/>
      <c r="K1671" s="4"/>
      <c r="L1671" s="814"/>
      <c r="M1671" s="818"/>
      <c r="N1671" s="41"/>
      <c r="O1671" s="75"/>
      <c r="X1671" s="817"/>
      <c r="Y1671" s="1100"/>
      <c r="Z1671" s="1102"/>
      <c r="AX1671" s="6" t="str">
        <f>'Overview (Verification)'!A41</f>
        <v>Type of Cooling System (system 3):</v>
      </c>
      <c r="AY1671">
        <f>IF(LEN('Overview (Verification)'!P41)=0,0,'Overview (Verification)'!P41)</f>
        <v>0</v>
      </c>
    </row>
    <row r="1672" spans="1:51" x14ac:dyDescent="0.35">
      <c r="A1672" s="366">
        <v>8</v>
      </c>
      <c r="B1672" s="738">
        <v>802.1</v>
      </c>
      <c r="C1672" s="731" t="s">
        <v>269</v>
      </c>
      <c r="D1672" s="731" t="s">
        <v>121</v>
      </c>
      <c r="E1672" s="731"/>
      <c r="F1672" s="746"/>
      <c r="G1672" s="366" t="str">
        <f t="shared" ca="1" si="105"/>
        <v/>
      </c>
      <c r="H1672" s="732" t="s">
        <v>3970</v>
      </c>
      <c r="I1672" s="4"/>
      <c r="J1672" s="4"/>
      <c r="K1672" s="19" t="s">
        <v>121</v>
      </c>
      <c r="L1672" s="814" t="s">
        <v>780</v>
      </c>
      <c r="M1672" s="818" t="s">
        <v>781</v>
      </c>
      <c r="N1672" s="41"/>
      <c r="O1672" s="75"/>
      <c r="X1672" s="817"/>
      <c r="Y1672" s="1100"/>
      <c r="Z1672" s="1102"/>
      <c r="AL1672" t="str">
        <f>SUBSTITUTE(SUBSTITUTE(SUBSTITUTE("vpa"&amp;$B1672&amp;$C1672&amp;$D1672&amp;$E1672,".","_"),"(","_"),")","")</f>
        <v>vpa802_1_4_a</v>
      </c>
      <c r="AM1672" t="str">
        <f>M1672</f>
        <v>4 Additional</v>
      </c>
      <c r="AX1672" s="6" t="str">
        <f>'Overview (Verification)'!A42</f>
        <v>Cooling Ducts:</v>
      </c>
      <c r="AY1672">
        <f>IF(LEN('Overview (Verification)'!P42)=0,0,'Overview (Verification)'!P42)</f>
        <v>0</v>
      </c>
    </row>
    <row r="1673" spans="1:51" x14ac:dyDescent="0.35">
      <c r="A1673" s="366">
        <v>8</v>
      </c>
      <c r="B1673" s="738">
        <v>802.1</v>
      </c>
      <c r="C1673" s="731" t="s">
        <v>269</v>
      </c>
      <c r="D1673" s="731" t="s">
        <v>121</v>
      </c>
      <c r="E1673" s="731"/>
      <c r="F1673" s="746"/>
      <c r="G1673" s="366" t="str">
        <f t="shared" ca="1" si="105"/>
        <v/>
      </c>
      <c r="H1673" s="732" t="s">
        <v>3970</v>
      </c>
      <c r="I1673" s="30"/>
      <c r="J1673" s="133"/>
      <c r="K1673" s="133"/>
      <c r="L1673" s="815"/>
      <c r="M1673" s="819"/>
      <c r="N1673" s="41"/>
      <c r="O1673" s="75"/>
      <c r="X1673" s="817"/>
      <c r="Y1673" s="1100"/>
      <c r="Z1673" s="1102"/>
      <c r="AX1673" s="6"/>
    </row>
    <row r="1674" spans="1:51" x14ac:dyDescent="0.35">
      <c r="A1674" s="366">
        <v>8</v>
      </c>
      <c r="B1674" s="738">
        <v>802.1</v>
      </c>
      <c r="C1674" s="731" t="s">
        <v>275</v>
      </c>
      <c r="D1674" s="731"/>
      <c r="E1674" s="731"/>
      <c r="F1674" s="746"/>
      <c r="G1674" s="366" t="str">
        <f t="shared" ca="1" si="105"/>
        <v/>
      </c>
      <c r="H1674" s="366" t="s">
        <v>3970</v>
      </c>
      <c r="I1674" s="30"/>
      <c r="J1674" s="19" t="s">
        <v>275</v>
      </c>
      <c r="K1674" s="4"/>
      <c r="L1674" s="814" t="s">
        <v>782</v>
      </c>
      <c r="M1674" s="818">
        <v>9</v>
      </c>
      <c r="N1674" s="41"/>
      <c r="O1674" s="75"/>
      <c r="X1674" s="817"/>
      <c r="Y1674" s="1100" t="str">
        <f>IF(LEN('Ch8'!X45)=0,"None",'Ch8'!X45)</f>
        <v>None</v>
      </c>
      <c r="Z1674" s="1102"/>
      <c r="AL1674" t="str">
        <f>SUBSTITUTE(SUBSTITUTE(SUBSTITUTE("vpa"&amp;$B1674&amp;$C1674&amp;$D1674&amp;$E1674,".","_"),"(","_"),")","")</f>
        <v>vpa802_1_5</v>
      </c>
      <c r="AM1674">
        <f>M1674</f>
        <v>9</v>
      </c>
      <c r="AR1674" t="str">
        <f>SUBSTITUTE(SUBSTITUTE(SUBSTITUTE("vnt"&amp;$B1674&amp;$C1674&amp;$D1674&amp;$E1674,".","_"),"(","_"),")","")</f>
        <v>vnt802_1_5</v>
      </c>
      <c r="AS1674" t="str">
        <f>IF(LEN(X1674)=0,"",X1674)</f>
        <v/>
      </c>
      <c r="AX1674" s="6" t="str">
        <f>'Overview (Verification)'!A44</f>
        <v>Maximum window and door SHGC:</v>
      </c>
      <c r="AY1674">
        <f>IF(LEN('Overview (Verification)'!P44)=0,0,'Overview (Verification)'!P44)</f>
        <v>0</v>
      </c>
    </row>
    <row r="1675" spans="1:51" x14ac:dyDescent="0.35">
      <c r="A1675" s="366">
        <v>8</v>
      </c>
      <c r="B1675" s="738">
        <v>802.1</v>
      </c>
      <c r="C1675" s="731" t="s">
        <v>275</v>
      </c>
      <c r="D1675" s="731"/>
      <c r="E1675" s="731"/>
      <c r="F1675" s="746"/>
      <c r="G1675" s="366" t="str">
        <f t="shared" ca="1" si="105"/>
        <v/>
      </c>
      <c r="H1675" s="366" t="s">
        <v>3970</v>
      </c>
      <c r="I1675" s="30"/>
      <c r="J1675" s="4"/>
      <c r="K1675" s="4"/>
      <c r="L1675" s="814"/>
      <c r="M1675" s="818"/>
      <c r="N1675" s="41"/>
      <c r="O1675" s="75"/>
      <c r="X1675" s="817"/>
      <c r="Y1675" s="1100"/>
      <c r="Z1675" s="1102"/>
      <c r="AX1675" s="6" t="str">
        <f>'Overview (Verification)'!A45</f>
        <v>Maximum skylight SHGC:</v>
      </c>
      <c r="AY1675">
        <f>IF(LEN('Overview (Verification)'!P45)=0,0,'Overview (Verification)'!P45)</f>
        <v>0</v>
      </c>
    </row>
    <row r="1676" spans="1:51" x14ac:dyDescent="0.35">
      <c r="A1676" s="366">
        <v>8</v>
      </c>
      <c r="B1676" s="738">
        <v>802.1</v>
      </c>
      <c r="C1676" s="731" t="s">
        <v>275</v>
      </c>
      <c r="D1676" s="731"/>
      <c r="E1676" s="731"/>
      <c r="F1676" s="746"/>
      <c r="G1676" s="366" t="str">
        <f t="shared" ca="1" si="105"/>
        <v/>
      </c>
      <c r="H1676" s="366" t="s">
        <v>3970</v>
      </c>
      <c r="I1676" s="30"/>
      <c r="J1676" s="4"/>
      <c r="K1676" s="4"/>
      <c r="L1676" s="814"/>
      <c r="M1676" s="818"/>
      <c r="N1676" s="41"/>
      <c r="O1676" s="75"/>
      <c r="X1676" s="817"/>
      <c r="Y1676" s="1100"/>
      <c r="Z1676" s="1102"/>
      <c r="AX1676" s="6" t="str">
        <f>'Overview (Verification)'!A46</f>
        <v>Maximum window and door U-value:</v>
      </c>
      <c r="AY1676">
        <f>IF(LEN('Overview (Verification)'!P46)=0,0,'Overview (Verification)'!P46)</f>
        <v>0</v>
      </c>
    </row>
    <row r="1677" spans="1:51" x14ac:dyDescent="0.35">
      <c r="A1677" s="366">
        <v>8</v>
      </c>
      <c r="B1677" s="738">
        <v>802.1</v>
      </c>
      <c r="C1677" s="731" t="s">
        <v>275</v>
      </c>
      <c r="D1677" s="731"/>
      <c r="E1677" s="731"/>
      <c r="F1677" s="746"/>
      <c r="G1677" s="366" t="str">
        <f t="shared" ca="1" si="105"/>
        <v/>
      </c>
      <c r="H1677" s="366" t="s">
        <v>3970</v>
      </c>
      <c r="I1677" s="30"/>
      <c r="J1677" s="4"/>
      <c r="K1677" s="4"/>
      <c r="L1677" s="814"/>
      <c r="M1677" s="818"/>
      <c r="N1677" s="41"/>
      <c r="O1677" s="75"/>
      <c r="X1677" s="817"/>
      <c r="Y1677" s="1100"/>
      <c r="Z1677" s="1102"/>
      <c r="AX1677" s="6" t="str">
        <f>'Overview (Verification)'!A47</f>
        <v>Maximum skylight U-value:</v>
      </c>
      <c r="AY1677">
        <f>IF(LEN('Overview (Verification)'!P47)=0,0,'Overview (Verification)'!P47)</f>
        <v>0</v>
      </c>
    </row>
    <row r="1678" spans="1:51" x14ac:dyDescent="0.35">
      <c r="A1678" s="366">
        <v>8</v>
      </c>
      <c r="B1678" s="738">
        <v>802.1</v>
      </c>
      <c r="C1678" s="731" t="s">
        <v>275</v>
      </c>
      <c r="D1678" s="731"/>
      <c r="E1678" s="731"/>
      <c r="F1678" s="746"/>
      <c r="G1678" s="366" t="str">
        <f t="shared" ca="1" si="105"/>
        <v/>
      </c>
      <c r="H1678" s="366" t="s">
        <v>3970</v>
      </c>
      <c r="I1678" s="30"/>
      <c r="J1678" s="133"/>
      <c r="K1678" s="133"/>
      <c r="L1678" s="815"/>
      <c r="M1678" s="819"/>
      <c r="N1678" s="546"/>
      <c r="O1678" s="309"/>
      <c r="X1678" s="817"/>
      <c r="Y1678" s="1100"/>
      <c r="Z1678" s="1102"/>
      <c r="AX1678" s="6" t="str">
        <f>'Overview (Verification)'!A48</f>
        <v>Renewable Energy:</v>
      </c>
      <c r="AY1678">
        <f>IF(LEN('Overview (Verification)'!P48)=0,0,'Overview (Verification)'!P48)</f>
        <v>0</v>
      </c>
    </row>
    <row r="1679" spans="1:51" x14ac:dyDescent="0.35">
      <c r="A1679" s="366">
        <v>8</v>
      </c>
      <c r="B1679" s="738">
        <v>802.1</v>
      </c>
      <c r="C1679" s="731" t="s">
        <v>277</v>
      </c>
      <c r="D1679" s="731"/>
      <c r="E1679" s="731"/>
      <c r="F1679" s="746"/>
      <c r="G1679" s="366" t="str">
        <f ca="1">IF(N1679&gt;0,"P","")</f>
        <v/>
      </c>
      <c r="H1679" s="366" t="s">
        <v>3970</v>
      </c>
      <c r="I1679" s="30"/>
      <c r="J1679" s="19" t="s">
        <v>277</v>
      </c>
      <c r="K1679" s="4"/>
      <c r="L1679" s="814" t="s">
        <v>783</v>
      </c>
      <c r="M1679" s="818" t="s">
        <v>794</v>
      </c>
      <c r="N1679" s="834">
        <f ca="1">'Ch8'!O50</f>
        <v>0</v>
      </c>
      <c r="O1679" s="832">
        <f ca="1">1*S1679*W1679</f>
        <v>0</v>
      </c>
      <c r="P1679" t="b">
        <v>1</v>
      </c>
      <c r="Q1679" t="b">
        <v>1</v>
      </c>
      <c r="R1679" t="b">
        <v>0</v>
      </c>
      <c r="S1679" t="b">
        <f ca="1">AND(S1650,NOT(W1650=""),S1643=2)</f>
        <v>0</v>
      </c>
      <c r="T1679" t="b">
        <f ca="1">IF(AND(NOT(S1679),W1679=TRUE),TRUE,FALSE)</f>
        <v>0</v>
      </c>
      <c r="W1679" s="17"/>
      <c r="X1679" s="817"/>
      <c r="Y1679" s="1100" t="str">
        <f>IF(LEN('Ch8'!X50)=0,"None",'Ch8'!X50)</f>
        <v>None</v>
      </c>
      <c r="Z1679" s="1102"/>
      <c r="AC1679" t="b">
        <f ca="1">OR(AD1679:AE1679)</f>
        <v>0</v>
      </c>
      <c r="AD1679" t="b">
        <f ca="1">T1679</f>
        <v>0</v>
      </c>
      <c r="AL1679" t="str">
        <f>SUBSTITUTE(SUBSTITUTE(SUBSTITUTE("vpa"&amp;$B1679&amp;$C1679&amp;$D1679&amp;$E1679,".","_"),"(","_"),")","")</f>
        <v>vpa802_1_6</v>
      </c>
      <c r="AM1679" t="str">
        <f>M1679</f>
        <v>1 Additional</v>
      </c>
      <c r="AN1679" t="str">
        <f>SUBSTITUTE(SUBSTITUTE(SUBSTITUTE("vpc"&amp;$B1679&amp;$C1679&amp;$D1679&amp;$E1679,".","_"),"(","_"),")","")</f>
        <v>vpc802_1_6</v>
      </c>
      <c r="AO1679">
        <f ca="1">O1679</f>
        <v>0</v>
      </c>
      <c r="AP1679" t="str">
        <f>SUBSTITUTE(SUBSTITUTE(SUBSTITUTE("vch"&amp;$B1679&amp;$C1679&amp;$D1679&amp;$E1679,".","_"),"(","_"),")","")</f>
        <v>vch802_1_6</v>
      </c>
      <c r="AQ1679" t="str">
        <f>IF(LEN(W1679)=0,"",W1679)</f>
        <v/>
      </c>
      <c r="AR1679" t="str">
        <f>SUBSTITUTE(SUBSTITUTE(SUBSTITUTE("vnt"&amp;$B1679&amp;$C1679&amp;$D1679&amp;$E1679,".","_"),"(","_"),")","")</f>
        <v>vnt802_1_6</v>
      </c>
      <c r="AS1679" t="str">
        <f>IF(LEN(X1679)=0,"",X1679)</f>
        <v/>
      </c>
      <c r="AX1679" s="6" t="str">
        <f>'Overview (Verification)'!A49</f>
        <v>Thermal Envelope Insulation:</v>
      </c>
      <c r="AY1679">
        <f>IF(LEN('Overview (Verification)'!P49)=0,0,'Overview (Verification)'!P49)</f>
        <v>0</v>
      </c>
    </row>
    <row r="1680" spans="1:51" x14ac:dyDescent="0.35">
      <c r="A1680" s="366">
        <v>8</v>
      </c>
      <c r="B1680" s="738">
        <v>802.1</v>
      </c>
      <c r="C1680" s="731" t="s">
        <v>277</v>
      </c>
      <c r="D1680" s="731"/>
      <c r="E1680" s="731"/>
      <c r="F1680" s="746"/>
      <c r="G1680" s="366" t="str">
        <f ca="1">G1679</f>
        <v/>
      </c>
      <c r="H1680" s="366" t="s">
        <v>3970</v>
      </c>
      <c r="I1680" s="30"/>
      <c r="J1680" s="4"/>
      <c r="K1680" s="4"/>
      <c r="L1680" s="814"/>
      <c r="M1680" s="818"/>
      <c r="N1680" s="834"/>
      <c r="O1680" s="832"/>
      <c r="X1680" s="817"/>
      <c r="Y1680" s="1100"/>
      <c r="Z1680" s="1102"/>
      <c r="AX1680" s="6" t="str">
        <f>'Overview (Verification)'!A50</f>
        <v>Attic Type:</v>
      </c>
      <c r="AY1680">
        <f>IF(LEN('Overview (Verification)'!P50)=0,0,'Overview (Verification)'!P50)</f>
        <v>0</v>
      </c>
    </row>
    <row r="1681" spans="1:51" ht="15" thickBot="1" x14ac:dyDescent="0.4">
      <c r="A1681" s="366">
        <v>8</v>
      </c>
      <c r="B1681" s="738">
        <v>802.1</v>
      </c>
      <c r="C1681" s="731" t="s">
        <v>277</v>
      </c>
      <c r="D1681" s="731"/>
      <c r="E1681" s="731"/>
      <c r="F1681" s="746"/>
      <c r="G1681" s="366" t="str">
        <f ca="1">G1680</f>
        <v/>
      </c>
      <c r="H1681" s="366" t="s">
        <v>3970</v>
      </c>
      <c r="I1681" s="114"/>
      <c r="J1681" s="160"/>
      <c r="K1681" s="160"/>
      <c r="L1681" s="839"/>
      <c r="M1681" s="827"/>
      <c r="N1681" s="863"/>
      <c r="O1681" s="833"/>
      <c r="P1681" s="55"/>
      <c r="Q1681" s="55"/>
      <c r="R1681" s="55"/>
      <c r="S1681" s="55"/>
      <c r="T1681" s="55"/>
      <c r="U1681" s="55"/>
      <c r="V1681" s="55"/>
      <c r="W1681" s="55"/>
      <c r="X1681" s="829"/>
      <c r="Y1681" s="1101"/>
      <c r="Z1681" s="1104"/>
      <c r="AX1681" s="6" t="str">
        <f>'Overview (Verification)'!A51</f>
        <v>Attached Garage:</v>
      </c>
      <c r="AY1681">
        <f>IF(LEN('Overview (Verification)'!P51)=0,0,'Overview (Verification)'!P51)</f>
        <v>0</v>
      </c>
    </row>
    <row r="1682" spans="1:51" ht="15" thickTop="1" x14ac:dyDescent="0.35">
      <c r="A1682" s="366">
        <v>8</v>
      </c>
      <c r="B1682" s="738">
        <v>802.2</v>
      </c>
      <c r="C1682" s="731"/>
      <c r="D1682" s="731"/>
      <c r="E1682" s="731"/>
      <c r="F1682" s="746"/>
      <c r="G1682" s="727" t="str">
        <f ca="1">IF(COUNTIF(G1684:G1685,"P")&gt;0,"P","")</f>
        <v>P</v>
      </c>
      <c r="H1682" s="366" t="s">
        <v>3972</v>
      </c>
      <c r="I1682" s="30">
        <v>802.2</v>
      </c>
      <c r="J1682" s="4"/>
      <c r="K1682" s="4"/>
      <c r="L1682" s="838" t="s">
        <v>4373</v>
      </c>
      <c r="M1682" s="40"/>
      <c r="N1682" s="41"/>
      <c r="O1682" s="75"/>
      <c r="AX1682" s="6" t="str">
        <f>'Overview (Verification)'!A52</f>
        <v>Recessed Lighting:</v>
      </c>
      <c r="AY1682">
        <f>IF(LEN('Overview (Verification)'!P52)=0,0,'Overview (Verification)'!P52)</f>
        <v>0</v>
      </c>
    </row>
    <row r="1683" spans="1:51" x14ac:dyDescent="0.35">
      <c r="A1683" s="366">
        <v>8</v>
      </c>
      <c r="B1683" s="738">
        <v>802.2</v>
      </c>
      <c r="C1683" s="731"/>
      <c r="D1683" s="731"/>
      <c r="E1683" s="731"/>
      <c r="F1683" s="746"/>
      <c r="G1683" s="366" t="str">
        <f ca="1">G1682</f>
        <v>P</v>
      </c>
      <c r="H1683" s="366" t="s">
        <v>3972</v>
      </c>
      <c r="I1683" s="30"/>
      <c r="J1683" s="4"/>
      <c r="K1683" s="4"/>
      <c r="L1683" s="838"/>
      <c r="M1683" s="40"/>
      <c r="N1683" s="41"/>
      <c r="O1683" s="75"/>
      <c r="AX1683" s="6"/>
    </row>
    <row r="1684" spans="1:51" x14ac:dyDescent="0.35">
      <c r="A1684" s="366">
        <v>8</v>
      </c>
      <c r="B1684" s="738">
        <v>802.2</v>
      </c>
      <c r="C1684" s="731" t="s">
        <v>256</v>
      </c>
      <c r="D1684" s="731"/>
      <c r="E1684" s="731"/>
      <c r="F1684" s="746"/>
      <c r="G1684" s="366" t="str">
        <f ca="1">IF(N1684&gt;0,"P","")</f>
        <v>P</v>
      </c>
      <c r="H1684" s="366" t="s">
        <v>3972</v>
      </c>
      <c r="I1684" s="30"/>
      <c r="J1684" s="129" t="s">
        <v>256</v>
      </c>
      <c r="K1684" s="133"/>
      <c r="L1684" s="228" t="s">
        <v>784</v>
      </c>
      <c r="M1684" s="268">
        <v>2</v>
      </c>
      <c r="N1684" s="546">
        <f ca="1">'Ch8'!O55</f>
        <v>2</v>
      </c>
      <c r="O1684" s="309">
        <f ca="1">2*S1684*W1684</f>
        <v>0</v>
      </c>
      <c r="P1684" t="b">
        <v>0</v>
      </c>
      <c r="Q1684" t="b">
        <v>1</v>
      </c>
      <c r="R1684" t="b">
        <v>0</v>
      </c>
      <c r="S1684" t="b">
        <f ca="1">S1643=2</f>
        <v>0</v>
      </c>
      <c r="T1684" t="b">
        <f ca="1">IF(AND(NOT(S1684),W1684=TRUE),TRUE,FALSE)</f>
        <v>0</v>
      </c>
      <c r="W1684" s="17"/>
      <c r="X1684" s="36"/>
      <c r="Y1684" s="396" t="str">
        <f>IF(LEN('Ch8'!X55)=0,"None",'Ch8'!X55)</f>
        <v>None</v>
      </c>
      <c r="Z1684" s="652"/>
      <c r="AC1684" t="b">
        <f ca="1">OR(AD1684:AE1684)</f>
        <v>0</v>
      </c>
      <c r="AD1684" t="b">
        <f ca="1">T1684</f>
        <v>0</v>
      </c>
      <c r="AL1684" t="str">
        <f>SUBSTITUTE(SUBSTITUTE(SUBSTITUTE("vpa"&amp;$B1684&amp;$C1684&amp;$D1684&amp;$E1684,".","_"),"(","_"),")","")</f>
        <v>vpa802_2_1</v>
      </c>
      <c r="AM1684">
        <f>M1684</f>
        <v>2</v>
      </c>
      <c r="AN1684" t="str">
        <f>SUBSTITUTE(SUBSTITUTE(SUBSTITUTE("vpc"&amp;$B1684&amp;$C1684&amp;$D1684&amp;$E1684,".","_"),"(","_"),")","")</f>
        <v>vpc802_2_1</v>
      </c>
      <c r="AO1684">
        <f ca="1">O1684</f>
        <v>0</v>
      </c>
      <c r="AP1684" t="str">
        <f>SUBSTITUTE(SUBSTITUTE(SUBSTITUTE("vch"&amp;$B1684&amp;$C1684&amp;$D1684&amp;$E1684,".","_"),"(","_"),")","")</f>
        <v>vch802_2_1</v>
      </c>
      <c r="AQ1684" t="str">
        <f>IF(LEN(W1684)=0,"",W1684)</f>
        <v/>
      </c>
      <c r="AR1684" t="str">
        <f>SUBSTITUTE(SUBSTITUTE(SUBSTITUTE("vnt"&amp;$B1684&amp;$C1684&amp;$D1684&amp;$E1684,".","_"),"(","_"),")","")</f>
        <v>vnt802_2_1</v>
      </c>
      <c r="AS1684" t="str">
        <f>IF(LEN(X1684)=0,"",X1684)</f>
        <v/>
      </c>
      <c r="AX1684" s="6" t="str">
        <f>'Overview (Verification)'!A54</f>
        <v>Special Design Features:</v>
      </c>
    </row>
    <row r="1685" spans="1:51" x14ac:dyDescent="0.35">
      <c r="A1685" s="366">
        <v>8</v>
      </c>
      <c r="B1685" s="738">
        <v>802.2</v>
      </c>
      <c r="C1685" s="731" t="s">
        <v>258</v>
      </c>
      <c r="D1685" s="731"/>
      <c r="E1685" s="731"/>
      <c r="F1685" s="746"/>
      <c r="G1685" s="366" t="str">
        <f ca="1">IF(N1685&gt;0,"P","")</f>
        <v>P</v>
      </c>
      <c r="H1685" s="366" t="s">
        <v>3972</v>
      </c>
      <c r="I1685" s="30"/>
      <c r="J1685" s="129" t="s">
        <v>258</v>
      </c>
      <c r="K1685" s="133"/>
      <c r="L1685" s="228" t="s">
        <v>4397</v>
      </c>
      <c r="M1685" s="268">
        <v>13</v>
      </c>
      <c r="N1685" s="834">
        <f ca="1">'Ch8'!O56</f>
        <v>13</v>
      </c>
      <c r="O1685" s="832">
        <f ca="1">IFERROR(INDEX({13,18},MATCH(W1685,INDIRECT(U1685),0)),0)</f>
        <v>0</v>
      </c>
      <c r="P1685" t="b">
        <v>0</v>
      </c>
      <c r="Q1685" t="b">
        <v>1</v>
      </c>
      <c r="R1685" t="b">
        <v>0</v>
      </c>
      <c r="S1685" t="b">
        <f ca="1">S1643=2</f>
        <v>0</v>
      </c>
      <c r="T1685" t="b">
        <f ca="1">IF(AND(NOT(S1685),LEN(W1685)&gt;0),TRUE,FALSE)</f>
        <v>0</v>
      </c>
      <c r="U1685" t="str">
        <f>SUBSTITUTE(SUBSTITUTE(SUBSTITUTE("dd"&amp;B1685&amp;C1685&amp;D1685&amp;E1685&amp;F1685,".","_"),"(","_"),")","")</f>
        <v>dd802_2_2</v>
      </c>
      <c r="W1685" s="9"/>
      <c r="X1685" s="817"/>
      <c r="Y1685" s="1100" t="str">
        <f>IF(LEN('Ch8'!X56)=0,"None",'Ch8'!X56)</f>
        <v>None</v>
      </c>
      <c r="Z1685" s="1102"/>
      <c r="AC1685" t="b">
        <f ca="1">OR(AD1685:AE1685)</f>
        <v>0</v>
      </c>
      <c r="AD1685" t="b">
        <f ca="1">T1685</f>
        <v>0</v>
      </c>
      <c r="AL1685" t="str">
        <f>SUBSTITUTE(SUBSTITUTE(SUBSTITUTE("vpa"&amp;$B1685&amp;$C1685&amp;$D1685&amp;$E1685,".","_"),"(","_"),")","")</f>
        <v>vpa802_2_2</v>
      </c>
      <c r="AM1685">
        <f>M1685</f>
        <v>13</v>
      </c>
      <c r="AN1685" t="str">
        <f>SUBSTITUTE(SUBSTITUTE(SUBSTITUTE("vpc"&amp;$B1685&amp;$C1685&amp;$D1685&amp;$E1685,".","_"),"(","_"),")","")</f>
        <v>vpc802_2_2</v>
      </c>
      <c r="AO1685">
        <f ca="1">O1685</f>
        <v>0</v>
      </c>
      <c r="AP1685" t="str">
        <f>SUBSTITUTE(SUBSTITUTE(SUBSTITUTE("vch"&amp;$B1685&amp;$C1685&amp;$D1685&amp;$E1685,".","_"),"(","_"),")","")</f>
        <v>vch802_2_2</v>
      </c>
      <c r="AQ1685" t="str">
        <f>IF(LEN(W1685)=0,"",W1685)</f>
        <v/>
      </c>
      <c r="AR1685" t="str">
        <f>SUBSTITUTE(SUBSTITUTE(SUBSTITUTE("vnt"&amp;$B1685&amp;$C1685&amp;$D1685&amp;$E1685,".","_"),"(","_"),")","")</f>
        <v>vnt802_2_2</v>
      </c>
      <c r="AS1685" t="str">
        <f>IF(LEN(X1685)=0,"",X1685)</f>
        <v/>
      </c>
      <c r="AX1685" s="6" t="str">
        <f>'Overview (Verification)'!A55</f>
        <v>Passive Solar:</v>
      </c>
      <c r="AY1685">
        <f>IF(LEN('Overview (Verification)'!P55)=0,0,'Overview (Verification)'!P55)</f>
        <v>0</v>
      </c>
    </row>
    <row r="1686" spans="1:51" x14ac:dyDescent="0.35">
      <c r="A1686" s="366">
        <v>8</v>
      </c>
      <c r="B1686" s="738">
        <v>802.2</v>
      </c>
      <c r="C1686" s="731" t="s">
        <v>260</v>
      </c>
      <c r="D1686" s="731"/>
      <c r="E1686" s="731"/>
      <c r="F1686" s="746"/>
      <c r="G1686" s="366" t="str">
        <f ca="1">G1685</f>
        <v>P</v>
      </c>
      <c r="H1686" s="366" t="s">
        <v>3972</v>
      </c>
      <c r="I1686" s="30"/>
      <c r="J1686" s="19" t="s">
        <v>260</v>
      </c>
      <c r="K1686" s="4"/>
      <c r="L1686" s="90" t="s">
        <v>4398</v>
      </c>
      <c r="M1686" s="40">
        <v>18</v>
      </c>
      <c r="N1686" s="834"/>
      <c r="O1686" s="832"/>
      <c r="X1686" s="817"/>
      <c r="Y1686" s="1100"/>
      <c r="Z1686" s="1102"/>
      <c r="AL1686" t="str">
        <f>SUBSTITUTE(SUBSTITUTE(SUBSTITUTE("vpa"&amp;$B1686&amp;$C1686&amp;$D1686&amp;$E1686,".","_"),"(","_"),")","")</f>
        <v>vpa802_2_3</v>
      </c>
      <c r="AM1686">
        <f>M1686</f>
        <v>18</v>
      </c>
      <c r="AX1686" s="6" t="str">
        <f>'Overview (Verification)'!A56</f>
        <v>Mass Walls:</v>
      </c>
      <c r="AY1686">
        <f>IF(LEN('Overview (Verification)'!P56)=0,0,'Overview (Verification)'!P56)</f>
        <v>0</v>
      </c>
    </row>
    <row r="1687" spans="1:51" x14ac:dyDescent="0.35">
      <c r="A1687" s="366">
        <v>8</v>
      </c>
      <c r="B1687" s="738">
        <v>802.2</v>
      </c>
      <c r="C1687" s="731"/>
      <c r="D1687" s="731"/>
      <c r="E1687" s="731"/>
      <c r="F1687" s="731"/>
      <c r="G1687" s="366" t="str">
        <f ca="1">G1686</f>
        <v>P</v>
      </c>
      <c r="H1687" s="366" t="s">
        <v>3972</v>
      </c>
      <c r="I1687" s="30"/>
      <c r="J1687" s="19"/>
      <c r="K1687" s="4"/>
      <c r="L1687" s="893" t="s">
        <v>3585</v>
      </c>
      <c r="M1687" s="40"/>
      <c r="N1687" s="41"/>
      <c r="O1687" s="75"/>
      <c r="X1687" s="817"/>
      <c r="Y1687" s="1100"/>
      <c r="Z1687" s="1102"/>
      <c r="AX1687" s="6" t="str">
        <f>'Overview (Verification)'!A57</f>
        <v>Radiant/Hydronic:</v>
      </c>
      <c r="AY1687">
        <f>IF(LEN('Overview (Verification)'!P57)=0,0,'Overview (Verification)'!P57)</f>
        <v>0</v>
      </c>
    </row>
    <row r="1688" spans="1:51" x14ac:dyDescent="0.35">
      <c r="A1688" s="366">
        <v>8</v>
      </c>
      <c r="B1688" s="738">
        <v>802.2</v>
      </c>
      <c r="C1688" s="731"/>
      <c r="D1688" s="731"/>
      <c r="E1688" s="731"/>
      <c r="F1688" s="731"/>
      <c r="G1688" s="366" t="str">
        <f ca="1">G1687</f>
        <v>P</v>
      </c>
      <c r="H1688" s="366" t="s">
        <v>3972</v>
      </c>
      <c r="I1688" s="30"/>
      <c r="J1688" s="19"/>
      <c r="K1688" s="4"/>
      <c r="L1688" s="902"/>
      <c r="M1688" s="40"/>
      <c r="N1688" s="41"/>
      <c r="O1688" s="75"/>
      <c r="X1688" s="817"/>
      <c r="Y1688" s="1100"/>
      <c r="Z1688" s="1102"/>
      <c r="AX1688" s="6" t="str">
        <f>'Overview (Verification)'!A58</f>
        <v>Tankless Water Heater:</v>
      </c>
      <c r="AY1688">
        <f>IF(LEN('Overview (Verification)'!P58)=0,0,'Overview (Verification)'!P58)</f>
        <v>0</v>
      </c>
    </row>
    <row r="1689" spans="1:51" x14ac:dyDescent="0.35">
      <c r="A1689" s="366">
        <v>8</v>
      </c>
      <c r="B1689" s="738">
        <v>802.2</v>
      </c>
      <c r="C1689" s="731"/>
      <c r="D1689" s="731"/>
      <c r="E1689" s="731"/>
      <c r="F1689" s="731"/>
      <c r="G1689" s="366" t="str">
        <f ca="1">G1688</f>
        <v>P</v>
      </c>
      <c r="H1689" s="366" t="s">
        <v>3972</v>
      </c>
      <c r="I1689" s="30"/>
      <c r="L1689" s="855" t="s">
        <v>3586</v>
      </c>
      <c r="M1689" s="301"/>
      <c r="N1689" s="41"/>
      <c r="O1689" s="75"/>
      <c r="X1689" s="817"/>
      <c r="Y1689" s="1100"/>
      <c r="Z1689" s="1102"/>
      <c r="AX1689" s="6" t="str">
        <f>'Overview (Verification)'!A59</f>
        <v>Composting Toilet:</v>
      </c>
      <c r="AY1689">
        <f>IF(LEN('Overview (Verification)'!P59)=0,0,'Overview (Verification)'!P59)</f>
        <v>0</v>
      </c>
    </row>
    <row r="1690" spans="1:51" ht="15" thickBot="1" x14ac:dyDescent="0.4">
      <c r="A1690" s="366">
        <v>8</v>
      </c>
      <c r="B1690" s="738">
        <v>802.2</v>
      </c>
      <c r="C1690" s="731"/>
      <c r="D1690" s="731"/>
      <c r="E1690" s="731"/>
      <c r="F1690" s="731"/>
      <c r="G1690" s="366" t="str">
        <f ca="1">G1689</f>
        <v>P</v>
      </c>
      <c r="H1690" s="366" t="s">
        <v>3972</v>
      </c>
      <c r="I1690" s="114"/>
      <c r="J1690" s="55"/>
      <c r="K1690" s="55"/>
      <c r="L1690" s="922"/>
      <c r="M1690" s="313"/>
      <c r="N1690" s="72"/>
      <c r="O1690" s="161"/>
      <c r="P1690" s="55"/>
      <c r="Q1690" s="55"/>
      <c r="R1690" s="55"/>
      <c r="S1690" s="55"/>
      <c r="T1690" s="55"/>
      <c r="U1690" s="55"/>
      <c r="V1690" s="55"/>
      <c r="W1690" s="55"/>
      <c r="X1690" s="829"/>
      <c r="Y1690" s="1101"/>
      <c r="Z1690" s="1104"/>
      <c r="AX1690" s="6"/>
    </row>
    <row r="1691" spans="1:51" ht="15" thickTop="1" x14ac:dyDescent="0.35">
      <c r="A1691" s="366">
        <v>8</v>
      </c>
      <c r="B1691" s="745">
        <v>802.3</v>
      </c>
      <c r="C1691" s="732"/>
      <c r="D1691" s="732"/>
      <c r="E1691" s="732"/>
      <c r="F1691" s="732"/>
      <c r="G1691" s="727" t="str">
        <f ca="1">IF(COUNTIF(G1693:G1699,"P")&gt;0,"P","")</f>
        <v/>
      </c>
      <c r="H1691" s="366" t="s">
        <v>3972</v>
      </c>
      <c r="I1691" s="500">
        <v>802.3</v>
      </c>
      <c r="J1691" s="402"/>
      <c r="K1691" s="481"/>
      <c r="L1691" s="495" t="s">
        <v>4399</v>
      </c>
      <c r="M1691" s="40"/>
      <c r="O1691" s="75"/>
      <c r="AX1691" s="6" t="str">
        <f>'Overview (Verification)'!A61</f>
        <v>Local Energy Code:</v>
      </c>
      <c r="AY1691">
        <f>IF(LEN('Overview (Verification)'!P61)=0,0,'Overview (Verification)'!P61)</f>
        <v>0</v>
      </c>
    </row>
    <row r="1692" spans="1:51" x14ac:dyDescent="0.35">
      <c r="A1692" s="366">
        <v>8</v>
      </c>
      <c r="B1692" s="745">
        <v>802.3</v>
      </c>
      <c r="C1692" s="736" t="s">
        <v>256</v>
      </c>
      <c r="D1692" s="736"/>
      <c r="E1692" s="732"/>
      <c r="G1692" s="727" t="str">
        <f ca="1">IF(COUNTIF(G1693:G1695,"P")&gt;0,"P","")</f>
        <v/>
      </c>
      <c r="H1692" s="366" t="s">
        <v>3972</v>
      </c>
      <c r="I1692" s="500"/>
      <c r="J1692" s="402" t="s">
        <v>256</v>
      </c>
      <c r="K1692" s="481"/>
      <c r="L1692" s="499" t="s">
        <v>4400</v>
      </c>
      <c r="M1692" s="40"/>
      <c r="O1692" s="75"/>
      <c r="AX1692" s="6" t="str">
        <f>'Overview (Verification)'!A62</f>
        <v>Local Building Code:</v>
      </c>
      <c r="AY1692">
        <f>IF(LEN('Overview (Verification)'!P62)=0,0,'Overview (Verification)'!P62)</f>
        <v>0</v>
      </c>
    </row>
    <row r="1693" spans="1:51" ht="15" customHeight="1" x14ac:dyDescent="0.35">
      <c r="A1693" s="366">
        <v>8</v>
      </c>
      <c r="B1693" s="745">
        <v>802.3</v>
      </c>
      <c r="C1693" s="736" t="s">
        <v>256</v>
      </c>
      <c r="D1693" s="736" t="s">
        <v>121</v>
      </c>
      <c r="E1693" s="732"/>
      <c r="G1693" s="366" t="str">
        <f ca="1">IF(N1693&gt;0,"P","")</f>
        <v/>
      </c>
      <c r="H1693" s="366" t="s">
        <v>3972</v>
      </c>
      <c r="I1693" s="500"/>
      <c r="J1693" s="402"/>
      <c r="K1693" s="481" t="s">
        <v>121</v>
      </c>
      <c r="L1693" s="814" t="s">
        <v>4401</v>
      </c>
      <c r="M1693" s="906" t="s">
        <v>4404</v>
      </c>
      <c r="N1693" s="835">
        <f ca="1">'Ch8'!O64</f>
        <v>0</v>
      </c>
      <c r="O1693" s="832">
        <f ca="1">W1693*2*S1693</f>
        <v>0</v>
      </c>
      <c r="P1693" t="b">
        <v>0</v>
      </c>
      <c r="Q1693" t="b">
        <v>1</v>
      </c>
      <c r="R1693" t="b">
        <v>0</v>
      </c>
      <c r="S1693" t="b">
        <f ca="1">AND(AY1648=INDEX(INDIRECT("ddSingleOrMulti"),1),S1643=2)</f>
        <v>0</v>
      </c>
      <c r="T1693" t="b">
        <f ca="1">IF(AND(NOT(S1693),LEN(W1693)&gt;0),TRUE,FALSE)</f>
        <v>0</v>
      </c>
      <c r="W1693" s="501"/>
      <c r="X1693" s="817"/>
      <c r="Y1693" s="1119" t="str">
        <f>IF(LEN('Ch8'!X64)=0,"None",'Ch8'!X64)</f>
        <v>None</v>
      </c>
      <c r="Z1693" s="1105"/>
      <c r="AC1693" t="b">
        <f ca="1">OR(AD1693:AE1693)</f>
        <v>0</v>
      </c>
      <c r="AD1693" t="b">
        <f ca="1">T1693</f>
        <v>0</v>
      </c>
      <c r="AL1693" t="str">
        <f>SUBSTITUTE(SUBSTITUTE(SUBSTITUTE("vpa"&amp;$B1693&amp;$C1693&amp;$D1693&amp;$E1693,".","_"),"(","_"),")","")</f>
        <v>vpa802_3_1_a</v>
      </c>
      <c r="AM1693" t="str">
        <f>M1693</f>
        <v>2 per unique meter</v>
      </c>
      <c r="AN1693" t="str">
        <f>SUBSTITUTE(SUBSTITUTE(SUBSTITUTE("vpc"&amp;$B1693&amp;$C1693&amp;$D1693&amp;$E1693,".","_"),"(","_"),")","")</f>
        <v>vpc802_3_1_a</v>
      </c>
      <c r="AO1693">
        <f ca="1">O1693</f>
        <v>0</v>
      </c>
      <c r="AP1693" t="str">
        <f>SUBSTITUTE(SUBSTITUTE(SUBSTITUTE("vch"&amp;$B1693&amp;$C1693&amp;$D1693&amp;$E1693,".","_"),"(","_"),")","")</f>
        <v>vch802_3_1_a</v>
      </c>
      <c r="AQ1693" t="str">
        <f>IF(LEN(W1693)=0,"",W1693)</f>
        <v/>
      </c>
      <c r="AR1693" t="str">
        <f>SUBSTITUTE(SUBSTITUTE(SUBSTITUTE("vnt"&amp;$B1693&amp;$C1693&amp;$D1693&amp;$E1693,".","_"),"(","_"),")","")</f>
        <v>vnt802_3_1_a</v>
      </c>
      <c r="AS1693" t="str">
        <f>IF(LEN(X1693)=0,"",X1693)</f>
        <v/>
      </c>
    </row>
    <row r="1694" spans="1:51" x14ac:dyDescent="0.35">
      <c r="A1694" s="366">
        <v>8</v>
      </c>
      <c r="B1694" s="745">
        <v>802.3</v>
      </c>
      <c r="C1694" s="736" t="s">
        <v>256</v>
      </c>
      <c r="D1694" s="736" t="s">
        <v>121</v>
      </c>
      <c r="E1694" s="732"/>
      <c r="G1694" s="366" t="str">
        <f ca="1">G1693</f>
        <v/>
      </c>
      <c r="H1694" s="366" t="s">
        <v>3972</v>
      </c>
      <c r="I1694" s="500"/>
      <c r="J1694" s="402"/>
      <c r="K1694" s="482"/>
      <c r="L1694" s="815"/>
      <c r="M1694" s="906"/>
      <c r="N1694" s="835"/>
      <c r="O1694" s="824"/>
      <c r="X1694" s="817"/>
      <c r="Y1694" s="1117"/>
      <c r="Z1694" s="1103"/>
    </row>
    <row r="1695" spans="1:51" ht="15" customHeight="1" x14ac:dyDescent="0.35">
      <c r="A1695" s="366">
        <v>8</v>
      </c>
      <c r="B1695" s="745">
        <v>802.3</v>
      </c>
      <c r="C1695" s="736" t="s">
        <v>256</v>
      </c>
      <c r="D1695" s="736" t="s">
        <v>122</v>
      </c>
      <c r="E1695" s="732"/>
      <c r="G1695" s="366" t="str">
        <f ca="1">IF(N1695&gt;0,"P","")</f>
        <v/>
      </c>
      <c r="H1695" s="366" t="s">
        <v>3972</v>
      </c>
      <c r="I1695" s="500"/>
      <c r="J1695" s="402"/>
      <c r="K1695" s="481" t="s">
        <v>122</v>
      </c>
      <c r="L1695" s="814" t="s">
        <v>4402</v>
      </c>
      <c r="M1695" s="917" t="s">
        <v>4405</v>
      </c>
      <c r="N1695" s="963">
        <f ca="1">'Ch8'!O66</f>
        <v>0</v>
      </c>
      <c r="O1695" s="832">
        <f ca="1">W1695*2*S1695</f>
        <v>0</v>
      </c>
      <c r="P1695" t="b">
        <v>0</v>
      </c>
      <c r="Q1695" t="b">
        <v>1</v>
      </c>
      <c r="R1695" t="b">
        <v>0</v>
      </c>
      <c r="S1695" t="b">
        <f ca="1">AND(AY1648=INDEX(INDIRECT("ddSingleOrMulti"),1),S1643=2)</f>
        <v>0</v>
      </c>
      <c r="T1695" t="b">
        <f ca="1">IF(AND(NOT(S1695),LEN(W1695)&gt;0),TRUE,FALSE)</f>
        <v>0</v>
      </c>
      <c r="W1695" s="502"/>
      <c r="X1695" s="817"/>
      <c r="Y1695" s="1100" t="str">
        <f>IF(LEN('Ch8'!X66)=0,"None",'Ch8'!X66)</f>
        <v>None</v>
      </c>
      <c r="Z1695" s="1102"/>
      <c r="AC1695" t="b">
        <f ca="1">OR(AD1695:AE1695)</f>
        <v>0</v>
      </c>
      <c r="AD1695" t="b">
        <f ca="1">T1695</f>
        <v>0</v>
      </c>
      <c r="AL1695" t="str">
        <f>SUBSTITUTE(SUBSTITUTE(SUBSTITUTE("vpa"&amp;$B1695&amp;$C1695&amp;$D1695&amp;$E1695,".","_"),"(","_"),")","")</f>
        <v>vpa802_3_1_b</v>
      </c>
      <c r="AM1695" t="str">
        <f>M1695</f>
        <v>2 per sensor package</v>
      </c>
      <c r="AN1695" t="str">
        <f>SUBSTITUTE(SUBSTITUTE(SUBSTITUTE("vpc"&amp;$B1695&amp;$C1695&amp;$D1695&amp;$E1695,".","_"),"(","_"),")","")</f>
        <v>vpc802_3_1_b</v>
      </c>
      <c r="AO1695">
        <f ca="1">O1695</f>
        <v>0</v>
      </c>
      <c r="AP1695" t="str">
        <f>SUBSTITUTE(SUBSTITUTE(SUBSTITUTE("vch"&amp;$B1695&amp;$C1695&amp;$D1695&amp;$E1695,".","_"),"(","_"),")","")</f>
        <v>vch802_3_1_b</v>
      </c>
      <c r="AQ1695" t="str">
        <f>IF(LEN(W1695)=0,"",W1695)</f>
        <v/>
      </c>
      <c r="AR1695" t="str">
        <f>SUBSTITUTE(SUBSTITUTE(SUBSTITUTE("vnt"&amp;$B1695&amp;$C1695&amp;$D1695&amp;$E1695,".","_"),"(","_"),")","")</f>
        <v>vnt802_3_1_b</v>
      </c>
      <c r="AS1695" t="str">
        <f>IF(LEN(X1695)=0,"",X1695)</f>
        <v/>
      </c>
    </row>
    <row r="1696" spans="1:51" x14ac:dyDescent="0.35">
      <c r="A1696" s="366">
        <v>8</v>
      </c>
      <c r="B1696" s="745">
        <v>802.3</v>
      </c>
      <c r="C1696" s="736" t="s">
        <v>256</v>
      </c>
      <c r="D1696" s="736" t="s">
        <v>122</v>
      </c>
      <c r="E1696" s="732"/>
      <c r="G1696" s="366" t="str">
        <f ca="1">G1695</f>
        <v/>
      </c>
      <c r="H1696" s="366" t="s">
        <v>3972</v>
      </c>
      <c r="I1696" s="500"/>
      <c r="J1696" s="402"/>
      <c r="K1696" s="481"/>
      <c r="L1696" s="814"/>
      <c r="M1696" s="843"/>
      <c r="N1696" s="834"/>
      <c r="O1696" s="832"/>
      <c r="X1696" s="817"/>
      <c r="Y1696" s="1100"/>
      <c r="Z1696" s="1102"/>
    </row>
    <row r="1697" spans="1:45" x14ac:dyDescent="0.35">
      <c r="A1697" s="366">
        <v>8</v>
      </c>
      <c r="B1697" s="745">
        <v>802.3</v>
      </c>
      <c r="C1697" s="736" t="s">
        <v>256</v>
      </c>
      <c r="D1697" s="736" t="s">
        <v>122</v>
      </c>
      <c r="E1697" s="732"/>
      <c r="G1697" s="366" t="str">
        <f ca="1">G1696</f>
        <v/>
      </c>
      <c r="H1697" s="366" t="s">
        <v>3972</v>
      </c>
      <c r="I1697" s="500"/>
      <c r="J1697" s="402"/>
      <c r="K1697" s="481"/>
      <c r="L1697" s="814"/>
      <c r="M1697" s="843"/>
      <c r="N1697" s="834"/>
      <c r="O1697" s="832"/>
      <c r="X1697" s="817"/>
      <c r="Y1697" s="1100"/>
      <c r="Z1697" s="1102"/>
    </row>
    <row r="1698" spans="1:45" x14ac:dyDescent="0.35">
      <c r="A1698" s="366">
        <v>8</v>
      </c>
      <c r="B1698" s="745">
        <v>802.3</v>
      </c>
      <c r="C1698" s="736" t="s">
        <v>256</v>
      </c>
      <c r="D1698" s="736" t="s">
        <v>122</v>
      </c>
      <c r="E1698" s="732"/>
      <c r="G1698" s="366" t="str">
        <f ca="1">G1697</f>
        <v/>
      </c>
      <c r="H1698" s="366" t="s">
        <v>3972</v>
      </c>
      <c r="I1698" s="500"/>
      <c r="J1698" s="416"/>
      <c r="K1698" s="482"/>
      <c r="L1698" s="815"/>
      <c r="M1698" s="906"/>
      <c r="N1698" s="835"/>
      <c r="O1698" s="824"/>
      <c r="X1698" s="817"/>
      <c r="Y1698" s="1100"/>
      <c r="Z1698" s="1102"/>
    </row>
    <row r="1699" spans="1:45" x14ac:dyDescent="0.35">
      <c r="A1699" s="366">
        <v>8</v>
      </c>
      <c r="B1699" s="745">
        <v>802.3</v>
      </c>
      <c r="C1699" s="736" t="s">
        <v>258</v>
      </c>
      <c r="D1699" s="736"/>
      <c r="E1699" s="732"/>
      <c r="G1699" s="727" t="str">
        <f ca="1">IF(COUNTIF(G1702:G1704,"P")&gt;0,"P","")</f>
        <v/>
      </c>
      <c r="H1699" s="366" t="s">
        <v>3972</v>
      </c>
      <c r="I1699" s="500"/>
      <c r="J1699" s="402" t="s">
        <v>258</v>
      </c>
      <c r="K1699" s="481"/>
      <c r="L1699" s="266" t="s">
        <v>4403</v>
      </c>
      <c r="M1699" s="4"/>
      <c r="P1699" s="1"/>
      <c r="Q1699" s="242" t="s">
        <v>4823</v>
      </c>
      <c r="R1699" s="5">
        <f ca="1">SUM(O1649:O1698)+SUM(O1709:O1864)</f>
        <v>0</v>
      </c>
    </row>
    <row r="1700" spans="1:45" x14ac:dyDescent="0.35">
      <c r="A1700" s="366">
        <v>8</v>
      </c>
      <c r="B1700" s="745">
        <v>802.3</v>
      </c>
      <c r="C1700" s="736" t="s">
        <v>258</v>
      </c>
      <c r="D1700" s="736"/>
      <c r="E1700" s="732"/>
      <c r="G1700" s="366" t="str">
        <f ca="1">G1699</f>
        <v/>
      </c>
      <c r="H1700" s="366" t="s">
        <v>3972</v>
      </c>
      <c r="I1700" s="500"/>
      <c r="J1700" s="402"/>
      <c r="L1700" s="838" t="s">
        <v>4407</v>
      </c>
      <c r="M1700" s="949" t="s">
        <v>4826</v>
      </c>
      <c r="P1700" s="1"/>
      <c r="Q1700" s="242" t="s">
        <v>4824</v>
      </c>
      <c r="R1700" s="1" t="b">
        <f ca="1">OR(O1702&lt;R1703,O1704&lt;R1705)</f>
        <v>0</v>
      </c>
    </row>
    <row r="1701" spans="1:45" x14ac:dyDescent="0.35">
      <c r="A1701" s="366">
        <v>8</v>
      </c>
      <c r="B1701" s="745">
        <v>802.3</v>
      </c>
      <c r="C1701" s="736" t="s">
        <v>258</v>
      </c>
      <c r="D1701" s="736"/>
      <c r="E1701" s="732"/>
      <c r="G1701" s="366" t="str">
        <f ca="1">G1700</f>
        <v/>
      </c>
      <c r="H1701" s="366" t="s">
        <v>3972</v>
      </c>
      <c r="I1701" s="500"/>
      <c r="J1701" s="402"/>
      <c r="L1701" s="838"/>
      <c r="M1701" s="950"/>
    </row>
    <row r="1702" spans="1:45" ht="15" customHeight="1" x14ac:dyDescent="0.35">
      <c r="A1702" s="366">
        <v>8</v>
      </c>
      <c r="B1702" s="745">
        <v>802.3</v>
      </c>
      <c r="C1702" s="736" t="s">
        <v>258</v>
      </c>
      <c r="D1702" s="736" t="s">
        <v>121</v>
      </c>
      <c r="E1702" s="732"/>
      <c r="G1702" s="366" t="str">
        <f ca="1">IF(N1702&gt;0,"P","")</f>
        <v/>
      </c>
      <c r="H1702" s="366" t="s">
        <v>3972</v>
      </c>
      <c r="I1702" s="500"/>
      <c r="J1702" s="402"/>
      <c r="K1702" s="481" t="s">
        <v>121</v>
      </c>
      <c r="L1702" s="814" t="s">
        <v>4401</v>
      </c>
      <c r="M1702" s="906" t="s">
        <v>4406</v>
      </c>
      <c r="N1702" s="835">
        <f ca="1">'Ch8'!O73</f>
        <v>0</v>
      </c>
      <c r="O1702" s="832">
        <f ca="1">IF((R1705+R1703)&lt;=R1699,R1703,IF(R1703&lt;=R1705,MIN(R1699/2,R1703),(R1699-O1704)))</f>
        <v>0</v>
      </c>
      <c r="P1702" t="b">
        <v>0</v>
      </c>
      <c r="Q1702" t="b">
        <v>1</v>
      </c>
      <c r="R1702" t="b">
        <v>0</v>
      </c>
      <c r="S1702" t="b">
        <f ca="1">AND(AY1648=INDEX(INDIRECT("ddSingleOrMulti"),2),S1643=2)</f>
        <v>0</v>
      </c>
      <c r="T1702" t="b">
        <f ca="1">IF(AND(NOT(S1702),LEN(W1702)&gt;0),TRUE,FALSE)</f>
        <v>0</v>
      </c>
      <c r="W1702" s="501"/>
      <c r="X1702" s="817"/>
      <c r="Y1702" s="1119" t="str">
        <f>IF(LEN('Ch8'!X73)=0,"None",'Ch8'!X73)</f>
        <v>None</v>
      </c>
      <c r="Z1702" s="1105"/>
      <c r="AC1702" t="b">
        <f ca="1">OR(AD1702:AE1702)</f>
        <v>0</v>
      </c>
      <c r="AD1702" t="b">
        <f ca="1">T1702</f>
        <v>0</v>
      </c>
      <c r="AL1702" t="str">
        <f>SUBSTITUTE(SUBSTITUTE(SUBSTITUTE("vpa"&amp;$B1702&amp;$C1702&amp;$D1702&amp;$E1702,".","_"),"(","_"),")","")</f>
        <v>vpa802_3_2_a</v>
      </c>
      <c r="AM1702" t="str">
        <f>M1702</f>
        <v>2 per unique use meter</v>
      </c>
      <c r="AN1702" t="str">
        <f>SUBSTITUTE(SUBSTITUTE(SUBSTITUTE("vpc"&amp;$B1702&amp;$C1702&amp;$D1702&amp;$E1702,".","_"),"(","_"),")","")</f>
        <v>vpc802_3_2_a</v>
      </c>
      <c r="AO1702">
        <f ca="1">O1702</f>
        <v>0</v>
      </c>
      <c r="AP1702" t="str">
        <f>SUBSTITUTE(SUBSTITUTE(SUBSTITUTE("vch"&amp;$B1702&amp;$C1702&amp;$D1702&amp;$E1702,".","_"),"(","_"),")","")</f>
        <v>vch802_3_2_a</v>
      </c>
      <c r="AQ1702" t="str">
        <f>IF(LEN(W1702)=0,"",W1702)</f>
        <v/>
      </c>
      <c r="AR1702" t="str">
        <f>SUBSTITUTE(SUBSTITUTE(SUBSTITUTE("vnt"&amp;$B1702&amp;$C1702&amp;$D1702&amp;$E1702,".","_"),"(","_"),")","")</f>
        <v>vnt802_3_2_a</v>
      </c>
      <c r="AS1702" t="str">
        <f>IF(LEN(X1702)=0,"",X1702)</f>
        <v/>
      </c>
    </row>
    <row r="1703" spans="1:45" x14ac:dyDescent="0.35">
      <c r="A1703" s="366">
        <v>8</v>
      </c>
      <c r="B1703" s="745">
        <v>802.3</v>
      </c>
      <c r="C1703" s="736" t="s">
        <v>258</v>
      </c>
      <c r="D1703" s="736" t="s">
        <v>121</v>
      </c>
      <c r="E1703" s="732"/>
      <c r="G1703" s="366" t="str">
        <f ca="1">G1702</f>
        <v/>
      </c>
      <c r="H1703" s="366" t="s">
        <v>3972</v>
      </c>
      <c r="I1703" s="500"/>
      <c r="J1703" s="402"/>
      <c r="K1703" s="482"/>
      <c r="L1703" s="815"/>
      <c r="M1703" s="906"/>
      <c r="N1703" s="835"/>
      <c r="O1703" s="824"/>
      <c r="P1703" s="1"/>
      <c r="Q1703" s="242" t="s">
        <v>4825</v>
      </c>
      <c r="R1703" s="5">
        <f ca="1">W1702*2*S1702</f>
        <v>0</v>
      </c>
      <c r="X1703" s="817"/>
      <c r="Y1703" s="1117"/>
      <c r="Z1703" s="1103"/>
    </row>
    <row r="1704" spans="1:45" ht="15" customHeight="1" x14ac:dyDescent="0.35">
      <c r="A1704" s="366">
        <v>8</v>
      </c>
      <c r="B1704" s="745">
        <v>802.3</v>
      </c>
      <c r="C1704" s="736" t="s">
        <v>258</v>
      </c>
      <c r="D1704" s="736" t="s">
        <v>122</v>
      </c>
      <c r="E1704" s="732"/>
      <c r="G1704" s="366" t="str">
        <f ca="1">IF(N1704&gt;0,"P","")</f>
        <v/>
      </c>
      <c r="H1704" s="366" t="s">
        <v>3972</v>
      </c>
      <c r="I1704" s="500"/>
      <c r="J1704" s="402"/>
      <c r="K1704" s="481" t="s">
        <v>122</v>
      </c>
      <c r="L1704" s="814" t="s">
        <v>4402</v>
      </c>
      <c r="M1704" s="917" t="s">
        <v>4405</v>
      </c>
      <c r="N1704" s="963">
        <f ca="1">'Ch8'!O75</f>
        <v>0</v>
      </c>
      <c r="O1704" s="832">
        <f ca="1">IF((R1705+R1703)&lt;=R1699,R1705,IF(R1705&lt;=R1703,MIN(R1699/2,R1705),(R1699-O1702)))</f>
        <v>0</v>
      </c>
      <c r="P1704" t="b">
        <v>0</v>
      </c>
      <c r="Q1704" t="b">
        <v>1</v>
      </c>
      <c r="R1704" t="b">
        <v>0</v>
      </c>
      <c r="S1704" t="b">
        <f ca="1">AND(AY1648=INDEX(INDIRECT("ddSingleOrMulti"),2),S1643=2)</f>
        <v>0</v>
      </c>
      <c r="T1704" t="b">
        <f ca="1">IF(AND(NOT(S1704),LEN(W1704)&gt;0),TRUE,FALSE)</f>
        <v>0</v>
      </c>
      <c r="W1704" s="502"/>
      <c r="X1704" s="817"/>
      <c r="Y1704" s="1119" t="str">
        <f>IF(LEN('Ch8'!X75)=0,"None",'Ch8'!X75)</f>
        <v>None</v>
      </c>
      <c r="Z1704" s="1105"/>
      <c r="AC1704" t="b">
        <f ca="1">OR(AD1704:AE1704)</f>
        <v>0</v>
      </c>
      <c r="AD1704" t="b">
        <f ca="1">T1704</f>
        <v>0</v>
      </c>
      <c r="AL1704" t="str">
        <f>SUBSTITUTE(SUBSTITUTE(SUBSTITUTE("vpa"&amp;$B1704&amp;$C1704&amp;$D1704&amp;$E1704,".","_"),"(","_"),")","")</f>
        <v>vpa802_3_2_b</v>
      </c>
      <c r="AM1704" t="str">
        <f>M1704</f>
        <v>2 per sensor package</v>
      </c>
      <c r="AN1704" t="str">
        <f>SUBSTITUTE(SUBSTITUTE(SUBSTITUTE("vpc"&amp;$B1704&amp;$C1704&amp;$D1704&amp;$E1704,".","_"),"(","_"),")","")</f>
        <v>vpc802_3_2_b</v>
      </c>
      <c r="AO1704">
        <f ca="1">O1704</f>
        <v>0</v>
      </c>
      <c r="AP1704" t="str">
        <f>SUBSTITUTE(SUBSTITUTE(SUBSTITUTE("vch"&amp;$B1704&amp;$C1704&amp;$D1704&amp;$E1704,".","_"),"(","_"),")","")</f>
        <v>vch802_3_2_b</v>
      </c>
      <c r="AQ1704" t="str">
        <f>IF(LEN(W1704)=0,"",W1704)</f>
        <v/>
      </c>
      <c r="AR1704" t="str">
        <f>SUBSTITUTE(SUBSTITUTE(SUBSTITUTE("vnt"&amp;$B1704&amp;$C1704&amp;$D1704&amp;$E1704,".","_"),"(","_"),")","")</f>
        <v>vnt802_3_2_b</v>
      </c>
      <c r="AS1704" t="str">
        <f>IF(LEN(X1704)=0,"",X1704)</f>
        <v/>
      </c>
    </row>
    <row r="1705" spans="1:45" x14ac:dyDescent="0.35">
      <c r="A1705" s="366">
        <v>8</v>
      </c>
      <c r="B1705" s="745">
        <v>802.3</v>
      </c>
      <c r="C1705" s="736" t="s">
        <v>258</v>
      </c>
      <c r="D1705" s="736" t="s">
        <v>122</v>
      </c>
      <c r="E1705" s="732"/>
      <c r="G1705" s="366" t="str">
        <f ca="1">G1704</f>
        <v/>
      </c>
      <c r="H1705" s="366" t="s">
        <v>3972</v>
      </c>
      <c r="I1705" s="500"/>
      <c r="J1705" s="402"/>
      <c r="K1705" s="481"/>
      <c r="L1705" s="814"/>
      <c r="M1705" s="843"/>
      <c r="N1705" s="834"/>
      <c r="O1705" s="832"/>
      <c r="P1705" s="1"/>
      <c r="Q1705" s="242" t="s">
        <v>4825</v>
      </c>
      <c r="R1705" s="5">
        <f ca="1">W1704*2*S1704</f>
        <v>0</v>
      </c>
      <c r="X1705" s="817"/>
      <c r="Y1705" s="1120"/>
      <c r="Z1705" s="1109"/>
    </row>
    <row r="1706" spans="1:45" x14ac:dyDescent="0.35">
      <c r="A1706" s="366">
        <v>8</v>
      </c>
      <c r="B1706" s="745">
        <v>802.3</v>
      </c>
      <c r="C1706" s="736" t="s">
        <v>258</v>
      </c>
      <c r="D1706" s="736" t="s">
        <v>122</v>
      </c>
      <c r="E1706" s="732"/>
      <c r="G1706" s="366" t="str">
        <f ca="1">G1705</f>
        <v/>
      </c>
      <c r="H1706" s="366" t="s">
        <v>3972</v>
      </c>
      <c r="I1706" s="500"/>
      <c r="J1706" s="402"/>
      <c r="K1706" s="481"/>
      <c r="L1706" s="814"/>
      <c r="M1706" s="843"/>
      <c r="N1706" s="834"/>
      <c r="O1706" s="832"/>
      <c r="X1706" s="817"/>
      <c r="Y1706" s="1120"/>
      <c r="Z1706" s="1109"/>
    </row>
    <row r="1707" spans="1:45" ht="15" thickBot="1" x14ac:dyDescent="0.4">
      <c r="A1707" s="366">
        <v>8</v>
      </c>
      <c r="B1707" s="745">
        <v>802.3</v>
      </c>
      <c r="C1707" s="736" t="s">
        <v>258</v>
      </c>
      <c r="D1707" s="736" t="s">
        <v>122</v>
      </c>
      <c r="E1707" s="732"/>
      <c r="G1707" s="366" t="str">
        <f ca="1">G1706</f>
        <v/>
      </c>
      <c r="H1707" s="366" t="s">
        <v>3972</v>
      </c>
      <c r="I1707" s="503"/>
      <c r="J1707" s="407"/>
      <c r="K1707" s="491"/>
      <c r="L1707" s="839"/>
      <c r="M1707" s="945"/>
      <c r="N1707" s="863"/>
      <c r="O1707" s="833"/>
      <c r="P1707" s="55"/>
      <c r="Q1707" s="55"/>
      <c r="R1707" s="55"/>
      <c r="S1707" s="55"/>
      <c r="T1707" s="55"/>
      <c r="U1707" s="55"/>
      <c r="V1707" s="55"/>
      <c r="W1707" s="64"/>
      <c r="X1707" s="829"/>
      <c r="Y1707" s="1121"/>
      <c r="Z1707" s="1108"/>
    </row>
    <row r="1708" spans="1:45" ht="15" thickTop="1" x14ac:dyDescent="0.35">
      <c r="A1708" s="366">
        <v>8</v>
      </c>
      <c r="B1708" s="738" t="s">
        <v>4408</v>
      </c>
      <c r="C1708" s="731"/>
      <c r="D1708" s="731"/>
      <c r="E1708" s="731"/>
      <c r="F1708" s="731"/>
      <c r="G1708" s="727" t="str">
        <f ca="1">IF(COUNTIF(G1709:G1726,"P")&gt;0,"P","")</f>
        <v/>
      </c>
      <c r="H1708" s="366" t="s">
        <v>3972</v>
      </c>
      <c r="I1708" s="30">
        <v>802.4</v>
      </c>
      <c r="J1708" s="93"/>
      <c r="K1708" s="4"/>
      <c r="L1708" s="95" t="s">
        <v>4409</v>
      </c>
      <c r="M1708" s="301"/>
      <c r="N1708" s="41"/>
      <c r="O1708" s="75"/>
      <c r="W1708" t="s">
        <v>3587</v>
      </c>
    </row>
    <row r="1709" spans="1:45" ht="15" customHeight="1" x14ac:dyDescent="0.35">
      <c r="A1709" s="366">
        <v>8</v>
      </c>
      <c r="B1709" s="738" t="s">
        <v>4408</v>
      </c>
      <c r="C1709" s="731" t="s">
        <v>256</v>
      </c>
      <c r="D1709" s="731"/>
      <c r="E1709" s="731"/>
      <c r="F1709" s="731"/>
      <c r="G1709" s="366" t="str">
        <f ca="1">IF(N1709&gt;0,"P","")</f>
        <v/>
      </c>
      <c r="H1709" s="366" t="s">
        <v>3972</v>
      </c>
      <c r="I1709" s="30"/>
      <c r="J1709" s="38" t="s">
        <v>256</v>
      </c>
      <c r="K1709" s="4"/>
      <c r="L1709" s="814" t="s">
        <v>4412</v>
      </c>
      <c r="M1709" s="891" t="s">
        <v>785</v>
      </c>
      <c r="N1709" s="834">
        <f ca="1">'Ch8'!O80</f>
        <v>0</v>
      </c>
      <c r="O1709" s="832">
        <f ca="1">IFERROR(INDEX({4,5,6,7},MATCH(W1709,INDIRECT(U1709),0)),0)*S1709</f>
        <v>0</v>
      </c>
      <c r="P1709" t="b">
        <v>0</v>
      </c>
      <c r="Q1709" t="b">
        <v>1</v>
      </c>
      <c r="R1709" t="b">
        <v>0</v>
      </c>
      <c r="S1709" t="b">
        <f ca="1">S1643=2</f>
        <v>0</v>
      </c>
      <c r="T1709" t="b">
        <f ca="1">IF(AND(NOT(S1709),LEN(W1709)&gt;0),TRUE,FALSE)</f>
        <v>0</v>
      </c>
      <c r="U1709" t="str">
        <f>SUBSTITUTE(SUBSTITUTE(SUBSTITUTE("dd"&amp;B1709&amp;C1709&amp;D1709&amp;E1709&amp;F1709,".","_"),"(","_"),")","")</f>
        <v>dd802_4_1</v>
      </c>
      <c r="W1709" s="9"/>
      <c r="X1709" s="817"/>
      <c r="Y1709" s="1100" t="str">
        <f>IF(LEN('Ch8'!X80)=0,"None",'Ch8'!X80)</f>
        <v>None</v>
      </c>
      <c r="Z1709" s="1102"/>
      <c r="AC1709" t="b">
        <f ca="1">OR(AD1709:AE1709)</f>
        <v>0</v>
      </c>
      <c r="AD1709" t="b">
        <f ca="1">T1709</f>
        <v>0</v>
      </c>
      <c r="AL1709" t="str">
        <f>SUBSTITUTE(SUBSTITUTE(SUBSTITUTE("vpa"&amp;$B1709&amp;$C1709&amp;$D1709&amp;$E1709,".","_"),"(","_"),")","")</f>
        <v>vpa802_4_1</v>
      </c>
      <c r="AM1709" t="str">
        <f>M1709</f>
        <v xml:space="preserve">4 for first compartment </v>
      </c>
      <c r="AN1709" t="str">
        <f>SUBSTITUTE(SUBSTITUTE(SUBSTITUTE("vpc"&amp;$B1709&amp;$C1709&amp;$D1709&amp;$E1709,".","_"),"(","_"),")","")</f>
        <v>vpc802_4_1</v>
      </c>
      <c r="AO1709">
        <f ca="1">O1709</f>
        <v>0</v>
      </c>
      <c r="AP1709" t="str">
        <f>SUBSTITUTE(SUBSTITUTE(SUBSTITUTE("vch"&amp;$B1709&amp;$C1709&amp;$D1709&amp;$E1709,".","_"),"(","_"),")","")</f>
        <v>vch802_4_1</v>
      </c>
      <c r="AQ1709" t="str">
        <f>IF(LEN(W1709)=0,"",W1709)</f>
        <v/>
      </c>
      <c r="AR1709" t="str">
        <f>SUBSTITUTE(SUBSTITUTE(SUBSTITUTE("vnt"&amp;$B1709&amp;$C1709&amp;$D1709&amp;$E1709,".","_"),"(","_"),")","")</f>
        <v>vnt802_4_1</v>
      </c>
      <c r="AS1709" t="str">
        <f>IF(LEN(X1709)=0,"",X1709)</f>
        <v/>
      </c>
    </row>
    <row r="1710" spans="1:45" x14ac:dyDescent="0.35">
      <c r="A1710" s="366">
        <v>8</v>
      </c>
      <c r="B1710" s="738" t="s">
        <v>4408</v>
      </c>
      <c r="C1710" s="731" t="s">
        <v>256</v>
      </c>
      <c r="D1710" s="731"/>
      <c r="E1710" s="731"/>
      <c r="F1710" s="731"/>
      <c r="G1710" s="366" t="str">
        <f t="shared" ref="G1710:G1720" ca="1" si="106">G1709</f>
        <v/>
      </c>
      <c r="H1710" s="366" t="s">
        <v>3972</v>
      </c>
      <c r="I1710" s="30"/>
      <c r="J1710" s="93"/>
      <c r="K1710" s="4"/>
      <c r="L1710" s="814"/>
      <c r="M1710" s="891"/>
      <c r="N1710" s="834"/>
      <c r="O1710" s="832"/>
      <c r="X1710" s="817"/>
      <c r="Y1710" s="1100"/>
      <c r="Z1710" s="1102"/>
    </row>
    <row r="1711" spans="1:45" ht="15" customHeight="1" x14ac:dyDescent="0.35">
      <c r="A1711" s="366">
        <v>8</v>
      </c>
      <c r="B1711" s="738" t="s">
        <v>4408</v>
      </c>
      <c r="C1711" s="731" t="s">
        <v>256</v>
      </c>
      <c r="D1711" s="731" t="s">
        <v>256</v>
      </c>
      <c r="E1711" s="731"/>
      <c r="F1711" s="731"/>
      <c r="G1711" s="366" t="str">
        <f t="shared" ca="1" si="106"/>
        <v/>
      </c>
      <c r="H1711" s="366" t="s">
        <v>3972</v>
      </c>
      <c r="I1711" s="30"/>
      <c r="J1711" s="93"/>
      <c r="K1711" s="4"/>
      <c r="L1711" s="814"/>
      <c r="M1711" s="891" t="s">
        <v>786</v>
      </c>
      <c r="N1711" s="834"/>
      <c r="O1711" s="832"/>
      <c r="X1711" s="817"/>
      <c r="Y1711" s="1100"/>
      <c r="Z1711" s="1102"/>
      <c r="AL1711" t="str">
        <f>SUBSTITUTE(SUBSTITUTE(SUBSTITUTE("vpa"&amp;$B1711&amp;$C1711&amp;$D1711&amp;$E1711,".","_"),"(","_"),")","")</f>
        <v>vpa802_4_1_1</v>
      </c>
      <c r="AM1711" t="str">
        <f>M1711</f>
        <v>1 for each additional compartment in dwelling</v>
      </c>
    </row>
    <row r="1712" spans="1:45" ht="15" customHeight="1" x14ac:dyDescent="0.35">
      <c r="A1712" s="366">
        <v>8</v>
      </c>
      <c r="B1712" s="738" t="s">
        <v>4408</v>
      </c>
      <c r="C1712" s="731" t="s">
        <v>256</v>
      </c>
      <c r="D1712" s="731"/>
      <c r="E1712" s="731"/>
      <c r="F1712" s="731"/>
      <c r="G1712" s="366" t="str">
        <f t="shared" ca="1" si="106"/>
        <v/>
      </c>
      <c r="H1712" s="366" t="s">
        <v>3972</v>
      </c>
      <c r="I1712" s="30"/>
      <c r="J1712" s="93"/>
      <c r="K1712" s="4"/>
      <c r="L1712" s="814"/>
      <c r="M1712" s="891"/>
      <c r="N1712" s="834"/>
      <c r="O1712" s="832"/>
      <c r="X1712" s="817"/>
      <c r="Y1712" s="1100"/>
      <c r="Z1712" s="1102"/>
    </row>
    <row r="1713" spans="1:45" x14ac:dyDescent="0.35">
      <c r="A1713" s="366">
        <v>8</v>
      </c>
      <c r="B1713" s="738" t="s">
        <v>4408</v>
      </c>
      <c r="C1713" s="731" t="s">
        <v>256</v>
      </c>
      <c r="D1713" s="731"/>
      <c r="E1713" s="731"/>
      <c r="F1713" s="731"/>
      <c r="G1713" s="366" t="str">
        <f t="shared" ca="1" si="106"/>
        <v/>
      </c>
      <c r="H1713" s="366" t="s">
        <v>3972</v>
      </c>
      <c r="I1713" s="30"/>
      <c r="J1713" s="93"/>
      <c r="K1713" s="4"/>
      <c r="L1713" s="814"/>
      <c r="M1713" s="891"/>
      <c r="N1713" s="834"/>
      <c r="O1713" s="832"/>
      <c r="X1713" s="817"/>
      <c r="Y1713" s="1100"/>
      <c r="Z1713" s="1102"/>
    </row>
    <row r="1714" spans="1:45" x14ac:dyDescent="0.35">
      <c r="A1714" s="366">
        <v>8</v>
      </c>
      <c r="B1714" s="738" t="s">
        <v>4408</v>
      </c>
      <c r="C1714" s="731" t="s">
        <v>256</v>
      </c>
      <c r="D1714" s="731"/>
      <c r="E1714" s="731"/>
      <c r="F1714" s="731"/>
      <c r="G1714" s="366" t="str">
        <f t="shared" ca="1" si="106"/>
        <v/>
      </c>
      <c r="H1714" s="366" t="s">
        <v>3972</v>
      </c>
      <c r="I1714" s="30"/>
      <c r="J1714" s="93"/>
      <c r="K1714" s="4"/>
      <c r="L1714" s="814"/>
      <c r="M1714" s="891"/>
      <c r="N1714" s="834"/>
      <c r="O1714" s="832"/>
      <c r="X1714" s="817"/>
      <c r="Y1714" s="1100"/>
      <c r="Z1714" s="1102"/>
    </row>
    <row r="1715" spans="1:45" x14ac:dyDescent="0.35">
      <c r="A1715" s="366">
        <v>8</v>
      </c>
      <c r="B1715" s="738" t="s">
        <v>4408</v>
      </c>
      <c r="C1715" s="731" t="s">
        <v>256</v>
      </c>
      <c r="D1715" s="731"/>
      <c r="E1715" s="731"/>
      <c r="F1715" s="731"/>
      <c r="G1715" s="366" t="str">
        <f t="shared" ca="1" si="106"/>
        <v/>
      </c>
      <c r="H1715" s="366" t="s">
        <v>3972</v>
      </c>
      <c r="I1715" s="30"/>
      <c r="J1715" s="93"/>
      <c r="K1715" s="4"/>
      <c r="L1715" s="814"/>
      <c r="M1715" s="891"/>
      <c r="N1715" s="834"/>
      <c r="O1715" s="832"/>
      <c r="X1715" s="817"/>
      <c r="Y1715" s="1100"/>
      <c r="Z1715" s="1102"/>
    </row>
    <row r="1716" spans="1:45" x14ac:dyDescent="0.35">
      <c r="A1716" s="366">
        <v>8</v>
      </c>
      <c r="B1716" s="738" t="s">
        <v>4408</v>
      </c>
      <c r="C1716" s="731" t="s">
        <v>256</v>
      </c>
      <c r="D1716" s="731"/>
      <c r="E1716" s="731"/>
      <c r="F1716" s="731"/>
      <c r="G1716" s="366" t="str">
        <f t="shared" ca="1" si="106"/>
        <v/>
      </c>
      <c r="H1716" s="366" t="s">
        <v>3972</v>
      </c>
      <c r="I1716" s="30"/>
      <c r="J1716" s="93"/>
      <c r="K1716" s="4"/>
      <c r="L1716" s="814"/>
      <c r="M1716" s="891"/>
      <c r="N1716" s="834"/>
      <c r="O1716" s="832"/>
      <c r="X1716" s="817"/>
      <c r="Y1716" s="1100"/>
      <c r="Z1716" s="1102"/>
    </row>
    <row r="1717" spans="1:45" x14ac:dyDescent="0.35">
      <c r="A1717" s="366">
        <v>8</v>
      </c>
      <c r="B1717" s="738" t="s">
        <v>4408</v>
      </c>
      <c r="C1717" s="731" t="s">
        <v>256</v>
      </c>
      <c r="D1717" s="731"/>
      <c r="E1717" s="731"/>
      <c r="F1717" s="731"/>
      <c r="G1717" s="366" t="str">
        <f t="shared" ca="1" si="106"/>
        <v/>
      </c>
      <c r="H1717" s="366" t="s">
        <v>3972</v>
      </c>
      <c r="I1717" s="30"/>
      <c r="J1717" s="93"/>
      <c r="K1717" s="4"/>
      <c r="L1717" s="814"/>
      <c r="M1717" s="891"/>
      <c r="N1717" s="834"/>
      <c r="O1717" s="832"/>
      <c r="X1717" s="817"/>
      <c r="Y1717" s="1100"/>
      <c r="Z1717" s="1102"/>
    </row>
    <row r="1718" spans="1:45" ht="15" customHeight="1" x14ac:dyDescent="0.35">
      <c r="A1718" s="366">
        <v>8</v>
      </c>
      <c r="B1718" s="738" t="s">
        <v>4408</v>
      </c>
      <c r="C1718" s="731" t="s">
        <v>256</v>
      </c>
      <c r="D1718" s="731" t="s">
        <v>258</v>
      </c>
      <c r="E1718" s="731"/>
      <c r="F1718" s="731"/>
      <c r="G1718" s="366" t="str">
        <f t="shared" ca="1" si="106"/>
        <v/>
      </c>
      <c r="H1718" s="366" t="s">
        <v>3972</v>
      </c>
      <c r="I1718" s="30"/>
      <c r="J1718" s="93"/>
      <c r="K1718" s="4"/>
      <c r="L1718" s="895" t="s">
        <v>4413</v>
      </c>
      <c r="M1718" s="818" t="s">
        <v>787</v>
      </c>
      <c r="N1718" s="41"/>
      <c r="O1718" s="75"/>
      <c r="X1718" s="817"/>
      <c r="Y1718" s="1100"/>
      <c r="Z1718" s="1102"/>
      <c r="AL1718" t="str">
        <f>SUBSTITUTE(SUBSTITUTE(SUBSTITUTE("vpa"&amp;$B1718&amp;$C1718&amp;$D1718&amp;$E1718,".","_"),"(","_"),")","")</f>
        <v>vpa802_4_1_2</v>
      </c>
      <c r="AM1718" t="str">
        <f>M1718</f>
        <v>7 Max</v>
      </c>
    </row>
    <row r="1719" spans="1:45" x14ac:dyDescent="0.35">
      <c r="A1719" s="366">
        <v>8</v>
      </c>
      <c r="B1719" s="738" t="s">
        <v>4408</v>
      </c>
      <c r="C1719" s="731" t="s">
        <v>256</v>
      </c>
      <c r="D1719" s="731"/>
      <c r="E1719" s="731"/>
      <c r="F1719" s="731"/>
      <c r="G1719" s="366" t="str">
        <f t="shared" ca="1" si="106"/>
        <v/>
      </c>
      <c r="H1719" s="366" t="s">
        <v>3972</v>
      </c>
      <c r="I1719" s="30"/>
      <c r="J1719" s="93"/>
      <c r="K1719" s="4"/>
      <c r="L1719" s="895"/>
      <c r="M1719" s="818"/>
      <c r="N1719" s="41"/>
      <c r="O1719" s="75"/>
      <c r="X1719" s="817"/>
      <c r="Y1719" s="1100"/>
      <c r="Z1719" s="1102"/>
    </row>
    <row r="1720" spans="1:45" x14ac:dyDescent="0.35">
      <c r="A1720" s="366">
        <v>8</v>
      </c>
      <c r="B1720" s="738" t="s">
        <v>4408</v>
      </c>
      <c r="C1720" s="731" t="s">
        <v>256</v>
      </c>
      <c r="D1720" s="731"/>
      <c r="E1720" s="731"/>
      <c r="F1720" s="731"/>
      <c r="G1720" s="366" t="str">
        <f t="shared" ca="1" si="106"/>
        <v/>
      </c>
      <c r="H1720" s="366" t="s">
        <v>3972</v>
      </c>
      <c r="I1720" s="30"/>
      <c r="J1720" s="320"/>
      <c r="K1720" s="133"/>
      <c r="L1720" s="948"/>
      <c r="M1720" s="819"/>
      <c r="N1720" s="546"/>
      <c r="O1720" s="309"/>
      <c r="X1720" s="817"/>
      <c r="Y1720" s="1100"/>
      <c r="Z1720" s="1102"/>
    </row>
    <row r="1721" spans="1:45" ht="15" customHeight="1" x14ac:dyDescent="0.35">
      <c r="A1721" s="366">
        <v>8</v>
      </c>
      <c r="B1721" s="738" t="s">
        <v>4408</v>
      </c>
      <c r="C1721" s="731" t="s">
        <v>258</v>
      </c>
      <c r="D1721" s="731"/>
      <c r="E1721" s="731"/>
      <c r="F1721" s="731"/>
      <c r="G1721" s="366" t="str">
        <f ca="1">IF(N1721&gt;0,"P","")</f>
        <v/>
      </c>
      <c r="H1721" s="366" t="s">
        <v>3972</v>
      </c>
      <c r="I1721" s="30"/>
      <c r="J1721" s="38" t="s">
        <v>258</v>
      </c>
      <c r="K1721" s="4"/>
      <c r="L1721" s="814" t="s">
        <v>5850</v>
      </c>
      <c r="M1721" s="40"/>
      <c r="N1721" s="963">
        <f ca="1">'Ch8'!O92</f>
        <v>0</v>
      </c>
      <c r="O1721" s="832">
        <f ca="1">IFERROR(INDEX({6,10},MATCH(W1721,INDIRECT(U1721),0)),0)*S1721</f>
        <v>0</v>
      </c>
      <c r="P1721" t="b">
        <v>0</v>
      </c>
      <c r="Q1721" t="b">
        <v>1</v>
      </c>
      <c r="R1721" t="b">
        <v>0</v>
      </c>
      <c r="S1721" t="b">
        <f ca="1">AND(LEN(W1709)&gt;0,S1643=2)</f>
        <v>0</v>
      </c>
      <c r="T1721" t="b">
        <f ca="1">IF(AND(NOT(S1721),LEN(W1721)&gt;0),TRUE,FALSE)</f>
        <v>0</v>
      </c>
      <c r="U1721" t="str">
        <f>SUBSTITUTE(SUBSTITUTE(SUBSTITUTE("dd"&amp;B1721&amp;C1721&amp;D1721&amp;E1721&amp;F1721,".","_"),"(","_"),")","")</f>
        <v>dd802_4_2</v>
      </c>
      <c r="W1721" s="9"/>
      <c r="X1721" s="817"/>
      <c r="Y1721" s="1100" t="str">
        <f>IF(LEN('Ch8'!X92)=0,"None",'Ch8'!X92)</f>
        <v>None</v>
      </c>
      <c r="Z1721" s="1102"/>
      <c r="AC1721" t="b">
        <f ca="1">OR(AD1721:AE1721)</f>
        <v>0</v>
      </c>
      <c r="AD1721" t="b">
        <f ca="1">T1721</f>
        <v>0</v>
      </c>
      <c r="AN1721" t="str">
        <f>SUBSTITUTE(SUBSTITUTE(SUBSTITUTE("vpc"&amp;$B1721&amp;$C1721&amp;$D1721&amp;$E1721,".","_"),"(","_"),")","")</f>
        <v>vpc802_4_2</v>
      </c>
      <c r="AO1721">
        <f ca="1">O1721</f>
        <v>0</v>
      </c>
      <c r="AP1721" t="str">
        <f>SUBSTITUTE(SUBSTITUTE(SUBSTITUTE("vch"&amp;$B1721&amp;$C1721&amp;$D1721&amp;$E1721,".","_"),"(","_"),")","")</f>
        <v>vch802_4_2</v>
      </c>
      <c r="AQ1721" t="str">
        <f>IF(LEN(W1721)=0,"",W1721)</f>
        <v/>
      </c>
      <c r="AR1721" t="str">
        <f>SUBSTITUTE(SUBSTITUTE(SUBSTITUTE("vnt"&amp;$B1721&amp;$C1721&amp;$D1721&amp;$E1721,".","_"),"(","_"),")","")</f>
        <v>vnt802_4_2</v>
      </c>
      <c r="AS1721" t="str">
        <f>IF(LEN(X1721)=0,"",X1721)</f>
        <v/>
      </c>
    </row>
    <row r="1722" spans="1:45" x14ac:dyDescent="0.35">
      <c r="A1722" s="366">
        <v>8</v>
      </c>
      <c r="B1722" s="738" t="s">
        <v>4408</v>
      </c>
      <c r="C1722" s="731" t="s">
        <v>258</v>
      </c>
      <c r="D1722" s="731"/>
      <c r="E1722" s="731"/>
      <c r="F1722" s="731"/>
      <c r="G1722" s="366" t="str">
        <f ca="1">G1721</f>
        <v/>
      </c>
      <c r="H1722" s="366" t="s">
        <v>3972</v>
      </c>
      <c r="I1722" s="30"/>
      <c r="J1722" s="38"/>
      <c r="K1722" s="4"/>
      <c r="L1722" s="814"/>
      <c r="M1722" s="40"/>
      <c r="N1722" s="834"/>
      <c r="O1722" s="832"/>
      <c r="X1722" s="817"/>
      <c r="Y1722" s="1100"/>
      <c r="Z1722" s="1102"/>
    </row>
    <row r="1723" spans="1:45" x14ac:dyDescent="0.35">
      <c r="A1723" s="366">
        <v>8</v>
      </c>
      <c r="B1723" s="738" t="s">
        <v>4408</v>
      </c>
      <c r="C1723" s="731" t="s">
        <v>258</v>
      </c>
      <c r="D1723" s="731"/>
      <c r="E1723" s="731"/>
      <c r="F1723" s="731"/>
      <c r="G1723" s="366" t="str">
        <f ca="1">G1722</f>
        <v/>
      </c>
      <c r="H1723" s="732" t="s">
        <v>3972</v>
      </c>
      <c r="I1723" s="30"/>
      <c r="J1723" s="93"/>
      <c r="K1723" s="4"/>
      <c r="L1723" s="814"/>
      <c r="M1723" s="40"/>
      <c r="N1723" s="834"/>
      <c r="O1723" s="832"/>
      <c r="X1723" s="817"/>
      <c r="Y1723" s="1100"/>
      <c r="Z1723" s="1102"/>
    </row>
    <row r="1724" spans="1:45" x14ac:dyDescent="0.35">
      <c r="A1724" s="366">
        <v>8</v>
      </c>
      <c r="B1724" s="738" t="s">
        <v>4408</v>
      </c>
      <c r="C1724" s="731" t="s">
        <v>258</v>
      </c>
      <c r="D1724" s="731" t="s">
        <v>121</v>
      </c>
      <c r="E1724" s="731"/>
      <c r="F1724" s="731"/>
      <c r="G1724" s="366" t="str">
        <f ca="1">G1723</f>
        <v/>
      </c>
      <c r="H1724" s="732" t="s">
        <v>3972</v>
      </c>
      <c r="I1724" s="4"/>
      <c r="J1724" s="93"/>
      <c r="K1724" s="19" t="s">
        <v>121</v>
      </c>
      <c r="L1724" s="266" t="s">
        <v>4414</v>
      </c>
      <c r="M1724" s="40" t="s">
        <v>788</v>
      </c>
      <c r="N1724" s="41"/>
      <c r="O1724" s="75"/>
      <c r="X1724" s="817"/>
      <c r="Y1724" s="1100"/>
      <c r="Z1724" s="1102"/>
      <c r="AL1724" t="str">
        <f>SUBSTITUTE(SUBSTITUTE(SUBSTITUTE("vpa"&amp;$B1724&amp;$C1724&amp;$D1724&amp;$E1724,".","_"),"(","_"),")","")</f>
        <v>vpa802_4_2_a</v>
      </c>
      <c r="AM1724" t="str">
        <f>M1724</f>
        <v xml:space="preserve">6 Additional </v>
      </c>
    </row>
    <row r="1725" spans="1:45" x14ac:dyDescent="0.35">
      <c r="A1725" s="366">
        <v>8</v>
      </c>
      <c r="B1725" s="738" t="s">
        <v>4408</v>
      </c>
      <c r="C1725" s="731" t="s">
        <v>258</v>
      </c>
      <c r="D1725" s="731" t="s">
        <v>122</v>
      </c>
      <c r="E1725" s="731"/>
      <c r="F1725" s="731"/>
      <c r="G1725" s="366" t="str">
        <f ca="1">G1724</f>
        <v/>
      </c>
      <c r="H1725" s="732" t="s">
        <v>3972</v>
      </c>
      <c r="I1725" s="4"/>
      <c r="J1725" s="320"/>
      <c r="K1725" s="129" t="s">
        <v>122</v>
      </c>
      <c r="L1725" s="281" t="s">
        <v>4415</v>
      </c>
      <c r="M1725" s="268" t="s">
        <v>789</v>
      </c>
      <c r="N1725" s="546"/>
      <c r="O1725" s="309"/>
      <c r="X1725" s="817"/>
      <c r="Y1725" s="1100"/>
      <c r="Z1725" s="1102"/>
      <c r="AL1725" t="str">
        <f>SUBSTITUTE(SUBSTITUTE(SUBSTITUTE("vpa"&amp;$B1725&amp;$C1725&amp;$D1725&amp;$E1725,".","_"),"(","_"),")","")</f>
        <v>vpa802_4_2_b</v>
      </c>
      <c r="AM1725" t="str">
        <f>M1725</f>
        <v xml:space="preserve">10 Additional </v>
      </c>
    </row>
    <row r="1726" spans="1:45" ht="15" customHeight="1" x14ac:dyDescent="0.35">
      <c r="A1726" s="366">
        <v>8</v>
      </c>
      <c r="B1726" s="738" t="s">
        <v>4408</v>
      </c>
      <c r="C1726" s="731" t="s">
        <v>260</v>
      </c>
      <c r="D1726" s="731"/>
      <c r="E1726" s="731"/>
      <c r="F1726" s="731"/>
      <c r="G1726" s="366" t="str">
        <f ca="1">IF(N1726&gt;0,"P","")</f>
        <v/>
      </c>
      <c r="H1726" s="366" t="s">
        <v>3972</v>
      </c>
      <c r="I1726" s="30"/>
      <c r="J1726" s="38" t="s">
        <v>260</v>
      </c>
      <c r="K1726" s="4"/>
      <c r="L1726" s="90" t="s">
        <v>790</v>
      </c>
      <c r="M1726" s="843" t="s">
        <v>3595</v>
      </c>
      <c r="N1726" s="834">
        <f ca="1">'Ch8'!O97</f>
        <v>0</v>
      </c>
      <c r="O1726" s="832">
        <f ca="1">IFERROR(MATCH(W1726,INDIRECT(U1726),0),0)*S1726</f>
        <v>0</v>
      </c>
      <c r="P1726" t="b">
        <v>0</v>
      </c>
      <c r="Q1726" t="b">
        <v>1</v>
      </c>
      <c r="R1726" t="b">
        <v>0</v>
      </c>
      <c r="S1726" t="b">
        <f ca="1">S1643=2</f>
        <v>0</v>
      </c>
      <c r="T1726" t="b">
        <f ca="1">IF(AND(NOT(S1726),LEN(W1726)&gt;0),TRUE,FALSE)</f>
        <v>0</v>
      </c>
      <c r="U1726" t="str">
        <f>SUBSTITUTE(SUBSTITUTE(SUBSTITUTE("dd"&amp;B1726&amp;C1726&amp;D1726&amp;E1726&amp;F1726,".","_"),"(","_"),")","")</f>
        <v>dd802_4_3</v>
      </c>
      <c r="W1726" s="9"/>
      <c r="X1726" s="817"/>
      <c r="Y1726" s="1100" t="str">
        <f>IF(LEN('Ch8'!X97)=0,"None",'Ch8'!X97)</f>
        <v>None</v>
      </c>
      <c r="Z1726" s="1102"/>
      <c r="AC1726" t="b">
        <f ca="1">OR(AD1726:AE1726)</f>
        <v>0</v>
      </c>
      <c r="AD1726" t="b">
        <f ca="1">T1726</f>
        <v>0</v>
      </c>
      <c r="AL1726" t="str">
        <f>SUBSTITUTE(SUBSTITUTE(SUBSTITUTE("vpa"&amp;$B1726&amp;$C1726&amp;$D1726&amp;$E1726,".","_"),"(","_"),")","")</f>
        <v>vpa802_4_3</v>
      </c>
      <c r="AM1726" t="str">
        <f>M1726</f>
        <v>1
3 Max</v>
      </c>
      <c r="AN1726" t="str">
        <f>SUBSTITUTE(SUBSTITUTE(SUBSTITUTE("vpc"&amp;$B1726&amp;$C1726&amp;$D1726&amp;$E1726,".","_"),"(","_"),")","")</f>
        <v>vpc802_4_3</v>
      </c>
      <c r="AO1726">
        <f ca="1">O1726</f>
        <v>0</v>
      </c>
      <c r="AP1726" t="str">
        <f>SUBSTITUTE(SUBSTITUTE(SUBSTITUTE("vch"&amp;$B1726&amp;$C1726&amp;$D1726&amp;$E1726,".","_"),"(","_"),")","")</f>
        <v>vch802_4_3</v>
      </c>
      <c r="AQ1726" t="str">
        <f>IF(LEN(W1726)=0,"",W1726)</f>
        <v/>
      </c>
      <c r="AR1726" t="str">
        <f>SUBSTITUTE(SUBSTITUTE(SUBSTITUTE("vnt"&amp;$B1726&amp;$C1726&amp;$D1726&amp;$E1726,".","_"),"(","_"),")","")</f>
        <v>vnt802_4_3</v>
      </c>
      <c r="AS1726" t="str">
        <f>IF(LEN(X1726)=0,"",X1726)</f>
        <v/>
      </c>
    </row>
    <row r="1727" spans="1:45" ht="15" thickBot="1" x14ac:dyDescent="0.4">
      <c r="A1727" s="366">
        <v>8</v>
      </c>
      <c r="B1727" s="738" t="s">
        <v>4408</v>
      </c>
      <c r="C1727" s="731" t="s">
        <v>260</v>
      </c>
      <c r="D1727" s="731"/>
      <c r="E1727" s="731"/>
      <c r="F1727" s="731"/>
      <c r="G1727" s="366" t="str">
        <f ca="1">G1726</f>
        <v/>
      </c>
      <c r="H1727" s="366" t="s">
        <v>3972</v>
      </c>
      <c r="I1727" s="114"/>
      <c r="J1727" s="294"/>
      <c r="K1727" s="160"/>
      <c r="L1727" s="231" t="s">
        <v>791</v>
      </c>
      <c r="M1727" s="945"/>
      <c r="N1727" s="863"/>
      <c r="O1727" s="833"/>
      <c r="P1727" s="55"/>
      <c r="Q1727" s="55"/>
      <c r="R1727" s="55"/>
      <c r="S1727" s="55"/>
      <c r="T1727" s="55"/>
      <c r="U1727" s="55"/>
      <c r="V1727" s="55"/>
      <c r="W1727" s="55"/>
      <c r="X1727" s="829"/>
      <c r="Y1727" s="1101"/>
      <c r="Z1727" s="1104"/>
    </row>
    <row r="1728" spans="1:45" ht="15" thickTop="1" x14ac:dyDescent="0.35">
      <c r="A1728" s="366">
        <v>8</v>
      </c>
      <c r="B1728" s="738" t="s">
        <v>4418</v>
      </c>
      <c r="C1728" s="731"/>
      <c r="D1728" s="731"/>
      <c r="E1728" s="731"/>
      <c r="F1728" s="731"/>
      <c r="G1728" s="727" t="str">
        <f ca="1">IF(COUNTIF(G1729:G1746,"P")&gt;0,"P","")</f>
        <v>P</v>
      </c>
      <c r="H1728" s="366" t="s">
        <v>3972</v>
      </c>
      <c r="I1728" s="106">
        <v>802.5</v>
      </c>
      <c r="J1728" s="507"/>
      <c r="K1728" s="107"/>
      <c r="L1728" s="274" t="s">
        <v>4416</v>
      </c>
      <c r="M1728" s="267"/>
      <c r="N1728" s="545"/>
      <c r="O1728" s="308"/>
      <c r="P1728" s="59"/>
      <c r="Q1728" s="59"/>
      <c r="R1728" s="59"/>
      <c r="S1728" s="59"/>
      <c r="T1728" s="59"/>
      <c r="U1728" s="59"/>
      <c r="V1728" s="59"/>
      <c r="W1728" s="59"/>
      <c r="X1728" s="59"/>
    </row>
    <row r="1729" spans="1:45" ht="15" customHeight="1" x14ac:dyDescent="0.35">
      <c r="A1729" s="366">
        <v>8</v>
      </c>
      <c r="B1729" s="738" t="s">
        <v>4410</v>
      </c>
      <c r="C1729" s="731" t="s">
        <v>2970</v>
      </c>
      <c r="D1729" s="731"/>
      <c r="E1729" s="731"/>
      <c r="F1729" s="731"/>
      <c r="G1729" s="366" t="str">
        <f ca="1">IF(N1729&gt;0,"P","")</f>
        <v/>
      </c>
      <c r="H1729" s="366" t="s">
        <v>3972</v>
      </c>
      <c r="I1729" s="30" t="s">
        <v>4410</v>
      </c>
      <c r="J1729" s="93"/>
      <c r="K1729" s="4"/>
      <c r="L1729" s="838" t="s">
        <v>4417</v>
      </c>
      <c r="M1729" s="40"/>
      <c r="N1729" s="834">
        <f ca="1">'Ch8'!O100</f>
        <v>0</v>
      </c>
      <c r="O1729" s="832">
        <f ca="1">(S1730*S1732+IFERROR(INDEX({0,0,6,8,12},MATCH(W1731,INDIRECT(U1731),0)),0))*S1729</f>
        <v>0</v>
      </c>
      <c r="P1729" t="b">
        <v>0</v>
      </c>
      <c r="Q1729" t="b">
        <v>1</v>
      </c>
      <c r="R1729" t="b">
        <v>0</v>
      </c>
      <c r="S1729" t="b">
        <f ca="1">S1643=2</f>
        <v>0</v>
      </c>
      <c r="T1729" t="b">
        <f ca="1">IF(AND(NOT(S1729),LEN(W1729)&gt;0),TRUE,FALSE)</f>
        <v>0</v>
      </c>
      <c r="U1729" t="str">
        <f>SUBSTITUTE(SUBSTITUTE(SUBSTITUTE("dd"&amp;B1729&amp;C1729&amp;D1729&amp;E1729&amp;F1729,".","_"),"(","_"),")","")</f>
        <v>dd802_5_1a</v>
      </c>
      <c r="W1729" s="9"/>
      <c r="X1729" s="817"/>
      <c r="Y1729" s="1119" t="str">
        <f>IF(LEN('Ch8'!X100)=0,"None",'Ch8'!X100)</f>
        <v>None</v>
      </c>
      <c r="Z1729" s="1105"/>
      <c r="AC1729" t="b">
        <f ca="1">OR(AD1729:AE1729)</f>
        <v>0</v>
      </c>
      <c r="AD1729" t="b">
        <f ca="1">T1729</f>
        <v>0</v>
      </c>
      <c r="AN1729" t="str">
        <f>SUBSTITUTE(SUBSTITUTE(SUBSTITUTE("vpc"&amp;$B1729&amp;$C1729&amp;$D1729&amp;$E1729,".","_"),"(","_"),")","")</f>
        <v>vpc802_5_1a</v>
      </c>
      <c r="AO1729">
        <f ca="1">O1729</f>
        <v>0</v>
      </c>
      <c r="AP1729" t="str">
        <f>SUBSTITUTE(SUBSTITUTE(SUBSTITUTE("vch"&amp;$B1729&amp;$C1729&amp;$D1729&amp;$E1729,".","_"),"(","_"),")","")</f>
        <v>vch802_5_1a</v>
      </c>
      <c r="AQ1729" t="str">
        <f>IF(LEN(W1729)=0,"",W1729)</f>
        <v/>
      </c>
      <c r="AR1729" t="str">
        <f>SUBSTITUTE(SUBSTITUTE(SUBSTITUTE("vnt"&amp;$B1729&amp;$C1729&amp;$D1729&amp;$E1729,".","_"),"(","_"),")","")</f>
        <v>vnt802_5_1a</v>
      </c>
      <c r="AS1729" t="str">
        <f>IF(LEN(X1729)=0,"",X1729)</f>
        <v/>
      </c>
    </row>
    <row r="1730" spans="1:45" x14ac:dyDescent="0.35">
      <c r="A1730" s="366">
        <v>8</v>
      </c>
      <c r="B1730" s="738" t="s">
        <v>4410</v>
      </c>
      <c r="C1730" s="731"/>
      <c r="D1730" s="731"/>
      <c r="E1730" s="731"/>
      <c r="F1730" s="731"/>
      <c r="G1730" s="366" t="str">
        <f t="shared" ref="G1730:G1740" ca="1" si="107">G1729</f>
        <v/>
      </c>
      <c r="H1730" s="366" t="s">
        <v>3972</v>
      </c>
      <c r="I1730" s="30"/>
      <c r="J1730" s="93"/>
      <c r="K1730" s="4"/>
      <c r="L1730" s="838"/>
      <c r="M1730" s="40"/>
      <c r="N1730" s="834"/>
      <c r="O1730" s="832"/>
      <c r="S1730" s="1">
        <f ca="1">IFERROR(MATCH(W1729,INDIRECT(U1729),0),0)</f>
        <v>0</v>
      </c>
      <c r="X1730" s="817"/>
      <c r="Y1730" s="1120"/>
      <c r="Z1730" s="1109"/>
    </row>
    <row r="1731" spans="1:45" x14ac:dyDescent="0.35">
      <c r="A1731" s="366">
        <v>8</v>
      </c>
      <c r="B1731" s="738" t="s">
        <v>4410</v>
      </c>
      <c r="C1731" s="731" t="s">
        <v>2971</v>
      </c>
      <c r="D1731" s="731"/>
      <c r="E1731" s="731"/>
      <c r="F1731" s="731"/>
      <c r="G1731" s="366" t="str">
        <f t="shared" ca="1" si="107"/>
        <v/>
      </c>
      <c r="H1731" s="366" t="s">
        <v>3972</v>
      </c>
      <c r="I1731" s="30"/>
      <c r="J1731" s="93"/>
      <c r="K1731" s="4"/>
      <c r="L1731" s="838"/>
      <c r="M1731" s="40"/>
      <c r="N1731" s="834"/>
      <c r="O1731" s="832"/>
      <c r="P1731" t="b">
        <v>0</v>
      </c>
      <c r="Q1731" t="b">
        <v>1</v>
      </c>
      <c r="R1731" s="104" t="b">
        <v>0</v>
      </c>
      <c r="S1731" s="104" t="b">
        <f ca="1">AND(LEN(W1729)&gt;0,S1643=2)</f>
        <v>0</v>
      </c>
      <c r="T1731" t="b">
        <f ca="1">IF(AND(NOT(S1731),LEN(W1731)&gt;0),TRUE,FALSE)</f>
        <v>0</v>
      </c>
      <c r="U1731" t="str">
        <f>SUBSTITUTE(SUBSTITUTE(SUBSTITUTE("dd"&amp;B1731&amp;C1731&amp;D1731&amp;E1731&amp;F1731,".","_"),"(","_"),")","")</f>
        <v>dd802_5_1b</v>
      </c>
      <c r="W1731" s="9"/>
      <c r="X1731" s="817"/>
      <c r="Y1731" s="1120"/>
      <c r="Z1731" s="1109"/>
      <c r="AC1731" t="b">
        <f ca="1">OR(AD1731:AE1731)</f>
        <v>0</v>
      </c>
      <c r="AD1731" t="b">
        <f ca="1">T1731</f>
        <v>0</v>
      </c>
      <c r="AP1731" t="str">
        <f>SUBSTITUTE(SUBSTITUTE(SUBSTITUTE("vch"&amp;$B1731&amp;$C1731&amp;$D1731&amp;$E1731,".","_"),"(","_"),")","")</f>
        <v>vch802_5_1b</v>
      </c>
      <c r="AQ1731" t="str">
        <f>IF(LEN(W1731)=0,"",W1731)</f>
        <v/>
      </c>
    </row>
    <row r="1732" spans="1:45" ht="15" customHeight="1" x14ac:dyDescent="0.35">
      <c r="A1732" s="366">
        <v>8</v>
      </c>
      <c r="B1732" s="738" t="s">
        <v>4410</v>
      </c>
      <c r="C1732" s="731" t="s">
        <v>256</v>
      </c>
      <c r="D1732" s="731"/>
      <c r="E1732" s="731"/>
      <c r="F1732" s="731"/>
      <c r="G1732" s="366" t="str">
        <f t="shared" ca="1" si="107"/>
        <v/>
      </c>
      <c r="H1732" s="366" t="s">
        <v>3972</v>
      </c>
      <c r="I1732" s="30"/>
      <c r="J1732" s="38" t="s">
        <v>256</v>
      </c>
      <c r="K1732" s="4"/>
      <c r="L1732" s="90" t="s">
        <v>4428</v>
      </c>
      <c r="M1732" s="843" t="s">
        <v>3595</v>
      </c>
      <c r="O1732" s="75"/>
      <c r="S1732" s="1">
        <f ca="1">MIN(2,(IFERROR(MATCH(W1731,INDIRECT(U1731),0),0)))</f>
        <v>0</v>
      </c>
      <c r="X1732" s="817"/>
      <c r="Y1732" s="1120"/>
      <c r="Z1732" s="1109"/>
      <c r="AL1732" t="str">
        <f>SUBSTITUTE(SUBSTITUTE(SUBSTITUTE("vpa"&amp;$B1732&amp;$C1732&amp;$D1732&amp;$E1732,".","_"),"(","_"),")","")</f>
        <v>vpa802_5_1_1</v>
      </c>
      <c r="AM1732" t="str">
        <f>M1732</f>
        <v>1
3 Max</v>
      </c>
    </row>
    <row r="1733" spans="1:45" ht="15" customHeight="1" x14ac:dyDescent="0.35">
      <c r="A1733" s="366">
        <v>8</v>
      </c>
      <c r="B1733" s="738" t="s">
        <v>4410</v>
      </c>
      <c r="C1733" s="731" t="s">
        <v>256</v>
      </c>
      <c r="D1733" s="731"/>
      <c r="E1733" s="731"/>
      <c r="F1733" s="731"/>
      <c r="G1733" s="366" t="str">
        <f t="shared" ca="1" si="107"/>
        <v/>
      </c>
      <c r="H1733" s="366" t="s">
        <v>3972</v>
      </c>
      <c r="I1733" s="30"/>
      <c r="J1733" s="93"/>
      <c r="K1733" s="4"/>
      <c r="L1733" s="895" t="s">
        <v>4430</v>
      </c>
      <c r="M1733" s="818"/>
      <c r="X1733" s="817"/>
      <c r="Y1733" s="1120"/>
      <c r="Z1733" s="1109"/>
    </row>
    <row r="1734" spans="1:45" x14ac:dyDescent="0.35">
      <c r="A1734" s="366">
        <v>8</v>
      </c>
      <c r="B1734" s="738" t="s">
        <v>4410</v>
      </c>
      <c r="C1734" s="731" t="s">
        <v>256</v>
      </c>
      <c r="D1734" s="731"/>
      <c r="E1734" s="731"/>
      <c r="F1734" s="731"/>
      <c r="G1734" s="366" t="str">
        <f t="shared" ca="1" si="107"/>
        <v/>
      </c>
      <c r="H1734" s="366" t="s">
        <v>3972</v>
      </c>
      <c r="I1734" s="30"/>
      <c r="J1734" s="93"/>
      <c r="K1734" s="4"/>
      <c r="L1734" s="895"/>
      <c r="M1734" s="818"/>
      <c r="X1734" s="817"/>
      <c r="Y1734" s="1120"/>
      <c r="Z1734" s="1109"/>
    </row>
    <row r="1735" spans="1:45" x14ac:dyDescent="0.35">
      <c r="A1735" s="366">
        <v>8</v>
      </c>
      <c r="B1735" s="738" t="s">
        <v>4410</v>
      </c>
      <c r="C1735" s="731" t="s">
        <v>256</v>
      </c>
      <c r="D1735" s="731"/>
      <c r="E1735" s="731"/>
      <c r="F1735" s="731"/>
      <c r="G1735" s="366" t="str">
        <f t="shared" ca="1" si="107"/>
        <v/>
      </c>
      <c r="H1735" s="366" t="s">
        <v>3972</v>
      </c>
      <c r="I1735" s="30"/>
      <c r="J1735" s="320"/>
      <c r="K1735" s="133"/>
      <c r="L1735" s="948"/>
      <c r="M1735" s="819"/>
      <c r="X1735" s="817"/>
      <c r="Y1735" s="1120"/>
      <c r="Z1735" s="1109"/>
    </row>
    <row r="1736" spans="1:45" x14ac:dyDescent="0.35">
      <c r="A1736" s="366">
        <v>8</v>
      </c>
      <c r="B1736" s="738" t="s">
        <v>4410</v>
      </c>
      <c r="C1736" s="731" t="s">
        <v>258</v>
      </c>
      <c r="D1736" s="731"/>
      <c r="E1736" s="731"/>
      <c r="F1736" s="731"/>
      <c r="G1736" s="366" t="str">
        <f t="shared" ca="1" si="107"/>
        <v/>
      </c>
      <c r="H1736" s="366" t="s">
        <v>3972</v>
      </c>
      <c r="I1736" s="30"/>
      <c r="J1736" s="422" t="s">
        <v>258</v>
      </c>
      <c r="K1736" s="509"/>
      <c r="L1736" s="178" t="s">
        <v>4429</v>
      </c>
      <c r="M1736" s="291" t="s">
        <v>4431</v>
      </c>
      <c r="X1736" s="817"/>
      <c r="Y1736" s="1120"/>
      <c r="Z1736" s="1109"/>
      <c r="AL1736" t="str">
        <f>SUBSTITUTE(SUBSTITUTE(SUBSTITUTE("vpa"&amp;$B1736&amp;$C1736&amp;$D1736&amp;$E1736,".","_"),"(","_"),")","")</f>
        <v>vpa802_5_1_2</v>
      </c>
      <c r="AM1736" t="str">
        <f>M1736</f>
        <v xml:space="preserve">2 (6 Max) </v>
      </c>
    </row>
    <row r="1737" spans="1:45" x14ac:dyDescent="0.35">
      <c r="A1737" s="366">
        <v>8</v>
      </c>
      <c r="B1737" s="738" t="s">
        <v>4410</v>
      </c>
      <c r="C1737" s="731" t="s">
        <v>260</v>
      </c>
      <c r="D1737" s="732"/>
      <c r="E1737" s="732"/>
      <c r="F1737" s="732"/>
      <c r="G1737" s="366" t="str">
        <f t="shared" ca="1" si="107"/>
        <v/>
      </c>
      <c r="H1737" s="366" t="s">
        <v>3972</v>
      </c>
      <c r="J1737" s="416" t="s">
        <v>260</v>
      </c>
      <c r="K1737" s="472"/>
      <c r="L1737" s="281" t="s">
        <v>4425</v>
      </c>
      <c r="M1737" s="291" t="s">
        <v>788</v>
      </c>
      <c r="X1737" s="817"/>
      <c r="Y1737" s="1120"/>
      <c r="Z1737" s="1109"/>
      <c r="AL1737" t="str">
        <f>SUBSTITUTE(SUBSTITUTE(SUBSTITUTE("vpa"&amp;$B1737&amp;$C1737&amp;$D1737&amp;$E1737,".","_"),"(","_"),")","")</f>
        <v>vpa802_5_1_3</v>
      </c>
      <c r="AM1737" t="str">
        <f>M1737</f>
        <v xml:space="preserve">6 Additional </v>
      </c>
    </row>
    <row r="1738" spans="1:45" x14ac:dyDescent="0.35">
      <c r="A1738" s="366">
        <v>8</v>
      </c>
      <c r="B1738" s="738" t="s">
        <v>4410</v>
      </c>
      <c r="C1738" s="731" t="s">
        <v>269</v>
      </c>
      <c r="D1738" s="732"/>
      <c r="E1738" s="732"/>
      <c r="F1738" s="732"/>
      <c r="G1738" s="366" t="str">
        <f t="shared" ca="1" si="107"/>
        <v/>
      </c>
      <c r="H1738" s="366" t="s">
        <v>3972</v>
      </c>
      <c r="J1738" s="402" t="s">
        <v>269</v>
      </c>
      <c r="K1738" s="467"/>
      <c r="L1738" s="814" t="s">
        <v>4426</v>
      </c>
      <c r="M1738" s="822" t="s">
        <v>4432</v>
      </c>
      <c r="X1738" s="817"/>
      <c r="Y1738" s="1120"/>
      <c r="Z1738" s="1109"/>
      <c r="AL1738" t="str">
        <f>SUBSTITUTE(SUBSTITUTE(SUBSTITUTE("vpa"&amp;$B1738&amp;$C1738&amp;$D1738&amp;$E1738,".","_"),"(","_"),")","")</f>
        <v>vpa802_5_1_4</v>
      </c>
      <c r="AM1738" t="str">
        <f>M1738</f>
        <v xml:space="preserve">8 Additional </v>
      </c>
    </row>
    <row r="1739" spans="1:45" x14ac:dyDescent="0.35">
      <c r="A1739" s="366">
        <v>8</v>
      </c>
      <c r="B1739" s="738" t="s">
        <v>4410</v>
      </c>
      <c r="C1739" s="731" t="s">
        <v>269</v>
      </c>
      <c r="D1739" s="732"/>
      <c r="E1739" s="732"/>
      <c r="F1739" s="732"/>
      <c r="G1739" s="366" t="str">
        <f t="shared" ca="1" si="107"/>
        <v/>
      </c>
      <c r="H1739" s="366" t="s">
        <v>3972</v>
      </c>
      <c r="J1739" s="416"/>
      <c r="K1739" s="472"/>
      <c r="L1739" s="815"/>
      <c r="M1739" s="819"/>
      <c r="X1739" s="817"/>
      <c r="Y1739" s="1120"/>
      <c r="Z1739" s="1109"/>
    </row>
    <row r="1740" spans="1:45" x14ac:dyDescent="0.35">
      <c r="A1740" s="366">
        <v>8</v>
      </c>
      <c r="B1740" s="738" t="s">
        <v>4410</v>
      </c>
      <c r="C1740" s="731" t="s">
        <v>275</v>
      </c>
      <c r="D1740" s="732"/>
      <c r="E1740" s="732"/>
      <c r="F1740" s="732"/>
      <c r="G1740" s="366" t="str">
        <f t="shared" ca="1" si="107"/>
        <v/>
      </c>
      <c r="H1740" s="366" t="s">
        <v>3972</v>
      </c>
      <c r="I1740" s="104"/>
      <c r="J1740" s="416" t="s">
        <v>275</v>
      </c>
      <c r="K1740" s="472"/>
      <c r="L1740" s="281" t="s">
        <v>4427</v>
      </c>
      <c r="M1740" s="291" t="s">
        <v>4433</v>
      </c>
      <c r="N1740" s="104"/>
      <c r="O1740" s="104"/>
      <c r="P1740" s="104"/>
      <c r="Q1740" s="104"/>
      <c r="R1740" s="104"/>
      <c r="S1740" s="104"/>
      <c r="T1740" s="104"/>
      <c r="U1740" s="104"/>
      <c r="X1740" s="817"/>
      <c r="Y1740" s="1117"/>
      <c r="Z1740" s="1103"/>
      <c r="AL1740" t="str">
        <f>SUBSTITUTE(SUBSTITUTE(SUBSTITUTE("vpa"&amp;$B1740&amp;$C1740&amp;$D1740&amp;$E1740,".","_"),"(","_"),")","")</f>
        <v>vpa802_5_1_5</v>
      </c>
      <c r="AM1740" t="str">
        <f>M1740</f>
        <v xml:space="preserve">12 Additional </v>
      </c>
    </row>
    <row r="1741" spans="1:45" x14ac:dyDescent="0.35">
      <c r="A1741" s="366">
        <v>8</v>
      </c>
      <c r="B1741" s="738" t="s">
        <v>4411</v>
      </c>
      <c r="C1741" s="732"/>
      <c r="D1741" s="732"/>
      <c r="E1741" s="732"/>
      <c r="F1741" s="732"/>
      <c r="G1741" s="366" t="str">
        <f ca="1">IF(N1741&gt;0,"P","")</f>
        <v>P</v>
      </c>
      <c r="H1741" s="366" t="s">
        <v>3972</v>
      </c>
      <c r="I1741" s="500" t="s">
        <v>4411</v>
      </c>
      <c r="J1741" s="402"/>
      <c r="K1741" s="481"/>
      <c r="L1741" s="838" t="s">
        <v>4419</v>
      </c>
      <c r="M1741" s="40"/>
      <c r="N1741" s="834">
        <f ca="1">'Ch8'!O112</f>
        <v>4</v>
      </c>
      <c r="O1741" s="832">
        <f ca="1">IFERROR(INDEX({3,4},MATCH(W1741,INDIRECT(U1741),0)),0)*S1741</f>
        <v>0</v>
      </c>
      <c r="P1741" t="b">
        <v>0</v>
      </c>
      <c r="Q1741" t="b">
        <v>1</v>
      </c>
      <c r="R1741" t="b">
        <v>0</v>
      </c>
      <c r="S1741" t="b">
        <f ca="1">S1643=2</f>
        <v>0</v>
      </c>
      <c r="T1741" t="b">
        <f ca="1">IF(AND(NOT(S1741),LEN(W1741)&gt;0),TRUE,FALSE)</f>
        <v>0</v>
      </c>
      <c r="U1741" t="str">
        <f>SUBSTITUTE(SUBSTITUTE(SUBSTITUTE("dd"&amp;B1741&amp;C1741&amp;D1741&amp;E1741&amp;F1741,".","_"),"(","_"),")","")</f>
        <v>dd802_5_2</v>
      </c>
      <c r="W1741" s="9"/>
      <c r="X1741" s="816"/>
      <c r="Y1741" s="1119" t="str">
        <f>IF(LEN('Ch8'!X112)=0,"None",'Ch8'!X112)</f>
        <v>None</v>
      </c>
      <c r="Z1741" s="1105"/>
      <c r="AC1741" t="b">
        <f ca="1">OR(AD1741:AE1741)</f>
        <v>0</v>
      </c>
      <c r="AD1741" t="b">
        <f ca="1">T1741</f>
        <v>0</v>
      </c>
      <c r="AN1741" t="str">
        <f>SUBSTITUTE(SUBSTITUTE(SUBSTITUTE("vpc"&amp;$B1741&amp;$C1741&amp;$D1741&amp;$E1741,".","_"),"(","_"),")","")</f>
        <v>vpc802_5_2</v>
      </c>
      <c r="AO1741">
        <f ca="1">O1741</f>
        <v>0</v>
      </c>
      <c r="AP1741" t="str">
        <f>SUBSTITUTE(SUBSTITUTE(SUBSTITUTE("vch"&amp;$B1741&amp;$C1741&amp;$D1741&amp;$E1741,".","_"),"(","_"),")","")</f>
        <v>vch802_5_2</v>
      </c>
      <c r="AQ1741" t="str">
        <f>IF(LEN(W1741)=0,"",W1741)</f>
        <v/>
      </c>
      <c r="AR1741" t="str">
        <f>SUBSTITUTE(SUBSTITUTE(SUBSTITUTE("vnt"&amp;$B1741&amp;$C1741&amp;$D1741&amp;$E1741,".","_"),"(","_"),")","")</f>
        <v>vnt802_5_2</v>
      </c>
      <c r="AS1741" t="str">
        <f>IF(LEN(X1741)=0,"",X1741)</f>
        <v/>
      </c>
    </row>
    <row r="1742" spans="1:45" x14ac:dyDescent="0.35">
      <c r="A1742" s="366">
        <v>8</v>
      </c>
      <c r="B1742" s="738" t="s">
        <v>4411</v>
      </c>
      <c r="C1742" s="732"/>
      <c r="D1742" s="732"/>
      <c r="E1742" s="732"/>
      <c r="F1742" s="732"/>
      <c r="G1742" s="366" t="str">
        <f ca="1">G1741</f>
        <v>P</v>
      </c>
      <c r="H1742" s="366" t="s">
        <v>3972</v>
      </c>
      <c r="I1742" s="500"/>
      <c r="J1742" s="402"/>
      <c r="K1742" s="481"/>
      <c r="L1742" s="838"/>
      <c r="M1742" s="40"/>
      <c r="N1742" s="834"/>
      <c r="O1742" s="832"/>
      <c r="X1742" s="817"/>
      <c r="Y1742" s="1120"/>
      <c r="Z1742" s="1109"/>
    </row>
    <row r="1743" spans="1:45" x14ac:dyDescent="0.35">
      <c r="A1743" s="366">
        <v>8</v>
      </c>
      <c r="B1743" s="738" t="s">
        <v>4411</v>
      </c>
      <c r="C1743" s="732"/>
      <c r="D1743" s="732"/>
      <c r="E1743" s="732"/>
      <c r="F1743" s="732"/>
      <c r="G1743" s="366" t="str">
        <f ca="1">G1742</f>
        <v>P</v>
      </c>
      <c r="H1743" s="366" t="s">
        <v>3972</v>
      </c>
      <c r="I1743" s="500"/>
      <c r="J1743" s="402"/>
      <c r="K1743" s="481"/>
      <c r="L1743" s="838"/>
      <c r="M1743" s="40"/>
      <c r="N1743" s="834"/>
      <c r="O1743" s="832"/>
      <c r="X1743" s="817"/>
      <c r="Y1743" s="1120"/>
      <c r="Z1743" s="1109"/>
    </row>
    <row r="1744" spans="1:45" x14ac:dyDescent="0.35">
      <c r="A1744" s="366">
        <v>8</v>
      </c>
      <c r="B1744" s="738" t="s">
        <v>4411</v>
      </c>
      <c r="C1744" s="731" t="s">
        <v>256</v>
      </c>
      <c r="D1744" s="732"/>
      <c r="E1744" s="732"/>
      <c r="F1744" s="732"/>
      <c r="G1744" s="366" t="str">
        <f ca="1">G1743</f>
        <v>P</v>
      </c>
      <c r="H1744" s="366" t="s">
        <v>3972</v>
      </c>
      <c r="I1744" s="500"/>
      <c r="J1744" s="402" t="s">
        <v>256</v>
      </c>
      <c r="K1744" s="481"/>
      <c r="L1744" s="266" t="s">
        <v>4420</v>
      </c>
      <c r="M1744" s="40">
        <v>3</v>
      </c>
      <c r="O1744" s="75"/>
      <c r="X1744" s="817"/>
      <c r="Y1744" s="1120"/>
      <c r="Z1744" s="1109"/>
      <c r="AL1744" t="str">
        <f>SUBSTITUTE(SUBSTITUTE(SUBSTITUTE("vpa"&amp;$B1744&amp;$C1744&amp;$D1744&amp;$E1744,".","_"),"(","_"),")","")</f>
        <v>vpa802_5_2_1</v>
      </c>
      <c r="AM1744">
        <f>M1744</f>
        <v>3</v>
      </c>
    </row>
    <row r="1745" spans="1:45" x14ac:dyDescent="0.35">
      <c r="A1745" s="366">
        <v>8</v>
      </c>
      <c r="B1745" s="738" t="s">
        <v>4411</v>
      </c>
      <c r="C1745" s="731" t="s">
        <v>258</v>
      </c>
      <c r="D1745" s="732"/>
      <c r="E1745" s="732"/>
      <c r="F1745" s="732"/>
      <c r="G1745" s="366" t="str">
        <f ca="1">G1744</f>
        <v>P</v>
      </c>
      <c r="H1745" s="366" t="s">
        <v>3972</v>
      </c>
      <c r="I1745" s="504"/>
      <c r="J1745" s="416" t="s">
        <v>258</v>
      </c>
      <c r="K1745" s="482"/>
      <c r="L1745" s="281" t="s">
        <v>4421</v>
      </c>
      <c r="M1745" s="268" t="s">
        <v>4424</v>
      </c>
      <c r="N1745" s="104"/>
      <c r="O1745" s="309"/>
      <c r="P1745" s="104"/>
      <c r="Q1745" s="104"/>
      <c r="R1745" s="104"/>
      <c r="S1745" s="104"/>
      <c r="T1745" s="104"/>
      <c r="U1745" s="104"/>
      <c r="X1745" s="817"/>
      <c r="Y1745" s="1117"/>
      <c r="Z1745" s="1103"/>
      <c r="AL1745" t="str">
        <f>SUBSTITUTE(SUBSTITUTE(SUBSTITUTE("vpa"&amp;$B1745&amp;$C1745&amp;$D1745&amp;$E1745,".","_"),"(","_"),")","")</f>
        <v>vpa802_5_2_2</v>
      </c>
      <c r="AM1745" t="str">
        <f>M1745</f>
        <v xml:space="preserve">1 Additional </v>
      </c>
    </row>
    <row r="1746" spans="1:45" ht="15" customHeight="1" x14ac:dyDescent="0.35">
      <c r="A1746" s="366">
        <v>8</v>
      </c>
      <c r="B1746" s="738" t="s">
        <v>4422</v>
      </c>
      <c r="C1746" s="731"/>
      <c r="D1746" s="731"/>
      <c r="E1746" s="731"/>
      <c r="F1746" s="731"/>
      <c r="G1746" s="366" t="str">
        <f ca="1">IF(N1746&gt;0,"P","")</f>
        <v/>
      </c>
      <c r="H1746" s="366" t="s">
        <v>3972</v>
      </c>
      <c r="I1746" s="30" t="s">
        <v>4422</v>
      </c>
      <c r="J1746" s="93"/>
      <c r="K1746" s="4"/>
      <c r="L1746" s="838" t="s">
        <v>4423</v>
      </c>
      <c r="M1746" s="843" t="s">
        <v>3595</v>
      </c>
      <c r="N1746" s="834">
        <f ca="1">'Ch8'!O117</f>
        <v>0</v>
      </c>
      <c r="O1746" s="832">
        <f ca="1">IFERROR(MATCH(W1746,INDIRECT(U1746),0),0)*S1746</f>
        <v>0</v>
      </c>
      <c r="P1746" t="b">
        <v>0</v>
      </c>
      <c r="Q1746" t="b">
        <v>1</v>
      </c>
      <c r="R1746" t="b">
        <v>0</v>
      </c>
      <c r="S1746" t="b">
        <f ca="1">S1643=2</f>
        <v>0</v>
      </c>
      <c r="T1746" t="b">
        <f ca="1">IF(AND(NOT(S1746),LEN(W1746)&gt;0),TRUE,FALSE)</f>
        <v>0</v>
      </c>
      <c r="U1746" t="str">
        <f>SUBSTITUTE(SUBSTITUTE(SUBSTITUTE("dd"&amp;B1746&amp;C1746&amp;D1746&amp;E1746&amp;F1746,".","_"),"(","_"),")","")</f>
        <v>dd802_5_3</v>
      </c>
      <c r="W1746" s="9"/>
      <c r="X1746" s="816"/>
      <c r="Y1746" s="1100" t="str">
        <f>IF(LEN('Ch8'!X117)=0,"None",'Ch8'!X117)</f>
        <v>None</v>
      </c>
      <c r="Z1746" s="1102"/>
      <c r="AC1746" t="b">
        <f ca="1">OR(AD1746:AE1746)</f>
        <v>0</v>
      </c>
      <c r="AD1746" t="b">
        <f ca="1">T1746</f>
        <v>0</v>
      </c>
      <c r="AL1746" t="str">
        <f>SUBSTITUTE(SUBSTITUTE(SUBSTITUTE("vpa"&amp;$B1746&amp;$C1746&amp;$D1746&amp;$E1746,".","_"),"(","_"),")","")</f>
        <v>vpa802_5_3</v>
      </c>
      <c r="AM1746" t="str">
        <f>M1746</f>
        <v>1
3 Max</v>
      </c>
      <c r="AN1746" t="str">
        <f>SUBSTITUTE(SUBSTITUTE(SUBSTITUTE("vpc"&amp;$B1746&amp;$C1746&amp;$D1746&amp;$E1746,".","_"),"(","_"),")","")</f>
        <v>vpc802_5_3</v>
      </c>
      <c r="AO1746">
        <f ca="1">O1746</f>
        <v>0</v>
      </c>
      <c r="AP1746" t="str">
        <f>SUBSTITUTE(SUBSTITUTE(SUBSTITUTE("vch"&amp;$B1746&amp;$C1746&amp;$D1746&amp;$E1746,".","_"),"(","_"),")","")</f>
        <v>vch802_5_3</v>
      </c>
      <c r="AQ1746" t="str">
        <f>IF(LEN(W1746)=0,"",W1746)</f>
        <v/>
      </c>
      <c r="AR1746" t="str">
        <f>SUBSTITUTE(SUBSTITUTE(SUBSTITUTE("vnt"&amp;$B1746&amp;$C1746&amp;$D1746&amp;$E1746,".","_"),"(","_"),")","")</f>
        <v>vnt802_5_3</v>
      </c>
      <c r="AS1746" t="str">
        <f>IF(LEN(X1746)=0,"",X1746)</f>
        <v/>
      </c>
    </row>
    <row r="1747" spans="1:45" x14ac:dyDescent="0.35">
      <c r="A1747" s="366">
        <v>8</v>
      </c>
      <c r="B1747" s="738" t="s">
        <v>4422</v>
      </c>
      <c r="C1747" s="731"/>
      <c r="D1747" s="731"/>
      <c r="E1747" s="731"/>
      <c r="F1747" s="731"/>
      <c r="G1747" s="366" t="str">
        <f ca="1">G1746</f>
        <v/>
      </c>
      <c r="H1747" s="366" t="s">
        <v>3972</v>
      </c>
      <c r="I1747" s="30"/>
      <c r="J1747" s="93"/>
      <c r="K1747" s="4"/>
      <c r="L1747" s="838"/>
      <c r="M1747" s="843"/>
      <c r="N1747" s="834"/>
      <c r="O1747" s="832"/>
      <c r="X1747" s="817"/>
      <c r="Y1747" s="1100"/>
      <c r="Z1747" s="1102"/>
    </row>
    <row r="1748" spans="1:45" ht="15" thickBot="1" x14ac:dyDescent="0.4">
      <c r="A1748" s="366">
        <v>8</v>
      </c>
      <c r="B1748" s="738" t="s">
        <v>4422</v>
      </c>
      <c r="C1748" s="731"/>
      <c r="D1748" s="731"/>
      <c r="E1748" s="731"/>
      <c r="F1748" s="731"/>
      <c r="G1748" s="366" t="str">
        <f ca="1">G1747</f>
        <v/>
      </c>
      <c r="H1748" s="366" t="s">
        <v>3972</v>
      </c>
      <c r="I1748" s="114"/>
      <c r="J1748" s="294"/>
      <c r="K1748" s="160"/>
      <c r="L1748" s="231" t="s">
        <v>793</v>
      </c>
      <c r="M1748" s="945"/>
      <c r="N1748" s="863"/>
      <c r="O1748" s="833"/>
      <c r="P1748" s="55"/>
      <c r="Q1748" s="55"/>
      <c r="R1748" s="55"/>
      <c r="S1748" s="55"/>
      <c r="T1748" s="55"/>
      <c r="U1748" s="55"/>
      <c r="V1748" s="55"/>
      <c r="W1748" s="55"/>
      <c r="X1748" s="829"/>
      <c r="Y1748" s="1101"/>
      <c r="Z1748" s="1104"/>
    </row>
    <row r="1749" spans="1:45" ht="15.75" customHeight="1" thickTop="1" x14ac:dyDescent="0.35">
      <c r="A1749" s="366">
        <v>8</v>
      </c>
      <c r="B1749" s="738" t="s">
        <v>4434</v>
      </c>
      <c r="C1749" s="731"/>
      <c r="D1749" s="731"/>
      <c r="E1749" s="731"/>
      <c r="F1749" s="731"/>
      <c r="G1749" s="366" t="s">
        <v>3973</v>
      </c>
      <c r="H1749" s="366" t="s">
        <v>3972</v>
      </c>
      <c r="I1749" s="30" t="s">
        <v>4434</v>
      </c>
      <c r="J1749" s="93"/>
      <c r="K1749" s="4"/>
      <c r="L1749" s="919" t="s">
        <v>4435</v>
      </c>
      <c r="M1749" s="40"/>
      <c r="N1749" s="41"/>
      <c r="O1749" s="75"/>
    </row>
    <row r="1750" spans="1:45" x14ac:dyDescent="0.35">
      <c r="A1750" s="366">
        <v>8</v>
      </c>
      <c r="B1750" s="738" t="s">
        <v>4434</v>
      </c>
      <c r="C1750" s="731"/>
      <c r="D1750" s="731"/>
      <c r="E1750" s="731"/>
      <c r="F1750" s="731"/>
      <c r="G1750" s="366" t="s">
        <v>3973</v>
      </c>
      <c r="H1750" s="366" t="s">
        <v>3972</v>
      </c>
      <c r="I1750" s="30"/>
      <c r="J1750" s="93"/>
      <c r="K1750" s="4"/>
      <c r="L1750" s="919"/>
      <c r="M1750" s="40"/>
      <c r="N1750" s="41"/>
      <c r="O1750" s="75"/>
    </row>
    <row r="1751" spans="1:45" ht="15" customHeight="1" x14ac:dyDescent="0.35">
      <c r="A1751" s="366">
        <v>8</v>
      </c>
      <c r="B1751" s="738" t="s">
        <v>4434</v>
      </c>
      <c r="C1751" s="731" t="s">
        <v>256</v>
      </c>
      <c r="D1751" s="731"/>
      <c r="E1751" s="731"/>
      <c r="F1751" s="746"/>
      <c r="G1751" s="366" t="s">
        <v>3973</v>
      </c>
      <c r="H1751" s="366" t="s">
        <v>3972</v>
      </c>
      <c r="I1751" s="30"/>
      <c r="J1751" s="38" t="s">
        <v>256</v>
      </c>
      <c r="K1751" s="4"/>
      <c r="L1751" s="848" t="s">
        <v>4438</v>
      </c>
      <c r="M1751" s="941" t="str">
        <f ca="1">IF(O1760&gt;0,"Met","Gold/Emerald not available")</f>
        <v>Gold/Emerald not available</v>
      </c>
      <c r="N1751" s="41"/>
      <c r="O1751" s="75"/>
      <c r="X1751" s="817"/>
      <c r="Y1751" s="1100" t="str">
        <f>IF(LEN('Ch8'!X122)=0,"None",'Ch8'!X122)</f>
        <v>None</v>
      </c>
      <c r="Z1751" s="1102"/>
      <c r="AR1751" t="str">
        <f>SUBSTITUTE(SUBSTITUTE(SUBSTITUTE("vnt"&amp;$B1751&amp;$C1751&amp;$D1751&amp;$E1751,".","_"),"(","_"),")","")</f>
        <v>vnt802_5_4_1</v>
      </c>
      <c r="AS1751" t="str">
        <f>IF(LEN(X1751)=0,"",X1751)</f>
        <v/>
      </c>
    </row>
    <row r="1752" spans="1:45" x14ac:dyDescent="0.35">
      <c r="A1752" s="366">
        <v>8</v>
      </c>
      <c r="B1752" s="738" t="s">
        <v>4434</v>
      </c>
      <c r="C1752" s="731" t="s">
        <v>256</v>
      </c>
      <c r="D1752" s="731"/>
      <c r="E1752" s="731"/>
      <c r="F1752" s="746"/>
      <c r="G1752" s="366" t="s">
        <v>3973</v>
      </c>
      <c r="H1752" s="366" t="s">
        <v>3972</v>
      </c>
      <c r="I1752" s="30"/>
      <c r="J1752" s="497"/>
      <c r="K1752" s="133"/>
      <c r="L1752" s="821"/>
      <c r="M1752" s="942"/>
      <c r="N1752" s="546"/>
      <c r="O1752" s="309"/>
      <c r="X1752" s="817"/>
      <c r="Y1752" s="1100"/>
      <c r="Z1752" s="1102"/>
    </row>
    <row r="1753" spans="1:45" ht="15" customHeight="1" x14ac:dyDescent="0.35">
      <c r="A1753" s="366">
        <v>8</v>
      </c>
      <c r="B1753" s="738" t="s">
        <v>4434</v>
      </c>
      <c r="C1753" s="731" t="s">
        <v>258</v>
      </c>
      <c r="D1753" s="731"/>
      <c r="E1753" s="731"/>
      <c r="F1753" s="746"/>
      <c r="G1753" s="366" t="str">
        <f ca="1">IF(N1753&gt;0,"P","")</f>
        <v>P</v>
      </c>
      <c r="H1753" s="366" t="s">
        <v>3972</v>
      </c>
      <c r="I1753" s="30"/>
      <c r="J1753" s="38" t="s">
        <v>258</v>
      </c>
      <c r="K1753" s="4"/>
      <c r="L1753" s="814" t="s">
        <v>4894</v>
      </c>
      <c r="M1753" s="891" t="s">
        <v>4440</v>
      </c>
      <c r="N1753" s="834">
        <f ca="1">'Ch8'!O124</f>
        <v>8</v>
      </c>
      <c r="O1753" s="832">
        <f ca="1">IFERROR(4*MATCH(W1753,INDIRECT(U1753),0),0)*S1753</f>
        <v>0</v>
      </c>
      <c r="P1753" t="b">
        <v>0</v>
      </c>
      <c r="Q1753" t="b">
        <v>1</v>
      </c>
      <c r="R1753" t="b">
        <v>0</v>
      </c>
      <c r="S1753" t="b">
        <f ca="1">S1643=2</f>
        <v>0</v>
      </c>
      <c r="T1753" t="b">
        <f ca="1">IF(AND(NOT(S1753),LEN(W1753)&gt;0),TRUE,FALSE)</f>
        <v>0</v>
      </c>
      <c r="U1753" t="str">
        <f>SUBSTITUTE(SUBSTITUTE(SUBSTITUTE("dd"&amp;B1753&amp;C1753&amp;D1753&amp;E1753&amp;F1753,".","_"),"(","_"),")","")</f>
        <v>dd802_5_4_2</v>
      </c>
      <c r="W1753" s="9"/>
      <c r="X1753" s="817"/>
      <c r="Y1753" s="1100" t="str">
        <f>IF(LEN('Ch8'!X124)=0,"None",'Ch8'!X124)</f>
        <v>Niagara Corp. Toilets</v>
      </c>
      <c r="Z1753" s="1102"/>
      <c r="AC1753" t="b">
        <f ca="1">OR(AD1753:AE1753)</f>
        <v>0</v>
      </c>
      <c r="AD1753" t="b">
        <f ca="1">T1753</f>
        <v>0</v>
      </c>
      <c r="AL1753" t="str">
        <f>SUBSTITUTE(SUBSTITUTE(SUBSTITUTE("vpa"&amp;$B1753&amp;$C1753&amp;$D1753&amp;$E1753,".","_"),"(","_"),")","")</f>
        <v>vpa802_5_4_2</v>
      </c>
      <c r="AM1753" t="str">
        <f>M1753</f>
        <v>4 
12 Max</v>
      </c>
      <c r="AN1753" t="str">
        <f>SUBSTITUTE(SUBSTITUTE(SUBSTITUTE("vpc"&amp;$B1753&amp;$C1753&amp;$D1753&amp;$E1753,".","_"),"(","_"),")","")</f>
        <v>vpc802_5_4_2</v>
      </c>
      <c r="AO1753">
        <f ca="1">O1753</f>
        <v>0</v>
      </c>
      <c r="AP1753" t="str">
        <f>SUBSTITUTE(SUBSTITUTE(SUBSTITUTE("vch"&amp;$B1753&amp;$C1753&amp;$D1753&amp;$E1753,".","_"),"(","_"),")","")</f>
        <v>vch802_5_4_2</v>
      </c>
      <c r="AQ1753" t="str">
        <f>IF(LEN(W1753)=0,"",W1753)</f>
        <v/>
      </c>
      <c r="AR1753" t="str">
        <f>SUBSTITUTE(SUBSTITUTE(SUBSTITUTE("vnt"&amp;$B1753&amp;$C1753&amp;$D1753&amp;$E1753,".","_"),"(","_"),")","")</f>
        <v>vnt802_5_4_2</v>
      </c>
      <c r="AS1753" t="str">
        <f>IF(LEN(X1753)=0,"",X1753)</f>
        <v/>
      </c>
    </row>
    <row r="1754" spans="1:45" x14ac:dyDescent="0.35">
      <c r="A1754" s="366">
        <v>8</v>
      </c>
      <c r="B1754" s="738" t="s">
        <v>4434</v>
      </c>
      <c r="C1754" s="731" t="s">
        <v>258</v>
      </c>
      <c r="D1754" s="731"/>
      <c r="E1754" s="731"/>
      <c r="F1754" s="746"/>
      <c r="G1754" s="366" t="str">
        <f t="shared" ref="G1754:G1759" ca="1" si="108">G1753</f>
        <v>P</v>
      </c>
      <c r="H1754" s="366" t="s">
        <v>3972</v>
      </c>
      <c r="I1754" s="30"/>
      <c r="J1754" s="93"/>
      <c r="K1754" s="4"/>
      <c r="L1754" s="814"/>
      <c r="M1754" s="891"/>
      <c r="N1754" s="834"/>
      <c r="O1754" s="832"/>
      <c r="X1754" s="817"/>
      <c r="Y1754" s="1100"/>
      <c r="Z1754" s="1102"/>
    </row>
    <row r="1755" spans="1:45" x14ac:dyDescent="0.35">
      <c r="A1755" s="366">
        <v>8</v>
      </c>
      <c r="B1755" s="738" t="s">
        <v>4434</v>
      </c>
      <c r="C1755" s="731" t="s">
        <v>258</v>
      </c>
      <c r="D1755" s="731"/>
      <c r="E1755" s="731"/>
      <c r="F1755" s="746"/>
      <c r="G1755" s="366" t="str">
        <f t="shared" ca="1" si="108"/>
        <v>P</v>
      </c>
      <c r="H1755" s="366" t="s">
        <v>3972</v>
      </c>
      <c r="I1755" s="30"/>
      <c r="J1755" s="93"/>
      <c r="K1755" s="4"/>
      <c r="L1755" s="814"/>
      <c r="M1755" s="891"/>
      <c r="N1755" s="834"/>
      <c r="O1755" s="832"/>
      <c r="X1755" s="817"/>
      <c r="Y1755" s="1100"/>
      <c r="Z1755" s="1102"/>
    </row>
    <row r="1756" spans="1:45" x14ac:dyDescent="0.35">
      <c r="A1756" s="366">
        <v>8</v>
      </c>
      <c r="B1756" s="738" t="s">
        <v>4434</v>
      </c>
      <c r="C1756" s="731" t="s">
        <v>258</v>
      </c>
      <c r="D1756" s="731"/>
      <c r="E1756" s="731"/>
      <c r="F1756" s="746"/>
      <c r="G1756" s="366" t="str">
        <f t="shared" ca="1" si="108"/>
        <v>P</v>
      </c>
      <c r="H1756" s="366" t="s">
        <v>3972</v>
      </c>
      <c r="I1756" s="30"/>
      <c r="J1756" s="93"/>
      <c r="K1756" s="4"/>
      <c r="L1756" s="814"/>
      <c r="M1756" s="891"/>
      <c r="N1756" s="834"/>
      <c r="O1756" s="832"/>
      <c r="X1756" s="817"/>
      <c r="Y1756" s="1100"/>
      <c r="Z1756" s="1102"/>
    </row>
    <row r="1757" spans="1:45" ht="15" customHeight="1" x14ac:dyDescent="0.35">
      <c r="A1757" s="366">
        <v>8</v>
      </c>
      <c r="B1757" s="738" t="s">
        <v>4434</v>
      </c>
      <c r="C1757" s="731" t="s">
        <v>258</v>
      </c>
      <c r="D1757" s="731"/>
      <c r="E1757" s="731"/>
      <c r="F1757" s="746"/>
      <c r="G1757" s="366" t="str">
        <f t="shared" ca="1" si="108"/>
        <v>P</v>
      </c>
      <c r="H1757" s="366" t="s">
        <v>3972</v>
      </c>
      <c r="I1757" s="30"/>
      <c r="J1757" s="93"/>
      <c r="K1757" s="4"/>
      <c r="L1757" s="895" t="s">
        <v>4439</v>
      </c>
      <c r="M1757" s="40"/>
      <c r="N1757" s="41"/>
      <c r="O1757" s="75"/>
      <c r="X1757" s="817"/>
      <c r="Y1757" s="1100"/>
      <c r="Z1757" s="1102"/>
    </row>
    <row r="1758" spans="1:45" x14ac:dyDescent="0.35">
      <c r="A1758" s="366">
        <v>8</v>
      </c>
      <c r="B1758" s="738" t="s">
        <v>4434</v>
      </c>
      <c r="C1758" s="731" t="s">
        <v>258</v>
      </c>
      <c r="D1758" s="731"/>
      <c r="E1758" s="731"/>
      <c r="F1758" s="746"/>
      <c r="G1758" s="366" t="str">
        <f t="shared" ca="1" si="108"/>
        <v>P</v>
      </c>
      <c r="H1758" s="366" t="s">
        <v>3972</v>
      </c>
      <c r="I1758" s="30"/>
      <c r="J1758" s="93"/>
      <c r="K1758" s="4"/>
      <c r="L1758" s="895"/>
      <c r="M1758" s="40"/>
      <c r="N1758" s="41"/>
      <c r="O1758" s="75"/>
      <c r="X1758" s="817"/>
      <c r="Y1758" s="1100"/>
      <c r="Z1758" s="1102"/>
    </row>
    <row r="1759" spans="1:45" x14ac:dyDescent="0.35">
      <c r="A1759" s="366">
        <v>8</v>
      </c>
      <c r="B1759" s="738" t="s">
        <v>4434</v>
      </c>
      <c r="C1759" s="731" t="s">
        <v>258</v>
      </c>
      <c r="D1759" s="731"/>
      <c r="E1759" s="731"/>
      <c r="F1759" s="746"/>
      <c r="G1759" s="366" t="str">
        <f t="shared" ca="1" si="108"/>
        <v>P</v>
      </c>
      <c r="H1759" s="366" t="s">
        <v>3972</v>
      </c>
      <c r="I1759" s="30"/>
      <c r="J1759" s="320"/>
      <c r="K1759" s="133"/>
      <c r="L1759" s="948"/>
      <c r="M1759" s="268"/>
      <c r="N1759" s="546"/>
      <c r="O1759" s="309"/>
      <c r="X1759" s="817"/>
      <c r="Y1759" s="1100"/>
      <c r="Z1759" s="1102"/>
    </row>
    <row r="1760" spans="1:45" x14ac:dyDescent="0.35">
      <c r="A1760" s="366">
        <v>8</v>
      </c>
      <c r="B1760" s="738" t="s">
        <v>4434</v>
      </c>
      <c r="C1760" s="731" t="s">
        <v>260</v>
      </c>
      <c r="D1760" s="731"/>
      <c r="E1760" s="731"/>
      <c r="F1760" s="746"/>
      <c r="G1760" s="366" t="str">
        <f ca="1">IF(N1760&gt;0,"P","")</f>
        <v/>
      </c>
      <c r="H1760" s="366" t="s">
        <v>3972</v>
      </c>
      <c r="I1760" s="30"/>
      <c r="J1760" s="497" t="s">
        <v>260</v>
      </c>
      <c r="K1760" s="133"/>
      <c r="L1760" s="228" t="s">
        <v>4436</v>
      </c>
      <c r="M1760" s="238">
        <f ca="1">17-O1753</f>
        <v>17</v>
      </c>
      <c r="N1760" s="546">
        <f ca="1">'Ch8'!O131</f>
        <v>0</v>
      </c>
      <c r="O1760" s="309">
        <f ca="1">M1760*W1760*S1760</f>
        <v>0</v>
      </c>
      <c r="P1760" t="b">
        <v>0</v>
      </c>
      <c r="Q1760" t="b">
        <v>1</v>
      </c>
      <c r="R1760" t="b">
        <v>0</v>
      </c>
      <c r="S1760" t="b">
        <f ca="1">AND(LEN(W1753)&gt;0,S1643=2)</f>
        <v>0</v>
      </c>
      <c r="T1760" t="b">
        <f ca="1">IF(AND(NOT(S1760),W1760=TRUE),TRUE,FALSE)</f>
        <v>0</v>
      </c>
      <c r="W1760" s="17"/>
      <c r="X1760" s="36"/>
      <c r="Y1760" s="396" t="str">
        <f>IF(LEN('Ch8'!X131)=0,"None",'Ch8'!X131)</f>
        <v>None</v>
      </c>
      <c r="Z1760" s="652"/>
      <c r="AC1760" t="b">
        <f ca="1">OR(AD1760:AE1760)</f>
        <v>0</v>
      </c>
      <c r="AD1760" t="b">
        <f ca="1">T1760</f>
        <v>0</v>
      </c>
      <c r="AL1760" t="str">
        <f>SUBSTITUTE(SUBSTITUTE(SUBSTITUTE("vpa"&amp;$B1760&amp;$C1760&amp;$D1760&amp;$E1760,".","_"),"(","_"),")","")</f>
        <v>vpa802_5_4_3</v>
      </c>
      <c r="AM1760">
        <f ca="1">M1760</f>
        <v>17</v>
      </c>
      <c r="AN1760" t="str">
        <f>SUBSTITUTE(SUBSTITUTE(SUBSTITUTE("vpc"&amp;$B1760&amp;$C1760&amp;$D1760&amp;$E1760,".","_"),"(","_"),")","")</f>
        <v>vpc802_5_4_3</v>
      </c>
      <c r="AO1760">
        <f ca="1">O1760</f>
        <v>0</v>
      </c>
      <c r="AP1760" t="str">
        <f>SUBSTITUTE(SUBSTITUTE(SUBSTITUTE("vch"&amp;$B1760&amp;$C1760&amp;$D1760&amp;$E1760,".","_"),"(","_"),")","")</f>
        <v>vch802_5_4_3</v>
      </c>
      <c r="AQ1760" t="str">
        <f>IF(LEN(W1760)=0,"",W1760)</f>
        <v/>
      </c>
      <c r="AR1760" t="str">
        <f>SUBSTITUTE(SUBSTITUTE(SUBSTITUTE("vnt"&amp;$B1760&amp;$C1760&amp;$D1760&amp;$E1760,".","_"),"(","_"),")","")</f>
        <v>vnt802_5_4_3</v>
      </c>
      <c r="AS1760" t="str">
        <f>IF(LEN(X1760)=0,"",X1760)</f>
        <v/>
      </c>
    </row>
    <row r="1761" spans="1:45" ht="15" customHeight="1" x14ac:dyDescent="0.35">
      <c r="A1761" s="366">
        <v>8</v>
      </c>
      <c r="B1761" s="738" t="s">
        <v>4434</v>
      </c>
      <c r="C1761" s="731" t="s">
        <v>269</v>
      </c>
      <c r="D1761" s="731"/>
      <c r="E1761" s="731"/>
      <c r="F1761" s="746"/>
      <c r="G1761" s="727" t="str">
        <f ca="1">IF(COUNTIF(G1763:G1769,"P")&gt;0,"P","")</f>
        <v/>
      </c>
      <c r="H1761" s="366" t="s">
        <v>3972</v>
      </c>
      <c r="I1761" s="30"/>
      <c r="J1761" s="38" t="s">
        <v>269</v>
      </c>
      <c r="K1761" s="4"/>
      <c r="L1761" s="814" t="s">
        <v>4437</v>
      </c>
      <c r="M1761" s="40"/>
      <c r="N1761" s="41"/>
      <c r="O1761" s="75"/>
    </row>
    <row r="1762" spans="1:45" x14ac:dyDescent="0.35">
      <c r="A1762" s="366">
        <v>8</v>
      </c>
      <c r="B1762" s="738" t="s">
        <v>4434</v>
      </c>
      <c r="C1762" s="731" t="s">
        <v>269</v>
      </c>
      <c r="D1762" s="731"/>
      <c r="E1762" s="731"/>
      <c r="F1762" s="746"/>
      <c r="G1762" s="366" t="str">
        <f ca="1">G1761</f>
        <v/>
      </c>
      <c r="H1762" s="366" t="s">
        <v>3972</v>
      </c>
      <c r="I1762" s="30"/>
      <c r="J1762" s="93"/>
      <c r="K1762" s="4"/>
      <c r="L1762" s="814"/>
      <c r="M1762" s="40"/>
      <c r="N1762" s="41"/>
      <c r="O1762" s="75"/>
    </row>
    <row r="1763" spans="1:45" ht="15" customHeight="1" x14ac:dyDescent="0.35">
      <c r="A1763" s="366">
        <v>8</v>
      </c>
      <c r="B1763" s="738" t="s">
        <v>4434</v>
      </c>
      <c r="C1763" s="731" t="s">
        <v>269</v>
      </c>
      <c r="D1763" s="731" t="s">
        <v>121</v>
      </c>
      <c r="E1763" s="731"/>
      <c r="F1763" s="746"/>
      <c r="G1763" s="366" t="str">
        <f ca="1">IF(N1763&gt;0,"P","")</f>
        <v/>
      </c>
      <c r="H1763" s="732" t="s">
        <v>3972</v>
      </c>
      <c r="I1763" s="4"/>
      <c r="J1763" s="93"/>
      <c r="K1763" s="19" t="s">
        <v>121</v>
      </c>
      <c r="L1763" s="90" t="s">
        <v>4445</v>
      </c>
      <c r="M1763" s="891" t="s">
        <v>4441</v>
      </c>
      <c r="N1763" s="834">
        <f ca="1">'Ch8'!O134</f>
        <v>0</v>
      </c>
      <c r="O1763" s="832">
        <f ca="1">IFERROR(MATCH(W1763,INDIRECT(U1763),0),0)*S1763*2</f>
        <v>0</v>
      </c>
      <c r="P1763" t="b">
        <v>0</v>
      </c>
      <c r="Q1763" t="b">
        <v>1</v>
      </c>
      <c r="R1763" t="b">
        <v>0</v>
      </c>
      <c r="S1763" t="b">
        <f ca="1">AND(W1760=TRUE,S1760,S1643=2)</f>
        <v>0</v>
      </c>
      <c r="T1763" t="b">
        <f ca="1">IF(AND(NOT(S1763),LEN(W1763)&gt;0),TRUE,FALSE)</f>
        <v>0</v>
      </c>
      <c r="U1763" t="str">
        <f>SUBSTITUTE(SUBSTITUTE(SUBSTITUTE("dd"&amp;B1763&amp;C1763&amp;D1763&amp;E1763&amp;F1763,".","_"),"(","_"),")","")</f>
        <v>dd802_5_4_4_a</v>
      </c>
      <c r="W1763" s="9"/>
      <c r="X1763" s="817"/>
      <c r="Y1763" s="1100" t="str">
        <f>IF(LEN('Ch8'!X134)=0,"None",'Ch8'!X134)</f>
        <v>None</v>
      </c>
      <c r="Z1763" s="1102"/>
      <c r="AC1763" t="b">
        <f ca="1">OR(AD1763:AE1763)</f>
        <v>0</v>
      </c>
      <c r="AD1763" t="b">
        <f ca="1">T1763</f>
        <v>0</v>
      </c>
      <c r="AL1763" t="str">
        <f>SUBSTITUTE(SUBSTITUTE(SUBSTITUTE("vpa"&amp;$B1763&amp;$C1763&amp;$D1763&amp;$E1763,".","_"),"(","_"),")","")</f>
        <v>vpa802_5_4_4_a</v>
      </c>
      <c r="AM1763" t="str">
        <f>M1763</f>
        <v>2 Additional
6 Max</v>
      </c>
      <c r="AN1763" t="str">
        <f>SUBSTITUTE(SUBSTITUTE(SUBSTITUTE("vpc"&amp;$B1763&amp;$C1763&amp;$D1763&amp;$E1763,".","_"),"(","_"),")","")</f>
        <v>vpc802_5_4_4_a</v>
      </c>
      <c r="AO1763">
        <f ca="1">O1763</f>
        <v>0</v>
      </c>
      <c r="AP1763" t="str">
        <f>SUBSTITUTE(SUBSTITUTE(SUBSTITUTE("vch"&amp;$B1763&amp;$C1763&amp;$D1763&amp;$E1763,".","_"),"(","_"),")","")</f>
        <v>vch802_5_4_4_a</v>
      </c>
      <c r="AQ1763" t="str">
        <f>IF(LEN(W1763)=0,"",W1763)</f>
        <v/>
      </c>
      <c r="AR1763" t="str">
        <f>SUBSTITUTE(SUBSTITUTE(SUBSTITUTE("vnt"&amp;$B1763&amp;$C1763&amp;$D1763&amp;$E1763,".","_"),"(","_"),")","")</f>
        <v>vnt802_5_4_4_a</v>
      </c>
      <c r="AS1763" t="str">
        <f>IF(LEN(X1763)=0,"",X1763)</f>
        <v/>
      </c>
    </row>
    <row r="1764" spans="1:45" ht="15" customHeight="1" x14ac:dyDescent="0.35">
      <c r="A1764" s="366">
        <v>8</v>
      </c>
      <c r="B1764" s="738" t="s">
        <v>4434</v>
      </c>
      <c r="C1764" s="731" t="s">
        <v>269</v>
      </c>
      <c r="D1764" s="731" t="s">
        <v>121</v>
      </c>
      <c r="E1764" s="731"/>
      <c r="F1764" s="746"/>
      <c r="G1764" s="366" t="str">
        <f ca="1">G1763</f>
        <v/>
      </c>
      <c r="H1764" s="732" t="s">
        <v>3972</v>
      </c>
      <c r="I1764" s="4"/>
      <c r="J1764" s="93"/>
      <c r="K1764" s="4"/>
      <c r="L1764" s="895" t="s">
        <v>4446</v>
      </c>
      <c r="M1764" s="951"/>
      <c r="N1764" s="834"/>
      <c r="O1764" s="832"/>
      <c r="X1764" s="817"/>
      <c r="Y1764" s="1100"/>
      <c r="Z1764" s="1102"/>
    </row>
    <row r="1765" spans="1:45" x14ac:dyDescent="0.35">
      <c r="A1765" s="366">
        <v>8</v>
      </c>
      <c r="B1765" s="738" t="s">
        <v>4434</v>
      </c>
      <c r="C1765" s="731" t="s">
        <v>269</v>
      </c>
      <c r="D1765" s="731" t="s">
        <v>121</v>
      </c>
      <c r="E1765" s="731"/>
      <c r="F1765" s="746"/>
      <c r="G1765" s="366" t="str">
        <f ca="1">G1764</f>
        <v/>
      </c>
      <c r="H1765" s="732" t="s">
        <v>3972</v>
      </c>
      <c r="I1765" s="4"/>
      <c r="J1765" s="93"/>
      <c r="K1765" s="4"/>
      <c r="L1765" s="895"/>
      <c r="M1765" s="951"/>
      <c r="N1765" s="834"/>
      <c r="O1765" s="832"/>
      <c r="X1765" s="817"/>
      <c r="Y1765" s="1100"/>
      <c r="Z1765" s="1102"/>
    </row>
    <row r="1766" spans="1:45" x14ac:dyDescent="0.35">
      <c r="A1766" s="366">
        <v>8</v>
      </c>
      <c r="B1766" s="738" t="s">
        <v>4434</v>
      </c>
      <c r="C1766" s="731" t="s">
        <v>269</v>
      </c>
      <c r="D1766" s="731" t="s">
        <v>121</v>
      </c>
      <c r="E1766" s="731"/>
      <c r="F1766" s="746"/>
      <c r="G1766" s="366" t="str">
        <f ca="1">G1765</f>
        <v/>
      </c>
      <c r="H1766" s="732" t="s">
        <v>3972</v>
      </c>
      <c r="I1766" s="4"/>
      <c r="J1766" s="93"/>
      <c r="K1766" s="133"/>
      <c r="L1766" s="948"/>
      <c r="M1766" s="952"/>
      <c r="N1766" s="835"/>
      <c r="O1766" s="824"/>
      <c r="X1766" s="817"/>
      <c r="Y1766" s="1100"/>
      <c r="Z1766" s="1102"/>
    </row>
    <row r="1767" spans="1:45" ht="15" customHeight="1" x14ac:dyDescent="0.35">
      <c r="A1767" s="366">
        <v>8</v>
      </c>
      <c r="B1767" s="738" t="s">
        <v>4434</v>
      </c>
      <c r="C1767" s="731" t="s">
        <v>269</v>
      </c>
      <c r="D1767" s="731" t="s">
        <v>122</v>
      </c>
      <c r="E1767" s="731"/>
      <c r="F1767" s="746"/>
      <c r="G1767" s="366" t="str">
        <f ca="1">IF(N1767&gt;0,"P","")</f>
        <v/>
      </c>
      <c r="H1767" s="732" t="s">
        <v>3972</v>
      </c>
      <c r="I1767" s="4"/>
      <c r="J1767" s="93"/>
      <c r="K1767" s="19" t="s">
        <v>122</v>
      </c>
      <c r="L1767" s="814" t="s">
        <v>4444</v>
      </c>
      <c r="M1767" s="818" t="s">
        <v>4442</v>
      </c>
      <c r="N1767" s="834">
        <f ca="1">'Ch8'!O138</f>
        <v>0</v>
      </c>
      <c r="O1767" s="832">
        <f ca="1">2*W1767*S1767</f>
        <v>0</v>
      </c>
      <c r="P1767" t="b">
        <v>0</v>
      </c>
      <c r="Q1767" t="b">
        <v>1</v>
      </c>
      <c r="R1767" t="b">
        <v>0</v>
      </c>
      <c r="S1767" t="b">
        <f ca="1">AND(W1760=TRUE,S1760,S1643=2)</f>
        <v>0</v>
      </c>
      <c r="T1767" t="b">
        <f ca="1">IF(AND(NOT(S1767),W1767=TRUE),TRUE,FALSE)</f>
        <v>0</v>
      </c>
      <c r="W1767" s="17"/>
      <c r="X1767" s="817"/>
      <c r="Y1767" s="1100" t="str">
        <f>IF(LEN('Ch8'!X138)=0,"None",'Ch8'!X138)</f>
        <v>None</v>
      </c>
      <c r="Z1767" s="1102"/>
      <c r="AC1767" t="b">
        <f ca="1">OR(AD1767:AE1767)</f>
        <v>0</v>
      </c>
      <c r="AD1767" t="b">
        <f ca="1">T1767</f>
        <v>0</v>
      </c>
      <c r="AL1767" t="str">
        <f>SUBSTITUTE(SUBSTITUTE(SUBSTITUTE("vpa"&amp;$B1767&amp;$C1767&amp;$D1767&amp;$E1767,".","_"),"(","_"),")","")</f>
        <v>vpa802_5_4_4_b</v>
      </c>
      <c r="AM1767" t="str">
        <f>M1767</f>
        <v>2 Additional</v>
      </c>
      <c r="AN1767" t="str">
        <f>SUBSTITUTE(SUBSTITUTE(SUBSTITUTE("vpc"&amp;$B1767&amp;$C1767&amp;$D1767&amp;$E1767,".","_"),"(","_"),")","")</f>
        <v>vpc802_5_4_4_b</v>
      </c>
      <c r="AO1767">
        <f ca="1">O1767</f>
        <v>0</v>
      </c>
      <c r="AP1767" t="str">
        <f>SUBSTITUTE(SUBSTITUTE(SUBSTITUTE("vch"&amp;$B1767&amp;$C1767&amp;$D1767&amp;$E1767,".","_"),"(","_"),")","")</f>
        <v>vch802_5_4_4_b</v>
      </c>
      <c r="AQ1767" t="str">
        <f>IF(LEN(W1767)=0,"",W1767)</f>
        <v/>
      </c>
      <c r="AR1767" t="str">
        <f>SUBSTITUTE(SUBSTITUTE(SUBSTITUTE("vnt"&amp;$B1767&amp;$C1767&amp;$D1767&amp;$E1767,".","_"),"(","_"),")","")</f>
        <v>vnt802_5_4_4_b</v>
      </c>
      <c r="AS1767" t="str">
        <f>IF(LEN(X1767)=0,"",X1767)</f>
        <v/>
      </c>
    </row>
    <row r="1768" spans="1:45" x14ac:dyDescent="0.35">
      <c r="A1768" s="366">
        <v>8</v>
      </c>
      <c r="B1768" s="738" t="s">
        <v>4434</v>
      </c>
      <c r="C1768" s="731" t="s">
        <v>269</v>
      </c>
      <c r="D1768" s="731" t="s">
        <v>122</v>
      </c>
      <c r="E1768" s="731"/>
      <c r="F1768" s="746"/>
      <c r="G1768" s="366" t="str">
        <f ca="1">G1767</f>
        <v/>
      </c>
      <c r="H1768" s="732" t="s">
        <v>3972</v>
      </c>
      <c r="I1768" s="4"/>
      <c r="J1768" s="93"/>
      <c r="K1768" s="129"/>
      <c r="L1768" s="815"/>
      <c r="M1768" s="819"/>
      <c r="N1768" s="835"/>
      <c r="O1768" s="824"/>
      <c r="X1768" s="817"/>
      <c r="Y1768" s="1100"/>
      <c r="Z1768" s="1102"/>
    </row>
    <row r="1769" spans="1:45" ht="15" customHeight="1" x14ac:dyDescent="0.35">
      <c r="A1769" s="366">
        <v>8</v>
      </c>
      <c r="B1769" s="738" t="s">
        <v>4434</v>
      </c>
      <c r="C1769" s="731" t="s">
        <v>269</v>
      </c>
      <c r="D1769" s="731" t="s">
        <v>123</v>
      </c>
      <c r="E1769" s="731"/>
      <c r="F1769" s="746"/>
      <c r="G1769" s="366" t="str">
        <f ca="1">IF(N1769&gt;0,"P","")</f>
        <v/>
      </c>
      <c r="H1769" s="732" t="s">
        <v>3972</v>
      </c>
      <c r="I1769" s="4"/>
      <c r="J1769" s="93"/>
      <c r="K1769" s="19" t="s">
        <v>123</v>
      </c>
      <c r="L1769" s="814" t="s">
        <v>4447</v>
      </c>
      <c r="M1769" s="822" t="s">
        <v>4443</v>
      </c>
      <c r="N1769" s="963">
        <f ca="1">'Ch8'!O140</f>
        <v>0</v>
      </c>
      <c r="O1769" s="823">
        <f ca="1">12*S1769*W1769</f>
        <v>0</v>
      </c>
      <c r="P1769" t="b">
        <v>0</v>
      </c>
      <c r="Q1769" t="b">
        <v>1</v>
      </c>
      <c r="R1769" t="b">
        <v>0</v>
      </c>
      <c r="S1769" t="b">
        <f ca="1">AND(W1760=TRUE,S1760,S1643=2)</f>
        <v>0</v>
      </c>
      <c r="T1769" t="b">
        <f ca="1">IF(AND(NOT(S1769),W1769=TRUE),TRUE,FALSE)</f>
        <v>0</v>
      </c>
      <c r="W1769" s="17"/>
      <c r="X1769" s="817"/>
      <c r="Y1769" s="1119" t="str">
        <f>IF(LEN('Ch8'!X140)=0,"None",'Ch8'!X140)</f>
        <v>None</v>
      </c>
      <c r="Z1769" s="1105"/>
      <c r="AC1769" t="b">
        <f ca="1">OR(AD1769:AE1769)</f>
        <v>0</v>
      </c>
      <c r="AD1769" t="b">
        <f ca="1">T1769</f>
        <v>0</v>
      </c>
      <c r="AL1769" t="str">
        <f>SUBSTITUTE(SUBSTITUTE(SUBSTITUTE("vpa"&amp;$B1769&amp;$C1769&amp;$D1769&amp;$E1769,".","_"),"(","_"),")","")</f>
        <v>vpa802_5_4_4_c</v>
      </c>
      <c r="AM1769" t="str">
        <f>M1769</f>
        <v>12 Additional</v>
      </c>
      <c r="AN1769" t="str">
        <f>SUBSTITUTE(SUBSTITUTE(SUBSTITUTE("vpc"&amp;$B1769&amp;$C1769&amp;$D1769&amp;$E1769,".","_"),"(","_"),")","")</f>
        <v>vpc802_5_4_4_c</v>
      </c>
      <c r="AO1769">
        <f ca="1">O1769</f>
        <v>0</v>
      </c>
      <c r="AP1769" t="str">
        <f>SUBSTITUTE(SUBSTITUTE(SUBSTITUTE("vch"&amp;$B1769&amp;$C1769&amp;$D1769&amp;$E1769,".","_"),"(","_"),")","")</f>
        <v>vch802_5_4_4_c</v>
      </c>
      <c r="AQ1769" t="str">
        <f>IF(LEN(W1769)=0,"",W1769)</f>
        <v/>
      </c>
      <c r="AR1769" t="str">
        <f>SUBSTITUTE(SUBSTITUTE(SUBSTITUTE("vnt"&amp;$B1769&amp;$C1769&amp;$D1769&amp;$E1769,".","_"),"(","_"),")","")</f>
        <v>vnt802_5_4_4_c</v>
      </c>
      <c r="AS1769" t="str">
        <f>IF(LEN(X1769)=0,"",X1769)</f>
        <v/>
      </c>
    </row>
    <row r="1770" spans="1:45" ht="15" thickBot="1" x14ac:dyDescent="0.4">
      <c r="A1770" s="366">
        <v>8</v>
      </c>
      <c r="B1770" s="738" t="s">
        <v>4434</v>
      </c>
      <c r="C1770" s="731" t="s">
        <v>269</v>
      </c>
      <c r="D1770" s="731" t="s">
        <v>123</v>
      </c>
      <c r="G1770" s="366" t="str">
        <f ca="1">G1769</f>
        <v/>
      </c>
      <c r="H1770" s="732" t="s">
        <v>3972</v>
      </c>
      <c r="I1770" s="55"/>
      <c r="J1770" s="55"/>
      <c r="K1770" s="55"/>
      <c r="L1770" s="839"/>
      <c r="M1770" s="827"/>
      <c r="N1770" s="863"/>
      <c r="O1770" s="833"/>
      <c r="P1770" s="55"/>
      <c r="Q1770" s="55"/>
      <c r="R1770" s="55"/>
      <c r="S1770" s="55"/>
      <c r="T1770" s="55"/>
      <c r="U1770" s="55"/>
      <c r="V1770" s="55"/>
      <c r="W1770" s="55"/>
      <c r="X1770" s="829"/>
      <c r="Y1770" s="1121"/>
      <c r="Z1770" s="1108"/>
    </row>
    <row r="1771" spans="1:45" ht="15" thickTop="1" x14ac:dyDescent="0.35">
      <c r="A1771" s="366">
        <v>8</v>
      </c>
      <c r="B1771" s="738">
        <v>802.6</v>
      </c>
      <c r="C1771" s="731"/>
      <c r="D1771" s="731"/>
      <c r="E1771" s="731"/>
      <c r="F1771" s="731"/>
      <c r="G1771" s="727" t="s">
        <v>3973</v>
      </c>
      <c r="H1771" s="366" t="s">
        <v>3972</v>
      </c>
      <c r="I1771" s="30">
        <v>802.6</v>
      </c>
      <c r="J1771" s="93"/>
      <c r="K1771" s="4"/>
      <c r="L1771" s="95" t="s">
        <v>4375</v>
      </c>
      <c r="M1771" s="40"/>
      <c r="N1771" s="41"/>
      <c r="O1771" s="75"/>
      <c r="W1771" s="59"/>
    </row>
    <row r="1772" spans="1:45" ht="15" customHeight="1" x14ac:dyDescent="0.35">
      <c r="A1772" s="366">
        <v>8</v>
      </c>
      <c r="B1772" s="738" t="s">
        <v>4374</v>
      </c>
      <c r="C1772" s="731"/>
      <c r="D1772" s="731"/>
      <c r="E1772" s="731"/>
      <c r="F1772" s="731"/>
      <c r="G1772" s="366" t="s">
        <v>3973</v>
      </c>
      <c r="H1772" s="366" t="s">
        <v>3972</v>
      </c>
      <c r="I1772" s="30" t="s">
        <v>4374</v>
      </c>
      <c r="J1772" s="93"/>
      <c r="K1772" s="4"/>
      <c r="L1772" s="838" t="s">
        <v>4448</v>
      </c>
      <c r="M1772" s="885" t="str">
        <f>IF(R1772,"Mandatory","N/A")</f>
        <v>Mandatory</v>
      </c>
      <c r="O1772" s="75"/>
      <c r="P1772" t="b">
        <v>0</v>
      </c>
      <c r="Q1772" t="b">
        <v>1</v>
      </c>
      <c r="R1772" t="b">
        <f>NOT(W1787=TRUE)</f>
        <v>1</v>
      </c>
      <c r="S1772" t="b">
        <v>1</v>
      </c>
      <c r="T1772" t="b">
        <v>0</v>
      </c>
      <c r="U1772" t="str">
        <f>SUBSTITUTE(SUBSTITUTE(SUBSTITUTE("dd"&amp;B1772&amp;C1772&amp;D1772&amp;E1772&amp;F1772,".","_"),"(","_"),")","")</f>
        <v>dd802_6_1</v>
      </c>
      <c r="W1772" s="9"/>
      <c r="X1772" s="817"/>
      <c r="Y1772" s="1119" t="str">
        <f>IF(LEN('Ch8'!X143)=0,"None",'Ch8'!X143)</f>
        <v>None</v>
      </c>
      <c r="Z1772" s="1105"/>
      <c r="AC1772" t="b">
        <f>OR(AD1772:AE1772)</f>
        <v>1</v>
      </c>
      <c r="AD1772" t="b">
        <f>T1772</f>
        <v>0</v>
      </c>
      <c r="AE1772" t="b">
        <f>AND(R1772,NOT(W1772="Met"),NOT(W1772="N/A"))</f>
        <v>1</v>
      </c>
      <c r="AL1772" t="str">
        <f>SUBSTITUTE(SUBSTITUTE(SUBSTITUTE("vpa"&amp;$B1772&amp;$C1772&amp;$D1772&amp;$E1772,".","_"),"(","_"),")","")</f>
        <v>vpa802_6_1</v>
      </c>
      <c r="AM1772" t="str">
        <f>M1772</f>
        <v>Mandatory</v>
      </c>
      <c r="AP1772" t="str">
        <f>SUBSTITUTE(SUBSTITUTE(SUBSTITUTE("vch"&amp;$B1772&amp;$C1772&amp;$D1772&amp;$E1772,".","_"),"(","_"),")","")</f>
        <v>vch802_6_1</v>
      </c>
      <c r="AQ1772" t="str">
        <f>IF(LEN(W1772)=0,"",W1772)</f>
        <v/>
      </c>
      <c r="AR1772" t="str">
        <f>SUBSTITUTE(SUBSTITUTE(SUBSTITUTE("vnt"&amp;$B1772&amp;$C1772&amp;$D1772&amp;$E1772,".","_"),"(","_"),")","")</f>
        <v>vnt802_6_1</v>
      </c>
      <c r="AS1772" t="str">
        <f>IF(LEN(X1772)=0,"",X1772)</f>
        <v/>
      </c>
    </row>
    <row r="1773" spans="1:45" x14ac:dyDescent="0.35">
      <c r="A1773" s="366">
        <v>8</v>
      </c>
      <c r="B1773" s="738" t="s">
        <v>4374</v>
      </c>
      <c r="C1773" s="731"/>
      <c r="D1773" s="731"/>
      <c r="E1773" s="731"/>
      <c r="F1773" s="731"/>
      <c r="G1773" s="366" t="s">
        <v>3973</v>
      </c>
      <c r="H1773" s="366" t="s">
        <v>3972</v>
      </c>
      <c r="I1773" s="138"/>
      <c r="J1773" s="320"/>
      <c r="K1773" s="133"/>
      <c r="L1773" s="889"/>
      <c r="M1773" s="890"/>
      <c r="N1773" s="104"/>
      <c r="O1773" s="309"/>
      <c r="P1773" s="104"/>
      <c r="Q1773" s="104"/>
      <c r="R1773" s="104"/>
      <c r="S1773" s="104"/>
      <c r="T1773" s="104"/>
      <c r="U1773" s="104"/>
      <c r="V1773" s="104"/>
      <c r="X1773" s="817"/>
      <c r="Y1773" s="1117"/>
      <c r="Z1773" s="1103"/>
    </row>
    <row r="1774" spans="1:45" x14ac:dyDescent="0.35">
      <c r="A1774" s="366">
        <v>8</v>
      </c>
      <c r="B1774" s="738" t="s">
        <v>4376</v>
      </c>
      <c r="C1774" s="731"/>
      <c r="D1774" s="731"/>
      <c r="E1774" s="731"/>
      <c r="F1774" s="731"/>
      <c r="G1774" s="366" t="str">
        <f ca="1">IF(N1774&gt;0,"P","")</f>
        <v/>
      </c>
      <c r="H1774" s="366" t="s">
        <v>3972</v>
      </c>
      <c r="I1774" s="30" t="s">
        <v>4376</v>
      </c>
      <c r="J1774" s="93"/>
      <c r="K1774" s="4"/>
      <c r="L1774" s="905" t="s">
        <v>4449</v>
      </c>
      <c r="M1774" s="818">
        <v>6</v>
      </c>
      <c r="N1774" s="835">
        <f ca="1">'Ch8'!O145</f>
        <v>0</v>
      </c>
      <c r="O1774" s="832">
        <f ca="1">6*S1774*W1774</f>
        <v>0</v>
      </c>
      <c r="P1774" t="b">
        <v>0</v>
      </c>
      <c r="Q1774" t="b">
        <v>1</v>
      </c>
      <c r="R1774" t="b">
        <v>0</v>
      </c>
      <c r="S1774" t="b">
        <f ca="1">AND(NOT(W1787=TRUE),S1643=2)</f>
        <v>0</v>
      </c>
      <c r="T1774" t="b">
        <f ca="1">IF(AND(NOT(S1774),W1774=TRUE),TRUE,FALSE)</f>
        <v>0</v>
      </c>
      <c r="W1774" s="17"/>
      <c r="X1774" s="817"/>
      <c r="Y1774" s="1100" t="str">
        <f>IF(LEN('Ch8'!X145)=0,"None",'Ch8'!X145)</f>
        <v>None</v>
      </c>
      <c r="Z1774" s="1102"/>
      <c r="AC1774" t="b">
        <f ca="1">OR(AD1774:AE1774)</f>
        <v>0</v>
      </c>
      <c r="AD1774" t="b">
        <f ca="1">T1774</f>
        <v>0</v>
      </c>
      <c r="AL1774" t="str">
        <f>SUBSTITUTE(SUBSTITUTE(SUBSTITUTE("vpa"&amp;$B1774&amp;$C1774&amp;$D1774&amp;$E1774,".","_"),"(","_"),")","")</f>
        <v>vpa802_6_2</v>
      </c>
      <c r="AM1774">
        <f>M1774</f>
        <v>6</v>
      </c>
      <c r="AN1774" t="str">
        <f>SUBSTITUTE(SUBSTITUTE(SUBSTITUTE("vpc"&amp;$B1774&amp;$C1774&amp;$D1774&amp;$E1774,".","_"),"(","_"),")","")</f>
        <v>vpc802_6_2</v>
      </c>
      <c r="AO1774">
        <f ca="1">O1774</f>
        <v>0</v>
      </c>
      <c r="AP1774" t="str">
        <f>SUBSTITUTE(SUBSTITUTE(SUBSTITUTE("vch"&amp;$B1774&amp;$C1774&amp;$D1774&amp;$E1774,".","_"),"(","_"),")","")</f>
        <v>vch802_6_2</v>
      </c>
      <c r="AQ1774" t="str">
        <f>IF(LEN(W1774)=0,"",W1774)</f>
        <v/>
      </c>
      <c r="AR1774" t="str">
        <f>SUBSTITUTE(SUBSTITUTE(SUBSTITUTE("vnt"&amp;$B1774&amp;$C1774&amp;$D1774&amp;$E1774,".","_"),"(","_"),")","")</f>
        <v>vnt802_6_2</v>
      </c>
      <c r="AS1774" t="str">
        <f>IF(LEN(X1774)=0,"",X1774)</f>
        <v/>
      </c>
    </row>
    <row r="1775" spans="1:45" x14ac:dyDescent="0.35">
      <c r="A1775" s="366">
        <v>8</v>
      </c>
      <c r="B1775" s="738" t="s">
        <v>4376</v>
      </c>
      <c r="C1775" s="731"/>
      <c r="D1775" s="731"/>
      <c r="E1775" s="731"/>
      <c r="F1775" s="731"/>
      <c r="G1775" s="366" t="str">
        <f ca="1">G1774</f>
        <v/>
      </c>
      <c r="H1775" s="366" t="s">
        <v>3972</v>
      </c>
      <c r="I1775" s="30"/>
      <c r="J1775" s="93"/>
      <c r="K1775" s="4"/>
      <c r="L1775" s="838"/>
      <c r="M1775" s="818"/>
      <c r="N1775" s="835"/>
      <c r="O1775" s="832"/>
      <c r="X1775" s="817"/>
      <c r="Y1775" s="1100"/>
      <c r="Z1775" s="1102"/>
    </row>
    <row r="1776" spans="1:45" x14ac:dyDescent="0.35">
      <c r="A1776" s="366">
        <v>8</v>
      </c>
      <c r="B1776" s="738" t="s">
        <v>4376</v>
      </c>
      <c r="C1776" s="731"/>
      <c r="D1776" s="731"/>
      <c r="E1776" s="731"/>
      <c r="F1776" s="731"/>
      <c r="G1776" s="366" t="str">
        <f ca="1">G1775</f>
        <v/>
      </c>
      <c r="H1776" s="366" t="s">
        <v>3972</v>
      </c>
      <c r="I1776" s="138"/>
      <c r="J1776" s="320"/>
      <c r="K1776" s="133"/>
      <c r="L1776" s="889"/>
      <c r="M1776" s="819"/>
      <c r="N1776" s="835"/>
      <c r="O1776" s="824"/>
      <c r="P1776" s="104"/>
      <c r="Q1776" s="104"/>
      <c r="R1776" s="104"/>
      <c r="S1776" s="104"/>
      <c r="T1776" s="104"/>
      <c r="U1776" s="104"/>
      <c r="X1776" s="817"/>
      <c r="Y1776" s="1100"/>
      <c r="Z1776" s="1102"/>
    </row>
    <row r="1777" spans="1:45" x14ac:dyDescent="0.35">
      <c r="A1777" s="366">
        <v>8</v>
      </c>
      <c r="B1777" s="738" t="s">
        <v>4377</v>
      </c>
      <c r="C1777" s="731"/>
      <c r="D1777" s="731"/>
      <c r="E1777" s="731"/>
      <c r="F1777" s="731"/>
      <c r="G1777" s="727" t="str">
        <f ca="1">IF(COUNTIF(G1778:G1780,"P")&gt;0,"P","")</f>
        <v/>
      </c>
      <c r="H1777" s="366" t="s">
        <v>3972</v>
      </c>
      <c r="I1777" s="30" t="s">
        <v>4377</v>
      </c>
      <c r="J1777" s="93"/>
      <c r="K1777" s="4"/>
      <c r="L1777" s="95" t="s">
        <v>4450</v>
      </c>
      <c r="M1777" s="40"/>
      <c r="N1777" s="41"/>
      <c r="O1777" s="75"/>
    </row>
    <row r="1778" spans="1:45" x14ac:dyDescent="0.35">
      <c r="A1778" s="366">
        <v>8</v>
      </c>
      <c r="B1778" s="738" t="s">
        <v>4377</v>
      </c>
      <c r="C1778" s="731" t="s">
        <v>256</v>
      </c>
      <c r="D1778" s="731"/>
      <c r="E1778" s="731"/>
      <c r="F1778" s="731"/>
      <c r="G1778" s="366" t="str">
        <f ca="1">IF(N1778&gt;0,"P","")</f>
        <v/>
      </c>
      <c r="H1778" s="366" t="s">
        <v>3972</v>
      </c>
      <c r="I1778" s="30"/>
      <c r="J1778" s="497" t="s">
        <v>256</v>
      </c>
      <c r="K1778" s="133"/>
      <c r="L1778" s="228" t="s">
        <v>795</v>
      </c>
      <c r="M1778" s="268">
        <v>4</v>
      </c>
      <c r="N1778" s="546">
        <f ca="1">'Ch8'!O149</f>
        <v>0</v>
      </c>
      <c r="O1778" s="309">
        <f ca="1">M1778*S1778*W1778</f>
        <v>0</v>
      </c>
      <c r="P1778" t="b">
        <v>0</v>
      </c>
      <c r="Q1778" t="b">
        <v>1</v>
      </c>
      <c r="R1778" t="b">
        <v>0</v>
      </c>
      <c r="S1778" t="b">
        <f ca="1">AND(NOT(W1787=TRUE),S1643=2)</f>
        <v>0</v>
      </c>
      <c r="T1778" t="b">
        <f ca="1">IF(AND(NOT(S1778),W1778=TRUE),TRUE,FALSE)</f>
        <v>0</v>
      </c>
      <c r="W1778" s="17"/>
      <c r="X1778" s="36"/>
      <c r="Y1778" s="396" t="str">
        <f>IF(LEN('Ch8'!X149)=0,"None",'Ch8'!X149)</f>
        <v>None</v>
      </c>
      <c r="Z1778" s="652"/>
      <c r="AC1778" t="b">
        <f ca="1">OR(AD1778:AE1778)</f>
        <v>0</v>
      </c>
      <c r="AD1778" t="b">
        <f ca="1">T1778</f>
        <v>0</v>
      </c>
      <c r="AL1778" t="str">
        <f>SUBSTITUTE(SUBSTITUTE(SUBSTITUTE("vpa"&amp;$B1778&amp;$C1778&amp;$D1778&amp;$E1778,".","_"),"(","_"),")","")</f>
        <v>vpa802_6_3_1</v>
      </c>
      <c r="AM1778">
        <f>M1778</f>
        <v>4</v>
      </c>
      <c r="AN1778" t="str">
        <f>SUBSTITUTE(SUBSTITUTE(SUBSTITUTE("vpc"&amp;$B1778&amp;$C1778&amp;$D1778&amp;$E1778,".","_"),"(","_"),")","")</f>
        <v>vpc802_6_3_1</v>
      </c>
      <c r="AO1778">
        <f ca="1">O1778</f>
        <v>0</v>
      </c>
      <c r="AP1778" t="str">
        <f>SUBSTITUTE(SUBSTITUTE(SUBSTITUTE("vch"&amp;$B1778&amp;$C1778&amp;$D1778&amp;$E1778,".","_"),"(","_"),")","")</f>
        <v>vch802_6_3_1</v>
      </c>
      <c r="AQ1778" t="str">
        <f>IF(LEN(W1778)=0,"",W1778)</f>
        <v/>
      </c>
      <c r="AR1778" t="str">
        <f>SUBSTITUTE(SUBSTITUTE(SUBSTITUTE("vnt"&amp;$B1778&amp;$C1778&amp;$D1778&amp;$E1778,".","_"),"(","_"),")","")</f>
        <v>vnt802_6_3_1</v>
      </c>
      <c r="AS1778" t="str">
        <f>IF(LEN(X1778)=0,"",X1778)</f>
        <v/>
      </c>
    </row>
    <row r="1779" spans="1:45" x14ac:dyDescent="0.35">
      <c r="A1779" s="366">
        <v>8</v>
      </c>
      <c r="B1779" s="738" t="s">
        <v>4377</v>
      </c>
      <c r="C1779" s="731" t="s">
        <v>258</v>
      </c>
      <c r="D1779" s="731"/>
      <c r="E1779" s="731"/>
      <c r="F1779" s="731"/>
      <c r="G1779" s="366" t="str">
        <f ca="1">IF(N1779&gt;0,"P","")</f>
        <v/>
      </c>
      <c r="H1779" s="366" t="s">
        <v>3972</v>
      </c>
      <c r="I1779" s="30"/>
      <c r="J1779" s="497" t="s">
        <v>258</v>
      </c>
      <c r="K1779" s="133"/>
      <c r="L1779" s="228" t="s">
        <v>796</v>
      </c>
      <c r="M1779" s="268">
        <v>4</v>
      </c>
      <c r="N1779" s="546">
        <f ca="1">'Ch8'!O150</f>
        <v>0</v>
      </c>
      <c r="O1779" s="309">
        <f ca="1">M1779*S1779*W1779</f>
        <v>0</v>
      </c>
      <c r="P1779" t="b">
        <v>0</v>
      </c>
      <c r="Q1779" t="b">
        <v>1</v>
      </c>
      <c r="R1779" t="b">
        <v>0</v>
      </c>
      <c r="S1779" t="b">
        <f ca="1">AND(NOT(W1787=TRUE),S1643=2)</f>
        <v>0</v>
      </c>
      <c r="T1779" t="b">
        <f ca="1">IF(AND(NOT(S1779),W1779=TRUE),TRUE,FALSE)</f>
        <v>0</v>
      </c>
      <c r="W1779" s="17"/>
      <c r="X1779" s="36"/>
      <c r="Y1779" s="396" t="str">
        <f>IF(LEN('Ch8'!X150)=0,"None",'Ch8'!X150)</f>
        <v>None</v>
      </c>
      <c r="Z1779" s="652"/>
      <c r="AC1779" t="b">
        <f ca="1">OR(AD1779:AE1779)</f>
        <v>0</v>
      </c>
      <c r="AD1779" t="b">
        <f ca="1">T1779</f>
        <v>0</v>
      </c>
      <c r="AL1779" t="str">
        <f>SUBSTITUTE(SUBSTITUTE(SUBSTITUTE("vpa"&amp;$B1779&amp;$C1779&amp;$D1779&amp;$E1779,".","_"),"(","_"),")","")</f>
        <v>vpa802_6_3_2</v>
      </c>
      <c r="AM1779">
        <f>M1779</f>
        <v>4</v>
      </c>
      <c r="AN1779" t="str">
        <f>SUBSTITUTE(SUBSTITUTE(SUBSTITUTE("vpc"&amp;$B1779&amp;$C1779&amp;$D1779&amp;$E1779,".","_"),"(","_"),")","")</f>
        <v>vpc802_6_3_2</v>
      </c>
      <c r="AO1779">
        <f ca="1">O1779</f>
        <v>0</v>
      </c>
      <c r="AP1779" t="str">
        <f>SUBSTITUTE(SUBSTITUTE(SUBSTITUTE("vch"&amp;$B1779&amp;$C1779&amp;$D1779&amp;$E1779,".","_"),"(","_"),")","")</f>
        <v>vch802_6_3_2</v>
      </c>
      <c r="AQ1779" t="str">
        <f>IF(LEN(W1779)=0,"",W1779)</f>
        <v/>
      </c>
      <c r="AR1779" t="str">
        <f>SUBSTITUTE(SUBSTITUTE(SUBSTITUTE("vnt"&amp;$B1779&amp;$C1779&amp;$D1779&amp;$E1779,".","_"),"(","_"),")","")</f>
        <v>vnt802_6_3_2</v>
      </c>
      <c r="AS1779" t="str">
        <f>IF(LEN(X1779)=0,"",X1779)</f>
        <v/>
      </c>
    </row>
    <row r="1780" spans="1:45" ht="15" customHeight="1" x14ac:dyDescent="0.35">
      <c r="A1780" s="366">
        <v>8</v>
      </c>
      <c r="B1780" s="738" t="s">
        <v>4377</v>
      </c>
      <c r="C1780" s="731" t="s">
        <v>260</v>
      </c>
      <c r="D1780" s="731"/>
      <c r="E1780" s="731"/>
      <c r="F1780" s="731"/>
      <c r="G1780" s="366" t="str">
        <f ca="1">IF(N1780&gt;0,"P","")</f>
        <v/>
      </c>
      <c r="H1780" s="366" t="s">
        <v>3972</v>
      </c>
      <c r="I1780" s="30"/>
      <c r="J1780" s="38" t="s">
        <v>260</v>
      </c>
      <c r="K1780" s="4"/>
      <c r="L1780" s="814" t="s">
        <v>797</v>
      </c>
      <c r="M1780" s="818">
        <v>5</v>
      </c>
      <c r="N1780" s="834">
        <f ca="1">'Ch8'!O151</f>
        <v>0</v>
      </c>
      <c r="O1780" s="832">
        <f ca="1">M1780*S1780*W1780</f>
        <v>0</v>
      </c>
      <c r="P1780" t="b">
        <v>0</v>
      </c>
      <c r="Q1780" t="b">
        <v>1</v>
      </c>
      <c r="R1780" t="b">
        <v>0</v>
      </c>
      <c r="S1780" t="b">
        <f ca="1">AND(W1778=TRUE,NOT(W1787=TRUE),S1643=2)</f>
        <v>0</v>
      </c>
      <c r="T1780" t="b">
        <f ca="1">IF(AND(NOT(S1780),W1780=TRUE),TRUE,FALSE)</f>
        <v>0</v>
      </c>
      <c r="W1780" s="17"/>
      <c r="X1780" s="817"/>
      <c r="Y1780" s="1100" t="str">
        <f>IF(LEN('Ch8'!X151)=0,"None",'Ch8'!X151)</f>
        <v>None</v>
      </c>
      <c r="Z1780" s="1102"/>
      <c r="AC1780" t="b">
        <f ca="1">OR(AD1780:AE1780)</f>
        <v>0</v>
      </c>
      <c r="AD1780" t="b">
        <f ca="1">T1780</f>
        <v>0</v>
      </c>
      <c r="AL1780" t="str">
        <f>SUBSTITUTE(SUBSTITUTE(SUBSTITUTE("vpa"&amp;$B1780&amp;$C1780&amp;$D1780&amp;$E1780,".","_"),"(","_"),")","")</f>
        <v>vpa802_6_3_3</v>
      </c>
      <c r="AM1780">
        <f>M1780</f>
        <v>5</v>
      </c>
      <c r="AN1780" t="str">
        <f>SUBSTITUTE(SUBSTITUTE(SUBSTITUTE("vpc"&amp;$B1780&amp;$C1780&amp;$D1780&amp;$E1780,".","_"),"(","_"),")","")</f>
        <v>vpc802_6_3_3</v>
      </c>
      <c r="AO1780">
        <f ca="1">O1780</f>
        <v>0</v>
      </c>
      <c r="AP1780" t="str">
        <f>SUBSTITUTE(SUBSTITUTE(SUBSTITUTE("vch"&amp;$B1780&amp;$C1780&amp;$D1780&amp;$E1780,".","_"),"(","_"),")","")</f>
        <v>vch802_6_3_3</v>
      </c>
      <c r="AQ1780" t="str">
        <f>IF(LEN(W1780)=0,"",W1780)</f>
        <v/>
      </c>
      <c r="AR1780" t="str">
        <f>SUBSTITUTE(SUBSTITUTE(SUBSTITUTE("vnt"&amp;$B1780&amp;$C1780&amp;$D1780&amp;$E1780,".","_"),"(","_"),")","")</f>
        <v>vnt802_6_3_3</v>
      </c>
      <c r="AS1780" t="str">
        <f>IF(LEN(X1780)=0,"",X1780)</f>
        <v/>
      </c>
    </row>
    <row r="1781" spans="1:45" x14ac:dyDescent="0.35">
      <c r="A1781" s="366">
        <v>8</v>
      </c>
      <c r="B1781" s="738" t="s">
        <v>4377</v>
      </c>
      <c r="C1781" s="731" t="s">
        <v>260</v>
      </c>
      <c r="D1781" s="731"/>
      <c r="E1781" s="731"/>
      <c r="F1781" s="731"/>
      <c r="G1781" s="366" t="str">
        <f ca="1">G1780</f>
        <v/>
      </c>
      <c r="H1781" s="366" t="s">
        <v>3972</v>
      </c>
      <c r="I1781" s="138"/>
      <c r="J1781" s="320"/>
      <c r="K1781" s="133"/>
      <c r="L1781" s="815"/>
      <c r="M1781" s="819"/>
      <c r="N1781" s="835"/>
      <c r="O1781" s="824"/>
      <c r="P1781" s="104"/>
      <c r="Q1781" s="104"/>
      <c r="R1781" s="104"/>
      <c r="S1781" s="104"/>
      <c r="T1781" s="104"/>
      <c r="U1781" s="104"/>
      <c r="V1781" s="104"/>
      <c r="W1781" s="104"/>
      <c r="X1781" s="817"/>
      <c r="Y1781" s="1100"/>
      <c r="Z1781" s="1102"/>
    </row>
    <row r="1782" spans="1:45" ht="15" customHeight="1" x14ac:dyDescent="0.35">
      <c r="A1782" s="366">
        <v>8</v>
      </c>
      <c r="B1782" s="738" t="s">
        <v>4378</v>
      </c>
      <c r="C1782" s="731"/>
      <c r="D1782" s="731"/>
      <c r="E1782" s="731"/>
      <c r="F1782" s="731"/>
      <c r="G1782" s="727" t="str">
        <f ca="1">IF(COUNTIF(G1785:G1787,"P")&gt;0,"P","")</f>
        <v>P</v>
      </c>
      <c r="H1782" s="366" t="s">
        <v>3972</v>
      </c>
      <c r="I1782" s="30" t="s">
        <v>4378</v>
      </c>
      <c r="J1782" s="93"/>
      <c r="K1782" s="4"/>
      <c r="L1782" s="919" t="s">
        <v>4379</v>
      </c>
      <c r="M1782" s="40"/>
      <c r="N1782" s="41"/>
      <c r="O1782" s="75"/>
    </row>
    <row r="1783" spans="1:45" x14ac:dyDescent="0.35">
      <c r="A1783" s="366">
        <v>8</v>
      </c>
      <c r="B1783" s="738" t="s">
        <v>4378</v>
      </c>
      <c r="C1783" s="731"/>
      <c r="D1783" s="731"/>
      <c r="E1783" s="731"/>
      <c r="F1783" s="731"/>
      <c r="G1783" s="366" t="str">
        <f ca="1">G1782</f>
        <v>P</v>
      </c>
      <c r="H1783" s="366" t="s">
        <v>3972</v>
      </c>
      <c r="I1783" s="30"/>
      <c r="J1783" s="93"/>
      <c r="K1783" s="4"/>
      <c r="L1783" s="919"/>
      <c r="M1783" s="40"/>
      <c r="N1783" s="41"/>
      <c r="O1783" s="75"/>
    </row>
    <row r="1784" spans="1:45" x14ac:dyDescent="0.35">
      <c r="A1784" s="366">
        <v>8</v>
      </c>
      <c r="B1784" s="738" t="s">
        <v>4378</v>
      </c>
      <c r="C1784" s="731"/>
      <c r="D1784" s="731"/>
      <c r="E1784" s="731"/>
      <c r="F1784" s="731"/>
      <c r="G1784" s="366" t="str">
        <f ca="1">G1783</f>
        <v>P</v>
      </c>
      <c r="H1784" s="366" t="s">
        <v>3972</v>
      </c>
      <c r="I1784" s="30"/>
      <c r="J1784" s="93"/>
      <c r="K1784" s="4"/>
      <c r="L1784" s="92" t="s">
        <v>798</v>
      </c>
      <c r="M1784" s="40"/>
      <c r="N1784" s="41"/>
      <c r="O1784" s="75"/>
    </row>
    <row r="1785" spans="1:45" x14ac:dyDescent="0.35">
      <c r="A1785" s="366">
        <v>8</v>
      </c>
      <c r="B1785" s="738" t="s">
        <v>4378</v>
      </c>
      <c r="C1785" s="731" t="s">
        <v>256</v>
      </c>
      <c r="D1785" s="731"/>
      <c r="E1785" s="731"/>
      <c r="F1785" s="731"/>
      <c r="G1785" s="366" t="str">
        <f ca="1">IF(N1785&gt;0,"P","")</f>
        <v/>
      </c>
      <c r="H1785" s="366" t="s">
        <v>3972</v>
      </c>
      <c r="I1785" s="30"/>
      <c r="J1785" s="38" t="s">
        <v>256</v>
      </c>
      <c r="K1785" s="4"/>
      <c r="L1785" s="814" t="s">
        <v>4451</v>
      </c>
      <c r="M1785" s="818">
        <v>10</v>
      </c>
      <c r="N1785" s="835">
        <f ca="1">'Ch8'!O156</f>
        <v>0</v>
      </c>
      <c r="O1785" s="832">
        <f ca="1">M1785*S1785*W1785</f>
        <v>0</v>
      </c>
      <c r="P1785" t="b">
        <v>0</v>
      </c>
      <c r="Q1785" t="b">
        <v>1</v>
      </c>
      <c r="R1785" t="b">
        <v>0</v>
      </c>
      <c r="S1785" t="b">
        <f ca="1">AND(NOT(W1787=TRUE),S1643=2)</f>
        <v>0</v>
      </c>
      <c r="T1785" t="b">
        <f ca="1">IF(AND(NOT(S1785),W1785=TRUE),TRUE,FALSE)</f>
        <v>0</v>
      </c>
      <c r="W1785" s="17"/>
      <c r="X1785" s="36"/>
      <c r="Y1785" s="396" t="str">
        <f>IF(LEN('Ch8'!X156)=0,"None",'Ch8'!X156)</f>
        <v>None</v>
      </c>
      <c r="Z1785" s="652"/>
      <c r="AC1785" t="b">
        <f ca="1">OR(AD1785:AE1785)</f>
        <v>0</v>
      </c>
      <c r="AD1785" t="b">
        <f ca="1">T1785</f>
        <v>0</v>
      </c>
      <c r="AL1785" t="str">
        <f>SUBSTITUTE(SUBSTITUTE(SUBSTITUTE("vpa"&amp;$B1785&amp;$C1785&amp;$D1785&amp;$E1785,".","_"),"(","_"),")","")</f>
        <v>vpa802_6_4_1</v>
      </c>
      <c r="AM1785">
        <f>M1785</f>
        <v>10</v>
      </c>
      <c r="AN1785" t="str">
        <f>SUBSTITUTE(SUBSTITUTE(SUBSTITUTE("vpc"&amp;$B1785&amp;$C1785&amp;$D1785&amp;$E1785,".","_"),"(","_"),")","")</f>
        <v>vpc802_6_4_1</v>
      </c>
      <c r="AO1785">
        <f ca="1">O1785</f>
        <v>0</v>
      </c>
      <c r="AP1785" t="str">
        <f>SUBSTITUTE(SUBSTITUTE(SUBSTITUTE("vch"&amp;$B1785&amp;$C1785&amp;$D1785&amp;$E1785,".","_"),"(","_"),")","")</f>
        <v>vch802_6_4_1</v>
      </c>
      <c r="AQ1785" t="str">
        <f>IF(LEN(W1785)=0,"",W1785)</f>
        <v/>
      </c>
      <c r="AR1785" t="str">
        <f>SUBSTITUTE(SUBSTITUTE(SUBSTITUTE("vnt"&amp;$B1785&amp;$C1785&amp;$D1785&amp;$E1785,".","_"),"(","_"),")","")</f>
        <v>vnt802_6_4_1</v>
      </c>
      <c r="AS1785" t="str">
        <f>IF(LEN(X1785)=0,"",X1785)</f>
        <v/>
      </c>
    </row>
    <row r="1786" spans="1:45" x14ac:dyDescent="0.35">
      <c r="A1786" s="366">
        <v>8</v>
      </c>
      <c r="B1786" s="738" t="s">
        <v>4378</v>
      </c>
      <c r="C1786" s="731" t="s">
        <v>256</v>
      </c>
      <c r="G1786" s="366" t="str">
        <f ca="1">G1785</f>
        <v/>
      </c>
      <c r="H1786" s="366" t="s">
        <v>3972</v>
      </c>
      <c r="J1786" s="104"/>
      <c r="K1786" s="104"/>
      <c r="L1786" s="815"/>
      <c r="M1786" s="819"/>
      <c r="N1786" s="835"/>
      <c r="O1786" s="824"/>
    </row>
    <row r="1787" spans="1:45" ht="15" customHeight="1" x14ac:dyDescent="0.35">
      <c r="A1787" s="366">
        <v>8</v>
      </c>
      <c r="B1787" s="738" t="s">
        <v>4378</v>
      </c>
      <c r="C1787" s="731" t="s">
        <v>258</v>
      </c>
      <c r="D1787" s="731"/>
      <c r="E1787" s="731"/>
      <c r="F1787" s="731"/>
      <c r="G1787" s="366" t="str">
        <f ca="1">IF(N1787&gt;0,"P","")</f>
        <v>P</v>
      </c>
      <c r="H1787" s="366" t="s">
        <v>3972</v>
      </c>
      <c r="I1787" s="30"/>
      <c r="J1787" s="38" t="s">
        <v>258</v>
      </c>
      <c r="K1787" s="4"/>
      <c r="L1787" s="814" t="s">
        <v>4452</v>
      </c>
      <c r="M1787" s="818">
        <v>15</v>
      </c>
      <c r="N1787" s="834">
        <f ca="1">'Ch8'!O158</f>
        <v>15</v>
      </c>
      <c r="O1787" s="832">
        <f ca="1">M1787*S1787*W1787</f>
        <v>0</v>
      </c>
      <c r="P1787" t="b">
        <v>0</v>
      </c>
      <c r="Q1787" t="b">
        <v>1</v>
      </c>
      <c r="R1787" t="b">
        <v>0</v>
      </c>
      <c r="S1787" t="b">
        <f ca="1">AND(NOT(W1774=TRUE),NOT(W1778=TRUE),NOT(W1779=TRUE),NOT(W1780=TRUE),NOT(W1772="Met"),NOT(W1785=TRUE),NOT(W1793=TRUE),S1789,S1643=2)</f>
        <v>0</v>
      </c>
      <c r="T1787" t="b">
        <f ca="1">IF(AND(NOT(S1787),W1787=TRUE),TRUE,FALSE)</f>
        <v>0</v>
      </c>
      <c r="W1787" s="17"/>
      <c r="X1787" s="817"/>
      <c r="Y1787" s="1100" t="str">
        <f>IF(LEN('Ch8'!X158)=0,"None",'Ch8'!X158)</f>
        <v>None</v>
      </c>
      <c r="Z1787" s="1102"/>
      <c r="AC1787" t="b">
        <f ca="1">OR(AD1787:AE1787)</f>
        <v>0</v>
      </c>
      <c r="AD1787" t="b">
        <f ca="1">T1787</f>
        <v>0</v>
      </c>
      <c r="AL1787" t="str">
        <f>SUBSTITUTE(SUBSTITUTE(SUBSTITUTE("vpa"&amp;$B1787&amp;$C1787&amp;$D1787&amp;$E1787,".","_"),"(","_"),")","")</f>
        <v>vpa802_6_4_2</v>
      </c>
      <c r="AM1787">
        <f>M1787</f>
        <v>15</v>
      </c>
      <c r="AN1787" t="str">
        <f>SUBSTITUTE(SUBSTITUTE(SUBSTITUTE("vpc"&amp;$B1787&amp;$C1787&amp;$D1787&amp;$E1787,".","_"),"(","_"),")","")</f>
        <v>vpc802_6_4_2</v>
      </c>
      <c r="AO1787">
        <f ca="1">O1787</f>
        <v>0</v>
      </c>
      <c r="AP1787" t="str">
        <f>SUBSTITUTE(SUBSTITUTE(SUBSTITUTE("vch"&amp;$B1787&amp;$C1787&amp;$D1787&amp;$E1787,".","_"),"(","_"),")","")</f>
        <v>vch802_6_4_2</v>
      </c>
      <c r="AQ1787" t="str">
        <f>IF(LEN(W1787)=0,"",W1787)</f>
        <v/>
      </c>
      <c r="AR1787" t="str">
        <f>SUBSTITUTE(SUBSTITUTE(SUBSTITUTE("vnt"&amp;$B1787&amp;$C1787&amp;$D1787&amp;$E1787,".","_"),"(","_"),")","")</f>
        <v>vnt802_6_4_2</v>
      </c>
      <c r="AS1787" t="str">
        <f>IF(LEN(X1787)=0,"",X1787)</f>
        <v/>
      </c>
    </row>
    <row r="1788" spans="1:45" x14ac:dyDescent="0.35">
      <c r="A1788" s="366">
        <v>8</v>
      </c>
      <c r="B1788" s="738" t="s">
        <v>4378</v>
      </c>
      <c r="C1788" s="731" t="s">
        <v>258</v>
      </c>
      <c r="D1788" s="731"/>
      <c r="E1788" s="731"/>
      <c r="F1788" s="731"/>
      <c r="G1788" s="366" t="str">
        <f ca="1">G1787</f>
        <v>P</v>
      </c>
      <c r="H1788" s="366" t="s">
        <v>3972</v>
      </c>
      <c r="I1788" s="30"/>
      <c r="J1788" s="93"/>
      <c r="K1788" s="4"/>
      <c r="L1788" s="814"/>
      <c r="M1788" s="818"/>
      <c r="N1788" s="834"/>
      <c r="O1788" s="832"/>
      <c r="X1788" s="817"/>
      <c r="Y1788" s="1100"/>
      <c r="Z1788" s="1102"/>
    </row>
    <row r="1789" spans="1:45" ht="15" customHeight="1" x14ac:dyDescent="0.35">
      <c r="A1789" s="366">
        <v>8</v>
      </c>
      <c r="B1789" s="738" t="s">
        <v>4378</v>
      </c>
      <c r="C1789" s="731" t="s">
        <v>258</v>
      </c>
      <c r="D1789" s="731"/>
      <c r="E1789" s="731"/>
      <c r="F1789" s="731"/>
      <c r="G1789" s="366" t="str">
        <f ca="1">G1788</f>
        <v>P</v>
      </c>
      <c r="H1789" s="366" t="s">
        <v>3972</v>
      </c>
      <c r="I1789" s="30"/>
      <c r="J1789" s="4"/>
      <c r="K1789" s="4"/>
      <c r="L1789" s="855" t="s">
        <v>5621</v>
      </c>
      <c r="M1789" s="40"/>
      <c r="N1789" s="41"/>
      <c r="O1789" s="75"/>
      <c r="S1789" s="1" t="b">
        <f ca="1">IFERROR(AND(MATCH(W147,INDIRECT(U147),0)=3,SUM(O149:O170)&gt;=5),FALSE)</f>
        <v>0</v>
      </c>
      <c r="X1789" s="817"/>
      <c r="Y1789" s="1100"/>
      <c r="Z1789" s="1102"/>
    </row>
    <row r="1790" spans="1:45" x14ac:dyDescent="0.35">
      <c r="A1790" s="366">
        <v>8</v>
      </c>
      <c r="B1790" s="738" t="s">
        <v>4378</v>
      </c>
      <c r="C1790" s="731" t="s">
        <v>258</v>
      </c>
      <c r="D1790" s="731"/>
      <c r="E1790" s="731"/>
      <c r="F1790" s="731"/>
      <c r="G1790" s="366" t="str">
        <f ca="1">G1789</f>
        <v>P</v>
      </c>
      <c r="H1790" s="366" t="s">
        <v>3972</v>
      </c>
      <c r="I1790" s="138"/>
      <c r="J1790" s="133"/>
      <c r="K1790" s="133"/>
      <c r="L1790" s="903"/>
      <c r="M1790" s="268"/>
      <c r="N1790" s="546"/>
      <c r="O1790" s="309"/>
      <c r="P1790" s="104"/>
      <c r="Q1790" s="104"/>
      <c r="R1790" s="104"/>
      <c r="S1790" s="104"/>
      <c r="T1790" s="104"/>
      <c r="U1790" s="104"/>
      <c r="V1790" s="104"/>
      <c r="W1790" s="104"/>
      <c r="X1790" s="817"/>
      <c r="Y1790" s="1100"/>
      <c r="Z1790" s="1102"/>
    </row>
    <row r="1791" spans="1:45" ht="15" customHeight="1" x14ac:dyDescent="0.35">
      <c r="A1791" s="366">
        <v>8</v>
      </c>
      <c r="B1791" s="738" t="s">
        <v>4380</v>
      </c>
      <c r="G1791" s="727" t="str">
        <f ca="1">IF(COUNTIF(G1793:G1800,"P")&gt;0,"P","")</f>
        <v/>
      </c>
      <c r="H1791" s="366" t="s">
        <v>3972</v>
      </c>
      <c r="I1791" s="30" t="s">
        <v>4380</v>
      </c>
      <c r="L1791" s="838" t="s">
        <v>4453</v>
      </c>
      <c r="M1791" s="4"/>
      <c r="N1791" s="834"/>
      <c r="U1791" s="120"/>
      <c r="V1791" s="120"/>
    </row>
    <row r="1792" spans="1:45" ht="15" customHeight="1" x14ac:dyDescent="0.35">
      <c r="A1792" s="366">
        <v>8</v>
      </c>
      <c r="B1792" s="738" t="s">
        <v>4380</v>
      </c>
      <c r="G1792" s="366" t="str">
        <f ca="1">G1791</f>
        <v/>
      </c>
      <c r="H1792" s="366" t="s">
        <v>3972</v>
      </c>
      <c r="L1792" s="838"/>
      <c r="M1792" s="4"/>
      <c r="N1792" s="834"/>
    </row>
    <row r="1793" spans="1:45" ht="15" customHeight="1" x14ac:dyDescent="0.35">
      <c r="A1793" s="366">
        <v>8</v>
      </c>
      <c r="B1793" s="738" t="s">
        <v>4380</v>
      </c>
      <c r="C1793" s="731" t="s">
        <v>256</v>
      </c>
      <c r="D1793" s="731"/>
      <c r="E1793" s="731"/>
      <c r="F1793" s="731"/>
      <c r="G1793" s="366" t="str">
        <f ca="1">IF(N1793&gt;0,"P","")</f>
        <v/>
      </c>
      <c r="H1793" s="366" t="s">
        <v>3972</v>
      </c>
      <c r="I1793" s="30"/>
      <c r="J1793" s="402" t="s">
        <v>256</v>
      </c>
      <c r="K1793" s="467"/>
      <c r="L1793" s="814" t="s">
        <v>4454</v>
      </c>
      <c r="M1793" s="40">
        <v>3</v>
      </c>
      <c r="N1793" s="41">
        <f ca="1">'Ch8'!O164</f>
        <v>0</v>
      </c>
      <c r="O1793" s="75">
        <f ca="1">M1793*S1793*W1793</f>
        <v>0</v>
      </c>
      <c r="P1793" t="b">
        <v>0</v>
      </c>
      <c r="Q1793" t="b">
        <v>1</v>
      </c>
      <c r="R1793" t="b">
        <v>0</v>
      </c>
      <c r="S1793" t="b">
        <f ca="1">AND(NOT(W1787=TRUE),S1643=2)</f>
        <v>0</v>
      </c>
      <c r="T1793" t="b">
        <f ca="1">IF(AND(NOT(S1793),W1793=TRUE),TRUE,FALSE)</f>
        <v>0</v>
      </c>
      <c r="W1793" s="17"/>
      <c r="X1793" s="817"/>
      <c r="Y1793" s="1119" t="str">
        <f>IF(LEN('Ch8'!X164)=0,"None",'Ch8'!X164)</f>
        <v>None</v>
      </c>
      <c r="Z1793" s="1105"/>
      <c r="AC1793" t="b">
        <f ca="1">OR(AD1793:AE1793)</f>
        <v>0</v>
      </c>
      <c r="AD1793" t="b">
        <f ca="1">T1793</f>
        <v>0</v>
      </c>
      <c r="AL1793" t="str">
        <f>SUBSTITUTE(SUBSTITUTE(SUBSTITUTE("vpa"&amp;$B1793&amp;$C1793&amp;$D1793&amp;$E1793,".","_"),"(","_"),")","")</f>
        <v>vpa802_6_5_1</v>
      </c>
      <c r="AM1793">
        <f>M1793</f>
        <v>3</v>
      </c>
      <c r="AN1793" t="str">
        <f>SUBSTITUTE(SUBSTITUTE(SUBSTITUTE("vpc"&amp;$B1793&amp;$C1793&amp;$D1793&amp;$E1793,".","_"),"(","_"),")","")</f>
        <v>vpc802_6_5_1</v>
      </c>
      <c r="AO1793">
        <f ca="1">O1793</f>
        <v>0</v>
      </c>
      <c r="AP1793" t="str">
        <f>SUBSTITUTE(SUBSTITUTE(SUBSTITUTE("vch"&amp;$B1793&amp;$C1793&amp;$D1793&amp;$E1793,".","_"),"(","_"),")","")</f>
        <v>vch802_6_5_1</v>
      </c>
      <c r="AQ1793" t="str">
        <f>IF(LEN(W1793)=0,"",W1793)</f>
        <v/>
      </c>
      <c r="AR1793" t="str">
        <f>SUBSTITUTE(SUBSTITUTE(SUBSTITUTE("vnt"&amp;$B1793&amp;$C1793&amp;$D1793&amp;$E1793,".","_"),"(","_"),")","")</f>
        <v>vnt802_6_5_1</v>
      </c>
      <c r="AS1793" t="str">
        <f>IF(LEN(X1793)=0,"",X1793)</f>
        <v/>
      </c>
    </row>
    <row r="1794" spans="1:45" ht="15" customHeight="1" x14ac:dyDescent="0.35">
      <c r="A1794" s="366">
        <v>8</v>
      </c>
      <c r="B1794" s="738" t="s">
        <v>4380</v>
      </c>
      <c r="C1794" s="731" t="s">
        <v>256</v>
      </c>
      <c r="D1794" s="731"/>
      <c r="E1794" s="731"/>
      <c r="F1794" s="731"/>
      <c r="G1794" s="366" t="str">
        <f ca="1">G1793</f>
        <v/>
      </c>
      <c r="H1794" s="366" t="s">
        <v>3972</v>
      </c>
      <c r="I1794" s="30"/>
      <c r="J1794" s="416"/>
      <c r="K1794" s="472"/>
      <c r="L1794" s="815"/>
      <c r="M1794" s="268"/>
      <c r="N1794" s="104"/>
      <c r="O1794" s="309"/>
      <c r="X1794" s="817"/>
      <c r="Y1794" s="1117"/>
      <c r="Z1794" s="1103"/>
    </row>
    <row r="1795" spans="1:45" ht="15" customHeight="1" x14ac:dyDescent="0.35">
      <c r="A1795" s="366">
        <v>8</v>
      </c>
      <c r="B1795" s="738" t="s">
        <v>4380</v>
      </c>
      <c r="C1795" s="731" t="s">
        <v>258</v>
      </c>
      <c r="D1795" s="731"/>
      <c r="E1795" s="731"/>
      <c r="F1795" s="731"/>
      <c r="G1795" s="366" t="str">
        <f ca="1">IF(N1795&gt;0,"P","")</f>
        <v/>
      </c>
      <c r="H1795" s="366" t="s">
        <v>3972</v>
      </c>
      <c r="I1795" s="30"/>
      <c r="J1795" s="424" t="s">
        <v>258</v>
      </c>
      <c r="K1795" s="471"/>
      <c r="L1795" s="836" t="s">
        <v>4455</v>
      </c>
      <c r="M1795" s="282">
        <v>3</v>
      </c>
      <c r="N1795" s="552">
        <f ca="1">'Ch8'!O166</f>
        <v>0</v>
      </c>
      <c r="O1795" s="165">
        <f ca="1">M1795*S1795*W1795</f>
        <v>0</v>
      </c>
      <c r="P1795" t="b">
        <v>0</v>
      </c>
      <c r="Q1795" t="b">
        <v>1</v>
      </c>
      <c r="R1795" t="b">
        <v>0</v>
      </c>
      <c r="S1795" t="b">
        <f ca="1">AND(NOT(W1787=TRUE),S1643=2)</f>
        <v>0</v>
      </c>
      <c r="T1795" t="b">
        <f ca="1">IF(AND(NOT(S1795),W1795=TRUE),TRUE,FALSE)</f>
        <v>0</v>
      </c>
      <c r="W1795" s="17"/>
      <c r="X1795" s="817"/>
      <c r="Y1795" s="1119" t="str">
        <f>IF(LEN('Ch8'!X166)=0,"None",'Ch8'!X166)</f>
        <v>None</v>
      </c>
      <c r="Z1795" s="1105"/>
      <c r="AC1795" t="b">
        <f ca="1">OR(AD1795:AE1795)</f>
        <v>0</v>
      </c>
      <c r="AD1795" t="b">
        <f ca="1">T1795</f>
        <v>0</v>
      </c>
      <c r="AL1795" t="str">
        <f>SUBSTITUTE(SUBSTITUTE(SUBSTITUTE("vpa"&amp;$B1795&amp;$C1795&amp;$D1795&amp;$E1795,".","_"),"(","_"),")","")</f>
        <v>vpa802_6_5_2</v>
      </c>
      <c r="AM1795">
        <f>M1795</f>
        <v>3</v>
      </c>
      <c r="AN1795" t="str">
        <f>SUBSTITUTE(SUBSTITUTE(SUBSTITUTE("vpc"&amp;$B1795&amp;$C1795&amp;$D1795&amp;$E1795,".","_"),"(","_"),")","")</f>
        <v>vpc802_6_5_2</v>
      </c>
      <c r="AO1795">
        <f ca="1">O1795</f>
        <v>0</v>
      </c>
      <c r="AP1795" t="str">
        <f>SUBSTITUTE(SUBSTITUTE(SUBSTITUTE("vch"&amp;$B1795&amp;$C1795&amp;$D1795&amp;$E1795,".","_"),"(","_"),")","")</f>
        <v>vch802_6_5_2</v>
      </c>
      <c r="AQ1795" t="str">
        <f>IF(LEN(W1795)=0,"",W1795)</f>
        <v/>
      </c>
      <c r="AR1795" t="str">
        <f>SUBSTITUTE(SUBSTITUTE(SUBSTITUTE("vnt"&amp;$B1795&amp;$C1795&amp;$D1795&amp;$E1795,".","_"),"(","_"),")","")</f>
        <v>vnt802_6_5_2</v>
      </c>
      <c r="AS1795" t="str">
        <f>IF(LEN(X1795)=0,"",X1795)</f>
        <v/>
      </c>
    </row>
    <row r="1796" spans="1:45" ht="15" customHeight="1" x14ac:dyDescent="0.35">
      <c r="A1796" s="366">
        <v>8</v>
      </c>
      <c r="B1796" s="738" t="s">
        <v>4380</v>
      </c>
      <c r="C1796" s="731" t="s">
        <v>258</v>
      </c>
      <c r="D1796" s="731"/>
      <c r="E1796" s="731"/>
      <c r="F1796" s="731"/>
      <c r="G1796" s="366" t="str">
        <f ca="1">G1795</f>
        <v/>
      </c>
      <c r="H1796" s="366" t="s">
        <v>3972</v>
      </c>
      <c r="I1796" s="30"/>
      <c r="J1796" s="416"/>
      <c r="K1796" s="472"/>
      <c r="L1796" s="815"/>
      <c r="M1796" s="268"/>
      <c r="N1796" s="104"/>
      <c r="O1796" s="309"/>
      <c r="X1796" s="817"/>
      <c r="Y1796" s="1117"/>
      <c r="Z1796" s="1103"/>
    </row>
    <row r="1797" spans="1:45" ht="15" customHeight="1" x14ac:dyDescent="0.35">
      <c r="A1797" s="366">
        <v>8</v>
      </c>
      <c r="B1797" s="738" t="s">
        <v>4380</v>
      </c>
      <c r="C1797" s="731" t="s">
        <v>260</v>
      </c>
      <c r="D1797" s="731"/>
      <c r="E1797" s="731"/>
      <c r="F1797" s="731"/>
      <c r="G1797" s="366" t="str">
        <f ca="1">IF(N1797&gt;0,"P","")</f>
        <v/>
      </c>
      <c r="H1797" s="366" t="s">
        <v>3972</v>
      </c>
      <c r="I1797" s="30"/>
      <c r="J1797" s="422" t="s">
        <v>260</v>
      </c>
      <c r="K1797" s="509"/>
      <c r="L1797" s="177" t="s">
        <v>4456</v>
      </c>
      <c r="M1797" s="278">
        <v>3</v>
      </c>
      <c r="N1797" s="547">
        <f ca="1">'Ch8'!O168</f>
        <v>0</v>
      </c>
      <c r="O1797" s="277">
        <f ca="1">M1797*S1797*W1797</f>
        <v>0</v>
      </c>
      <c r="P1797" t="b">
        <v>0</v>
      </c>
      <c r="Q1797" t="b">
        <v>1</v>
      </c>
      <c r="R1797" t="b">
        <v>0</v>
      </c>
      <c r="S1797" t="b">
        <f ca="1">AND(NOT(W1787=TRUE),S1643=2)</f>
        <v>0</v>
      </c>
      <c r="T1797" t="b">
        <f ca="1">IF(AND(NOT(S1797),W1797=TRUE),TRUE,FALSE)</f>
        <v>0</v>
      </c>
      <c r="W1797" s="17"/>
      <c r="X1797" s="36"/>
      <c r="Y1797" s="396" t="str">
        <f>IF(LEN('Ch8'!X168)=0,"None",'Ch8'!X168)</f>
        <v>None</v>
      </c>
      <c r="Z1797" s="652"/>
      <c r="AC1797" t="b">
        <f ca="1">OR(AD1797:AE1797)</f>
        <v>0</v>
      </c>
      <c r="AD1797" t="b">
        <f ca="1">T1797</f>
        <v>0</v>
      </c>
      <c r="AL1797" t="str">
        <f>SUBSTITUTE(SUBSTITUTE(SUBSTITUTE("vpa"&amp;$B1797&amp;$C1797&amp;$D1797&amp;$E1797,".","_"),"(","_"),")","")</f>
        <v>vpa802_6_5_3</v>
      </c>
      <c r="AM1797">
        <f>M1797</f>
        <v>3</v>
      </c>
      <c r="AN1797" t="str">
        <f>SUBSTITUTE(SUBSTITUTE(SUBSTITUTE("vpc"&amp;$B1797&amp;$C1797&amp;$D1797&amp;$E1797,".","_"),"(","_"),")","")</f>
        <v>vpc802_6_5_3</v>
      </c>
      <c r="AO1797">
        <f ca="1">O1797</f>
        <v>0</v>
      </c>
      <c r="AP1797" t="str">
        <f>SUBSTITUTE(SUBSTITUTE(SUBSTITUTE("vch"&amp;$B1797&amp;$C1797&amp;$D1797&amp;$E1797,".","_"),"(","_"),")","")</f>
        <v>vch802_6_5_3</v>
      </c>
      <c r="AQ1797" t="str">
        <f>IF(LEN(W1797)=0,"",W1797)</f>
        <v/>
      </c>
      <c r="AR1797" t="str">
        <f>SUBSTITUTE(SUBSTITUTE(SUBSTITUTE("vnt"&amp;$B1797&amp;$C1797&amp;$D1797&amp;$E1797,".","_"),"(","_"),")","")</f>
        <v>vnt802_6_5_3</v>
      </c>
      <c r="AS1797" t="str">
        <f>IF(LEN(X1797)=0,"",X1797)</f>
        <v/>
      </c>
    </row>
    <row r="1798" spans="1:45" ht="15" customHeight="1" x14ac:dyDescent="0.35">
      <c r="A1798" s="366">
        <v>8</v>
      </c>
      <c r="B1798" s="738" t="s">
        <v>4380</v>
      </c>
      <c r="C1798" s="731" t="s">
        <v>269</v>
      </c>
      <c r="D1798" s="731"/>
      <c r="E1798" s="731"/>
      <c r="F1798" s="731"/>
      <c r="G1798" s="366" t="str">
        <f ca="1">IF(N1798&gt;0,"P","")</f>
        <v/>
      </c>
      <c r="H1798" s="366" t="s">
        <v>3972</v>
      </c>
      <c r="I1798" s="30"/>
      <c r="J1798" s="424" t="s">
        <v>269</v>
      </c>
      <c r="K1798" s="471"/>
      <c r="L1798" s="836" t="s">
        <v>4457</v>
      </c>
      <c r="M1798" s="282">
        <v>3</v>
      </c>
      <c r="N1798" s="552">
        <f ca="1">'Ch8'!O169</f>
        <v>0</v>
      </c>
      <c r="O1798" s="165">
        <f ca="1">M1798*S1798*W1798</f>
        <v>0</v>
      </c>
      <c r="P1798" t="b">
        <v>0</v>
      </c>
      <c r="Q1798" t="b">
        <v>1</v>
      </c>
      <c r="R1798" t="b">
        <v>0</v>
      </c>
      <c r="S1798" t="b">
        <f ca="1">AND(NOT(W1787=TRUE),S1643=2)</f>
        <v>0</v>
      </c>
      <c r="T1798" t="b">
        <f ca="1">IF(AND(NOT(S1798),W1798=TRUE),TRUE,FALSE)</f>
        <v>0</v>
      </c>
      <c r="W1798" s="17"/>
      <c r="X1798" s="817"/>
      <c r="Y1798" s="1119" t="str">
        <f>IF(LEN('Ch8'!X169)=0,"None",'Ch8'!X169)</f>
        <v>None</v>
      </c>
      <c r="Z1798" s="1105"/>
      <c r="AC1798" t="b">
        <f ca="1">OR(AD1798:AE1798)</f>
        <v>0</v>
      </c>
      <c r="AD1798" t="b">
        <f ca="1">T1798</f>
        <v>0</v>
      </c>
      <c r="AL1798" t="str">
        <f>SUBSTITUTE(SUBSTITUTE(SUBSTITUTE("vpa"&amp;$B1798&amp;$C1798&amp;$D1798&amp;$E1798,".","_"),"(","_"),")","")</f>
        <v>vpa802_6_5_4</v>
      </c>
      <c r="AM1798">
        <f>M1798</f>
        <v>3</v>
      </c>
      <c r="AN1798" t="str">
        <f>SUBSTITUTE(SUBSTITUTE(SUBSTITUTE("vpc"&amp;$B1798&amp;$C1798&amp;$D1798&amp;$E1798,".","_"),"(","_"),")","")</f>
        <v>vpc802_6_5_4</v>
      </c>
      <c r="AO1798">
        <f ca="1">O1798</f>
        <v>0</v>
      </c>
      <c r="AP1798" t="str">
        <f>SUBSTITUTE(SUBSTITUTE(SUBSTITUTE("vch"&amp;$B1798&amp;$C1798&amp;$D1798&amp;$E1798,".","_"),"(","_"),")","")</f>
        <v>vch802_6_5_4</v>
      </c>
      <c r="AQ1798" t="str">
        <f>IF(LEN(W1798)=0,"",W1798)</f>
        <v/>
      </c>
      <c r="AR1798" t="str">
        <f>SUBSTITUTE(SUBSTITUTE(SUBSTITUTE("vnt"&amp;$B1798&amp;$C1798&amp;$D1798&amp;$E1798,".","_"),"(","_"),")","")</f>
        <v>vnt802_6_5_4</v>
      </c>
      <c r="AS1798" t="str">
        <f>IF(LEN(X1798)=0,"",X1798)</f>
        <v/>
      </c>
    </row>
    <row r="1799" spans="1:45" ht="15" customHeight="1" x14ac:dyDescent="0.35">
      <c r="A1799" s="366">
        <v>8</v>
      </c>
      <c r="B1799" s="738" t="s">
        <v>4380</v>
      </c>
      <c r="C1799" s="731" t="s">
        <v>269</v>
      </c>
      <c r="D1799" s="731"/>
      <c r="E1799" s="731"/>
      <c r="F1799" s="731"/>
      <c r="G1799" s="366" t="str">
        <f ca="1">G1798</f>
        <v/>
      </c>
      <c r="H1799" s="366" t="s">
        <v>3972</v>
      </c>
      <c r="I1799" s="30"/>
      <c r="J1799" s="416"/>
      <c r="K1799" s="472"/>
      <c r="L1799" s="815"/>
      <c r="M1799" s="268"/>
      <c r="N1799" s="104"/>
      <c r="O1799" s="309"/>
      <c r="X1799" s="817"/>
      <c r="Y1799" s="1117"/>
      <c r="Z1799" s="1103"/>
    </row>
    <row r="1800" spans="1:45" ht="15" customHeight="1" x14ac:dyDescent="0.35">
      <c r="A1800" s="366">
        <v>8</v>
      </c>
      <c r="B1800" s="738" t="s">
        <v>4380</v>
      </c>
      <c r="C1800" s="731" t="s">
        <v>275</v>
      </c>
      <c r="D1800" s="731"/>
      <c r="E1800" s="731"/>
      <c r="F1800" s="731"/>
      <c r="G1800" s="366" t="str">
        <f ca="1">IF(N1800&gt;0,"P","")</f>
        <v/>
      </c>
      <c r="H1800" s="366" t="s">
        <v>3972</v>
      </c>
      <c r="I1800" s="30"/>
      <c r="J1800" s="402" t="s">
        <v>275</v>
      </c>
      <c r="K1800" s="467"/>
      <c r="L1800" s="814" t="s">
        <v>4458</v>
      </c>
      <c r="M1800" s="40">
        <v>3</v>
      </c>
      <c r="N1800" s="41">
        <f ca="1">'Ch8'!O171</f>
        <v>0</v>
      </c>
      <c r="O1800" s="75">
        <f ca="1">M1800*S1800*W1800</f>
        <v>0</v>
      </c>
      <c r="P1800" t="b">
        <v>0</v>
      </c>
      <c r="Q1800" t="b">
        <v>1</v>
      </c>
      <c r="R1800" t="b">
        <v>0</v>
      </c>
      <c r="S1800" t="b">
        <f ca="1">AND(NOT(W1787=TRUE),S1643=2)</f>
        <v>0</v>
      </c>
      <c r="T1800" t="b">
        <f ca="1">IF(AND(NOT(S1800),W1800=TRUE),TRUE,FALSE)</f>
        <v>0</v>
      </c>
      <c r="W1800" s="17"/>
      <c r="X1800" s="817"/>
      <c r="Y1800" s="1119" t="str">
        <f>IF(LEN('Ch8'!X171)=0,"None",'Ch8'!X171)</f>
        <v>None</v>
      </c>
      <c r="Z1800" s="1105"/>
      <c r="AC1800" t="b">
        <f ca="1">OR(AD1800:AE1800)</f>
        <v>0</v>
      </c>
      <c r="AD1800" t="b">
        <f ca="1">T1800</f>
        <v>0</v>
      </c>
      <c r="AL1800" t="str">
        <f>SUBSTITUTE(SUBSTITUTE(SUBSTITUTE("vpa"&amp;$B1800&amp;$C1800&amp;$D1800&amp;$E1800,".","_"),"(","_"),")","")</f>
        <v>vpa802_6_5_5</v>
      </c>
      <c r="AM1800">
        <f>M1800</f>
        <v>3</v>
      </c>
      <c r="AN1800" t="str">
        <f>SUBSTITUTE(SUBSTITUTE(SUBSTITUTE("vpc"&amp;$B1800&amp;$C1800&amp;$D1800&amp;$E1800,".","_"),"(","_"),")","")</f>
        <v>vpc802_6_5_5</v>
      </c>
      <c r="AO1800">
        <f ca="1">O1800</f>
        <v>0</v>
      </c>
      <c r="AP1800" t="str">
        <f>SUBSTITUTE(SUBSTITUTE(SUBSTITUTE("vch"&amp;$B1800&amp;$C1800&amp;$D1800&amp;$E1800,".","_"),"(","_"),")","")</f>
        <v>vch802_6_5_5</v>
      </c>
      <c r="AQ1800" t="str">
        <f>IF(LEN(W1800)=0,"",W1800)</f>
        <v/>
      </c>
      <c r="AR1800" t="str">
        <f>SUBSTITUTE(SUBSTITUTE(SUBSTITUTE("vnt"&amp;$B1800&amp;$C1800&amp;$D1800&amp;$E1800,".","_"),"(","_"),")","")</f>
        <v>vnt802_6_5_5</v>
      </c>
      <c r="AS1800" t="str">
        <f>IF(LEN(X1800)=0,"",X1800)</f>
        <v/>
      </c>
    </row>
    <row r="1801" spans="1:45" ht="15" thickBot="1" x14ac:dyDescent="0.4">
      <c r="A1801" s="366">
        <v>8</v>
      </c>
      <c r="B1801" s="738" t="s">
        <v>4380</v>
      </c>
      <c r="C1801" s="731" t="s">
        <v>275</v>
      </c>
      <c r="D1801" s="731"/>
      <c r="E1801" s="731"/>
      <c r="F1801" s="731"/>
      <c r="G1801" s="366" t="str">
        <f ca="1">G1800</f>
        <v/>
      </c>
      <c r="H1801" s="366" t="s">
        <v>3972</v>
      </c>
      <c r="I1801" s="30"/>
      <c r="J1801" s="467"/>
      <c r="K1801" s="467"/>
      <c r="L1801" s="814"/>
      <c r="M1801" s="40"/>
      <c r="O1801" s="75"/>
      <c r="X1801" s="817"/>
      <c r="Y1801" s="1121"/>
      <c r="Z1801" s="1108"/>
    </row>
    <row r="1802" spans="1:45" ht="15.75" customHeight="1" thickTop="1" x14ac:dyDescent="0.35">
      <c r="A1802" s="366">
        <v>8</v>
      </c>
      <c r="B1802" s="738">
        <v>802.7</v>
      </c>
      <c r="C1802" s="731"/>
      <c r="D1802" s="731"/>
      <c r="E1802" s="731"/>
      <c r="F1802" s="731"/>
      <c r="G1802" s="727" t="str">
        <f ca="1">IF(COUNTIF(G1804:G1815,"P")&gt;0,"P","")</f>
        <v/>
      </c>
      <c r="H1802" s="366" t="s">
        <v>3972</v>
      </c>
      <c r="I1802" s="106">
        <v>802.7</v>
      </c>
      <c r="J1802" s="507"/>
      <c r="K1802" s="107"/>
      <c r="L1802" s="943" t="s">
        <v>4381</v>
      </c>
      <c r="M1802" s="267"/>
      <c r="N1802" s="545"/>
      <c r="O1802" s="308"/>
      <c r="P1802" s="59"/>
      <c r="Q1802" s="59"/>
      <c r="R1802" s="59"/>
      <c r="S1802" s="59"/>
      <c r="T1802" s="59"/>
      <c r="U1802" s="59"/>
      <c r="V1802" s="59"/>
      <c r="W1802" s="59"/>
      <c r="X1802" s="59"/>
    </row>
    <row r="1803" spans="1:45" x14ac:dyDescent="0.35">
      <c r="A1803" s="366">
        <v>8</v>
      </c>
      <c r="B1803" s="738">
        <v>802.7</v>
      </c>
      <c r="C1803" s="731"/>
      <c r="D1803" s="731"/>
      <c r="E1803" s="731"/>
      <c r="F1803" s="731"/>
      <c r="G1803" s="366" t="str">
        <f ca="1">G1802</f>
        <v/>
      </c>
      <c r="H1803" s="366" t="s">
        <v>3972</v>
      </c>
      <c r="I1803" s="30"/>
      <c r="J1803" s="93"/>
      <c r="K1803" s="4"/>
      <c r="L1803" s="944"/>
      <c r="M1803" s="40"/>
      <c r="N1803" s="41"/>
      <c r="O1803" s="75"/>
    </row>
    <row r="1804" spans="1:45" x14ac:dyDescent="0.35">
      <c r="A1804" s="366">
        <v>8</v>
      </c>
      <c r="B1804" s="738" t="s">
        <v>4382</v>
      </c>
      <c r="C1804" s="731"/>
      <c r="D1804" s="731"/>
      <c r="E1804" s="731"/>
      <c r="F1804" s="731"/>
      <c r="G1804" s="366" t="str">
        <f ca="1">IF(N1804&gt;0,"P","")</f>
        <v/>
      </c>
      <c r="H1804" s="366" t="s">
        <v>3972</v>
      </c>
      <c r="I1804" s="30" t="s">
        <v>4382</v>
      </c>
      <c r="J1804" s="93"/>
      <c r="K1804" s="4"/>
      <c r="L1804" s="319" t="s">
        <v>4383</v>
      </c>
      <c r="M1804" s="40"/>
      <c r="N1804" s="41">
        <f ca="1">'Ch8'!O175</f>
        <v>0</v>
      </c>
      <c r="O1804" s="75">
        <f ca="1">IFERROR(INDEX({5,5,10,15,25},MATCH(W1804,INDIRECT(U1804),0)),0)*S1804</f>
        <v>0</v>
      </c>
      <c r="P1804" t="b">
        <v>0</v>
      </c>
      <c r="Q1804" t="b">
        <v>1</v>
      </c>
      <c r="R1804" t="b">
        <v>0</v>
      </c>
      <c r="S1804" t="b">
        <f ca="1">S1643=2</f>
        <v>0</v>
      </c>
      <c r="T1804" t="b">
        <f ca="1">IF(AND(NOT(S1804),LEN(W1804)&gt;0),TRUE,FALSE)</f>
        <v>0</v>
      </c>
      <c r="U1804" t="str">
        <f>SUBSTITUTE(SUBSTITUTE(SUBSTITUTE("dd"&amp;B1804&amp;C1804&amp;D1804&amp;E1804&amp;F1804,".","_"),"(","_"),")","")</f>
        <v>dd802_7_1</v>
      </c>
      <c r="W1804" s="9"/>
      <c r="X1804" s="817"/>
      <c r="Y1804" s="1100" t="str">
        <f>IF(LEN('Ch8'!X175)=0,"None",'Ch8'!X175)</f>
        <v>None</v>
      </c>
      <c r="Z1804" s="1102"/>
      <c r="AC1804" t="b">
        <f ca="1">OR(AD1804:AE1804)</f>
        <v>0</v>
      </c>
      <c r="AD1804" t="b">
        <f ca="1">T1804</f>
        <v>0</v>
      </c>
      <c r="AN1804" t="str">
        <f>SUBSTITUTE(SUBSTITUTE(SUBSTITUTE("vpc"&amp;$B1804&amp;$C1804&amp;$D1804&amp;$E1804,".","_"),"(","_"),")","")</f>
        <v>vpc802_7_1</v>
      </c>
      <c r="AO1804">
        <f ca="1">O1804</f>
        <v>0</v>
      </c>
      <c r="AP1804" t="str">
        <f>SUBSTITUTE(SUBSTITUTE(SUBSTITUTE("vch"&amp;$B1804&amp;$C1804&amp;$D1804&amp;$E1804,".","_"),"(","_"),")","")</f>
        <v>vch802_7_1</v>
      </c>
      <c r="AQ1804" t="str">
        <f>IF(LEN(W1804)=0,"",W1804)</f>
        <v/>
      </c>
      <c r="AR1804" t="str">
        <f>SUBSTITUTE(SUBSTITUTE(SUBSTITUTE("vnt"&amp;$B1804&amp;$C1804&amp;$D1804&amp;$E1804,".","_"),"(","_"),")","")</f>
        <v>vnt802_7_1</v>
      </c>
      <c r="AS1804" t="str">
        <f>IF(LEN(X1804)=0,"",X1804)</f>
        <v/>
      </c>
    </row>
    <row r="1805" spans="1:45" x14ac:dyDescent="0.35">
      <c r="A1805" s="366">
        <v>8</v>
      </c>
      <c r="B1805" s="738" t="s">
        <v>4382</v>
      </c>
      <c r="C1805" s="731" t="s">
        <v>256</v>
      </c>
      <c r="D1805" s="731"/>
      <c r="E1805" s="731"/>
      <c r="F1805" s="746"/>
      <c r="G1805" s="366" t="str">
        <f t="shared" ref="G1805:G1814" ca="1" si="109">G1804</f>
        <v/>
      </c>
      <c r="H1805" s="366" t="s">
        <v>3972</v>
      </c>
      <c r="I1805" s="30"/>
      <c r="J1805" s="129" t="s">
        <v>256</v>
      </c>
      <c r="K1805" s="133"/>
      <c r="L1805" s="228" t="s">
        <v>799</v>
      </c>
      <c r="M1805" s="268">
        <v>5</v>
      </c>
      <c r="N1805" s="41"/>
      <c r="O1805" s="75"/>
      <c r="X1805" s="817"/>
      <c r="Y1805" s="1100"/>
      <c r="Z1805" s="1102"/>
      <c r="AL1805" t="str">
        <f>SUBSTITUTE(SUBSTITUTE(SUBSTITUTE("vpa"&amp;$B1805&amp;$C1805&amp;$D1805&amp;$E1805,".","_"),"(","_"),")","")</f>
        <v>vpa802_7_1_1</v>
      </c>
      <c r="AM1805">
        <f>M1805</f>
        <v>5</v>
      </c>
    </row>
    <row r="1806" spans="1:45" x14ac:dyDescent="0.35">
      <c r="A1806" s="366">
        <v>8</v>
      </c>
      <c r="B1806" s="738" t="s">
        <v>4382</v>
      </c>
      <c r="C1806" s="731" t="s">
        <v>258</v>
      </c>
      <c r="D1806" s="731"/>
      <c r="E1806" s="731"/>
      <c r="F1806" s="746"/>
      <c r="G1806" s="366" t="str">
        <f t="shared" ca="1" si="109"/>
        <v/>
      </c>
      <c r="H1806" s="366" t="s">
        <v>3972</v>
      </c>
      <c r="I1806" s="30"/>
      <c r="J1806" s="19" t="s">
        <v>258</v>
      </c>
      <c r="K1806" s="4"/>
      <c r="L1806" s="814" t="s">
        <v>800</v>
      </c>
      <c r="M1806" s="40"/>
      <c r="N1806" s="41"/>
      <c r="O1806" s="75"/>
      <c r="X1806" s="817"/>
      <c r="Y1806" s="1100"/>
      <c r="Z1806" s="1102"/>
    </row>
    <row r="1807" spans="1:45" x14ac:dyDescent="0.35">
      <c r="A1807" s="366">
        <v>8</v>
      </c>
      <c r="B1807" s="738" t="s">
        <v>4382</v>
      </c>
      <c r="C1807" s="731" t="s">
        <v>258</v>
      </c>
      <c r="D1807" s="731"/>
      <c r="E1807" s="731"/>
      <c r="F1807" s="746"/>
      <c r="G1807" s="366" t="str">
        <f t="shared" ca="1" si="109"/>
        <v/>
      </c>
      <c r="H1807" s="366" t="s">
        <v>3972</v>
      </c>
      <c r="I1807" s="30"/>
      <c r="J1807" s="4"/>
      <c r="K1807" s="4"/>
      <c r="L1807" s="814"/>
      <c r="M1807" s="40"/>
      <c r="N1807" s="41"/>
      <c r="O1807" s="75"/>
      <c r="X1807" s="817"/>
      <c r="Y1807" s="1100"/>
      <c r="Z1807" s="1102"/>
    </row>
    <row r="1808" spans="1:45" x14ac:dyDescent="0.35">
      <c r="A1808" s="366">
        <v>8</v>
      </c>
      <c r="B1808" s="738" t="s">
        <v>4382</v>
      </c>
      <c r="C1808" s="731" t="s">
        <v>258</v>
      </c>
      <c r="D1808" s="731" t="s">
        <v>121</v>
      </c>
      <c r="E1808" s="731"/>
      <c r="F1808" s="746"/>
      <c r="G1808" s="366" t="str">
        <f t="shared" ca="1" si="109"/>
        <v/>
      </c>
      <c r="H1808" s="732" t="s">
        <v>3972</v>
      </c>
      <c r="I1808" s="4"/>
      <c r="J1808" s="4"/>
      <c r="K1808" s="129" t="s">
        <v>121</v>
      </c>
      <c r="L1808" s="228" t="s">
        <v>801</v>
      </c>
      <c r="M1808" s="268">
        <v>5</v>
      </c>
      <c r="N1808" s="41"/>
      <c r="O1808" s="75"/>
      <c r="X1808" s="817"/>
      <c r="Y1808" s="1100"/>
      <c r="Z1808" s="1102"/>
      <c r="AL1808" t="str">
        <f>SUBSTITUTE(SUBSTITUTE(SUBSTITUTE("vpa"&amp;$B1808&amp;$C1808&amp;$D1808&amp;$E1808,".","_"),"(","_"),")","")</f>
        <v>vpa802_7_1_2_a</v>
      </c>
      <c r="AM1808">
        <f>M1808</f>
        <v>5</v>
      </c>
    </row>
    <row r="1809" spans="1:45" x14ac:dyDescent="0.35">
      <c r="A1809" s="366">
        <v>8</v>
      </c>
      <c r="B1809" s="738" t="s">
        <v>4382</v>
      </c>
      <c r="C1809" s="731" t="s">
        <v>258</v>
      </c>
      <c r="D1809" s="731" t="s">
        <v>122</v>
      </c>
      <c r="E1809" s="731"/>
      <c r="F1809" s="746"/>
      <c r="G1809" s="366" t="str">
        <f t="shared" ca="1" si="109"/>
        <v/>
      </c>
      <c r="H1809" s="732" t="s">
        <v>3972</v>
      </c>
      <c r="I1809" s="4"/>
      <c r="J1809" s="4"/>
      <c r="K1809" s="129" t="s">
        <v>122</v>
      </c>
      <c r="L1809" s="228" t="s">
        <v>802</v>
      </c>
      <c r="M1809" s="268">
        <v>10</v>
      </c>
      <c r="N1809" s="41"/>
      <c r="O1809" s="75"/>
      <c r="X1809" s="817"/>
      <c r="Y1809" s="1100"/>
      <c r="Z1809" s="1102"/>
      <c r="AL1809" t="str">
        <f>SUBSTITUTE(SUBSTITUTE(SUBSTITUTE("vpa"&amp;$B1809&amp;$C1809&amp;$D1809&amp;$E1809,".","_"),"(","_"),")","")</f>
        <v>vpa802_7_1_2_b</v>
      </c>
      <c r="AM1809">
        <f>M1809</f>
        <v>10</v>
      </c>
    </row>
    <row r="1810" spans="1:45" x14ac:dyDescent="0.35">
      <c r="A1810" s="366">
        <v>8</v>
      </c>
      <c r="B1810" s="738" t="s">
        <v>4382</v>
      </c>
      <c r="C1810" s="731" t="s">
        <v>258</v>
      </c>
      <c r="D1810" s="731" t="s">
        <v>123</v>
      </c>
      <c r="E1810" s="731"/>
      <c r="F1810" s="746"/>
      <c r="G1810" s="366" t="str">
        <f t="shared" ca="1" si="109"/>
        <v/>
      </c>
      <c r="H1810" s="732" t="s">
        <v>3972</v>
      </c>
      <c r="I1810" s="4"/>
      <c r="J1810" s="4"/>
      <c r="K1810" s="19" t="s">
        <v>123</v>
      </c>
      <c r="L1810" s="814" t="s">
        <v>803</v>
      </c>
      <c r="M1810" s="818">
        <v>15</v>
      </c>
      <c r="N1810" s="41"/>
      <c r="O1810" s="75"/>
      <c r="X1810" s="817"/>
      <c r="Y1810" s="1100"/>
      <c r="Z1810" s="1102"/>
      <c r="AL1810" t="str">
        <f>SUBSTITUTE(SUBSTITUTE(SUBSTITUTE("vpa"&amp;$B1810&amp;$C1810&amp;$D1810&amp;$E1810,".","_"),"(","_"),")","")</f>
        <v>vpa802_7_1_2_c</v>
      </c>
      <c r="AM1810">
        <f>M1810</f>
        <v>15</v>
      </c>
    </row>
    <row r="1811" spans="1:45" x14ac:dyDescent="0.35">
      <c r="A1811" s="366">
        <v>8</v>
      </c>
      <c r="B1811" s="738" t="s">
        <v>4382</v>
      </c>
      <c r="C1811" s="731" t="s">
        <v>258</v>
      </c>
      <c r="D1811" s="731" t="s">
        <v>123</v>
      </c>
      <c r="E1811" s="731"/>
      <c r="F1811" s="746"/>
      <c r="G1811" s="366" t="str">
        <f t="shared" ca="1" si="109"/>
        <v/>
      </c>
      <c r="H1811" s="732" t="s">
        <v>3972</v>
      </c>
      <c r="I1811" s="4"/>
      <c r="J1811" s="4"/>
      <c r="K1811" s="133"/>
      <c r="L1811" s="815"/>
      <c r="M1811" s="819"/>
      <c r="N1811" s="41"/>
      <c r="O1811" s="75"/>
      <c r="X1811" s="817"/>
      <c r="Y1811" s="1100"/>
      <c r="Z1811" s="1102"/>
    </row>
    <row r="1812" spans="1:45" x14ac:dyDescent="0.35">
      <c r="A1812" s="366">
        <v>8</v>
      </c>
      <c r="B1812" s="738" t="s">
        <v>4382</v>
      </c>
      <c r="C1812" s="731" t="s">
        <v>258</v>
      </c>
      <c r="D1812" s="731" t="s">
        <v>401</v>
      </c>
      <c r="E1812" s="731"/>
      <c r="F1812" s="746"/>
      <c r="G1812" s="366" t="str">
        <f t="shared" ca="1" si="109"/>
        <v/>
      </c>
      <c r="H1812" s="732" t="s">
        <v>3972</v>
      </c>
      <c r="I1812" s="4"/>
      <c r="J1812" s="4"/>
      <c r="K1812" s="19" t="s">
        <v>401</v>
      </c>
      <c r="L1812" s="814" t="s">
        <v>804</v>
      </c>
      <c r="M1812" s="818">
        <v>25</v>
      </c>
      <c r="N1812" s="41"/>
      <c r="O1812" s="75"/>
      <c r="X1812" s="817"/>
      <c r="Y1812" s="1100"/>
      <c r="Z1812" s="1102"/>
      <c r="AL1812" t="str">
        <f>SUBSTITUTE(SUBSTITUTE(SUBSTITUTE("vpa"&amp;$B1812&amp;$C1812&amp;$D1812&amp;$E1812,".","_"),"(","_"),")","")</f>
        <v>vpa802_7_1_2_d</v>
      </c>
      <c r="AM1812">
        <f>M1812</f>
        <v>25</v>
      </c>
    </row>
    <row r="1813" spans="1:45" x14ac:dyDescent="0.35">
      <c r="A1813" s="366">
        <v>8</v>
      </c>
      <c r="B1813" s="738" t="s">
        <v>4382</v>
      </c>
      <c r="C1813" s="731" t="s">
        <v>258</v>
      </c>
      <c r="D1813" s="731" t="s">
        <v>401</v>
      </c>
      <c r="E1813" s="731"/>
      <c r="F1813" s="746"/>
      <c r="G1813" s="366" t="str">
        <f t="shared" ca="1" si="109"/>
        <v/>
      </c>
      <c r="H1813" s="732" t="s">
        <v>3972</v>
      </c>
      <c r="I1813" s="30"/>
      <c r="J1813" s="4"/>
      <c r="K1813" s="4"/>
      <c r="L1813" s="814"/>
      <c r="M1813" s="818"/>
      <c r="N1813" s="41"/>
      <c r="O1813" s="75"/>
      <c r="X1813" s="817"/>
      <c r="Y1813" s="1100"/>
      <c r="Z1813" s="1102"/>
    </row>
    <row r="1814" spans="1:45" x14ac:dyDescent="0.35">
      <c r="A1814" s="366">
        <v>8</v>
      </c>
      <c r="B1814" s="738" t="s">
        <v>4382</v>
      </c>
      <c r="C1814" s="731" t="s">
        <v>258</v>
      </c>
      <c r="D1814" s="731" t="s">
        <v>401</v>
      </c>
      <c r="E1814" s="731"/>
      <c r="F1814" s="746"/>
      <c r="G1814" s="366" t="str">
        <f t="shared" ca="1" si="109"/>
        <v/>
      </c>
      <c r="H1814" s="732" t="s">
        <v>3972</v>
      </c>
      <c r="I1814" s="138"/>
      <c r="J1814" s="133"/>
      <c r="K1814" s="133"/>
      <c r="L1814" s="815"/>
      <c r="M1814" s="819"/>
      <c r="N1814" s="546"/>
      <c r="O1814" s="309"/>
      <c r="P1814" s="104"/>
      <c r="Q1814" s="104"/>
      <c r="R1814" s="104"/>
      <c r="S1814" s="104"/>
      <c r="T1814" s="104"/>
      <c r="U1814" s="104"/>
      <c r="V1814" s="104"/>
      <c r="W1814" s="104"/>
      <c r="X1814" s="817"/>
      <c r="Y1814" s="1100"/>
      <c r="Z1814" s="1102"/>
    </row>
    <row r="1815" spans="1:45" ht="15" customHeight="1" x14ac:dyDescent="0.35">
      <c r="A1815" s="366">
        <v>8</v>
      </c>
      <c r="B1815" s="738" t="s">
        <v>4384</v>
      </c>
      <c r="C1815" s="731"/>
      <c r="D1815" s="731"/>
      <c r="E1815" s="731"/>
      <c r="F1815" s="746"/>
      <c r="G1815" s="366" t="str">
        <f ca="1">IF(N1815&gt;0,"P","")</f>
        <v/>
      </c>
      <c r="H1815" s="366" t="s">
        <v>3972</v>
      </c>
      <c r="I1815" s="30" t="s">
        <v>4384</v>
      </c>
      <c r="J1815" s="93"/>
      <c r="K1815" s="4"/>
      <c r="L1815" s="838" t="s">
        <v>4385</v>
      </c>
      <c r="M1815" s="40"/>
      <c r="N1815" s="834">
        <f ca="1">'Ch8'!O186</f>
        <v>0</v>
      </c>
      <c r="O1815" s="832">
        <f ca="1">MAX(IFERROR(5*MATCH(W1818,INDIRECT(U1818),0),0)*S1818,M1820*S1820*W1820)*S1818</f>
        <v>0</v>
      </c>
      <c r="AN1815" t="str">
        <f>SUBSTITUTE(SUBSTITUTE(SUBSTITUTE("vpc"&amp;$B1815&amp;$C1815&amp;$D1815&amp;$E1815,".","_"),"(","_"),")","")</f>
        <v>vpc802_7_2</v>
      </c>
      <c r="AO1815">
        <f ca="1">O1815</f>
        <v>0</v>
      </c>
    </row>
    <row r="1816" spans="1:45" x14ac:dyDescent="0.35">
      <c r="A1816" s="366">
        <v>8</v>
      </c>
      <c r="B1816" s="738" t="s">
        <v>4384</v>
      </c>
      <c r="C1816" s="731"/>
      <c r="D1816" s="731"/>
      <c r="E1816" s="731"/>
      <c r="F1816" s="746"/>
      <c r="G1816" s="366" t="str">
        <f t="shared" ref="G1816:G1822" ca="1" si="110">G1815</f>
        <v/>
      </c>
      <c r="H1816" s="366" t="s">
        <v>3972</v>
      </c>
      <c r="I1816" s="30"/>
      <c r="J1816" s="93"/>
      <c r="K1816" s="4"/>
      <c r="L1816" s="838"/>
      <c r="M1816" s="40"/>
      <c r="N1816" s="834"/>
      <c r="O1816" s="832"/>
    </row>
    <row r="1817" spans="1:45" x14ac:dyDescent="0.35">
      <c r="A1817" s="366">
        <v>8</v>
      </c>
      <c r="B1817" s="738" t="s">
        <v>4384</v>
      </c>
      <c r="C1817" s="731"/>
      <c r="D1817" s="731"/>
      <c r="E1817" s="731"/>
      <c r="F1817" s="746"/>
      <c r="G1817" s="366" t="str">
        <f t="shared" ca="1" si="110"/>
        <v/>
      </c>
      <c r="H1817" s="366" t="s">
        <v>3972</v>
      </c>
      <c r="I1817" s="30"/>
      <c r="J1817" s="93"/>
      <c r="K1817" s="4"/>
      <c r="L1817" s="838"/>
      <c r="M1817" s="40"/>
      <c r="N1817" s="834"/>
      <c r="O1817" s="832"/>
    </row>
    <row r="1818" spans="1:45" ht="15" customHeight="1" x14ac:dyDescent="0.35">
      <c r="A1818" s="366">
        <v>8</v>
      </c>
      <c r="B1818" s="738" t="s">
        <v>4384</v>
      </c>
      <c r="C1818" s="731" t="s">
        <v>256</v>
      </c>
      <c r="D1818" s="731"/>
      <c r="E1818" s="731"/>
      <c r="F1818" s="746"/>
      <c r="G1818" s="366" t="str">
        <f t="shared" ca="1" si="110"/>
        <v/>
      </c>
      <c r="H1818" s="366" t="s">
        <v>3972</v>
      </c>
      <c r="I1818" s="30"/>
      <c r="J1818" s="19" t="s">
        <v>256</v>
      </c>
      <c r="K1818" s="4"/>
      <c r="L1818" s="90" t="s">
        <v>805</v>
      </c>
      <c r="M1818" s="843" t="s">
        <v>3607</v>
      </c>
      <c r="N1818" s="41"/>
      <c r="O1818" s="75"/>
      <c r="P1818" t="b">
        <v>0</v>
      </c>
      <c r="Q1818" t="b">
        <v>1</v>
      </c>
      <c r="R1818" t="b">
        <v>0</v>
      </c>
      <c r="S1818" t="b">
        <f ca="1">S1643=2</f>
        <v>0</v>
      </c>
      <c r="T1818" t="b">
        <f ca="1">IF(AND(NOT(S1818),LEN(W1818)&gt;0),TRUE,FALSE)</f>
        <v>0</v>
      </c>
      <c r="U1818" t="str">
        <f>SUBSTITUTE(SUBSTITUTE(SUBSTITUTE("dd"&amp;B1818&amp;C1818&amp;D1818&amp;E1818&amp;F1818,".","_"),"(","_"),")","")</f>
        <v>dd802_7_2_1</v>
      </c>
      <c r="W1818" s="9"/>
      <c r="X1818" s="817"/>
      <c r="Y1818" s="1100" t="str">
        <f>IF(LEN('Ch8'!X189)=0,"None",'Ch8'!X189)</f>
        <v>None</v>
      </c>
      <c r="Z1818" s="1102"/>
      <c r="AC1818" t="b">
        <f ca="1">OR(AD1818:AE1818)</f>
        <v>0</v>
      </c>
      <c r="AD1818" t="b">
        <f ca="1">T1818</f>
        <v>0</v>
      </c>
      <c r="AL1818" t="str">
        <f>SUBSTITUTE(SUBSTITUTE(SUBSTITUTE("vpa"&amp;$B1818&amp;$C1818&amp;$D1818&amp;$E1818,".","_"),"(","_"),")","")</f>
        <v>vpa802_7_2_1</v>
      </c>
      <c r="AM1818" t="str">
        <f>M1818</f>
        <v>5
15 Max</v>
      </c>
      <c r="AP1818" t="str">
        <f>SUBSTITUTE(SUBSTITUTE(SUBSTITUTE("vch"&amp;$B1818&amp;$C1818&amp;$D1818&amp;$E1818,".","_"),"(","_"),")","")</f>
        <v>vch802_7_2_1</v>
      </c>
      <c r="AQ1818" t="str">
        <f>IF(LEN(W1818)=0,"",W1818)</f>
        <v/>
      </c>
      <c r="AR1818" t="str">
        <f>SUBSTITUTE(SUBSTITUTE(SUBSTITUTE("vnt"&amp;$B1818&amp;$C1818&amp;$D1818&amp;$E1818,".","_"),"(","_"),")","")</f>
        <v>vnt802_7_2_1</v>
      </c>
      <c r="AS1818" t="str">
        <f>IF(LEN(X1818)=0,"",X1818)</f>
        <v/>
      </c>
    </row>
    <row r="1819" spans="1:45" x14ac:dyDescent="0.35">
      <c r="A1819" s="366">
        <v>8</v>
      </c>
      <c r="B1819" s="738" t="s">
        <v>4384</v>
      </c>
      <c r="C1819" s="731" t="s">
        <v>256</v>
      </c>
      <c r="D1819" s="731"/>
      <c r="E1819" s="731"/>
      <c r="F1819" s="746"/>
      <c r="G1819" s="366" t="str">
        <f t="shared" ca="1" si="110"/>
        <v/>
      </c>
      <c r="H1819" s="366" t="s">
        <v>3972</v>
      </c>
      <c r="I1819" s="30"/>
      <c r="J1819" s="133"/>
      <c r="K1819" s="133"/>
      <c r="L1819" s="142" t="s">
        <v>806</v>
      </c>
      <c r="M1819" s="819"/>
      <c r="N1819" s="41"/>
      <c r="O1819" s="75"/>
      <c r="X1819" s="817"/>
      <c r="Y1819" s="1100"/>
      <c r="Z1819" s="1102"/>
    </row>
    <row r="1820" spans="1:45" ht="15" thickBot="1" x14ac:dyDescent="0.4">
      <c r="A1820" s="366">
        <v>8</v>
      </c>
      <c r="B1820" s="738" t="s">
        <v>4384</v>
      </c>
      <c r="C1820" s="731" t="s">
        <v>258</v>
      </c>
      <c r="D1820" s="731"/>
      <c r="E1820" s="731"/>
      <c r="F1820" s="746"/>
      <c r="G1820" s="366" t="str">
        <f t="shared" ca="1" si="110"/>
        <v/>
      </c>
      <c r="H1820" s="366" t="s">
        <v>3972</v>
      </c>
      <c r="I1820" s="114"/>
      <c r="J1820" s="115" t="s">
        <v>258</v>
      </c>
      <c r="K1820" s="160"/>
      <c r="L1820" s="229" t="s">
        <v>807</v>
      </c>
      <c r="M1820" s="270">
        <v>25</v>
      </c>
      <c r="N1820" s="72"/>
      <c r="O1820" s="161"/>
      <c r="P1820" t="b">
        <v>0</v>
      </c>
      <c r="Q1820" t="b">
        <v>1</v>
      </c>
      <c r="R1820" s="55" t="b">
        <v>0</v>
      </c>
      <c r="S1820" s="55" t="b">
        <f ca="1">S1643=2</f>
        <v>0</v>
      </c>
      <c r="T1820" t="b">
        <f ca="1">IF(AND(NOT(S1820),W1820=TRUE),TRUE,FALSE)</f>
        <v>0</v>
      </c>
      <c r="U1820" s="55"/>
      <c r="V1820" s="55"/>
      <c r="W1820" s="56"/>
      <c r="X1820" s="98"/>
      <c r="Y1820" s="397" t="str">
        <f>IF(LEN('Ch8'!X191)=0,"None",'Ch8'!X191)</f>
        <v>None</v>
      </c>
      <c r="Z1820" s="658"/>
      <c r="AC1820" t="b">
        <f ca="1">OR(AD1820:AE1820)</f>
        <v>0</v>
      </c>
      <c r="AD1820" t="b">
        <f ca="1">T1820</f>
        <v>0</v>
      </c>
      <c r="AL1820" t="str">
        <f>SUBSTITUTE(SUBSTITUTE(SUBSTITUTE("vpa"&amp;$B1820&amp;$C1820&amp;$D1820&amp;$E1820,".","_"),"(","_"),")","")</f>
        <v>vpa802_7_2_2</v>
      </c>
      <c r="AM1820">
        <f>M1820</f>
        <v>25</v>
      </c>
      <c r="AP1820" t="str">
        <f>SUBSTITUTE(SUBSTITUTE(SUBSTITUTE("vch"&amp;$B1820&amp;$C1820&amp;$D1820&amp;$E1820,".","_"),"(","_"),")","")</f>
        <v>vch802_7_2_2</v>
      </c>
      <c r="AQ1820" t="str">
        <f>IF(LEN(W1820)=0,"",W1820)</f>
        <v/>
      </c>
      <c r="AR1820" t="str">
        <f>SUBSTITUTE(SUBSTITUTE(SUBSTITUTE("vnt"&amp;$B1820&amp;$C1820&amp;$D1820&amp;$E1820,".","_"),"(","_"),")","")</f>
        <v>vnt802_7_2_2</v>
      </c>
      <c r="AS1820" t="str">
        <f>IF(LEN(X1820)=0,"",X1820)</f>
        <v/>
      </c>
    </row>
    <row r="1821" spans="1:45" ht="15.75" customHeight="1" thickTop="1" x14ac:dyDescent="0.35">
      <c r="A1821" s="366">
        <v>8</v>
      </c>
      <c r="B1821" s="738">
        <v>802.8</v>
      </c>
      <c r="C1821" s="731"/>
      <c r="D1821" s="731"/>
      <c r="E1821" s="731"/>
      <c r="F1821" s="731"/>
      <c r="G1821" s="366" t="str">
        <f ca="1">IF(N1821&gt;0,"P","")</f>
        <v/>
      </c>
      <c r="H1821" s="366" t="s">
        <v>3972</v>
      </c>
      <c r="I1821" s="38">
        <v>802.8</v>
      </c>
      <c r="J1821" s="37"/>
      <c r="K1821" s="4"/>
      <c r="L1821" s="838" t="s">
        <v>4459</v>
      </c>
      <c r="M1821" s="830">
        <v>1</v>
      </c>
      <c r="N1821" s="959">
        <f ca="1">'Ch8'!O192</f>
        <v>0</v>
      </c>
      <c r="O1821" s="831">
        <f ca="1">M1821*S1821*W1821</f>
        <v>0</v>
      </c>
      <c r="P1821" t="b">
        <v>0</v>
      </c>
      <c r="Q1821" t="b">
        <v>1</v>
      </c>
      <c r="R1821" t="b">
        <v>0</v>
      </c>
      <c r="S1821" t="b">
        <f ca="1">S1643=2</f>
        <v>0</v>
      </c>
      <c r="T1821" t="b">
        <f ca="1">IF(AND(NOT(S1821),W1821=TRUE),TRUE,FALSE)</f>
        <v>0</v>
      </c>
      <c r="W1821" s="69"/>
      <c r="X1821" s="816"/>
      <c r="Y1821" s="1117" t="str">
        <f>IF(LEN('Ch8'!X192)=0,"None",'Ch8'!X192)</f>
        <v>None</v>
      </c>
      <c r="Z1821" s="1103"/>
      <c r="AC1821" t="b">
        <f ca="1">OR(AD1821:AE1821)</f>
        <v>0</v>
      </c>
      <c r="AD1821" t="b">
        <f ca="1">T1821</f>
        <v>0</v>
      </c>
      <c r="AL1821" t="str">
        <f>SUBSTITUTE(SUBSTITUTE(SUBSTITUTE("vpa"&amp;$B1821&amp;$C1821&amp;$D1821&amp;$E1821,".","_"),"(","_"),")","")</f>
        <v>vpa802_8</v>
      </c>
      <c r="AM1821">
        <f>M1821</f>
        <v>1</v>
      </c>
      <c r="AN1821" t="str">
        <f>SUBSTITUTE(SUBSTITUTE(SUBSTITUTE("vpc"&amp;$B1821&amp;$C1821&amp;$D1821&amp;$E1821,".","_"),"(","_"),")","")</f>
        <v>vpc802_8</v>
      </c>
      <c r="AO1821">
        <f ca="1">O1821</f>
        <v>0</v>
      </c>
      <c r="AP1821" t="str">
        <f>SUBSTITUTE(SUBSTITUTE(SUBSTITUTE("vch"&amp;$B1821&amp;$C1821&amp;$D1821&amp;$E1821,".","_"),"(","_"),")","")</f>
        <v>vch802_8</v>
      </c>
      <c r="AQ1821" t="str">
        <f>IF(LEN(W1821)=0,"",W1821)</f>
        <v/>
      </c>
      <c r="AR1821" t="str">
        <f>SUBSTITUTE(SUBSTITUTE(SUBSTITUTE("vnt"&amp;$B1821&amp;$C1821&amp;$D1821&amp;$E1821,".","_"),"(","_"),")","")</f>
        <v>vnt802_8</v>
      </c>
      <c r="AS1821" t="str">
        <f>IF(LEN(X1821)=0,"",X1821)</f>
        <v/>
      </c>
    </row>
    <row r="1822" spans="1:45" ht="15" thickBot="1" x14ac:dyDescent="0.4">
      <c r="A1822" s="366">
        <v>8</v>
      </c>
      <c r="B1822" s="738">
        <v>802.8</v>
      </c>
      <c r="C1822" s="731"/>
      <c r="D1822" s="731"/>
      <c r="E1822" s="731"/>
      <c r="F1822" s="731"/>
      <c r="G1822" s="366" t="str">
        <f t="shared" ca="1" si="110"/>
        <v/>
      </c>
      <c r="H1822" s="366" t="s">
        <v>3972</v>
      </c>
      <c r="I1822" s="230"/>
      <c r="J1822" s="512"/>
      <c r="K1822" s="160"/>
      <c r="L1822" s="849"/>
      <c r="M1822" s="827"/>
      <c r="N1822" s="863"/>
      <c r="O1822" s="833"/>
      <c r="P1822" s="55"/>
      <c r="Q1822" s="55"/>
      <c r="R1822" s="55"/>
      <c r="S1822" s="55"/>
      <c r="T1822" s="55"/>
      <c r="U1822" s="55"/>
      <c r="V1822" s="55"/>
      <c r="W1822" s="55"/>
      <c r="X1822" s="829"/>
      <c r="Y1822" s="1101"/>
      <c r="Z1822" s="1104"/>
    </row>
    <row r="1823" spans="1:45" ht="15" thickTop="1" x14ac:dyDescent="0.35">
      <c r="A1823" s="366">
        <v>8</v>
      </c>
      <c r="B1823" s="747">
        <v>802.9</v>
      </c>
      <c r="E1823" s="736"/>
      <c r="G1823" s="727" t="str">
        <f>IF(COUNTIF(G1825:G1836,"P")&gt;0,"P","")</f>
        <v>P</v>
      </c>
      <c r="H1823" s="366" t="s">
        <v>3972</v>
      </c>
      <c r="I1823" s="513">
        <v>802.9</v>
      </c>
      <c r="J1823" s="481"/>
      <c r="K1823" s="467"/>
      <c r="L1823" s="487" t="s">
        <v>4460</v>
      </c>
      <c r="M1823" s="267"/>
      <c r="O1823" s="308"/>
    </row>
    <row r="1824" spans="1:45" x14ac:dyDescent="0.35">
      <c r="A1824" s="366">
        <v>8</v>
      </c>
      <c r="B1824" s="747" t="s">
        <v>4461</v>
      </c>
      <c r="E1824" s="736"/>
      <c r="G1824" s="366" t="str">
        <f>IF(N1824&gt;0,"P","")</f>
        <v/>
      </c>
      <c r="H1824" s="366" t="s">
        <v>3972</v>
      </c>
      <c r="I1824" s="513" t="s">
        <v>4461</v>
      </c>
      <c r="J1824" s="481"/>
      <c r="K1824" s="467"/>
      <c r="L1824" s="838" t="s">
        <v>4462</v>
      </c>
      <c r="M1824" s="40"/>
      <c r="N1824" s="834">
        <v>0</v>
      </c>
      <c r="O1824" s="832">
        <f ca="1">IFERROR(INDEX({5,2},MATCH(W1824,INDIRECT(U1824),0)),0)*S1824</f>
        <v>0</v>
      </c>
      <c r="P1824" t="b">
        <v>0</v>
      </c>
      <c r="Q1824" t="b">
        <v>1</v>
      </c>
      <c r="R1824" t="b">
        <v>0</v>
      </c>
      <c r="S1824" t="b">
        <f ca="1">S1643=2</f>
        <v>0</v>
      </c>
      <c r="T1824" t="b">
        <f ca="1">IF(AND(NOT(S1824),LEN(W1824)&gt;0),TRUE,FALSE)</f>
        <v>0</v>
      </c>
      <c r="U1824" t="str">
        <f>SUBSTITUTE(SUBSTITUTE(SUBSTITUTE("dd"&amp;B1824&amp;C1824&amp;D1824&amp;E1824&amp;F1824,".","_"),"(","_"),")","")</f>
        <v>dd802_9_1</v>
      </c>
      <c r="W1824" s="9"/>
      <c r="X1824" s="817"/>
      <c r="Y1824" s="1119" t="str">
        <f>IF(LEN('Ch8'!X195)=0,"None",'Ch8'!X195)</f>
        <v>None</v>
      </c>
      <c r="Z1824" s="1105"/>
      <c r="AC1824" t="b">
        <f ca="1">OR(AD1824:AE1824)</f>
        <v>0</v>
      </c>
      <c r="AD1824" t="b">
        <f ca="1">T1824</f>
        <v>0</v>
      </c>
      <c r="AN1824" t="str">
        <f>SUBSTITUTE(SUBSTITUTE(SUBSTITUTE("vpc"&amp;$B1824&amp;$C1824&amp;$D1824&amp;$E1824,".","_"),"(","_"),")","")</f>
        <v>vpc802_9_1</v>
      </c>
      <c r="AO1824">
        <f ca="1">O1824</f>
        <v>0</v>
      </c>
      <c r="AP1824" t="str">
        <f>SUBSTITUTE(SUBSTITUTE(SUBSTITUTE("vch"&amp;$B1824&amp;$C1824&amp;$D1824&amp;$E1824,".","_"),"(","_"),")","")</f>
        <v>vch802_9_1</v>
      </c>
      <c r="AQ1824" t="str">
        <f>IF(LEN(W1824)=0,"",W1824)</f>
        <v/>
      </c>
      <c r="AR1824" t="str">
        <f>SUBSTITUTE(SUBSTITUTE(SUBSTITUTE("vnt"&amp;$B1824&amp;$C1824&amp;$D1824&amp;$E1824,".","_"),"(","_"),")","")</f>
        <v>vnt802_9_1</v>
      </c>
      <c r="AS1824" t="str">
        <f>IF(LEN(X1824)=0,"",X1824)</f>
        <v/>
      </c>
    </row>
    <row r="1825" spans="1:45" x14ac:dyDescent="0.35">
      <c r="A1825" s="366">
        <v>8</v>
      </c>
      <c r="B1825" s="747" t="s">
        <v>4461</v>
      </c>
      <c r="E1825" s="736"/>
      <c r="G1825" s="366" t="str">
        <f t="shared" ref="G1825:G1831" si="111">G1824</f>
        <v/>
      </c>
      <c r="H1825" s="366" t="s">
        <v>3972</v>
      </c>
      <c r="I1825" s="513"/>
      <c r="J1825" s="481"/>
      <c r="K1825" s="467"/>
      <c r="L1825" s="838"/>
      <c r="M1825" s="40"/>
      <c r="N1825" s="834"/>
      <c r="O1825" s="832"/>
      <c r="X1825" s="817"/>
      <c r="Y1825" s="1120"/>
      <c r="Z1825" s="1109"/>
    </row>
    <row r="1826" spans="1:45" x14ac:dyDescent="0.35">
      <c r="A1826" s="366">
        <v>8</v>
      </c>
      <c r="B1826" s="747" t="s">
        <v>4461</v>
      </c>
      <c r="E1826" s="736"/>
      <c r="G1826" s="366" t="str">
        <f t="shared" si="111"/>
        <v/>
      </c>
      <c r="H1826" s="366" t="s">
        <v>3972</v>
      </c>
      <c r="I1826" s="513"/>
      <c r="J1826" s="481"/>
      <c r="K1826" s="467"/>
      <c r="L1826" s="838"/>
      <c r="M1826" s="40"/>
      <c r="N1826" s="834"/>
      <c r="O1826" s="832"/>
      <c r="X1826" s="817"/>
      <c r="Y1826" s="1120"/>
      <c r="Z1826" s="1109"/>
    </row>
    <row r="1827" spans="1:45" x14ac:dyDescent="0.35">
      <c r="A1827" s="366">
        <v>8</v>
      </c>
      <c r="B1827" s="747" t="s">
        <v>4461</v>
      </c>
      <c r="E1827" s="736"/>
      <c r="G1827" s="366" t="str">
        <f t="shared" si="111"/>
        <v/>
      </c>
      <c r="H1827" s="366" t="s">
        <v>3972</v>
      </c>
      <c r="I1827" s="513"/>
      <c r="J1827" s="481"/>
      <c r="K1827" s="467"/>
      <c r="L1827" s="838"/>
      <c r="M1827" s="40"/>
      <c r="N1827" s="834"/>
      <c r="O1827" s="832"/>
      <c r="X1827" s="817"/>
      <c r="Y1827" s="1120"/>
      <c r="Z1827" s="1109"/>
    </row>
    <row r="1828" spans="1:45" x14ac:dyDescent="0.35">
      <c r="A1828" s="366">
        <v>8</v>
      </c>
      <c r="B1828" s="747" t="s">
        <v>4461</v>
      </c>
      <c r="E1828" s="736"/>
      <c r="G1828" s="366" t="str">
        <f t="shared" si="111"/>
        <v/>
      </c>
      <c r="H1828" s="366" t="s">
        <v>3972</v>
      </c>
      <c r="I1828" s="513"/>
      <c r="J1828" s="481"/>
      <c r="K1828" s="467"/>
      <c r="L1828" s="838"/>
      <c r="M1828" s="40"/>
      <c r="N1828" s="834"/>
      <c r="O1828" s="832"/>
      <c r="X1828" s="817"/>
      <c r="Y1828" s="1120"/>
      <c r="Z1828" s="1109"/>
    </row>
    <row r="1829" spans="1:45" x14ac:dyDescent="0.35">
      <c r="A1829" s="366">
        <v>8</v>
      </c>
      <c r="B1829" s="747" t="s">
        <v>4461</v>
      </c>
      <c r="E1829" s="736"/>
      <c r="G1829" s="366" t="str">
        <f t="shared" si="111"/>
        <v/>
      </c>
      <c r="H1829" s="366" t="s">
        <v>3972</v>
      </c>
      <c r="I1829" s="513"/>
      <c r="J1829" s="481"/>
      <c r="K1829" s="467"/>
      <c r="L1829" s="838"/>
      <c r="M1829" s="40"/>
      <c r="N1829" s="41"/>
      <c r="O1829" s="75"/>
      <c r="X1829" s="817"/>
      <c r="Y1829" s="1120"/>
      <c r="Z1829" s="1109"/>
    </row>
    <row r="1830" spans="1:45" x14ac:dyDescent="0.35">
      <c r="A1830" s="366">
        <v>8</v>
      </c>
      <c r="B1830" s="747" t="s">
        <v>4461</v>
      </c>
      <c r="C1830" s="736" t="s">
        <v>256</v>
      </c>
      <c r="G1830" s="366" t="str">
        <f t="shared" si="111"/>
        <v/>
      </c>
      <c r="H1830" s="366" t="s">
        <v>3972</v>
      </c>
      <c r="I1830" s="513"/>
      <c r="J1830" s="482" t="s">
        <v>256</v>
      </c>
      <c r="K1830" s="472"/>
      <c r="L1830" s="281" t="s">
        <v>4463</v>
      </c>
      <c r="M1830" s="268">
        <v>5</v>
      </c>
      <c r="N1830" s="41"/>
      <c r="O1830" s="75"/>
      <c r="X1830" s="817"/>
      <c r="Y1830" s="1120"/>
      <c r="Z1830" s="1109"/>
      <c r="AL1830" t="str">
        <f>SUBSTITUTE(SUBSTITUTE(SUBSTITUTE("vpa"&amp;$B1830&amp;$C1830&amp;$D1830&amp;$E1830,".","_"),"(","_"),")","")</f>
        <v>vpa802_9_1_1</v>
      </c>
      <c r="AM1830">
        <f>M1830</f>
        <v>5</v>
      </c>
    </row>
    <row r="1831" spans="1:45" x14ac:dyDescent="0.35">
      <c r="A1831" s="366">
        <v>8</v>
      </c>
      <c r="B1831" s="747" t="s">
        <v>4461</v>
      </c>
      <c r="C1831" s="736" t="s">
        <v>258</v>
      </c>
      <c r="G1831" s="366" t="str">
        <f t="shared" si="111"/>
        <v/>
      </c>
      <c r="H1831" s="366" t="s">
        <v>3972</v>
      </c>
      <c r="I1831" s="515"/>
      <c r="J1831" s="482" t="s">
        <v>258</v>
      </c>
      <c r="K1831" s="472"/>
      <c r="L1831" s="281" t="s">
        <v>4464</v>
      </c>
      <c r="M1831" s="268">
        <v>2</v>
      </c>
      <c r="N1831" s="546"/>
      <c r="O1831" s="309"/>
      <c r="X1831" s="817"/>
      <c r="Y1831" s="1117"/>
      <c r="Z1831" s="1103"/>
      <c r="AL1831" t="str">
        <f>SUBSTITUTE(SUBSTITUTE(SUBSTITUTE("vpa"&amp;$B1831&amp;$C1831&amp;$D1831&amp;$E1831,".","_"),"(","_"),")","")</f>
        <v>vpa802_9_1_2</v>
      </c>
      <c r="AM1831">
        <f>M1831</f>
        <v>2</v>
      </c>
    </row>
    <row r="1832" spans="1:45" x14ac:dyDescent="0.35">
      <c r="A1832" s="366">
        <v>8</v>
      </c>
      <c r="B1832" s="747" t="s">
        <v>4465</v>
      </c>
      <c r="C1832" s="736"/>
      <c r="G1832" s="366" t="str">
        <f>IF(N1832&gt;0,"P","")</f>
        <v/>
      </c>
      <c r="H1832" s="366" t="s">
        <v>3972</v>
      </c>
      <c r="I1832" s="513" t="s">
        <v>4465</v>
      </c>
      <c r="J1832" s="481"/>
      <c r="K1832" s="467"/>
      <c r="L1832" s="838" t="s">
        <v>4466</v>
      </c>
      <c r="M1832" s="4"/>
      <c r="N1832" s="963">
        <v>0</v>
      </c>
      <c r="O1832" s="823">
        <f ca="1">IFERROR(INDEX({3,1},MATCH(W1832,INDIRECT(U1832),0)),0)*S1832</f>
        <v>0</v>
      </c>
      <c r="P1832" t="b">
        <v>0</v>
      </c>
      <c r="Q1832" t="b">
        <v>1</v>
      </c>
      <c r="R1832" t="b">
        <v>0</v>
      </c>
      <c r="S1832" t="b">
        <f ca="1">S1643=2</f>
        <v>0</v>
      </c>
      <c r="T1832" t="b">
        <f ca="1">IF(AND(NOT(S1832),LEN(W1832)&gt;0),TRUE,FALSE)</f>
        <v>0</v>
      </c>
      <c r="U1832" t="str">
        <f>SUBSTITUTE(SUBSTITUTE(SUBSTITUTE("dd"&amp;B1832&amp;C1832&amp;D1832&amp;E1832&amp;F1832,".","_"),"(","_"),")","")</f>
        <v>dd802_9_2</v>
      </c>
      <c r="W1832" s="9"/>
      <c r="X1832" s="817"/>
      <c r="Y1832" s="1119" t="str">
        <f>IF(LEN('Ch8'!X203)=0,"None",'Ch8'!X203)</f>
        <v>None</v>
      </c>
      <c r="Z1832" s="1105"/>
      <c r="AC1832" t="b">
        <f ca="1">OR(AD1832:AE1832)</f>
        <v>0</v>
      </c>
      <c r="AD1832" t="b">
        <f ca="1">T1832</f>
        <v>0</v>
      </c>
      <c r="AN1832" t="str">
        <f>SUBSTITUTE(SUBSTITUTE(SUBSTITUTE("vpc"&amp;$B1832&amp;$C1832&amp;$D1832&amp;$E1832,".","_"),"(","_"),")","")</f>
        <v>vpc802_9_2</v>
      </c>
      <c r="AO1832">
        <f ca="1">O1832</f>
        <v>0</v>
      </c>
      <c r="AP1832" t="str">
        <f>SUBSTITUTE(SUBSTITUTE(SUBSTITUTE("vch"&amp;$B1832&amp;$C1832&amp;$D1832&amp;$E1832,".","_"),"(","_"),")","")</f>
        <v>vch802_9_2</v>
      </c>
      <c r="AQ1832" t="str">
        <f>IF(LEN(W1832)=0,"",W1832)</f>
        <v/>
      </c>
      <c r="AR1832" t="str">
        <f>SUBSTITUTE(SUBSTITUTE(SUBSTITUTE("vnt"&amp;$B1832&amp;$C1832&amp;$D1832&amp;$E1832,".","_"),"(","_"),")","")</f>
        <v>vnt802_9_2</v>
      </c>
      <c r="AS1832" t="str">
        <f>IF(LEN(X1832)=0,"",X1832)</f>
        <v/>
      </c>
    </row>
    <row r="1833" spans="1:45" x14ac:dyDescent="0.35">
      <c r="A1833" s="366">
        <v>8</v>
      </c>
      <c r="B1833" s="747" t="s">
        <v>4465</v>
      </c>
      <c r="C1833" s="736"/>
      <c r="G1833" s="366" t="str">
        <f>G1832</f>
        <v/>
      </c>
      <c r="H1833" s="366" t="s">
        <v>3972</v>
      </c>
      <c r="I1833" s="513"/>
      <c r="J1833" s="481"/>
      <c r="K1833" s="467"/>
      <c r="L1833" s="838"/>
      <c r="M1833" s="4"/>
      <c r="N1833" s="834"/>
      <c r="O1833" s="832"/>
      <c r="X1833" s="817"/>
      <c r="Y1833" s="1120"/>
      <c r="Z1833" s="1109"/>
    </row>
    <row r="1834" spans="1:45" x14ac:dyDescent="0.35">
      <c r="A1834" s="366">
        <v>8</v>
      </c>
      <c r="B1834" s="747" t="s">
        <v>4465</v>
      </c>
      <c r="C1834" s="736" t="s">
        <v>256</v>
      </c>
      <c r="G1834" s="366" t="str">
        <f>G1833</f>
        <v/>
      </c>
      <c r="H1834" s="366" t="s">
        <v>3972</v>
      </c>
      <c r="I1834" s="513"/>
      <c r="J1834" s="482" t="s">
        <v>256</v>
      </c>
      <c r="K1834" s="472"/>
      <c r="L1834" s="281" t="s">
        <v>4467</v>
      </c>
      <c r="M1834" s="268">
        <v>3</v>
      </c>
      <c r="N1834" s="41"/>
      <c r="O1834" s="75"/>
      <c r="X1834" s="817"/>
      <c r="Y1834" s="1120"/>
      <c r="Z1834" s="1109"/>
      <c r="AL1834" t="str">
        <f>SUBSTITUTE(SUBSTITUTE(SUBSTITUTE("vpa"&amp;$B1834&amp;$C1834&amp;$D1834&amp;$E1834,".","_"),"(","_"),")","")</f>
        <v>vpa802_9_2_1</v>
      </c>
      <c r="AM1834">
        <f>M1834</f>
        <v>3</v>
      </c>
    </row>
    <row r="1835" spans="1:45" ht="15" thickBot="1" x14ac:dyDescent="0.4">
      <c r="A1835" s="366">
        <v>8</v>
      </c>
      <c r="B1835" s="747" t="s">
        <v>4465</v>
      </c>
      <c r="C1835" s="736" t="s">
        <v>258</v>
      </c>
      <c r="G1835" s="366" t="str">
        <f>G1834</f>
        <v/>
      </c>
      <c r="H1835" s="366" t="s">
        <v>3972</v>
      </c>
      <c r="I1835" s="514"/>
      <c r="J1835" s="491" t="s">
        <v>258</v>
      </c>
      <c r="K1835" s="473"/>
      <c r="L1835" s="486" t="s">
        <v>4468</v>
      </c>
      <c r="M1835" s="270">
        <v>1</v>
      </c>
      <c r="N1835" s="72"/>
      <c r="O1835" s="161"/>
      <c r="P1835" s="55"/>
      <c r="Q1835" s="55"/>
      <c r="R1835" s="55"/>
      <c r="S1835" s="55"/>
      <c r="T1835" s="55"/>
      <c r="U1835" s="55"/>
      <c r="V1835" s="55"/>
      <c r="W1835" s="64"/>
      <c r="X1835" s="829"/>
      <c r="Y1835" s="1121"/>
      <c r="Z1835" s="1108"/>
      <c r="AL1835" t="str">
        <f>SUBSTITUTE(SUBSTITUTE(SUBSTITUTE("vpa"&amp;$B1835&amp;$C1835&amp;$D1835&amp;$E1835,".","_"),"(","_"),")","")</f>
        <v>vpa802_9_2_2</v>
      </c>
      <c r="AM1835">
        <f>M1835</f>
        <v>1</v>
      </c>
    </row>
    <row r="1836" spans="1:45" ht="15" thickTop="1" x14ac:dyDescent="0.35">
      <c r="A1836" s="366">
        <v>8</v>
      </c>
      <c r="B1836" s="747">
        <v>802.1</v>
      </c>
      <c r="C1836" s="736"/>
      <c r="G1836" s="366" t="s">
        <v>3973</v>
      </c>
      <c r="H1836" s="366" t="s">
        <v>3972</v>
      </c>
      <c r="I1836" s="513" t="s">
        <v>4473</v>
      </c>
      <c r="J1836" s="481"/>
      <c r="K1836" s="467"/>
      <c r="L1836" s="487" t="s">
        <v>4469</v>
      </c>
      <c r="M1836" s="40"/>
      <c r="N1836" s="41"/>
      <c r="O1836" s="75"/>
    </row>
    <row r="1837" spans="1:45" x14ac:dyDescent="0.35">
      <c r="A1837" s="366">
        <v>8</v>
      </c>
      <c r="B1837" s="747" t="s">
        <v>4470</v>
      </c>
      <c r="C1837" s="736"/>
      <c r="G1837" s="366" t="s">
        <v>3973</v>
      </c>
      <c r="H1837" s="366" t="s">
        <v>3972</v>
      </c>
      <c r="I1837" s="513" t="s">
        <v>4470</v>
      </c>
      <c r="J1837" s="481"/>
      <c r="K1837" s="467"/>
      <c r="L1837" s="838" t="s">
        <v>4471</v>
      </c>
      <c r="M1837" s="885" t="str">
        <f>IF(R1837,"Mandatory","N/A")</f>
        <v>Mandatory</v>
      </c>
      <c r="N1837" s="4"/>
      <c r="O1837" s="75"/>
      <c r="P1837" t="b">
        <v>0</v>
      </c>
      <c r="Q1837" t="b">
        <v>1</v>
      </c>
      <c r="R1837" t="b">
        <f>S1837</f>
        <v>1</v>
      </c>
      <c r="S1837" t="b">
        <v>1</v>
      </c>
      <c r="T1837" t="b">
        <f>IF(AND(NOT(S1837),LEN(W1837)&gt;0),TRUE,FALSE)</f>
        <v>0</v>
      </c>
      <c r="U1837" t="str">
        <f>SUBSTITUTE(SUBSTITUTE(SUBSTITUTE("dd"&amp;B1837&amp;C1837&amp;D1837&amp;E1837&amp;F1837,".","_"),"(","_"),")","")</f>
        <v>dd802_10_1</v>
      </c>
      <c r="W1837" s="9"/>
      <c r="X1837" s="817"/>
      <c r="Y1837" s="1100" t="str">
        <f>IF(LEN('Ch8'!X208)=0,"None",'Ch8'!X208)</f>
        <v>None</v>
      </c>
      <c r="AC1837" t="b">
        <f>OR(AD1837:AE1837)</f>
        <v>1</v>
      </c>
      <c r="AD1837" t="b">
        <f>T1837</f>
        <v>0</v>
      </c>
      <c r="AE1837" t="b">
        <f>AND(R1837,NOT(W1837="Met"),NOT(W1837="N/A"))</f>
        <v>1</v>
      </c>
      <c r="AL1837" t="str">
        <f>SUBSTITUTE(SUBSTITUTE(SUBSTITUTE("vpa"&amp;$B1837&amp;$C1837&amp;$D1837&amp;$E1837,".","_"),"(","_"),")","")</f>
        <v>vpa802_10_1</v>
      </c>
      <c r="AM1837" t="str">
        <f>M1837</f>
        <v>Mandatory</v>
      </c>
      <c r="AP1837" t="str">
        <f>SUBSTITUTE(SUBSTITUTE(SUBSTITUTE("vch"&amp;$B1837&amp;$C1837&amp;$D1837&amp;$E1837,".","_"),"(","_"),")","")</f>
        <v>vch802_10_1</v>
      </c>
      <c r="AQ1837" t="str">
        <f>IF(LEN(W1837)=0,"",W1837)</f>
        <v/>
      </c>
      <c r="AR1837" t="str">
        <f>SUBSTITUTE(SUBSTITUTE(SUBSTITUTE("vnt"&amp;$B1837&amp;$C1837&amp;$D1837&amp;$E1837,".","_"),"(","_"),")","")</f>
        <v>vnt802_10_1</v>
      </c>
      <c r="AS1837" t="str">
        <f>IF(LEN(X1837)=0,"",X1837)</f>
        <v/>
      </c>
    </row>
    <row r="1838" spans="1:45" x14ac:dyDescent="0.35">
      <c r="A1838" s="366">
        <v>8</v>
      </c>
      <c r="B1838" s="747" t="s">
        <v>4470</v>
      </c>
      <c r="C1838" s="736"/>
      <c r="G1838" s="366" t="s">
        <v>3973</v>
      </c>
      <c r="H1838" s="366" t="s">
        <v>3972</v>
      </c>
      <c r="I1838" s="513"/>
      <c r="J1838" s="481"/>
      <c r="K1838" s="467"/>
      <c r="L1838" s="838"/>
      <c r="M1838" s="885"/>
      <c r="N1838" s="4"/>
      <c r="O1838" s="75"/>
      <c r="X1838" s="817"/>
      <c r="Y1838" s="1100"/>
    </row>
    <row r="1839" spans="1:45" x14ac:dyDescent="0.35">
      <c r="A1839" s="366">
        <v>8</v>
      </c>
      <c r="B1839" s="747" t="s">
        <v>4470</v>
      </c>
      <c r="C1839" s="736"/>
      <c r="G1839" s="366" t="s">
        <v>3973</v>
      </c>
      <c r="H1839" s="366" t="s">
        <v>3972</v>
      </c>
      <c r="I1839" s="513"/>
      <c r="J1839" s="481"/>
      <c r="K1839" s="467"/>
      <c r="L1839" s="838"/>
      <c r="M1839" s="885"/>
      <c r="N1839" s="4"/>
      <c r="O1839" s="75"/>
      <c r="X1839" s="817"/>
      <c r="Y1839" s="1100"/>
    </row>
    <row r="1840" spans="1:45" x14ac:dyDescent="0.35">
      <c r="A1840" s="366">
        <v>8</v>
      </c>
      <c r="B1840" s="747" t="s">
        <v>4470</v>
      </c>
      <c r="C1840" s="736" t="s">
        <v>256</v>
      </c>
      <c r="G1840" s="366" t="str">
        <f ca="1">IF(N1840&gt;0,"P","")</f>
        <v/>
      </c>
      <c r="H1840" s="366" t="s">
        <v>3972</v>
      </c>
      <c r="I1840" s="513"/>
      <c r="J1840" s="481" t="s">
        <v>256</v>
      </c>
      <c r="K1840" s="467"/>
      <c r="L1840" s="266" t="s">
        <v>4472</v>
      </c>
      <c r="M1840" s="40">
        <v>10</v>
      </c>
      <c r="N1840" s="41">
        <f ca="1">'Ch8'!O211</f>
        <v>0</v>
      </c>
      <c r="O1840" s="75">
        <f ca="1">M1840*W1840*S1840</f>
        <v>0</v>
      </c>
      <c r="P1840" t="b">
        <v>0</v>
      </c>
      <c r="Q1840" t="b">
        <v>1</v>
      </c>
      <c r="R1840" t="b">
        <v>0</v>
      </c>
      <c r="S1840" t="b">
        <f ca="1">S1643=2</f>
        <v>0</v>
      </c>
      <c r="T1840" t="b">
        <f ca="1">IF(AND(NOT(S1840),W1840=TRUE),TRUE,FALSE)</f>
        <v>0</v>
      </c>
      <c r="W1840" s="17"/>
      <c r="X1840" s="36"/>
      <c r="Y1840" s="396" t="str">
        <f>IF(LEN('Ch8'!X211)=0,"None",'Ch8'!X211)</f>
        <v>None</v>
      </c>
      <c r="Z1840" s="652"/>
      <c r="AC1840" t="b">
        <f ca="1">OR(AD1840:AE1840)</f>
        <v>0</v>
      </c>
      <c r="AD1840" t="b">
        <f ca="1">T1840</f>
        <v>0</v>
      </c>
      <c r="AL1840" t="str">
        <f>SUBSTITUTE(SUBSTITUTE(SUBSTITUTE("vpa"&amp;$B1840&amp;$C1840&amp;$D1840&amp;$E1840,".","_"),"(","_"),")","")</f>
        <v>vpa802_10_1_1</v>
      </c>
      <c r="AM1840">
        <f>M1840</f>
        <v>10</v>
      </c>
      <c r="AN1840" t="str">
        <f>SUBSTITUTE(SUBSTITUTE(SUBSTITUTE("vpc"&amp;$B1840&amp;$C1840&amp;$D1840&amp;$E1840,".","_"),"(","_"),")","")</f>
        <v>vpc802_10_1_1</v>
      </c>
      <c r="AO1840">
        <f ca="1">O1840</f>
        <v>0</v>
      </c>
      <c r="AP1840" t="str">
        <f>SUBSTITUTE(SUBSTITUTE(SUBSTITUTE("vch"&amp;$B1840&amp;$C1840&amp;$D1840&amp;$E1840,".","_"),"(","_"),")","")</f>
        <v>vch802_10_1_1</v>
      </c>
      <c r="AQ1840" t="str">
        <f>IF(LEN(W1840)=0,"",W1840)</f>
        <v/>
      </c>
      <c r="AR1840" t="str">
        <f>SUBSTITUTE(SUBSTITUTE(SUBSTITUTE("vnt"&amp;$B1840&amp;$C1840&amp;$D1840&amp;$E1840,".","_"),"(","_"),")","")</f>
        <v>vnt802_10_1_1</v>
      </c>
      <c r="AS1840" t="str">
        <f>IF(LEN(X1840)=0,"",X1840)</f>
        <v/>
      </c>
    </row>
    <row r="1841" spans="1:45" ht="18.5" x14ac:dyDescent="0.45">
      <c r="A1841" s="366">
        <v>8</v>
      </c>
      <c r="B1841" s="738">
        <v>803</v>
      </c>
      <c r="C1841" s="731"/>
      <c r="D1841" s="731"/>
      <c r="E1841" s="731"/>
      <c r="F1841" s="731"/>
      <c r="G1841" s="366" t="s">
        <v>3973</v>
      </c>
      <c r="H1841" s="366" t="s">
        <v>3970</v>
      </c>
      <c r="I1841" s="10" t="s">
        <v>4386</v>
      </c>
      <c r="J1841" s="10"/>
      <c r="K1841" s="15"/>
      <c r="L1841" s="151"/>
      <c r="M1841" s="307"/>
      <c r="N1841" s="544"/>
      <c r="O1841" s="307"/>
      <c r="P1841" s="15"/>
      <c r="Q1841" s="15"/>
      <c r="R1841" s="15"/>
      <c r="S1841" s="15"/>
      <c r="T1841" s="15"/>
      <c r="U1841" s="15"/>
      <c r="V1841" s="15"/>
      <c r="W1841" s="15"/>
      <c r="X1841" s="15"/>
      <c r="Y1841" s="15"/>
      <c r="Z1841" s="651"/>
    </row>
    <row r="1842" spans="1:45" ht="15" customHeight="1" x14ac:dyDescent="0.35">
      <c r="A1842" s="366">
        <v>8</v>
      </c>
      <c r="B1842" s="738">
        <v>803.1</v>
      </c>
      <c r="C1842" s="731"/>
      <c r="D1842" s="731"/>
      <c r="E1842" s="731"/>
      <c r="F1842" s="731"/>
      <c r="G1842" s="366" t="str">
        <f ca="1">IF(N1842&gt;0,"P","")</f>
        <v/>
      </c>
      <c r="H1842" s="366" t="s">
        <v>3970</v>
      </c>
      <c r="I1842" s="30">
        <v>803.1</v>
      </c>
      <c r="J1842" s="93"/>
      <c r="K1842" s="4"/>
      <c r="L1842" s="838" t="s">
        <v>4387</v>
      </c>
      <c r="M1842" s="40"/>
      <c r="N1842" s="834">
        <f ca="1">'Ch8'!O213</f>
        <v>0</v>
      </c>
      <c r="O1842" s="832">
        <f ca="1">MAX(IFERROR(5*MATCH(W1846,INDIRECT(U1846),0),0)*S1846,M1848*S1848*W1848)*S1846</f>
        <v>0</v>
      </c>
      <c r="AN1842" t="str">
        <f>SUBSTITUTE(SUBSTITUTE(SUBSTITUTE("vpc"&amp;$B1842&amp;$C1842&amp;$D1842&amp;$E1842,".","_"),"(","_"),")","")</f>
        <v>vpc803_1</v>
      </c>
      <c r="AO1842">
        <f ca="1">O1842</f>
        <v>0</v>
      </c>
    </row>
    <row r="1843" spans="1:45" x14ac:dyDescent="0.35">
      <c r="A1843" s="366">
        <v>8</v>
      </c>
      <c r="B1843" s="738">
        <v>803.1</v>
      </c>
      <c r="C1843" s="731"/>
      <c r="D1843" s="731"/>
      <c r="E1843" s="731"/>
      <c r="F1843" s="731"/>
      <c r="G1843" s="366" t="str">
        <f t="shared" ref="G1843:G1848" ca="1" si="112">G1842</f>
        <v/>
      </c>
      <c r="H1843" s="366" t="s">
        <v>3970</v>
      </c>
      <c r="I1843" s="30"/>
      <c r="J1843" s="93"/>
      <c r="K1843" s="4"/>
      <c r="L1843" s="838"/>
      <c r="M1843" s="40"/>
      <c r="N1843" s="834"/>
      <c r="O1843" s="832"/>
    </row>
    <row r="1844" spans="1:45" x14ac:dyDescent="0.35">
      <c r="A1844" s="366">
        <v>8</v>
      </c>
      <c r="B1844" s="738">
        <v>803.1</v>
      </c>
      <c r="C1844" s="731"/>
      <c r="D1844" s="731"/>
      <c r="E1844" s="731"/>
      <c r="F1844" s="731"/>
      <c r="G1844" s="366" t="str">
        <f t="shared" ca="1" si="112"/>
        <v/>
      </c>
      <c r="H1844" s="366" t="s">
        <v>3970</v>
      </c>
      <c r="I1844" s="30"/>
      <c r="J1844" s="4"/>
      <c r="K1844" s="4"/>
      <c r="L1844" s="92" t="s">
        <v>4474</v>
      </c>
      <c r="M1844" s="40"/>
      <c r="N1844" s="834"/>
      <c r="O1844" s="832"/>
    </row>
    <row r="1845" spans="1:45" x14ac:dyDescent="0.35">
      <c r="A1845" s="366">
        <v>8</v>
      </c>
      <c r="B1845" s="738">
        <v>803.1</v>
      </c>
      <c r="C1845" s="731"/>
      <c r="D1845" s="731"/>
      <c r="E1845" s="731"/>
      <c r="F1845" s="731"/>
      <c r="G1845" s="366" t="str">
        <f t="shared" ca="1" si="112"/>
        <v/>
      </c>
      <c r="H1845" s="366" t="s">
        <v>3970</v>
      </c>
      <c r="I1845" s="30"/>
      <c r="J1845" s="4"/>
      <c r="K1845" s="4"/>
      <c r="L1845" s="92" t="s">
        <v>4475</v>
      </c>
      <c r="M1845" s="40"/>
      <c r="N1845" s="41"/>
      <c r="O1845" s="75"/>
    </row>
    <row r="1846" spans="1:45" ht="15" customHeight="1" x14ac:dyDescent="0.35">
      <c r="A1846" s="366">
        <v>8</v>
      </c>
      <c r="B1846" s="738">
        <v>803.1</v>
      </c>
      <c r="C1846" s="731" t="s">
        <v>256</v>
      </c>
      <c r="D1846" s="731"/>
      <c r="E1846" s="731"/>
      <c r="F1846" s="731"/>
      <c r="G1846" s="366" t="str">
        <f t="shared" ca="1" si="112"/>
        <v/>
      </c>
      <c r="H1846" s="366" t="s">
        <v>3970</v>
      </c>
      <c r="I1846" s="30"/>
      <c r="J1846" s="19" t="s">
        <v>256</v>
      </c>
      <c r="K1846" s="4"/>
      <c r="L1846" s="90" t="s">
        <v>808</v>
      </c>
      <c r="M1846" s="843" t="s">
        <v>3612</v>
      </c>
      <c r="N1846" s="41"/>
      <c r="O1846" s="75"/>
      <c r="P1846" t="b">
        <v>1</v>
      </c>
      <c r="Q1846" t="b">
        <v>1</v>
      </c>
      <c r="R1846" t="b">
        <v>0</v>
      </c>
      <c r="S1846" t="b">
        <f ca="1">AND(NOT(W1862),S1643=2)</f>
        <v>0</v>
      </c>
      <c r="T1846" t="b">
        <f ca="1">IF(AND(NOT(S1846),LEN(W1846)&gt;0),TRUE,FALSE)</f>
        <v>0</v>
      </c>
      <c r="U1846" t="str">
        <f>SUBSTITUTE(SUBSTITUTE(SUBSTITUTE("dd"&amp;B1846&amp;C1846&amp;D1846&amp;E1846&amp;F1846,".","_"),"(","_"),")","")</f>
        <v>dd803_1_1</v>
      </c>
      <c r="W1846" s="9"/>
      <c r="X1846" s="817"/>
      <c r="Y1846" s="1100" t="str">
        <f>IF(LEN('Ch8'!X217)=0,"None",'Ch8'!X217)</f>
        <v>None</v>
      </c>
      <c r="Z1846" s="1102"/>
      <c r="AC1846" t="b">
        <f ca="1">OR(AD1846:AE1846)</f>
        <v>0</v>
      </c>
      <c r="AD1846" t="b">
        <f ca="1">T1846</f>
        <v>0</v>
      </c>
      <c r="AL1846" t="str">
        <f>SUBSTITUTE(SUBSTITUTE(SUBSTITUTE("vpa"&amp;$B1846&amp;$C1846&amp;$D1846&amp;$E1846,".","_"),"(","_"),")","")</f>
        <v>vpa803_1_1</v>
      </c>
      <c r="AM1846" t="str">
        <f>M1846</f>
        <v>5
20 Max</v>
      </c>
      <c r="AP1846" t="str">
        <f>SUBSTITUTE(SUBSTITUTE(SUBSTITUTE("vch"&amp;$B1846&amp;$C1846&amp;$D1846&amp;$E1846,".","_"),"(","_"),")","")</f>
        <v>vch803_1_1</v>
      </c>
      <c r="AQ1846" t="str">
        <f>IF(LEN(W1846)=0,"",W1846)</f>
        <v/>
      </c>
      <c r="AR1846" t="str">
        <f>SUBSTITUTE(SUBSTITUTE(SUBSTITUTE("vnt"&amp;$B1846&amp;$C1846&amp;$D1846&amp;$E1846,".","_"),"(","_"),")","")</f>
        <v>vnt803_1_1</v>
      </c>
      <c r="AS1846" t="str">
        <f>IF(LEN(X1846)=0,"",X1846)</f>
        <v/>
      </c>
    </row>
    <row r="1847" spans="1:45" x14ac:dyDescent="0.35">
      <c r="A1847" s="366">
        <v>8</v>
      </c>
      <c r="B1847" s="738">
        <v>803.1</v>
      </c>
      <c r="C1847" s="731" t="s">
        <v>256</v>
      </c>
      <c r="D1847" s="731"/>
      <c r="E1847" s="731"/>
      <c r="F1847" s="731"/>
      <c r="G1847" s="366" t="str">
        <f t="shared" ca="1" si="112"/>
        <v/>
      </c>
      <c r="H1847" s="366" t="s">
        <v>3970</v>
      </c>
      <c r="I1847" s="30"/>
      <c r="J1847" s="133"/>
      <c r="K1847" s="133"/>
      <c r="L1847" s="142" t="s">
        <v>809</v>
      </c>
      <c r="M1847" s="819"/>
      <c r="N1847" s="41"/>
      <c r="O1847" s="75"/>
      <c r="X1847" s="817"/>
      <c r="Y1847" s="1100"/>
      <c r="Z1847" s="1102"/>
    </row>
    <row r="1848" spans="1:45" ht="15" thickBot="1" x14ac:dyDescent="0.4">
      <c r="A1848" s="366">
        <v>8</v>
      </c>
      <c r="B1848" s="738">
        <v>803.1</v>
      </c>
      <c r="C1848" s="731" t="s">
        <v>258</v>
      </c>
      <c r="D1848" s="731"/>
      <c r="E1848" s="731"/>
      <c r="F1848" s="731"/>
      <c r="G1848" s="366" t="str">
        <f t="shared" ca="1" si="112"/>
        <v/>
      </c>
      <c r="H1848" s="366" t="s">
        <v>3970</v>
      </c>
      <c r="I1848" s="114"/>
      <c r="J1848" s="115" t="s">
        <v>258</v>
      </c>
      <c r="K1848" s="160"/>
      <c r="L1848" s="229" t="s">
        <v>810</v>
      </c>
      <c r="M1848" s="270">
        <v>10</v>
      </c>
      <c r="N1848" s="72"/>
      <c r="O1848" s="161"/>
      <c r="P1848" t="b">
        <v>1</v>
      </c>
      <c r="Q1848" t="b">
        <v>1</v>
      </c>
      <c r="R1848" s="55" t="b">
        <v>0</v>
      </c>
      <c r="S1848" s="55" t="b">
        <f ca="1">AND(NOT(W1862),S1643=2)</f>
        <v>0</v>
      </c>
      <c r="T1848" s="55" t="b">
        <f ca="1">IF(AND(NOT(S1848),W1848=TRUE),TRUE,FALSE)</f>
        <v>0</v>
      </c>
      <c r="U1848" s="55"/>
      <c r="V1848" s="55"/>
      <c r="W1848" s="17"/>
      <c r="X1848" s="98"/>
      <c r="Y1848" s="397" t="str">
        <f>IF(LEN('Ch8'!X219)=0,"None",'Ch8'!X219)</f>
        <v>None</v>
      </c>
      <c r="Z1848" s="658"/>
      <c r="AC1848" t="b">
        <f ca="1">OR(AD1848:AE1848)</f>
        <v>0</v>
      </c>
      <c r="AD1848" t="b">
        <f ca="1">T1848</f>
        <v>0</v>
      </c>
      <c r="AL1848" t="str">
        <f>SUBSTITUTE(SUBSTITUTE(SUBSTITUTE("vpa"&amp;$B1848&amp;$C1848&amp;$D1848&amp;$E1848,".","_"),"(","_"),")","")</f>
        <v>vpa803_1_2</v>
      </c>
      <c r="AM1848">
        <f>M1848</f>
        <v>10</v>
      </c>
      <c r="AP1848" t="str">
        <f>SUBSTITUTE(SUBSTITUTE(SUBSTITUTE("vch"&amp;$B1848&amp;$C1848&amp;$D1848&amp;$E1848,".","_"),"(","_"),")","")</f>
        <v>vch803_1_2</v>
      </c>
      <c r="AQ1848" t="str">
        <f>IF(LEN(W1848)=0,"",W1848)</f>
        <v/>
      </c>
      <c r="AR1848" t="str">
        <f>SUBSTITUTE(SUBSTITUTE(SUBSTITUTE("vnt"&amp;$B1848&amp;$C1848&amp;$D1848&amp;$E1848,".","_"),"(","_"),")","")</f>
        <v>vnt803_1_2</v>
      </c>
      <c r="AS1848" t="str">
        <f>IF(LEN(X1848)=0,"",X1848)</f>
        <v/>
      </c>
    </row>
    <row r="1849" spans="1:45" ht="15.75" customHeight="1" thickTop="1" x14ac:dyDescent="0.35">
      <c r="A1849" s="366">
        <v>8</v>
      </c>
      <c r="B1849" s="738">
        <v>803.2</v>
      </c>
      <c r="C1849" s="731"/>
      <c r="D1849" s="731"/>
      <c r="E1849" s="731"/>
      <c r="F1849" s="731"/>
      <c r="G1849" s="366" t="str">
        <f>IF(N1849&gt;0,"P","")</f>
        <v/>
      </c>
      <c r="H1849" s="366" t="s">
        <v>3970</v>
      </c>
      <c r="I1849" s="106">
        <v>803.2</v>
      </c>
      <c r="J1849" s="507"/>
      <c r="K1849" s="107"/>
      <c r="L1849" s="837" t="s">
        <v>4388</v>
      </c>
      <c r="M1849" s="892" t="s">
        <v>811</v>
      </c>
      <c r="N1849" s="959">
        <f>'Ch8'!O220</f>
        <v>0</v>
      </c>
      <c r="O1849" s="831">
        <f>W1850*3</f>
        <v>0</v>
      </c>
      <c r="P1849" s="59"/>
      <c r="Q1849" s="59"/>
      <c r="R1849" s="59"/>
      <c r="S1849" s="59"/>
      <c r="T1849" s="59"/>
      <c r="U1849" s="59"/>
      <c r="V1849" s="59"/>
      <c r="W1849" s="59" t="s">
        <v>3611</v>
      </c>
      <c r="X1849" s="840"/>
      <c r="Y1849" s="1118" t="str">
        <f>IF(LEN('Ch8'!X220)=0,"None",'Ch8'!X220)</f>
        <v>None</v>
      </c>
      <c r="Z1849" s="1106"/>
      <c r="AL1849" t="str">
        <f>SUBSTITUTE(SUBSTITUTE(SUBSTITUTE("vpa"&amp;$B1849&amp;$C1849&amp;$D1849&amp;$E1849,".","_"),"(","_"),")","")</f>
        <v>vpa803_2</v>
      </c>
      <c r="AM1849" t="str">
        <f>M1849</f>
        <v>3 per roughed in system</v>
      </c>
      <c r="AN1849" t="str">
        <f>SUBSTITUTE(SUBSTITUTE(SUBSTITUTE("vpc"&amp;$B1849&amp;$C1849&amp;$D1849&amp;$E1849,".","_"),"(","_"),")","")</f>
        <v>vpc803_2</v>
      </c>
      <c r="AO1849">
        <f>O1849</f>
        <v>0</v>
      </c>
      <c r="AR1849" t="str">
        <f>SUBSTITUTE(SUBSTITUTE(SUBSTITUTE("vnt"&amp;$B1849&amp;$C1849&amp;$D1849&amp;$E1849,".","_"),"(","_"),")","")</f>
        <v>vnt803_2</v>
      </c>
      <c r="AS1849" t="str">
        <f>IF(LEN(X1849)=0,"",X1849)</f>
        <v/>
      </c>
    </row>
    <row r="1850" spans="1:45" x14ac:dyDescent="0.35">
      <c r="A1850" s="366">
        <v>8</v>
      </c>
      <c r="B1850" s="738">
        <v>803.2</v>
      </c>
      <c r="C1850" s="731"/>
      <c r="D1850" s="731"/>
      <c r="E1850" s="731"/>
      <c r="F1850" s="731"/>
      <c r="G1850" s="366" t="str">
        <f>G1849</f>
        <v/>
      </c>
      <c r="H1850" s="366" t="s">
        <v>3970</v>
      </c>
      <c r="I1850" s="30"/>
      <c r="J1850" s="93"/>
      <c r="K1850" s="4"/>
      <c r="L1850" s="838"/>
      <c r="M1850" s="843"/>
      <c r="N1850" s="834"/>
      <c r="O1850" s="832"/>
      <c r="P1850" t="b">
        <v>1</v>
      </c>
      <c r="Q1850" t="b">
        <v>1</v>
      </c>
      <c r="R1850" t="b">
        <v>0</v>
      </c>
      <c r="S1850" t="b">
        <f ca="1">S1643=2</f>
        <v>0</v>
      </c>
      <c r="T1850" t="b">
        <f ca="1">IF(AND(NOT(S1850),LEN(W1850)&gt;0),TRUE,FALSE)</f>
        <v>0</v>
      </c>
      <c r="W1850" s="237"/>
      <c r="X1850" s="817"/>
      <c r="Y1850" s="1100"/>
      <c r="Z1850" s="1102"/>
      <c r="AC1850" t="b">
        <f ca="1">OR(AD1850:AE1850)</f>
        <v>0</v>
      </c>
      <c r="AD1850" t="b">
        <f ca="1">T1850</f>
        <v>0</v>
      </c>
      <c r="AP1850" t="str">
        <f>SUBSTITUTE(SUBSTITUTE(SUBSTITUTE("vch"&amp;$B1850&amp;$C1850&amp;$D1850&amp;$E1850,".","_"),"(","_"),")","")</f>
        <v>vch803_2</v>
      </c>
      <c r="AQ1850" t="str">
        <f>IF(LEN(W1850)=0,"",W1850)</f>
        <v/>
      </c>
    </row>
    <row r="1851" spans="1:45" ht="15" thickBot="1" x14ac:dyDescent="0.4">
      <c r="A1851" s="366">
        <v>8</v>
      </c>
      <c r="B1851" s="738">
        <v>803.2</v>
      </c>
      <c r="C1851" s="731"/>
      <c r="D1851" s="731"/>
      <c r="E1851" s="731"/>
      <c r="F1851" s="731"/>
      <c r="G1851" s="366" t="str">
        <f>G1850</f>
        <v/>
      </c>
      <c r="H1851" s="366" t="s">
        <v>3970</v>
      </c>
      <c r="I1851" s="114"/>
      <c r="J1851" s="294"/>
      <c r="K1851" s="160"/>
      <c r="L1851" s="849"/>
      <c r="M1851" s="945"/>
      <c r="N1851" s="863"/>
      <c r="O1851" s="833"/>
      <c r="P1851" s="55"/>
      <c r="Q1851" s="55"/>
      <c r="R1851" s="55"/>
      <c r="S1851" s="55"/>
      <c r="T1851" s="55"/>
      <c r="U1851" s="55"/>
      <c r="V1851" s="55"/>
      <c r="W1851" s="55"/>
      <c r="X1851" s="829"/>
      <c r="Y1851" s="1101"/>
      <c r="Z1851" s="1104"/>
    </row>
    <row r="1852" spans="1:45" ht="15.75" customHeight="1" thickTop="1" x14ac:dyDescent="0.35">
      <c r="A1852" s="366">
        <v>8</v>
      </c>
      <c r="B1852" s="738">
        <v>803.3</v>
      </c>
      <c r="C1852" s="731"/>
      <c r="D1852" s="731"/>
      <c r="E1852" s="731"/>
      <c r="F1852" s="731"/>
      <c r="G1852" s="366" t="str">
        <f ca="1">IF(N1852&gt;0,"P","")</f>
        <v/>
      </c>
      <c r="H1852" s="366" t="s">
        <v>3972</v>
      </c>
      <c r="I1852" s="30">
        <v>803.3</v>
      </c>
      <c r="J1852" s="93"/>
      <c r="K1852" s="4"/>
      <c r="L1852" s="838" t="s">
        <v>4476</v>
      </c>
      <c r="M1852" s="818">
        <v>2</v>
      </c>
      <c r="N1852" s="834">
        <f ca="1">'Ch8'!O223</f>
        <v>0</v>
      </c>
      <c r="O1852" s="832">
        <f ca="1">2*(LEN(W1852)&gt;0)*S1852</f>
        <v>0</v>
      </c>
      <c r="P1852" t="b">
        <v>0</v>
      </c>
      <c r="Q1852" t="b">
        <v>1</v>
      </c>
      <c r="R1852" t="b">
        <v>0</v>
      </c>
      <c r="S1852" t="b">
        <f ca="1">S1643=2</f>
        <v>0</v>
      </c>
      <c r="T1852" t="b">
        <f ca="1">IF(AND(NOT(S1852),LEN(W1852)&gt;0),TRUE,FALSE)</f>
        <v>0</v>
      </c>
      <c r="U1852" t="str">
        <f>SUBSTITUTE(SUBSTITUTE(SUBSTITUTE("dd"&amp;B1852&amp;C1852&amp;D1852&amp;E1852&amp;F1852,".","_"),"(","_"),")","")</f>
        <v>dd803_3</v>
      </c>
      <c r="W1852" s="9"/>
      <c r="X1852" s="817"/>
      <c r="Y1852" s="1118" t="str">
        <f>IF(LEN('Ch8'!X223)=0,"None",'Ch8'!X223)</f>
        <v>None</v>
      </c>
      <c r="Z1852" s="1102"/>
      <c r="AC1852" t="b">
        <f ca="1">OR(AD1852:AE1852)</f>
        <v>0</v>
      </c>
      <c r="AD1852" t="b">
        <f ca="1">T1852</f>
        <v>0</v>
      </c>
      <c r="AL1852" t="str">
        <f>SUBSTITUTE(SUBSTITUTE(SUBSTITUTE("vpa"&amp;$B1852&amp;$C1852&amp;$D1852&amp;$E1852,".","_"),"(","_"),")","")</f>
        <v>vpa803_3</v>
      </c>
      <c r="AM1852">
        <f>M1852</f>
        <v>2</v>
      </c>
      <c r="AN1852" t="str">
        <f>SUBSTITUTE(SUBSTITUTE(SUBSTITUTE("vpc"&amp;$B1852&amp;$C1852&amp;$D1852&amp;$E1852,".","_"),"(","_"),")","")</f>
        <v>vpc803_3</v>
      </c>
      <c r="AO1852">
        <f ca="1">O1852</f>
        <v>0</v>
      </c>
      <c r="AP1852" t="str">
        <f>SUBSTITUTE(SUBSTITUTE(SUBSTITUTE("vch"&amp;$B1852&amp;$C1852&amp;$D1852&amp;$E1852,".","_"),"(","_"),")","")</f>
        <v>vch803_3</v>
      </c>
      <c r="AQ1852" t="str">
        <f>IF(LEN(W1852)=0,"",W1852)</f>
        <v/>
      </c>
      <c r="AR1852" t="str">
        <f>SUBSTITUTE(SUBSTITUTE(SUBSTITUTE("vnt"&amp;$B1852&amp;$C1852&amp;$D1852&amp;$E1852,".","_"),"(","_"),")","")</f>
        <v>vnt803_3</v>
      </c>
      <c r="AS1852" t="str">
        <f>IF(LEN(X1852)=0,"",X1852)</f>
        <v/>
      </c>
    </row>
    <row r="1853" spans="1:45" x14ac:dyDescent="0.35">
      <c r="A1853" s="366">
        <v>8</v>
      </c>
      <c r="B1853" s="738">
        <v>803.3</v>
      </c>
      <c r="C1853" s="731"/>
      <c r="D1853" s="731"/>
      <c r="E1853" s="731"/>
      <c r="F1853" s="731"/>
      <c r="G1853" s="366" t="str">
        <f ca="1">G1852</f>
        <v/>
      </c>
      <c r="H1853" s="366" t="s">
        <v>3972</v>
      </c>
      <c r="I1853" s="30"/>
      <c r="J1853" s="93"/>
      <c r="K1853" s="4"/>
      <c r="L1853" s="838"/>
      <c r="M1853" s="818"/>
      <c r="N1853" s="834"/>
      <c r="O1853" s="832"/>
      <c r="X1853" s="817"/>
      <c r="Y1853" s="1100"/>
      <c r="Z1853" s="1102"/>
    </row>
    <row r="1854" spans="1:45" x14ac:dyDescent="0.35">
      <c r="A1854" s="366">
        <v>8</v>
      </c>
      <c r="B1854" s="738">
        <v>803.3</v>
      </c>
      <c r="C1854" s="731"/>
      <c r="D1854" s="731"/>
      <c r="E1854" s="731"/>
      <c r="F1854" s="731"/>
      <c r="G1854" s="366" t="str">
        <f ca="1">G1853</f>
        <v/>
      </c>
      <c r="H1854" s="366" t="s">
        <v>3972</v>
      </c>
      <c r="I1854" s="30"/>
      <c r="J1854" s="93"/>
      <c r="K1854" s="4"/>
      <c r="L1854" s="838"/>
      <c r="M1854" s="818"/>
      <c r="N1854" s="834"/>
      <c r="O1854" s="832"/>
      <c r="X1854" s="817"/>
      <c r="Y1854" s="1100"/>
      <c r="Z1854" s="1102"/>
    </row>
    <row r="1855" spans="1:45" x14ac:dyDescent="0.35">
      <c r="A1855" s="366">
        <v>8</v>
      </c>
      <c r="B1855" s="738">
        <v>803.3</v>
      </c>
      <c r="C1855" s="731" t="s">
        <v>256</v>
      </c>
      <c r="D1855" s="731"/>
      <c r="E1855" s="731"/>
      <c r="F1855" s="731"/>
      <c r="G1855" s="366" t="str">
        <f ca="1">G1854</f>
        <v/>
      </c>
      <c r="H1855" s="366" t="s">
        <v>3972</v>
      </c>
      <c r="I1855" s="30"/>
      <c r="J1855" s="497" t="s">
        <v>256</v>
      </c>
      <c r="K1855" s="133"/>
      <c r="L1855" s="281" t="s">
        <v>4477</v>
      </c>
      <c r="M1855" s="40"/>
      <c r="N1855" s="41"/>
      <c r="O1855" s="75"/>
      <c r="X1855" s="817"/>
      <c r="Y1855" s="1100"/>
      <c r="Z1855" s="1102"/>
    </row>
    <row r="1856" spans="1:45" ht="15" thickBot="1" x14ac:dyDescent="0.4">
      <c r="A1856" s="366">
        <v>8</v>
      </c>
      <c r="B1856" s="738">
        <v>803.3</v>
      </c>
      <c r="C1856" s="731" t="s">
        <v>258</v>
      </c>
      <c r="D1856" s="731"/>
      <c r="E1856" s="731"/>
      <c r="F1856" s="731"/>
      <c r="G1856" s="366" t="str">
        <f ca="1">G1855</f>
        <v/>
      </c>
      <c r="H1856" s="366" t="s">
        <v>3972</v>
      </c>
      <c r="I1856" s="114"/>
      <c r="J1856" s="230" t="s">
        <v>258</v>
      </c>
      <c r="K1856" s="160"/>
      <c r="L1856" s="266" t="s">
        <v>4478</v>
      </c>
      <c r="M1856" s="270"/>
      <c r="N1856" s="72"/>
      <c r="O1856" s="161"/>
      <c r="P1856" s="55"/>
      <c r="Q1856" s="55"/>
      <c r="R1856" s="55"/>
      <c r="S1856" s="55"/>
      <c r="T1856" s="55"/>
      <c r="U1856" s="55"/>
      <c r="W1856" s="55"/>
      <c r="X1856" s="817"/>
      <c r="Y1856" s="1101"/>
      <c r="Z1856" s="1102"/>
    </row>
    <row r="1857" spans="1:45" ht="15.75" customHeight="1" thickTop="1" x14ac:dyDescent="0.35">
      <c r="A1857" s="366">
        <v>8</v>
      </c>
      <c r="B1857" s="738">
        <v>803.4</v>
      </c>
      <c r="C1857" s="731"/>
      <c r="D1857" s="731"/>
      <c r="E1857" s="731"/>
      <c r="F1857" s="731"/>
      <c r="G1857" s="366" t="str">
        <f ca="1">IF(N1857&gt;0,"P","")</f>
        <v/>
      </c>
      <c r="H1857" s="366" t="s">
        <v>3972</v>
      </c>
      <c r="I1857" s="106">
        <v>803.4</v>
      </c>
      <c r="J1857" s="507"/>
      <c r="K1857" s="107"/>
      <c r="L1857" s="837" t="s">
        <v>4389</v>
      </c>
      <c r="M1857" s="830">
        <v>20</v>
      </c>
      <c r="N1857" s="959">
        <f ca="1">'Ch8'!O228</f>
        <v>0</v>
      </c>
      <c r="O1857" s="831">
        <f ca="1">M1857*S1857*W1857</f>
        <v>0</v>
      </c>
      <c r="P1857" t="b">
        <v>0</v>
      </c>
      <c r="Q1857" t="b">
        <v>1</v>
      </c>
      <c r="R1857" s="59" t="b">
        <v>0</v>
      </c>
      <c r="S1857" s="59" t="b">
        <f ca="1">S1643=2</f>
        <v>0</v>
      </c>
      <c r="T1857" s="59" t="b">
        <f ca="1">IF(AND(NOT(S1857),W1857=TRUE),TRUE,FALSE)</f>
        <v>0</v>
      </c>
      <c r="U1857" s="59"/>
      <c r="V1857" s="59"/>
      <c r="W1857" s="69"/>
      <c r="X1857" s="840"/>
      <c r="Y1857" s="1117" t="str">
        <f>IF(LEN('Ch8'!X228)=0,"None",'Ch8'!X228)</f>
        <v>None</v>
      </c>
      <c r="Z1857" s="1103"/>
      <c r="AC1857" t="b">
        <f ca="1">OR(AD1857:AE1857)</f>
        <v>0</v>
      </c>
      <c r="AD1857" t="b">
        <f ca="1">T1857</f>
        <v>0</v>
      </c>
      <c r="AL1857" t="str">
        <f>SUBSTITUTE(SUBSTITUTE(SUBSTITUTE("vpa"&amp;$B1857&amp;$C1857&amp;$D1857&amp;$E1857,".","_"),"(","_"),")","")</f>
        <v>vpa803_4</v>
      </c>
      <c r="AM1857">
        <f>M1857</f>
        <v>20</v>
      </c>
      <c r="AN1857" t="str">
        <f>SUBSTITUTE(SUBSTITUTE(SUBSTITUTE("vpc"&amp;$B1857&amp;$C1857&amp;$D1857&amp;$E1857,".","_"),"(","_"),")","")</f>
        <v>vpc803_4</v>
      </c>
      <c r="AO1857">
        <f ca="1">O1857</f>
        <v>0</v>
      </c>
      <c r="AP1857" t="str">
        <f>SUBSTITUTE(SUBSTITUTE(SUBSTITUTE("vch"&amp;$B1857&amp;$C1857&amp;$D1857&amp;$E1857,".","_"),"(","_"),")","")</f>
        <v>vch803_4</v>
      </c>
      <c r="AQ1857" t="str">
        <f>IF(LEN(W1857)=0,"",W1857)</f>
        <v/>
      </c>
      <c r="AR1857" t="str">
        <f>SUBSTITUTE(SUBSTITUTE(SUBSTITUTE("vnt"&amp;$B1857&amp;$C1857&amp;$D1857&amp;$E1857,".","_"),"(","_"),")","")</f>
        <v>vnt803_4</v>
      </c>
      <c r="AS1857" t="str">
        <f>IF(LEN(X1857)=0,"",X1857)</f>
        <v/>
      </c>
    </row>
    <row r="1858" spans="1:45" x14ac:dyDescent="0.35">
      <c r="A1858" s="366">
        <v>8</v>
      </c>
      <c r="B1858" s="738">
        <v>803.4</v>
      </c>
      <c r="C1858" s="731"/>
      <c r="D1858" s="731"/>
      <c r="E1858" s="731"/>
      <c r="F1858" s="731"/>
      <c r="G1858" s="366" t="str">
        <f ca="1">G1857</f>
        <v/>
      </c>
      <c r="H1858" s="366" t="s">
        <v>3972</v>
      </c>
      <c r="I1858" s="30"/>
      <c r="J1858" s="93"/>
      <c r="K1858" s="4"/>
      <c r="L1858" s="838"/>
      <c r="M1858" s="818"/>
      <c r="N1858" s="834"/>
      <c r="O1858" s="832"/>
      <c r="X1858" s="817"/>
      <c r="Y1858" s="1100"/>
      <c r="Z1858" s="1102"/>
    </row>
    <row r="1859" spans="1:45" ht="15" thickBot="1" x14ac:dyDescent="0.4">
      <c r="A1859" s="366">
        <v>8</v>
      </c>
      <c r="B1859" s="738">
        <v>803.4</v>
      </c>
      <c r="C1859" s="731"/>
      <c r="D1859" s="731"/>
      <c r="E1859" s="731"/>
      <c r="F1859" s="731"/>
      <c r="G1859" s="366" t="str">
        <f ca="1">G1858</f>
        <v/>
      </c>
      <c r="H1859" s="366" t="s">
        <v>3972</v>
      </c>
      <c r="I1859" s="114"/>
      <c r="J1859" s="294"/>
      <c r="K1859" s="160"/>
      <c r="L1859" s="849"/>
      <c r="M1859" s="827"/>
      <c r="N1859" s="863"/>
      <c r="O1859" s="833"/>
      <c r="P1859" s="55"/>
      <c r="Q1859" s="55"/>
      <c r="R1859" s="55"/>
      <c r="S1859" s="55"/>
      <c r="T1859" s="55"/>
      <c r="U1859" s="55"/>
      <c r="V1859" s="55"/>
      <c r="W1859" s="55"/>
      <c r="X1859" s="829"/>
      <c r="Y1859" s="1101"/>
      <c r="Z1859" s="1104"/>
    </row>
    <row r="1860" spans="1:45" ht="15.75" customHeight="1" thickTop="1" x14ac:dyDescent="0.35">
      <c r="A1860" s="366">
        <v>8</v>
      </c>
      <c r="B1860" s="738" t="s">
        <v>4392</v>
      </c>
      <c r="C1860" s="731"/>
      <c r="D1860" s="731"/>
      <c r="E1860" s="731"/>
      <c r="F1860" s="731"/>
      <c r="G1860" s="366" t="str">
        <f ca="1">IF(N1860&gt;0,"P","")</f>
        <v/>
      </c>
      <c r="H1860" s="366" t="s">
        <v>3972</v>
      </c>
      <c r="I1860" s="106">
        <v>803.5</v>
      </c>
      <c r="J1860" s="507"/>
      <c r="K1860" s="107"/>
      <c r="L1860" s="946" t="s">
        <v>4390</v>
      </c>
      <c r="M1860" s="830">
        <v>1</v>
      </c>
      <c r="N1860" s="959">
        <f ca="1">'Ch8'!O231</f>
        <v>0</v>
      </c>
      <c r="O1860" s="831">
        <f ca="1">M1860*S1860*W1860</f>
        <v>0</v>
      </c>
      <c r="P1860" t="b">
        <v>0</v>
      </c>
      <c r="Q1860" t="b">
        <v>1</v>
      </c>
      <c r="R1860" s="59" t="b">
        <v>0</v>
      </c>
      <c r="S1860" s="59" t="b">
        <f ca="1">S1643=2</f>
        <v>0</v>
      </c>
      <c r="T1860" s="59" t="b">
        <f ca="1">IF(AND(NOT(S1860),W1860=TRUE),TRUE,FALSE)</f>
        <v>0</v>
      </c>
      <c r="U1860" s="59"/>
      <c r="V1860" s="59"/>
      <c r="W1860" s="17"/>
      <c r="X1860" s="840"/>
      <c r="Y1860" s="1117" t="str">
        <f>IF(LEN('Ch8'!X231)=0,"None",'Ch8'!X231)</f>
        <v>None</v>
      </c>
      <c r="Z1860" s="1103"/>
      <c r="AC1860" t="b">
        <f ca="1">OR(AD1860:AE1860)</f>
        <v>0</v>
      </c>
      <c r="AD1860" t="b">
        <f ca="1">T1860</f>
        <v>0</v>
      </c>
      <c r="AL1860" t="str">
        <f>SUBSTITUTE(SUBSTITUTE(SUBSTITUTE("vpa"&amp;$B1860&amp;$C1860&amp;$D1860&amp;$E1860,".","_"),"(","_"),")","")</f>
        <v>vpa803_5</v>
      </c>
      <c r="AM1860">
        <f>M1860</f>
        <v>1</v>
      </c>
      <c r="AN1860" t="str">
        <f>SUBSTITUTE(SUBSTITUTE(SUBSTITUTE("vpc"&amp;$B1860&amp;$C1860&amp;$D1860&amp;$E1860,".","_"),"(","_"),")","")</f>
        <v>vpc803_5</v>
      </c>
      <c r="AO1860">
        <f ca="1">O1860</f>
        <v>0</v>
      </c>
      <c r="AP1860" t="str">
        <f>SUBSTITUTE(SUBSTITUTE(SUBSTITUTE("vch"&amp;$B1860&amp;$C1860&amp;$D1860&amp;$E1860,".","_"),"(","_"),")","")</f>
        <v>vch803_5</v>
      </c>
      <c r="AQ1860" t="str">
        <f>IF(LEN(W1860)=0,"",W1860)</f>
        <v/>
      </c>
      <c r="AR1860" t="str">
        <f>SUBSTITUTE(SUBSTITUTE(SUBSTITUTE("vnt"&amp;$B1860&amp;$C1860&amp;$D1860&amp;$E1860,".","_"),"(","_"),")","")</f>
        <v>vnt803_5</v>
      </c>
      <c r="AS1860" t="str">
        <f>IF(LEN(X1860)=0,"",X1860)</f>
        <v/>
      </c>
    </row>
    <row r="1861" spans="1:45" ht="15" thickBot="1" x14ac:dyDescent="0.4">
      <c r="A1861" s="366">
        <v>8</v>
      </c>
      <c r="B1861" s="738" t="s">
        <v>4392</v>
      </c>
      <c r="C1861" s="731"/>
      <c r="D1861" s="731"/>
      <c r="E1861" s="731"/>
      <c r="F1861" s="731"/>
      <c r="G1861" s="366" t="str">
        <f ca="1">G1860</f>
        <v/>
      </c>
      <c r="H1861" s="366" t="s">
        <v>3972</v>
      </c>
      <c r="I1861" s="114"/>
      <c r="J1861" s="294"/>
      <c r="K1861" s="160"/>
      <c r="L1861" s="947"/>
      <c r="M1861" s="827"/>
      <c r="N1861" s="863"/>
      <c r="O1861" s="833"/>
      <c r="P1861" s="55"/>
      <c r="Q1861" s="55"/>
      <c r="R1861" s="55"/>
      <c r="S1861" s="55"/>
      <c r="T1861" s="55"/>
      <c r="U1861" s="55"/>
      <c r="V1861" s="55"/>
      <c r="W1861" s="55"/>
      <c r="X1861" s="829"/>
      <c r="Y1861" s="1101"/>
      <c r="Z1861" s="1104"/>
    </row>
    <row r="1862" spans="1:45" ht="15.75" customHeight="1" thickTop="1" x14ac:dyDescent="0.35">
      <c r="A1862" s="366">
        <v>8</v>
      </c>
      <c r="B1862" s="738" t="s">
        <v>4393</v>
      </c>
      <c r="C1862" s="731"/>
      <c r="D1862" s="731"/>
      <c r="E1862" s="731"/>
      <c r="F1862" s="731"/>
      <c r="G1862" s="366" t="str">
        <f ca="1">IF(N1862&gt;0,"P","")</f>
        <v/>
      </c>
      <c r="H1862" s="366" t="s">
        <v>3972</v>
      </c>
      <c r="I1862" s="30">
        <v>803.6</v>
      </c>
      <c r="J1862" s="93"/>
      <c r="K1862" s="4"/>
      <c r="L1862" s="838" t="s">
        <v>4391</v>
      </c>
      <c r="M1862" s="818">
        <v>20</v>
      </c>
      <c r="N1862" s="834">
        <f ca="1">'Ch8'!O233</f>
        <v>0</v>
      </c>
      <c r="O1862" s="832">
        <f ca="1">M1862*S1862*W1862</f>
        <v>0</v>
      </c>
      <c r="P1862" t="b">
        <v>0</v>
      </c>
      <c r="Q1862" t="b">
        <v>1</v>
      </c>
      <c r="R1862" t="b">
        <v>0</v>
      </c>
      <c r="S1862" t="b">
        <f ca="1">AND(NOT(OR(LEN(W1846)&gt;0,W1848)),S1643=2)</f>
        <v>0</v>
      </c>
      <c r="T1862" t="b">
        <f ca="1">IF(AND(NOT(S1862),W1862=TRUE),TRUE,FALSE)</f>
        <v>0</v>
      </c>
      <c r="W1862" s="17"/>
      <c r="X1862" s="816"/>
      <c r="Y1862" s="1117" t="str">
        <f>IF(LEN('Ch8'!X233)=0,"None",'Ch8'!X233)</f>
        <v>None</v>
      </c>
      <c r="Z1862" s="1103"/>
      <c r="AC1862" t="b">
        <f ca="1">OR(AD1862:AE1862)</f>
        <v>0</v>
      </c>
      <c r="AD1862" t="b">
        <f ca="1">T1862</f>
        <v>0</v>
      </c>
      <c r="AL1862" t="str">
        <f>SUBSTITUTE(SUBSTITUTE(SUBSTITUTE("vpa"&amp;$B1862&amp;$C1862&amp;$D1862&amp;$E1862,".","_"),"(","_"),")","")</f>
        <v>vpa803_6</v>
      </c>
      <c r="AM1862">
        <f>M1862</f>
        <v>20</v>
      </c>
      <c r="AN1862" t="str">
        <f>SUBSTITUTE(SUBSTITUTE(SUBSTITUTE("vpc"&amp;$B1862&amp;$C1862&amp;$D1862&amp;$E1862,".","_"),"(","_"),")","")</f>
        <v>vpc803_6</v>
      </c>
      <c r="AO1862">
        <f ca="1">O1862</f>
        <v>0</v>
      </c>
      <c r="AP1862" t="str">
        <f>SUBSTITUTE(SUBSTITUTE(SUBSTITUTE("vch"&amp;$B1862&amp;$C1862&amp;$D1862&amp;$E1862,".","_"),"(","_"),")","")</f>
        <v>vch803_6</v>
      </c>
      <c r="AQ1862" t="str">
        <f>IF(LEN(W1862)=0,"",W1862)</f>
        <v/>
      </c>
      <c r="AR1862" t="str">
        <f>SUBSTITUTE(SUBSTITUTE(SUBSTITUTE("vnt"&amp;$B1862&amp;$C1862&amp;$D1862&amp;$E1862,".","_"),"(","_"),")","")</f>
        <v>vnt803_6</v>
      </c>
      <c r="AS1862" t="str">
        <f>IF(LEN(X1862)=0,"",X1862)</f>
        <v/>
      </c>
    </row>
    <row r="1863" spans="1:45" x14ac:dyDescent="0.35">
      <c r="A1863" s="366">
        <v>8</v>
      </c>
      <c r="B1863" s="738" t="s">
        <v>4393</v>
      </c>
      <c r="C1863" s="731"/>
      <c r="D1863" s="731"/>
      <c r="E1863" s="731"/>
      <c r="F1863" s="731"/>
      <c r="G1863" s="366" t="str">
        <f ca="1">G1862</f>
        <v/>
      </c>
      <c r="H1863" s="366" t="s">
        <v>3972</v>
      </c>
      <c r="I1863" s="30"/>
      <c r="J1863" s="93"/>
      <c r="K1863" s="4"/>
      <c r="L1863" s="838"/>
      <c r="M1863" s="818"/>
      <c r="N1863" s="834"/>
      <c r="O1863" s="832"/>
      <c r="X1863" s="817"/>
      <c r="Y1863" s="1100"/>
      <c r="Z1863" s="1102"/>
    </row>
    <row r="1864" spans="1:45" x14ac:dyDescent="0.35">
      <c r="A1864" s="366">
        <v>8</v>
      </c>
      <c r="B1864" s="738" t="s">
        <v>4393</v>
      </c>
      <c r="C1864" s="731"/>
      <c r="D1864" s="731"/>
      <c r="E1864" s="731"/>
      <c r="F1864" s="731"/>
      <c r="G1864" s="366" t="str">
        <f ca="1">G1863</f>
        <v/>
      </c>
      <c r="H1864" s="366" t="s">
        <v>3972</v>
      </c>
      <c r="I1864" s="30"/>
      <c r="J1864" s="93"/>
      <c r="K1864" s="4"/>
      <c r="L1864" s="92" t="s">
        <v>4475</v>
      </c>
      <c r="M1864" s="818"/>
      <c r="N1864" s="834"/>
      <c r="O1864" s="832"/>
      <c r="X1864" s="817"/>
      <c r="Y1864" s="1100"/>
      <c r="Z1864" s="1102"/>
    </row>
    <row r="1865" spans="1:45" ht="18.5" x14ac:dyDescent="0.45">
      <c r="A1865" s="366">
        <v>8</v>
      </c>
      <c r="B1865" s="747">
        <v>804</v>
      </c>
      <c r="G1865" s="366" t="s">
        <v>3973</v>
      </c>
      <c r="H1865" s="366" t="s">
        <v>3970</v>
      </c>
      <c r="I1865" s="10" t="s">
        <v>4483</v>
      </c>
      <c r="J1865" s="516"/>
      <c r="K1865" s="516"/>
      <c r="L1865" s="150"/>
      <c r="M1865" s="311"/>
      <c r="N1865" s="551"/>
      <c r="O1865" s="15"/>
      <c r="P1865" s="15"/>
      <c r="Q1865" s="15"/>
      <c r="R1865" s="15"/>
      <c r="S1865" s="15"/>
      <c r="T1865" s="15"/>
      <c r="U1865" s="15"/>
      <c r="V1865" s="15"/>
      <c r="W1865" s="15"/>
      <c r="X1865" s="15"/>
      <c r="Y1865" s="15"/>
      <c r="Z1865" s="651"/>
    </row>
    <row r="1866" spans="1:45" x14ac:dyDescent="0.35">
      <c r="A1866" s="366">
        <v>8</v>
      </c>
      <c r="B1866" s="747">
        <v>804.1</v>
      </c>
      <c r="G1866" s="366" t="s">
        <v>3973</v>
      </c>
      <c r="H1866" s="366" t="s">
        <v>3970</v>
      </c>
      <c r="I1866" s="500">
        <v>804.1</v>
      </c>
      <c r="J1866" s="467"/>
      <c r="K1866" s="467"/>
      <c r="L1866" s="838" t="s">
        <v>5586</v>
      </c>
      <c r="M1866" s="956" t="str">
        <f>IFERROR(IF(LEN(T1869)&gt;0,INDEX(R1869:R1872,MATCH(T1869,S1869:S1872,-1)),"None"),"None")</f>
        <v>None</v>
      </c>
    </row>
    <row r="1867" spans="1:45" x14ac:dyDescent="0.35">
      <c r="A1867" s="366">
        <v>8</v>
      </c>
      <c r="B1867" s="747">
        <v>804.1</v>
      </c>
      <c r="G1867" s="366" t="s">
        <v>3973</v>
      </c>
      <c r="H1867" s="366" t="s">
        <v>3970</v>
      </c>
      <c r="I1867" s="504"/>
      <c r="J1867" s="472"/>
      <c r="K1867" s="472"/>
      <c r="L1867" s="889"/>
      <c r="M1867" s="938"/>
      <c r="W1867" t="s">
        <v>4484</v>
      </c>
    </row>
    <row r="1868" spans="1:45" x14ac:dyDescent="0.35">
      <c r="A1868" s="366">
        <v>8</v>
      </c>
      <c r="B1868" s="747">
        <v>804.2</v>
      </c>
      <c r="G1868" s="366" t="s">
        <v>3973</v>
      </c>
      <c r="H1868" s="366" t="s">
        <v>3970</v>
      </c>
      <c r="I1868" s="526">
        <v>804.2</v>
      </c>
      <c r="J1868" s="471"/>
      <c r="K1868" s="471"/>
      <c r="L1868" s="905" t="s">
        <v>4479</v>
      </c>
      <c r="M1868" s="938"/>
      <c r="P1868" t="b">
        <v>0</v>
      </c>
      <c r="Q1868" t="b">
        <v>1</v>
      </c>
      <c r="R1868" t="b">
        <f ca="1">S1868</f>
        <v>0</v>
      </c>
      <c r="S1868" t="b">
        <f ca="1">S1643=1</f>
        <v>0</v>
      </c>
      <c r="T1868" t="b">
        <f ca="1">AND(LEN(W1868)&gt;0,NOT(S1868))</f>
        <v>0</v>
      </c>
      <c r="W1868" s="314"/>
      <c r="X1868" s="817"/>
      <c r="Y1868" s="1100" t="str">
        <f>IF(LEN('Ch8'!X239)=0,"None",'Ch8'!X239)</f>
        <v>None</v>
      </c>
      <c r="Z1868" s="1102"/>
      <c r="AC1868" t="b">
        <f ca="1">OR(AD1868:AE1868)</f>
        <v>0</v>
      </c>
      <c r="AD1868" t="b">
        <f ca="1">T1868</f>
        <v>0</v>
      </c>
      <c r="AP1868" t="str">
        <f>SUBSTITUTE(SUBSTITUTE(SUBSTITUTE("vch"&amp;$B1868&amp;$C1868&amp;$D1868&amp;$E1868,".","_"),"(","_"),")","")</f>
        <v>vch804_2</v>
      </c>
      <c r="AQ1868" t="str">
        <f>IF(LEN(W1868)=0,"",W1868)</f>
        <v/>
      </c>
      <c r="AR1868" t="str">
        <f>SUBSTITUTE(SUBSTITUTE(SUBSTITUTE("vnt"&amp;$B1868&amp;$C1868&amp;$D1868&amp;$E1868,".","_"),"(","_"),")","")</f>
        <v>vnt804_2</v>
      </c>
      <c r="AS1868" t="str">
        <f>IF(LEN(X1868)=0,"",X1868)</f>
        <v/>
      </c>
    </row>
    <row r="1869" spans="1:45" x14ac:dyDescent="0.35">
      <c r="A1869" s="366">
        <v>8</v>
      </c>
      <c r="B1869" s="747">
        <v>804.2</v>
      </c>
      <c r="G1869" s="366" t="s">
        <v>3973</v>
      </c>
      <c r="H1869" s="366" t="s">
        <v>3970</v>
      </c>
      <c r="I1869" s="504"/>
      <c r="J1869" s="472"/>
      <c r="K1869" s="472"/>
      <c r="L1869" s="889"/>
      <c r="M1869" s="938"/>
      <c r="R1869" s="1" t="s">
        <v>292</v>
      </c>
      <c r="S1869" s="1">
        <v>70</v>
      </c>
      <c r="T1869" s="1" t="str">
        <f>IF(LEN(W1868)&gt;0,W1868,IF(LEN('Ch8'!W239)&gt;0,'Ch8'!W239,""))</f>
        <v/>
      </c>
      <c r="W1869" s="21"/>
      <c r="X1869" s="817"/>
      <c r="Y1869" s="1100"/>
      <c r="Z1869" s="1102"/>
    </row>
    <row r="1870" spans="1:45" x14ac:dyDescent="0.35">
      <c r="A1870" s="366">
        <v>8</v>
      </c>
      <c r="B1870" s="747">
        <v>804.3</v>
      </c>
      <c r="G1870" s="366" t="s">
        <v>3973</v>
      </c>
      <c r="H1870" s="366" t="s">
        <v>3970</v>
      </c>
      <c r="I1870" s="500">
        <v>804.3</v>
      </c>
      <c r="J1870" s="467"/>
      <c r="K1870" s="467"/>
      <c r="L1870" s="838" t="s">
        <v>4480</v>
      </c>
      <c r="M1870" s="489" t="str">
        <f>IF(ReportType="Rough","(As Designed)","")</f>
        <v/>
      </c>
      <c r="N1870" s="834">
        <f ca="1">'Ch8'!O241</f>
        <v>0</v>
      </c>
      <c r="O1870" s="834">
        <f ca="1">ROUND(IF(LEN(W1868)=0,0,(W1868*-2.29)+181.7),0)*S1868</f>
        <v>0</v>
      </c>
      <c r="R1870" s="1" t="s">
        <v>293</v>
      </c>
      <c r="S1870" s="1">
        <v>60</v>
      </c>
      <c r="AN1870" t="str">
        <f>SUBSTITUTE(SUBSTITUTE(SUBSTITUTE("vpc"&amp;$B1870&amp;$C1870&amp;$D1870&amp;$E1870,".","_"),"(","_"),")","")</f>
        <v>vpc804_3</v>
      </c>
      <c r="AO1870">
        <f ca="1">O1870</f>
        <v>0</v>
      </c>
    </row>
    <row r="1871" spans="1:45" x14ac:dyDescent="0.35">
      <c r="A1871" s="366">
        <v>8</v>
      </c>
      <c r="B1871" s="747">
        <v>804.3</v>
      </c>
      <c r="G1871" s="366" t="s">
        <v>3973</v>
      </c>
      <c r="H1871" s="366" t="s">
        <v>3970</v>
      </c>
      <c r="I1871" s="496"/>
      <c r="J1871" s="467"/>
      <c r="K1871" s="467"/>
      <c r="L1871" s="838"/>
      <c r="M1871" s="489"/>
      <c r="N1871" s="834"/>
      <c r="O1871" s="834"/>
      <c r="R1871" s="1" t="s">
        <v>294</v>
      </c>
      <c r="S1871" s="1">
        <v>50</v>
      </c>
    </row>
    <row r="1872" spans="1:45" x14ac:dyDescent="0.35">
      <c r="A1872" s="366">
        <v>8</v>
      </c>
      <c r="B1872" s="747">
        <v>804.3</v>
      </c>
      <c r="G1872" s="366" t="s">
        <v>3973</v>
      </c>
      <c r="H1872" s="366" t="s">
        <v>3970</v>
      </c>
      <c r="I1872" s="496"/>
      <c r="J1872" s="467"/>
      <c r="K1872" s="467"/>
      <c r="L1872" s="838"/>
      <c r="M1872" s="489"/>
      <c r="N1872" s="834"/>
      <c r="O1872" s="834"/>
      <c r="R1872" s="1" t="s">
        <v>290</v>
      </c>
      <c r="S1872" s="1">
        <v>40</v>
      </c>
    </row>
    <row r="1873" spans="1:61" x14ac:dyDescent="0.35">
      <c r="A1873" s="366">
        <v>8</v>
      </c>
      <c r="B1873" s="747">
        <v>804.3</v>
      </c>
      <c r="G1873" s="366" t="s">
        <v>3973</v>
      </c>
      <c r="H1873" s="366" t="s">
        <v>3970</v>
      </c>
      <c r="I1873" s="496"/>
      <c r="J1873" s="467"/>
      <c r="K1873" s="467"/>
      <c r="L1873" s="159" t="s">
        <v>4481</v>
      </c>
      <c r="M1873" s="489"/>
      <c r="N1873" s="834"/>
      <c r="O1873" s="834"/>
    </row>
    <row r="1874" spans="1:61" ht="15" thickBot="1" x14ac:dyDescent="0.4">
      <c r="A1874" s="366">
        <v>8</v>
      </c>
      <c r="B1874" s="747">
        <v>804.3</v>
      </c>
      <c r="G1874" s="366" t="s">
        <v>3973</v>
      </c>
      <c r="H1874" s="366" t="s">
        <v>3970</v>
      </c>
      <c r="I1874" s="496"/>
      <c r="J1874" s="467"/>
      <c r="K1874" s="467"/>
      <c r="L1874" s="159" t="s">
        <v>4482</v>
      </c>
      <c r="M1874" s="489"/>
      <c r="N1874" s="834"/>
      <c r="O1874" s="863"/>
    </row>
    <row r="1875" spans="1:61" ht="19" thickTop="1" x14ac:dyDescent="0.45">
      <c r="A1875" s="366">
        <v>9</v>
      </c>
      <c r="B1875" s="738" t="s">
        <v>4084</v>
      </c>
      <c r="G1875" s="366" t="s">
        <v>3973</v>
      </c>
      <c r="H1875" s="366" t="s">
        <v>3970</v>
      </c>
      <c r="I1875" s="14" t="s">
        <v>3142</v>
      </c>
      <c r="J1875" s="14"/>
      <c r="K1875" s="14"/>
      <c r="L1875" s="584"/>
      <c r="M1875" s="554"/>
      <c r="N1875" s="549"/>
      <c r="O1875" s="549"/>
      <c r="P1875" t="s">
        <v>247</v>
      </c>
      <c r="Q1875" t="s">
        <v>247</v>
      </c>
      <c r="R1875" t="s">
        <v>247</v>
      </c>
      <c r="S1875" t="s">
        <v>247</v>
      </c>
      <c r="T1875" t="s">
        <v>247</v>
      </c>
      <c r="U1875" t="s">
        <v>247</v>
      </c>
      <c r="V1875" t="s">
        <v>247</v>
      </c>
      <c r="W1875" s="15"/>
      <c r="X1875" s="15"/>
      <c r="Y1875" s="15"/>
      <c r="Z1875" s="651"/>
      <c r="AB1875" s="2" t="s">
        <v>247</v>
      </c>
      <c r="AC1875" s="2" t="s">
        <v>247</v>
      </c>
      <c r="AD1875" s="2" t="s">
        <v>247</v>
      </c>
      <c r="AE1875" s="2" t="s">
        <v>247</v>
      </c>
      <c r="AF1875" s="2" t="s">
        <v>247</v>
      </c>
      <c r="AG1875" s="2" t="s">
        <v>247</v>
      </c>
      <c r="AH1875" s="2" t="s">
        <v>247</v>
      </c>
      <c r="AI1875" s="2" t="s">
        <v>247</v>
      </c>
      <c r="AJ1875" s="2" t="s">
        <v>247</v>
      </c>
      <c r="AK1875" s="2" t="s">
        <v>247</v>
      </c>
      <c r="AL1875" s="2"/>
      <c r="AM1875" s="2"/>
      <c r="AN1875" s="2"/>
      <c r="AO1875" s="2"/>
      <c r="AP1875" s="2"/>
      <c r="AQ1875" s="2"/>
      <c r="AR1875" s="2"/>
      <c r="AS1875" s="2"/>
      <c r="AT1875" s="2" t="s">
        <v>247</v>
      </c>
      <c r="AU1875" s="2" t="s">
        <v>247</v>
      </c>
      <c r="AV1875" s="2" t="s">
        <v>247</v>
      </c>
      <c r="AW1875" s="2" t="s">
        <v>247</v>
      </c>
      <c r="AX1875" s="2" t="s">
        <v>247</v>
      </c>
      <c r="AY1875" s="2" t="s">
        <v>247</v>
      </c>
      <c r="AZ1875" s="2" t="s">
        <v>247</v>
      </c>
      <c r="BA1875" s="2" t="s">
        <v>247</v>
      </c>
      <c r="BB1875" s="2" t="s">
        <v>247</v>
      </c>
      <c r="BC1875" s="2" t="s">
        <v>247</v>
      </c>
      <c r="BD1875" s="2" t="s">
        <v>247</v>
      </c>
      <c r="BE1875" s="2" t="s">
        <v>247</v>
      </c>
      <c r="BF1875" s="2" t="s">
        <v>247</v>
      </c>
      <c r="BG1875" s="2" t="s">
        <v>247</v>
      </c>
      <c r="BH1875" s="2" t="s">
        <v>247</v>
      </c>
      <c r="BI1875" s="2" t="s">
        <v>247</v>
      </c>
    </row>
    <row r="1876" spans="1:61" x14ac:dyDescent="0.35">
      <c r="A1876" s="366">
        <v>9</v>
      </c>
      <c r="B1876" s="738" t="s">
        <v>3986</v>
      </c>
      <c r="C1876" s="731"/>
      <c r="D1876" s="731"/>
      <c r="E1876" s="731"/>
      <c r="F1876" s="731"/>
      <c r="I1876" s="143">
        <v>901</v>
      </c>
      <c r="J1876" s="4"/>
      <c r="K1876" s="4"/>
      <c r="L1876" s="95" t="s">
        <v>3143</v>
      </c>
      <c r="M1876" s="94"/>
      <c r="N1876" s="489"/>
      <c r="O1876" s="489"/>
    </row>
    <row r="1877" spans="1:61" x14ac:dyDescent="0.35">
      <c r="A1877" s="366">
        <v>9</v>
      </c>
      <c r="B1877" s="738">
        <v>901.1</v>
      </c>
      <c r="C1877" s="731"/>
      <c r="D1877" s="731"/>
      <c r="E1877" s="731"/>
      <c r="F1877" s="731"/>
      <c r="G1877" s="727" t="str">
        <f ca="1">IF(COUNTIF(G1878:G1903,"P")&gt;0,"P","")</f>
        <v>P</v>
      </c>
      <c r="H1877" s="366" t="s">
        <v>3970</v>
      </c>
      <c r="I1877" s="143">
        <v>901.1</v>
      </c>
      <c r="J1877" s="4"/>
      <c r="K1877" s="4"/>
      <c r="L1877" s="95" t="s">
        <v>3144</v>
      </c>
      <c r="M1877" s="94"/>
      <c r="N1877" s="489"/>
      <c r="O1877" s="489"/>
      <c r="AX1877" s="6" t="str">
        <f>'Overview (Verification)'!A10</f>
        <v>Builder Name:</v>
      </c>
      <c r="AY1877">
        <f>IF(LEN('Overview (Verification)'!P10)=0,0,'Overview (Verification)'!P10)</f>
        <v>0</v>
      </c>
    </row>
    <row r="1878" spans="1:61" x14ac:dyDescent="0.35">
      <c r="A1878" s="366">
        <v>9</v>
      </c>
      <c r="B1878" s="738" t="s">
        <v>3145</v>
      </c>
      <c r="C1878" s="731"/>
      <c r="D1878" s="731"/>
      <c r="E1878" s="731"/>
      <c r="F1878" s="731"/>
      <c r="G1878" s="366" t="str">
        <f>IF(N1878&gt;0,"P","")</f>
        <v>P</v>
      </c>
      <c r="H1878" s="366" t="s">
        <v>3970</v>
      </c>
      <c r="I1878" s="143" t="s">
        <v>3145</v>
      </c>
      <c r="J1878" s="4"/>
      <c r="K1878" s="4"/>
      <c r="L1878" s="838" t="s">
        <v>3146</v>
      </c>
      <c r="M1878" s="818">
        <v>5</v>
      </c>
      <c r="N1878" s="834">
        <f>'Ch9'!O12</f>
        <v>5</v>
      </c>
      <c r="O1878" s="834">
        <f>M1878*S1878*W1878</f>
        <v>0</v>
      </c>
      <c r="P1878" t="b">
        <v>1</v>
      </c>
      <c r="Q1878" t="b">
        <v>1</v>
      </c>
      <c r="R1878" t="b">
        <v>0</v>
      </c>
      <c r="S1878" t="b">
        <v>1</v>
      </c>
      <c r="T1878" t="b">
        <v>0</v>
      </c>
      <c r="W1878" s="17"/>
      <c r="X1878" s="817"/>
      <c r="Y1878" s="1100" t="str">
        <f>IF(LEN('Ch9'!X12)=0,"None",'Ch9'!X12)</f>
        <v>None</v>
      </c>
      <c r="Z1878" s="1102"/>
      <c r="AL1878" t="str">
        <f>SUBSTITUTE(SUBSTITUTE(SUBSTITUTE("vpa"&amp;$B1878&amp;$C1878&amp;$D1878&amp;$E1878,".","_"),"(","_"),")","")</f>
        <v>vpa901_1_1</v>
      </c>
      <c r="AM1878">
        <f>M1878</f>
        <v>5</v>
      </c>
      <c r="AN1878" t="str">
        <f>SUBSTITUTE(SUBSTITUTE(SUBSTITUTE("vpc"&amp;$B1878&amp;$C1878&amp;$D1878&amp;$E1878,".","_"),"(","_"),")","")</f>
        <v>vpc901_1_1</v>
      </c>
      <c r="AO1878">
        <f>O1878</f>
        <v>0</v>
      </c>
      <c r="AP1878" t="str">
        <f>SUBSTITUTE(SUBSTITUTE(SUBSTITUTE("vch"&amp;$B1878&amp;$C1878&amp;$D1878&amp;$E1878,".","_"),"(","_"),")","")</f>
        <v>vch901_1_1</v>
      </c>
      <c r="AQ1878" t="str">
        <f>IF(LEN(W1878)=0,"",W1878)</f>
        <v/>
      </c>
      <c r="AR1878" t="str">
        <f>SUBSTITUTE(SUBSTITUTE(SUBSTITUTE("vnt"&amp;$B1878&amp;$C1878&amp;$D1878&amp;$E1878,".","_"),"(","_"),")","")</f>
        <v>vnt901_1_1</v>
      </c>
      <c r="AS1878" t="str">
        <f>IF(LEN(X1878)=0,"",X1878)</f>
        <v/>
      </c>
      <c r="AX1878" s="6" t="str">
        <f>'Overview (Verification)'!A11</f>
        <v>Physical Address of Home:</v>
      </c>
      <c r="AY1878">
        <f>IF(LEN('Overview (Verification)'!P11)=0,0,'Overview (Verification)'!P11)</f>
        <v>0</v>
      </c>
    </row>
    <row r="1879" spans="1:61" x14ac:dyDescent="0.35">
      <c r="A1879" s="366">
        <v>9</v>
      </c>
      <c r="B1879" s="738" t="s">
        <v>3145</v>
      </c>
      <c r="C1879" s="731"/>
      <c r="D1879" s="731"/>
      <c r="E1879" s="731"/>
      <c r="F1879" s="731"/>
      <c r="G1879" s="366" t="str">
        <f>G1878</f>
        <v>P</v>
      </c>
      <c r="H1879" s="366" t="s">
        <v>3970</v>
      </c>
      <c r="I1879" s="93"/>
      <c r="J1879" s="4"/>
      <c r="K1879" s="4"/>
      <c r="L1879" s="838"/>
      <c r="M1879" s="818"/>
      <c r="N1879" s="834"/>
      <c r="O1879" s="834"/>
      <c r="X1879" s="817"/>
      <c r="Y1879" s="1100"/>
      <c r="Z1879" s="1102"/>
      <c r="AX1879" s="6" t="str">
        <f>'Overview (Verification)'!A12</f>
        <v>Community/Lot #:</v>
      </c>
      <c r="AY1879">
        <f>IF(LEN('Overview (Verification)'!P12)=0,0,'Overview (Verification)'!P12)</f>
        <v>0</v>
      </c>
    </row>
    <row r="1880" spans="1:61" x14ac:dyDescent="0.35">
      <c r="A1880" s="366">
        <v>9</v>
      </c>
      <c r="B1880" s="738" t="s">
        <v>3145</v>
      </c>
      <c r="C1880" s="731"/>
      <c r="D1880" s="731"/>
      <c r="E1880" s="731"/>
      <c r="F1880" s="731"/>
      <c r="G1880" s="366" t="str">
        <f>G1879</f>
        <v>P</v>
      </c>
      <c r="H1880" s="366" t="s">
        <v>3970</v>
      </c>
      <c r="I1880" s="93"/>
      <c r="J1880" s="4"/>
      <c r="K1880" s="4"/>
      <c r="L1880" s="838"/>
      <c r="M1880" s="818"/>
      <c r="N1880" s="834"/>
      <c r="O1880" s="834"/>
      <c r="X1880" s="817"/>
      <c r="Y1880" s="1100"/>
      <c r="Z1880" s="1102"/>
      <c r="AX1880" s="6" t="str">
        <f>'Overview (Verification)'!A13</f>
        <v>City:</v>
      </c>
      <c r="AY1880">
        <f>IF(LEN('Overview (Verification)'!P13)=0,0,'Overview (Verification)'!P13)</f>
        <v>0</v>
      </c>
    </row>
    <row r="1881" spans="1:61" x14ac:dyDescent="0.35">
      <c r="A1881" s="366">
        <v>9</v>
      </c>
      <c r="B1881" s="738" t="s">
        <v>3145</v>
      </c>
      <c r="C1881" s="731"/>
      <c r="D1881" s="731"/>
      <c r="E1881" s="731"/>
      <c r="F1881" s="731"/>
      <c r="G1881" s="366" t="str">
        <f>G1880</f>
        <v>P</v>
      </c>
      <c r="H1881" s="366" t="s">
        <v>3970</v>
      </c>
      <c r="I1881" s="93"/>
      <c r="J1881" s="4"/>
      <c r="K1881" s="4"/>
      <c r="L1881" s="838"/>
      <c r="M1881" s="818"/>
      <c r="N1881" s="834"/>
      <c r="O1881" s="834"/>
      <c r="X1881" s="817"/>
      <c r="Y1881" s="1100"/>
      <c r="Z1881" s="1102"/>
      <c r="AX1881" s="6" t="str">
        <f>'Overview (Verification)'!A14</f>
        <v>State:</v>
      </c>
      <c r="AY1881">
        <f>IF(LEN('Overview (Verification)'!P14)=0,0,'Overview (Verification)'!P14)</f>
        <v>0</v>
      </c>
      <c r="BC1881" t="str">
        <f>'Overview (Verification)'!T14</f>
        <v>State</v>
      </c>
      <c r="BD1881" t="str">
        <f>'Overview (Verification)'!U14</f>
        <v>County</v>
      </c>
      <c r="BE1881" t="str">
        <f>'Overview (Verification)'!V14</f>
        <v>Radon</v>
      </c>
      <c r="BF1881" t="str">
        <f>'Overview (Verification)'!W14</f>
        <v>Climate</v>
      </c>
      <c r="BG1881" t="str">
        <f>'Overview (Verification)'!X14</f>
        <v>Moist</v>
      </c>
      <c r="BH1881" t="str">
        <f>'Overview (Verification)'!Y14</f>
        <v>WarmHumid</v>
      </c>
    </row>
    <row r="1882" spans="1:61" x14ac:dyDescent="0.35">
      <c r="A1882" s="366">
        <v>9</v>
      </c>
      <c r="B1882" s="738" t="s">
        <v>3145</v>
      </c>
      <c r="C1882" s="731"/>
      <c r="D1882" s="731"/>
      <c r="E1882" s="731"/>
      <c r="F1882" s="731"/>
      <c r="G1882" s="366" t="str">
        <f>G1881</f>
        <v>P</v>
      </c>
      <c r="H1882" s="366" t="s">
        <v>3970</v>
      </c>
      <c r="I1882" s="93"/>
      <c r="J1882" s="4"/>
      <c r="K1882" s="4"/>
      <c r="L1882" s="955" t="s">
        <v>3378</v>
      </c>
      <c r="M1882" s="818"/>
      <c r="N1882" s="834"/>
      <c r="O1882" s="834"/>
      <c r="X1882" s="817"/>
      <c r="Y1882" s="1100"/>
      <c r="Z1882" s="1102"/>
      <c r="AX1882" s="6" t="str">
        <f>'Overview (Verification)'!A15</f>
        <v>County:</v>
      </c>
      <c r="AY1882">
        <f>IF(LEN('Overview (Verification)'!P15)=0,0,'Overview (Verification)'!P15)</f>
        <v>0</v>
      </c>
      <c r="BC1882" t="str">
        <f>'Overview (Verification)'!T15</f>
        <v/>
      </c>
      <c r="BD1882" t="str">
        <f>'Overview (Verification)'!U15</f>
        <v/>
      </c>
      <c r="BE1882" t="str">
        <f>'Overview (Verification)'!V15</f>
        <v>!!</v>
      </c>
      <c r="BF1882" t="str">
        <f>'Overview (Verification)'!W15</f>
        <v>!!</v>
      </c>
      <c r="BG1882" t="str">
        <f>'Overview (Verification)'!X15</f>
        <v>!!</v>
      </c>
      <c r="BH1882" t="str">
        <f>'Overview (Verification)'!Y15</f>
        <v>!!</v>
      </c>
    </row>
    <row r="1883" spans="1:61" x14ac:dyDescent="0.35">
      <c r="A1883" s="366">
        <v>9</v>
      </c>
      <c r="B1883" s="738" t="s">
        <v>3145</v>
      </c>
      <c r="C1883" s="731"/>
      <c r="D1883" s="731"/>
      <c r="E1883" s="731"/>
      <c r="F1883" s="731"/>
      <c r="G1883" s="366" t="str">
        <f>G1882</f>
        <v>P</v>
      </c>
      <c r="H1883" s="366" t="s">
        <v>3970</v>
      </c>
      <c r="I1883" s="320"/>
      <c r="J1883" s="133"/>
      <c r="K1883" s="133"/>
      <c r="L1883" s="969"/>
      <c r="M1883" s="819"/>
      <c r="N1883" s="835"/>
      <c r="O1883" s="835"/>
      <c r="P1883" s="104"/>
      <c r="Q1883" s="104"/>
      <c r="R1883" s="104"/>
      <c r="S1883" s="104"/>
      <c r="T1883" s="104"/>
      <c r="U1883" s="104"/>
      <c r="V1883" s="104"/>
      <c r="W1883" s="104"/>
      <c r="X1883" s="817"/>
      <c r="Y1883" s="1100"/>
      <c r="Z1883" s="1102"/>
      <c r="AX1883" s="6" t="str">
        <f>'Overview (Verification)'!A16</f>
        <v>Zip:</v>
      </c>
      <c r="AY1883">
        <f>IF(LEN('Overview (Verification)'!P16)=0,0,'Overview (Verification)'!P16)</f>
        <v>0</v>
      </c>
    </row>
    <row r="1884" spans="1:61" x14ac:dyDescent="0.35">
      <c r="A1884" s="366">
        <v>9</v>
      </c>
      <c r="B1884" s="738" t="s">
        <v>3147</v>
      </c>
      <c r="C1884" s="731"/>
      <c r="D1884" s="731"/>
      <c r="E1884" s="731"/>
      <c r="F1884" s="731"/>
      <c r="G1884" s="366" t="str">
        <f>IF(N1884&gt;0,"P","")</f>
        <v/>
      </c>
      <c r="H1884" s="366" t="s">
        <v>3971</v>
      </c>
      <c r="I1884" s="117" t="s">
        <v>3147</v>
      </c>
      <c r="J1884" s="118"/>
      <c r="K1884" s="118"/>
      <c r="L1884" s="905" t="s">
        <v>3148</v>
      </c>
      <c r="M1884" s="822">
        <v>5</v>
      </c>
      <c r="N1884" s="963">
        <f>'Ch9'!O18</f>
        <v>0</v>
      </c>
      <c r="O1884" s="963">
        <f>M1884*S1884*W1884</f>
        <v>0</v>
      </c>
      <c r="P1884" t="b">
        <v>1</v>
      </c>
      <c r="Q1884" t="b">
        <v>0</v>
      </c>
      <c r="R1884" s="120" t="b">
        <v>0</v>
      </c>
      <c r="S1884" s="120" t="b">
        <v>1</v>
      </c>
      <c r="T1884" s="120" t="b">
        <v>0</v>
      </c>
      <c r="U1884" s="120"/>
      <c r="V1884" s="120"/>
      <c r="W1884" s="17"/>
      <c r="X1884" s="817"/>
      <c r="Y1884" s="1100" t="str">
        <f>IF(LEN('Ch9'!X18)=0,"None",'Ch9'!X18)</f>
        <v>None</v>
      </c>
      <c r="Z1884" s="1102"/>
      <c r="AL1884" t="str">
        <f>SUBSTITUTE(SUBSTITUTE(SUBSTITUTE("vpa"&amp;$B1884&amp;$C1884&amp;$D1884&amp;$E1884,".","_"),"(","_"),")","")</f>
        <v>vpa901_1_2</v>
      </c>
      <c r="AM1884">
        <f>M1884</f>
        <v>5</v>
      </c>
      <c r="AN1884" t="str">
        <f>SUBSTITUTE(SUBSTITUTE(SUBSTITUTE("vpc"&amp;$B1884&amp;$C1884&amp;$D1884&amp;$E1884,".","_"),"(","_"),")","")</f>
        <v>vpc901_1_2</v>
      </c>
      <c r="AO1884">
        <f>O1884</f>
        <v>0</v>
      </c>
      <c r="AP1884" t="str">
        <f>SUBSTITUTE(SUBSTITUTE(SUBSTITUTE("vch"&amp;$B1884&amp;$C1884&amp;$D1884&amp;$E1884,".","_"),"(","_"),")","")</f>
        <v>vch901_1_2</v>
      </c>
      <c r="AQ1884" t="str">
        <f>IF(LEN(W1884)=0,"",W1884)</f>
        <v/>
      </c>
      <c r="AR1884" t="str">
        <f>SUBSTITUTE(SUBSTITUTE(SUBSTITUTE("vnt"&amp;$B1884&amp;$C1884&amp;$D1884&amp;$E1884,".","_"),"(","_"),")","")</f>
        <v>vnt901_1_2</v>
      </c>
      <c r="AS1884" t="str">
        <f>IF(LEN(X1884)=0,"",X1884)</f>
        <v/>
      </c>
      <c r="AX1884" s="6"/>
    </row>
    <row r="1885" spans="1:61" x14ac:dyDescent="0.35">
      <c r="A1885" s="366">
        <v>9</v>
      </c>
      <c r="B1885" s="738" t="s">
        <v>3147</v>
      </c>
      <c r="C1885" s="731"/>
      <c r="D1885" s="731"/>
      <c r="E1885" s="731"/>
      <c r="F1885" s="731"/>
      <c r="G1885" s="366" t="str">
        <f>G1884</f>
        <v/>
      </c>
      <c r="H1885" s="366" t="s">
        <v>3971</v>
      </c>
      <c r="I1885" s="93"/>
      <c r="J1885" s="4"/>
      <c r="K1885" s="4"/>
      <c r="L1885" s="838"/>
      <c r="M1885" s="818"/>
      <c r="N1885" s="834"/>
      <c r="O1885" s="834"/>
      <c r="X1885" s="817"/>
      <c r="Y1885" s="1100"/>
      <c r="Z1885" s="1102"/>
      <c r="AX1885" s="6" t="str">
        <f>'Overview (Verification)'!A18</f>
        <v>Single-Family or Multifamily:</v>
      </c>
      <c r="AY1885" t="str">
        <f>IF(LEN('Overview (Verification)'!P18)=0,0,'Overview (Verification)'!P18)</f>
        <v>Single-Family</v>
      </c>
    </row>
    <row r="1886" spans="1:61" x14ac:dyDescent="0.35">
      <c r="A1886" s="366">
        <v>9</v>
      </c>
      <c r="B1886" s="738" t="s">
        <v>3147</v>
      </c>
      <c r="C1886" s="731"/>
      <c r="D1886" s="731"/>
      <c r="E1886" s="731"/>
      <c r="F1886" s="731"/>
      <c r="G1886" s="366" t="str">
        <f>G1885</f>
        <v/>
      </c>
      <c r="H1886" s="366" t="s">
        <v>3971</v>
      </c>
      <c r="I1886" s="320"/>
      <c r="J1886" s="133"/>
      <c r="K1886" s="133"/>
      <c r="L1886" s="284" t="s">
        <v>3660</v>
      </c>
      <c r="M1886" s="268"/>
      <c r="N1886" s="546"/>
      <c r="O1886" s="546"/>
      <c r="P1886" s="104"/>
      <c r="Q1886" s="104"/>
      <c r="R1886" s="104"/>
      <c r="S1886" s="104"/>
      <c r="T1886" s="104"/>
      <c r="U1886" s="104"/>
      <c r="V1886" s="104"/>
      <c r="W1886" s="104"/>
      <c r="X1886" s="817"/>
      <c r="Y1886" s="1100"/>
      <c r="Z1886" s="1102"/>
      <c r="AX1886" s="6" t="str">
        <f>'Overview (Verification)'!A19</f>
        <v>Number of Units:</v>
      </c>
      <c r="AY1886">
        <f>IF(LEN('Overview (Verification)'!P19)=0,0,'Overview (Verification)'!P19)</f>
        <v>0</v>
      </c>
    </row>
    <row r="1887" spans="1:61" x14ac:dyDescent="0.35">
      <c r="A1887" s="366">
        <v>9</v>
      </c>
      <c r="B1887" s="738" t="s">
        <v>3149</v>
      </c>
      <c r="C1887" s="731"/>
      <c r="D1887" s="731"/>
      <c r="E1887" s="731"/>
      <c r="F1887" s="731"/>
      <c r="G1887" s="727" t="str">
        <f ca="1">IF(COUNTIF(G1889:G1892,"P")&gt;0,"P","")</f>
        <v>P</v>
      </c>
      <c r="H1887" s="366" t="s">
        <v>3970</v>
      </c>
      <c r="I1887" s="30" t="s">
        <v>3149</v>
      </c>
      <c r="J1887" s="4"/>
      <c r="K1887" s="4"/>
      <c r="L1887" s="838" t="s">
        <v>3150</v>
      </c>
      <c r="M1887" s="40"/>
      <c r="N1887" s="41"/>
      <c r="O1887" s="41"/>
      <c r="AX1887" s="6" t="str">
        <f>'Overview (Verification)'!A20</f>
        <v>Building includes commercial space pursuing Commercial Space certification?</v>
      </c>
      <c r="AY1887">
        <f>IF(LEN('Overview (Verification)'!P20)=0,0,'Overview (Verification)'!P20)</f>
        <v>0</v>
      </c>
    </row>
    <row r="1888" spans="1:61" x14ac:dyDescent="0.35">
      <c r="A1888" s="366">
        <v>9</v>
      </c>
      <c r="B1888" s="738" t="s">
        <v>3149</v>
      </c>
      <c r="C1888" s="731"/>
      <c r="D1888" s="731"/>
      <c r="E1888" s="731"/>
      <c r="F1888" s="731"/>
      <c r="G1888" s="366" t="str">
        <f ca="1">G1887</f>
        <v>P</v>
      </c>
      <c r="H1888" s="366" t="s">
        <v>3970</v>
      </c>
      <c r="I1888" s="93"/>
      <c r="J1888" s="4"/>
      <c r="K1888" s="4"/>
      <c r="L1888" s="838"/>
      <c r="M1888" s="40"/>
      <c r="N1888" s="41"/>
      <c r="O1888" s="41"/>
    </row>
    <row r="1889" spans="1:51" x14ac:dyDescent="0.35">
      <c r="A1889" s="366">
        <v>9</v>
      </c>
      <c r="B1889" s="738" t="s">
        <v>3149</v>
      </c>
      <c r="C1889" s="731" t="s">
        <v>256</v>
      </c>
      <c r="D1889" s="731"/>
      <c r="E1889" s="731"/>
      <c r="F1889" s="731"/>
      <c r="G1889" s="366" t="str">
        <f ca="1">IF(N1889&gt;0,"P","")</f>
        <v>P</v>
      </c>
      <c r="H1889" s="366" t="s">
        <v>3970</v>
      </c>
      <c r="I1889" s="93"/>
      <c r="J1889" s="19" t="s">
        <v>256</v>
      </c>
      <c r="K1889" s="4"/>
      <c r="L1889" s="90" t="s">
        <v>3151</v>
      </c>
      <c r="M1889" s="40"/>
      <c r="N1889" s="41">
        <f ca="1">'Ch9'!O23</f>
        <v>5</v>
      </c>
      <c r="O1889" s="41">
        <f ca="1">IFERROR(INDEX({3,5},MATCH(W1889,INDIRECT(U1889),0)),0)*S1889</f>
        <v>0</v>
      </c>
      <c r="P1889" t="b">
        <v>1</v>
      </c>
      <c r="Q1889" t="b">
        <v>1</v>
      </c>
      <c r="R1889" t="b">
        <v>0</v>
      </c>
      <c r="S1889" t="b">
        <f>OR(AY1901=INDEX(ddHeat1,1),AY1901=INDEX(ddHeat1,2),AY1902=INDEX(ddHeat2,1),AY1902=INDEX(ddHeat2,2),AY1903=INDEX(ddHeat3,1),AY1903=INDEX(ddHeat3,2))</f>
        <v>0</v>
      </c>
      <c r="T1889" t="b">
        <f>AND(NOT(S1889),LEN(W1889)&gt;0)</f>
        <v>0</v>
      </c>
      <c r="U1889" t="str">
        <f>SUBSTITUTE(SUBSTITUTE(SUBSTITUTE("dd"&amp;B1889&amp;C1889&amp;D1889&amp;E1889&amp;F1889,".","_"),"(","_"),")","")</f>
        <v>dd901_1_3_1</v>
      </c>
      <c r="W1889" s="9"/>
      <c r="X1889" s="817"/>
      <c r="Y1889" s="1100" t="str">
        <f>IF(LEN('Ch9'!X23)=0,"None",'Ch9'!X23)</f>
        <v>None</v>
      </c>
      <c r="Z1889" s="1102"/>
      <c r="AC1889" t="b">
        <f>OR(AD1889:AE1889)</f>
        <v>0</v>
      </c>
      <c r="AD1889" t="b">
        <f>T1889</f>
        <v>0</v>
      </c>
      <c r="AN1889" t="str">
        <f>SUBSTITUTE(SUBSTITUTE(SUBSTITUTE("vpc"&amp;$B1889&amp;$C1889&amp;$D1889&amp;$E1889,".","_"),"(","_"),")","")</f>
        <v>vpc901_1_3_1</v>
      </c>
      <c r="AO1889">
        <f ca="1">O1889</f>
        <v>0</v>
      </c>
      <c r="AP1889" t="str">
        <f>SUBSTITUTE(SUBSTITUTE(SUBSTITUTE("vch"&amp;$B1889&amp;$C1889&amp;$D1889&amp;$E1889,".","_"),"(","_"),")","")</f>
        <v>vch901_1_3_1</v>
      </c>
      <c r="AQ1889" t="str">
        <f>IF(LEN(W1889)=0,"",W1889)</f>
        <v/>
      </c>
      <c r="AR1889" t="str">
        <f>SUBSTITUTE(SUBSTITUTE(SUBSTITUTE("vnt"&amp;$B1889&amp;$C1889&amp;$D1889&amp;$E1889,".","_"),"(","_"),")","")</f>
        <v>vnt901_1_3_1</v>
      </c>
      <c r="AS1889" t="str">
        <f>IF(LEN(X1889)=0,"",X1889)</f>
        <v/>
      </c>
    </row>
    <row r="1890" spans="1:51" x14ac:dyDescent="0.35">
      <c r="A1890" s="366">
        <v>9</v>
      </c>
      <c r="B1890" s="738" t="s">
        <v>3149</v>
      </c>
      <c r="C1890" s="731" t="s">
        <v>256</v>
      </c>
      <c r="D1890" s="737" t="s">
        <v>121</v>
      </c>
      <c r="E1890" s="737"/>
      <c r="F1890" s="737"/>
      <c r="G1890" s="366" t="str">
        <f ca="1">G1889</f>
        <v>P</v>
      </c>
      <c r="H1890" s="748" t="s">
        <v>3970</v>
      </c>
      <c r="I1890" s="93"/>
      <c r="J1890" s="19"/>
      <c r="K1890" s="19" t="s">
        <v>121</v>
      </c>
      <c r="L1890" s="90" t="s">
        <v>3152</v>
      </c>
      <c r="M1890" s="40">
        <v>3</v>
      </c>
      <c r="N1890" s="41"/>
      <c r="O1890" s="41"/>
      <c r="X1890" s="817"/>
      <c r="Y1890" s="1100"/>
      <c r="Z1890" s="1102"/>
      <c r="AL1890" t="str">
        <f>SUBSTITUTE(SUBSTITUTE(SUBSTITUTE("vpa"&amp;$B1890&amp;$C1890&amp;$D1890&amp;$E1890,".","_"),"(","_"),")","")</f>
        <v>vpa901_1_3_1_a</v>
      </c>
      <c r="AM1890">
        <f>M1890</f>
        <v>3</v>
      </c>
      <c r="AX1890" s="6" t="str">
        <f>'Overview (Verification)'!A23</f>
        <v>Project Name:</v>
      </c>
      <c r="AY1890">
        <f>IF(LEN('Overview (Verification)'!P23)=0,0,'Overview (Verification)'!P23)</f>
        <v>0</v>
      </c>
    </row>
    <row r="1891" spans="1:51" x14ac:dyDescent="0.35">
      <c r="A1891" s="366">
        <v>9</v>
      </c>
      <c r="B1891" s="738" t="s">
        <v>3149</v>
      </c>
      <c r="C1891" s="731" t="s">
        <v>256</v>
      </c>
      <c r="D1891" s="737" t="s">
        <v>122</v>
      </c>
      <c r="E1891" s="737"/>
      <c r="F1891" s="737"/>
      <c r="G1891" s="366" t="str">
        <f ca="1">G1890</f>
        <v>P</v>
      </c>
      <c r="H1891" s="748" t="s">
        <v>3970</v>
      </c>
      <c r="I1891" s="93"/>
      <c r="J1891" s="129"/>
      <c r="K1891" s="129" t="s">
        <v>122</v>
      </c>
      <c r="L1891" s="228" t="s">
        <v>3153</v>
      </c>
      <c r="M1891" s="268">
        <v>5</v>
      </c>
      <c r="N1891" s="546"/>
      <c r="O1891" s="546"/>
      <c r="X1891" s="817"/>
      <c r="Y1891" s="1100"/>
      <c r="Z1891" s="1102"/>
      <c r="AL1891" t="str">
        <f>SUBSTITUTE(SUBSTITUTE(SUBSTITUTE("vpa"&amp;$B1891&amp;$C1891&amp;$D1891&amp;$E1891,".","_"),"(","_"),")","")</f>
        <v>vpa901_1_3_1_b</v>
      </c>
      <c r="AM1891">
        <f>M1891</f>
        <v>5</v>
      </c>
      <c r="AX1891" s="6"/>
    </row>
    <row r="1892" spans="1:51" x14ac:dyDescent="0.35">
      <c r="A1892" s="366">
        <v>9</v>
      </c>
      <c r="B1892" s="738" t="s">
        <v>3149</v>
      </c>
      <c r="C1892" s="731" t="s">
        <v>258</v>
      </c>
      <c r="D1892" s="737"/>
      <c r="E1892" s="737"/>
      <c r="F1892" s="737"/>
      <c r="G1892" s="366" t="str">
        <f ca="1">IF(N1892&gt;0,"P","")</f>
        <v/>
      </c>
      <c r="H1892" s="377" t="s">
        <v>3970</v>
      </c>
      <c r="I1892" s="93"/>
      <c r="J1892" s="19" t="s">
        <v>258</v>
      </c>
      <c r="K1892" s="4"/>
      <c r="L1892" s="90" t="s">
        <v>3154</v>
      </c>
      <c r="M1892" s="40"/>
      <c r="N1892" s="41">
        <f ca="1">'Ch9'!O26</f>
        <v>0</v>
      </c>
      <c r="O1892" s="41">
        <f ca="1">IFERROR(INDEX({3,5},MATCH(W1892,INDIRECT(U1892),0)),0)*S1892</f>
        <v>0</v>
      </c>
      <c r="P1892" t="b">
        <v>1</v>
      </c>
      <c r="Q1892" t="b">
        <v>1</v>
      </c>
      <c r="R1892" t="b">
        <v>0</v>
      </c>
      <c r="S1892" t="b">
        <v>1</v>
      </c>
      <c r="T1892" t="b">
        <v>0</v>
      </c>
      <c r="U1892" t="str">
        <f>SUBSTITUTE(SUBSTITUTE(SUBSTITUTE("dd"&amp;B1892&amp;C1892&amp;D1892&amp;E1892&amp;F1892,".","_"),"(","_"),")","")</f>
        <v>dd901_1_3_2</v>
      </c>
      <c r="W1892" s="9"/>
      <c r="X1892" s="817"/>
      <c r="Y1892" s="1100" t="str">
        <f>IF(LEN('Ch9'!X26)=0,"None",'Ch9'!X26)</f>
        <v>None</v>
      </c>
      <c r="Z1892" s="1102"/>
      <c r="AN1892" t="str">
        <f>SUBSTITUTE(SUBSTITUTE(SUBSTITUTE("vpc"&amp;$B1892&amp;$C1892&amp;$D1892&amp;$E1892,".","_"),"(","_"),")","")</f>
        <v>vpc901_1_3_2</v>
      </c>
      <c r="AO1892">
        <f ca="1">O1892</f>
        <v>0</v>
      </c>
      <c r="AP1892" t="str">
        <f>SUBSTITUTE(SUBSTITUTE(SUBSTITUTE("vch"&amp;$B1892&amp;$C1892&amp;$D1892&amp;$E1892,".","_"),"(","_"),")","")</f>
        <v>vch901_1_3_2</v>
      </c>
      <c r="AQ1892" t="str">
        <f>IF(LEN(W1892)=0,"",W1892)</f>
        <v/>
      </c>
      <c r="AR1892" t="str">
        <f>SUBSTITUTE(SUBSTITUTE(SUBSTITUTE("vnt"&amp;$B1892&amp;$C1892&amp;$D1892&amp;$E1892,".","_"),"(","_"),")","")</f>
        <v>vnt901_1_3_2</v>
      </c>
      <c r="AS1892" t="str">
        <f>IF(LEN(X1892)=0,"",X1892)</f>
        <v/>
      </c>
      <c r="AX1892" s="6" t="str">
        <f>'Overview (Verification)'!A25</f>
        <v>Above grade plane finished floor area:</v>
      </c>
      <c r="AY1892">
        <f>IF(LEN('Overview (Verification)'!P25)=0,0,'Overview (Verification)'!P25)</f>
        <v>0</v>
      </c>
    </row>
    <row r="1893" spans="1:51" x14ac:dyDescent="0.35">
      <c r="A1893" s="366">
        <v>9</v>
      </c>
      <c r="B1893" s="738" t="s">
        <v>3149</v>
      </c>
      <c r="C1893" s="731" t="s">
        <v>258</v>
      </c>
      <c r="D1893" s="737" t="s">
        <v>121</v>
      </c>
      <c r="E1893" s="737"/>
      <c r="F1893" s="737"/>
      <c r="G1893" s="366" t="str">
        <f ca="1">G1892</f>
        <v/>
      </c>
      <c r="H1893" s="748" t="s">
        <v>3970</v>
      </c>
      <c r="I1893" s="93"/>
      <c r="J1893" s="4"/>
      <c r="K1893" s="19" t="s">
        <v>121</v>
      </c>
      <c r="L1893" s="90" t="s">
        <v>3155</v>
      </c>
      <c r="M1893" s="40">
        <v>3</v>
      </c>
      <c r="N1893" s="41"/>
      <c r="O1893" s="41"/>
      <c r="X1893" s="817"/>
      <c r="Y1893" s="1100"/>
      <c r="Z1893" s="1102"/>
      <c r="AL1893" t="str">
        <f>SUBSTITUTE(SUBSTITUTE(SUBSTITUTE("vpa"&amp;$B1893&amp;$C1893&amp;$D1893&amp;$E1893,".","_"),"(","_"),")","")</f>
        <v>vpa901_1_3_2_a</v>
      </c>
      <c r="AM1893">
        <f>M1893</f>
        <v>3</v>
      </c>
      <c r="AX1893" s="6" t="str">
        <f>'Overview (Verification)'!A26</f>
        <v>Total conditioned floor area:</v>
      </c>
      <c r="AY1893">
        <f>IF(LEN('Overview (Verification)'!P26)=0,0,'Overview (Verification)'!P26)</f>
        <v>0</v>
      </c>
    </row>
    <row r="1894" spans="1:51" x14ac:dyDescent="0.35">
      <c r="A1894" s="366">
        <v>9</v>
      </c>
      <c r="B1894" s="738" t="s">
        <v>3149</v>
      </c>
      <c r="C1894" s="731" t="s">
        <v>258</v>
      </c>
      <c r="D1894" s="737" t="s">
        <v>122</v>
      </c>
      <c r="E1894" s="737"/>
      <c r="F1894" s="737"/>
      <c r="G1894" s="366" t="str">
        <f ca="1">G1893</f>
        <v/>
      </c>
      <c r="H1894" s="748" t="s">
        <v>3970</v>
      </c>
      <c r="I1894" s="320"/>
      <c r="J1894" s="133"/>
      <c r="K1894" s="129" t="s">
        <v>122</v>
      </c>
      <c r="L1894" s="228" t="s">
        <v>3156</v>
      </c>
      <c r="M1894" s="268">
        <v>5</v>
      </c>
      <c r="N1894" s="546"/>
      <c r="O1894" s="546"/>
      <c r="P1894" s="104"/>
      <c r="Q1894" s="104"/>
      <c r="R1894" s="104"/>
      <c r="S1894" s="104"/>
      <c r="T1894" s="104"/>
      <c r="U1894" s="104"/>
      <c r="V1894" s="104"/>
      <c r="W1894" s="104"/>
      <c r="X1894" s="817"/>
      <c r="Y1894" s="1100"/>
      <c r="Z1894" s="1102"/>
      <c r="AL1894" t="str">
        <f>SUBSTITUTE(SUBSTITUTE(SUBSTITUTE("vpa"&amp;$B1894&amp;$C1894&amp;$D1894&amp;$E1894,".","_"),"(","_"),")","")</f>
        <v>vpa901_1_3_2_b</v>
      </c>
      <c r="AM1894">
        <f>M1894</f>
        <v>5</v>
      </c>
      <c r="AX1894" s="6" t="str">
        <f>'Overview (Verification)'!A27</f>
        <v>Stories above grade:</v>
      </c>
      <c r="AY1894">
        <f>IF(LEN('Overview (Verification)'!P27)=0,0,'Overview (Verification)'!P27)</f>
        <v>0</v>
      </c>
    </row>
    <row r="1895" spans="1:51" ht="15" customHeight="1" x14ac:dyDescent="0.35">
      <c r="A1895" s="366">
        <v>9</v>
      </c>
      <c r="B1895" s="738" t="s">
        <v>3157</v>
      </c>
      <c r="C1895" s="731"/>
      <c r="D1895" s="731"/>
      <c r="E1895" s="731"/>
      <c r="F1895" s="731"/>
      <c r="G1895" s="366" t="s">
        <v>3973</v>
      </c>
      <c r="H1895" s="366" t="s">
        <v>3971</v>
      </c>
      <c r="I1895" s="30" t="s">
        <v>3157</v>
      </c>
      <c r="J1895" s="4"/>
      <c r="K1895" s="4"/>
      <c r="L1895" s="838" t="s">
        <v>4485</v>
      </c>
      <c r="M1895" s="885" t="str">
        <f>IF(R1895,"Mandatory","N/A")</f>
        <v>Mandatory</v>
      </c>
      <c r="N1895" s="41"/>
      <c r="O1895" s="41"/>
      <c r="P1895" t="b">
        <v>1</v>
      </c>
      <c r="Q1895" t="b">
        <v>0</v>
      </c>
      <c r="R1895" t="b">
        <f>S1895</f>
        <v>1</v>
      </c>
      <c r="S1895" t="b">
        <v>1</v>
      </c>
      <c r="T1895" t="b">
        <v>0</v>
      </c>
      <c r="U1895" t="str">
        <f>SUBSTITUTE(SUBSTITUTE(SUBSTITUTE("dd"&amp;B1895&amp;C1895&amp;D1895&amp;E1895&amp;F1895,".","_"),"(","_"),")","")</f>
        <v>dd901_1_4</v>
      </c>
      <c r="W1895" s="9"/>
      <c r="X1895" s="816"/>
      <c r="Y1895" s="1100" t="str">
        <f>IF(LEN('Ch9'!X29)=0,"None",'Ch9'!X29)</f>
        <v>None</v>
      </c>
      <c r="Z1895" s="1102"/>
      <c r="AC1895" t="b">
        <f>OR(AD1895:AE1895)</f>
        <v>1</v>
      </c>
      <c r="AD1895" t="b">
        <f>T1895</f>
        <v>0</v>
      </c>
      <c r="AE1895" t="b">
        <f>AND(R1895,OR(W1895="Not Met",W1895=""))</f>
        <v>1</v>
      </c>
      <c r="AF1895" t="b">
        <f>AND(AE1895,NOT(Q1895))</f>
        <v>1</v>
      </c>
      <c r="AL1895" t="str">
        <f>SUBSTITUTE(SUBSTITUTE(SUBSTITUTE("vpa"&amp;$B1895&amp;$C1895&amp;$D1895&amp;$E1895,".","_"),"(","_"),")","")</f>
        <v>vpa901_1_4</v>
      </c>
      <c r="AM1895" t="str">
        <f>M1895</f>
        <v>Mandatory</v>
      </c>
      <c r="AP1895" t="str">
        <f>SUBSTITUTE(SUBSTITUTE(SUBSTITUTE("vch"&amp;$B1895&amp;$C1895&amp;$D1895&amp;$E1895,".","_"),"(","_"),")","")</f>
        <v>vch901_1_4</v>
      </c>
      <c r="AQ1895" t="str">
        <f>IF(LEN(W1895)=0,"",W1895)</f>
        <v/>
      </c>
      <c r="AR1895" t="str">
        <f>SUBSTITUTE(SUBSTITUTE(SUBSTITUTE("vnt"&amp;$B1895&amp;$C1895&amp;$D1895&amp;$E1895,".","_"),"(","_"),")","")</f>
        <v>vnt901_1_4</v>
      </c>
      <c r="AS1895" t="str">
        <f>IF(LEN(X1895)=0,"",X1895)</f>
        <v/>
      </c>
      <c r="AX1895" s="6" t="str">
        <f>'Overview (Verification)'!A28</f>
        <v>Project Elevation (ft. above sea level):</v>
      </c>
      <c r="AY1895">
        <f>IF(LEN('Overview (Verification)'!P28)=0,0,'Overview (Verification)'!P28)</f>
        <v>0</v>
      </c>
    </row>
    <row r="1896" spans="1:51" x14ac:dyDescent="0.35">
      <c r="A1896" s="366">
        <v>9</v>
      </c>
      <c r="B1896" s="738" t="s">
        <v>3157</v>
      </c>
      <c r="C1896" s="731"/>
      <c r="D1896" s="731"/>
      <c r="E1896" s="731"/>
      <c r="F1896" s="731"/>
      <c r="G1896" s="366" t="s">
        <v>3973</v>
      </c>
      <c r="H1896" s="366" t="s">
        <v>3971</v>
      </c>
      <c r="I1896" s="93"/>
      <c r="J1896" s="4"/>
      <c r="K1896" s="4"/>
      <c r="L1896" s="838"/>
      <c r="M1896" s="885"/>
      <c r="N1896" s="41"/>
      <c r="O1896" s="41"/>
      <c r="X1896" s="817"/>
      <c r="Y1896" s="1100"/>
      <c r="Z1896" s="1102"/>
      <c r="AX1896" s="6"/>
    </row>
    <row r="1897" spans="1:51" x14ac:dyDescent="0.35">
      <c r="A1897" s="366">
        <v>9</v>
      </c>
      <c r="B1897" s="738" t="s">
        <v>3157</v>
      </c>
      <c r="C1897" s="731"/>
      <c r="D1897" s="731"/>
      <c r="E1897" s="731"/>
      <c r="F1897" s="731"/>
      <c r="G1897" s="366" t="s">
        <v>3973</v>
      </c>
      <c r="H1897" s="366" t="s">
        <v>3971</v>
      </c>
      <c r="I1897" s="93"/>
      <c r="J1897" s="4"/>
      <c r="K1897" s="4"/>
      <c r="L1897" s="838"/>
      <c r="M1897" s="885"/>
      <c r="N1897" s="41"/>
      <c r="O1897" s="41"/>
      <c r="X1897" s="817"/>
      <c r="Y1897" s="1100"/>
      <c r="Z1897" s="1102"/>
      <c r="AX1897" s="6" t="str">
        <f>'Overview (Verification)'!A30</f>
        <v xml:space="preserve">Project Description (optional): </v>
      </c>
      <c r="AY1897">
        <f>IF(LEN('Overview (Verification)'!P30)=0,0,'Overview (Verification)'!P30)</f>
        <v>0</v>
      </c>
    </row>
    <row r="1898" spans="1:51" x14ac:dyDescent="0.35">
      <c r="A1898" s="366">
        <v>9</v>
      </c>
      <c r="B1898" s="738" t="s">
        <v>3157</v>
      </c>
      <c r="C1898" s="731"/>
      <c r="D1898" s="731"/>
      <c r="E1898" s="731"/>
      <c r="F1898" s="731"/>
      <c r="G1898" s="366" t="s">
        <v>3973</v>
      </c>
      <c r="H1898" s="366" t="s">
        <v>3971</v>
      </c>
      <c r="I1898" s="93"/>
      <c r="J1898" s="4"/>
      <c r="K1898" s="4"/>
      <c r="L1898" s="838"/>
      <c r="M1898" s="885"/>
      <c r="N1898" s="41"/>
      <c r="O1898" s="41"/>
      <c r="X1898" s="817"/>
      <c r="Y1898" s="1100"/>
      <c r="Z1898" s="1102"/>
      <c r="AX1898" s="6"/>
    </row>
    <row r="1899" spans="1:51" x14ac:dyDescent="0.35">
      <c r="A1899" s="366">
        <v>9</v>
      </c>
      <c r="B1899" s="738" t="s">
        <v>3157</v>
      </c>
      <c r="C1899" s="731"/>
      <c r="D1899" s="731"/>
      <c r="E1899" s="731"/>
      <c r="F1899" s="731"/>
      <c r="G1899" s="366" t="s">
        <v>3973</v>
      </c>
      <c r="H1899" s="366" t="s">
        <v>3971</v>
      </c>
      <c r="I1899" s="320"/>
      <c r="J1899" s="133"/>
      <c r="K1899" s="133"/>
      <c r="L1899" s="889"/>
      <c r="M1899" s="890"/>
      <c r="N1899" s="546"/>
      <c r="O1899" s="546"/>
      <c r="P1899" s="104"/>
      <c r="Q1899" s="104"/>
      <c r="R1899" s="104"/>
      <c r="S1899" s="104"/>
      <c r="T1899" s="104"/>
      <c r="U1899" s="104"/>
      <c r="V1899" s="104"/>
      <c r="W1899" s="104"/>
      <c r="X1899" s="817"/>
      <c r="Y1899" s="1100"/>
      <c r="Z1899" s="1102"/>
      <c r="AX1899" s="6" t="str">
        <f>'Overview (Verification)'!A32</f>
        <v>Foundation Type:</v>
      </c>
      <c r="AY1899">
        <f>IF(LEN('Overview (Verification)'!P32)=0,0,'Overview (Verification)'!P32)</f>
        <v>0</v>
      </c>
    </row>
    <row r="1900" spans="1:51" x14ac:dyDescent="0.35">
      <c r="A1900" s="366">
        <v>9</v>
      </c>
      <c r="B1900" s="738" t="s">
        <v>3158</v>
      </c>
      <c r="C1900" s="731"/>
      <c r="D1900" s="731"/>
      <c r="E1900" s="731"/>
      <c r="F1900" s="731"/>
      <c r="G1900" s="366" t="str">
        <f>IF(N1900&gt;0,"P","")</f>
        <v/>
      </c>
      <c r="H1900" s="366" t="s">
        <v>3970</v>
      </c>
      <c r="I1900" s="30" t="s">
        <v>3158</v>
      </c>
      <c r="J1900" s="4"/>
      <c r="K1900" s="4"/>
      <c r="L1900" s="838" t="s">
        <v>3159</v>
      </c>
      <c r="M1900" s="818">
        <v>7</v>
      </c>
      <c r="N1900" s="834">
        <f>'Ch9'!O34</f>
        <v>0</v>
      </c>
      <c r="O1900" s="834">
        <f>M1900*S1900*W1900</f>
        <v>0</v>
      </c>
      <c r="P1900" t="b">
        <v>1</v>
      </c>
      <c r="Q1900" t="b">
        <v>1</v>
      </c>
      <c r="R1900" t="b">
        <v>0</v>
      </c>
      <c r="S1900" t="b">
        <f>NOT(W1895="N/A")</f>
        <v>1</v>
      </c>
      <c r="T1900" t="b">
        <f>AND(NOT(S1900),W1900=TRUE)</f>
        <v>0</v>
      </c>
      <c r="W1900" s="17"/>
      <c r="X1900" s="816"/>
      <c r="Y1900" s="1100" t="str">
        <f>IF(LEN('Ch9'!X34)=0,"None",'Ch9'!X34)</f>
        <v>None</v>
      </c>
      <c r="Z1900" s="1102"/>
      <c r="AC1900" t="b">
        <f>OR(AD1900:AE1900)</f>
        <v>0</v>
      </c>
      <c r="AD1900" t="b">
        <f>T1900</f>
        <v>0</v>
      </c>
      <c r="AL1900" t="str">
        <f>SUBSTITUTE(SUBSTITUTE(SUBSTITUTE("vpa"&amp;$B1900&amp;$C1900&amp;$D1900&amp;$E1900,".","_"),"(","_"),")","")</f>
        <v>vpa901_1_5</v>
      </c>
      <c r="AM1900">
        <f>M1900</f>
        <v>7</v>
      </c>
      <c r="AN1900" t="str">
        <f>SUBSTITUTE(SUBSTITUTE(SUBSTITUTE("vpc"&amp;$B1900&amp;$C1900&amp;$D1900&amp;$E1900,".","_"),"(","_"),")","")</f>
        <v>vpc901_1_5</v>
      </c>
      <c r="AO1900">
        <f>O1900</f>
        <v>0</v>
      </c>
      <c r="AP1900" t="str">
        <f>SUBSTITUTE(SUBSTITUTE(SUBSTITUTE("vch"&amp;$B1900&amp;$C1900&amp;$D1900&amp;$E1900,".","_"),"(","_"),")","")</f>
        <v>vch901_1_5</v>
      </c>
      <c r="AQ1900" t="str">
        <f>IF(LEN(W1900)=0,"",W1900)</f>
        <v/>
      </c>
      <c r="AR1900" t="str">
        <f>SUBSTITUTE(SUBSTITUTE(SUBSTITUTE("vnt"&amp;$B1900&amp;$C1900&amp;$D1900&amp;$E1900,".","_"),"(","_"),")","")</f>
        <v>vnt901_1_5</v>
      </c>
      <c r="AS1900" t="str">
        <f>IF(LEN(X1900)=0,"",X1900)</f>
        <v/>
      </c>
      <c r="AX1900" s="6"/>
    </row>
    <row r="1901" spans="1:51" x14ac:dyDescent="0.35">
      <c r="A1901" s="366">
        <v>9</v>
      </c>
      <c r="B1901" s="738" t="s">
        <v>3158</v>
      </c>
      <c r="C1901" s="731"/>
      <c r="D1901" s="731"/>
      <c r="E1901" s="731"/>
      <c r="F1901" s="731"/>
      <c r="G1901" s="366" t="str">
        <f>G1900</f>
        <v/>
      </c>
      <c r="H1901" s="366" t="s">
        <v>3970</v>
      </c>
      <c r="I1901" s="93"/>
      <c r="J1901" s="4"/>
      <c r="K1901" s="4"/>
      <c r="L1901" s="838"/>
      <c r="M1901" s="818"/>
      <c r="N1901" s="834"/>
      <c r="O1901" s="834"/>
      <c r="X1901" s="817"/>
      <c r="Y1901" s="1100"/>
      <c r="Z1901" s="1102"/>
      <c r="AX1901" s="6" t="str">
        <f>'Overview (Verification)'!A34</f>
        <v>Type of Heating System (main system):</v>
      </c>
      <c r="AY1901">
        <f>IF(LEN('Overview (Verification)'!P34)=0,0,'Overview (Verification)'!P34)</f>
        <v>0</v>
      </c>
    </row>
    <row r="1902" spans="1:51" x14ac:dyDescent="0.35">
      <c r="A1902" s="366">
        <v>9</v>
      </c>
      <c r="B1902" s="738" t="s">
        <v>3158</v>
      </c>
      <c r="C1902" s="731"/>
      <c r="D1902" s="731"/>
      <c r="E1902" s="731"/>
      <c r="F1902" s="731"/>
      <c r="G1902" s="366" t="str">
        <f>G1901</f>
        <v/>
      </c>
      <c r="H1902" s="366" t="s">
        <v>3970</v>
      </c>
      <c r="I1902" s="320"/>
      <c r="J1902" s="133"/>
      <c r="K1902" s="133"/>
      <c r="L1902" s="889"/>
      <c r="M1902" s="819"/>
      <c r="N1902" s="835"/>
      <c r="O1902" s="835"/>
      <c r="P1902" s="104"/>
      <c r="Q1902" s="104"/>
      <c r="R1902" s="104"/>
      <c r="S1902" s="104"/>
      <c r="T1902" s="104"/>
      <c r="U1902" s="104"/>
      <c r="V1902" s="104"/>
      <c r="W1902" s="104"/>
      <c r="X1902" s="817"/>
      <c r="Y1902" s="1100"/>
      <c r="Z1902" s="1102"/>
      <c r="AX1902" s="6" t="str">
        <f>'Overview (Verification)'!A35</f>
        <v>Type of Heating System (system 2):</v>
      </c>
      <c r="AY1902">
        <f>IF(LEN('Overview (Verification)'!P35)=0,0,'Overview (Verification)'!P35)</f>
        <v>0</v>
      </c>
    </row>
    <row r="1903" spans="1:51" x14ac:dyDescent="0.35">
      <c r="A1903" s="366">
        <v>9</v>
      </c>
      <c r="B1903" s="738" t="s">
        <v>3160</v>
      </c>
      <c r="C1903" s="731"/>
      <c r="D1903" s="731"/>
      <c r="E1903" s="731"/>
      <c r="F1903" s="731"/>
      <c r="G1903" s="366" t="str">
        <f ca="1">IF(N1903&gt;0,"P","")</f>
        <v/>
      </c>
      <c r="H1903" s="366" t="s">
        <v>3970</v>
      </c>
      <c r="I1903" s="30" t="s">
        <v>3160</v>
      </c>
      <c r="J1903" s="4"/>
      <c r="K1903" s="4"/>
      <c r="L1903" s="95" t="s">
        <v>3161</v>
      </c>
      <c r="M1903" s="40"/>
      <c r="N1903" s="41">
        <f ca="1">'Ch9'!O37</f>
        <v>0</v>
      </c>
      <c r="O1903" s="41">
        <f ca="1">IFERROR(INDEX({2,5},MATCH(W1903,INDIRECT(U1903),0)),0)*S1903</f>
        <v>0</v>
      </c>
      <c r="P1903" t="b">
        <v>1</v>
      </c>
      <c r="Q1903" t="b">
        <v>1</v>
      </c>
      <c r="R1903" t="b">
        <v>0</v>
      </c>
      <c r="S1903" t="b">
        <f>OR(AY1901=INDEX(ddHeat1,3),AY1901=INDEX(ddHeat1,5),AY1902=INDEX(ddHeat2,3),AY1902=INDEX(ddHeat2,5),AY1903=INDEX(ddHeat3,3),AY1903=INDEX(ddHeat3,5))</f>
        <v>0</v>
      </c>
      <c r="T1903" t="b">
        <f>AND(NOT(S1903),LEN(W1903)&gt;0)</f>
        <v>0</v>
      </c>
      <c r="U1903" t="str">
        <f>SUBSTITUTE(SUBSTITUTE(SUBSTITUTE("dd"&amp;B1903&amp;C1903&amp;D1903&amp;E1903&amp;F1903,".","_"),"(","_"),")","")</f>
        <v>dd901_1_6</v>
      </c>
      <c r="W1903" s="9"/>
      <c r="X1903" s="816"/>
      <c r="Y1903" s="1100" t="str">
        <f>IF(LEN('Ch9'!X37)=0,"None",'Ch9'!X37)</f>
        <v>None</v>
      </c>
      <c r="Z1903" s="1102"/>
      <c r="AC1903" t="b">
        <f>OR(AD1903:AE1903)</f>
        <v>0</v>
      </c>
      <c r="AD1903" t="b">
        <f>T1903</f>
        <v>0</v>
      </c>
      <c r="AN1903" t="str">
        <f>SUBSTITUTE(SUBSTITUTE(SUBSTITUTE("vpc"&amp;$B1903&amp;$C1903&amp;$D1903&amp;$E1903,".","_"),"(","_"),")","")</f>
        <v>vpc901_1_6</v>
      </c>
      <c r="AO1903">
        <f ca="1">O1903</f>
        <v>0</v>
      </c>
      <c r="AP1903" t="str">
        <f>SUBSTITUTE(SUBSTITUTE(SUBSTITUTE("vch"&amp;$B1903&amp;$C1903&amp;$D1903&amp;$E1903,".","_"),"(","_"),")","")</f>
        <v>vch901_1_6</v>
      </c>
      <c r="AQ1903" t="str">
        <f>IF(LEN(W1903)=0,"",W1903)</f>
        <v/>
      </c>
      <c r="AR1903" t="str">
        <f>SUBSTITUTE(SUBSTITUTE(SUBSTITUTE("vnt"&amp;$B1903&amp;$C1903&amp;$D1903&amp;$E1903,".","_"),"(","_"),")","")</f>
        <v>vnt901_1_6</v>
      </c>
      <c r="AS1903" t="str">
        <f>IF(LEN(X1903)=0,"",X1903)</f>
        <v/>
      </c>
      <c r="AX1903" s="6" t="str">
        <f>'Overview (Verification)'!A36</f>
        <v>Type of Heating System (system 3):</v>
      </c>
      <c r="AY1903">
        <f>IF(LEN('Overview (Verification)'!P36)=0,0,'Overview (Verification)'!P36)</f>
        <v>0</v>
      </c>
    </row>
    <row r="1904" spans="1:51" x14ac:dyDescent="0.35">
      <c r="A1904" s="366">
        <v>9</v>
      </c>
      <c r="B1904" s="738" t="s">
        <v>3160</v>
      </c>
      <c r="C1904" s="731" t="s">
        <v>256</v>
      </c>
      <c r="D1904" s="731"/>
      <c r="E1904" s="731"/>
      <c r="F1904" s="731"/>
      <c r="G1904" s="366" t="str">
        <f ca="1">G1903</f>
        <v/>
      </c>
      <c r="H1904" s="366" t="s">
        <v>3970</v>
      </c>
      <c r="I1904" s="93"/>
      <c r="J1904" s="129" t="s">
        <v>256</v>
      </c>
      <c r="K1904" s="133"/>
      <c r="L1904" s="228" t="s">
        <v>3162</v>
      </c>
      <c r="M1904" s="268">
        <v>2</v>
      </c>
      <c r="N1904" s="41"/>
      <c r="O1904" s="41"/>
      <c r="X1904" s="817"/>
      <c r="Y1904" s="1100"/>
      <c r="Z1904" s="1102"/>
      <c r="AL1904" t="str">
        <f>SUBSTITUTE(SUBSTITUTE(SUBSTITUTE("vpa"&amp;$B1904&amp;$C1904&amp;$D1904&amp;$E1904,".","_"),"(","_"),")","")</f>
        <v>vpa901_1_6_1</v>
      </c>
      <c r="AM1904">
        <f>M1904</f>
        <v>2</v>
      </c>
      <c r="AX1904" s="6" t="str">
        <f>'Overview (Verification)'!A37</f>
        <v>Primary Heating Fuel:</v>
      </c>
      <c r="AY1904">
        <f>IF(LEN('Overview (Verification)'!P37)=0,0,'Overview (Verification)'!P37)</f>
        <v>0</v>
      </c>
    </row>
    <row r="1905" spans="1:51" ht="15" thickBot="1" x14ac:dyDescent="0.4">
      <c r="A1905" s="366">
        <v>9</v>
      </c>
      <c r="B1905" s="738" t="s">
        <v>3160</v>
      </c>
      <c r="C1905" s="731" t="s">
        <v>258</v>
      </c>
      <c r="D1905" s="731"/>
      <c r="E1905" s="731"/>
      <c r="F1905" s="731"/>
      <c r="G1905" s="366" t="str">
        <f ca="1">G1904</f>
        <v/>
      </c>
      <c r="H1905" s="366" t="s">
        <v>3970</v>
      </c>
      <c r="I1905" s="294"/>
      <c r="J1905" s="115" t="s">
        <v>258</v>
      </c>
      <c r="K1905" s="160"/>
      <c r="L1905" s="229" t="s">
        <v>3163</v>
      </c>
      <c r="M1905" s="270">
        <v>5</v>
      </c>
      <c r="N1905" s="72"/>
      <c r="O1905" s="72"/>
      <c r="P1905" s="55"/>
      <c r="Q1905" s="55"/>
      <c r="R1905" s="55"/>
      <c r="S1905" s="55"/>
      <c r="T1905" s="55"/>
      <c r="U1905" s="55"/>
      <c r="V1905" s="55"/>
      <c r="W1905" s="55"/>
      <c r="X1905" s="829"/>
      <c r="Y1905" s="1101"/>
      <c r="Z1905" s="1104"/>
      <c r="AL1905" t="str">
        <f>SUBSTITUTE(SUBSTITUTE(SUBSTITUTE("vpa"&amp;$B1905&amp;$C1905&amp;$D1905&amp;$E1905,".","_"),"(","_"),")","")</f>
        <v>vpa901_1_6_2</v>
      </c>
      <c r="AM1905">
        <f>M1905</f>
        <v>5</v>
      </c>
      <c r="AX1905" s="6" t="str">
        <f>'Overview (Verification)'!A38</f>
        <v>Heating Ducts:</v>
      </c>
      <c r="AY1905">
        <f>IF(LEN('Overview (Verification)'!P38)=0,0,'Overview (Verification)'!P38)</f>
        <v>0</v>
      </c>
    </row>
    <row r="1906" spans="1:51" ht="15" thickTop="1" x14ac:dyDescent="0.35">
      <c r="A1906" s="366">
        <v>9</v>
      </c>
      <c r="B1906" s="738">
        <v>901.2</v>
      </c>
      <c r="C1906" s="731"/>
      <c r="D1906" s="731"/>
      <c r="E1906" s="731"/>
      <c r="F1906" s="731"/>
      <c r="G1906" s="366" t="s">
        <v>3973</v>
      </c>
      <c r="H1906" s="366" t="s">
        <v>3970</v>
      </c>
      <c r="I1906" s="106">
        <v>901.2</v>
      </c>
      <c r="J1906" s="107"/>
      <c r="K1906" s="107"/>
      <c r="L1906" s="274" t="s">
        <v>3164</v>
      </c>
      <c r="M1906" s="267"/>
      <c r="N1906" s="545"/>
      <c r="O1906" s="545"/>
      <c r="P1906" s="59"/>
      <c r="Q1906" s="59"/>
      <c r="R1906" s="59"/>
      <c r="S1906" s="59"/>
      <c r="T1906" s="59"/>
      <c r="U1906" s="59"/>
      <c r="V1906" s="59"/>
      <c r="W1906" s="59"/>
      <c r="X1906" s="59"/>
      <c r="AX1906" s="6" t="str">
        <f>'Overview (Verification)'!A39</f>
        <v>Type of Cooling System (main system):</v>
      </c>
      <c r="AY1906">
        <f>IF(LEN('Overview (Verification)'!P39)=0,0,'Overview (Verification)'!P39)</f>
        <v>0</v>
      </c>
    </row>
    <row r="1907" spans="1:51" x14ac:dyDescent="0.35">
      <c r="A1907" s="366">
        <v>9</v>
      </c>
      <c r="B1907" s="738" t="s">
        <v>3165</v>
      </c>
      <c r="C1907" s="731"/>
      <c r="D1907" s="731"/>
      <c r="E1907" s="731"/>
      <c r="F1907" s="731"/>
      <c r="G1907" s="366" t="s">
        <v>3973</v>
      </c>
      <c r="H1907" s="366" t="s">
        <v>3970</v>
      </c>
      <c r="I1907" s="30" t="s">
        <v>3165</v>
      </c>
      <c r="J1907" s="4"/>
      <c r="K1907" s="4"/>
      <c r="L1907" s="838" t="s">
        <v>3166</v>
      </c>
      <c r="M1907" s="40"/>
      <c r="N1907" s="41"/>
      <c r="O1907" s="41"/>
      <c r="AA1907" s="350" t="str">
        <f>IF(LEN('Photo Review'!I1906)&gt;0,'Photo Review'!I1906,"")</f>
        <v/>
      </c>
      <c r="AX1907" s="6" t="str">
        <f>'Overview (Verification)'!A40</f>
        <v>Type of Cooling System (system 2):</v>
      </c>
      <c r="AY1907">
        <f>IF(LEN('Overview (Verification)'!P40)=0,0,'Overview (Verification)'!P40)</f>
        <v>0</v>
      </c>
    </row>
    <row r="1908" spans="1:51" x14ac:dyDescent="0.35">
      <c r="A1908" s="366">
        <v>9</v>
      </c>
      <c r="B1908" s="738" t="s">
        <v>3165</v>
      </c>
      <c r="C1908" s="731"/>
      <c r="D1908" s="731"/>
      <c r="E1908" s="731"/>
      <c r="F1908" s="731"/>
      <c r="G1908" s="366" t="s">
        <v>3973</v>
      </c>
      <c r="H1908" s="366" t="s">
        <v>3970</v>
      </c>
      <c r="I1908" s="93"/>
      <c r="J1908" s="4"/>
      <c r="K1908" s="4"/>
      <c r="L1908" s="838"/>
      <c r="M1908" s="40"/>
      <c r="N1908" s="41"/>
      <c r="O1908" s="41"/>
      <c r="AX1908" s="6" t="str">
        <f>'Overview (Verification)'!A41</f>
        <v>Type of Cooling System (system 3):</v>
      </c>
      <c r="AY1908">
        <f>IF(LEN('Overview (Verification)'!P41)=0,0,'Overview (Verification)'!P41)</f>
        <v>0</v>
      </c>
    </row>
    <row r="1909" spans="1:51" x14ac:dyDescent="0.35">
      <c r="A1909" s="366">
        <v>9</v>
      </c>
      <c r="B1909" s="738" t="s">
        <v>3165</v>
      </c>
      <c r="C1909" s="731" t="s">
        <v>256</v>
      </c>
      <c r="D1909" s="731"/>
      <c r="E1909" s="731"/>
      <c r="F1909" s="731" t="s">
        <v>4889</v>
      </c>
      <c r="G1909" s="366" t="s">
        <v>3973</v>
      </c>
      <c r="H1909" s="366" t="s">
        <v>3970</v>
      </c>
      <c r="I1909" s="93"/>
      <c r="J1909" s="19" t="s">
        <v>256</v>
      </c>
      <c r="K1909" s="4"/>
      <c r="L1909" s="814" t="s">
        <v>3167</v>
      </c>
      <c r="M1909" s="459" t="str">
        <f>IF(R1909,"Mandatory","N/A")</f>
        <v>Mandatory</v>
      </c>
      <c r="N1909" s="834">
        <f>'Ch9'!O43</f>
        <v>0</v>
      </c>
      <c r="O1909" s="834">
        <f>M1910*S1909*(W1909="Met")</f>
        <v>0</v>
      </c>
      <c r="P1909" t="b">
        <v>1</v>
      </c>
      <c r="Q1909" t="b">
        <v>1</v>
      </c>
      <c r="R1909" t="b">
        <f>S1909</f>
        <v>1</v>
      </c>
      <c r="S1909" t="b">
        <f>NOT(W1921)</f>
        <v>1</v>
      </c>
      <c r="T1909" t="b">
        <f>AND(NOT(S1909),LEN(W1909)&gt;0,W1909&lt;&gt;"N/A")</f>
        <v>0</v>
      </c>
      <c r="U1909" t="str">
        <f>SUBSTITUTE(SUBSTITUTE(SUBSTITUTE("dd"&amp;B1909&amp;C1909&amp;D1909&amp;E1909&amp;F1909,".","_"),"(","_"),")","")</f>
        <v>dd901_2_1_1_m</v>
      </c>
      <c r="W1909" s="9"/>
      <c r="X1909" s="817"/>
      <c r="Y1909" s="1100" t="str">
        <f>IF(LEN('Ch9'!X43)=0,"None",'Ch9'!X43)</f>
        <v>None</v>
      </c>
      <c r="Z1909" s="1102"/>
      <c r="AC1909" t="b">
        <f>OR(AD1909:AE1909)</f>
        <v>1</v>
      </c>
      <c r="AD1909" t="b">
        <f>T1909</f>
        <v>0</v>
      </c>
      <c r="AE1909" t="b">
        <f>AND(R1909,OR(W1909="Not Met",W1909=""))</f>
        <v>1</v>
      </c>
      <c r="AL1909" s="1" t="str">
        <f>SUBSTITUTE(SUBSTITUTE(SUBSTITUTE("vpa"&amp;$B1909&amp;$C1909&amp;$D1909&amp;$E1909&amp;$F1909,".","_"),"(","_"),")","")</f>
        <v>vpa901_2_1_1_m</v>
      </c>
      <c r="AM1909" t="str">
        <f>M1909</f>
        <v>Mandatory</v>
      </c>
      <c r="AN1909" t="str">
        <f>SUBSTITUTE(SUBSTITUTE(SUBSTITUTE("vpc"&amp;$B1909&amp;$C1909&amp;$D1909&amp;$E1909,".","_"),"(","_"),")","")</f>
        <v>vpc901_2_1_1</v>
      </c>
      <c r="AO1909">
        <f>O1909</f>
        <v>0</v>
      </c>
      <c r="AP1909" t="str">
        <f>SUBSTITUTE(SUBSTITUTE(SUBSTITUTE("vch"&amp;$B1909&amp;$C1909&amp;$D1909&amp;$E1909,".","_"),"(","_"),")","")</f>
        <v>vch901_2_1_1</v>
      </c>
      <c r="AQ1909" t="str">
        <f>IF(LEN(W1909)=0,"",W1909)</f>
        <v/>
      </c>
      <c r="AR1909" t="str">
        <f>SUBSTITUTE(SUBSTITUTE(SUBSTITUTE("vnt"&amp;$B1909&amp;$C1909&amp;$D1909&amp;$E1909,".","_"),"(","_"),")","")</f>
        <v>vnt901_2_1_1</v>
      </c>
      <c r="AS1909" t="str">
        <f>IF(LEN(X1909)=0,"",X1909)</f>
        <v/>
      </c>
      <c r="AX1909" s="6" t="str">
        <f>'Overview (Verification)'!A42</f>
        <v>Cooling Ducts:</v>
      </c>
      <c r="AY1909">
        <f>IF(LEN('Overview (Verification)'!P42)=0,0,'Overview (Verification)'!P42)</f>
        <v>0</v>
      </c>
    </row>
    <row r="1910" spans="1:51" x14ac:dyDescent="0.35">
      <c r="A1910" s="366">
        <v>9</v>
      </c>
      <c r="B1910" s="738" t="s">
        <v>3165</v>
      </c>
      <c r="C1910" s="731" t="s">
        <v>256</v>
      </c>
      <c r="D1910" s="731"/>
      <c r="E1910" s="731"/>
      <c r="F1910" s="731"/>
      <c r="G1910" s="366" t="s">
        <v>3973</v>
      </c>
      <c r="H1910" s="366" t="s">
        <v>3970</v>
      </c>
      <c r="I1910" s="93"/>
      <c r="J1910" s="4"/>
      <c r="K1910" s="4"/>
      <c r="L1910" s="814"/>
      <c r="M1910" s="818">
        <v>4</v>
      </c>
      <c r="N1910" s="834"/>
      <c r="O1910" s="834"/>
      <c r="X1910" s="817"/>
      <c r="Y1910" s="1100"/>
      <c r="Z1910" s="1102"/>
      <c r="AL1910" t="str">
        <f>SUBSTITUTE(SUBSTITUTE(SUBSTITUTE("vpa"&amp;$B1910&amp;$C1910&amp;$D1910&amp;$E1910,".","_"),"(","_"),")","")</f>
        <v>vpa901_2_1_1</v>
      </c>
      <c r="AM1910">
        <f>M1910</f>
        <v>4</v>
      </c>
      <c r="AX1910" s="6"/>
    </row>
    <row r="1911" spans="1:51" x14ac:dyDescent="0.35">
      <c r="A1911" s="366">
        <v>9</v>
      </c>
      <c r="B1911" s="738" t="s">
        <v>3165</v>
      </c>
      <c r="C1911" s="731" t="s">
        <v>256</v>
      </c>
      <c r="D1911" s="731"/>
      <c r="E1911" s="731"/>
      <c r="F1911" s="731"/>
      <c r="G1911" s="366" t="s">
        <v>3973</v>
      </c>
      <c r="H1911" s="366" t="s">
        <v>3970</v>
      </c>
      <c r="I1911" s="93"/>
      <c r="J1911" s="133"/>
      <c r="K1911" s="133"/>
      <c r="L1911" s="815"/>
      <c r="M1911" s="819"/>
      <c r="N1911" s="835"/>
      <c r="O1911" s="835"/>
      <c r="X1911" s="817"/>
      <c r="Y1911" s="1100"/>
      <c r="Z1911" s="1102"/>
      <c r="AX1911" s="6" t="str">
        <f>'Overview (Verification)'!A44</f>
        <v>Maximum window and door SHGC:</v>
      </c>
      <c r="AY1911">
        <f>IF(LEN('Overview (Verification)'!P44)=0,0,'Overview (Verification)'!P44)</f>
        <v>0</v>
      </c>
    </row>
    <row r="1912" spans="1:51" ht="15" customHeight="1" x14ac:dyDescent="0.35">
      <c r="A1912" s="366">
        <v>9</v>
      </c>
      <c r="B1912" s="738" t="s">
        <v>3165</v>
      </c>
      <c r="C1912" s="731" t="s">
        <v>258</v>
      </c>
      <c r="D1912" s="731"/>
      <c r="E1912" s="731"/>
      <c r="F1912" s="731" t="s">
        <v>4889</v>
      </c>
      <c r="G1912" s="366" t="s">
        <v>3973</v>
      </c>
      <c r="H1912" s="366" t="s">
        <v>3970</v>
      </c>
      <c r="I1912" s="93"/>
      <c r="J1912" s="19" t="s">
        <v>258</v>
      </c>
      <c r="K1912" s="4"/>
      <c r="L1912" s="814" t="s">
        <v>4486</v>
      </c>
      <c r="M1912" s="459" t="str">
        <f>IF(R1912,"Mandatory","N/A")</f>
        <v>Mandatory</v>
      </c>
      <c r="N1912" s="834">
        <f>'Ch9'!O46</f>
        <v>0</v>
      </c>
      <c r="O1912" s="834">
        <f>M1913*S1912*(W1912="Met")</f>
        <v>0</v>
      </c>
      <c r="P1912" t="b">
        <v>1</v>
      </c>
      <c r="Q1912" t="b">
        <v>1</v>
      </c>
      <c r="R1912" t="b">
        <f>S1912</f>
        <v>1</v>
      </c>
      <c r="S1912" t="b">
        <f>NOT(W1921)</f>
        <v>1</v>
      </c>
      <c r="T1912" t="b">
        <f>AND(NOT(S1912),LEN(W1912)&gt;0,W1912&lt;&gt;"N/A")</f>
        <v>0</v>
      </c>
      <c r="U1912" t="str">
        <f>SUBSTITUTE(SUBSTITUTE(SUBSTITUTE("dd"&amp;B1912&amp;C1912&amp;D1912&amp;E1912&amp;F1912,".","_"),"(","_"),")","")</f>
        <v>dd901_2_1_2_m</v>
      </c>
      <c r="W1912" s="9"/>
      <c r="X1912" s="817"/>
      <c r="Y1912" s="1100" t="str">
        <f>IF(LEN('Ch9'!X46)=0,"None",'Ch9'!X46)</f>
        <v>None</v>
      </c>
      <c r="Z1912" s="1102"/>
      <c r="AC1912" t="b">
        <f>OR(AD1912:AE1912)</f>
        <v>1</v>
      </c>
      <c r="AD1912" t="b">
        <f>T1912</f>
        <v>0</v>
      </c>
      <c r="AE1912" t="b">
        <f>AND(R1912,OR(W1912="Not Met",W1912=""))</f>
        <v>1</v>
      </c>
      <c r="AL1912" s="1" t="str">
        <f>SUBSTITUTE(SUBSTITUTE(SUBSTITUTE("vpa"&amp;$B1912&amp;$C1912&amp;$D1912&amp;$E1912&amp;$F1912,".","_"),"(","_"),")","")</f>
        <v>vpa901_2_1_2_m</v>
      </c>
      <c r="AM1912" t="str">
        <f>M1912</f>
        <v>Mandatory</v>
      </c>
      <c r="AN1912" t="str">
        <f>SUBSTITUTE(SUBSTITUTE(SUBSTITUTE("vpc"&amp;$B1912&amp;$C1912&amp;$D1912&amp;$E1912,".","_"),"(","_"),")","")</f>
        <v>vpc901_2_1_2</v>
      </c>
      <c r="AO1912">
        <f>O1912</f>
        <v>0</v>
      </c>
      <c r="AP1912" t="str">
        <f>SUBSTITUTE(SUBSTITUTE(SUBSTITUTE("vch"&amp;$B1912&amp;$C1912&amp;$D1912&amp;$E1912,".","_"),"(","_"),")","")</f>
        <v>vch901_2_1_2</v>
      </c>
      <c r="AQ1912" t="str">
        <f>IF(LEN(W1912)=0,"",W1912)</f>
        <v/>
      </c>
      <c r="AR1912" t="str">
        <f>SUBSTITUTE(SUBSTITUTE(SUBSTITUTE("vnt"&amp;$B1912&amp;$C1912&amp;$D1912&amp;$E1912,".","_"),"(","_"),")","")</f>
        <v>vnt901_2_1_2</v>
      </c>
      <c r="AS1912" t="str">
        <f>IF(LEN(X1912)=0,"",X1912)</f>
        <v/>
      </c>
      <c r="AX1912" s="6" t="str">
        <f>'Overview (Verification)'!A45</f>
        <v>Maximum skylight SHGC:</v>
      </c>
      <c r="AY1912">
        <f>IF(LEN('Overview (Verification)'!P45)=0,0,'Overview (Verification)'!P45)</f>
        <v>0</v>
      </c>
    </row>
    <row r="1913" spans="1:51" x14ac:dyDescent="0.35">
      <c r="A1913" s="366">
        <v>9</v>
      </c>
      <c r="B1913" s="738" t="s">
        <v>3165</v>
      </c>
      <c r="C1913" s="731" t="s">
        <v>258</v>
      </c>
      <c r="D1913" s="731"/>
      <c r="E1913" s="731"/>
      <c r="F1913" s="731"/>
      <c r="G1913" s="366" t="s">
        <v>3973</v>
      </c>
      <c r="H1913" s="366" t="s">
        <v>3970</v>
      </c>
      <c r="I1913" s="93"/>
      <c r="J1913" s="129"/>
      <c r="K1913" s="133"/>
      <c r="L1913" s="815"/>
      <c r="M1913" s="268">
        <v>6</v>
      </c>
      <c r="N1913" s="835"/>
      <c r="O1913" s="835"/>
      <c r="X1913" s="817"/>
      <c r="Y1913" s="1100"/>
      <c r="Z1913" s="1102"/>
      <c r="AL1913" t="str">
        <f>SUBSTITUTE(SUBSTITUTE(SUBSTITUTE("vpa"&amp;$B1913&amp;$C1913&amp;$D1913&amp;$E1913,".","_"),"(","_"),")","")</f>
        <v>vpa901_2_1_2</v>
      </c>
      <c r="AM1913">
        <f>M1913</f>
        <v>6</v>
      </c>
      <c r="AX1913" s="6" t="str">
        <f>'Overview (Verification)'!A46</f>
        <v>Maximum window and door U-value:</v>
      </c>
      <c r="AY1913">
        <f>IF(LEN('Overview (Verification)'!P46)=0,0,'Overview (Verification)'!P46)</f>
        <v>0</v>
      </c>
    </row>
    <row r="1914" spans="1:51" x14ac:dyDescent="0.35">
      <c r="A1914" s="366">
        <v>9</v>
      </c>
      <c r="B1914" s="738" t="s">
        <v>3165</v>
      </c>
      <c r="C1914" s="731" t="s">
        <v>260</v>
      </c>
      <c r="D1914" s="731"/>
      <c r="E1914" s="731"/>
      <c r="F1914" s="731" t="s">
        <v>4889</v>
      </c>
      <c r="G1914" s="366" t="s">
        <v>3973</v>
      </c>
      <c r="H1914" s="366" t="s">
        <v>3970</v>
      </c>
      <c r="I1914" s="93"/>
      <c r="J1914" s="19" t="s">
        <v>260</v>
      </c>
      <c r="K1914" s="4"/>
      <c r="L1914" s="814" t="s">
        <v>3168</v>
      </c>
      <c r="M1914" s="459" t="str">
        <f>IF(R1914,"Mandatory","N/A")</f>
        <v>Mandatory</v>
      </c>
      <c r="N1914" s="834">
        <f>'Ch9'!O48</f>
        <v>0</v>
      </c>
      <c r="O1914" s="834">
        <f>M1915*S1914*(W1914="Met")</f>
        <v>0</v>
      </c>
      <c r="P1914" t="b">
        <v>1</v>
      </c>
      <c r="Q1914" t="b">
        <v>1</v>
      </c>
      <c r="R1914" t="b">
        <f>S1914</f>
        <v>1</v>
      </c>
      <c r="S1914" t="b">
        <f>NOT(W1921)</f>
        <v>1</v>
      </c>
      <c r="T1914" t="b">
        <f>AND(NOT(S1914),LEN(W1914)&gt;0,W1914&lt;&gt;"N/A")</f>
        <v>0</v>
      </c>
      <c r="U1914" t="str">
        <f>SUBSTITUTE(SUBSTITUTE(SUBSTITUTE("dd"&amp;B1914&amp;C1914&amp;D1914&amp;E1914&amp;F1914,".","_"),"(","_"),")","")</f>
        <v>dd901_2_1_3_m</v>
      </c>
      <c r="W1914" s="9"/>
      <c r="X1914" s="817"/>
      <c r="Y1914" s="1100" t="str">
        <f>IF(LEN('Ch9'!X48)=0,"None",'Ch9'!X48)</f>
        <v>None</v>
      </c>
      <c r="Z1914" s="1102"/>
      <c r="AC1914" t="b">
        <f>OR(AD1914:AE1914)</f>
        <v>1</v>
      </c>
      <c r="AD1914" t="b">
        <f>T1914</f>
        <v>0</v>
      </c>
      <c r="AE1914" t="b">
        <f>AND(R1914,OR(W1914="Not Met",W1914=""))</f>
        <v>1</v>
      </c>
      <c r="AL1914" s="1" t="str">
        <f>SUBSTITUTE(SUBSTITUTE(SUBSTITUTE("vpa"&amp;$B1914&amp;$C1914&amp;$D1914&amp;$E1914&amp;$F1914,".","_"),"(","_"),")","")</f>
        <v>vpa901_2_1_3_m</v>
      </c>
      <c r="AM1914" t="str">
        <f>M1914</f>
        <v>Mandatory</v>
      </c>
      <c r="AN1914" t="str">
        <f>SUBSTITUTE(SUBSTITUTE(SUBSTITUTE("vpc"&amp;$B1914&amp;$C1914&amp;$D1914&amp;$E1914,".","_"),"(","_"),")","")</f>
        <v>vpc901_2_1_3</v>
      </c>
      <c r="AO1914">
        <f>O1914</f>
        <v>0</v>
      </c>
      <c r="AP1914" t="str">
        <f>SUBSTITUTE(SUBSTITUTE(SUBSTITUTE("vch"&amp;$B1914&amp;$C1914&amp;$D1914&amp;$E1914,".","_"),"(","_"),")","")</f>
        <v>vch901_2_1_3</v>
      </c>
      <c r="AQ1914" t="str">
        <f>IF(LEN(W1914)=0,"",W1914)</f>
        <v/>
      </c>
      <c r="AR1914" t="str">
        <f>SUBSTITUTE(SUBSTITUTE(SUBSTITUTE("vnt"&amp;$B1914&amp;$C1914&amp;$D1914&amp;$E1914,".","_"),"(","_"),")","")</f>
        <v>vnt901_2_1_3</v>
      </c>
      <c r="AS1914" t="str">
        <f>IF(LEN(X1914)=0,"",X1914)</f>
        <v/>
      </c>
      <c r="AX1914" s="6" t="str">
        <f>'Overview (Verification)'!A47</f>
        <v>Maximum skylight U-value:</v>
      </c>
      <c r="AY1914">
        <f>IF(LEN('Overview (Verification)'!P47)=0,0,'Overview (Verification)'!P47)</f>
        <v>0</v>
      </c>
    </row>
    <row r="1915" spans="1:51" x14ac:dyDescent="0.35">
      <c r="A1915" s="366">
        <v>9</v>
      </c>
      <c r="B1915" s="738" t="s">
        <v>3165</v>
      </c>
      <c r="C1915" s="731" t="s">
        <v>260</v>
      </c>
      <c r="D1915" s="731"/>
      <c r="E1915" s="731"/>
      <c r="F1915" s="731"/>
      <c r="G1915" s="366" t="s">
        <v>3973</v>
      </c>
      <c r="H1915" s="366" t="s">
        <v>3970</v>
      </c>
      <c r="I1915" s="93"/>
      <c r="J1915" s="19"/>
      <c r="K1915" s="4"/>
      <c r="L1915" s="814"/>
      <c r="M1915" s="818">
        <v>6</v>
      </c>
      <c r="N1915" s="834"/>
      <c r="O1915" s="834"/>
      <c r="X1915" s="817"/>
      <c r="Y1915" s="1100"/>
      <c r="Z1915" s="1102"/>
      <c r="AL1915" t="str">
        <f>SUBSTITUTE(SUBSTITUTE(SUBSTITUTE("vpa"&amp;$B1915&amp;$C1915&amp;$D1915&amp;$E1915,".","_"),"(","_"),")","")</f>
        <v>vpa901_2_1_3</v>
      </c>
      <c r="AM1915">
        <f>M1915</f>
        <v>6</v>
      </c>
      <c r="AX1915" s="6" t="str">
        <f>'Overview (Verification)'!A48</f>
        <v>Renewable Energy:</v>
      </c>
      <c r="AY1915">
        <f>IF(LEN('Overview (Verification)'!P48)=0,0,'Overview (Verification)'!P48)</f>
        <v>0</v>
      </c>
    </row>
    <row r="1916" spans="1:51" x14ac:dyDescent="0.35">
      <c r="A1916" s="366">
        <v>9</v>
      </c>
      <c r="B1916" s="738" t="s">
        <v>3165</v>
      </c>
      <c r="C1916" s="731" t="s">
        <v>260</v>
      </c>
      <c r="D1916" s="731"/>
      <c r="E1916" s="731"/>
      <c r="F1916" s="731"/>
      <c r="G1916" s="366" t="s">
        <v>3973</v>
      </c>
      <c r="H1916" s="366" t="s">
        <v>3970</v>
      </c>
      <c r="I1916" s="93"/>
      <c r="J1916" s="129"/>
      <c r="K1916" s="133"/>
      <c r="L1916" s="815"/>
      <c r="M1916" s="819"/>
      <c r="N1916" s="835"/>
      <c r="O1916" s="835"/>
      <c r="X1916" s="817"/>
      <c r="Y1916" s="1100"/>
      <c r="Z1916" s="1102"/>
      <c r="AX1916" s="6" t="str">
        <f>'Overview (Verification)'!A49</f>
        <v>Thermal Envelope Insulation:</v>
      </c>
      <c r="AY1916">
        <f>IF(LEN('Overview (Verification)'!P49)=0,0,'Overview (Verification)'!P49)</f>
        <v>0</v>
      </c>
    </row>
    <row r="1917" spans="1:51" x14ac:dyDescent="0.35">
      <c r="A1917" s="366">
        <v>9</v>
      </c>
      <c r="B1917" s="738" t="s">
        <v>3165</v>
      </c>
      <c r="C1917" s="731" t="s">
        <v>269</v>
      </c>
      <c r="D1917" s="731"/>
      <c r="E1917" s="731"/>
      <c r="F1917" s="731" t="s">
        <v>4889</v>
      </c>
      <c r="G1917" s="366" t="s">
        <v>3973</v>
      </c>
      <c r="H1917" s="366" t="s">
        <v>3970</v>
      </c>
      <c r="I1917" s="93"/>
      <c r="J1917" s="19" t="s">
        <v>269</v>
      </c>
      <c r="K1917" s="4"/>
      <c r="L1917" s="848" t="s">
        <v>3169</v>
      </c>
      <c r="M1917" s="459" t="str">
        <f>IF(R1917,"Mandatory","N/A")</f>
        <v>Mandatory</v>
      </c>
      <c r="N1917" s="834">
        <f>'Ch9'!O51</f>
        <v>0</v>
      </c>
      <c r="O1917" s="834">
        <f>M1918*S1917*(W1917="Met")</f>
        <v>0</v>
      </c>
      <c r="P1917" t="b">
        <v>1</v>
      </c>
      <c r="Q1917" t="b">
        <v>1</v>
      </c>
      <c r="R1917" t="b">
        <f>S1917</f>
        <v>1</v>
      </c>
      <c r="S1917" t="b">
        <f>NOT(W1921)</f>
        <v>1</v>
      </c>
      <c r="T1917" t="b">
        <f>AND(NOT(S1917),LEN(W1917)&gt;0,W1917&lt;&gt;"N/A")</f>
        <v>0</v>
      </c>
      <c r="U1917" t="str">
        <f>SUBSTITUTE(SUBSTITUTE(SUBSTITUTE("dd"&amp;B1917&amp;C1917&amp;D1917&amp;E1917&amp;F1917,".","_"),"(","_"),")","")</f>
        <v>dd901_2_1_4_m</v>
      </c>
      <c r="W1917" s="9"/>
      <c r="X1917" s="817"/>
      <c r="Y1917" s="1100" t="str">
        <f>IF(LEN('Ch9'!X51)=0,"None",'Ch9'!X51)</f>
        <v>None</v>
      </c>
      <c r="Z1917" s="1102"/>
      <c r="AC1917" t="b">
        <f>OR(AD1917:AE1917)</f>
        <v>1</v>
      </c>
      <c r="AD1917" t="b">
        <f>T1917</f>
        <v>0</v>
      </c>
      <c r="AE1917" t="b">
        <f>AND(R1917,OR(W1917="Not Met",W1917=""))</f>
        <v>1</v>
      </c>
      <c r="AL1917" s="1" t="str">
        <f>SUBSTITUTE(SUBSTITUTE(SUBSTITUTE("vpa"&amp;$B1917&amp;$C1917&amp;$D1917&amp;$E1917&amp;$F1917,".","_"),"(","_"),")","")</f>
        <v>vpa901_2_1_4_m</v>
      </c>
      <c r="AM1917" t="str">
        <f>M1917</f>
        <v>Mandatory</v>
      </c>
      <c r="AN1917" t="str">
        <f>SUBSTITUTE(SUBSTITUTE(SUBSTITUTE("vpc"&amp;$B1917&amp;$C1917&amp;$D1917&amp;$E1917,".","_"),"(","_"),")","")</f>
        <v>vpc901_2_1_4</v>
      </c>
      <c r="AO1917">
        <f>O1917</f>
        <v>0</v>
      </c>
      <c r="AP1917" t="str">
        <f>SUBSTITUTE(SUBSTITUTE(SUBSTITUTE("vch"&amp;$B1917&amp;$C1917&amp;$D1917&amp;$E1917,".","_"),"(","_"),")","")</f>
        <v>vch901_2_1_4</v>
      </c>
      <c r="AQ1917" t="str">
        <f>IF(LEN(W1917)=0,"",W1917)</f>
        <v/>
      </c>
      <c r="AR1917" t="str">
        <f>SUBSTITUTE(SUBSTITUTE(SUBSTITUTE("vnt"&amp;$B1917&amp;$C1917&amp;$D1917&amp;$E1917,".","_"),"(","_"),")","")</f>
        <v>vnt901_2_1_4</v>
      </c>
      <c r="AS1917" t="str">
        <f>IF(LEN(X1917)=0,"",X1917)</f>
        <v/>
      </c>
      <c r="AX1917" s="6" t="str">
        <f>'Overview (Verification)'!A50</f>
        <v>Attic Type:</v>
      </c>
      <c r="AY1917">
        <f>IF(LEN('Overview (Verification)'!P50)=0,0,'Overview (Verification)'!P50)</f>
        <v>0</v>
      </c>
    </row>
    <row r="1918" spans="1:51" x14ac:dyDescent="0.35">
      <c r="A1918" s="366">
        <v>9</v>
      </c>
      <c r="B1918" s="738" t="s">
        <v>3165</v>
      </c>
      <c r="C1918" s="731" t="s">
        <v>269</v>
      </c>
      <c r="D1918" s="731"/>
      <c r="E1918" s="731"/>
      <c r="F1918" s="731"/>
      <c r="G1918" s="366" t="s">
        <v>3973</v>
      </c>
      <c r="H1918" s="366" t="s">
        <v>3970</v>
      </c>
      <c r="I1918" s="93"/>
      <c r="J1918" s="129"/>
      <c r="K1918" s="133"/>
      <c r="L1918" s="821"/>
      <c r="M1918" s="268">
        <v>6</v>
      </c>
      <c r="N1918" s="835"/>
      <c r="O1918" s="835"/>
      <c r="X1918" s="817"/>
      <c r="Y1918" s="1100"/>
      <c r="Z1918" s="1102"/>
      <c r="AL1918" t="str">
        <f>SUBSTITUTE(SUBSTITUTE(SUBSTITUTE("vpa"&amp;$B1918&amp;$C1918&amp;$D1918&amp;$E1918,".","_"),"(","_"),")","")</f>
        <v>vpa901_2_1_4</v>
      </c>
      <c r="AM1918">
        <f>M1918</f>
        <v>6</v>
      </c>
      <c r="AX1918" s="6" t="str">
        <f>'Overview (Verification)'!A51</f>
        <v>Attached Garage:</v>
      </c>
      <c r="AY1918">
        <f>IF(LEN('Overview (Verification)'!P51)=0,0,'Overview (Verification)'!P51)</f>
        <v>0</v>
      </c>
    </row>
    <row r="1919" spans="1:51" x14ac:dyDescent="0.35">
      <c r="A1919" s="366">
        <v>9</v>
      </c>
      <c r="B1919" s="738" t="s">
        <v>3165</v>
      </c>
      <c r="C1919" s="731" t="s">
        <v>275</v>
      </c>
      <c r="D1919" s="731"/>
      <c r="E1919" s="731"/>
      <c r="F1919" s="731" t="s">
        <v>4889</v>
      </c>
      <c r="G1919" s="366" t="s">
        <v>3973</v>
      </c>
      <c r="H1919" s="366" t="s">
        <v>3970</v>
      </c>
      <c r="I1919" s="93"/>
      <c r="J1919" s="19" t="s">
        <v>275</v>
      </c>
      <c r="K1919" s="4"/>
      <c r="L1919" s="814" t="s">
        <v>3170</v>
      </c>
      <c r="M1919" s="459" t="str">
        <f>IF(R1919,"Mandatory","N/A")</f>
        <v>Mandatory</v>
      </c>
      <c r="N1919" s="834">
        <f>'Ch9'!O53</f>
        <v>0</v>
      </c>
      <c r="O1919" s="834">
        <f>M1920*S1919*(W1919="Met")</f>
        <v>0</v>
      </c>
      <c r="P1919" t="b">
        <v>1</v>
      </c>
      <c r="Q1919" t="b">
        <v>1</v>
      </c>
      <c r="R1919" t="b">
        <f>S1919</f>
        <v>1</v>
      </c>
      <c r="S1919" t="b">
        <f>NOT(W1921)</f>
        <v>1</v>
      </c>
      <c r="T1919" t="b">
        <f>AND(NOT(S1919),LEN(W1919)&gt;0,W1919&lt;&gt;"N/A")</f>
        <v>0</v>
      </c>
      <c r="U1919" t="str">
        <f>SUBSTITUTE(SUBSTITUTE(SUBSTITUTE("dd"&amp;B1919&amp;C1919&amp;D1919&amp;E1919&amp;F1919,".","_"),"(","_"),")","")</f>
        <v>dd901_2_1_5_m</v>
      </c>
      <c r="W1919" s="9"/>
      <c r="X1919" s="817"/>
      <c r="Y1919" s="1100" t="str">
        <f>IF(LEN('Ch9'!X53)=0,"None",'Ch9'!X53)</f>
        <v>None</v>
      </c>
      <c r="Z1919" s="1102"/>
      <c r="AC1919" t="b">
        <f>OR(AD1919:AE1919)</f>
        <v>1</v>
      </c>
      <c r="AD1919" t="b">
        <f>T1919</f>
        <v>0</v>
      </c>
      <c r="AE1919" t="b">
        <f>AND(R1919,OR(W1919="Not Met",W1919=""))</f>
        <v>1</v>
      </c>
      <c r="AL1919" s="1" t="str">
        <f>SUBSTITUTE(SUBSTITUTE(SUBSTITUTE("vpa"&amp;$B1919&amp;$C1919&amp;$D1919&amp;$E1919&amp;$F1919,".","_"),"(","_"),")","")</f>
        <v>vpa901_2_1_5_m</v>
      </c>
      <c r="AM1919" t="str">
        <f>M1919</f>
        <v>Mandatory</v>
      </c>
      <c r="AN1919" t="str">
        <f>SUBSTITUTE(SUBSTITUTE(SUBSTITUTE("vpc"&amp;$B1919&amp;$C1919&amp;$D1919&amp;$E1919,".","_"),"(","_"),")","")</f>
        <v>vpc901_2_1_5</v>
      </c>
      <c r="AO1919">
        <f>O1919</f>
        <v>0</v>
      </c>
      <c r="AP1919" t="str">
        <f>SUBSTITUTE(SUBSTITUTE(SUBSTITUTE("vch"&amp;$B1919&amp;$C1919&amp;$D1919&amp;$E1919,".","_"),"(","_"),")","")</f>
        <v>vch901_2_1_5</v>
      </c>
      <c r="AQ1919" t="str">
        <f>IF(LEN(W1919)=0,"",W1919)</f>
        <v/>
      </c>
      <c r="AR1919" t="str">
        <f>SUBSTITUTE(SUBSTITUTE(SUBSTITUTE("vnt"&amp;$B1919&amp;$C1919&amp;$D1919&amp;$E1919,".","_"),"(","_"),")","")</f>
        <v>vnt901_2_1_5</v>
      </c>
      <c r="AS1919" t="str">
        <f>IF(LEN(X1919)=0,"",X1919)</f>
        <v/>
      </c>
      <c r="AX1919" s="6" t="str">
        <f>'Overview (Verification)'!A52</f>
        <v>Recessed Lighting:</v>
      </c>
      <c r="AY1919">
        <f>IF(LEN('Overview (Verification)'!P52)=0,0,'Overview (Verification)'!P52)</f>
        <v>0</v>
      </c>
    </row>
    <row r="1920" spans="1:51" x14ac:dyDescent="0.35">
      <c r="A1920" s="366">
        <v>9</v>
      </c>
      <c r="B1920" s="738" t="s">
        <v>3165</v>
      </c>
      <c r="C1920" s="731" t="s">
        <v>275</v>
      </c>
      <c r="D1920" s="731"/>
      <c r="E1920" s="731"/>
      <c r="F1920" s="731"/>
      <c r="G1920" s="366" t="s">
        <v>3973</v>
      </c>
      <c r="H1920" s="366" t="s">
        <v>3970</v>
      </c>
      <c r="I1920" s="320"/>
      <c r="J1920" s="129"/>
      <c r="K1920" s="133"/>
      <c r="L1920" s="815"/>
      <c r="M1920" s="268">
        <v>6</v>
      </c>
      <c r="N1920" s="835"/>
      <c r="O1920" s="835"/>
      <c r="P1920" s="104"/>
      <c r="Q1920" s="104"/>
      <c r="R1920" s="104"/>
      <c r="S1920" s="104"/>
      <c r="T1920" s="104"/>
      <c r="U1920" s="104"/>
      <c r="V1920" s="104"/>
      <c r="W1920" s="104"/>
      <c r="X1920" s="817"/>
      <c r="Y1920" s="1100"/>
      <c r="Z1920" s="1102"/>
      <c r="AL1920" t="str">
        <f>SUBSTITUTE(SUBSTITUTE(SUBSTITUTE("vpa"&amp;$B1920&amp;$C1920&amp;$D1920&amp;$E1920,".","_"),"(","_"),")","")</f>
        <v>vpa901_2_1_5</v>
      </c>
      <c r="AM1920">
        <f>M1920</f>
        <v>6</v>
      </c>
      <c r="AX1920" s="6"/>
    </row>
    <row r="1921" spans="1:51" ht="15" thickBot="1" x14ac:dyDescent="0.4">
      <c r="A1921" s="366">
        <v>9</v>
      </c>
      <c r="B1921" s="738" t="s">
        <v>3171</v>
      </c>
      <c r="C1921" s="731"/>
      <c r="D1921" s="731"/>
      <c r="E1921" s="731"/>
      <c r="F1921" s="731"/>
      <c r="G1921" s="366" t="str">
        <f>IF(N1921&gt;0,"P","")</f>
        <v/>
      </c>
      <c r="H1921" s="366" t="s">
        <v>3970</v>
      </c>
      <c r="I1921" s="114" t="s">
        <v>3171</v>
      </c>
      <c r="J1921" s="160"/>
      <c r="K1921" s="160"/>
      <c r="L1921" s="321" t="s">
        <v>3172</v>
      </c>
      <c r="M1921" s="270">
        <v>6</v>
      </c>
      <c r="N1921" s="72">
        <f>'Ch9'!O55</f>
        <v>0</v>
      </c>
      <c r="O1921" s="72">
        <f>M1921*S1921*W1921</f>
        <v>0</v>
      </c>
      <c r="P1921" t="b">
        <v>1</v>
      </c>
      <c r="Q1921" t="b">
        <v>1</v>
      </c>
      <c r="R1921" s="55" t="b">
        <v>0</v>
      </c>
      <c r="S1921" s="55" t="b">
        <f>(COUNTIF(W1909:W1919,"Met"))=0</f>
        <v>1</v>
      </c>
      <c r="T1921" s="55" t="b">
        <f>AND(NOT(S1921),W1921=TRUE)</f>
        <v>0</v>
      </c>
      <c r="U1921" s="55"/>
      <c r="V1921" s="55"/>
      <c r="W1921" s="56"/>
      <c r="X1921" s="280"/>
      <c r="Y1921" s="397" t="str">
        <f>IF(LEN('Ch9'!X55)=0,"None",'Ch9'!X55)</f>
        <v>None</v>
      </c>
      <c r="Z1921" s="658"/>
      <c r="AA1921" s="350" t="str">
        <f>IF(LEN('Photo Review'!I1920)&gt;0,'Photo Review'!I1920,"")</f>
        <v/>
      </c>
      <c r="AC1921" t="b">
        <f>OR(AD1921:AE1921)</f>
        <v>0</v>
      </c>
      <c r="AD1921" t="b">
        <f>T1921</f>
        <v>0</v>
      </c>
      <c r="AL1921" t="str">
        <f>SUBSTITUTE(SUBSTITUTE(SUBSTITUTE("vpa"&amp;$B1921&amp;$C1921&amp;$D1921&amp;$E1921,".","_"),"(","_"),")","")</f>
        <v>vpa901_2_2</v>
      </c>
      <c r="AM1921">
        <f>M1921</f>
        <v>6</v>
      </c>
      <c r="AN1921" t="str">
        <f>SUBSTITUTE(SUBSTITUTE(SUBSTITUTE("vpc"&amp;$B1921&amp;$C1921&amp;$D1921&amp;$E1921,".","_"),"(","_"),")","")</f>
        <v>vpc901_2_2</v>
      </c>
      <c r="AO1921">
        <f>O1921</f>
        <v>0</v>
      </c>
      <c r="AP1921" t="str">
        <f>SUBSTITUTE(SUBSTITUTE(SUBSTITUTE("vch"&amp;$B1921&amp;$C1921&amp;$D1921&amp;$E1921,".","_"),"(","_"),")","")</f>
        <v>vch901_2_2</v>
      </c>
      <c r="AQ1921" t="str">
        <f>IF(LEN(W1921)=0,"",W1921)</f>
        <v/>
      </c>
      <c r="AR1921" t="str">
        <f>SUBSTITUTE(SUBSTITUTE(SUBSTITUTE("vnt"&amp;$B1921&amp;$C1921&amp;$D1921&amp;$E1921,".","_"),"(","_"),")","")</f>
        <v>vnt901_2_2</v>
      </c>
      <c r="AS1921" t="str">
        <f>IF(LEN(X1921)=0,"",X1921)</f>
        <v/>
      </c>
      <c r="AX1921" s="6" t="str">
        <f>'Overview (Verification)'!A54</f>
        <v>Special Design Features:</v>
      </c>
    </row>
    <row r="1922" spans="1:51" ht="15" thickTop="1" x14ac:dyDescent="0.35">
      <c r="A1922" s="366">
        <v>9</v>
      </c>
      <c r="B1922" s="738">
        <v>901.3</v>
      </c>
      <c r="C1922" s="731"/>
      <c r="D1922" s="731"/>
      <c r="E1922" s="731"/>
      <c r="F1922" s="731"/>
      <c r="G1922" s="366" t="s">
        <v>3973</v>
      </c>
      <c r="H1922" s="366" t="s">
        <v>3970</v>
      </c>
      <c r="I1922" s="30">
        <v>901.3</v>
      </c>
      <c r="J1922" s="4"/>
      <c r="K1922" s="4"/>
      <c r="L1922" s="95" t="s">
        <v>3173</v>
      </c>
      <c r="M1922" s="40"/>
      <c r="N1922" s="41"/>
      <c r="O1922" s="41"/>
      <c r="AA1922" s="350" t="str">
        <f>IF(LEN('Photo Review'!I1921)&gt;0,'Photo Review'!I1921,"")</f>
        <v/>
      </c>
      <c r="AX1922" s="6" t="str">
        <f>'Overview (Verification)'!A55</f>
        <v>Passive Solar:</v>
      </c>
      <c r="AY1922">
        <f>IF(LEN('Overview (Verification)'!P55)=0,0,'Overview (Verification)'!P55)</f>
        <v>0</v>
      </c>
    </row>
    <row r="1923" spans="1:51" x14ac:dyDescent="0.35">
      <c r="A1923" s="366">
        <v>9</v>
      </c>
      <c r="B1923" s="738">
        <v>901.3</v>
      </c>
      <c r="C1923" s="731" t="s">
        <v>256</v>
      </c>
      <c r="D1923" s="731"/>
      <c r="E1923" s="731"/>
      <c r="F1923" s="731"/>
      <c r="G1923" s="366" t="s">
        <v>3973</v>
      </c>
      <c r="H1923" s="732" t="s">
        <v>3970</v>
      </c>
      <c r="I1923" s="93"/>
      <c r="J1923" s="19" t="s">
        <v>256</v>
      </c>
      <c r="K1923" s="4"/>
      <c r="L1923" s="90" t="s">
        <v>3174</v>
      </c>
      <c r="M1923" s="40"/>
      <c r="N1923" s="41"/>
      <c r="O1923" s="41"/>
      <c r="AX1923" s="6" t="str">
        <f>'Overview (Verification)'!A56</f>
        <v>Mass Walls:</v>
      </c>
      <c r="AY1923">
        <f>IF(LEN('Overview (Verification)'!P56)=0,0,'Overview (Verification)'!P56)</f>
        <v>0</v>
      </c>
    </row>
    <row r="1924" spans="1:51" x14ac:dyDescent="0.35">
      <c r="A1924" s="366">
        <v>9</v>
      </c>
      <c r="B1924" s="738">
        <v>901.3</v>
      </c>
      <c r="C1924" s="731" t="s">
        <v>256</v>
      </c>
      <c r="D1924" s="737" t="s">
        <v>121</v>
      </c>
      <c r="E1924" s="731"/>
      <c r="F1924" s="731" t="s">
        <v>4889</v>
      </c>
      <c r="G1924" s="366" t="s">
        <v>3973</v>
      </c>
      <c r="H1924" s="748" t="s">
        <v>3972</v>
      </c>
      <c r="I1924" s="93"/>
      <c r="J1924" s="4"/>
      <c r="K1924" s="19" t="s">
        <v>121</v>
      </c>
      <c r="L1924" s="814" t="s">
        <v>3175</v>
      </c>
      <c r="M1924" s="459" t="str">
        <f>IF(R1924,"Mandatory","N/A")</f>
        <v>Mandatory</v>
      </c>
      <c r="N1924" s="834">
        <f>'Ch9'!O58</f>
        <v>2</v>
      </c>
      <c r="O1924" s="834">
        <f>M1925*S1924*(W1924="Met")</f>
        <v>0</v>
      </c>
      <c r="P1924" t="b">
        <v>0</v>
      </c>
      <c r="Q1924" t="b">
        <v>1</v>
      </c>
      <c r="R1924" t="b">
        <f>S1924</f>
        <v>1</v>
      </c>
      <c r="S1924" t="b">
        <f>NOT(OR(W1934,W1926="N/A"))</f>
        <v>1</v>
      </c>
      <c r="T1924" t="b">
        <f>AND(NOT(S1924),LEN(W1924)&gt;"Met")</f>
        <v>0</v>
      </c>
      <c r="U1924" t="str">
        <f>SUBSTITUTE(SUBSTITUTE(SUBSTITUTE("dd"&amp;B1924&amp;C1924&amp;D1924&amp;E1924&amp;F1924,".","_"),"(","_"),")","")</f>
        <v>dd901_3_1_a_m</v>
      </c>
      <c r="W1924" s="9"/>
      <c r="X1924" s="817"/>
      <c r="Y1924" s="1100" t="str">
        <f>IF(LEN('Ch9'!X58)=0,"None",'Ch9'!X58)</f>
        <v>None</v>
      </c>
      <c r="Z1924" s="1102"/>
      <c r="AC1924" t="b">
        <f>OR(AD1924:AE1924)</f>
        <v>1</v>
      </c>
      <c r="AD1924" t="b">
        <f>T1924</f>
        <v>0</v>
      </c>
      <c r="AE1924" t="b">
        <f>AND(R1924,OR(W1924="Not Met",W1924=""))</f>
        <v>1</v>
      </c>
      <c r="AL1924" s="1" t="str">
        <f>SUBSTITUTE(SUBSTITUTE(SUBSTITUTE("vpa"&amp;$B1924&amp;$C1924&amp;$D1924&amp;$E1924&amp;$F1924,".","_"),"(","_"),")","")</f>
        <v>vpa901_3_1_a_m</v>
      </c>
      <c r="AM1924" t="str">
        <f>M1924</f>
        <v>Mandatory</v>
      </c>
      <c r="AN1924" t="str">
        <f>SUBSTITUTE(SUBSTITUTE(SUBSTITUTE("vpc"&amp;$B1924&amp;$C1924&amp;$D1924&amp;$E1924,".","_"),"(","_"),")","")</f>
        <v>vpc901_3_1_a</v>
      </c>
      <c r="AO1924">
        <f>O1924</f>
        <v>0</v>
      </c>
      <c r="AP1924" t="str">
        <f>SUBSTITUTE(SUBSTITUTE(SUBSTITUTE("vch"&amp;$B1924&amp;$C1924&amp;$D1924&amp;$E1924,".","_"),"(","_"),")","")</f>
        <v>vch901_3_1_a</v>
      </c>
      <c r="AQ1924" t="str">
        <f>IF(LEN(W1924)=0,"",W1924)</f>
        <v/>
      </c>
      <c r="AR1924" t="str">
        <f>SUBSTITUTE(SUBSTITUTE(SUBSTITUTE("vnt"&amp;$B1924&amp;$C1924&amp;$D1924&amp;$E1924,".","_"),"(","_"),")","")</f>
        <v>vnt901_3_1_a</v>
      </c>
      <c r="AS1924" t="str">
        <f>IF(LEN(X1924)=0,"",X1924)</f>
        <v/>
      </c>
      <c r="AX1924" s="6" t="str">
        <f>'Overview (Verification)'!A57</f>
        <v>Radiant/Hydronic:</v>
      </c>
      <c r="AY1924">
        <f>IF(LEN('Overview (Verification)'!P57)=0,0,'Overview (Verification)'!P57)</f>
        <v>0</v>
      </c>
    </row>
    <row r="1925" spans="1:51" x14ac:dyDescent="0.35">
      <c r="A1925" s="366">
        <v>9</v>
      </c>
      <c r="B1925" s="738">
        <v>901.3</v>
      </c>
      <c r="C1925" s="731" t="s">
        <v>256</v>
      </c>
      <c r="D1925" s="737" t="s">
        <v>121</v>
      </c>
      <c r="E1925" s="731"/>
      <c r="F1925" s="737"/>
      <c r="G1925" s="366" t="s">
        <v>3973</v>
      </c>
      <c r="H1925" s="748" t="s">
        <v>3972</v>
      </c>
      <c r="I1925" s="93"/>
      <c r="J1925" s="4"/>
      <c r="K1925" s="129"/>
      <c r="L1925" s="815"/>
      <c r="M1925" s="268">
        <v>2</v>
      </c>
      <c r="N1925" s="835"/>
      <c r="O1925" s="835"/>
      <c r="X1925" s="817"/>
      <c r="Y1925" s="1100"/>
      <c r="Z1925" s="1102"/>
      <c r="AL1925" t="str">
        <f>SUBSTITUTE(SUBSTITUTE(SUBSTITUTE("vpa"&amp;$B1925&amp;$C1925&amp;$D1925&amp;$E1925,".","_"),"(","_"),")","")</f>
        <v>vpa901_3_1_a</v>
      </c>
      <c r="AM1925">
        <f>M1925</f>
        <v>2</v>
      </c>
      <c r="AX1925" s="6" t="str">
        <f>'Overview (Verification)'!A58</f>
        <v>Tankless Water Heater:</v>
      </c>
      <c r="AY1925">
        <f>IF(LEN('Overview (Verification)'!P58)=0,0,'Overview (Verification)'!P58)</f>
        <v>0</v>
      </c>
    </row>
    <row r="1926" spans="1:51" x14ac:dyDescent="0.35">
      <c r="A1926" s="366">
        <v>9</v>
      </c>
      <c r="B1926" s="738">
        <v>901.3</v>
      </c>
      <c r="C1926" s="731" t="s">
        <v>256</v>
      </c>
      <c r="D1926" s="737" t="s">
        <v>122</v>
      </c>
      <c r="E1926" s="731"/>
      <c r="F1926" s="731" t="s">
        <v>4889</v>
      </c>
      <c r="G1926" s="366" t="s">
        <v>3973</v>
      </c>
      <c r="H1926" s="748" t="s">
        <v>3971</v>
      </c>
      <c r="I1926" s="93"/>
      <c r="J1926" s="4"/>
      <c r="K1926" s="19" t="s">
        <v>122</v>
      </c>
      <c r="L1926" s="814" t="s">
        <v>3176</v>
      </c>
      <c r="M1926" s="459" t="str">
        <f>IF(R1926,"Mandatory","N/A")</f>
        <v>Mandatory</v>
      </c>
      <c r="N1926" s="834">
        <f>'Ch9'!O60</f>
        <v>2</v>
      </c>
      <c r="O1926" s="834">
        <f>M1927*S1926*(W1926="Met")</f>
        <v>0</v>
      </c>
      <c r="P1926" t="b">
        <v>1</v>
      </c>
      <c r="Q1926" t="b">
        <v>0</v>
      </c>
      <c r="R1926" t="b">
        <f>S1926</f>
        <v>1</v>
      </c>
      <c r="S1926" t="b">
        <f>NOT(OR(W1934,W1924="N/A"))</f>
        <v>1</v>
      </c>
      <c r="T1926" t="b">
        <f>AND(NOT(S1926),LEN(W1926)&gt;"Met")</f>
        <v>0</v>
      </c>
      <c r="U1926" t="str">
        <f>SUBSTITUTE(SUBSTITUTE(SUBSTITUTE("dd"&amp;B1926&amp;C1926&amp;D1926&amp;E1926&amp;F1926,".","_"),"(","_"),")","")</f>
        <v>dd901_3_1_b_m</v>
      </c>
      <c r="W1926" s="9"/>
      <c r="X1926" s="817"/>
      <c r="Y1926" s="1100" t="str">
        <f>IF(LEN('Ch9'!X60)=0,"None",'Ch9'!X60)</f>
        <v>Hardie™ Weather Barrier</v>
      </c>
      <c r="Z1926" s="1102"/>
      <c r="AC1926" t="b">
        <f>OR(AD1926:AE1926)</f>
        <v>1</v>
      </c>
      <c r="AD1926" t="b">
        <f>T1926</f>
        <v>0</v>
      </c>
      <c r="AE1926" t="b">
        <f>AND(R1926,OR(W1926="Not Met",W1926=""))</f>
        <v>1</v>
      </c>
      <c r="AL1926" s="1" t="str">
        <f>SUBSTITUTE(SUBSTITUTE(SUBSTITUTE("vpa"&amp;$B1926&amp;$C1926&amp;$D1926&amp;$E1926&amp;$F1926,".","_"),"(","_"),")","")</f>
        <v>vpa901_3_1_b_m</v>
      </c>
      <c r="AM1926" t="str">
        <f>M1926</f>
        <v>Mandatory</v>
      </c>
      <c r="AN1926" t="str">
        <f>SUBSTITUTE(SUBSTITUTE(SUBSTITUTE("vpc"&amp;$B1926&amp;$C1926&amp;$D1926&amp;$E1926,".","_"),"(","_"),")","")</f>
        <v>vpc901_3_1_b</v>
      </c>
      <c r="AO1926">
        <f>O1926</f>
        <v>0</v>
      </c>
      <c r="AP1926" t="str">
        <f>SUBSTITUTE(SUBSTITUTE(SUBSTITUTE("vch"&amp;$B1926&amp;$C1926&amp;$D1926&amp;$E1926,".","_"),"(","_"),")","")</f>
        <v>vch901_3_1_b</v>
      </c>
      <c r="AQ1926" t="str">
        <f>IF(LEN(W1926)=0,"",W1926)</f>
        <v/>
      </c>
      <c r="AR1926" t="str">
        <f>SUBSTITUTE(SUBSTITUTE(SUBSTITUTE("vnt"&amp;$B1926&amp;$C1926&amp;$D1926&amp;$E1926,".","_"),"(","_"),")","")</f>
        <v>vnt901_3_1_b</v>
      </c>
      <c r="AS1926" t="str">
        <f>IF(LEN(X1926)=0,"",X1926)</f>
        <v/>
      </c>
      <c r="AX1926" s="6" t="str">
        <f>'Overview (Verification)'!A59</f>
        <v>Composting Toilet:</v>
      </c>
      <c r="AY1926">
        <f>IF(LEN('Overview (Verification)'!P59)=0,0,'Overview (Verification)'!P59)</f>
        <v>0</v>
      </c>
    </row>
    <row r="1927" spans="1:51" x14ac:dyDescent="0.35">
      <c r="A1927" s="366">
        <v>9</v>
      </c>
      <c r="B1927" s="738">
        <v>901.3</v>
      </c>
      <c r="C1927" s="731" t="s">
        <v>256</v>
      </c>
      <c r="D1927" s="737" t="s">
        <v>122</v>
      </c>
      <c r="E1927" s="731"/>
      <c r="F1927" s="737"/>
      <c r="G1927" s="366" t="s">
        <v>3973</v>
      </c>
      <c r="H1927" s="748" t="s">
        <v>3971</v>
      </c>
      <c r="I1927" s="93"/>
      <c r="J1927" s="4"/>
      <c r="K1927" s="133"/>
      <c r="L1927" s="815"/>
      <c r="M1927" s="268">
        <v>2</v>
      </c>
      <c r="N1927" s="835"/>
      <c r="O1927" s="835"/>
      <c r="X1927" s="817"/>
      <c r="Y1927" s="1100"/>
      <c r="Z1927" s="1102"/>
      <c r="AL1927" t="str">
        <f>SUBSTITUTE(SUBSTITUTE(SUBSTITUTE("vpa"&amp;$B1927&amp;$C1927&amp;$D1927&amp;$E1927,".","_"),"(","_"),")","")</f>
        <v>vpa901_3_1_b</v>
      </c>
      <c r="AM1927">
        <f>M1927</f>
        <v>2</v>
      </c>
      <c r="AX1927" s="6"/>
    </row>
    <row r="1928" spans="1:51" x14ac:dyDescent="0.35">
      <c r="A1928" s="366">
        <v>9</v>
      </c>
      <c r="B1928" s="738">
        <v>901.3</v>
      </c>
      <c r="C1928" s="731" t="s">
        <v>256</v>
      </c>
      <c r="D1928" s="737" t="s">
        <v>123</v>
      </c>
      <c r="E1928" s="731"/>
      <c r="F1928" s="737"/>
      <c r="G1928" s="366" t="str">
        <f ca="1">IF(N1928&gt;0,"P","")</f>
        <v/>
      </c>
      <c r="H1928" s="748" t="s">
        <v>3972</v>
      </c>
      <c r="I1928" s="93"/>
      <c r="J1928" s="4"/>
      <c r="K1928" s="19" t="s">
        <v>123</v>
      </c>
      <c r="L1928" s="814" t="s">
        <v>5587</v>
      </c>
      <c r="M1928" s="818">
        <v>8</v>
      </c>
      <c r="N1928" s="834">
        <f ca="1">'Ch9'!O62</f>
        <v>0</v>
      </c>
      <c r="O1928" s="834">
        <f ca="1">M1928*S1928*W1928</f>
        <v>0</v>
      </c>
      <c r="P1928" t="b">
        <v>0</v>
      </c>
      <c r="Q1928" t="b">
        <v>1</v>
      </c>
      <c r="R1928" t="b">
        <v>0</v>
      </c>
      <c r="S1928" t="b">
        <f ca="1">AND(NOT(W1934),AY1885=INDEX(INDIRECT("ddSingleOrMulti"),1))</f>
        <v>1</v>
      </c>
      <c r="T1928" t="b">
        <f ca="1">AND(NOT(S1928),W1928=TRUE)</f>
        <v>0</v>
      </c>
      <c r="W1928" s="17"/>
      <c r="X1928" s="817"/>
      <c r="Y1928" s="1100" t="str">
        <f>IF(LEN('Ch9'!X62)=0,"None",'Ch9'!X62)</f>
        <v>None</v>
      </c>
      <c r="Z1928" s="1102"/>
      <c r="AC1928" t="b">
        <f ca="1">OR(AD1928:AE1928)</f>
        <v>0</v>
      </c>
      <c r="AD1928" t="b">
        <f ca="1">T1928</f>
        <v>0</v>
      </c>
      <c r="AL1928" t="str">
        <f>SUBSTITUTE(SUBSTITUTE(SUBSTITUTE("vpa"&amp;$B1928&amp;$C1928&amp;$D1928&amp;$E1928,".","_"),"(","_"),")","")</f>
        <v>vpa901_3_1_c</v>
      </c>
      <c r="AM1928">
        <f>M1928</f>
        <v>8</v>
      </c>
      <c r="AN1928" t="str">
        <f>SUBSTITUTE(SUBSTITUTE(SUBSTITUTE("vpc"&amp;$B1928&amp;$C1928&amp;$D1928&amp;$E1928,".","_"),"(","_"),")","")</f>
        <v>vpc901_3_1_c</v>
      </c>
      <c r="AO1928">
        <f ca="1">O1928</f>
        <v>0</v>
      </c>
      <c r="AP1928" t="str">
        <f>SUBSTITUTE(SUBSTITUTE(SUBSTITUTE("vch"&amp;$B1928&amp;$C1928&amp;$D1928&amp;$E1928,".","_"),"(","_"),")","")</f>
        <v>vch901_3_1_c</v>
      </c>
      <c r="AQ1928" t="str">
        <f>IF(LEN(W1928)=0,"",W1928)</f>
        <v/>
      </c>
      <c r="AR1928" t="str">
        <f>SUBSTITUTE(SUBSTITUTE(SUBSTITUTE("vnt"&amp;$B1928&amp;$C1928&amp;$D1928&amp;$E1928,".","_"),"(","_"),")","")</f>
        <v>vnt901_3_1_c</v>
      </c>
      <c r="AS1928" t="str">
        <f>IF(LEN(X1928)=0,"",X1928)</f>
        <v/>
      </c>
      <c r="AX1928" s="6" t="str">
        <f>'Overview (Verification)'!A61</f>
        <v>Local Energy Code:</v>
      </c>
      <c r="AY1928">
        <f>IF(LEN('Overview (Verification)'!P61)=0,0,'Overview (Verification)'!P61)</f>
        <v>0</v>
      </c>
    </row>
    <row r="1929" spans="1:51" x14ac:dyDescent="0.35">
      <c r="A1929" s="366">
        <v>9</v>
      </c>
      <c r="B1929" s="738">
        <v>901.3</v>
      </c>
      <c r="C1929" s="731" t="s">
        <v>256</v>
      </c>
      <c r="D1929" s="737" t="s">
        <v>123</v>
      </c>
      <c r="E1929" s="731"/>
      <c r="F1929" s="737"/>
      <c r="G1929" s="366" t="str">
        <f ca="1">G1928</f>
        <v/>
      </c>
      <c r="H1929" s="748" t="s">
        <v>3972</v>
      </c>
      <c r="I1929" s="93"/>
      <c r="J1929" s="4"/>
      <c r="K1929" s="4"/>
      <c r="L1929" s="814"/>
      <c r="M1929" s="818"/>
      <c r="N1929" s="834"/>
      <c r="O1929" s="834"/>
      <c r="X1929" s="817"/>
      <c r="Y1929" s="1100"/>
      <c r="Z1929" s="1102"/>
      <c r="AX1929" s="6" t="str">
        <f>'Overview (Verification)'!A62</f>
        <v>Local Building Code:</v>
      </c>
      <c r="AY1929">
        <f>IF(LEN('Overview (Verification)'!P62)=0,0,'Overview (Verification)'!P62)</f>
        <v>0</v>
      </c>
    </row>
    <row r="1930" spans="1:51" x14ac:dyDescent="0.35">
      <c r="A1930" s="366">
        <v>9</v>
      </c>
      <c r="B1930" s="738">
        <v>901.3</v>
      </c>
      <c r="C1930" s="731" t="s">
        <v>256</v>
      </c>
      <c r="D1930" s="737" t="s">
        <v>123</v>
      </c>
      <c r="E1930" s="731"/>
      <c r="F1930" s="737"/>
      <c r="G1930" s="366" t="str">
        <f ca="1">G1929</f>
        <v/>
      </c>
      <c r="H1930" s="748" t="s">
        <v>3972</v>
      </c>
      <c r="I1930" s="93"/>
      <c r="J1930" s="4"/>
      <c r="K1930" s="4"/>
      <c r="L1930" s="814"/>
      <c r="M1930" s="818"/>
      <c r="N1930" s="834"/>
      <c r="O1930" s="834"/>
      <c r="X1930" s="817"/>
      <c r="Y1930" s="1100"/>
      <c r="Z1930" s="1102"/>
    </row>
    <row r="1931" spans="1:51" x14ac:dyDescent="0.35">
      <c r="A1931" s="366">
        <v>9</v>
      </c>
      <c r="B1931" s="738">
        <v>901.3</v>
      </c>
      <c r="C1931" s="731" t="s">
        <v>256</v>
      </c>
      <c r="D1931" s="737" t="s">
        <v>123</v>
      </c>
      <c r="E1931" s="731"/>
      <c r="F1931" s="737"/>
      <c r="G1931" s="366" t="str">
        <f ca="1">G1930</f>
        <v/>
      </c>
      <c r="H1931" s="748" t="s">
        <v>3972</v>
      </c>
      <c r="I1931" s="93"/>
      <c r="J1931" s="4"/>
      <c r="K1931" s="4"/>
      <c r="L1931" s="814"/>
      <c r="M1931" s="818"/>
      <c r="N1931" s="834"/>
      <c r="O1931" s="834"/>
      <c r="X1931" s="817"/>
      <c r="Y1931" s="1100"/>
      <c r="Z1931" s="1102"/>
    </row>
    <row r="1932" spans="1:51" x14ac:dyDescent="0.35">
      <c r="A1932" s="366">
        <v>9</v>
      </c>
      <c r="B1932" s="738">
        <v>901.3</v>
      </c>
      <c r="C1932" s="731" t="s">
        <v>256</v>
      </c>
      <c r="D1932" s="737" t="s">
        <v>123</v>
      </c>
      <c r="E1932" s="731"/>
      <c r="F1932" s="737"/>
      <c r="G1932" s="366" t="str">
        <f ca="1">G1931</f>
        <v/>
      </c>
      <c r="H1932" s="748" t="s">
        <v>3972</v>
      </c>
      <c r="I1932" s="93"/>
      <c r="J1932" s="4"/>
      <c r="K1932" s="4"/>
      <c r="L1932" s="814"/>
      <c r="M1932" s="818"/>
      <c r="N1932" s="834"/>
      <c r="O1932" s="834"/>
      <c r="X1932" s="817"/>
      <c r="Y1932" s="1100"/>
      <c r="Z1932" s="1102"/>
    </row>
    <row r="1933" spans="1:51" x14ac:dyDescent="0.35">
      <c r="A1933" s="366">
        <v>9</v>
      </c>
      <c r="B1933" s="738">
        <v>901.3</v>
      </c>
      <c r="C1933" s="731" t="s">
        <v>256</v>
      </c>
      <c r="D1933" s="737" t="s">
        <v>123</v>
      </c>
      <c r="E1933" s="731"/>
      <c r="F1933" s="737"/>
      <c r="G1933" s="366" t="str">
        <f ca="1">G1932</f>
        <v/>
      </c>
      <c r="H1933" s="748" t="s">
        <v>3972</v>
      </c>
      <c r="I1933" s="93"/>
      <c r="J1933" s="133"/>
      <c r="K1933" s="133"/>
      <c r="L1933" s="815"/>
      <c r="M1933" s="819"/>
      <c r="N1933" s="835"/>
      <c r="O1933" s="835"/>
      <c r="X1933" s="817"/>
      <c r="Y1933" s="1100"/>
      <c r="Z1933" s="1102"/>
    </row>
    <row r="1934" spans="1:51" ht="15.75" customHeight="1" thickBot="1" x14ac:dyDescent="0.4">
      <c r="A1934" s="366">
        <v>9</v>
      </c>
      <c r="B1934" s="738">
        <v>901.3</v>
      </c>
      <c r="C1934" s="731" t="s">
        <v>258</v>
      </c>
      <c r="D1934" s="737"/>
      <c r="E1934" s="731"/>
      <c r="F1934" s="737"/>
      <c r="G1934" s="366" t="str">
        <f>IF(N1934&gt;0,"P","")</f>
        <v/>
      </c>
      <c r="H1934" s="377" t="s">
        <v>3970</v>
      </c>
      <c r="I1934" s="294"/>
      <c r="J1934" s="115" t="s">
        <v>258</v>
      </c>
      <c r="K1934" s="160"/>
      <c r="L1934" s="229" t="s">
        <v>3177</v>
      </c>
      <c r="M1934" s="270">
        <v>10</v>
      </c>
      <c r="N1934" s="72">
        <f>'Ch9'!O68</f>
        <v>0</v>
      </c>
      <c r="O1934" s="72">
        <f>M1934*S1934*W1934</f>
        <v>0</v>
      </c>
      <c r="P1934" t="b">
        <v>1</v>
      </c>
      <c r="Q1934" t="b">
        <v>1</v>
      </c>
      <c r="R1934" s="55" t="b">
        <v>0</v>
      </c>
      <c r="S1934" s="55" t="b">
        <f>AND(NOT(W1928),W1924&lt;&gt;"Met",W1926&lt;&gt;"Met")</f>
        <v>1</v>
      </c>
      <c r="T1934" s="55" t="b">
        <f>AND(NOT(S1934),W1934=TRUE)</f>
        <v>0</v>
      </c>
      <c r="U1934" s="55"/>
      <c r="V1934" s="55"/>
      <c r="W1934" s="56"/>
      <c r="X1934" s="98"/>
      <c r="Y1934" s="397" t="str">
        <f>IF(LEN('Ch9'!X68)=0,"None",'Ch9'!X68)</f>
        <v>None</v>
      </c>
      <c r="Z1934" s="658"/>
      <c r="AA1934" s="350" t="str">
        <f>IF(LEN('Photo Review'!I1933)&gt;0,'Photo Review'!I1933,"")</f>
        <v/>
      </c>
      <c r="AC1934" t="b">
        <f>OR(AD1934:AE1934)</f>
        <v>0</v>
      </c>
      <c r="AD1934" t="b">
        <f>T1934</f>
        <v>0</v>
      </c>
      <c r="AE1934" t="b">
        <f>AND(R1934,NOT(W1934))</f>
        <v>0</v>
      </c>
      <c r="AL1934" t="str">
        <f>SUBSTITUTE(SUBSTITUTE(SUBSTITUTE("vpa"&amp;$B1934&amp;$C1934&amp;$D1934&amp;$E1934,".","_"),"(","_"),")","")</f>
        <v>vpa901_3_2</v>
      </c>
      <c r="AM1934">
        <f>M1934</f>
        <v>10</v>
      </c>
      <c r="AN1934" t="str">
        <f>SUBSTITUTE(SUBSTITUTE(SUBSTITUTE("vpc"&amp;$B1934&amp;$C1934&amp;$D1934&amp;$E1934,".","_"),"(","_"),")","")</f>
        <v>vpc901_3_2</v>
      </c>
      <c r="AO1934">
        <f>O1934</f>
        <v>0</v>
      </c>
      <c r="AP1934" t="str">
        <f>SUBSTITUTE(SUBSTITUTE(SUBSTITUTE("vch"&amp;$B1934&amp;$C1934&amp;$D1934&amp;$E1934,".","_"),"(","_"),")","")</f>
        <v>vch901_3_2</v>
      </c>
      <c r="AQ1934" t="str">
        <f>IF(LEN(W1934)=0,"",W1934)</f>
        <v/>
      </c>
      <c r="AR1934" t="str">
        <f>SUBSTITUTE(SUBSTITUTE(SUBSTITUTE("vnt"&amp;$B1934&amp;$C1934&amp;$D1934&amp;$E1934,".","_"),"(","_"),")","")</f>
        <v>vnt901_3_2</v>
      </c>
      <c r="AS1934" t="str">
        <f>IF(LEN(X1934)=0,"",X1934)</f>
        <v/>
      </c>
    </row>
    <row r="1935" spans="1:51" ht="15" thickTop="1" x14ac:dyDescent="0.35">
      <c r="A1935" s="366">
        <v>9</v>
      </c>
      <c r="B1935" s="738">
        <v>901.4</v>
      </c>
      <c r="C1935" s="731"/>
      <c r="D1935" s="731"/>
      <c r="E1935" s="731"/>
      <c r="F1935" s="731"/>
      <c r="G1935" s="366" t="s">
        <v>3973</v>
      </c>
      <c r="H1935" s="366" t="s">
        <v>3970</v>
      </c>
      <c r="I1935" s="30">
        <v>901.4</v>
      </c>
      <c r="J1935" s="4"/>
      <c r="K1935" s="4"/>
      <c r="L1935" s="814" t="s">
        <v>3178</v>
      </c>
      <c r="M1935" s="818" t="s">
        <v>699</v>
      </c>
      <c r="N1935" s="959">
        <f ca="1">'Ch9'!O69</f>
        <v>0</v>
      </c>
      <c r="O1935" s="959">
        <f ca="1">MIN(10,(IFERROR(INDEX({2,2,3,4,4},MATCH(W1943,INDIRECT(U1943),0)),0)+IFERROR(INDEX({2,2,3,4,4},MATCH(W1944,INDIRECT(U1944),0)),0)+IFERROR(INDEX({2,2,3,4,4},MATCH(W1945,INDIRECT(U1945),0)),0)+IFERROR(INDEX({2,2,3,4,4},MATCH(W1946,INDIRECT(U1946),0)),0)))*S1943</f>
        <v>0</v>
      </c>
      <c r="AL1935" t="str">
        <f>SUBSTITUTE(SUBSTITUTE(SUBSTITUTE("vpa"&amp;$B1935&amp;$C1935&amp;$D1935&amp;$E1935,".","_"),"(","_"),")","")</f>
        <v>vpa901_4</v>
      </c>
      <c r="AM1935" t="str">
        <f>M1935</f>
        <v>10 Max</v>
      </c>
      <c r="AN1935" t="str">
        <f>SUBSTITUTE(SUBSTITUTE(SUBSTITUTE("vpc"&amp;$B1935&amp;$C1935&amp;$D1935&amp;$E1935,".","_"),"(","_"),")","")</f>
        <v>vpc901_4</v>
      </c>
      <c r="AO1935">
        <f ca="1">O1935</f>
        <v>0</v>
      </c>
    </row>
    <row r="1936" spans="1:51" x14ac:dyDescent="0.35">
      <c r="A1936" s="366">
        <v>9</v>
      </c>
      <c r="B1936" s="738">
        <v>901.4</v>
      </c>
      <c r="C1936" s="731"/>
      <c r="D1936" s="731"/>
      <c r="E1936" s="731"/>
      <c r="F1936" s="731"/>
      <c r="G1936" s="366" t="s">
        <v>3973</v>
      </c>
      <c r="H1936" s="366" t="s">
        <v>3970</v>
      </c>
      <c r="I1936" s="93"/>
      <c r="J1936" s="4"/>
      <c r="K1936" s="4"/>
      <c r="L1936" s="814"/>
      <c r="M1936" s="818"/>
      <c r="N1936" s="834"/>
      <c r="O1936" s="834"/>
    </row>
    <row r="1937" spans="1:45" x14ac:dyDescent="0.35">
      <c r="A1937" s="366">
        <v>9</v>
      </c>
      <c r="B1937" s="738">
        <v>901.4</v>
      </c>
      <c r="C1937" s="731"/>
      <c r="D1937" s="731"/>
      <c r="E1937" s="731"/>
      <c r="F1937" s="731"/>
      <c r="G1937" s="366" t="s">
        <v>3973</v>
      </c>
      <c r="H1937" s="366" t="s">
        <v>3970</v>
      </c>
      <c r="I1937" s="93"/>
      <c r="J1937" s="4"/>
      <c r="K1937" s="4"/>
      <c r="L1937" s="814"/>
      <c r="M1937" s="818"/>
      <c r="N1937" s="834"/>
      <c r="O1937" s="834"/>
    </row>
    <row r="1938" spans="1:45" x14ac:dyDescent="0.35">
      <c r="A1938" s="366">
        <v>9</v>
      </c>
      <c r="B1938" s="738">
        <v>901.4</v>
      </c>
      <c r="C1938" s="731" t="s">
        <v>256</v>
      </c>
      <c r="D1938" s="731"/>
      <c r="E1938" s="731"/>
      <c r="F1938" s="746"/>
      <c r="G1938" s="366" t="s">
        <v>3973</v>
      </c>
      <c r="H1938" s="366" t="s">
        <v>3971</v>
      </c>
      <c r="I1938" s="93"/>
      <c r="J1938" s="19" t="s">
        <v>256</v>
      </c>
      <c r="K1938" s="4"/>
      <c r="L1938" s="814" t="s">
        <v>3179</v>
      </c>
      <c r="M1938" s="885" t="str">
        <f>IF(R1938,"Mandatory","N/A")</f>
        <v>Mandatory</v>
      </c>
      <c r="P1938" t="b">
        <v>1</v>
      </c>
      <c r="Q1938" t="b">
        <v>0</v>
      </c>
      <c r="R1938" t="b">
        <f>S1938</f>
        <v>1</v>
      </c>
      <c r="S1938" t="b">
        <v>1</v>
      </c>
      <c r="T1938" t="b">
        <v>0</v>
      </c>
      <c r="U1938" t="str">
        <f>SUBSTITUTE(SUBSTITUTE(SUBSTITUTE("dd"&amp;B1938&amp;C1938&amp;D1938&amp;E1938&amp;F1938,".","_"),"(","_"),")","")</f>
        <v>dd901_4_1</v>
      </c>
      <c r="W1938" s="9"/>
      <c r="X1938" s="817"/>
      <c r="Y1938" s="1100" t="str">
        <f>IF(LEN('Ch9'!X72)=0,"None",'Ch9'!X72)</f>
        <v>Boise Cascade BCI® Joists</v>
      </c>
      <c r="Z1938" s="1102"/>
      <c r="AC1938" t="b">
        <f>OR(AD1938:AE1938)</f>
        <v>1</v>
      </c>
      <c r="AD1938" t="b">
        <f>T1938</f>
        <v>0</v>
      </c>
      <c r="AE1938" t="b">
        <f>OR(AND(W1938="N/A",LEN(X1938)=0),AND(R1938,OR(W1938="Not Met",W1938="")))</f>
        <v>1</v>
      </c>
      <c r="AF1938" t="b">
        <f>AND(AE1938,NOT(Q1938))</f>
        <v>1</v>
      </c>
      <c r="AL1938" t="str">
        <f>SUBSTITUTE(SUBSTITUTE(SUBSTITUTE("vpa"&amp;$B1938&amp;$C1938&amp;$D1938&amp;$E1938,".","_"),"(","_"),")","")</f>
        <v>vpa901_4_1</v>
      </c>
      <c r="AM1938" t="str">
        <f>M1938</f>
        <v>Mandatory</v>
      </c>
      <c r="AP1938" t="str">
        <f>SUBSTITUTE(SUBSTITUTE(SUBSTITUTE("vch"&amp;$B1938&amp;$C1938&amp;$D1938&amp;$E1938,".","_"),"(","_"),")","")</f>
        <v>vch901_4_1</v>
      </c>
      <c r="AQ1938" t="str">
        <f>IF(LEN(W1938)=0,"",W1938)</f>
        <v/>
      </c>
      <c r="AR1938" t="str">
        <f>SUBSTITUTE(SUBSTITUTE(SUBSTITUTE("vnt"&amp;$B1938&amp;$C1938&amp;$D1938&amp;$E1938,".","_"),"(","_"),")","")</f>
        <v>vnt901_4_1</v>
      </c>
      <c r="AS1938" t="str">
        <f>IF(LEN(X1938)=0,"",X1938)</f>
        <v/>
      </c>
    </row>
    <row r="1939" spans="1:45" x14ac:dyDescent="0.35">
      <c r="A1939" s="366">
        <v>9</v>
      </c>
      <c r="B1939" s="738">
        <v>901.4</v>
      </c>
      <c r="C1939" s="731" t="s">
        <v>256</v>
      </c>
      <c r="D1939" s="731"/>
      <c r="E1939" s="731"/>
      <c r="F1939" s="746"/>
      <c r="G1939" s="366" t="s">
        <v>3973</v>
      </c>
      <c r="H1939" s="366" t="s">
        <v>3971</v>
      </c>
      <c r="I1939" s="93"/>
      <c r="J1939" s="4"/>
      <c r="K1939" s="4"/>
      <c r="L1939" s="814"/>
      <c r="M1939" s="885"/>
      <c r="N1939" s="41"/>
      <c r="O1939" s="41"/>
      <c r="X1939" s="817"/>
      <c r="Y1939" s="1100"/>
      <c r="Z1939" s="1102"/>
    </row>
    <row r="1940" spans="1:45" x14ac:dyDescent="0.35">
      <c r="A1940" s="366">
        <v>9</v>
      </c>
      <c r="B1940" s="738">
        <v>901.4</v>
      </c>
      <c r="C1940" s="731" t="s">
        <v>256</v>
      </c>
      <c r="D1940" s="731"/>
      <c r="E1940" s="731"/>
      <c r="F1940" s="746"/>
      <c r="G1940" s="366" t="s">
        <v>3973</v>
      </c>
      <c r="H1940" s="366" t="s">
        <v>3971</v>
      </c>
      <c r="I1940" s="93"/>
      <c r="J1940" s="4"/>
      <c r="K1940" s="4"/>
      <c r="L1940" s="814"/>
      <c r="M1940" s="885"/>
      <c r="N1940" s="41"/>
      <c r="O1940" s="41"/>
      <c r="X1940" s="817"/>
      <c r="Y1940" s="1100"/>
      <c r="Z1940" s="1102"/>
    </row>
    <row r="1941" spans="1:45" x14ac:dyDescent="0.35">
      <c r="A1941" s="366">
        <v>9</v>
      </c>
      <c r="B1941" s="738">
        <v>901.4</v>
      </c>
      <c r="C1941" s="731" t="s">
        <v>256</v>
      </c>
      <c r="D1941" s="731"/>
      <c r="E1941" s="731"/>
      <c r="F1941" s="746"/>
      <c r="G1941" s="366" t="s">
        <v>3973</v>
      </c>
      <c r="H1941" s="366" t="s">
        <v>3971</v>
      </c>
      <c r="I1941" s="93"/>
      <c r="J1941" s="4"/>
      <c r="K1941" s="4"/>
      <c r="L1941" s="814"/>
      <c r="M1941" s="885"/>
      <c r="N1941" s="41"/>
      <c r="O1941" s="41"/>
      <c r="X1941" s="817"/>
      <c r="Y1941" s="1100"/>
      <c r="Z1941" s="1102"/>
    </row>
    <row r="1942" spans="1:45" x14ac:dyDescent="0.35">
      <c r="A1942" s="366">
        <v>9</v>
      </c>
      <c r="B1942" s="738">
        <v>901.4</v>
      </c>
      <c r="C1942" s="731" t="s">
        <v>256</v>
      </c>
      <c r="D1942" s="731"/>
      <c r="E1942" s="731"/>
      <c r="F1942" s="746"/>
      <c r="G1942" s="366" t="s">
        <v>3973</v>
      </c>
      <c r="H1942" s="366" t="s">
        <v>3971</v>
      </c>
      <c r="I1942" s="93"/>
      <c r="J1942" s="133"/>
      <c r="K1942" s="133"/>
      <c r="L1942" s="284" t="s">
        <v>3966</v>
      </c>
      <c r="M1942" s="890"/>
      <c r="N1942" s="41"/>
      <c r="O1942" s="41"/>
      <c r="X1942" s="817"/>
      <c r="Y1942" s="1100"/>
      <c r="Z1942" s="1102"/>
    </row>
    <row r="1943" spans="1:45" x14ac:dyDescent="0.35">
      <c r="A1943" s="366">
        <v>9</v>
      </c>
      <c r="B1943" s="738">
        <v>901.4</v>
      </c>
      <c r="C1943" s="731"/>
      <c r="D1943" s="737" t="s">
        <v>121</v>
      </c>
      <c r="E1943" s="737"/>
      <c r="F1943" s="749"/>
      <c r="G1943" s="366" t="str">
        <f ca="1">IF(N1935&gt;0,"P","")</f>
        <v/>
      </c>
      <c r="H1943" s="748" t="s">
        <v>3970</v>
      </c>
      <c r="I1943" s="93"/>
      <c r="J1943" s="4"/>
      <c r="K1943" s="4"/>
      <c r="L1943" s="90" t="s">
        <v>3645</v>
      </c>
      <c r="M1943" s="273"/>
      <c r="N1943" s="41"/>
      <c r="O1943" s="41"/>
      <c r="P1943" t="b">
        <v>1</v>
      </c>
      <c r="Q1943" t="b">
        <v>1</v>
      </c>
      <c r="R1943" t="b">
        <v>0</v>
      </c>
      <c r="S1943" t="b">
        <v>1</v>
      </c>
      <c r="T1943" t="b">
        <v>0</v>
      </c>
      <c r="U1943" t="str">
        <f>SUBSTITUTE(SUBSTITUTE(SUBSTITUTE("dd"&amp;B1943&amp;C1943&amp;D1943&amp;E1943&amp;F1943,".","_"),"(","_"),")","")</f>
        <v>dd901_4_a</v>
      </c>
      <c r="W1943" s="9"/>
      <c r="X1943" s="817"/>
      <c r="Y1943" s="1100" t="str">
        <f>IF(LEN('Ch9'!X77)=0,"None",'Ch9'!X77)</f>
        <v>None</v>
      </c>
      <c r="Z1943" s="1102"/>
      <c r="AP1943" t="str">
        <f>SUBSTITUTE(SUBSTITUTE(SUBSTITUTE("vch"&amp;$B1943&amp;$C1943&amp;$D1943&amp;$E1943,".","_"),"(","_"),")","")</f>
        <v>vch901_4_a</v>
      </c>
      <c r="AQ1943" t="str">
        <f>IF(LEN(W1943)=0,"",W1943)</f>
        <v/>
      </c>
      <c r="AR1943" t="str">
        <f>SUBSTITUTE(SUBSTITUTE(SUBSTITUTE("vnt"&amp;$B1943&amp;$C1943&amp;$D1943&amp;$E1943,".","_"),"(","_"),")","")</f>
        <v>vnt901_4_a</v>
      </c>
      <c r="AS1943" t="str">
        <f>IF(LEN(X1943)=0,"",X1943)</f>
        <v/>
      </c>
    </row>
    <row r="1944" spans="1:45" x14ac:dyDescent="0.35">
      <c r="A1944" s="366">
        <v>9</v>
      </c>
      <c r="B1944" s="738">
        <v>901.4</v>
      </c>
      <c r="C1944" s="731"/>
      <c r="D1944" s="737" t="s">
        <v>122</v>
      </c>
      <c r="E1944" s="737"/>
      <c r="F1944" s="749"/>
      <c r="G1944" s="366" t="str">
        <f t="shared" ref="G1944:G1953" ca="1" si="113">G1943</f>
        <v/>
      </c>
      <c r="H1944" s="748" t="s">
        <v>3970</v>
      </c>
      <c r="I1944" s="93"/>
      <c r="J1944" s="4"/>
      <c r="K1944" s="4"/>
      <c r="L1944" s="90" t="s">
        <v>3646</v>
      </c>
      <c r="M1944" s="273"/>
      <c r="N1944" s="41"/>
      <c r="O1944" s="41"/>
      <c r="P1944" t="b">
        <v>1</v>
      </c>
      <c r="Q1944" t="b">
        <v>1</v>
      </c>
      <c r="R1944" t="b">
        <v>0</v>
      </c>
      <c r="S1944" t="b">
        <v>1</v>
      </c>
      <c r="T1944" t="b">
        <v>0</v>
      </c>
      <c r="U1944" t="str">
        <f>SUBSTITUTE(SUBSTITUTE(SUBSTITUTE("dd"&amp;B1944&amp;C1944&amp;D1944&amp;E1944&amp;F1944,".","_"),"(","_"),")","")</f>
        <v>dd901_4_b</v>
      </c>
      <c r="W1944" s="9"/>
      <c r="X1944" s="817"/>
      <c r="Y1944" s="1100"/>
      <c r="Z1944" s="1102"/>
      <c r="AP1944" t="str">
        <f>SUBSTITUTE(SUBSTITUTE(SUBSTITUTE("vch"&amp;$B1944&amp;$C1944&amp;$D1944&amp;$E1944,".","_"),"(","_"),")","")</f>
        <v>vch901_4_b</v>
      </c>
      <c r="AQ1944" t="str">
        <f>IF(LEN(W1944)=0,"",W1944)</f>
        <v/>
      </c>
    </row>
    <row r="1945" spans="1:45" x14ac:dyDescent="0.35">
      <c r="A1945" s="366">
        <v>9</v>
      </c>
      <c r="B1945" s="738">
        <v>901.4</v>
      </c>
      <c r="C1945" s="731"/>
      <c r="D1945" s="737" t="s">
        <v>123</v>
      </c>
      <c r="E1945" s="737"/>
      <c r="F1945" s="749"/>
      <c r="G1945" s="366" t="str">
        <f t="shared" ca="1" si="113"/>
        <v/>
      </c>
      <c r="H1945" s="748" t="s">
        <v>3970</v>
      </c>
      <c r="I1945" s="93"/>
      <c r="J1945" s="4"/>
      <c r="K1945" s="4"/>
      <c r="L1945" s="90" t="s">
        <v>3647</v>
      </c>
      <c r="M1945" s="273"/>
      <c r="N1945" s="41"/>
      <c r="O1945" s="41"/>
      <c r="P1945" t="b">
        <v>1</v>
      </c>
      <c r="Q1945" t="b">
        <v>1</v>
      </c>
      <c r="R1945" t="b">
        <v>0</v>
      </c>
      <c r="S1945" t="b">
        <v>1</v>
      </c>
      <c r="T1945" t="b">
        <v>0</v>
      </c>
      <c r="U1945" t="str">
        <f>SUBSTITUTE(SUBSTITUTE(SUBSTITUTE("dd"&amp;B1945&amp;C1945&amp;D1945&amp;E1945&amp;F1945,".","_"),"(","_"),")","")</f>
        <v>dd901_4_c</v>
      </c>
      <c r="W1945" s="9"/>
      <c r="X1945" s="817"/>
      <c r="Y1945" s="1100"/>
      <c r="Z1945" s="1102"/>
      <c r="AP1945" t="str">
        <f>SUBSTITUTE(SUBSTITUTE(SUBSTITUTE("vch"&amp;$B1945&amp;$C1945&amp;$D1945&amp;$E1945,".","_"),"(","_"),")","")</f>
        <v>vch901_4_c</v>
      </c>
      <c r="AQ1945" t="str">
        <f>IF(LEN(W1945)=0,"",W1945)</f>
        <v/>
      </c>
    </row>
    <row r="1946" spans="1:45" x14ac:dyDescent="0.35">
      <c r="A1946" s="366">
        <v>9</v>
      </c>
      <c r="B1946" s="738">
        <v>901.4</v>
      </c>
      <c r="C1946" s="731"/>
      <c r="D1946" s="737" t="s">
        <v>401</v>
      </c>
      <c r="E1946" s="737"/>
      <c r="F1946" s="749"/>
      <c r="G1946" s="366" t="str">
        <f t="shared" ca="1" si="113"/>
        <v/>
      </c>
      <c r="H1946" s="748" t="s">
        <v>3970</v>
      </c>
      <c r="I1946" s="93"/>
      <c r="J1946" s="4"/>
      <c r="K1946" s="4"/>
      <c r="L1946" s="90" t="s">
        <v>3648</v>
      </c>
      <c r="M1946" s="273"/>
      <c r="N1946" s="41"/>
      <c r="O1946" s="41"/>
      <c r="P1946" t="b">
        <v>1</v>
      </c>
      <c r="Q1946" t="b">
        <v>1</v>
      </c>
      <c r="R1946" t="b">
        <v>0</v>
      </c>
      <c r="S1946" t="b">
        <v>1</v>
      </c>
      <c r="T1946" t="b">
        <v>0</v>
      </c>
      <c r="U1946" t="str">
        <f>SUBSTITUTE(SUBSTITUTE(SUBSTITUTE("dd"&amp;B1946&amp;C1946&amp;D1946&amp;E1946&amp;F1946,".","_"),"(","_"),")","")</f>
        <v>dd901_4_d</v>
      </c>
      <c r="W1946" s="9"/>
      <c r="X1946" s="817"/>
      <c r="Y1946" s="1100"/>
      <c r="Z1946" s="1102"/>
      <c r="AP1946" t="str">
        <f>SUBSTITUTE(SUBSTITUTE(SUBSTITUTE("vch"&amp;$B1946&amp;$C1946&amp;$D1946&amp;$E1946,".","_"),"(","_"),")","")</f>
        <v>vch901_4_d</v>
      </c>
      <c r="AQ1946" t="str">
        <f>IF(LEN(W1946)=0,"",W1946)</f>
        <v/>
      </c>
    </row>
    <row r="1947" spans="1:45" x14ac:dyDescent="0.35">
      <c r="A1947" s="366">
        <v>9</v>
      </c>
      <c r="B1947" s="738">
        <v>901.4</v>
      </c>
      <c r="C1947" s="731" t="s">
        <v>258</v>
      </c>
      <c r="D1947" s="731"/>
      <c r="E1947" s="731"/>
      <c r="F1947" s="746"/>
      <c r="G1947" s="366" t="str">
        <f t="shared" ca="1" si="113"/>
        <v/>
      </c>
      <c r="H1947" s="366" t="s">
        <v>3970</v>
      </c>
      <c r="I1947" s="93"/>
      <c r="J1947" s="19" t="s">
        <v>258</v>
      </c>
      <c r="K1947" s="4"/>
      <c r="L1947" s="814" t="s">
        <v>3180</v>
      </c>
      <c r="M1947" s="818">
        <v>2</v>
      </c>
      <c r="N1947" s="41"/>
      <c r="O1947" s="41"/>
      <c r="X1947" s="817"/>
      <c r="Y1947" s="1100"/>
      <c r="Z1947" s="1102"/>
      <c r="AL1947" t="str">
        <f>SUBSTITUTE(SUBSTITUTE(SUBSTITUTE("vpa"&amp;$B1947&amp;$C1947&amp;$D1947&amp;$E1947,".","_"),"(","_"),")","")</f>
        <v>vpa901_4_2</v>
      </c>
      <c r="AM1947">
        <f>M1947</f>
        <v>2</v>
      </c>
    </row>
    <row r="1948" spans="1:45" x14ac:dyDescent="0.35">
      <c r="A1948" s="366">
        <v>9</v>
      </c>
      <c r="B1948" s="738">
        <v>901.4</v>
      </c>
      <c r="C1948" s="731" t="s">
        <v>258</v>
      </c>
      <c r="D1948" s="731"/>
      <c r="E1948" s="731"/>
      <c r="F1948" s="746"/>
      <c r="G1948" s="366" t="str">
        <f t="shared" ca="1" si="113"/>
        <v/>
      </c>
      <c r="H1948" s="366" t="s">
        <v>3970</v>
      </c>
      <c r="I1948" s="93"/>
      <c r="J1948" s="133"/>
      <c r="K1948" s="133"/>
      <c r="L1948" s="815"/>
      <c r="M1948" s="819"/>
      <c r="N1948" s="41"/>
      <c r="O1948" s="41"/>
      <c r="X1948" s="817"/>
      <c r="Y1948" s="1100"/>
      <c r="Z1948" s="1102"/>
    </row>
    <row r="1949" spans="1:45" x14ac:dyDescent="0.35">
      <c r="A1949" s="366">
        <v>9</v>
      </c>
      <c r="B1949" s="738">
        <v>901.4</v>
      </c>
      <c r="C1949" s="731" t="s">
        <v>260</v>
      </c>
      <c r="D1949" s="731"/>
      <c r="E1949" s="731"/>
      <c r="F1949" s="746"/>
      <c r="G1949" s="366" t="str">
        <f t="shared" ca="1" si="113"/>
        <v/>
      </c>
      <c r="H1949" s="366" t="s">
        <v>3970</v>
      </c>
      <c r="I1949" s="93"/>
      <c r="J1949" s="129" t="s">
        <v>260</v>
      </c>
      <c r="K1949" s="133"/>
      <c r="L1949" s="228" t="s">
        <v>3181</v>
      </c>
      <c r="M1949" s="268">
        <v>2</v>
      </c>
      <c r="N1949" s="41"/>
      <c r="O1949" s="41"/>
      <c r="X1949" s="817"/>
      <c r="Y1949" s="1100"/>
      <c r="Z1949" s="1102"/>
      <c r="AL1949" t="str">
        <f>SUBSTITUTE(SUBSTITUTE(SUBSTITUTE("vpa"&amp;$B1949&amp;$C1949&amp;$D1949&amp;$E1949,".","_"),"(","_"),")","")</f>
        <v>vpa901_4_3</v>
      </c>
      <c r="AM1949">
        <f>M1949</f>
        <v>2</v>
      </c>
    </row>
    <row r="1950" spans="1:45" x14ac:dyDescent="0.35">
      <c r="A1950" s="366">
        <v>9</v>
      </c>
      <c r="B1950" s="738">
        <v>901.4</v>
      </c>
      <c r="C1950" s="731" t="s">
        <v>269</v>
      </c>
      <c r="D1950" s="731"/>
      <c r="E1950" s="731"/>
      <c r="F1950" s="746"/>
      <c r="G1950" s="366" t="str">
        <f t="shared" ca="1" si="113"/>
        <v/>
      </c>
      <c r="H1950" s="366" t="s">
        <v>3970</v>
      </c>
      <c r="I1950" s="93"/>
      <c r="J1950" s="129" t="s">
        <v>269</v>
      </c>
      <c r="K1950" s="133"/>
      <c r="L1950" s="228" t="s">
        <v>3182</v>
      </c>
      <c r="M1950" s="268">
        <v>3</v>
      </c>
      <c r="N1950" s="41"/>
      <c r="O1950" s="41"/>
      <c r="X1950" s="817"/>
      <c r="Y1950" s="1100"/>
      <c r="Z1950" s="1102"/>
      <c r="AL1950" t="str">
        <f>SUBSTITUTE(SUBSTITUTE(SUBSTITUTE("vpa"&amp;$B1950&amp;$C1950&amp;$D1950&amp;$E1950,".","_"),"(","_"),")","")</f>
        <v>vpa901_4_4</v>
      </c>
      <c r="AM1950">
        <f>M1950</f>
        <v>3</v>
      </c>
    </row>
    <row r="1951" spans="1:45" x14ac:dyDescent="0.35">
      <c r="A1951" s="366">
        <v>9</v>
      </c>
      <c r="B1951" s="738">
        <v>901.4</v>
      </c>
      <c r="C1951" s="731" t="s">
        <v>275</v>
      </c>
      <c r="D1951" s="731"/>
      <c r="E1951" s="731"/>
      <c r="F1951" s="746"/>
      <c r="G1951" s="366" t="str">
        <f t="shared" ca="1" si="113"/>
        <v/>
      </c>
      <c r="H1951" s="366" t="s">
        <v>3970</v>
      </c>
      <c r="I1951" s="93"/>
      <c r="J1951" s="19" t="s">
        <v>275</v>
      </c>
      <c r="K1951" s="4"/>
      <c r="L1951" s="814" t="s">
        <v>3183</v>
      </c>
      <c r="M1951" s="818">
        <v>4</v>
      </c>
      <c r="N1951" s="41"/>
      <c r="O1951" s="41"/>
      <c r="X1951" s="817"/>
      <c r="Y1951" s="1100"/>
      <c r="Z1951" s="1102"/>
      <c r="AL1951" t="str">
        <f>SUBSTITUTE(SUBSTITUTE(SUBSTITUTE("vpa"&amp;$B1951&amp;$C1951&amp;$D1951&amp;$E1951,".","_"),"(","_"),")","")</f>
        <v>vpa901_4_5</v>
      </c>
      <c r="AM1951">
        <f>M1951</f>
        <v>4</v>
      </c>
    </row>
    <row r="1952" spans="1:45" x14ac:dyDescent="0.35">
      <c r="A1952" s="366">
        <v>9</v>
      </c>
      <c r="B1952" s="738">
        <v>901.4</v>
      </c>
      <c r="C1952" s="731" t="s">
        <v>275</v>
      </c>
      <c r="D1952" s="731"/>
      <c r="E1952" s="731"/>
      <c r="F1952" s="746"/>
      <c r="G1952" s="366" t="str">
        <f t="shared" ca="1" si="113"/>
        <v/>
      </c>
      <c r="H1952" s="366" t="s">
        <v>3970</v>
      </c>
      <c r="I1952" s="93"/>
      <c r="J1952" s="129"/>
      <c r="K1952" s="133"/>
      <c r="L1952" s="815"/>
      <c r="M1952" s="819"/>
      <c r="N1952" s="41"/>
      <c r="O1952" s="41"/>
      <c r="X1952" s="817"/>
      <c r="Y1952" s="1100"/>
      <c r="Z1952" s="1102"/>
    </row>
    <row r="1953" spans="1:45" ht="15" thickBot="1" x14ac:dyDescent="0.4">
      <c r="A1953" s="366">
        <v>9</v>
      </c>
      <c r="B1953" s="738">
        <v>901.4</v>
      </c>
      <c r="C1953" s="731" t="s">
        <v>277</v>
      </c>
      <c r="D1953" s="731"/>
      <c r="E1953" s="731"/>
      <c r="F1953" s="746"/>
      <c r="G1953" s="366" t="str">
        <f t="shared" ca="1" si="113"/>
        <v/>
      </c>
      <c r="H1953" s="366" t="s">
        <v>3970</v>
      </c>
      <c r="I1953" s="294"/>
      <c r="J1953" s="115" t="s">
        <v>277</v>
      </c>
      <c r="K1953" s="160"/>
      <c r="L1953" s="229" t="s">
        <v>3184</v>
      </c>
      <c r="M1953" s="270">
        <v>4</v>
      </c>
      <c r="N1953" s="72"/>
      <c r="O1953" s="72"/>
      <c r="P1953" s="55"/>
      <c r="Q1953" s="55"/>
      <c r="R1953" s="55"/>
      <c r="S1953" s="55"/>
      <c r="T1953" s="55"/>
      <c r="U1953" s="55"/>
      <c r="V1953" s="55"/>
      <c r="W1953" s="55"/>
      <c r="X1953" s="829"/>
      <c r="Y1953" s="1101"/>
      <c r="Z1953" s="1104"/>
      <c r="AL1953" t="str">
        <f>SUBSTITUTE(SUBSTITUTE(SUBSTITUTE("vpa"&amp;$B1953&amp;$C1953&amp;$D1953&amp;$E1953,".","_"),"(","_"),")","")</f>
        <v>vpa901_4_6</v>
      </c>
      <c r="AM1953">
        <f>M1953</f>
        <v>4</v>
      </c>
    </row>
    <row r="1954" spans="1:45" ht="15" thickTop="1" x14ac:dyDescent="0.35">
      <c r="A1954" s="366">
        <v>9</v>
      </c>
      <c r="B1954" s="738">
        <v>901.5</v>
      </c>
      <c r="C1954" s="731"/>
      <c r="D1954" s="731"/>
      <c r="E1954" s="731"/>
      <c r="F1954" s="731"/>
      <c r="G1954" s="727" t="str">
        <f>IF(COUNTIF(G1957:G1959,"P")&gt;0,"P","")</f>
        <v>P</v>
      </c>
      <c r="H1954" s="366" t="s">
        <v>3972</v>
      </c>
      <c r="I1954" s="30">
        <v>901.5</v>
      </c>
      <c r="J1954" s="4"/>
      <c r="K1954" s="4"/>
      <c r="L1954" s="838" t="s">
        <v>3185</v>
      </c>
      <c r="M1954" s="40"/>
      <c r="N1954" s="41"/>
      <c r="O1954" s="41"/>
    </row>
    <row r="1955" spans="1:45" x14ac:dyDescent="0.35">
      <c r="A1955" s="366">
        <v>9</v>
      </c>
      <c r="B1955" s="738">
        <v>901.5</v>
      </c>
      <c r="C1955" s="731"/>
      <c r="D1955" s="731"/>
      <c r="E1955" s="731"/>
      <c r="F1955" s="731"/>
      <c r="G1955" s="366" t="str">
        <f>G1954</f>
        <v>P</v>
      </c>
      <c r="H1955" s="366" t="s">
        <v>3972</v>
      </c>
      <c r="I1955" s="93"/>
      <c r="J1955" s="4"/>
      <c r="K1955" s="4"/>
      <c r="L1955" s="838"/>
      <c r="M1955" s="40"/>
      <c r="N1955" s="41"/>
      <c r="O1955" s="41"/>
    </row>
    <row r="1956" spans="1:45" x14ac:dyDescent="0.35">
      <c r="A1956" s="366">
        <v>9</v>
      </c>
      <c r="B1956" s="738">
        <v>901.5</v>
      </c>
      <c r="C1956" s="731"/>
      <c r="D1956" s="731"/>
      <c r="E1956" s="731"/>
      <c r="F1956" s="731"/>
      <c r="G1956" s="366" t="str">
        <f>G1955</f>
        <v>P</v>
      </c>
      <c r="H1956" s="366" t="s">
        <v>3972</v>
      </c>
      <c r="I1956" s="93"/>
      <c r="J1956" s="4"/>
      <c r="K1956" s="4"/>
      <c r="L1956" s="92" t="s">
        <v>3186</v>
      </c>
      <c r="M1956" s="40"/>
      <c r="N1956" s="41"/>
      <c r="O1956" s="41"/>
    </row>
    <row r="1957" spans="1:45" x14ac:dyDescent="0.35">
      <c r="A1957" s="366">
        <v>9</v>
      </c>
      <c r="B1957" s="738">
        <v>901.5</v>
      </c>
      <c r="C1957" s="731" t="s">
        <v>256</v>
      </c>
      <c r="D1957" s="731"/>
      <c r="E1957" s="731"/>
      <c r="F1957" s="731"/>
      <c r="G1957" s="366" t="str">
        <f>IF(N1957&gt;0,"P","")</f>
        <v/>
      </c>
      <c r="H1957" s="366" t="s">
        <v>3972</v>
      </c>
      <c r="I1957" s="93"/>
      <c r="J1957" s="19" t="s">
        <v>256</v>
      </c>
      <c r="K1957" s="4"/>
      <c r="L1957" s="814" t="s">
        <v>3187</v>
      </c>
      <c r="M1957" s="818">
        <v>5</v>
      </c>
      <c r="N1957" s="834">
        <f>'Ch9'!O91</f>
        <v>0</v>
      </c>
      <c r="O1957" s="834">
        <f>M1957*S1957*W1957</f>
        <v>0</v>
      </c>
      <c r="P1957" t="b">
        <v>0</v>
      </c>
      <c r="Q1957" t="b">
        <v>1</v>
      </c>
      <c r="R1957" t="b">
        <v>0</v>
      </c>
      <c r="S1957" t="b">
        <v>1</v>
      </c>
      <c r="T1957" t="b">
        <v>0</v>
      </c>
      <c r="W1957" s="17"/>
      <c r="X1957" s="817"/>
      <c r="Y1957" s="1100" t="str">
        <f>IF(LEN('Ch9'!X91)=0,"None",'Ch9'!X91)</f>
        <v>None</v>
      </c>
      <c r="Z1957" s="1102"/>
      <c r="AL1957" t="str">
        <f>SUBSTITUTE(SUBSTITUTE(SUBSTITUTE("vpa"&amp;$B1957&amp;$C1957&amp;$D1957&amp;$E1957,".","_"),"(","_"),")","")</f>
        <v>vpa901_5_1</v>
      </c>
      <c r="AM1957">
        <f>M1957</f>
        <v>5</v>
      </c>
      <c r="AN1957" t="str">
        <f>SUBSTITUTE(SUBSTITUTE(SUBSTITUTE("vpc"&amp;$B1957&amp;$C1957&amp;$D1957&amp;$E1957,".","_"),"(","_"),")","")</f>
        <v>vpc901_5_1</v>
      </c>
      <c r="AO1957">
        <f>O1957</f>
        <v>0</v>
      </c>
      <c r="AP1957" t="str">
        <f>SUBSTITUTE(SUBSTITUTE(SUBSTITUTE("vch"&amp;$B1957&amp;$C1957&amp;$D1957&amp;$E1957,".","_"),"(","_"),")","")</f>
        <v>vch901_5_1</v>
      </c>
      <c r="AQ1957" t="str">
        <f>IF(LEN(W1957)=0,"",W1957)</f>
        <v/>
      </c>
      <c r="AR1957" t="str">
        <f>SUBSTITUTE(SUBSTITUTE(SUBSTITUTE("vnt"&amp;$B1957&amp;$C1957&amp;$D1957&amp;$E1957,".","_"),"(","_"),")","")</f>
        <v>vnt901_5_1</v>
      </c>
      <c r="AS1957" t="str">
        <f>IF(LEN(X1957)=0,"",X1957)</f>
        <v/>
      </c>
    </row>
    <row r="1958" spans="1:45" x14ac:dyDescent="0.35">
      <c r="A1958" s="366">
        <v>9</v>
      </c>
      <c r="B1958" s="738">
        <v>901.5</v>
      </c>
      <c r="C1958" s="731" t="s">
        <v>256</v>
      </c>
      <c r="D1958" s="731"/>
      <c r="E1958" s="731"/>
      <c r="F1958" s="731"/>
      <c r="G1958" s="366" t="str">
        <f>G1957</f>
        <v/>
      </c>
      <c r="H1958" s="366" t="s">
        <v>3972</v>
      </c>
      <c r="I1958" s="93"/>
      <c r="J1958" s="133"/>
      <c r="K1958" s="133"/>
      <c r="L1958" s="815"/>
      <c r="M1958" s="819"/>
      <c r="N1958" s="835"/>
      <c r="O1958" s="835"/>
      <c r="X1958" s="817"/>
      <c r="Y1958" s="1100"/>
      <c r="Z1958" s="1102"/>
    </row>
    <row r="1959" spans="1:45" x14ac:dyDescent="0.35">
      <c r="A1959" s="366">
        <v>9</v>
      </c>
      <c r="B1959" s="738">
        <v>901.5</v>
      </c>
      <c r="C1959" s="731" t="s">
        <v>258</v>
      </c>
      <c r="D1959" s="731"/>
      <c r="E1959" s="731"/>
      <c r="F1959" s="731"/>
      <c r="G1959" s="366" t="str">
        <f>IF(N1959&gt;0,"P","")</f>
        <v>P</v>
      </c>
      <c r="H1959" s="366" t="s">
        <v>3972</v>
      </c>
      <c r="I1959" s="93"/>
      <c r="J1959" s="19" t="s">
        <v>258</v>
      </c>
      <c r="K1959" s="4"/>
      <c r="L1959" s="814" t="s">
        <v>5588</v>
      </c>
      <c r="M1959" s="818">
        <v>3</v>
      </c>
      <c r="N1959" s="834">
        <f>'Ch9'!O93</f>
        <v>3</v>
      </c>
      <c r="O1959" s="834">
        <f>M1959*S1959*W1959</f>
        <v>0</v>
      </c>
      <c r="P1959" t="b">
        <v>0</v>
      </c>
      <c r="Q1959" t="b">
        <v>1</v>
      </c>
      <c r="R1959" t="b">
        <v>0</v>
      </c>
      <c r="S1959" t="b">
        <v>1</v>
      </c>
      <c r="T1959" t="b">
        <v>0</v>
      </c>
      <c r="W1959" s="17"/>
      <c r="X1959" s="817"/>
      <c r="Y1959" s="1100" t="str">
        <f>IF(LEN('Ch9'!X93)=0,"None",'Ch9'!X93)</f>
        <v>Timberlake Kitchen and Bathroom Cabinetry</v>
      </c>
      <c r="Z1959" s="1102"/>
      <c r="AL1959" t="str">
        <f>SUBSTITUTE(SUBSTITUTE(SUBSTITUTE("vpa"&amp;$B1959&amp;$C1959&amp;$D1959&amp;$E1959,".","_"),"(","_"),")","")</f>
        <v>vpa901_5_2</v>
      </c>
      <c r="AM1959">
        <f>M1959</f>
        <v>3</v>
      </c>
      <c r="AN1959" t="str">
        <f>SUBSTITUTE(SUBSTITUTE(SUBSTITUTE("vpc"&amp;$B1959&amp;$C1959&amp;$D1959&amp;$E1959,".","_"),"(","_"),")","")</f>
        <v>vpc901_5_2</v>
      </c>
      <c r="AO1959">
        <f>O1959</f>
        <v>0</v>
      </c>
      <c r="AP1959" t="str">
        <f>SUBSTITUTE(SUBSTITUTE(SUBSTITUTE("vch"&amp;$B1959&amp;$C1959&amp;$D1959&amp;$E1959,".","_"),"(","_"),")","")</f>
        <v>vch901_5_2</v>
      </c>
      <c r="AQ1959" t="str">
        <f>IF(LEN(W1959)=0,"",W1959)</f>
        <v/>
      </c>
      <c r="AR1959" t="str">
        <f>SUBSTITUTE(SUBSTITUTE(SUBSTITUTE("vnt"&amp;$B1959&amp;$C1959&amp;$D1959&amp;$E1959,".","_"),"(","_"),")","")</f>
        <v>vnt901_5_2</v>
      </c>
      <c r="AS1959" t="str">
        <f>IF(LEN(X1959)=0,"",X1959)</f>
        <v/>
      </c>
    </row>
    <row r="1960" spans="1:45" x14ac:dyDescent="0.35">
      <c r="A1960" s="366">
        <v>9</v>
      </c>
      <c r="B1960" s="738">
        <v>901.5</v>
      </c>
      <c r="C1960" s="731" t="s">
        <v>258</v>
      </c>
      <c r="D1960" s="731"/>
      <c r="E1960" s="731"/>
      <c r="F1960" s="731"/>
      <c r="G1960" s="366" t="str">
        <f>G1959</f>
        <v>P</v>
      </c>
      <c r="H1960" s="366" t="s">
        <v>3972</v>
      </c>
      <c r="I1960" s="93"/>
      <c r="J1960" s="4"/>
      <c r="K1960" s="4"/>
      <c r="L1960" s="814"/>
      <c r="M1960" s="818"/>
      <c r="N1960" s="834"/>
      <c r="O1960" s="834"/>
      <c r="X1960" s="817"/>
      <c r="Y1960" s="1100"/>
      <c r="Z1960" s="1102"/>
    </row>
    <row r="1961" spans="1:45" ht="15" thickBot="1" x14ac:dyDescent="0.4">
      <c r="A1961" s="366">
        <v>9</v>
      </c>
      <c r="B1961" s="738">
        <v>901.5</v>
      </c>
      <c r="C1961" s="731" t="s">
        <v>258</v>
      </c>
      <c r="D1961" s="731"/>
      <c r="E1961" s="731"/>
      <c r="F1961" s="731"/>
      <c r="G1961" s="366" t="str">
        <f>G1960</f>
        <v>P</v>
      </c>
      <c r="H1961" s="366" t="s">
        <v>3972</v>
      </c>
      <c r="I1961" s="294"/>
      <c r="J1961" s="160"/>
      <c r="K1961" s="160"/>
      <c r="L1961" s="839"/>
      <c r="M1961" s="827"/>
      <c r="N1961" s="863"/>
      <c r="O1961" s="863"/>
      <c r="P1961" s="55"/>
      <c r="Q1961" s="55"/>
      <c r="R1961" s="55"/>
      <c r="S1961" s="55"/>
      <c r="T1961" s="55"/>
      <c r="U1961" s="55"/>
      <c r="V1961" s="55"/>
      <c r="W1961" s="55"/>
      <c r="X1961" s="829"/>
      <c r="Y1961" s="1101"/>
      <c r="Z1961" s="1104"/>
    </row>
    <row r="1962" spans="1:45" ht="15" thickTop="1" x14ac:dyDescent="0.35">
      <c r="A1962" s="366">
        <v>9</v>
      </c>
      <c r="B1962" s="738">
        <v>901.6</v>
      </c>
      <c r="C1962" s="731"/>
      <c r="D1962" s="731"/>
      <c r="E1962" s="731"/>
      <c r="F1962" s="731"/>
      <c r="G1962" s="366" t="s">
        <v>3973</v>
      </c>
      <c r="H1962" s="366" t="s">
        <v>3972</v>
      </c>
      <c r="I1962" s="106">
        <v>901.6</v>
      </c>
      <c r="J1962" s="107"/>
      <c r="K1962" s="107"/>
      <c r="L1962" s="837" t="s">
        <v>3189</v>
      </c>
      <c r="M1962" s="899" t="str">
        <f>IF(R1962,"Mandatory","N/A")</f>
        <v>Mandatory</v>
      </c>
      <c r="N1962" s="545"/>
      <c r="O1962" s="545"/>
      <c r="P1962" t="b">
        <v>0</v>
      </c>
      <c r="Q1962" t="b">
        <v>1</v>
      </c>
      <c r="R1962" s="59" t="b">
        <f>S1962</f>
        <v>1</v>
      </c>
      <c r="S1962" s="59" t="b">
        <v>1</v>
      </c>
      <c r="T1962" s="59" t="b">
        <v>0</v>
      </c>
      <c r="U1962" s="59"/>
      <c r="V1962" s="59"/>
      <c r="W1962" s="17"/>
      <c r="X1962" s="840"/>
      <c r="Y1962" s="1117" t="str">
        <f>IF(LEN('Ch9'!X96)=0,"None",'Ch9'!X96)</f>
        <v>None</v>
      </c>
      <c r="Z1962" s="1103"/>
      <c r="AC1962" t="b">
        <f>OR(AD1962:AE1962)</f>
        <v>1</v>
      </c>
      <c r="AD1962" t="b">
        <v>0</v>
      </c>
      <c r="AE1962" t="b">
        <f>AND(R1962,NOT(W1962))</f>
        <v>1</v>
      </c>
      <c r="AL1962" t="str">
        <f>SUBSTITUTE(SUBSTITUTE(SUBSTITUTE("vpa"&amp;$B1962&amp;$C1962&amp;$D1962&amp;$E1962,".","_"),"(","_"),")","")</f>
        <v>vpa901_6</v>
      </c>
      <c r="AM1962" t="str">
        <f>M1962</f>
        <v>Mandatory</v>
      </c>
      <c r="AP1962" t="str">
        <f>SUBSTITUTE(SUBSTITUTE(SUBSTITUTE("vch"&amp;$B1962&amp;$C1962&amp;$D1962&amp;$E1962,".","_"),"(","_"),")","")</f>
        <v>vch901_6</v>
      </c>
      <c r="AQ1962" t="str">
        <f>IF(LEN(W1962)=0,"",W1962)</f>
        <v/>
      </c>
      <c r="AR1962" t="str">
        <f>SUBSTITUTE(SUBSTITUTE(SUBSTITUTE("vnt"&amp;$B1962&amp;$C1962&amp;$D1962&amp;$E1962,".","_"),"(","_"),")","")</f>
        <v>vnt901_6</v>
      </c>
      <c r="AS1962" t="str">
        <f>IF(LEN(X1962)=0,"",X1962)</f>
        <v/>
      </c>
    </row>
    <row r="1963" spans="1:45" ht="15" thickBot="1" x14ac:dyDescent="0.4">
      <c r="A1963" s="366">
        <v>9</v>
      </c>
      <c r="B1963" s="738">
        <v>901.6</v>
      </c>
      <c r="C1963" s="731"/>
      <c r="D1963" s="731"/>
      <c r="E1963" s="731"/>
      <c r="F1963" s="731"/>
      <c r="G1963" s="366" t="s">
        <v>3973</v>
      </c>
      <c r="H1963" s="366" t="s">
        <v>3972</v>
      </c>
      <c r="I1963" s="294"/>
      <c r="J1963" s="160"/>
      <c r="K1963" s="160"/>
      <c r="L1963" s="849"/>
      <c r="M1963" s="886"/>
      <c r="N1963" s="72"/>
      <c r="O1963" s="72"/>
      <c r="P1963" s="55"/>
      <c r="Q1963" s="55"/>
      <c r="R1963" s="55"/>
      <c r="S1963" s="55"/>
      <c r="T1963" s="55"/>
      <c r="U1963" s="55"/>
      <c r="V1963" s="55"/>
      <c r="W1963" s="55"/>
      <c r="X1963" s="829"/>
      <c r="Y1963" s="1101"/>
      <c r="Z1963" s="1104"/>
    </row>
    <row r="1964" spans="1:45" ht="15.75" customHeight="1" thickTop="1" x14ac:dyDescent="0.35">
      <c r="A1964" s="366">
        <v>9</v>
      </c>
      <c r="B1964" s="738">
        <v>901.7</v>
      </c>
      <c r="C1964" s="731"/>
      <c r="D1964" s="731"/>
      <c r="E1964" s="731"/>
      <c r="F1964" s="731"/>
      <c r="G1964" s="366" t="str">
        <f>IF(N1964&gt;0,"P","")</f>
        <v/>
      </c>
      <c r="H1964" s="366" t="s">
        <v>3972</v>
      </c>
      <c r="I1964" s="30">
        <v>901.7</v>
      </c>
      <c r="J1964" s="4"/>
      <c r="K1964" s="4"/>
      <c r="L1964" s="838" t="s">
        <v>5589</v>
      </c>
      <c r="M1964" s="843" t="s">
        <v>3373</v>
      </c>
      <c r="N1964" s="834">
        <f>'Ch9'!O98</f>
        <v>0</v>
      </c>
      <c r="O1964" s="834">
        <f>MIN(8,ROUNDDOWN(W1971/0.1,0)+ROUNDDOWN(W1981/0.1,0)+ROUNDDOWN(W1982*1.33/0.1,0))</f>
        <v>0</v>
      </c>
      <c r="AL1964" t="str">
        <f>SUBSTITUTE(SUBSTITUTE(SUBSTITUTE("vpa"&amp;$B1964&amp;$C1964&amp;$D1964&amp;$E1964,".","_"),"(","_"),")","")</f>
        <v>vpa901_7</v>
      </c>
      <c r="AM1964" t="str">
        <f>M1964</f>
        <v>1
8 Max</v>
      </c>
      <c r="AN1964" t="str">
        <f>SUBSTITUTE(SUBSTITUTE(SUBSTITUTE("vpc"&amp;$B1964&amp;$C1964&amp;$D1964&amp;$E1964,".","_"),"(","_"),")","")</f>
        <v>vpc901_7</v>
      </c>
      <c r="AO1964">
        <f>O1964</f>
        <v>0</v>
      </c>
    </row>
    <row r="1965" spans="1:45" x14ac:dyDescent="0.35">
      <c r="A1965" s="366">
        <v>9</v>
      </c>
      <c r="B1965" s="738">
        <v>901.7</v>
      </c>
      <c r="C1965" s="731"/>
      <c r="D1965" s="731"/>
      <c r="E1965" s="731"/>
      <c r="F1965" s="731"/>
      <c r="G1965" s="366" t="str">
        <f t="shared" ref="G1965:G1984" si="114">G1964</f>
        <v/>
      </c>
      <c r="H1965" s="366" t="s">
        <v>3972</v>
      </c>
      <c r="I1965" s="93"/>
      <c r="J1965" s="4"/>
      <c r="K1965" s="4"/>
      <c r="L1965" s="838"/>
      <c r="M1965" s="843"/>
      <c r="N1965" s="834"/>
      <c r="O1965" s="834"/>
    </row>
    <row r="1966" spans="1:45" x14ac:dyDescent="0.35">
      <c r="A1966" s="366">
        <v>9</v>
      </c>
      <c r="B1966" s="738">
        <v>901.7</v>
      </c>
      <c r="C1966" s="731"/>
      <c r="D1966" s="731"/>
      <c r="E1966" s="731"/>
      <c r="F1966" s="731"/>
      <c r="G1966" s="366" t="str">
        <f t="shared" si="114"/>
        <v/>
      </c>
      <c r="H1966" s="366" t="s">
        <v>3972</v>
      </c>
      <c r="I1966" s="93"/>
      <c r="J1966" s="4"/>
      <c r="K1966" s="4"/>
      <c r="L1966" s="838"/>
      <c r="M1966" s="843"/>
      <c r="N1966" s="834"/>
      <c r="O1966" s="834"/>
    </row>
    <row r="1967" spans="1:45" x14ac:dyDescent="0.35">
      <c r="A1967" s="366">
        <v>9</v>
      </c>
      <c r="B1967" s="738">
        <v>901.7</v>
      </c>
      <c r="C1967" s="731"/>
      <c r="D1967" s="731"/>
      <c r="E1967" s="731"/>
      <c r="F1967" s="731"/>
      <c r="G1967" s="366" t="str">
        <f t="shared" si="114"/>
        <v/>
      </c>
      <c r="H1967" s="366" t="s">
        <v>3972</v>
      </c>
      <c r="I1967" s="93"/>
      <c r="J1967" s="4"/>
      <c r="K1967" s="4"/>
      <c r="L1967" s="838"/>
      <c r="M1967" s="843"/>
      <c r="N1967" s="834"/>
      <c r="O1967" s="834"/>
    </row>
    <row r="1968" spans="1:45" x14ac:dyDescent="0.35">
      <c r="A1968" s="366">
        <v>9</v>
      </c>
      <c r="B1968" s="738">
        <v>901.7</v>
      </c>
      <c r="C1968" s="731"/>
      <c r="D1968" s="731"/>
      <c r="E1968" s="731"/>
      <c r="F1968" s="731"/>
      <c r="G1968" s="366" t="str">
        <f t="shared" si="114"/>
        <v/>
      </c>
      <c r="H1968" s="366" t="s">
        <v>3972</v>
      </c>
      <c r="I1968" s="93"/>
      <c r="J1968" s="4"/>
      <c r="K1968" s="4"/>
      <c r="L1968" s="838"/>
      <c r="M1968" s="843"/>
      <c r="N1968" s="834"/>
      <c r="O1968" s="834"/>
    </row>
    <row r="1969" spans="1:45" x14ac:dyDescent="0.35">
      <c r="A1969" s="366">
        <v>9</v>
      </c>
      <c r="B1969" s="738">
        <v>901.7</v>
      </c>
      <c r="C1969" s="731"/>
      <c r="D1969" s="731"/>
      <c r="E1969" s="731"/>
      <c r="F1969" s="731"/>
      <c r="G1969" s="366" t="str">
        <f t="shared" si="114"/>
        <v/>
      </c>
      <c r="H1969" s="366" t="s">
        <v>3972</v>
      </c>
      <c r="I1969" s="93"/>
      <c r="J1969" s="4"/>
      <c r="K1969" s="4"/>
      <c r="L1969" s="895" t="s">
        <v>3191</v>
      </c>
      <c r="M1969" s="843"/>
      <c r="N1969" s="834"/>
      <c r="O1969" s="834"/>
    </row>
    <row r="1970" spans="1:45" x14ac:dyDescent="0.35">
      <c r="A1970" s="366">
        <v>9</v>
      </c>
      <c r="B1970" s="738">
        <v>901.7</v>
      </c>
      <c r="C1970" s="731"/>
      <c r="D1970" s="731"/>
      <c r="E1970" s="731"/>
      <c r="F1970" s="731"/>
      <c r="G1970" s="366" t="str">
        <f t="shared" si="114"/>
        <v/>
      </c>
      <c r="H1970" s="366" t="s">
        <v>3972</v>
      </c>
      <c r="I1970" s="93"/>
      <c r="J1970" s="4"/>
      <c r="K1970" s="4"/>
      <c r="L1970" s="895"/>
      <c r="M1970" s="843"/>
      <c r="N1970" s="834"/>
      <c r="O1970" s="834"/>
      <c r="W1970" t="s">
        <v>3661</v>
      </c>
    </row>
    <row r="1971" spans="1:45" x14ac:dyDescent="0.35">
      <c r="A1971" s="366">
        <v>9</v>
      </c>
      <c r="B1971" s="738">
        <v>901.7</v>
      </c>
      <c r="C1971" s="731" t="s">
        <v>256</v>
      </c>
      <c r="D1971" s="737"/>
      <c r="E1971" s="737"/>
      <c r="F1971" s="749"/>
      <c r="G1971" s="366" t="str">
        <f t="shared" si="114"/>
        <v/>
      </c>
      <c r="H1971" s="377" t="s">
        <v>3972</v>
      </c>
      <c r="I1971" s="93"/>
      <c r="J1971" s="19" t="s">
        <v>256</v>
      </c>
      <c r="K1971" s="4"/>
      <c r="L1971" s="814" t="s">
        <v>3192</v>
      </c>
      <c r="M1971" s="40"/>
      <c r="N1971" s="41"/>
      <c r="O1971" s="41"/>
      <c r="P1971" t="b">
        <v>0</v>
      </c>
      <c r="Q1971" t="b">
        <v>1</v>
      </c>
      <c r="R1971" t="b">
        <v>0</v>
      </c>
      <c r="S1971" t="b">
        <v>1</v>
      </c>
      <c r="T1971" t="b">
        <f>SUM(W1971,W1981,W1982)&gt;1</f>
        <v>0</v>
      </c>
      <c r="W1971" s="299"/>
      <c r="X1971" s="817"/>
      <c r="Y1971" s="1100" t="str">
        <f>IF(LEN('Ch9'!X105)=0,"None",'Ch9'!X105)</f>
        <v>None</v>
      </c>
      <c r="Z1971" s="1102"/>
      <c r="AC1971" t="b">
        <f>OR(AD1971:AE1971)</f>
        <v>0</v>
      </c>
      <c r="AD1971" t="b">
        <f>T1971</f>
        <v>0</v>
      </c>
      <c r="AP1971" t="str">
        <f>SUBSTITUTE(SUBSTITUTE(SUBSTITUTE("vch"&amp;$B1971&amp;$C1971&amp;$D1971&amp;$E1971,".","_"),"(","_"),")","")</f>
        <v>vch901_7_1</v>
      </c>
      <c r="AQ1971" t="str">
        <f>IF(LEN(W1971)=0,"",W1971)</f>
        <v/>
      </c>
      <c r="AR1971" t="str">
        <f>SUBSTITUTE(SUBSTITUTE(SUBSTITUTE("vnt"&amp;$B1971&amp;$C1971&amp;$D1971&amp;$E1971,".","_"),"(","_"),")","")</f>
        <v>vnt901_7_1</v>
      </c>
      <c r="AS1971" t="str">
        <f>IF(LEN(X1971)=0,"",X1971)</f>
        <v/>
      </c>
    </row>
    <row r="1972" spans="1:45" x14ac:dyDescent="0.35">
      <c r="A1972" s="366">
        <v>9</v>
      </c>
      <c r="B1972" s="738">
        <v>901.7</v>
      </c>
      <c r="C1972" s="731" t="s">
        <v>256</v>
      </c>
      <c r="D1972" s="737"/>
      <c r="E1972" s="737"/>
      <c r="F1972" s="749"/>
      <c r="G1972" s="366" t="str">
        <f t="shared" si="114"/>
        <v/>
      </c>
      <c r="H1972" s="377" t="s">
        <v>3972</v>
      </c>
      <c r="I1972" s="93"/>
      <c r="J1972" s="4"/>
      <c r="K1972" s="4"/>
      <c r="L1972" s="814"/>
      <c r="M1972" s="40"/>
      <c r="N1972" s="41"/>
      <c r="O1972" s="41"/>
      <c r="X1972" s="817"/>
      <c r="Y1972" s="1100"/>
      <c r="Z1972" s="1102"/>
    </row>
    <row r="1973" spans="1:45" x14ac:dyDescent="0.35">
      <c r="A1973" s="366">
        <v>9</v>
      </c>
      <c r="B1973" s="738">
        <v>901.7</v>
      </c>
      <c r="C1973" s="731" t="s">
        <v>256</v>
      </c>
      <c r="D1973" s="737"/>
      <c r="E1973" s="737"/>
      <c r="F1973" s="749"/>
      <c r="G1973" s="366" t="str">
        <f t="shared" si="114"/>
        <v/>
      </c>
      <c r="H1973" s="377" t="s">
        <v>3972</v>
      </c>
      <c r="I1973" s="93"/>
      <c r="J1973" s="4"/>
      <c r="K1973" s="4"/>
      <c r="L1973" s="814"/>
      <c r="M1973" s="40"/>
      <c r="N1973" s="41"/>
      <c r="O1973" s="41"/>
      <c r="X1973" s="817"/>
      <c r="Y1973" s="1100"/>
      <c r="Z1973" s="1102"/>
    </row>
    <row r="1974" spans="1:45" x14ac:dyDescent="0.35">
      <c r="A1974" s="366">
        <v>9</v>
      </c>
      <c r="B1974" s="738">
        <v>901.7</v>
      </c>
      <c r="C1974" s="731" t="s">
        <v>256</v>
      </c>
      <c r="D1974" s="737"/>
      <c r="E1974" s="737"/>
      <c r="F1974" s="749"/>
      <c r="G1974" s="366" t="str">
        <f t="shared" si="114"/>
        <v/>
      </c>
      <c r="H1974" s="377" t="s">
        <v>3972</v>
      </c>
      <c r="I1974" s="93"/>
      <c r="J1974" s="4"/>
      <c r="K1974" s="4"/>
      <c r="L1974" s="814"/>
      <c r="M1974" s="40"/>
      <c r="N1974" s="41"/>
      <c r="O1974" s="41"/>
      <c r="X1974" s="817"/>
      <c r="Y1974" s="1100"/>
      <c r="Z1974" s="1102"/>
    </row>
    <row r="1975" spans="1:45" x14ac:dyDescent="0.35">
      <c r="A1975" s="366">
        <v>9</v>
      </c>
      <c r="B1975" s="738">
        <v>901.7</v>
      </c>
      <c r="C1975" s="731" t="s">
        <v>256</v>
      </c>
      <c r="D1975" s="737" t="s">
        <v>121</v>
      </c>
      <c r="E1975" s="737"/>
      <c r="F1975" s="749"/>
      <c r="G1975" s="366" t="str">
        <f t="shared" si="114"/>
        <v/>
      </c>
      <c r="H1975" s="748" t="s">
        <v>3972</v>
      </c>
      <c r="I1975" s="93"/>
      <c r="J1975" s="4"/>
      <c r="K1975" s="19" t="s">
        <v>121</v>
      </c>
      <c r="L1975" s="90" t="s">
        <v>3193</v>
      </c>
      <c r="M1975" s="40"/>
      <c r="N1975" s="41"/>
      <c r="O1975" s="41"/>
      <c r="X1975" s="817"/>
      <c r="Y1975" s="1100"/>
      <c r="Z1975" s="1102"/>
    </row>
    <row r="1976" spans="1:45" x14ac:dyDescent="0.35">
      <c r="A1976" s="366">
        <v>9</v>
      </c>
      <c r="B1976" s="738">
        <v>901.7</v>
      </c>
      <c r="C1976" s="731" t="s">
        <v>256</v>
      </c>
      <c r="D1976" s="737" t="s">
        <v>122</v>
      </c>
      <c r="E1976" s="737"/>
      <c r="F1976" s="749"/>
      <c r="G1976" s="366" t="str">
        <f t="shared" si="114"/>
        <v/>
      </c>
      <c r="H1976" s="748" t="s">
        <v>3972</v>
      </c>
      <c r="I1976" s="93"/>
      <c r="J1976" s="4"/>
      <c r="K1976" s="19" t="s">
        <v>122</v>
      </c>
      <c r="L1976" s="90" t="s">
        <v>3194</v>
      </c>
      <c r="M1976" s="40"/>
      <c r="N1976" s="41"/>
      <c r="O1976" s="41"/>
      <c r="X1976" s="817"/>
      <c r="Y1976" s="1100"/>
      <c r="Z1976" s="1102"/>
    </row>
    <row r="1977" spans="1:45" x14ac:dyDescent="0.35">
      <c r="A1977" s="366">
        <v>9</v>
      </c>
      <c r="B1977" s="738">
        <v>901.7</v>
      </c>
      <c r="C1977" s="731" t="s">
        <v>256</v>
      </c>
      <c r="D1977" s="737" t="s">
        <v>123</v>
      </c>
      <c r="E1977" s="737"/>
      <c r="F1977" s="749"/>
      <c r="G1977" s="366" t="str">
        <f t="shared" si="114"/>
        <v/>
      </c>
      <c r="H1977" s="748" t="s">
        <v>3972</v>
      </c>
      <c r="I1977" s="93"/>
      <c r="J1977" s="4"/>
      <c r="K1977" s="19" t="s">
        <v>123</v>
      </c>
      <c r="L1977" s="90" t="s">
        <v>3195</v>
      </c>
      <c r="M1977" s="40"/>
      <c r="N1977" s="41"/>
      <c r="O1977" s="41"/>
      <c r="X1977" s="817"/>
      <c r="Y1977" s="1100"/>
      <c r="Z1977" s="1102"/>
    </row>
    <row r="1978" spans="1:45" x14ac:dyDescent="0.35">
      <c r="A1978" s="366">
        <v>9</v>
      </c>
      <c r="B1978" s="738">
        <v>901.7</v>
      </c>
      <c r="C1978" s="731" t="s">
        <v>256</v>
      </c>
      <c r="D1978" s="737" t="s">
        <v>401</v>
      </c>
      <c r="E1978" s="737"/>
      <c r="F1978" s="749"/>
      <c r="G1978" s="366" t="str">
        <f t="shared" si="114"/>
        <v/>
      </c>
      <c r="H1978" s="748" t="s">
        <v>3972</v>
      </c>
      <c r="I1978" s="93"/>
      <c r="J1978" s="4"/>
      <c r="K1978" s="19" t="s">
        <v>401</v>
      </c>
      <c r="L1978" s="90" t="s">
        <v>3196</v>
      </c>
      <c r="M1978" s="40"/>
      <c r="N1978" s="41"/>
      <c r="O1978" s="41"/>
      <c r="X1978" s="817"/>
      <c r="Y1978" s="1100"/>
      <c r="Z1978" s="1102"/>
    </row>
    <row r="1979" spans="1:45" x14ac:dyDescent="0.35">
      <c r="A1979" s="366">
        <v>9</v>
      </c>
      <c r="B1979" s="738">
        <v>901.7</v>
      </c>
      <c r="C1979" s="731" t="s">
        <v>256</v>
      </c>
      <c r="D1979" s="737" t="s">
        <v>539</v>
      </c>
      <c r="E1979" s="737"/>
      <c r="F1979" s="749"/>
      <c r="G1979" s="366" t="str">
        <f t="shared" si="114"/>
        <v/>
      </c>
      <c r="H1979" s="748" t="s">
        <v>3972</v>
      </c>
      <c r="I1979" s="93"/>
      <c r="J1979" s="4"/>
      <c r="K1979" s="19" t="s">
        <v>539</v>
      </c>
      <c r="L1979" s="90" t="s">
        <v>3197</v>
      </c>
      <c r="M1979" s="40"/>
      <c r="N1979" s="41"/>
      <c r="O1979" s="41"/>
      <c r="X1979" s="817"/>
      <c r="Y1979" s="1100"/>
      <c r="Z1979" s="1102"/>
    </row>
    <row r="1980" spans="1:45" x14ac:dyDescent="0.35">
      <c r="A1980" s="366">
        <v>9</v>
      </c>
      <c r="B1980" s="738">
        <v>901.7</v>
      </c>
      <c r="C1980" s="731" t="s">
        <v>256</v>
      </c>
      <c r="D1980" s="737" t="s">
        <v>604</v>
      </c>
      <c r="E1980" s="737"/>
      <c r="F1980" s="749"/>
      <c r="G1980" s="366" t="str">
        <f t="shared" si="114"/>
        <v/>
      </c>
      <c r="H1980" s="748" t="s">
        <v>3972</v>
      </c>
      <c r="I1980" s="93"/>
      <c r="J1980" s="133"/>
      <c r="K1980" s="129" t="s">
        <v>604</v>
      </c>
      <c r="L1980" s="228" t="s">
        <v>3198</v>
      </c>
      <c r="M1980" s="40"/>
      <c r="N1980" s="41"/>
      <c r="O1980" s="41"/>
      <c r="W1980" t="s">
        <v>3662</v>
      </c>
      <c r="X1980" s="817"/>
      <c r="Y1980" s="1100"/>
      <c r="Z1980" s="1102"/>
    </row>
    <row r="1981" spans="1:45" x14ac:dyDescent="0.35">
      <c r="A1981" s="366">
        <v>9</v>
      </c>
      <c r="B1981" s="738">
        <v>901.7</v>
      </c>
      <c r="C1981" s="731" t="s">
        <v>258</v>
      </c>
      <c r="D1981" s="737"/>
      <c r="E1981" s="737"/>
      <c r="F1981" s="749"/>
      <c r="G1981" s="366" t="str">
        <f t="shared" si="114"/>
        <v/>
      </c>
      <c r="H1981" s="377" t="s">
        <v>3972</v>
      </c>
      <c r="I1981" s="93"/>
      <c r="J1981" s="129" t="s">
        <v>258</v>
      </c>
      <c r="K1981" s="133"/>
      <c r="L1981" s="228" t="s">
        <v>3836</v>
      </c>
      <c r="M1981" s="40"/>
      <c r="N1981" s="41"/>
      <c r="O1981" s="41"/>
      <c r="P1981" t="b">
        <v>0</v>
      </c>
      <c r="Q1981" t="b">
        <v>1</v>
      </c>
      <c r="R1981" t="b">
        <v>0</v>
      </c>
      <c r="S1981" t="b">
        <v>1</v>
      </c>
      <c r="T1981" t="b">
        <f>SUM(W1971,W1981,W1982)&gt;1</f>
        <v>0</v>
      </c>
      <c r="W1981" s="299"/>
      <c r="X1981" s="817"/>
      <c r="Y1981" s="1100" t="str">
        <f>IF(LEN('Ch9'!X115)=0,"None",'Ch9'!X115)</f>
        <v>None</v>
      </c>
      <c r="Z1981" s="1102"/>
      <c r="AC1981" t="b">
        <f>OR(AD1981:AE1981)</f>
        <v>0</v>
      </c>
      <c r="AD1981" t="b">
        <f>T1981</f>
        <v>0</v>
      </c>
      <c r="AP1981" t="str">
        <f>SUBSTITUTE(SUBSTITUTE(SUBSTITUTE("vch"&amp;$B1981&amp;$C1981&amp;$D1981&amp;$E1981,".","_"),"(","_"),")","")</f>
        <v>vch901_7_2</v>
      </c>
      <c r="AQ1981" t="str">
        <f>IF(LEN(W1981)=0,"",W1981)</f>
        <v/>
      </c>
      <c r="AR1981" t="str">
        <f>SUBSTITUTE(SUBSTITUTE(SUBSTITUTE("vnt"&amp;$B1981&amp;$C1981&amp;$D1981&amp;$E1981,".","_"),"(","_"),")","")</f>
        <v>vnt901_7_2</v>
      </c>
      <c r="AS1981" t="str">
        <f>IF(LEN(X1981)=0,"",X1981)</f>
        <v/>
      </c>
    </row>
    <row r="1982" spans="1:45" x14ac:dyDescent="0.35">
      <c r="A1982" s="366">
        <v>9</v>
      </c>
      <c r="B1982" s="738">
        <v>901.7</v>
      </c>
      <c r="C1982" s="731" t="s">
        <v>260</v>
      </c>
      <c r="D1982" s="737"/>
      <c r="E1982" s="737"/>
      <c r="F1982" s="749"/>
      <c r="G1982" s="366" t="str">
        <f t="shared" si="114"/>
        <v/>
      </c>
      <c r="H1982" s="377" t="s">
        <v>3972</v>
      </c>
      <c r="I1982" s="93"/>
      <c r="J1982" s="19" t="s">
        <v>260</v>
      </c>
      <c r="K1982" s="4"/>
      <c r="L1982" s="90" t="s">
        <v>3649</v>
      </c>
      <c r="M1982" s="40"/>
      <c r="N1982" s="41"/>
      <c r="O1982" s="41"/>
      <c r="P1982" t="b">
        <v>0</v>
      </c>
      <c r="Q1982" t="b">
        <v>1</v>
      </c>
      <c r="R1982" t="b">
        <v>0</v>
      </c>
      <c r="S1982" t="b">
        <v>1</v>
      </c>
      <c r="T1982" t="b">
        <f>SUM(W1971,W1981,W1982)&gt;1</f>
        <v>0</v>
      </c>
      <c r="W1982" s="299"/>
      <c r="X1982" s="817"/>
      <c r="Y1982" s="1100"/>
      <c r="Z1982" s="1102"/>
      <c r="AC1982" t="b">
        <f>OR(AD1982:AE1982)</f>
        <v>0</v>
      </c>
      <c r="AD1982" t="b">
        <f>T1982</f>
        <v>0</v>
      </c>
      <c r="AP1982" t="str">
        <f>SUBSTITUTE(SUBSTITUTE(SUBSTITUTE("vch"&amp;$B1982&amp;$C1982&amp;$D1982&amp;$E1982,".","_"),"(","_"),")","")</f>
        <v>vch901_7_3</v>
      </c>
      <c r="AQ1982" t="str">
        <f>IF(LEN(W1982)=0,"",W1982)</f>
        <v/>
      </c>
    </row>
    <row r="1983" spans="1:45" x14ac:dyDescent="0.35">
      <c r="A1983" s="366">
        <v>9</v>
      </c>
      <c r="B1983" s="738">
        <v>901.7</v>
      </c>
      <c r="C1983" s="731" t="s">
        <v>260</v>
      </c>
      <c r="D1983" s="731"/>
      <c r="E1983" s="731"/>
      <c r="F1983" s="746"/>
      <c r="G1983" s="366" t="str">
        <f t="shared" si="114"/>
        <v/>
      </c>
      <c r="H1983" s="366" t="s">
        <v>3972</v>
      </c>
      <c r="I1983" s="93"/>
      <c r="J1983" s="4"/>
      <c r="K1983" s="4"/>
      <c r="L1983" s="895" t="s">
        <v>3199</v>
      </c>
      <c r="M1983" s="40"/>
      <c r="N1983" s="41"/>
      <c r="O1983" s="41"/>
      <c r="X1983" s="817"/>
      <c r="Y1983" s="1100"/>
      <c r="Z1983" s="1102"/>
    </row>
    <row r="1984" spans="1:45" ht="15" thickBot="1" x14ac:dyDescent="0.4">
      <c r="A1984" s="366">
        <v>9</v>
      </c>
      <c r="B1984" s="738">
        <v>901.7</v>
      </c>
      <c r="C1984" s="731" t="s">
        <v>260</v>
      </c>
      <c r="D1984" s="731"/>
      <c r="E1984" s="731"/>
      <c r="F1984" s="746"/>
      <c r="G1984" s="366" t="str">
        <f t="shared" si="114"/>
        <v/>
      </c>
      <c r="H1984" s="366" t="s">
        <v>3972</v>
      </c>
      <c r="I1984" s="294"/>
      <c r="J1984" s="160"/>
      <c r="K1984" s="160"/>
      <c r="L1984" s="968"/>
      <c r="M1984" s="270"/>
      <c r="N1984" s="72"/>
      <c r="O1984" s="72"/>
      <c r="P1984" s="55"/>
      <c r="Q1984" s="55"/>
      <c r="R1984" s="55"/>
      <c r="S1984" s="55"/>
      <c r="T1984" s="55"/>
      <c r="U1984" s="55"/>
      <c r="V1984" s="55"/>
      <c r="W1984" s="55"/>
      <c r="X1984" s="829"/>
      <c r="Y1984" s="1101"/>
      <c r="Z1984" s="1104"/>
    </row>
    <row r="1985" spans="1:45" ht="15" thickTop="1" x14ac:dyDescent="0.35">
      <c r="A1985" s="366">
        <v>9</v>
      </c>
      <c r="B1985" s="738">
        <v>901.8</v>
      </c>
      <c r="C1985" s="731"/>
      <c r="D1985" s="731"/>
      <c r="E1985" s="731"/>
      <c r="F1985" s="731"/>
      <c r="G1985" s="366" t="str">
        <f>IF(N1985&gt;0,"P","")</f>
        <v/>
      </c>
      <c r="H1985" s="366" t="s">
        <v>3972</v>
      </c>
      <c r="I1985" s="106">
        <v>901.8</v>
      </c>
      <c r="J1985" s="107"/>
      <c r="K1985" s="107"/>
      <c r="L1985" s="837" t="s">
        <v>5590</v>
      </c>
      <c r="M1985" s="830">
        <v>4</v>
      </c>
      <c r="N1985" s="959">
        <f>'Ch9'!O119</f>
        <v>0</v>
      </c>
      <c r="O1985" s="959">
        <f>M1985*S1985*W1985</f>
        <v>0</v>
      </c>
      <c r="P1985" t="b">
        <v>0</v>
      </c>
      <c r="Q1985" t="b">
        <v>1</v>
      </c>
      <c r="R1985" s="59" t="b">
        <v>0</v>
      </c>
      <c r="S1985" s="59" t="b">
        <v>1</v>
      </c>
      <c r="T1985" s="59" t="b">
        <v>0</v>
      </c>
      <c r="U1985" s="59"/>
      <c r="V1985" s="59"/>
      <c r="W1985" s="17"/>
      <c r="X1985" s="840"/>
      <c r="Y1985" s="1117" t="str">
        <f>IF(LEN('Ch9'!X119)=0,"None",'Ch9'!X119)</f>
        <v>None</v>
      </c>
      <c r="Z1985" s="1103"/>
      <c r="AL1985" t="str">
        <f>SUBSTITUTE(SUBSTITUTE(SUBSTITUTE("vpa"&amp;$B1985&amp;$C1985&amp;$D1985&amp;$E1985,".","_"),"(","_"),")","")</f>
        <v>vpa901_8</v>
      </c>
      <c r="AM1985">
        <f>M1985</f>
        <v>4</v>
      </c>
      <c r="AN1985" t="str">
        <f>SUBSTITUTE(SUBSTITUTE(SUBSTITUTE("vpc"&amp;$B1985&amp;$C1985&amp;$D1985&amp;$E1985,".","_"),"(","_"),")","")</f>
        <v>vpc901_8</v>
      </c>
      <c r="AO1985">
        <f>O1985</f>
        <v>0</v>
      </c>
      <c r="AP1985" t="str">
        <f>SUBSTITUTE(SUBSTITUTE(SUBSTITUTE("vch"&amp;$B1985&amp;$C1985&amp;$D1985&amp;$E1985,".","_"),"(","_"),")","")</f>
        <v>vch901_8</v>
      </c>
      <c r="AQ1985" t="str">
        <f>IF(LEN(W1985)=0,"",W1985)</f>
        <v/>
      </c>
      <c r="AR1985" t="str">
        <f>SUBSTITUTE(SUBSTITUTE(SUBSTITUTE("vnt"&amp;$B1985&amp;$C1985&amp;$D1985&amp;$E1985,".","_"),"(","_"),")","")</f>
        <v>vnt901_8</v>
      </c>
      <c r="AS1985" t="str">
        <f>IF(LEN(X1985)=0,"",X1985)</f>
        <v/>
      </c>
    </row>
    <row r="1986" spans="1:45" x14ac:dyDescent="0.35">
      <c r="A1986" s="366">
        <v>9</v>
      </c>
      <c r="B1986" s="738">
        <v>901.8</v>
      </c>
      <c r="C1986" s="731"/>
      <c r="D1986" s="731"/>
      <c r="E1986" s="731"/>
      <c r="F1986" s="731"/>
      <c r="G1986" s="366" t="str">
        <f>G1985</f>
        <v/>
      </c>
      <c r="H1986" s="366" t="s">
        <v>3972</v>
      </c>
      <c r="I1986" s="93"/>
      <c r="J1986" s="4"/>
      <c r="K1986" s="4"/>
      <c r="L1986" s="838"/>
      <c r="M1986" s="818"/>
      <c r="N1986" s="834"/>
      <c r="O1986" s="834"/>
      <c r="X1986" s="817"/>
      <c r="Y1986" s="1100"/>
      <c r="Z1986" s="1102"/>
    </row>
    <row r="1987" spans="1:45" x14ac:dyDescent="0.35">
      <c r="A1987" s="366">
        <v>9</v>
      </c>
      <c r="B1987" s="738">
        <v>901.8</v>
      </c>
      <c r="C1987" s="731"/>
      <c r="D1987" s="731"/>
      <c r="E1987" s="731"/>
      <c r="F1987" s="731"/>
      <c r="G1987" s="366" t="str">
        <f>G1986</f>
        <v/>
      </c>
      <c r="H1987" s="366" t="s">
        <v>3972</v>
      </c>
      <c r="I1987" s="93"/>
      <c r="J1987" s="4"/>
      <c r="K1987" s="4"/>
      <c r="L1987" s="838"/>
      <c r="M1987" s="818"/>
      <c r="N1987" s="834"/>
      <c r="O1987" s="834"/>
      <c r="X1987" s="817"/>
      <c r="Y1987" s="1100"/>
      <c r="Z1987" s="1102"/>
    </row>
    <row r="1988" spans="1:45" x14ac:dyDescent="0.35">
      <c r="A1988" s="366">
        <v>9</v>
      </c>
      <c r="B1988" s="738">
        <v>901.8</v>
      </c>
      <c r="C1988" s="731"/>
      <c r="D1988" s="731"/>
      <c r="E1988" s="731"/>
      <c r="F1988" s="731"/>
      <c r="G1988" s="366" t="str">
        <f>G1987</f>
        <v/>
      </c>
      <c r="H1988" s="366" t="s">
        <v>3972</v>
      </c>
      <c r="I1988" s="93"/>
      <c r="J1988" s="4"/>
      <c r="K1988" s="4"/>
      <c r="L1988" s="838"/>
      <c r="M1988" s="818"/>
      <c r="N1988" s="834"/>
      <c r="O1988" s="834"/>
      <c r="X1988" s="817"/>
      <c r="Y1988" s="1100"/>
      <c r="Z1988" s="1102"/>
    </row>
    <row r="1989" spans="1:45" x14ac:dyDescent="0.35">
      <c r="A1989" s="366">
        <v>9</v>
      </c>
      <c r="B1989" s="738">
        <v>901.8</v>
      </c>
      <c r="C1989" s="731"/>
      <c r="D1989" s="731"/>
      <c r="E1989" s="731"/>
      <c r="F1989" s="731"/>
      <c r="G1989" s="366" t="str">
        <f>G1988</f>
        <v/>
      </c>
      <c r="H1989" s="366" t="s">
        <v>3972</v>
      </c>
      <c r="I1989" s="93"/>
      <c r="J1989" s="4"/>
      <c r="K1989" s="4"/>
      <c r="L1989" s="838"/>
      <c r="M1989" s="818"/>
      <c r="N1989" s="834"/>
      <c r="O1989" s="834"/>
      <c r="X1989" s="817"/>
      <c r="Y1989" s="1100"/>
      <c r="Z1989" s="1102"/>
    </row>
    <row r="1990" spans="1:45" ht="15" thickBot="1" x14ac:dyDescent="0.4">
      <c r="A1990" s="366">
        <v>9</v>
      </c>
      <c r="B1990" s="738">
        <v>901.8</v>
      </c>
      <c r="C1990" s="731"/>
      <c r="D1990" s="731"/>
      <c r="E1990" s="731"/>
      <c r="F1990" s="731"/>
      <c r="G1990" s="366" t="str">
        <f>G1989</f>
        <v/>
      </c>
      <c r="H1990" s="366" t="s">
        <v>3972</v>
      </c>
      <c r="I1990" s="294"/>
      <c r="J1990" s="160"/>
      <c r="K1990" s="160"/>
      <c r="L1990" s="849"/>
      <c r="M1990" s="827"/>
      <c r="N1990" s="863"/>
      <c r="O1990" s="863"/>
      <c r="P1990" s="55"/>
      <c r="Q1990" s="55"/>
      <c r="R1990" s="55"/>
      <c r="S1990" s="55"/>
      <c r="T1990" s="55"/>
      <c r="U1990" s="55"/>
      <c r="V1990" s="55"/>
      <c r="W1990" s="55"/>
      <c r="X1990" s="829"/>
      <c r="Y1990" s="1101"/>
      <c r="Z1990" s="1104"/>
    </row>
    <row r="1991" spans="1:45" ht="15" thickTop="1" x14ac:dyDescent="0.35">
      <c r="A1991" s="366">
        <v>9</v>
      </c>
      <c r="B1991" s="738">
        <v>901.9</v>
      </c>
      <c r="C1991" s="731"/>
      <c r="D1991" s="731"/>
      <c r="E1991" s="731"/>
      <c r="F1991" s="731"/>
      <c r="G1991" s="727" t="str">
        <f>IF(COUNTIF(G1994:G2006,"P")&gt;0,"P","")</f>
        <v/>
      </c>
      <c r="H1991" s="366" t="s">
        <v>3972</v>
      </c>
      <c r="I1991" s="106">
        <v>901.9</v>
      </c>
      <c r="J1991" s="107"/>
      <c r="K1991" s="107"/>
      <c r="L1991" s="837" t="s">
        <v>3201</v>
      </c>
      <c r="M1991" s="267"/>
      <c r="N1991" s="545"/>
      <c r="O1991" s="545"/>
      <c r="P1991" s="59"/>
      <c r="Q1991" s="59"/>
      <c r="R1991" s="59"/>
      <c r="S1991" s="59"/>
      <c r="T1991" s="59"/>
      <c r="U1991" s="59"/>
      <c r="V1991" s="59"/>
      <c r="W1991" s="59"/>
      <c r="X1991" s="817"/>
      <c r="Y1991" s="1117" t="str">
        <f>IF(LEN('Ch9'!X125)=0,"None",'Ch9'!X125)</f>
        <v>None</v>
      </c>
      <c r="Z1991" s="1103"/>
      <c r="AR1991" t="str">
        <f>SUBSTITUTE(SUBSTITUTE(SUBSTITUTE("vnt"&amp;$B1991&amp;$C1991&amp;$D1991&amp;$E1991,".","_"),"(","_"),")","")</f>
        <v>vnt901_9</v>
      </c>
      <c r="AS1991" t="str">
        <f>IF(LEN(X1991)=0,"",X1991)</f>
        <v/>
      </c>
    </row>
    <row r="1992" spans="1:45" x14ac:dyDescent="0.35">
      <c r="A1992" s="366">
        <v>9</v>
      </c>
      <c r="B1992" s="738">
        <v>901.9</v>
      </c>
      <c r="C1992" s="731"/>
      <c r="D1992" s="731"/>
      <c r="E1992" s="731"/>
      <c r="F1992" s="731"/>
      <c r="G1992" s="366" t="str">
        <f>G1991</f>
        <v/>
      </c>
      <c r="H1992" s="366" t="s">
        <v>3972</v>
      </c>
      <c r="I1992" s="93"/>
      <c r="J1992" s="4"/>
      <c r="K1992" s="4"/>
      <c r="L1992" s="838"/>
      <c r="M1992" s="40"/>
      <c r="N1992" s="41"/>
      <c r="O1992" s="41"/>
      <c r="X1992" s="817"/>
      <c r="Y1992" s="1100"/>
      <c r="Z1992" s="1102"/>
    </row>
    <row r="1993" spans="1:45" x14ac:dyDescent="0.35">
      <c r="A1993" s="366">
        <v>9</v>
      </c>
      <c r="B1993" s="738">
        <v>901.9</v>
      </c>
      <c r="C1993" s="731"/>
      <c r="D1993" s="731"/>
      <c r="E1993" s="731"/>
      <c r="F1993" s="731"/>
      <c r="G1993" s="366" t="str">
        <f>G1992</f>
        <v/>
      </c>
      <c r="H1993" s="366" t="s">
        <v>3972</v>
      </c>
      <c r="I1993" s="93"/>
      <c r="J1993" s="4"/>
      <c r="K1993" s="4"/>
      <c r="L1993" s="838"/>
      <c r="M1993" s="40"/>
      <c r="N1993" s="41"/>
      <c r="O1993" s="41"/>
      <c r="X1993" s="817"/>
      <c r="Y1993" s="1100"/>
      <c r="Z1993" s="1102"/>
    </row>
    <row r="1994" spans="1:45" x14ac:dyDescent="0.35">
      <c r="A1994" s="366">
        <v>9</v>
      </c>
      <c r="B1994" s="738" t="s">
        <v>3202</v>
      </c>
      <c r="C1994" s="731"/>
      <c r="D1994" s="731"/>
      <c r="E1994" s="731"/>
      <c r="F1994" s="731"/>
      <c r="G1994" s="366" t="str">
        <f>IF(N1994&gt;0,"P","")</f>
        <v/>
      </c>
      <c r="H1994" s="366" t="s">
        <v>3972</v>
      </c>
      <c r="I1994" s="30" t="s">
        <v>3202</v>
      </c>
      <c r="J1994" s="4"/>
      <c r="K1994" s="4"/>
      <c r="L1994" s="838" t="s">
        <v>3203</v>
      </c>
      <c r="M1994" s="818">
        <v>5</v>
      </c>
      <c r="N1994" s="834">
        <f>'Ch9'!O128</f>
        <v>0</v>
      </c>
      <c r="O1994" s="834">
        <f>M1994*S1996*IFERROR(OR(W1996,W1998,W1999),0)</f>
        <v>0</v>
      </c>
      <c r="AL1994" t="str">
        <f>SUBSTITUTE(SUBSTITUTE(SUBSTITUTE("vpa"&amp;$B1994&amp;$C1994&amp;$D1994&amp;$E1994,".","_"),"(","_"),")","")</f>
        <v>vpa901_9_1</v>
      </c>
      <c r="AM1994">
        <f>M1994</f>
        <v>5</v>
      </c>
      <c r="AN1994" t="str">
        <f>SUBSTITUTE(SUBSTITUTE(SUBSTITUTE("vpc"&amp;$B1994&amp;$C1994&amp;$D1994&amp;$E1994,".","_"),"(","_"),")","")</f>
        <v>vpc901_9_1</v>
      </c>
      <c r="AO1994">
        <f>O1994</f>
        <v>0</v>
      </c>
    </row>
    <row r="1995" spans="1:45" x14ac:dyDescent="0.35">
      <c r="A1995" s="366">
        <v>9</v>
      </c>
      <c r="B1995" s="738" t="s">
        <v>3202</v>
      </c>
      <c r="C1995" s="731"/>
      <c r="D1995" s="731"/>
      <c r="E1995" s="731"/>
      <c r="F1995" s="731"/>
      <c r="G1995" s="366" t="str">
        <f t="shared" ref="G1995:G2000" si="115">G1994</f>
        <v/>
      </c>
      <c r="H1995" s="366" t="s">
        <v>3972</v>
      </c>
      <c r="I1995" s="93"/>
      <c r="J1995" s="4"/>
      <c r="K1995" s="4"/>
      <c r="L1995" s="838"/>
      <c r="M1995" s="818"/>
      <c r="N1995" s="834"/>
      <c r="O1995" s="834"/>
    </row>
    <row r="1996" spans="1:45" x14ac:dyDescent="0.35">
      <c r="A1996" s="366">
        <v>9</v>
      </c>
      <c r="B1996" s="738" t="s">
        <v>3202</v>
      </c>
      <c r="C1996" s="731" t="s">
        <v>256</v>
      </c>
      <c r="D1996" s="731"/>
      <c r="E1996" s="731"/>
      <c r="F1996" s="731"/>
      <c r="G1996" s="366" t="str">
        <f t="shared" si="115"/>
        <v/>
      </c>
      <c r="H1996" s="366" t="s">
        <v>3972</v>
      </c>
      <c r="I1996" s="93"/>
      <c r="J1996" s="19" t="s">
        <v>256</v>
      </c>
      <c r="K1996" s="4"/>
      <c r="L1996" s="814" t="s">
        <v>3204</v>
      </c>
      <c r="M1996" s="40"/>
      <c r="N1996" s="41"/>
      <c r="O1996" s="41"/>
      <c r="P1996" t="b">
        <v>0</v>
      </c>
      <c r="Q1996" t="b">
        <v>1</v>
      </c>
      <c r="R1996" t="b">
        <v>0</v>
      </c>
      <c r="S1996" t="b">
        <f>NOT(W2006)</f>
        <v>1</v>
      </c>
      <c r="T1996" t="b">
        <f>AND(NOT(S1996),W1996=TRUE)</f>
        <v>0</v>
      </c>
      <c r="W1996" s="17"/>
      <c r="X1996" s="817"/>
      <c r="Y1996" s="1100" t="str">
        <f>IF(LEN('Ch9'!X130)=0,"None",'Ch9'!X130)</f>
        <v>None</v>
      </c>
      <c r="Z1996" s="1102"/>
      <c r="AC1996" t="b">
        <f>OR(AD1996:AE1996)</f>
        <v>0</v>
      </c>
      <c r="AD1996" t="b">
        <f>T1996</f>
        <v>0</v>
      </c>
      <c r="AP1996" t="str">
        <f>SUBSTITUTE(SUBSTITUTE(SUBSTITUTE("vch"&amp;$B1996&amp;$C1996&amp;$D1996&amp;$E1996,".","_"),"(","_"),")","")</f>
        <v>vch901_9_1_1</v>
      </c>
      <c r="AQ1996" t="str">
        <f>IF(LEN(W1996)=0,"",W1996)</f>
        <v/>
      </c>
      <c r="AR1996" t="str">
        <f>SUBSTITUTE(SUBSTITUTE(SUBSTITUTE("vnt"&amp;$B1996&amp;$C1996&amp;$D1996&amp;$E1996,".","_"),"(","_"),")","")</f>
        <v>vnt901_9_1_1</v>
      </c>
      <c r="AS1996" t="str">
        <f>IF(LEN(X1996)=0,"",X1996)</f>
        <v/>
      </c>
    </row>
    <row r="1997" spans="1:45" x14ac:dyDescent="0.35">
      <c r="A1997" s="366">
        <v>9</v>
      </c>
      <c r="B1997" s="738" t="s">
        <v>3202</v>
      </c>
      <c r="C1997" s="731" t="s">
        <v>256</v>
      </c>
      <c r="D1997" s="731"/>
      <c r="E1997" s="731"/>
      <c r="F1997" s="731"/>
      <c r="G1997" s="366" t="str">
        <f t="shared" si="115"/>
        <v/>
      </c>
      <c r="H1997" s="366" t="s">
        <v>3972</v>
      </c>
      <c r="I1997" s="93"/>
      <c r="J1997" s="133"/>
      <c r="K1997" s="133"/>
      <c r="L1997" s="815"/>
      <c r="M1997" s="40"/>
      <c r="N1997" s="41"/>
      <c r="O1997" s="41"/>
      <c r="X1997" s="817"/>
      <c r="Y1997" s="1100"/>
      <c r="Z1997" s="1102"/>
    </row>
    <row r="1998" spans="1:45" x14ac:dyDescent="0.35">
      <c r="A1998" s="366">
        <v>9</v>
      </c>
      <c r="B1998" s="738" t="s">
        <v>3202</v>
      </c>
      <c r="C1998" s="731" t="s">
        <v>258</v>
      </c>
      <c r="D1998" s="731"/>
      <c r="E1998" s="731"/>
      <c r="F1998" s="731"/>
      <c r="G1998" s="366" t="str">
        <f t="shared" si="115"/>
        <v/>
      </c>
      <c r="H1998" s="366" t="s">
        <v>3972</v>
      </c>
      <c r="I1998" s="93"/>
      <c r="J1998" s="129" t="s">
        <v>258</v>
      </c>
      <c r="K1998" s="133"/>
      <c r="L1998" s="228" t="s">
        <v>3205</v>
      </c>
      <c r="M1998" s="40"/>
      <c r="N1998" s="41"/>
      <c r="O1998" s="41"/>
      <c r="P1998" t="b">
        <v>0</v>
      </c>
      <c r="Q1998" t="b">
        <v>1</v>
      </c>
      <c r="R1998" t="b">
        <v>0</v>
      </c>
      <c r="S1998" t="b">
        <f>NOT(W2006)</f>
        <v>1</v>
      </c>
      <c r="T1998" t="b">
        <f>AND(NOT(S1998),W1998=TRUE)</f>
        <v>0</v>
      </c>
      <c r="W1998" s="17"/>
      <c r="X1998" s="36"/>
      <c r="Y1998" s="396" t="str">
        <f>IF(LEN('Ch9'!X132)=0,"None",'Ch9'!X132)</f>
        <v>None</v>
      </c>
      <c r="Z1998" s="652"/>
      <c r="AC1998" t="b">
        <f>OR(AD1998:AE1998)</f>
        <v>0</v>
      </c>
      <c r="AD1998" t="b">
        <f>T1998</f>
        <v>0</v>
      </c>
      <c r="AP1998" t="str">
        <f>SUBSTITUTE(SUBSTITUTE(SUBSTITUTE("vch"&amp;$B1998&amp;$C1998&amp;$D1998&amp;$E1998,".","_"),"(","_"),")","")</f>
        <v>vch901_9_1_2</v>
      </c>
      <c r="AQ1998" t="str">
        <f>IF(LEN(W1998)=0,"",W1998)</f>
        <v/>
      </c>
      <c r="AR1998" t="str">
        <f>SUBSTITUTE(SUBSTITUTE(SUBSTITUTE("vnt"&amp;$B1998&amp;$C1998&amp;$D1998&amp;$E1998,".","_"),"(","_"),")","")</f>
        <v>vnt901_9_1_2</v>
      </c>
      <c r="AS1998" t="str">
        <f>IF(LEN(X1998)=0,"",X1998)</f>
        <v/>
      </c>
    </row>
    <row r="1999" spans="1:45" x14ac:dyDescent="0.35">
      <c r="A1999" s="366">
        <v>9</v>
      </c>
      <c r="B1999" s="738" t="s">
        <v>3202</v>
      </c>
      <c r="C1999" s="731" t="s">
        <v>260</v>
      </c>
      <c r="D1999" s="731"/>
      <c r="E1999" s="731"/>
      <c r="F1999" s="731"/>
      <c r="G1999" s="366" t="str">
        <f t="shared" si="115"/>
        <v/>
      </c>
      <c r="H1999" s="366" t="s">
        <v>3972</v>
      </c>
      <c r="I1999" s="93"/>
      <c r="J1999" s="19" t="s">
        <v>260</v>
      </c>
      <c r="K1999" s="4"/>
      <c r="L1999" s="90" t="s">
        <v>3206</v>
      </c>
      <c r="M1999" s="40"/>
      <c r="N1999" s="41"/>
      <c r="O1999" s="41"/>
      <c r="P1999" t="b">
        <v>0</v>
      </c>
      <c r="Q1999" t="b">
        <v>1</v>
      </c>
      <c r="R1999" t="b">
        <v>0</v>
      </c>
      <c r="S1999" t="b">
        <f>NOT(W2006)</f>
        <v>1</v>
      </c>
      <c r="T1999" t="b">
        <f>AND(NOT(S1999),W1999=TRUE)</f>
        <v>0</v>
      </c>
      <c r="W1999" s="17"/>
      <c r="X1999" s="817"/>
      <c r="Y1999" s="1100" t="str">
        <f>IF(LEN('Ch9'!X133)=0,"None",'Ch9'!X133)</f>
        <v>None</v>
      </c>
      <c r="Z1999" s="1102"/>
      <c r="AC1999" t="b">
        <f>OR(AD1999:AE1999)</f>
        <v>0</v>
      </c>
      <c r="AD1999" t="b">
        <f>T1999</f>
        <v>0</v>
      </c>
      <c r="AP1999" t="str">
        <f>SUBSTITUTE(SUBSTITUTE(SUBSTITUTE("vch"&amp;$B1999&amp;$C1999&amp;$D1999&amp;$E1999,".","_"),"(","_"),")","")</f>
        <v>vch901_9_1_3</v>
      </c>
      <c r="AQ1999" t="str">
        <f>IF(LEN(W1999)=0,"",W1999)</f>
        <v/>
      </c>
      <c r="AR1999" t="str">
        <f>SUBSTITUTE(SUBSTITUTE(SUBSTITUTE("vnt"&amp;$B1999&amp;$C1999&amp;$D1999&amp;$E1999,".","_"),"(","_"),")","")</f>
        <v>vnt901_9_1_3</v>
      </c>
      <c r="AS1999" t="str">
        <f>IF(LEN(X1999)=0,"",X1999)</f>
        <v/>
      </c>
    </row>
    <row r="2000" spans="1:45" x14ac:dyDescent="0.35">
      <c r="A2000" s="366">
        <v>9</v>
      </c>
      <c r="B2000" s="738" t="s">
        <v>3202</v>
      </c>
      <c r="C2000" s="731" t="s">
        <v>260</v>
      </c>
      <c r="D2000" s="732"/>
      <c r="E2000" s="732"/>
      <c r="F2000" s="732"/>
      <c r="G2000" s="366" t="str">
        <f t="shared" si="115"/>
        <v/>
      </c>
      <c r="H2000" s="366" t="s">
        <v>3972</v>
      </c>
      <c r="I2000" s="104"/>
      <c r="J2000" s="104"/>
      <c r="K2000" s="104"/>
      <c r="L2000" s="323" t="s">
        <v>3663</v>
      </c>
      <c r="M2000" s="133"/>
      <c r="N2000" s="104"/>
      <c r="O2000" s="104"/>
      <c r="P2000" s="104"/>
      <c r="Q2000" s="104"/>
      <c r="R2000" s="104"/>
      <c r="S2000" s="104"/>
      <c r="T2000" s="104"/>
      <c r="U2000" s="104"/>
      <c r="V2000" s="104"/>
      <c r="W2000" s="104"/>
      <c r="X2000" s="817"/>
      <c r="Y2000" s="1100"/>
      <c r="Z2000" s="1102"/>
    </row>
    <row r="2001" spans="1:45" x14ac:dyDescent="0.35">
      <c r="A2001" s="366">
        <v>9</v>
      </c>
      <c r="B2001" s="738" t="s">
        <v>3207</v>
      </c>
      <c r="C2001" s="731"/>
      <c r="D2001" s="731"/>
      <c r="E2001" s="731"/>
      <c r="F2001" s="731"/>
      <c r="G2001" s="366" t="str">
        <f>IF(N2001&gt;0,"P","")</f>
        <v/>
      </c>
      <c r="H2001" s="366" t="s">
        <v>3972</v>
      </c>
      <c r="I2001" s="117" t="s">
        <v>3207</v>
      </c>
      <c r="J2001" s="118"/>
      <c r="K2001" s="118"/>
      <c r="L2001" s="905" t="s">
        <v>3208</v>
      </c>
      <c r="M2001" s="822">
        <v>1</v>
      </c>
      <c r="N2001" s="963">
        <f>'Ch9'!O135</f>
        <v>0</v>
      </c>
      <c r="O2001" s="963">
        <f>M2001*S2001*W2001</f>
        <v>0</v>
      </c>
      <c r="P2001" t="b">
        <v>0</v>
      </c>
      <c r="Q2001" t="b">
        <v>1</v>
      </c>
      <c r="R2001" s="120" t="b">
        <v>0</v>
      </c>
      <c r="S2001" s="120" t="b">
        <f>IFERROR(OR(AND(W1996,W1998,W1999),W2006),FALSE)</f>
        <v>0</v>
      </c>
      <c r="T2001" s="120" t="b">
        <f>AND(NOT(S2001),W2001=TRUE)</f>
        <v>0</v>
      </c>
      <c r="U2001" s="120"/>
      <c r="V2001" s="120"/>
      <c r="W2001" s="17"/>
      <c r="X2001" s="817"/>
      <c r="Y2001" s="1100" t="str">
        <f>IF(LEN('Ch9'!X135)=0,"None",'Ch9'!X135)</f>
        <v>None</v>
      </c>
      <c r="Z2001" s="1102"/>
      <c r="AC2001" t="b">
        <f>OR(AD2001:AE2001)</f>
        <v>0</v>
      </c>
      <c r="AD2001" t="b">
        <f>T2001</f>
        <v>0</v>
      </c>
      <c r="AL2001" t="str">
        <f>SUBSTITUTE(SUBSTITUTE(SUBSTITUTE("vpa"&amp;$B2001&amp;$C2001&amp;$D2001&amp;$E2001,".","_"),"(","_"),")","")</f>
        <v>vpa901_9_2</v>
      </c>
      <c r="AM2001">
        <f>M2001</f>
        <v>1</v>
      </c>
      <c r="AN2001" t="str">
        <f>SUBSTITUTE(SUBSTITUTE(SUBSTITUTE("vpc"&amp;$B2001&amp;$C2001&amp;$D2001&amp;$E2001,".","_"),"(","_"),")","")</f>
        <v>vpc901_9_2</v>
      </c>
      <c r="AO2001">
        <f>O2001</f>
        <v>0</v>
      </c>
      <c r="AP2001" t="str">
        <f>SUBSTITUTE(SUBSTITUTE(SUBSTITUTE("vch"&amp;$B2001&amp;$C2001&amp;$D2001&amp;$E2001,".","_"),"(","_"),")","")</f>
        <v>vch901_9_2</v>
      </c>
      <c r="AQ2001" t="str">
        <f>IF(LEN(W2001)=0,"",W2001)</f>
        <v/>
      </c>
      <c r="AR2001" t="str">
        <f>SUBSTITUTE(SUBSTITUTE(SUBSTITUTE("vnt"&amp;$B2001&amp;$C2001&amp;$D2001&amp;$E2001,".","_"),"(","_"),")","")</f>
        <v>vnt901_9_2</v>
      </c>
      <c r="AS2001" t="str">
        <f>IF(LEN(X2001)=0,"",X2001)</f>
        <v/>
      </c>
    </row>
    <row r="2002" spans="1:45" x14ac:dyDescent="0.35">
      <c r="A2002" s="366">
        <v>9</v>
      </c>
      <c r="B2002" s="738" t="s">
        <v>3207</v>
      </c>
      <c r="C2002" s="731"/>
      <c r="D2002" s="731"/>
      <c r="E2002" s="731"/>
      <c r="F2002" s="731"/>
      <c r="G2002" s="366" t="str">
        <f>G2001</f>
        <v/>
      </c>
      <c r="H2002" s="366" t="s">
        <v>3972</v>
      </c>
      <c r="I2002" s="93"/>
      <c r="J2002" s="4"/>
      <c r="K2002" s="4"/>
      <c r="L2002" s="838"/>
      <c r="M2002" s="818"/>
      <c r="N2002" s="834"/>
      <c r="O2002" s="834"/>
      <c r="X2002" s="817"/>
      <c r="Y2002" s="1100"/>
      <c r="Z2002" s="1102"/>
    </row>
    <row r="2003" spans="1:45" x14ac:dyDescent="0.35">
      <c r="A2003" s="366">
        <v>9</v>
      </c>
      <c r="B2003" s="738" t="s">
        <v>3207</v>
      </c>
      <c r="C2003" s="731"/>
      <c r="D2003" s="731"/>
      <c r="E2003" s="731"/>
      <c r="F2003" s="731"/>
      <c r="G2003" s="366" t="str">
        <f>G2002</f>
        <v/>
      </c>
      <c r="H2003" s="366" t="s">
        <v>3972</v>
      </c>
      <c r="I2003" s="93"/>
      <c r="J2003" s="4"/>
      <c r="K2003" s="4"/>
      <c r="L2003" s="955" t="s">
        <v>3209</v>
      </c>
      <c r="M2003" s="818"/>
      <c r="N2003" s="834"/>
      <c r="O2003" s="834"/>
      <c r="X2003" s="817"/>
      <c r="Y2003" s="1100"/>
      <c r="Z2003" s="1102"/>
    </row>
    <row r="2004" spans="1:45" x14ac:dyDescent="0.35">
      <c r="A2004" s="366">
        <v>9</v>
      </c>
      <c r="B2004" s="738" t="s">
        <v>3207</v>
      </c>
      <c r="C2004" s="731"/>
      <c r="D2004" s="731"/>
      <c r="E2004" s="731"/>
      <c r="F2004" s="731"/>
      <c r="G2004" s="366" t="str">
        <f>G2003</f>
        <v/>
      </c>
      <c r="H2004" s="366" t="s">
        <v>3972</v>
      </c>
      <c r="I2004" s="93"/>
      <c r="J2004" s="4"/>
      <c r="K2004" s="4"/>
      <c r="L2004" s="955"/>
      <c r="M2004" s="818"/>
      <c r="N2004" s="834"/>
      <c r="O2004" s="834"/>
      <c r="X2004" s="817"/>
      <c r="Y2004" s="1100"/>
      <c r="Z2004" s="1102"/>
    </row>
    <row r="2005" spans="1:45" x14ac:dyDescent="0.35">
      <c r="A2005" s="366">
        <v>9</v>
      </c>
      <c r="B2005" s="738" t="s">
        <v>3207</v>
      </c>
      <c r="C2005" s="731"/>
      <c r="D2005" s="731"/>
      <c r="E2005" s="731"/>
      <c r="F2005" s="731"/>
      <c r="G2005" s="366" t="str">
        <f>G2004</f>
        <v/>
      </c>
      <c r="H2005" s="366" t="s">
        <v>3972</v>
      </c>
      <c r="I2005" s="320"/>
      <c r="J2005" s="133"/>
      <c r="K2005" s="133"/>
      <c r="L2005" s="323" t="s">
        <v>3758</v>
      </c>
      <c r="M2005" s="268"/>
      <c r="N2005" s="546"/>
      <c r="O2005" s="546"/>
      <c r="P2005" s="104"/>
      <c r="Q2005" s="104"/>
      <c r="R2005" s="104"/>
      <c r="S2005" s="104"/>
      <c r="T2005" s="104"/>
      <c r="U2005" s="104"/>
      <c r="V2005" s="104"/>
      <c r="W2005" s="104"/>
      <c r="X2005" s="817"/>
      <c r="Y2005" s="1100"/>
      <c r="Z2005" s="1102"/>
    </row>
    <row r="2006" spans="1:45" x14ac:dyDescent="0.35">
      <c r="A2006" s="366">
        <v>9</v>
      </c>
      <c r="B2006" s="738" t="s">
        <v>3210</v>
      </c>
      <c r="C2006" s="731"/>
      <c r="D2006" s="731"/>
      <c r="E2006" s="731"/>
      <c r="F2006" s="731"/>
      <c r="G2006" s="366" t="str">
        <f>IF(N2006&gt;0,"P","")</f>
        <v/>
      </c>
      <c r="H2006" s="366" t="s">
        <v>3972</v>
      </c>
      <c r="I2006" s="30" t="s">
        <v>3210</v>
      </c>
      <c r="J2006" s="4"/>
      <c r="K2006" s="4"/>
      <c r="L2006" s="838" t="s">
        <v>5591</v>
      </c>
      <c r="M2006" s="818">
        <v>8</v>
      </c>
      <c r="N2006" s="834">
        <f>'Ch9'!O140</f>
        <v>0</v>
      </c>
      <c r="O2006" s="834">
        <f>M2006*S2006*W2006</f>
        <v>0</v>
      </c>
      <c r="P2006" t="b">
        <v>0</v>
      </c>
      <c r="Q2006" t="b">
        <v>1</v>
      </c>
      <c r="R2006" t="b">
        <v>0</v>
      </c>
      <c r="S2006" t="b">
        <f>AND(NOT(W1996),NOT(W1998),NOT(W1999))</f>
        <v>1</v>
      </c>
      <c r="T2006" t="b">
        <f>AND(NOT(S2006),W2006=TRUE)</f>
        <v>0</v>
      </c>
      <c r="W2006" s="17"/>
      <c r="X2006" s="816"/>
      <c r="Y2006" s="1100" t="str">
        <f>IF(LEN('Ch9'!X140)=0,"None",'Ch9'!X140)</f>
        <v>None</v>
      </c>
      <c r="Z2006" s="1102"/>
      <c r="AC2006" t="b">
        <f>OR(AD2006:AE2006)</f>
        <v>0</v>
      </c>
      <c r="AD2006" t="b">
        <f>T2006</f>
        <v>0</v>
      </c>
      <c r="AL2006" t="str">
        <f>SUBSTITUTE(SUBSTITUTE(SUBSTITUTE("vpa"&amp;$B2006&amp;$C2006&amp;$D2006&amp;$E2006,".","_"),"(","_"),")","")</f>
        <v>vpa901_9_3</v>
      </c>
      <c r="AM2006">
        <f>M2006</f>
        <v>8</v>
      </c>
      <c r="AN2006" t="str">
        <f>SUBSTITUTE(SUBSTITUTE(SUBSTITUTE("vpc"&amp;$B2006&amp;$C2006&amp;$D2006&amp;$E2006,".","_"),"(","_"),")","")</f>
        <v>vpc901_9_3</v>
      </c>
      <c r="AO2006">
        <f>O2006</f>
        <v>0</v>
      </c>
      <c r="AP2006" t="str">
        <f>SUBSTITUTE(SUBSTITUTE(SUBSTITUTE("vch"&amp;$B2006&amp;$C2006&amp;$D2006&amp;$E2006,".","_"),"(","_"),")","")</f>
        <v>vch901_9_3</v>
      </c>
      <c r="AQ2006" t="str">
        <f>IF(LEN(W2006)=0,"",W2006)</f>
        <v/>
      </c>
      <c r="AR2006" t="str">
        <f>SUBSTITUTE(SUBSTITUTE(SUBSTITUTE("vnt"&amp;$B2006&amp;$C2006&amp;$D2006&amp;$E2006,".","_"),"(","_"),")","")</f>
        <v>vnt901_9_3</v>
      </c>
      <c r="AS2006" t="str">
        <f>IF(LEN(X2006)=0,"",X2006)</f>
        <v/>
      </c>
    </row>
    <row r="2007" spans="1:45" x14ac:dyDescent="0.35">
      <c r="A2007" s="366">
        <v>9</v>
      </c>
      <c r="B2007" s="738" t="s">
        <v>3210</v>
      </c>
      <c r="C2007" s="731"/>
      <c r="D2007" s="731"/>
      <c r="E2007" s="731"/>
      <c r="F2007" s="731"/>
      <c r="G2007" s="366" t="str">
        <f>G2006</f>
        <v/>
      </c>
      <c r="H2007" s="366" t="s">
        <v>3972</v>
      </c>
      <c r="I2007" s="93"/>
      <c r="J2007" s="4"/>
      <c r="K2007" s="4"/>
      <c r="L2007" s="838"/>
      <c r="M2007" s="818"/>
      <c r="N2007" s="834"/>
      <c r="O2007" s="834"/>
      <c r="X2007" s="817"/>
      <c r="Y2007" s="1100"/>
      <c r="Z2007" s="1102"/>
    </row>
    <row r="2008" spans="1:45" x14ac:dyDescent="0.35">
      <c r="A2008" s="366">
        <v>9</v>
      </c>
      <c r="B2008" s="738" t="s">
        <v>3210</v>
      </c>
      <c r="C2008" s="731"/>
      <c r="D2008" s="731"/>
      <c r="E2008" s="731"/>
      <c r="F2008" s="731"/>
      <c r="G2008" s="366" t="str">
        <f>G2007</f>
        <v/>
      </c>
      <c r="H2008" s="366" t="s">
        <v>3972</v>
      </c>
      <c r="I2008" s="93"/>
      <c r="J2008" s="4"/>
      <c r="K2008" s="4"/>
      <c r="L2008" s="838"/>
      <c r="M2008" s="818"/>
      <c r="N2008" s="834"/>
      <c r="O2008" s="834"/>
      <c r="X2008" s="817"/>
      <c r="Y2008" s="1100"/>
      <c r="Z2008" s="1102"/>
    </row>
    <row r="2009" spans="1:45" x14ac:dyDescent="0.35">
      <c r="A2009" s="366">
        <v>9</v>
      </c>
      <c r="B2009" s="738" t="s">
        <v>3210</v>
      </c>
      <c r="C2009" s="731"/>
      <c r="D2009" s="731"/>
      <c r="E2009" s="731"/>
      <c r="F2009" s="731"/>
      <c r="G2009" s="366" t="str">
        <f>G2008</f>
        <v/>
      </c>
      <c r="H2009" s="366" t="s">
        <v>3972</v>
      </c>
      <c r="I2009" s="93"/>
      <c r="J2009" s="4"/>
      <c r="K2009" s="4"/>
      <c r="L2009" s="838"/>
      <c r="M2009" s="818"/>
      <c r="N2009" s="834"/>
      <c r="O2009" s="834"/>
      <c r="X2009" s="817"/>
      <c r="Y2009" s="1100"/>
      <c r="Z2009" s="1102"/>
    </row>
    <row r="2010" spans="1:45" x14ac:dyDescent="0.35">
      <c r="A2010" s="366">
        <v>9</v>
      </c>
      <c r="B2010" s="738" t="s">
        <v>3210</v>
      </c>
      <c r="C2010" s="731"/>
      <c r="D2010" s="731"/>
      <c r="E2010" s="731"/>
      <c r="F2010" s="731"/>
      <c r="G2010" s="366" t="str">
        <f>G2009</f>
        <v/>
      </c>
      <c r="H2010" s="366" t="s">
        <v>3972</v>
      </c>
      <c r="I2010" s="93"/>
      <c r="J2010" s="4"/>
      <c r="K2010" s="4"/>
      <c r="L2010" s="838"/>
      <c r="M2010" s="818"/>
      <c r="N2010" s="834"/>
      <c r="O2010" s="834"/>
      <c r="X2010" s="817"/>
      <c r="Y2010" s="1100"/>
      <c r="Z2010" s="1102"/>
    </row>
    <row r="2011" spans="1:45" ht="15" thickBot="1" x14ac:dyDescent="0.4">
      <c r="A2011" s="366">
        <v>9</v>
      </c>
      <c r="B2011" s="738" t="s">
        <v>3210</v>
      </c>
      <c r="C2011" s="731"/>
      <c r="D2011" s="731"/>
      <c r="E2011" s="731"/>
      <c r="F2011" s="731"/>
      <c r="G2011" s="366" t="str">
        <f>G2010</f>
        <v/>
      </c>
      <c r="H2011" s="366" t="s">
        <v>3972</v>
      </c>
      <c r="I2011" s="294"/>
      <c r="J2011" s="160"/>
      <c r="K2011" s="160"/>
      <c r="L2011" s="849"/>
      <c r="M2011" s="827"/>
      <c r="N2011" s="863"/>
      <c r="O2011" s="863"/>
      <c r="P2011" s="55"/>
      <c r="Q2011" s="55"/>
      <c r="R2011" s="55"/>
      <c r="S2011" s="55"/>
      <c r="T2011" s="55"/>
      <c r="U2011" s="55"/>
      <c r="V2011" s="55"/>
      <c r="W2011" s="55"/>
      <c r="X2011" s="829"/>
      <c r="Y2011" s="1101"/>
      <c r="Z2011" s="1104"/>
    </row>
    <row r="2012" spans="1:45" ht="15" thickTop="1" x14ac:dyDescent="0.35">
      <c r="A2012" s="366">
        <v>9</v>
      </c>
      <c r="B2012" s="750" t="s">
        <v>3969</v>
      </c>
      <c r="C2012" s="731"/>
      <c r="D2012" s="731"/>
      <c r="E2012" s="731"/>
      <c r="F2012" s="731"/>
      <c r="G2012" s="366" t="str">
        <f>IF(N2012&gt;0,"P","")</f>
        <v/>
      </c>
      <c r="H2012" s="366" t="s">
        <v>3972</v>
      </c>
      <c r="I2012" s="144">
        <v>901.1</v>
      </c>
      <c r="J2012" s="4"/>
      <c r="K2012" s="4"/>
      <c r="L2012" s="838" t="s">
        <v>3212</v>
      </c>
      <c r="M2012" s="40"/>
      <c r="N2012" s="834">
        <f>'Ch9'!O146</f>
        <v>0</v>
      </c>
      <c r="O2012" s="834">
        <f>IF(W2021=TRUE,5,IF(W2020=TRUE,5,IF(W2015=TRUE,8,0)))*S2015</f>
        <v>0</v>
      </c>
      <c r="AN2012" t="str">
        <f>SUBSTITUTE(SUBSTITUTE(SUBSTITUTE("vpc"&amp;$B2012&amp;$C2012&amp;$D2012&amp;$E2012,".","_"),"(","_"),")","")</f>
        <v>vpc901_10</v>
      </c>
      <c r="AO2012">
        <f>O2012</f>
        <v>0</v>
      </c>
    </row>
    <row r="2013" spans="1:45" x14ac:dyDescent="0.35">
      <c r="A2013" s="366">
        <v>9</v>
      </c>
      <c r="B2013" s="750" t="s">
        <v>3969</v>
      </c>
      <c r="C2013" s="731"/>
      <c r="D2013" s="731"/>
      <c r="E2013" s="731"/>
      <c r="F2013" s="731"/>
      <c r="G2013" s="366" t="str">
        <f t="shared" ref="G2013:G2024" si="116">G2012</f>
        <v/>
      </c>
      <c r="H2013" s="366" t="s">
        <v>3972</v>
      </c>
      <c r="I2013" s="93"/>
      <c r="J2013" s="4"/>
      <c r="K2013" s="4"/>
      <c r="L2013" s="838"/>
      <c r="M2013" s="40"/>
      <c r="N2013" s="834"/>
      <c r="O2013" s="834"/>
    </row>
    <row r="2014" spans="1:45" x14ac:dyDescent="0.35">
      <c r="A2014" s="366">
        <v>9</v>
      </c>
      <c r="B2014" s="750" t="s">
        <v>3969</v>
      </c>
      <c r="C2014" s="731"/>
      <c r="D2014" s="731"/>
      <c r="E2014" s="731"/>
      <c r="F2014" s="731"/>
      <c r="G2014" s="366" t="str">
        <f t="shared" si="116"/>
        <v/>
      </c>
      <c r="H2014" s="366" t="s">
        <v>3972</v>
      </c>
      <c r="I2014" s="93"/>
      <c r="J2014" s="4"/>
      <c r="K2014" s="4"/>
      <c r="L2014" s="838"/>
      <c r="M2014" s="40"/>
      <c r="N2014" s="834"/>
      <c r="O2014" s="834"/>
    </row>
    <row r="2015" spans="1:45" x14ac:dyDescent="0.35">
      <c r="A2015" s="366">
        <v>9</v>
      </c>
      <c r="B2015" s="750" t="s">
        <v>3969</v>
      </c>
      <c r="C2015" s="731" t="s">
        <v>256</v>
      </c>
      <c r="D2015" s="731"/>
      <c r="E2015" s="731"/>
      <c r="F2015" s="731"/>
      <c r="G2015" s="366" t="str">
        <f t="shared" si="116"/>
        <v/>
      </c>
      <c r="H2015" s="366" t="s">
        <v>3972</v>
      </c>
      <c r="I2015" s="93"/>
      <c r="J2015" s="19" t="s">
        <v>256</v>
      </c>
      <c r="K2015" s="4"/>
      <c r="L2015" s="814" t="s">
        <v>5592</v>
      </c>
      <c r="M2015" s="818">
        <v>8</v>
      </c>
      <c r="N2015" s="41"/>
      <c r="O2015" s="41"/>
      <c r="P2015" t="b">
        <v>0</v>
      </c>
      <c r="Q2015" t="b">
        <v>1</v>
      </c>
      <c r="R2015" t="b">
        <v>0</v>
      </c>
      <c r="S2015" t="b">
        <v>1</v>
      </c>
      <c r="T2015" t="b">
        <v>0</v>
      </c>
      <c r="W2015" s="17"/>
      <c r="X2015" s="817"/>
      <c r="Y2015" s="1100" t="str">
        <f>IF(LEN('Ch9'!X149)=0,"None",'Ch9'!X149)</f>
        <v>None</v>
      </c>
      <c r="Z2015" s="1102"/>
      <c r="AL2015" t="str">
        <f>SUBSTITUTE(SUBSTITUTE(SUBSTITUTE("vpa"&amp;$B2015&amp;$C2015&amp;$D2015&amp;$E2015,".","_"),"(","_"),")","")</f>
        <v>vpa901_10_1</v>
      </c>
      <c r="AM2015">
        <f>M2015</f>
        <v>8</v>
      </c>
      <c r="AP2015" t="str">
        <f>SUBSTITUTE(SUBSTITUTE(SUBSTITUTE("vch"&amp;$B2015&amp;$C2015&amp;$D2015&amp;$E2015,".","_"),"(","_"),")","")</f>
        <v>vch901_10_1</v>
      </c>
      <c r="AQ2015" t="str">
        <f>IF(LEN(W2015)=0,"",W2015)</f>
        <v/>
      </c>
      <c r="AR2015" t="str">
        <f>SUBSTITUTE(SUBSTITUTE(SUBSTITUTE("vnt"&amp;$B2015&amp;$C2015&amp;$D2015&amp;$E2015,".","_"),"(","_"),")","")</f>
        <v>vnt901_10_1</v>
      </c>
      <c r="AS2015" t="str">
        <f>IF(LEN(X2015)=0,"",X2015)</f>
        <v/>
      </c>
    </row>
    <row r="2016" spans="1:45" x14ac:dyDescent="0.35">
      <c r="A2016" s="366">
        <v>9</v>
      </c>
      <c r="B2016" s="750" t="s">
        <v>3969</v>
      </c>
      <c r="C2016" s="731" t="s">
        <v>256</v>
      </c>
      <c r="D2016" s="731"/>
      <c r="E2016" s="731"/>
      <c r="F2016" s="731"/>
      <c r="G2016" s="366" t="str">
        <f t="shared" si="116"/>
        <v/>
      </c>
      <c r="H2016" s="366" t="s">
        <v>3972</v>
      </c>
      <c r="I2016" s="93"/>
      <c r="J2016" s="4"/>
      <c r="K2016" s="4"/>
      <c r="L2016" s="814"/>
      <c r="M2016" s="818"/>
      <c r="N2016" s="41"/>
      <c r="O2016" s="41"/>
      <c r="X2016" s="817"/>
      <c r="Y2016" s="1100"/>
      <c r="Z2016" s="1102"/>
    </row>
    <row r="2017" spans="1:45" x14ac:dyDescent="0.35">
      <c r="A2017" s="366">
        <v>9</v>
      </c>
      <c r="B2017" s="750" t="s">
        <v>3969</v>
      </c>
      <c r="C2017" s="731" t="s">
        <v>256</v>
      </c>
      <c r="D2017" s="731"/>
      <c r="E2017" s="731"/>
      <c r="F2017" s="731"/>
      <c r="G2017" s="366" t="str">
        <f t="shared" si="116"/>
        <v/>
      </c>
      <c r="H2017" s="366" t="s">
        <v>3972</v>
      </c>
      <c r="I2017" s="93"/>
      <c r="J2017" s="4"/>
      <c r="K2017" s="4"/>
      <c r="L2017" s="814"/>
      <c r="M2017" s="818"/>
      <c r="N2017" s="41"/>
      <c r="O2017" s="41"/>
      <c r="X2017" s="817"/>
      <c r="Y2017" s="1100"/>
      <c r="Z2017" s="1102"/>
    </row>
    <row r="2018" spans="1:45" x14ac:dyDescent="0.35">
      <c r="A2018" s="366">
        <v>9</v>
      </c>
      <c r="B2018" s="750" t="s">
        <v>3969</v>
      </c>
      <c r="C2018" s="731" t="s">
        <v>256</v>
      </c>
      <c r="D2018" s="731"/>
      <c r="E2018" s="731"/>
      <c r="F2018" s="731"/>
      <c r="G2018" s="366" t="str">
        <f t="shared" si="116"/>
        <v/>
      </c>
      <c r="H2018" s="366" t="s">
        <v>3972</v>
      </c>
      <c r="I2018" s="93"/>
      <c r="J2018" s="4"/>
      <c r="K2018" s="4"/>
      <c r="L2018" s="814"/>
      <c r="M2018" s="818"/>
      <c r="N2018" s="41"/>
      <c r="O2018" s="41"/>
      <c r="X2018" s="817"/>
      <c r="Y2018" s="1100"/>
      <c r="Z2018" s="1102"/>
    </row>
    <row r="2019" spans="1:45" x14ac:dyDescent="0.35">
      <c r="A2019" s="366">
        <v>9</v>
      </c>
      <c r="B2019" s="750" t="s">
        <v>3969</v>
      </c>
      <c r="C2019" s="731" t="s">
        <v>256</v>
      </c>
      <c r="D2019" s="731"/>
      <c r="E2019" s="731"/>
      <c r="F2019" s="731"/>
      <c r="G2019" s="366" t="str">
        <f t="shared" si="116"/>
        <v/>
      </c>
      <c r="H2019" s="366" t="s">
        <v>3972</v>
      </c>
      <c r="I2019" s="93"/>
      <c r="J2019" s="133"/>
      <c r="K2019" s="133"/>
      <c r="L2019" s="815"/>
      <c r="M2019" s="819"/>
      <c r="N2019" s="41"/>
      <c r="O2019" s="41"/>
      <c r="X2019" s="817"/>
      <c r="Y2019" s="1100"/>
      <c r="Z2019" s="1102"/>
    </row>
    <row r="2020" spans="1:45" x14ac:dyDescent="0.35">
      <c r="A2020" s="366">
        <v>9</v>
      </c>
      <c r="B2020" s="750" t="s">
        <v>3969</v>
      </c>
      <c r="C2020" s="731" t="s">
        <v>258</v>
      </c>
      <c r="D2020" s="731"/>
      <c r="E2020" s="731"/>
      <c r="F2020" s="731"/>
      <c r="G2020" s="366" t="str">
        <f t="shared" si="116"/>
        <v/>
      </c>
      <c r="H2020" s="366" t="s">
        <v>3972</v>
      </c>
      <c r="I2020" s="93"/>
      <c r="J2020" s="129" t="s">
        <v>258</v>
      </c>
      <c r="K2020" s="133"/>
      <c r="L2020" s="228" t="s">
        <v>3214</v>
      </c>
      <c r="M2020" s="268">
        <v>5</v>
      </c>
      <c r="N2020" s="41"/>
      <c r="O2020" s="41"/>
      <c r="P2020" t="b">
        <v>0</v>
      </c>
      <c r="Q2020" t="b">
        <v>1</v>
      </c>
      <c r="R2020" t="b">
        <v>0</v>
      </c>
      <c r="S2020" t="b">
        <v>1</v>
      </c>
      <c r="T2020" t="b">
        <v>0</v>
      </c>
      <c r="W2020" s="17"/>
      <c r="X2020" s="36"/>
      <c r="Y2020" s="396" t="str">
        <f>IF(LEN('Ch9'!X154)=0,"None",'Ch9'!X154)</f>
        <v>None</v>
      </c>
      <c r="Z2020" s="652"/>
      <c r="AL2020" t="str">
        <f>SUBSTITUTE(SUBSTITUTE(SUBSTITUTE("vpa"&amp;$B2020&amp;$C2020&amp;$D2020&amp;$E2020,".","_"),"(","_"),")","")</f>
        <v>vpa901_10_2</v>
      </c>
      <c r="AM2020">
        <f>M2020</f>
        <v>5</v>
      </c>
      <c r="AP2020" t="str">
        <f>SUBSTITUTE(SUBSTITUTE(SUBSTITUTE("vch"&amp;$B2020&amp;$C2020&amp;$D2020&amp;$E2020,".","_"),"(","_"),")","")</f>
        <v>vch901_10_2</v>
      </c>
      <c r="AQ2020" t="str">
        <f>IF(LEN(W2020)=0,"",W2020)</f>
        <v/>
      </c>
      <c r="AR2020" t="str">
        <f>SUBSTITUTE(SUBSTITUTE(SUBSTITUTE("vnt"&amp;$B2020&amp;$C2020&amp;$D2020&amp;$E2020,".","_"),"(","_"),")","")</f>
        <v>vnt901_10_2</v>
      </c>
      <c r="AS2020" t="str">
        <f>IF(LEN(X2020)=0,"",X2020)</f>
        <v/>
      </c>
    </row>
    <row r="2021" spans="1:45" x14ac:dyDescent="0.35">
      <c r="A2021" s="366">
        <v>9</v>
      </c>
      <c r="B2021" s="750" t="s">
        <v>3969</v>
      </c>
      <c r="C2021" s="731" t="s">
        <v>260</v>
      </c>
      <c r="D2021" s="731"/>
      <c r="E2021" s="731"/>
      <c r="F2021" s="731"/>
      <c r="G2021" s="366" t="str">
        <f t="shared" si="116"/>
        <v/>
      </c>
      <c r="H2021" s="366" t="s">
        <v>3972</v>
      </c>
      <c r="I2021" s="93"/>
      <c r="J2021" s="19" t="s">
        <v>260</v>
      </c>
      <c r="K2021" s="4"/>
      <c r="L2021" s="814" t="s">
        <v>3215</v>
      </c>
      <c r="M2021" s="818">
        <v>5</v>
      </c>
      <c r="N2021" s="41"/>
      <c r="O2021" s="41"/>
      <c r="P2021" t="b">
        <v>0</v>
      </c>
      <c r="Q2021" t="b">
        <v>1</v>
      </c>
      <c r="R2021" t="b">
        <v>0</v>
      </c>
      <c r="S2021" t="b">
        <v>1</v>
      </c>
      <c r="T2021" t="b">
        <v>0</v>
      </c>
      <c r="W2021" s="17"/>
      <c r="X2021" s="817"/>
      <c r="Y2021" s="1100" t="str">
        <f>IF(LEN('Ch9'!X155)=0,"None",'Ch9'!X155)</f>
        <v>None</v>
      </c>
      <c r="Z2021" s="1102"/>
      <c r="AL2021" t="str">
        <f>SUBSTITUTE(SUBSTITUTE(SUBSTITUTE("vpa"&amp;$B2021&amp;$C2021&amp;$D2021&amp;$E2021,".","_"),"(","_"),")","")</f>
        <v>vpa901_10_3</v>
      </c>
      <c r="AM2021">
        <f>M2021</f>
        <v>5</v>
      </c>
      <c r="AP2021" t="str">
        <f>SUBSTITUTE(SUBSTITUTE(SUBSTITUTE("vch"&amp;$B2021&amp;$C2021&amp;$D2021&amp;$E2021,".","_"),"(","_"),")","")</f>
        <v>vch901_10_3</v>
      </c>
      <c r="AQ2021" t="str">
        <f>IF(LEN(W2021)=0,"",W2021)</f>
        <v/>
      </c>
      <c r="AR2021" t="str">
        <f>SUBSTITUTE(SUBSTITUTE(SUBSTITUTE("vnt"&amp;$B2021&amp;$C2021&amp;$D2021&amp;$E2021,".","_"),"(","_"),")","")</f>
        <v>vnt901_10_3</v>
      </c>
      <c r="AS2021" t="str">
        <f>IF(LEN(X2021)=0,"",X2021)</f>
        <v/>
      </c>
    </row>
    <row r="2022" spans="1:45" x14ac:dyDescent="0.35">
      <c r="A2022" s="366">
        <v>9</v>
      </c>
      <c r="B2022" s="750" t="s">
        <v>3969</v>
      </c>
      <c r="C2022" s="731" t="s">
        <v>260</v>
      </c>
      <c r="D2022" s="731"/>
      <c r="E2022" s="731"/>
      <c r="F2022" s="731"/>
      <c r="G2022" s="366" t="str">
        <f t="shared" si="116"/>
        <v/>
      </c>
      <c r="H2022" s="366" t="s">
        <v>3972</v>
      </c>
      <c r="I2022" s="93"/>
      <c r="J2022" s="4"/>
      <c r="K2022" s="4"/>
      <c r="L2022" s="814"/>
      <c r="M2022" s="818"/>
      <c r="N2022" s="41"/>
      <c r="O2022" s="41"/>
      <c r="X2022" s="817"/>
      <c r="Y2022" s="1100"/>
      <c r="Z2022" s="1102"/>
    </row>
    <row r="2023" spans="1:45" x14ac:dyDescent="0.35">
      <c r="A2023" s="366">
        <v>9</v>
      </c>
      <c r="B2023" s="750" t="s">
        <v>3969</v>
      </c>
      <c r="C2023" s="731" t="s">
        <v>260</v>
      </c>
      <c r="D2023" s="731"/>
      <c r="E2023" s="731"/>
      <c r="F2023" s="731"/>
      <c r="G2023" s="366" t="str">
        <f t="shared" si="116"/>
        <v/>
      </c>
      <c r="H2023" s="366" t="s">
        <v>3972</v>
      </c>
      <c r="I2023" s="93"/>
      <c r="J2023" s="4"/>
      <c r="K2023" s="4"/>
      <c r="L2023" s="814"/>
      <c r="M2023" s="818"/>
      <c r="N2023" s="41"/>
      <c r="O2023" s="41"/>
      <c r="X2023" s="817"/>
      <c r="Y2023" s="1100"/>
      <c r="Z2023" s="1102"/>
    </row>
    <row r="2024" spans="1:45" ht="15" thickBot="1" x14ac:dyDescent="0.4">
      <c r="A2024" s="366">
        <v>9</v>
      </c>
      <c r="B2024" s="750" t="s">
        <v>3969</v>
      </c>
      <c r="C2024" s="731" t="s">
        <v>260</v>
      </c>
      <c r="D2024" s="731"/>
      <c r="E2024" s="731"/>
      <c r="F2024" s="731"/>
      <c r="G2024" s="366" t="str">
        <f t="shared" si="116"/>
        <v/>
      </c>
      <c r="H2024" s="366" t="s">
        <v>3972</v>
      </c>
      <c r="I2024" s="294"/>
      <c r="J2024" s="160"/>
      <c r="K2024" s="160"/>
      <c r="L2024" s="295" t="s">
        <v>3759</v>
      </c>
      <c r="M2024" s="270"/>
      <c r="N2024" s="72"/>
      <c r="O2024" s="72"/>
      <c r="P2024" s="55"/>
      <c r="Q2024" s="55"/>
      <c r="R2024" s="55"/>
      <c r="S2024" s="55"/>
      <c r="T2024" s="55"/>
      <c r="U2024" s="55"/>
      <c r="V2024" s="55"/>
      <c r="W2024" s="55"/>
      <c r="X2024" s="829"/>
      <c r="Y2024" s="1101"/>
      <c r="Z2024" s="1104"/>
    </row>
    <row r="2025" spans="1:45" ht="15" thickTop="1" x14ac:dyDescent="0.35">
      <c r="A2025" s="366">
        <v>9</v>
      </c>
      <c r="B2025" s="738">
        <v>901.11</v>
      </c>
      <c r="C2025" s="731"/>
      <c r="D2025" s="731"/>
      <c r="E2025" s="731"/>
      <c r="F2025" s="731"/>
      <c r="G2025" s="366" t="str">
        <f>IF(N2025&gt;0,"P","")</f>
        <v/>
      </c>
      <c r="H2025" s="366" t="s">
        <v>3970</v>
      </c>
      <c r="I2025" s="106">
        <v>901.11</v>
      </c>
      <c r="J2025" s="107"/>
      <c r="K2025" s="107"/>
      <c r="L2025" s="837" t="s">
        <v>5593</v>
      </c>
      <c r="M2025" s="830">
        <v>4</v>
      </c>
      <c r="N2025" s="959">
        <f>'Ch9'!O159</f>
        <v>0</v>
      </c>
      <c r="O2025" s="959">
        <f>M2025*S2025*W2025</f>
        <v>0</v>
      </c>
      <c r="P2025" t="b">
        <v>1</v>
      </c>
      <c r="Q2025" t="b">
        <v>1</v>
      </c>
      <c r="R2025" s="59" t="b">
        <v>0</v>
      </c>
      <c r="S2025" s="59" t="b">
        <v>1</v>
      </c>
      <c r="T2025" s="59" t="b">
        <v>0</v>
      </c>
      <c r="U2025" s="59"/>
      <c r="V2025" s="59"/>
      <c r="W2025" s="17"/>
      <c r="X2025" s="840"/>
      <c r="Y2025" s="1117" t="str">
        <f>IF(LEN('Ch9'!X159)=0,"None",'Ch9'!X159)</f>
        <v>None</v>
      </c>
      <c r="Z2025" s="1103"/>
      <c r="AL2025" t="str">
        <f>SUBSTITUTE(SUBSTITUTE(SUBSTITUTE("vpa"&amp;$B2025&amp;$C2025&amp;$D2025&amp;$E2025,".","_"),"(","_"),")","")</f>
        <v>vpa901_11</v>
      </c>
      <c r="AM2025">
        <f>M2025</f>
        <v>4</v>
      </c>
      <c r="AN2025" t="str">
        <f>SUBSTITUTE(SUBSTITUTE(SUBSTITUTE("vpc"&amp;$B2025&amp;$C2025&amp;$D2025&amp;$E2025,".","_"),"(","_"),")","")</f>
        <v>vpc901_11</v>
      </c>
      <c r="AO2025">
        <f>O2025</f>
        <v>0</v>
      </c>
      <c r="AP2025" t="str">
        <f>SUBSTITUTE(SUBSTITUTE(SUBSTITUTE("vch"&amp;$B2025&amp;$C2025&amp;$D2025&amp;$E2025,".","_"),"(","_"),")","")</f>
        <v>vch901_11</v>
      </c>
      <c r="AQ2025" t="str">
        <f>IF(LEN(W2025)=0,"",W2025)</f>
        <v/>
      </c>
      <c r="AR2025" t="str">
        <f>SUBSTITUTE(SUBSTITUTE(SUBSTITUTE("vnt"&amp;$B2025&amp;$C2025&amp;$D2025&amp;$E2025,".","_"),"(","_"),")","")</f>
        <v>vnt901_11</v>
      </c>
      <c r="AS2025" t="str">
        <f>IF(LEN(X2025)=0,"",X2025)</f>
        <v/>
      </c>
    </row>
    <row r="2026" spans="1:45" x14ac:dyDescent="0.35">
      <c r="A2026" s="366">
        <v>9</v>
      </c>
      <c r="B2026" s="738">
        <v>901.11</v>
      </c>
      <c r="C2026" s="731"/>
      <c r="D2026" s="731"/>
      <c r="E2026" s="731"/>
      <c r="F2026" s="731"/>
      <c r="G2026" s="366" t="str">
        <f>G2025</f>
        <v/>
      </c>
      <c r="H2026" s="366" t="s">
        <v>3970</v>
      </c>
      <c r="I2026" s="93"/>
      <c r="J2026" s="4"/>
      <c r="K2026" s="4"/>
      <c r="L2026" s="838"/>
      <c r="M2026" s="818"/>
      <c r="N2026" s="834"/>
      <c r="O2026" s="834"/>
      <c r="X2026" s="817"/>
      <c r="Y2026" s="1100"/>
      <c r="Z2026" s="1102"/>
    </row>
    <row r="2027" spans="1:45" x14ac:dyDescent="0.35">
      <c r="A2027" s="366">
        <v>9</v>
      </c>
      <c r="B2027" s="738">
        <v>901.11</v>
      </c>
      <c r="C2027" s="731"/>
      <c r="D2027" s="731"/>
      <c r="E2027" s="731"/>
      <c r="F2027" s="731"/>
      <c r="G2027" s="366" t="str">
        <f>G2026</f>
        <v/>
      </c>
      <c r="H2027" s="366" t="s">
        <v>3970</v>
      </c>
      <c r="I2027" s="93"/>
      <c r="J2027" s="4"/>
      <c r="K2027" s="4"/>
      <c r="L2027" s="838"/>
      <c r="M2027" s="818"/>
      <c r="N2027" s="834"/>
      <c r="O2027" s="834"/>
      <c r="X2027" s="817"/>
      <c r="Y2027" s="1100"/>
      <c r="Z2027" s="1102"/>
    </row>
    <row r="2028" spans="1:45" x14ac:dyDescent="0.35">
      <c r="A2028" s="366">
        <v>9</v>
      </c>
      <c r="B2028" s="738">
        <v>901.11</v>
      </c>
      <c r="C2028" s="731"/>
      <c r="D2028" s="731"/>
      <c r="E2028" s="731"/>
      <c r="F2028" s="731"/>
      <c r="G2028" s="366" t="str">
        <f>G2027</f>
        <v/>
      </c>
      <c r="H2028" s="366" t="s">
        <v>3970</v>
      </c>
      <c r="I2028" s="93"/>
      <c r="J2028" s="4"/>
      <c r="K2028" s="4"/>
      <c r="L2028" s="838"/>
      <c r="M2028" s="818"/>
      <c r="N2028" s="834"/>
      <c r="O2028" s="834"/>
      <c r="X2028" s="817"/>
      <c r="Y2028" s="1100"/>
      <c r="Z2028" s="1102"/>
    </row>
    <row r="2029" spans="1:45" ht="15" thickBot="1" x14ac:dyDescent="0.4">
      <c r="A2029" s="366">
        <v>9</v>
      </c>
      <c r="B2029" s="738">
        <v>901.11</v>
      </c>
      <c r="C2029" s="731"/>
      <c r="D2029" s="731"/>
      <c r="E2029" s="731"/>
      <c r="F2029" s="731"/>
      <c r="G2029" s="366" t="str">
        <f>G2028</f>
        <v/>
      </c>
      <c r="H2029" s="366" t="s">
        <v>3970</v>
      </c>
      <c r="I2029" s="294"/>
      <c r="J2029" s="160"/>
      <c r="K2029" s="160"/>
      <c r="L2029" s="849"/>
      <c r="M2029" s="827"/>
      <c r="N2029" s="863"/>
      <c r="O2029" s="863"/>
      <c r="P2029" s="55"/>
      <c r="Q2029" s="55"/>
      <c r="R2029" s="55"/>
      <c r="S2029" s="55"/>
      <c r="T2029" s="55"/>
      <c r="U2029" s="55"/>
      <c r="V2029" s="55"/>
      <c r="W2029" s="55"/>
      <c r="X2029" s="829"/>
      <c r="Y2029" s="1101"/>
      <c r="Z2029" s="1104"/>
    </row>
    <row r="2030" spans="1:45" ht="15" thickTop="1" x14ac:dyDescent="0.35">
      <c r="A2030" s="366">
        <v>9</v>
      </c>
      <c r="B2030" s="738">
        <v>901.12</v>
      </c>
      <c r="C2030" s="731"/>
      <c r="D2030" s="731"/>
      <c r="E2030" s="731"/>
      <c r="F2030" s="731"/>
      <c r="G2030" s="366" t="str">
        <f ca="1">IF(N2030&gt;0,"P","")</f>
        <v/>
      </c>
      <c r="H2030" s="366" t="s">
        <v>3970</v>
      </c>
      <c r="I2030" s="106">
        <v>901.12</v>
      </c>
      <c r="J2030" s="4"/>
      <c r="K2030" s="4"/>
      <c r="L2030" s="967" t="s">
        <v>4487</v>
      </c>
      <c r="M2030" s="964">
        <v>2</v>
      </c>
      <c r="N2030" s="959">
        <f ca="1">'Ch9'!O164</f>
        <v>0</v>
      </c>
      <c r="O2030" s="959">
        <f ca="1">M2030*S2030*W2030</f>
        <v>0</v>
      </c>
      <c r="P2030" t="b">
        <v>0</v>
      </c>
      <c r="Q2030" t="b">
        <v>1</v>
      </c>
      <c r="R2030" t="b">
        <v>0</v>
      </c>
      <c r="S2030" t="b">
        <f ca="1">AY1885=INDEX(INDIRECT("ddSingleOrMulti"),2)</f>
        <v>0</v>
      </c>
      <c r="T2030" t="b">
        <v>0</v>
      </c>
      <c r="W2030" s="17"/>
      <c r="X2030" s="864"/>
      <c r="Y2030" s="1100" t="str">
        <f>IF(LEN('Ch9'!X164)=0,"None",'Ch9'!X164)</f>
        <v>None</v>
      </c>
      <c r="Z2030" s="1102"/>
      <c r="AL2030" t="str">
        <f>SUBSTITUTE(SUBSTITUTE(SUBSTITUTE("vpa"&amp;$B2030&amp;$C2030&amp;$D2030&amp;$E2030,".","_"),"(","_"),")","")</f>
        <v>vpa901_12</v>
      </c>
      <c r="AM2030">
        <f>M2030</f>
        <v>2</v>
      </c>
      <c r="AN2030" t="str">
        <f>SUBSTITUTE(SUBSTITUTE(SUBSTITUTE("vpc"&amp;$B2030&amp;$C2030&amp;$D2030&amp;$E2030,".","_"),"(","_"),")","")</f>
        <v>vpc901_12</v>
      </c>
      <c r="AO2030">
        <f ca="1">O2030</f>
        <v>0</v>
      </c>
      <c r="AP2030" t="str">
        <f>SUBSTITUTE(SUBSTITUTE(SUBSTITUTE("vch"&amp;$B2030&amp;$C2030&amp;$D2030&amp;$E2030,".","_"),"(","_"),")","")</f>
        <v>vch901_12</v>
      </c>
      <c r="AQ2030" t="str">
        <f>IF(LEN(W2030)=0,"",W2030)</f>
        <v/>
      </c>
      <c r="AR2030" t="str">
        <f>SUBSTITUTE(SUBSTITUTE(SUBSTITUTE("vnt"&amp;$B2030&amp;$C2030&amp;$D2030&amp;$E2030,".","_"),"(","_"),")","")</f>
        <v>vnt901_12</v>
      </c>
      <c r="AS2030" t="str">
        <f>IF(LEN(X2030)=0,"",X2030)</f>
        <v/>
      </c>
    </row>
    <row r="2031" spans="1:45" x14ac:dyDescent="0.35">
      <c r="A2031" s="366">
        <v>9</v>
      </c>
      <c r="B2031" s="738">
        <v>901.12</v>
      </c>
      <c r="C2031" s="731"/>
      <c r="D2031" s="731"/>
      <c r="E2031" s="731"/>
      <c r="F2031" s="731"/>
      <c r="G2031" s="366" t="str">
        <f ca="1">G2030</f>
        <v/>
      </c>
      <c r="H2031" s="366" t="s">
        <v>3970</v>
      </c>
      <c r="I2031" s="93"/>
      <c r="J2031" s="4"/>
      <c r="K2031" s="4"/>
      <c r="L2031" s="967"/>
      <c r="M2031" s="965"/>
      <c r="N2031" s="834"/>
      <c r="O2031" s="834"/>
      <c r="X2031" s="851"/>
      <c r="Y2031" s="1100"/>
      <c r="Z2031" s="1102"/>
    </row>
    <row r="2032" spans="1:45" x14ac:dyDescent="0.35">
      <c r="A2032" s="366">
        <v>9</v>
      </c>
      <c r="B2032" s="738">
        <v>901.12</v>
      </c>
      <c r="C2032" s="731"/>
      <c r="D2032" s="731"/>
      <c r="E2032" s="731"/>
      <c r="F2032" s="731"/>
      <c r="G2032" s="366" t="str">
        <f ca="1">G2031</f>
        <v/>
      </c>
      <c r="H2032" s="366" t="s">
        <v>3970</v>
      </c>
      <c r="I2032" s="93"/>
      <c r="J2032" s="4"/>
      <c r="K2032" s="4"/>
      <c r="L2032" s="967"/>
      <c r="M2032" s="965"/>
      <c r="N2032" s="834"/>
      <c r="O2032" s="834"/>
      <c r="X2032" s="851"/>
      <c r="Y2032" s="1100"/>
      <c r="Z2032" s="1102"/>
    </row>
    <row r="2033" spans="1:45" ht="15" thickBot="1" x14ac:dyDescent="0.4">
      <c r="A2033" s="366">
        <v>9</v>
      </c>
      <c r="B2033" s="738">
        <v>901.12</v>
      </c>
      <c r="C2033" s="731"/>
      <c r="D2033" s="731"/>
      <c r="E2033" s="731"/>
      <c r="F2033" s="731"/>
      <c r="G2033" s="366" t="str">
        <f ca="1">G2032</f>
        <v/>
      </c>
      <c r="H2033" s="366" t="s">
        <v>3970</v>
      </c>
      <c r="I2033" s="93"/>
      <c r="J2033" s="4"/>
      <c r="K2033" s="4"/>
      <c r="L2033" s="967"/>
      <c r="M2033" s="966"/>
      <c r="N2033" s="863"/>
      <c r="O2033" s="863"/>
      <c r="W2033" s="64"/>
      <c r="X2033" s="852"/>
      <c r="Y2033" s="1101"/>
      <c r="Z2033" s="1104"/>
    </row>
    <row r="2034" spans="1:45" ht="15.75" customHeight="1" thickTop="1" x14ac:dyDescent="0.35">
      <c r="A2034" s="366">
        <v>9</v>
      </c>
      <c r="B2034" s="738">
        <v>901.13</v>
      </c>
      <c r="C2034" s="731"/>
      <c r="D2034" s="731"/>
      <c r="E2034" s="731"/>
      <c r="F2034" s="731"/>
      <c r="G2034" s="366" t="s">
        <v>3973</v>
      </c>
      <c r="H2034" s="366" t="s">
        <v>3972</v>
      </c>
      <c r="I2034" s="106">
        <v>901.13</v>
      </c>
      <c r="J2034" s="107"/>
      <c r="K2034" s="107"/>
      <c r="L2034" s="837" t="s">
        <v>4490</v>
      </c>
      <c r="M2034" s="899" t="str">
        <f>IF(R2034,"Mandatory","N/A")</f>
        <v>Mandatory</v>
      </c>
      <c r="N2034" s="545"/>
      <c r="O2034" s="545"/>
      <c r="P2034" t="b">
        <v>0</v>
      </c>
      <c r="Q2034" t="b">
        <v>1</v>
      </c>
      <c r="R2034" s="59" t="b">
        <f>S2034</f>
        <v>1</v>
      </c>
      <c r="S2034" s="59" t="b">
        <v>1</v>
      </c>
      <c r="T2034" s="59" t="b">
        <f ca="1">AND(W2034="Built to IBC",AY1885=INDEX(INDIRECT("ddSingleOrMulti"),1))</f>
        <v>0</v>
      </c>
      <c r="U2034" s="59" t="str">
        <f>SUBSTITUTE(SUBSTITUTE(SUBSTITUTE("dd"&amp;B2034&amp;C2034&amp;D2034&amp;E2034&amp;F2034,".","_"),"(","_"),")","")</f>
        <v>dd901_13</v>
      </c>
      <c r="V2034" s="59"/>
      <c r="W2034" s="167"/>
      <c r="X2034" s="840"/>
      <c r="Y2034" s="1117" t="str">
        <f>IF(LEN('Ch9'!X168)=0,"None",'Ch9'!X168)</f>
        <v>None</v>
      </c>
      <c r="Z2034" s="1103"/>
      <c r="AC2034" t="b">
        <f>OR(AD2034:AE2034)</f>
        <v>1</v>
      </c>
      <c r="AD2034" t="b">
        <v>0</v>
      </c>
      <c r="AE2034" t="b">
        <f>AND(R2034,OR(LEN(W2034)=0,W2034="Not Met"))</f>
        <v>1</v>
      </c>
      <c r="AL2034" t="str">
        <f>SUBSTITUTE(SUBSTITUTE(SUBSTITUTE("vpa"&amp;$B2034&amp;$C2034&amp;$D2034&amp;$E2034,".","_"),"(","_"),")","")</f>
        <v>vpa901_13</v>
      </c>
      <c r="AM2034" t="str">
        <f>M2034</f>
        <v>Mandatory</v>
      </c>
      <c r="AP2034" t="str">
        <f>SUBSTITUTE(SUBSTITUTE(SUBSTITUTE("vch"&amp;$B2034&amp;$C2034&amp;$D2034&amp;$E2034,".","_"),"(","_"),")","")</f>
        <v>vch901_13</v>
      </c>
      <c r="AQ2034" t="str">
        <f>IF(LEN(W2034)=0,"",W2034)</f>
        <v/>
      </c>
      <c r="AR2034" t="str">
        <f>SUBSTITUTE(SUBSTITUTE(SUBSTITUTE("vnt"&amp;$B2034&amp;$C2034&amp;$D2034&amp;$E2034,".","_"),"(","_"),")","")</f>
        <v>vnt901_13</v>
      </c>
      <c r="AS2034" t="str">
        <f>IF(LEN(X2034)=0,"",X2034)</f>
        <v/>
      </c>
    </row>
    <row r="2035" spans="1:45" ht="15" thickBot="1" x14ac:dyDescent="0.4">
      <c r="A2035" s="366">
        <v>9</v>
      </c>
      <c r="B2035" s="738">
        <v>901.13</v>
      </c>
      <c r="C2035" s="731"/>
      <c r="D2035" s="731"/>
      <c r="E2035" s="731"/>
      <c r="F2035" s="731"/>
      <c r="G2035" s="366" t="s">
        <v>3973</v>
      </c>
      <c r="H2035" s="366" t="s">
        <v>3972</v>
      </c>
      <c r="I2035" s="294"/>
      <c r="J2035" s="160"/>
      <c r="K2035" s="160"/>
      <c r="L2035" s="849"/>
      <c r="M2035" s="886"/>
      <c r="N2035" s="72"/>
      <c r="O2035" s="72"/>
      <c r="P2035" s="55"/>
      <c r="Q2035" s="55"/>
      <c r="R2035" s="55"/>
      <c r="S2035" s="55"/>
      <c r="T2035" s="55"/>
      <c r="U2035" s="55"/>
      <c r="V2035" s="55"/>
      <c r="W2035" s="55"/>
      <c r="X2035" s="829"/>
      <c r="Y2035" s="1101"/>
      <c r="Z2035" s="1104"/>
    </row>
    <row r="2036" spans="1:45" ht="15.75" customHeight="1" thickTop="1" x14ac:dyDescent="0.35">
      <c r="A2036" s="366">
        <v>9</v>
      </c>
      <c r="B2036" s="738">
        <v>901.14</v>
      </c>
      <c r="C2036" s="731"/>
      <c r="D2036" s="731"/>
      <c r="E2036" s="731"/>
      <c r="F2036" s="731"/>
      <c r="G2036" s="366" t="str">
        <f ca="1">IF(N2036&gt;0,"P","")</f>
        <v/>
      </c>
      <c r="H2036" s="366" t="s">
        <v>3972</v>
      </c>
      <c r="I2036" s="30">
        <v>901.14</v>
      </c>
      <c r="J2036" s="107"/>
      <c r="K2036" s="107"/>
      <c r="L2036" s="837" t="s">
        <v>4489</v>
      </c>
      <c r="M2036" s="267"/>
      <c r="N2036" s="959">
        <f ca="1">'Ch9'!O170</f>
        <v>0</v>
      </c>
      <c r="O2036" s="959">
        <f ca="1">MIN(1,M2038*S2038*W2038+M2039*S2039*W2039)</f>
        <v>0</v>
      </c>
      <c r="P2036" s="59"/>
      <c r="Q2036" s="59"/>
      <c r="R2036" s="59"/>
      <c r="S2036" s="59"/>
      <c r="T2036" s="59"/>
      <c r="U2036" s="59"/>
      <c r="V2036" s="59"/>
      <c r="W2036" s="59"/>
      <c r="X2036" s="840"/>
      <c r="Y2036" s="1117" t="str">
        <f>IF(LEN('Ch9'!X170)=0,"None",'Ch9'!X170)</f>
        <v>None</v>
      </c>
      <c r="Z2036" s="1103"/>
      <c r="AN2036" t="str">
        <f>SUBSTITUTE(SUBSTITUTE(SUBSTITUTE("vpc"&amp;$B2036&amp;$C2036&amp;$D2036&amp;$E2036,".","_"),"(","_"),")","")</f>
        <v>vpc901_14</v>
      </c>
      <c r="AO2036">
        <f ca="1">O2036</f>
        <v>0</v>
      </c>
      <c r="AR2036" t="str">
        <f>SUBSTITUTE(SUBSTITUTE(SUBSTITUTE("vnt"&amp;$B2036&amp;$C2036&amp;$D2036&amp;$E2036,".","_"),"(","_"),")","")</f>
        <v>vnt901_14</v>
      </c>
      <c r="AS2036" t="str">
        <f>IF(LEN(X2036)=0,"",X2036)</f>
        <v/>
      </c>
    </row>
    <row r="2037" spans="1:45" x14ac:dyDescent="0.35">
      <c r="A2037" s="366">
        <v>9</v>
      </c>
      <c r="B2037" s="738">
        <v>901.14</v>
      </c>
      <c r="C2037" s="731"/>
      <c r="D2037" s="731"/>
      <c r="E2037" s="731"/>
      <c r="F2037" s="731"/>
      <c r="G2037" s="366" t="str">
        <f ca="1">G2036</f>
        <v/>
      </c>
      <c r="H2037" s="366" t="s">
        <v>3972</v>
      </c>
      <c r="I2037" s="93"/>
      <c r="J2037" s="4"/>
      <c r="K2037" s="4"/>
      <c r="L2037" s="838"/>
      <c r="M2037" s="40"/>
      <c r="N2037" s="834"/>
      <c r="O2037" s="834"/>
      <c r="X2037" s="817"/>
      <c r="Y2037" s="1100"/>
      <c r="Z2037" s="1102"/>
    </row>
    <row r="2038" spans="1:45" ht="15" customHeight="1" x14ac:dyDescent="0.35">
      <c r="A2038" s="366">
        <v>9</v>
      </c>
      <c r="B2038" s="738">
        <v>901.14</v>
      </c>
      <c r="C2038" s="731" t="s">
        <v>256</v>
      </c>
      <c r="D2038" s="731"/>
      <c r="E2038" s="731"/>
      <c r="F2038" s="746"/>
      <c r="G2038" s="366" t="str">
        <f ca="1">G2037</f>
        <v/>
      </c>
      <c r="H2038" s="366" t="s">
        <v>3972</v>
      </c>
      <c r="I2038" s="93"/>
      <c r="J2038" s="129" t="s">
        <v>256</v>
      </c>
      <c r="K2038" s="133"/>
      <c r="L2038" s="228" t="s">
        <v>3217</v>
      </c>
      <c r="M2038" s="268">
        <v>1</v>
      </c>
      <c r="N2038" s="41"/>
      <c r="O2038" s="41"/>
      <c r="P2038" t="b">
        <v>0</v>
      </c>
      <c r="Q2038" t="b">
        <v>1</v>
      </c>
      <c r="R2038" t="b">
        <v>0</v>
      </c>
      <c r="S2038" t="b">
        <f ca="1">AY1885=INDEX(INDIRECT("ddSingleOrMulti"),2)</f>
        <v>0</v>
      </c>
      <c r="T2038" t="b">
        <f ca="1">AND(NOT(S2038),W2038=TRUE)</f>
        <v>0</v>
      </c>
      <c r="W2038" s="17"/>
      <c r="X2038" s="817"/>
      <c r="Y2038" s="1100"/>
      <c r="Z2038" s="1102"/>
      <c r="AA2038" s="350" t="str">
        <f>IF(LEN('Photo Review'!I2037)&gt;0,'Photo Review'!I2037,"")</f>
        <v/>
      </c>
      <c r="AC2038" t="b">
        <f ca="1">OR(AD2038:AE2038)</f>
        <v>0</v>
      </c>
      <c r="AD2038" t="b">
        <f ca="1">T2038</f>
        <v>0</v>
      </c>
      <c r="AL2038" t="str">
        <f>SUBSTITUTE(SUBSTITUTE(SUBSTITUTE("vpa"&amp;$B2038&amp;$C2038&amp;$D2038&amp;$E2038,".","_"),"(","_"),")","")</f>
        <v>vpa901_14_1</v>
      </c>
      <c r="AM2038">
        <f>M2038</f>
        <v>1</v>
      </c>
      <c r="AP2038" t="str">
        <f>SUBSTITUTE(SUBSTITUTE(SUBSTITUTE("vch"&amp;$B2038&amp;$C2038&amp;$D2038&amp;$E2038,".","_"),"(","_"),")","")</f>
        <v>vch901_14_1</v>
      </c>
      <c r="AQ2038" t="str">
        <f>IF(LEN(W2038)=0,"",W2038)</f>
        <v/>
      </c>
    </row>
    <row r="2039" spans="1:45" ht="15" customHeight="1" thickBot="1" x14ac:dyDescent="0.4">
      <c r="A2039" s="366">
        <v>9</v>
      </c>
      <c r="B2039" s="738">
        <v>901.14</v>
      </c>
      <c r="C2039" s="731" t="s">
        <v>258</v>
      </c>
      <c r="D2039" s="731"/>
      <c r="E2039" s="731"/>
      <c r="F2039" s="746"/>
      <c r="G2039" s="366" t="str">
        <f ca="1">G2038</f>
        <v/>
      </c>
      <c r="H2039" s="366" t="s">
        <v>3972</v>
      </c>
      <c r="I2039" s="294"/>
      <c r="J2039" s="115" t="s">
        <v>258</v>
      </c>
      <c r="K2039" s="160"/>
      <c r="L2039" s="229" t="s">
        <v>3218</v>
      </c>
      <c r="M2039" s="270">
        <v>1</v>
      </c>
      <c r="N2039" s="72"/>
      <c r="O2039" s="72"/>
      <c r="P2039" t="b">
        <v>0</v>
      </c>
      <c r="Q2039" t="b">
        <v>1</v>
      </c>
      <c r="R2039" s="55" t="b">
        <v>0</v>
      </c>
      <c r="S2039" t="b">
        <f ca="1">AY1885=INDEX(INDIRECT("ddSingleOrMulti"),2)</f>
        <v>0</v>
      </c>
      <c r="T2039" t="b">
        <f ca="1">AND(NOT(S2039),W2039=TRUE)</f>
        <v>0</v>
      </c>
      <c r="U2039" s="55"/>
      <c r="V2039" s="55"/>
      <c r="W2039" s="56"/>
      <c r="X2039" s="829"/>
      <c r="Y2039" s="1101"/>
      <c r="Z2039" s="1104"/>
      <c r="AC2039" t="b">
        <f ca="1">OR(AD2039:AE2039)</f>
        <v>0</v>
      </c>
      <c r="AD2039" t="b">
        <f ca="1">T2039</f>
        <v>0</v>
      </c>
      <c r="AL2039" t="str">
        <f>SUBSTITUTE(SUBSTITUTE(SUBSTITUTE("vpa"&amp;$B2039&amp;$C2039&amp;$D2039&amp;$E2039,".","_"),"(","_"),")","")</f>
        <v>vpa901_14_2</v>
      </c>
      <c r="AM2039">
        <f>M2039</f>
        <v>1</v>
      </c>
      <c r="AP2039" t="str">
        <f>SUBSTITUTE(SUBSTITUTE(SUBSTITUTE("vch"&amp;$B2039&amp;$C2039&amp;$D2039&amp;$E2039,".","_"),"(","_"),")","")</f>
        <v>vch901_14_2</v>
      </c>
      <c r="AQ2039" t="str">
        <f>IF(LEN(W2039)=0,"",W2039)</f>
        <v/>
      </c>
    </row>
    <row r="2040" spans="1:45" ht="15.75" customHeight="1" thickTop="1" x14ac:dyDescent="0.35">
      <c r="A2040" s="366">
        <v>9</v>
      </c>
      <c r="B2040" s="738" t="s">
        <v>4491</v>
      </c>
      <c r="C2040" s="731"/>
      <c r="D2040" s="731"/>
      <c r="E2040" s="731"/>
      <c r="F2040" s="746"/>
      <c r="G2040" s="727" t="str">
        <f ca="1">IF(COUNTIF(G2042:G2044,"P")&gt;0,"P","")</f>
        <v/>
      </c>
      <c r="H2040" s="366" t="s">
        <v>3972</v>
      </c>
      <c r="I2040" s="30">
        <v>901.15</v>
      </c>
      <c r="J2040" s="4"/>
      <c r="K2040" s="4"/>
      <c r="L2040" s="838" t="s">
        <v>4488</v>
      </c>
      <c r="M2040" s="40"/>
      <c r="N2040" s="41"/>
      <c r="O2040" s="41"/>
    </row>
    <row r="2041" spans="1:45" x14ac:dyDescent="0.35">
      <c r="A2041" s="366">
        <v>9</v>
      </c>
      <c r="B2041" s="738" t="s">
        <v>4491</v>
      </c>
      <c r="C2041" s="731"/>
      <c r="D2041" s="731"/>
      <c r="E2041" s="731"/>
      <c r="F2041" s="746"/>
      <c r="G2041" s="366" t="str">
        <f ca="1">G2040</f>
        <v/>
      </c>
      <c r="H2041" s="366" t="s">
        <v>3972</v>
      </c>
      <c r="I2041" s="93"/>
      <c r="J2041" s="4"/>
      <c r="K2041" s="4"/>
      <c r="L2041" s="838"/>
      <c r="M2041" s="40"/>
      <c r="N2041" s="41"/>
      <c r="O2041" s="41"/>
    </row>
    <row r="2042" spans="1:45" x14ac:dyDescent="0.35">
      <c r="A2042" s="366">
        <v>9</v>
      </c>
      <c r="B2042" s="738" t="s">
        <v>4491</v>
      </c>
      <c r="C2042" s="731" t="s">
        <v>256</v>
      </c>
      <c r="D2042" s="731"/>
      <c r="E2042" s="731"/>
      <c r="F2042" s="746"/>
      <c r="G2042" s="366" t="str">
        <f ca="1">IF(N2042&gt;0,"P","")</f>
        <v/>
      </c>
      <c r="H2042" s="366" t="s">
        <v>3972</v>
      </c>
      <c r="I2042" s="93"/>
      <c r="J2042" s="19" t="s">
        <v>256</v>
      </c>
      <c r="K2042" s="4"/>
      <c r="L2042" s="814" t="s">
        <v>3219</v>
      </c>
      <c r="M2042" s="818">
        <v>1</v>
      </c>
      <c r="N2042" s="834">
        <f ca="1">'Ch9'!O176</f>
        <v>0</v>
      </c>
      <c r="O2042" s="834">
        <f ca="1">M2042*S2042*W2042</f>
        <v>0</v>
      </c>
      <c r="P2042" t="b">
        <v>0</v>
      </c>
      <c r="Q2042" t="b">
        <v>1</v>
      </c>
      <c r="R2042" t="b">
        <v>0</v>
      </c>
      <c r="S2042" t="b">
        <f ca="1">AY1885=INDEX(INDIRECT("ddSingleOrMulti"),2)</f>
        <v>0</v>
      </c>
      <c r="T2042" t="b">
        <f ca="1">AND(NOT(S2042),W2042=TRUE)</f>
        <v>0</v>
      </c>
      <c r="W2042" s="17"/>
      <c r="X2042" s="817"/>
      <c r="Y2042" s="1100" t="str">
        <f>IF(LEN('Ch9'!X176)=0,"None",'Ch9'!X176)</f>
        <v>None</v>
      </c>
      <c r="Z2042" s="1102"/>
      <c r="AC2042" t="b">
        <f ca="1">OR(AD2042:AE2042)</f>
        <v>0</v>
      </c>
      <c r="AD2042" t="b">
        <f ca="1">T2042</f>
        <v>0</v>
      </c>
      <c r="AL2042" t="str">
        <f>SUBSTITUTE(SUBSTITUTE(SUBSTITUTE("vpa"&amp;$B2042&amp;$C2042&amp;$D2042&amp;$E2042,".","_"),"(","_"),")","")</f>
        <v>vpa901_15_1</v>
      </c>
      <c r="AM2042">
        <f>M2042</f>
        <v>1</v>
      </c>
      <c r="AN2042" t="str">
        <f>SUBSTITUTE(SUBSTITUTE(SUBSTITUTE("vpc"&amp;$B2042&amp;$C2042&amp;$D2042&amp;$E2042,".","_"),"(","_"),")","")</f>
        <v>vpc901_15_1</v>
      </c>
      <c r="AO2042">
        <f ca="1">O2042</f>
        <v>0</v>
      </c>
      <c r="AP2042" t="str">
        <f>SUBSTITUTE(SUBSTITUTE(SUBSTITUTE("vch"&amp;$B2042&amp;$C2042&amp;$D2042&amp;$E2042,".","_"),"(","_"),")","")</f>
        <v>vch901_15_1</v>
      </c>
      <c r="AQ2042" t="str">
        <f>IF(LEN(W2042)=0,"",W2042)</f>
        <v/>
      </c>
      <c r="AR2042" t="str">
        <f>SUBSTITUTE(SUBSTITUTE(SUBSTITUTE("vnt"&amp;$B2042&amp;$C2042&amp;$D2042&amp;$E2042,".","_"),"(","_"),")","")</f>
        <v>vnt901_15_1</v>
      </c>
      <c r="AS2042" t="str">
        <f>IF(LEN(X2042)=0,"",X2042)</f>
        <v/>
      </c>
    </row>
    <row r="2043" spans="1:45" x14ac:dyDescent="0.35">
      <c r="A2043" s="366">
        <v>9</v>
      </c>
      <c r="B2043" s="738" t="s">
        <v>4491</v>
      </c>
      <c r="C2043" s="731" t="s">
        <v>256</v>
      </c>
      <c r="D2043" s="731"/>
      <c r="E2043" s="731"/>
      <c r="F2043" s="746"/>
      <c r="G2043" s="366" t="str">
        <f ca="1">G2042</f>
        <v/>
      </c>
      <c r="H2043" s="366" t="s">
        <v>3972</v>
      </c>
      <c r="I2043" s="93"/>
      <c r="J2043" s="133"/>
      <c r="K2043" s="133"/>
      <c r="L2043" s="815"/>
      <c r="M2043" s="819"/>
      <c r="N2043" s="835"/>
      <c r="O2043" s="835"/>
      <c r="X2043" s="817"/>
      <c r="Y2043" s="1100"/>
      <c r="Z2043" s="1102"/>
    </row>
    <row r="2044" spans="1:45" x14ac:dyDescent="0.35">
      <c r="A2044" s="366">
        <v>9</v>
      </c>
      <c r="B2044" s="738" t="s">
        <v>4491</v>
      </c>
      <c r="C2044" s="731" t="s">
        <v>258</v>
      </c>
      <c r="D2044" s="731"/>
      <c r="E2044" s="731"/>
      <c r="F2044" s="746"/>
      <c r="G2044" s="366" t="str">
        <f ca="1">IF(N2044&gt;0,"P","")</f>
        <v/>
      </c>
      <c r="H2044" s="366" t="s">
        <v>3972</v>
      </c>
      <c r="I2044" s="93"/>
      <c r="J2044" s="19" t="s">
        <v>258</v>
      </c>
      <c r="K2044" s="4"/>
      <c r="L2044" s="814" t="s">
        <v>3220</v>
      </c>
      <c r="M2044" s="818">
        <v>1</v>
      </c>
      <c r="N2044" s="834">
        <f ca="1">'Ch9'!O178</f>
        <v>0</v>
      </c>
      <c r="O2044" s="834">
        <f ca="1">M2044*S2044*W2044</f>
        <v>0</v>
      </c>
      <c r="P2044" t="b">
        <v>0</v>
      </c>
      <c r="Q2044" t="b">
        <v>1</v>
      </c>
      <c r="R2044" t="b">
        <v>0</v>
      </c>
      <c r="S2044" t="b">
        <f ca="1">AY1885=INDEX(INDIRECT("ddSingleOrMulti"),2)</f>
        <v>0</v>
      </c>
      <c r="T2044" t="b">
        <f ca="1">AND(NOT(S2044),W2044=TRUE)</f>
        <v>0</v>
      </c>
      <c r="W2044" s="17"/>
      <c r="X2044" s="817"/>
      <c r="Y2044" s="1100" t="str">
        <f>IF(LEN('Ch9'!X178)=0,"None",'Ch9'!X178)</f>
        <v>None</v>
      </c>
      <c r="Z2044" s="1102"/>
      <c r="AC2044" t="b">
        <f ca="1">OR(AD2044:AE2044)</f>
        <v>0</v>
      </c>
      <c r="AD2044" t="b">
        <f ca="1">T2044</f>
        <v>0</v>
      </c>
      <c r="AL2044" t="str">
        <f>SUBSTITUTE(SUBSTITUTE(SUBSTITUTE("vpa"&amp;$B2044&amp;$C2044&amp;$D2044&amp;$E2044,".","_"),"(","_"),")","")</f>
        <v>vpa901_15_2</v>
      </c>
      <c r="AM2044">
        <f>M2044</f>
        <v>1</v>
      </c>
      <c r="AN2044" t="str">
        <f>SUBSTITUTE(SUBSTITUTE(SUBSTITUTE("vpc"&amp;$B2044&amp;$C2044&amp;$D2044&amp;$E2044,".","_"),"(","_"),")","")</f>
        <v>vpc901_15_2</v>
      </c>
      <c r="AO2044">
        <f ca="1">O2044</f>
        <v>0</v>
      </c>
      <c r="AP2044" t="str">
        <f>SUBSTITUTE(SUBSTITUTE(SUBSTITUTE("vch"&amp;$B2044&amp;$C2044&amp;$D2044&amp;$E2044,".","_"),"(","_"),")","")</f>
        <v>vch901_15_2</v>
      </c>
      <c r="AQ2044" t="str">
        <f>IF(LEN(W2044)=0,"",W2044)</f>
        <v/>
      </c>
      <c r="AR2044" t="str">
        <f>SUBSTITUTE(SUBSTITUTE(SUBSTITUTE("vnt"&amp;$B2044&amp;$C2044&amp;$D2044&amp;$E2044,".","_"),"(","_"),")","")</f>
        <v>vnt901_15_2</v>
      </c>
      <c r="AS2044" t="str">
        <f>IF(LEN(X2044)=0,"",X2044)</f>
        <v/>
      </c>
    </row>
    <row r="2045" spans="1:45" x14ac:dyDescent="0.35">
      <c r="A2045" s="366">
        <v>9</v>
      </c>
      <c r="B2045" s="738" t="s">
        <v>4491</v>
      </c>
      <c r="C2045" s="731" t="s">
        <v>258</v>
      </c>
      <c r="D2045" s="731"/>
      <c r="E2045" s="731"/>
      <c r="F2045" s="746"/>
      <c r="G2045" s="366" t="str">
        <f ca="1">G2044</f>
        <v/>
      </c>
      <c r="H2045" s="366" t="s">
        <v>3972</v>
      </c>
      <c r="I2045" s="93"/>
      <c r="J2045" s="4"/>
      <c r="K2045" s="4"/>
      <c r="L2045" s="814"/>
      <c r="M2045" s="818"/>
      <c r="N2045" s="834"/>
      <c r="O2045" s="834"/>
      <c r="X2045" s="817"/>
      <c r="Y2045" s="1100"/>
      <c r="Z2045" s="1102"/>
    </row>
    <row r="2046" spans="1:45" ht="18.5" x14ac:dyDescent="0.45">
      <c r="A2046" s="366">
        <v>9</v>
      </c>
      <c r="B2046" s="738">
        <v>902</v>
      </c>
      <c r="C2046" s="731"/>
      <c r="D2046" s="731"/>
      <c r="E2046" s="731"/>
      <c r="F2046" s="746"/>
      <c r="G2046" s="366" t="s">
        <v>3973</v>
      </c>
      <c r="H2046" s="366" t="s">
        <v>3970</v>
      </c>
      <c r="I2046" s="10" t="s">
        <v>3221</v>
      </c>
      <c r="J2046" s="15"/>
      <c r="K2046" s="15"/>
      <c r="L2046" s="44"/>
      <c r="M2046" s="307"/>
      <c r="N2046" s="544"/>
      <c r="O2046" s="544"/>
      <c r="P2046" s="15"/>
      <c r="Q2046" s="15"/>
      <c r="R2046" s="15"/>
      <c r="S2046" s="15"/>
      <c r="T2046" s="15"/>
      <c r="U2046" s="15"/>
      <c r="V2046" s="15"/>
      <c r="W2046" s="15"/>
      <c r="X2046" s="15"/>
      <c r="Y2046" s="15"/>
      <c r="Z2046" s="651"/>
    </row>
    <row r="2047" spans="1:45" ht="15" thickBot="1" x14ac:dyDescent="0.4">
      <c r="A2047" s="366">
        <v>9</v>
      </c>
      <c r="B2047" s="738" t="s">
        <v>4079</v>
      </c>
      <c r="C2047" s="731"/>
      <c r="D2047" s="731"/>
      <c r="E2047" s="731"/>
      <c r="F2047" s="746"/>
      <c r="I2047" s="292">
        <v>902</v>
      </c>
      <c r="J2047" s="160"/>
      <c r="K2047" s="160"/>
      <c r="L2047" s="275" t="s">
        <v>3222</v>
      </c>
      <c r="M2047" s="270"/>
      <c r="N2047" s="72"/>
      <c r="O2047" s="72"/>
      <c r="P2047" s="55"/>
      <c r="Q2047" s="55"/>
      <c r="R2047" s="55"/>
      <c r="S2047" s="55"/>
      <c r="T2047" s="55"/>
      <c r="U2047" s="55"/>
      <c r="V2047" s="55"/>
      <c r="W2047" s="55"/>
      <c r="X2047" s="55"/>
      <c r="Y2047" s="55"/>
      <c r="Z2047" s="653"/>
    </row>
    <row r="2048" spans="1:45" ht="15" thickTop="1" x14ac:dyDescent="0.35">
      <c r="A2048" s="366">
        <v>9</v>
      </c>
      <c r="B2048" s="738">
        <v>902.1</v>
      </c>
      <c r="C2048" s="731"/>
      <c r="D2048" s="731"/>
      <c r="E2048" s="731"/>
      <c r="F2048" s="746"/>
      <c r="G2048" s="366" t="s">
        <v>3973</v>
      </c>
      <c r="H2048" s="366" t="s">
        <v>3972</v>
      </c>
      <c r="I2048" s="30">
        <v>902.1</v>
      </c>
      <c r="J2048" s="4"/>
      <c r="K2048" s="4"/>
      <c r="L2048" s="95" t="s">
        <v>3223</v>
      </c>
      <c r="M2048" s="40"/>
      <c r="N2048" s="41"/>
      <c r="O2048" s="41"/>
    </row>
    <row r="2049" spans="1:45" x14ac:dyDescent="0.35">
      <c r="A2049" s="366">
        <v>9</v>
      </c>
      <c r="B2049" s="738">
        <v>902.1</v>
      </c>
      <c r="C2049" s="731"/>
      <c r="D2049" s="731"/>
      <c r="E2049" s="731"/>
      <c r="F2049" s="746"/>
      <c r="G2049" s="366" t="s">
        <v>3973</v>
      </c>
      <c r="H2049" s="366" t="s">
        <v>3972</v>
      </c>
      <c r="I2049" s="30" t="s">
        <v>3806</v>
      </c>
      <c r="J2049" s="4"/>
      <c r="K2049" s="4"/>
      <c r="L2049" s="95" t="s">
        <v>3807</v>
      </c>
      <c r="M2049" s="40"/>
      <c r="N2049" s="41"/>
      <c r="O2049" s="41"/>
    </row>
    <row r="2050" spans="1:45" x14ac:dyDescent="0.35">
      <c r="A2050" s="366">
        <v>9</v>
      </c>
      <c r="B2050" s="738">
        <v>902.1</v>
      </c>
      <c r="C2050" s="731" t="s">
        <v>256</v>
      </c>
      <c r="D2050" s="731"/>
      <c r="E2050" s="731"/>
      <c r="F2050" s="746"/>
      <c r="G2050" s="366" t="s">
        <v>3973</v>
      </c>
      <c r="H2050" s="366" t="s">
        <v>3972</v>
      </c>
      <c r="I2050" s="93"/>
      <c r="J2050" s="19" t="s">
        <v>256</v>
      </c>
      <c r="K2050" s="4"/>
      <c r="L2050" s="814" t="s">
        <v>3224</v>
      </c>
      <c r="M2050" s="885" t="str">
        <f>IF(R2050,"Mandatory","N/A")</f>
        <v>Mandatory</v>
      </c>
      <c r="N2050" s="41"/>
      <c r="O2050" s="41"/>
      <c r="P2050" t="b">
        <v>0</v>
      </c>
      <c r="Q2050" t="b">
        <v>1</v>
      </c>
      <c r="R2050" t="b">
        <f>S2050</f>
        <v>1</v>
      </c>
      <c r="S2050" t="b">
        <v>1</v>
      </c>
      <c r="T2050" t="b">
        <v>0</v>
      </c>
      <c r="W2050" s="17"/>
      <c r="X2050" s="817"/>
      <c r="Y2050" s="1100" t="str">
        <f>IF(LEN('Ch9'!X184)=0,"None",'Ch9'!X184)</f>
        <v>None</v>
      </c>
      <c r="Z2050" s="1102"/>
      <c r="AC2050" t="b">
        <f>OR(AD2050:AE2050)</f>
        <v>1</v>
      </c>
      <c r="AD2050" t="b">
        <f>T2050</f>
        <v>0</v>
      </c>
      <c r="AE2050" t="b">
        <f>AND(R2050,NOT(W2050))</f>
        <v>1</v>
      </c>
      <c r="AL2050" t="str">
        <f>SUBSTITUTE(SUBSTITUTE(SUBSTITUTE("vpa"&amp;$B2050&amp;$C2050&amp;$D2050&amp;$E2050,".","_"),"(","_"),")","")</f>
        <v>vpa902_1_1</v>
      </c>
      <c r="AM2050" t="str">
        <f>M2050</f>
        <v>Mandatory</v>
      </c>
      <c r="AP2050" t="str">
        <f>SUBSTITUTE(SUBSTITUTE(SUBSTITUTE("vch"&amp;$B2050&amp;$C2050&amp;$D2050&amp;$E2050,".","_"),"(","_"),")","")</f>
        <v>vch902_1_1</v>
      </c>
      <c r="AQ2050" t="str">
        <f>IF(LEN(W2050)=0,"",W2050)</f>
        <v/>
      </c>
      <c r="AR2050" t="str">
        <f>SUBSTITUTE(SUBSTITUTE(SUBSTITUTE("vnt"&amp;$B2050&amp;$C2050&amp;$D2050&amp;$E2050,".","_"),"(","_"),")","")</f>
        <v>vnt902_1_1</v>
      </c>
      <c r="AS2050" t="str">
        <f>IF(LEN(X2050)=0,"",X2050)</f>
        <v/>
      </c>
    </row>
    <row r="2051" spans="1:45" x14ac:dyDescent="0.35">
      <c r="A2051" s="366">
        <v>9</v>
      </c>
      <c r="B2051" s="738">
        <v>902.1</v>
      </c>
      <c r="C2051" s="731" t="s">
        <v>256</v>
      </c>
      <c r="D2051" s="731"/>
      <c r="E2051" s="731"/>
      <c r="F2051" s="746"/>
      <c r="G2051" s="366" t="s">
        <v>3973</v>
      </c>
      <c r="H2051" s="366" t="s">
        <v>3972</v>
      </c>
      <c r="I2051" s="93"/>
      <c r="J2051" s="4"/>
      <c r="K2051" s="4"/>
      <c r="L2051" s="814"/>
      <c r="M2051" s="885"/>
      <c r="N2051" s="41"/>
      <c r="O2051" s="41"/>
      <c r="X2051" s="817"/>
      <c r="Y2051" s="1100"/>
      <c r="Z2051" s="1102"/>
    </row>
    <row r="2052" spans="1:45" x14ac:dyDescent="0.35">
      <c r="A2052" s="366">
        <v>9</v>
      </c>
      <c r="B2052" s="738">
        <v>902.1</v>
      </c>
      <c r="C2052" s="731" t="s">
        <v>256</v>
      </c>
      <c r="D2052" s="731" t="s">
        <v>121</v>
      </c>
      <c r="E2052" s="731"/>
      <c r="F2052" s="746"/>
      <c r="G2052" s="366" t="str">
        <f>IF(N2052&gt;0,"P","")</f>
        <v/>
      </c>
      <c r="H2052" s="732" t="s">
        <v>3972</v>
      </c>
      <c r="I2052" s="93"/>
      <c r="J2052" s="19"/>
      <c r="K2052" s="19" t="s">
        <v>121</v>
      </c>
      <c r="L2052" s="814" t="s">
        <v>3650</v>
      </c>
      <c r="M2052" s="818">
        <v>1</v>
      </c>
      <c r="N2052" s="834">
        <f>'Ch9'!O186</f>
        <v>0</v>
      </c>
      <c r="O2052" s="834">
        <f>M2052*S2052*W2052</f>
        <v>0</v>
      </c>
      <c r="P2052" t="b">
        <v>0</v>
      </c>
      <c r="Q2052" t="b">
        <v>1</v>
      </c>
      <c r="R2052" t="b">
        <v>0</v>
      </c>
      <c r="S2052" t="b">
        <f>W2050=TRUE</f>
        <v>0</v>
      </c>
      <c r="T2052" t="b">
        <f>AND(NOT(S2052),W2052=TRUE)</f>
        <v>0</v>
      </c>
      <c r="W2052" s="17"/>
      <c r="X2052" s="817"/>
      <c r="Y2052" s="1100" t="str">
        <f>IF(LEN('Ch9'!X186)=0,"None",'Ch9'!X186)</f>
        <v>None</v>
      </c>
      <c r="Z2052" s="1102"/>
      <c r="AC2052" t="b">
        <f>OR(AD2052:AE2052)</f>
        <v>0</v>
      </c>
      <c r="AD2052" t="b">
        <f>T2052</f>
        <v>0</v>
      </c>
      <c r="AL2052" t="str">
        <f>SUBSTITUTE(SUBSTITUTE(SUBSTITUTE("vpa"&amp;$B2052&amp;$C2052&amp;$D2052&amp;$E2052,".","_"),"(","_"),")","")</f>
        <v>vpa902_1_1_a</v>
      </c>
      <c r="AM2052">
        <f>M2052</f>
        <v>1</v>
      </c>
      <c r="AN2052" t="str">
        <f>SUBSTITUTE(SUBSTITUTE(SUBSTITUTE("vpc"&amp;$B2052&amp;$C2052&amp;$D2052&amp;$E2052,".","_"),"(","_"),")","")</f>
        <v>vpc902_1_1_a</v>
      </c>
      <c r="AO2052">
        <f>O2052</f>
        <v>0</v>
      </c>
      <c r="AP2052" t="str">
        <f>SUBSTITUTE(SUBSTITUTE(SUBSTITUTE("vch"&amp;$B2052&amp;$C2052&amp;$D2052&amp;$E2052,".","_"),"(","_"),")","")</f>
        <v>vch902_1_1_a</v>
      </c>
      <c r="AQ2052" t="str">
        <f>IF(LEN(W2052)=0,"",W2052)</f>
        <v/>
      </c>
      <c r="AR2052" t="str">
        <f>SUBSTITUTE(SUBSTITUTE(SUBSTITUTE("vnt"&amp;$B2052&amp;$C2052&amp;$D2052&amp;$E2052,".","_"),"(","_"),")","")</f>
        <v>vnt902_1_1_a</v>
      </c>
      <c r="AS2052" t="str">
        <f>IF(LEN(X2052)=0,"",X2052)</f>
        <v/>
      </c>
    </row>
    <row r="2053" spans="1:45" x14ac:dyDescent="0.35">
      <c r="A2053" s="366">
        <v>9</v>
      </c>
      <c r="B2053" s="738">
        <v>902.1</v>
      </c>
      <c r="C2053" s="731" t="s">
        <v>256</v>
      </c>
      <c r="D2053" s="731"/>
      <c r="E2053" s="731"/>
      <c r="F2053" s="746"/>
      <c r="G2053" s="366" t="str">
        <f>G2052</f>
        <v/>
      </c>
      <c r="H2053" s="366" t="s">
        <v>3972</v>
      </c>
      <c r="I2053" s="93"/>
      <c r="J2053" s="129"/>
      <c r="K2053" s="133"/>
      <c r="L2053" s="815"/>
      <c r="M2053" s="819"/>
      <c r="N2053" s="835"/>
      <c r="O2053" s="835"/>
      <c r="X2053" s="817"/>
      <c r="Y2053" s="1100"/>
      <c r="Z2053" s="1102"/>
    </row>
    <row r="2054" spans="1:45" x14ac:dyDescent="0.35">
      <c r="A2054" s="366">
        <v>9</v>
      </c>
      <c r="B2054" s="738">
        <v>902.1</v>
      </c>
      <c r="C2054" s="731" t="s">
        <v>258</v>
      </c>
      <c r="D2054" s="731"/>
      <c r="E2054" s="731"/>
      <c r="F2054" s="746"/>
      <c r="G2054" s="366" t="s">
        <v>3973</v>
      </c>
      <c r="H2054" s="366" t="s">
        <v>3972</v>
      </c>
      <c r="I2054" s="93"/>
      <c r="J2054" s="19" t="s">
        <v>258</v>
      </c>
      <c r="K2054" s="4"/>
      <c r="L2054" s="814" t="s">
        <v>3225</v>
      </c>
      <c r="M2054" s="885" t="str">
        <f>IF(R2054,"Mandatory","N/A")</f>
        <v>Mandatory</v>
      </c>
      <c r="N2054" s="41"/>
      <c r="O2054" s="41"/>
      <c r="P2054" t="b">
        <v>0</v>
      </c>
      <c r="Q2054" t="b">
        <v>1</v>
      </c>
      <c r="R2054" t="b">
        <f>S2054</f>
        <v>1</v>
      </c>
      <c r="S2054" t="b">
        <v>1</v>
      </c>
      <c r="T2054" t="b">
        <v>0</v>
      </c>
      <c r="U2054" t="str">
        <f>SUBSTITUTE(SUBSTITUTE(SUBSTITUTE("dd"&amp;B2054&amp;C2054&amp;D2054&amp;E2054&amp;F2054,".","_"),"(","_"),")","")</f>
        <v>dd902_1_2</v>
      </c>
      <c r="W2054" s="9"/>
      <c r="X2054" s="817"/>
      <c r="Y2054" s="1100" t="str">
        <f>IF(LEN('Ch9'!X188)=0,"None",'Ch9'!X188)</f>
        <v>None</v>
      </c>
      <c r="Z2054" s="1102"/>
      <c r="AC2054" t="b">
        <f>OR(AD2054:AE2054)</f>
        <v>1</v>
      </c>
      <c r="AD2054" t="b">
        <f>T2054</f>
        <v>0</v>
      </c>
      <c r="AE2054" t="b">
        <f>AND(R2054,OR(W2054="Not Met",W2054=""))</f>
        <v>1</v>
      </c>
      <c r="AL2054" t="str">
        <f>SUBSTITUTE(SUBSTITUTE(SUBSTITUTE("vpa"&amp;$B2054&amp;$C2054&amp;$D2054&amp;$E2054,".","_"),"(","_"),")","")</f>
        <v>vpa902_1_2</v>
      </c>
      <c r="AM2054" t="str">
        <f>M2054</f>
        <v>Mandatory</v>
      </c>
      <c r="AP2054" t="str">
        <f>SUBSTITUTE(SUBSTITUTE(SUBSTITUTE("vch"&amp;$B2054&amp;$C2054&amp;$D2054&amp;$E2054,".","_"),"(","_"),")","")</f>
        <v>vch902_1_2</v>
      </c>
      <c r="AQ2054" t="str">
        <f>IF(LEN(W2054)=0,"",W2054)</f>
        <v/>
      </c>
      <c r="AR2054" t="str">
        <f>SUBSTITUTE(SUBSTITUTE(SUBSTITUTE("vnt"&amp;$B2054&amp;$C2054&amp;$D2054&amp;$E2054,".","_"),"(","_"),")","")</f>
        <v>vnt902_1_2</v>
      </c>
      <c r="AS2054" t="str">
        <f>IF(LEN(X2054)=0,"",X2054)</f>
        <v/>
      </c>
    </row>
    <row r="2055" spans="1:45" x14ac:dyDescent="0.35">
      <c r="A2055" s="366">
        <v>9</v>
      </c>
      <c r="B2055" s="738">
        <v>902.1</v>
      </c>
      <c r="C2055" s="731" t="s">
        <v>258</v>
      </c>
      <c r="D2055" s="731"/>
      <c r="E2055" s="731"/>
      <c r="F2055" s="746"/>
      <c r="G2055" s="366" t="s">
        <v>3973</v>
      </c>
      <c r="H2055" s="366" t="s">
        <v>3972</v>
      </c>
      <c r="I2055" s="93"/>
      <c r="J2055" s="129"/>
      <c r="K2055" s="133"/>
      <c r="L2055" s="815"/>
      <c r="M2055" s="890"/>
      <c r="N2055" s="546"/>
      <c r="O2055" s="546"/>
      <c r="X2055" s="817"/>
      <c r="Y2055" s="1100"/>
      <c r="Z2055" s="1102"/>
    </row>
    <row r="2056" spans="1:45" x14ac:dyDescent="0.35">
      <c r="A2056" s="366">
        <v>9</v>
      </c>
      <c r="B2056" s="738">
        <v>902.1</v>
      </c>
      <c r="C2056" s="731" t="s">
        <v>260</v>
      </c>
      <c r="D2056" s="731"/>
      <c r="E2056" s="731"/>
      <c r="F2056" s="746"/>
      <c r="G2056" s="366" t="str">
        <f>IF(N2056&gt;0,"P","")</f>
        <v>P</v>
      </c>
      <c r="H2056" s="366" t="s">
        <v>3972</v>
      </c>
      <c r="I2056" s="93"/>
      <c r="J2056" s="19" t="s">
        <v>260</v>
      </c>
      <c r="K2056" s="4"/>
      <c r="L2056" s="814" t="s">
        <v>3226</v>
      </c>
      <c r="M2056" s="818">
        <v>8</v>
      </c>
      <c r="N2056" s="834">
        <f>'Ch9'!O190</f>
        <v>8</v>
      </c>
      <c r="O2056" s="834">
        <f>M2056*S2056*W2056</f>
        <v>0</v>
      </c>
      <c r="P2056" t="b">
        <v>0</v>
      </c>
      <c r="Q2056" t="b">
        <v>1</v>
      </c>
      <c r="R2056" t="b">
        <v>0</v>
      </c>
      <c r="S2056" t="b">
        <v>1</v>
      </c>
      <c r="T2056" t="b">
        <v>0</v>
      </c>
      <c r="W2056" s="17"/>
      <c r="X2056" s="817"/>
      <c r="Y2056" s="1100" t="str">
        <f>IF(LEN('Ch9'!X190)=0,"None",'Ch9'!X190)</f>
        <v>None</v>
      </c>
      <c r="Z2056" s="1102"/>
      <c r="AL2056" t="str">
        <f>SUBSTITUTE(SUBSTITUTE(SUBSTITUTE("vpa"&amp;$B2056&amp;$C2056&amp;$D2056&amp;$E2056,".","_"),"(","_"),")","")</f>
        <v>vpa902_1_3</v>
      </c>
      <c r="AM2056">
        <f>M2056</f>
        <v>8</v>
      </c>
      <c r="AN2056" t="str">
        <f>SUBSTITUTE(SUBSTITUTE(SUBSTITUTE("vpc"&amp;$B2056&amp;$C2056&amp;$D2056&amp;$E2056,".","_"),"(","_"),")","")</f>
        <v>vpc902_1_3</v>
      </c>
      <c r="AO2056">
        <f>O2056</f>
        <v>0</v>
      </c>
      <c r="AP2056" t="str">
        <f>SUBSTITUTE(SUBSTITUTE(SUBSTITUTE("vch"&amp;$B2056&amp;$C2056&amp;$D2056&amp;$E2056,".","_"),"(","_"),")","")</f>
        <v>vch902_1_3</v>
      </c>
      <c r="AQ2056" t="str">
        <f>IF(LEN(W2056)=0,"",W2056)</f>
        <v/>
      </c>
      <c r="AR2056" t="str">
        <f>SUBSTITUTE(SUBSTITUTE(SUBSTITUTE("vnt"&amp;$B2056&amp;$C2056&amp;$D2056&amp;$E2056,".","_"),"(","_"),")","")</f>
        <v>vnt902_1_3</v>
      </c>
      <c r="AS2056" t="str">
        <f>IF(LEN(X2056)=0,"",X2056)</f>
        <v/>
      </c>
    </row>
    <row r="2057" spans="1:45" x14ac:dyDescent="0.35">
      <c r="A2057" s="366">
        <v>9</v>
      </c>
      <c r="B2057" s="738">
        <v>902.1</v>
      </c>
      <c r="C2057" s="731" t="s">
        <v>260</v>
      </c>
      <c r="D2057" s="731"/>
      <c r="E2057" s="731"/>
      <c r="F2057" s="746"/>
      <c r="G2057" s="366" t="str">
        <f>G2056</f>
        <v>P</v>
      </c>
      <c r="H2057" s="366" t="s">
        <v>3972</v>
      </c>
      <c r="I2057" s="93"/>
      <c r="J2057" s="19"/>
      <c r="K2057" s="4"/>
      <c r="L2057" s="814"/>
      <c r="M2057" s="818"/>
      <c r="N2057" s="834"/>
      <c r="O2057" s="834"/>
      <c r="X2057" s="817"/>
      <c r="Y2057" s="1100"/>
      <c r="Z2057" s="1102"/>
    </row>
    <row r="2058" spans="1:45" x14ac:dyDescent="0.35">
      <c r="A2058" s="366">
        <v>9</v>
      </c>
      <c r="B2058" s="738">
        <v>902.1</v>
      </c>
      <c r="C2058" s="731" t="s">
        <v>260</v>
      </c>
      <c r="D2058" s="731"/>
      <c r="E2058" s="731"/>
      <c r="F2058" s="746"/>
      <c r="G2058" s="366" t="str">
        <f>G2057</f>
        <v>P</v>
      </c>
      <c r="H2058" s="366" t="s">
        <v>3972</v>
      </c>
      <c r="I2058" s="320"/>
      <c r="J2058" s="133"/>
      <c r="K2058" s="133"/>
      <c r="L2058" s="815"/>
      <c r="M2058" s="819"/>
      <c r="N2058" s="835"/>
      <c r="O2058" s="835"/>
      <c r="P2058" s="104"/>
      <c r="Q2058" s="104"/>
      <c r="R2058" s="104"/>
      <c r="S2058" s="104"/>
      <c r="T2058" s="104"/>
      <c r="U2058" s="104"/>
      <c r="V2058" s="104"/>
      <c r="W2058" s="104"/>
      <c r="X2058" s="817"/>
      <c r="Y2058" s="1100"/>
      <c r="Z2058" s="1102"/>
    </row>
    <row r="2059" spans="1:45" x14ac:dyDescent="0.35">
      <c r="A2059" s="366">
        <v>9</v>
      </c>
      <c r="B2059" s="738" t="s">
        <v>3227</v>
      </c>
      <c r="C2059" s="731"/>
      <c r="D2059" s="731" t="s">
        <v>5101</v>
      </c>
      <c r="E2059" s="731"/>
      <c r="F2059" s="731"/>
      <c r="G2059" s="366" t="str">
        <f>IF(N2059&gt;0,"P","")</f>
        <v/>
      </c>
      <c r="H2059" s="366" t="s">
        <v>3972</v>
      </c>
      <c r="I2059" s="117" t="s">
        <v>3227</v>
      </c>
      <c r="J2059" s="118"/>
      <c r="K2059" s="118"/>
      <c r="L2059" s="905" t="s">
        <v>3228</v>
      </c>
      <c r="M2059" s="822" t="s">
        <v>3229</v>
      </c>
      <c r="N2059" s="963">
        <f>'Ch9'!O193</f>
        <v>0</v>
      </c>
      <c r="O2059" s="963">
        <f>MIN(11,IF(W2060+W2062=0,0,5+2*(W2060+W2062-1)))</f>
        <v>0</v>
      </c>
      <c r="P2059" s="120"/>
      <c r="Q2059" s="120"/>
      <c r="R2059" s="120"/>
      <c r="S2059" s="120"/>
      <c r="T2059" s="120"/>
      <c r="U2059" s="120"/>
      <c r="V2059" s="120"/>
      <c r="W2059" s="120" t="s">
        <v>3651</v>
      </c>
      <c r="X2059" s="817"/>
      <c r="Y2059" s="1100" t="str">
        <f>IF(LEN('Ch9'!X193)=0,"None",'Ch9'!X193)</f>
        <v>None</v>
      </c>
      <c r="Z2059" s="1102"/>
      <c r="AL2059" t="str">
        <f>SUBSTITUTE(SUBSTITUTE(SUBSTITUTE("vpa"&amp;$B2059&amp;$C2059&amp;$D2059&amp;$E2059,".","_"),"(","_"),")","")</f>
        <v>vpa902_1_2_</v>
      </c>
      <c r="AM2059" t="str">
        <f>M2059</f>
        <v>11 Max</v>
      </c>
      <c r="AN2059" t="str">
        <f>SUBSTITUTE(SUBSTITUTE(SUBSTITUTE("vpc"&amp;$B2059&amp;$C2059&amp;$D2059&amp;$E2059,".","_"),"(","_"),")","")</f>
        <v>vpc902_1_2_</v>
      </c>
      <c r="AO2059">
        <f>O2059</f>
        <v>0</v>
      </c>
      <c r="AR2059" t="str">
        <f>SUBSTITUTE(SUBSTITUTE(SUBSTITUTE("vnt"&amp;$B2059&amp;$C2059&amp;$D2059&amp;$E2059,".","_"),"(","_"),")","")</f>
        <v>vnt902_1_2_</v>
      </c>
      <c r="AS2059" t="str">
        <f>IF(LEN(X2059)=0,"",X2059)</f>
        <v/>
      </c>
    </row>
    <row r="2060" spans="1:45" x14ac:dyDescent="0.35">
      <c r="A2060" s="366">
        <v>9</v>
      </c>
      <c r="B2060" s="738" t="s">
        <v>3227</v>
      </c>
      <c r="C2060" s="731"/>
      <c r="D2060" s="731" t="s">
        <v>5101</v>
      </c>
      <c r="E2060" s="731"/>
      <c r="F2060" s="731"/>
      <c r="G2060" s="366" t="str">
        <f>G2059</f>
        <v/>
      </c>
      <c r="H2060" s="366" t="s">
        <v>3972</v>
      </c>
      <c r="I2060" s="93"/>
      <c r="J2060" s="4"/>
      <c r="K2060" s="4"/>
      <c r="L2060" s="838"/>
      <c r="M2060" s="818"/>
      <c r="N2060" s="834"/>
      <c r="O2060" s="834"/>
      <c r="P2060" t="b">
        <v>0</v>
      </c>
      <c r="Q2060" t="b">
        <v>1</v>
      </c>
      <c r="R2060" t="b">
        <v>0</v>
      </c>
      <c r="S2060" t="b">
        <v>1</v>
      </c>
      <c r="T2060" t="b">
        <v>0</v>
      </c>
      <c r="W2060" s="296"/>
      <c r="X2060" s="817"/>
      <c r="Y2060" s="1100"/>
      <c r="Z2060" s="1102"/>
      <c r="AP2060" t="str">
        <f>SUBSTITUTE(SUBSTITUTE(SUBSTITUTE("vch"&amp;$B2060&amp;$C2060&amp;$D2060&amp;$E2060,".","_"),"(","_"),")","")</f>
        <v>vch902_1_2_</v>
      </c>
      <c r="AQ2060" t="str">
        <f>IF(LEN(W2060)=0,"",W2060)</f>
        <v/>
      </c>
    </row>
    <row r="2061" spans="1:45" x14ac:dyDescent="0.35">
      <c r="A2061" s="366">
        <v>9</v>
      </c>
      <c r="B2061" s="738" t="s">
        <v>3227</v>
      </c>
      <c r="C2061" s="731" t="s">
        <v>256</v>
      </c>
      <c r="D2061" s="731"/>
      <c r="E2061" s="731"/>
      <c r="F2061" s="746"/>
      <c r="G2061" s="366" t="str">
        <f>G2060</f>
        <v/>
      </c>
      <c r="H2061" s="366" t="s">
        <v>3972</v>
      </c>
      <c r="I2061" s="93"/>
      <c r="J2061" s="129" t="s">
        <v>256</v>
      </c>
      <c r="K2061" s="133"/>
      <c r="L2061" s="228" t="s">
        <v>3230</v>
      </c>
      <c r="M2061" s="268">
        <v>5</v>
      </c>
      <c r="N2061" s="41"/>
      <c r="O2061" s="41"/>
      <c r="W2061" t="s">
        <v>3652</v>
      </c>
      <c r="X2061" s="817"/>
      <c r="Y2061" s="1100"/>
      <c r="Z2061" s="1102"/>
      <c r="AL2061" t="str">
        <f>SUBSTITUTE(SUBSTITUTE(SUBSTITUTE("vpa"&amp;$B2061&amp;$C2061&amp;$D2061&amp;$E2061,".","_"),"(","_"),")","")</f>
        <v>vpa902_1_2_1</v>
      </c>
      <c r="AM2061">
        <f>M2061</f>
        <v>5</v>
      </c>
    </row>
    <row r="2062" spans="1:45" x14ac:dyDescent="0.35">
      <c r="A2062" s="366">
        <v>9</v>
      </c>
      <c r="B2062" s="738" t="s">
        <v>3227</v>
      </c>
      <c r="C2062" s="731" t="s">
        <v>258</v>
      </c>
      <c r="D2062" s="731"/>
      <c r="E2062" s="731"/>
      <c r="F2062" s="746"/>
      <c r="G2062" s="366" t="str">
        <f>G2061</f>
        <v/>
      </c>
      <c r="H2062" s="366" t="s">
        <v>3972</v>
      </c>
      <c r="I2062" s="320"/>
      <c r="J2062" s="129" t="s">
        <v>258</v>
      </c>
      <c r="K2062" s="133"/>
      <c r="L2062" s="228" t="s">
        <v>3231</v>
      </c>
      <c r="M2062" s="268">
        <v>2</v>
      </c>
      <c r="N2062" s="546"/>
      <c r="O2062" s="546"/>
      <c r="P2062" t="b">
        <v>0</v>
      </c>
      <c r="Q2062" t="b">
        <v>1</v>
      </c>
      <c r="R2062" s="104" t="b">
        <v>0</v>
      </c>
      <c r="S2062" s="104" t="b">
        <v>1</v>
      </c>
      <c r="T2062" s="104" t="b">
        <v>0</v>
      </c>
      <c r="U2062" s="104"/>
      <c r="V2062" s="104"/>
      <c r="W2062" s="324"/>
      <c r="X2062" s="817"/>
      <c r="Y2062" s="1100"/>
      <c r="Z2062" s="1102"/>
      <c r="AL2062" t="str">
        <f>SUBSTITUTE(SUBSTITUTE(SUBSTITUTE("vpa"&amp;$B2062&amp;$C2062&amp;$D2062&amp;$E2062,".","_"),"(","_"),")","")</f>
        <v>vpa902_1_2_2</v>
      </c>
      <c r="AM2062">
        <f>M2062</f>
        <v>2</v>
      </c>
      <c r="AP2062" t="str">
        <f>SUBSTITUTE(SUBSTITUTE(SUBSTITUTE("vch"&amp;$B2062&amp;$C2062&amp;$D2062&amp;$E2062,".","_"),"(","_"),")","")</f>
        <v>vch902_1_2_2</v>
      </c>
      <c r="AQ2062" t="str">
        <f>IF(LEN(W2062)=0,"",W2062)</f>
        <v/>
      </c>
    </row>
    <row r="2063" spans="1:45" x14ac:dyDescent="0.35">
      <c r="A2063" s="366">
        <v>9</v>
      </c>
      <c r="B2063" s="738" t="s">
        <v>3232</v>
      </c>
      <c r="C2063" s="731"/>
      <c r="D2063" s="731" t="s">
        <v>5101</v>
      </c>
      <c r="E2063" s="731"/>
      <c r="F2063" s="746"/>
      <c r="G2063" s="366" t="str">
        <f>IF(N2063&gt;0,"P","")</f>
        <v/>
      </c>
      <c r="H2063" s="366" t="s">
        <v>3972</v>
      </c>
      <c r="I2063" s="117" t="s">
        <v>3232</v>
      </c>
      <c r="J2063" s="118"/>
      <c r="K2063" s="118"/>
      <c r="L2063" s="905" t="s">
        <v>3233</v>
      </c>
      <c r="M2063" s="822">
        <v>8</v>
      </c>
      <c r="N2063" s="963">
        <f>'Ch9'!O197</f>
        <v>0</v>
      </c>
      <c r="O2063" s="963">
        <f>M2063*S2063*W2063</f>
        <v>0</v>
      </c>
      <c r="P2063" t="b">
        <v>0</v>
      </c>
      <c r="Q2063" t="b">
        <v>1</v>
      </c>
      <c r="R2063" s="120" t="b">
        <v>0</v>
      </c>
      <c r="S2063" s="120" t="b">
        <v>1</v>
      </c>
      <c r="T2063" s="120" t="b">
        <v>0</v>
      </c>
      <c r="U2063" s="120"/>
      <c r="V2063" s="120"/>
      <c r="W2063" s="17"/>
      <c r="X2063" s="817"/>
      <c r="Y2063" s="1100" t="str">
        <f>IF(LEN('Ch9'!X197)=0,"None",'Ch9'!X197)</f>
        <v>None</v>
      </c>
      <c r="Z2063" s="1102"/>
      <c r="AL2063" t="str">
        <f>SUBSTITUTE(SUBSTITUTE(SUBSTITUTE("vpa"&amp;$B2063&amp;$C2063&amp;$D2063&amp;$E2063,".","_"),"(","_"),")","")</f>
        <v>vpa902_1_3_</v>
      </c>
      <c r="AM2063">
        <f>M2063</f>
        <v>8</v>
      </c>
      <c r="AN2063" t="str">
        <f>SUBSTITUTE(SUBSTITUTE(SUBSTITUTE("vpc"&amp;$B2063&amp;$C2063&amp;$D2063&amp;$E2063,".","_"),"(","_"),")","")</f>
        <v>vpc902_1_3_</v>
      </c>
      <c r="AO2063">
        <f>O2063</f>
        <v>0</v>
      </c>
      <c r="AP2063" t="str">
        <f>SUBSTITUTE(SUBSTITUTE(SUBSTITUTE("vch"&amp;$B2063&amp;$C2063&amp;$D2063&amp;$E2063,".","_"),"(","_"),")","")</f>
        <v>vch902_1_3_</v>
      </c>
      <c r="AQ2063" t="str">
        <f>IF(LEN(W2063)=0,"",W2063)</f>
        <v/>
      </c>
      <c r="AR2063" t="str">
        <f>SUBSTITUTE(SUBSTITUTE(SUBSTITUTE("vnt"&amp;$B2063&amp;$C2063&amp;$D2063&amp;$E2063,".","_"),"(","_"),")","")</f>
        <v>vnt902_1_3_</v>
      </c>
      <c r="AS2063" t="str">
        <f>IF(LEN(X2063)=0,"",X2063)</f>
        <v/>
      </c>
    </row>
    <row r="2064" spans="1:45" x14ac:dyDescent="0.35">
      <c r="A2064" s="366">
        <v>9</v>
      </c>
      <c r="B2064" s="738" t="s">
        <v>3232</v>
      </c>
      <c r="C2064" s="731"/>
      <c r="D2064" s="731" t="s">
        <v>5101</v>
      </c>
      <c r="E2064" s="731"/>
      <c r="F2064" s="746"/>
      <c r="G2064" s="366" t="str">
        <f>G2063</f>
        <v/>
      </c>
      <c r="H2064" s="366" t="s">
        <v>3972</v>
      </c>
      <c r="I2064" s="93"/>
      <c r="J2064" s="4"/>
      <c r="K2064" s="4"/>
      <c r="L2064" s="838"/>
      <c r="M2064" s="818"/>
      <c r="N2064" s="834"/>
      <c r="O2064" s="834"/>
      <c r="X2064" s="817"/>
      <c r="Y2064" s="1100"/>
      <c r="Z2064" s="1102"/>
    </row>
    <row r="2065" spans="1:45" x14ac:dyDescent="0.35">
      <c r="A2065" s="366">
        <v>9</v>
      </c>
      <c r="B2065" s="738" t="s">
        <v>3232</v>
      </c>
      <c r="C2065" s="731"/>
      <c r="D2065" s="731" t="s">
        <v>121</v>
      </c>
      <c r="E2065" s="731"/>
      <c r="F2065" s="746"/>
      <c r="G2065" s="366" t="str">
        <f>G2064</f>
        <v/>
      </c>
      <c r="H2065" s="732" t="s">
        <v>3972</v>
      </c>
      <c r="I2065" s="93"/>
      <c r="J2065" s="4"/>
      <c r="K2065" s="19" t="s">
        <v>121</v>
      </c>
      <c r="L2065" s="90" t="s">
        <v>3234</v>
      </c>
      <c r="M2065" s="40"/>
      <c r="N2065" s="41"/>
      <c r="O2065" s="41"/>
      <c r="X2065" s="817"/>
      <c r="Y2065" s="1100"/>
      <c r="Z2065" s="1102"/>
    </row>
    <row r="2066" spans="1:45" ht="15" customHeight="1" x14ac:dyDescent="0.35">
      <c r="A2066" s="366">
        <v>9</v>
      </c>
      <c r="B2066" s="738" t="s">
        <v>3232</v>
      </c>
      <c r="C2066" s="731"/>
      <c r="D2066" s="731" t="s">
        <v>122</v>
      </c>
      <c r="E2066" s="731"/>
      <c r="F2066" s="746"/>
      <c r="G2066" s="366" t="str">
        <f>G2065</f>
        <v/>
      </c>
      <c r="H2066" s="732" t="s">
        <v>3972</v>
      </c>
      <c r="I2066" s="320"/>
      <c r="J2066" s="133"/>
      <c r="K2066" s="129" t="s">
        <v>122</v>
      </c>
      <c r="L2066" s="228" t="s">
        <v>3235</v>
      </c>
      <c r="M2066" s="268"/>
      <c r="N2066" s="546"/>
      <c r="O2066" s="546"/>
      <c r="P2066" s="104"/>
      <c r="Q2066" s="104"/>
      <c r="R2066" s="104"/>
      <c r="S2066" s="104"/>
      <c r="T2066" s="104"/>
      <c r="U2066" s="104"/>
      <c r="V2066" s="104"/>
      <c r="W2066" s="104"/>
      <c r="X2066" s="817"/>
      <c r="Y2066" s="1100"/>
      <c r="Z2066" s="1102"/>
    </row>
    <row r="2067" spans="1:45" x14ac:dyDescent="0.35">
      <c r="A2067" s="366">
        <v>9</v>
      </c>
      <c r="B2067" s="738" t="s">
        <v>3236</v>
      </c>
      <c r="C2067" s="731"/>
      <c r="D2067" s="731"/>
      <c r="E2067" s="731"/>
      <c r="F2067" s="746"/>
      <c r="G2067" s="366" t="str">
        <f>IF(N2067&gt;0,"P","")</f>
        <v/>
      </c>
      <c r="H2067" s="366" t="s">
        <v>3972</v>
      </c>
      <c r="I2067" s="117" t="s">
        <v>3236</v>
      </c>
      <c r="J2067" s="118"/>
      <c r="K2067" s="118"/>
      <c r="L2067" s="325" t="s">
        <v>3237</v>
      </c>
      <c r="M2067" s="282" t="s">
        <v>532</v>
      </c>
      <c r="N2067" s="552">
        <f>'Ch9'!O201</f>
        <v>0</v>
      </c>
      <c r="O2067" s="552">
        <f>MIN(12,M2068*S2069*W2069+M2070*S2071*W2071)</f>
        <v>0</v>
      </c>
      <c r="P2067" s="120"/>
      <c r="Q2067" s="120"/>
      <c r="R2067" s="120"/>
      <c r="S2067" s="120"/>
      <c r="T2067" s="120"/>
      <c r="U2067" s="120"/>
      <c r="V2067" s="120"/>
      <c r="W2067" s="120"/>
      <c r="X2067" s="817"/>
      <c r="Y2067" s="1100" t="str">
        <f>IF(LEN('Ch9'!X201)=0,"None",'Ch9'!X201)</f>
        <v>None</v>
      </c>
      <c r="Z2067" s="1102"/>
      <c r="AL2067" t="str">
        <f>SUBSTITUTE(SUBSTITUTE(SUBSTITUTE("vpa"&amp;$B2067&amp;$C2067&amp;$D2067&amp;$E2067,".","_"),"(","_"),")","")</f>
        <v>vpa902_1_4</v>
      </c>
      <c r="AM2067" t="str">
        <f>M2067</f>
        <v>12 Max</v>
      </c>
      <c r="AN2067" t="str">
        <f>SUBSTITUTE(SUBSTITUTE(SUBSTITUTE("vpc"&amp;$B2067&amp;$C2067&amp;$D2067&amp;$E2067,".","_"),"(","_"),")","")</f>
        <v>vpc902_1_4</v>
      </c>
      <c r="AO2067">
        <f>O2067</f>
        <v>0</v>
      </c>
      <c r="AR2067" t="str">
        <f>SUBSTITUTE(SUBSTITUTE(SUBSTITUTE("vnt"&amp;$B2067&amp;$C2067&amp;$D2067&amp;$E2067,".","_"),"(","_"),")","")</f>
        <v>vnt902_1_4</v>
      </c>
      <c r="AS2067" t="str">
        <f>IF(LEN(X2067)=0,"",X2067)</f>
        <v/>
      </c>
    </row>
    <row r="2068" spans="1:45" x14ac:dyDescent="0.35">
      <c r="A2068" s="366">
        <v>9</v>
      </c>
      <c r="B2068" s="738" t="s">
        <v>3236</v>
      </c>
      <c r="C2068" s="731" t="s">
        <v>256</v>
      </c>
      <c r="D2068" s="731"/>
      <c r="E2068" s="731"/>
      <c r="F2068" s="746"/>
      <c r="G2068" s="366" t="str">
        <f>G2067</f>
        <v/>
      </c>
      <c r="H2068" s="366" t="s">
        <v>3972</v>
      </c>
      <c r="I2068" s="93"/>
      <c r="J2068" s="19" t="s">
        <v>256</v>
      </c>
      <c r="K2068" s="4"/>
      <c r="L2068" s="90" t="s">
        <v>3653</v>
      </c>
      <c r="M2068" s="818">
        <v>2</v>
      </c>
      <c r="N2068" s="41"/>
      <c r="O2068" s="41"/>
      <c r="W2068" t="s">
        <v>3761</v>
      </c>
      <c r="X2068" s="817"/>
      <c r="Y2068" s="1100"/>
      <c r="Z2068" s="1102"/>
      <c r="AL2068" t="str">
        <f>SUBSTITUTE(SUBSTITUTE(SUBSTITUTE("vpa"&amp;$B2068&amp;$C2068&amp;$D2068&amp;$E2068,".","_"),"(","_"),")","")</f>
        <v>vpa902_1_4_1</v>
      </c>
      <c r="AM2068">
        <f>M2068</f>
        <v>2</v>
      </c>
    </row>
    <row r="2069" spans="1:45" x14ac:dyDescent="0.35">
      <c r="A2069" s="366">
        <v>9</v>
      </c>
      <c r="B2069" s="738" t="s">
        <v>3236</v>
      </c>
      <c r="C2069" s="731" t="s">
        <v>256</v>
      </c>
      <c r="D2069" s="731"/>
      <c r="E2069" s="731"/>
      <c r="F2069" s="746"/>
      <c r="G2069" s="366" t="str">
        <f>G2068</f>
        <v/>
      </c>
      <c r="H2069" s="366" t="s">
        <v>3972</v>
      </c>
      <c r="I2069" s="93"/>
      <c r="J2069" s="129"/>
      <c r="K2069" s="133"/>
      <c r="L2069" s="142" t="s">
        <v>3238</v>
      </c>
      <c r="M2069" s="819"/>
      <c r="N2069" s="41"/>
      <c r="O2069" s="41"/>
      <c r="P2069" t="b">
        <v>0</v>
      </c>
      <c r="Q2069" t="b">
        <v>1</v>
      </c>
      <c r="R2069" t="b">
        <v>0</v>
      </c>
      <c r="S2069" t="b">
        <v>1</v>
      </c>
      <c r="T2069" t="b">
        <v>0</v>
      </c>
      <c r="W2069" s="297"/>
      <c r="X2069" s="817"/>
      <c r="Y2069" s="1100"/>
      <c r="Z2069" s="1102"/>
      <c r="AP2069" t="str">
        <f>SUBSTITUTE(SUBSTITUTE(SUBSTITUTE("vch"&amp;$B2069&amp;$C2069&amp;$D2069&amp;$E2069,".","_"),"(","_"),")","")</f>
        <v>vch902_1_4_1</v>
      </c>
      <c r="AQ2069" t="str">
        <f>IF(LEN(W2069)=0,"",W2069)</f>
        <v/>
      </c>
    </row>
    <row r="2070" spans="1:45" x14ac:dyDescent="0.35">
      <c r="A2070" s="366">
        <v>9</v>
      </c>
      <c r="B2070" s="738" t="s">
        <v>3236</v>
      </c>
      <c r="C2070" s="731" t="s">
        <v>258</v>
      </c>
      <c r="D2070" s="731"/>
      <c r="E2070" s="731"/>
      <c r="F2070" s="746"/>
      <c r="G2070" s="366" t="str">
        <f>G2069</f>
        <v/>
      </c>
      <c r="H2070" s="366" t="s">
        <v>3972</v>
      </c>
      <c r="I2070" s="93"/>
      <c r="J2070" s="19" t="s">
        <v>258</v>
      </c>
      <c r="K2070" s="4"/>
      <c r="L2070" s="90" t="s">
        <v>3239</v>
      </c>
      <c r="M2070" s="818">
        <v>3</v>
      </c>
      <c r="N2070" s="41"/>
      <c r="O2070" s="41"/>
      <c r="X2070" s="817"/>
      <c r="Y2070" s="1100"/>
      <c r="Z2070" s="1102"/>
      <c r="AL2070" t="str">
        <f>SUBSTITUTE(SUBSTITUTE(SUBSTITUTE("vpa"&amp;$B2070&amp;$C2070&amp;$D2070&amp;$E2070,".","_"),"(","_"),")","")</f>
        <v>vpa902_1_4_2</v>
      </c>
      <c r="AM2070">
        <f>M2070</f>
        <v>3</v>
      </c>
    </row>
    <row r="2071" spans="1:45" x14ac:dyDescent="0.35">
      <c r="A2071" s="366">
        <v>9</v>
      </c>
      <c r="B2071" s="738" t="s">
        <v>3236</v>
      </c>
      <c r="C2071" s="731" t="s">
        <v>258</v>
      </c>
      <c r="D2071" s="731"/>
      <c r="E2071" s="731"/>
      <c r="F2071" s="746"/>
      <c r="G2071" s="366" t="str">
        <f>G2070</f>
        <v/>
      </c>
      <c r="H2071" s="366" t="s">
        <v>3972</v>
      </c>
      <c r="I2071" s="320"/>
      <c r="J2071" s="133"/>
      <c r="K2071" s="133"/>
      <c r="L2071" s="142" t="s">
        <v>3238</v>
      </c>
      <c r="M2071" s="819"/>
      <c r="N2071" s="546"/>
      <c r="O2071" s="546"/>
      <c r="P2071" t="b">
        <v>0</v>
      </c>
      <c r="Q2071" t="b">
        <v>1</v>
      </c>
      <c r="R2071" s="104" t="b">
        <v>0</v>
      </c>
      <c r="S2071" s="104" t="b">
        <v>1</v>
      </c>
      <c r="T2071" s="104" t="b">
        <v>0</v>
      </c>
      <c r="U2071" s="104"/>
      <c r="V2071" s="104"/>
      <c r="W2071" s="297"/>
      <c r="X2071" s="817"/>
      <c r="Y2071" s="1100"/>
      <c r="Z2071" s="1102"/>
      <c r="AP2071" t="str">
        <f>SUBSTITUTE(SUBSTITUTE(SUBSTITUTE("vch"&amp;$B2071&amp;$C2071&amp;$D2071&amp;$E2071,".","_"),"(","_"),")","")</f>
        <v>vch902_1_4_2</v>
      </c>
      <c r="AQ2071" t="str">
        <f>IF(LEN(W2071)=0,"",W2071)</f>
        <v/>
      </c>
    </row>
    <row r="2072" spans="1:45" x14ac:dyDescent="0.35">
      <c r="A2072" s="366">
        <v>9</v>
      </c>
      <c r="B2072" s="738" t="s">
        <v>3240</v>
      </c>
      <c r="C2072" s="731"/>
      <c r="D2072" s="731"/>
      <c r="E2072" s="731"/>
      <c r="F2072" s="746"/>
      <c r="G2072" s="366" t="str">
        <f>IF(N2072&gt;0,"P","")</f>
        <v/>
      </c>
      <c r="H2072" s="366" t="s">
        <v>3972</v>
      </c>
      <c r="I2072" s="30" t="s">
        <v>3240</v>
      </c>
      <c r="J2072" s="4"/>
      <c r="K2072" s="4"/>
      <c r="L2072" s="838" t="s">
        <v>3241</v>
      </c>
      <c r="M2072" s="818">
        <v>3</v>
      </c>
      <c r="N2072" s="834">
        <f>'Ch9'!O206</f>
        <v>0</v>
      </c>
      <c r="O2072" s="834">
        <f>M2072*W2074*W2076*W2078</f>
        <v>0</v>
      </c>
      <c r="AL2072" t="str">
        <f>SUBSTITUTE(SUBSTITUTE(SUBSTITUTE("vpa"&amp;$B2072&amp;$C2072&amp;$D2072&amp;$E2072,".","_"),"(","_"),")","")</f>
        <v>vpa902_1_5</v>
      </c>
      <c r="AM2072">
        <f>M2072</f>
        <v>3</v>
      </c>
      <c r="AN2072" t="str">
        <f>SUBSTITUTE(SUBSTITUTE(SUBSTITUTE("vpc"&amp;$B2072&amp;$C2072&amp;$D2072&amp;$E2072,".","_"),"(","_"),")","")</f>
        <v>vpc902_1_5</v>
      </c>
      <c r="AO2072">
        <f>O2072</f>
        <v>0</v>
      </c>
    </row>
    <row r="2073" spans="1:45" x14ac:dyDescent="0.35">
      <c r="A2073" s="366">
        <v>9</v>
      </c>
      <c r="B2073" s="738" t="s">
        <v>3240</v>
      </c>
      <c r="C2073" s="731"/>
      <c r="D2073" s="731"/>
      <c r="E2073" s="731"/>
      <c r="F2073" s="746"/>
      <c r="G2073" s="366" t="str">
        <f t="shared" ref="G2073:G2083" si="117">G2072</f>
        <v/>
      </c>
      <c r="H2073" s="366" t="s">
        <v>3972</v>
      </c>
      <c r="I2073" s="93"/>
      <c r="J2073" s="4"/>
      <c r="K2073" s="4"/>
      <c r="L2073" s="838"/>
      <c r="M2073" s="818"/>
      <c r="N2073" s="834"/>
      <c r="O2073" s="834"/>
    </row>
    <row r="2074" spans="1:45" ht="15" customHeight="1" x14ac:dyDescent="0.35">
      <c r="A2074" s="366">
        <v>9</v>
      </c>
      <c r="B2074" s="738" t="s">
        <v>3240</v>
      </c>
      <c r="C2074" s="731" t="s">
        <v>256</v>
      </c>
      <c r="D2074" s="731"/>
      <c r="E2074" s="731"/>
      <c r="F2074" s="746"/>
      <c r="G2074" s="366" t="str">
        <f t="shared" si="117"/>
        <v/>
      </c>
      <c r="H2074" s="366" t="s">
        <v>3972</v>
      </c>
      <c r="I2074" s="93"/>
      <c r="J2074" s="19" t="s">
        <v>256</v>
      </c>
      <c r="K2074" s="4"/>
      <c r="L2074" s="814" t="s">
        <v>4492</v>
      </c>
      <c r="M2074" s="40"/>
      <c r="N2074" s="41"/>
      <c r="O2074" s="41"/>
      <c r="P2074" t="b">
        <v>0</v>
      </c>
      <c r="Q2074" t="b">
        <v>1</v>
      </c>
      <c r="R2074" t="b">
        <v>0</v>
      </c>
      <c r="S2074" t="b">
        <v>1</v>
      </c>
      <c r="T2074" t="b">
        <v>0</v>
      </c>
      <c r="W2074" s="17"/>
      <c r="X2074" s="817"/>
      <c r="Y2074" s="1100" t="str">
        <f>IF(LEN('Ch9'!X208)=0,"None",'Ch9'!X208)</f>
        <v>None</v>
      </c>
      <c r="Z2074" s="1102"/>
      <c r="AP2074" t="str">
        <f>SUBSTITUTE(SUBSTITUTE(SUBSTITUTE("vch"&amp;$B2074&amp;$C2074&amp;$D2074&amp;$E2074,".","_"),"(","_"),")","")</f>
        <v>vch902_1_5_1</v>
      </c>
      <c r="AQ2074" t="str">
        <f>IF(LEN(W2074)=0,"",W2074)</f>
        <v/>
      </c>
      <c r="AR2074" t="str">
        <f>SUBSTITUTE(SUBSTITUTE(SUBSTITUTE("vnt"&amp;$B2074&amp;$C2074&amp;$D2074&amp;$E2074,".","_"),"(","_"),")","")</f>
        <v>vnt902_1_5_1</v>
      </c>
      <c r="AS2074" t="str">
        <f>IF(LEN(X2074)=0,"",X2074)</f>
        <v/>
      </c>
    </row>
    <row r="2075" spans="1:45" x14ac:dyDescent="0.35">
      <c r="A2075" s="366">
        <v>9</v>
      </c>
      <c r="B2075" s="738" t="s">
        <v>3240</v>
      </c>
      <c r="C2075" s="731" t="s">
        <v>256</v>
      </c>
      <c r="D2075" s="731"/>
      <c r="E2075" s="731"/>
      <c r="F2075" s="746"/>
      <c r="G2075" s="366" t="str">
        <f t="shared" si="117"/>
        <v/>
      </c>
      <c r="H2075" s="366" t="s">
        <v>3972</v>
      </c>
      <c r="I2075" s="93"/>
      <c r="J2075" s="129"/>
      <c r="K2075" s="133"/>
      <c r="L2075" s="815"/>
      <c r="M2075" s="40"/>
      <c r="N2075" s="41"/>
      <c r="O2075" s="41"/>
      <c r="X2075" s="817"/>
      <c r="Y2075" s="1100"/>
      <c r="Z2075" s="1102"/>
    </row>
    <row r="2076" spans="1:45" x14ac:dyDescent="0.35">
      <c r="A2076" s="366">
        <v>9</v>
      </c>
      <c r="B2076" s="738" t="s">
        <v>3240</v>
      </c>
      <c r="C2076" s="731" t="s">
        <v>258</v>
      </c>
      <c r="D2076" s="731"/>
      <c r="E2076" s="731"/>
      <c r="F2076" s="746"/>
      <c r="G2076" s="366" t="str">
        <f t="shared" si="117"/>
        <v/>
      </c>
      <c r="H2076" s="366" t="s">
        <v>3972</v>
      </c>
      <c r="I2076" s="93"/>
      <c r="J2076" s="19" t="s">
        <v>258</v>
      </c>
      <c r="K2076" s="4"/>
      <c r="L2076" s="814" t="s">
        <v>3242</v>
      </c>
      <c r="M2076" s="40"/>
      <c r="N2076" s="41"/>
      <c r="O2076" s="41"/>
      <c r="P2076" t="b">
        <v>0</v>
      </c>
      <c r="Q2076" t="b">
        <v>1</v>
      </c>
      <c r="R2076" t="b">
        <v>0</v>
      </c>
      <c r="S2076" t="b">
        <v>1</v>
      </c>
      <c r="T2076" t="b">
        <v>0</v>
      </c>
      <c r="W2076" s="17"/>
      <c r="X2076" s="817"/>
      <c r="Y2076" s="1100" t="str">
        <f>IF(LEN('Ch9'!X210)=0,"None",'Ch9'!X210)</f>
        <v>None</v>
      </c>
      <c r="Z2076" s="1102"/>
      <c r="AP2076" t="str">
        <f>SUBSTITUTE(SUBSTITUTE(SUBSTITUTE("vch"&amp;$B2076&amp;$C2076&amp;$D2076&amp;$E2076,".","_"),"(","_"),")","")</f>
        <v>vch902_1_5_2</v>
      </c>
      <c r="AQ2076" t="str">
        <f>IF(LEN(W2076)=0,"",W2076)</f>
        <v/>
      </c>
      <c r="AR2076" t="str">
        <f>SUBSTITUTE(SUBSTITUTE(SUBSTITUTE("vnt"&amp;$B2076&amp;$C2076&amp;$D2076&amp;$E2076,".","_"),"(","_"),")","")</f>
        <v>vnt902_1_5_2</v>
      </c>
      <c r="AS2076" t="str">
        <f>IF(LEN(X2076)=0,"",X2076)</f>
        <v/>
      </c>
    </row>
    <row r="2077" spans="1:45" x14ac:dyDescent="0.35">
      <c r="A2077" s="366">
        <v>9</v>
      </c>
      <c r="B2077" s="738" t="s">
        <v>3240</v>
      </c>
      <c r="C2077" s="731" t="s">
        <v>258</v>
      </c>
      <c r="D2077" s="731"/>
      <c r="E2077" s="731"/>
      <c r="F2077" s="746"/>
      <c r="G2077" s="366" t="str">
        <f t="shared" si="117"/>
        <v/>
      </c>
      <c r="H2077" s="366" t="s">
        <v>3972</v>
      </c>
      <c r="I2077" s="93"/>
      <c r="J2077" s="133"/>
      <c r="K2077" s="133"/>
      <c r="L2077" s="815"/>
      <c r="M2077" s="40"/>
      <c r="N2077" s="41"/>
      <c r="O2077" s="41"/>
      <c r="X2077" s="817"/>
      <c r="Y2077" s="1100"/>
      <c r="Z2077" s="1102"/>
    </row>
    <row r="2078" spans="1:45" x14ac:dyDescent="0.35">
      <c r="A2078" s="366">
        <v>9</v>
      </c>
      <c r="B2078" s="738" t="s">
        <v>3240</v>
      </c>
      <c r="C2078" s="731" t="s">
        <v>260</v>
      </c>
      <c r="D2078" s="731"/>
      <c r="E2078" s="731"/>
      <c r="F2078" s="746"/>
      <c r="G2078" s="366" t="str">
        <f t="shared" si="117"/>
        <v/>
      </c>
      <c r="H2078" s="366" t="s">
        <v>3972</v>
      </c>
      <c r="I2078" s="93"/>
      <c r="J2078" s="19" t="s">
        <v>260</v>
      </c>
      <c r="K2078" s="4"/>
      <c r="L2078" s="814" t="s">
        <v>3243</v>
      </c>
      <c r="M2078" s="40"/>
      <c r="N2078" s="41"/>
      <c r="O2078" s="41"/>
      <c r="P2078" t="b">
        <v>0</v>
      </c>
      <c r="Q2078" t="b">
        <v>1</v>
      </c>
      <c r="R2078" t="b">
        <v>0</v>
      </c>
      <c r="S2078" t="b">
        <v>1</v>
      </c>
      <c r="T2078" t="b">
        <v>0</v>
      </c>
      <c r="W2078" s="17"/>
      <c r="X2078" s="817"/>
      <c r="Y2078" s="1100" t="str">
        <f>IF(LEN('Ch9'!X212)=0,"None",'Ch9'!X212)</f>
        <v>None</v>
      </c>
      <c r="Z2078" s="1102"/>
      <c r="AP2078" t="str">
        <f>SUBSTITUTE(SUBSTITUTE(SUBSTITUTE("vch"&amp;$B2078&amp;$C2078&amp;$D2078&amp;$E2078,".","_"),"(","_"),")","")</f>
        <v>vch902_1_5_3</v>
      </c>
      <c r="AQ2078" t="str">
        <f>IF(LEN(W2078)=0,"",W2078)</f>
        <v/>
      </c>
      <c r="AR2078" t="str">
        <f>SUBSTITUTE(SUBSTITUTE(SUBSTITUTE("vnt"&amp;$B2078&amp;$C2078&amp;$D2078&amp;$E2078,".","_"),"(","_"),")","")</f>
        <v>vnt902_1_5_3</v>
      </c>
      <c r="AS2078" t="str">
        <f>IF(LEN(X2078)=0,"",X2078)</f>
        <v/>
      </c>
    </row>
    <row r="2079" spans="1:45" x14ac:dyDescent="0.35">
      <c r="A2079" s="366">
        <v>9</v>
      </c>
      <c r="B2079" s="738" t="s">
        <v>3240</v>
      </c>
      <c r="C2079" s="731" t="s">
        <v>260</v>
      </c>
      <c r="D2079" s="731"/>
      <c r="E2079" s="731"/>
      <c r="F2079" s="746"/>
      <c r="G2079" s="366" t="str">
        <f t="shared" si="117"/>
        <v/>
      </c>
      <c r="H2079" s="366" t="s">
        <v>3972</v>
      </c>
      <c r="I2079" s="93"/>
      <c r="J2079" s="4"/>
      <c r="K2079" s="4"/>
      <c r="L2079" s="814"/>
      <c r="M2079" s="40"/>
      <c r="N2079" s="41"/>
      <c r="O2079" s="41"/>
      <c r="X2079" s="817"/>
      <c r="Y2079" s="1100"/>
      <c r="Z2079" s="1102"/>
    </row>
    <row r="2080" spans="1:45" x14ac:dyDescent="0.35">
      <c r="A2080" s="366">
        <v>9</v>
      </c>
      <c r="B2080" s="738" t="s">
        <v>3240</v>
      </c>
      <c r="C2080" s="731" t="s">
        <v>260</v>
      </c>
      <c r="D2080" s="731"/>
      <c r="E2080" s="731"/>
      <c r="F2080" s="746"/>
      <c r="G2080" s="366" t="str">
        <f t="shared" si="117"/>
        <v/>
      </c>
      <c r="H2080" s="366" t="s">
        <v>3972</v>
      </c>
      <c r="I2080" s="320"/>
      <c r="J2080" s="133"/>
      <c r="K2080" s="133"/>
      <c r="L2080" s="815"/>
      <c r="M2080" s="268"/>
      <c r="N2080" s="546"/>
      <c r="O2080" s="546"/>
      <c r="P2080" s="104"/>
      <c r="Q2080" s="104"/>
      <c r="R2080" s="104"/>
      <c r="S2080" s="104"/>
      <c r="T2080" s="104"/>
      <c r="U2080" s="104"/>
      <c r="V2080" s="104"/>
      <c r="W2080" s="104"/>
      <c r="X2080" s="817"/>
      <c r="Y2080" s="1100"/>
      <c r="Z2080" s="1102"/>
    </row>
    <row r="2081" spans="1:45" x14ac:dyDescent="0.35">
      <c r="A2081" s="366">
        <v>9</v>
      </c>
      <c r="B2081" s="738" t="s">
        <v>4493</v>
      </c>
      <c r="C2081" s="731"/>
      <c r="D2081" s="731"/>
      <c r="E2081" s="731"/>
      <c r="F2081" s="731"/>
      <c r="G2081" s="366" t="str">
        <f ca="1">IF(N2081&gt;0,"P","")</f>
        <v/>
      </c>
      <c r="H2081" s="366" t="s">
        <v>3972</v>
      </c>
      <c r="I2081" s="402" t="s">
        <v>4493</v>
      </c>
      <c r="J2081" s="412"/>
      <c r="K2081" s="412"/>
      <c r="L2081" s="841" t="s">
        <v>4494</v>
      </c>
      <c r="M2081" s="818">
        <v>3</v>
      </c>
      <c r="N2081" s="963">
        <f ca="1">'Ch9'!O215</f>
        <v>0</v>
      </c>
      <c r="O2081" s="834">
        <f ca="1">M2081*S2081*W2081</f>
        <v>0</v>
      </c>
      <c r="P2081" t="b">
        <v>0</v>
      </c>
      <c r="Q2081" t="b">
        <v>1</v>
      </c>
      <c r="R2081" t="b">
        <v>0</v>
      </c>
      <c r="S2081" t="b">
        <f ca="1">AY1885=INDEX(INDIRECT("ddSingleOrMulti"),2)</f>
        <v>0</v>
      </c>
      <c r="T2081" t="b">
        <v>0</v>
      </c>
      <c r="W2081" s="17"/>
      <c r="X2081" s="817"/>
      <c r="Y2081" s="1100" t="str">
        <f>IF(LEN('Ch9'!X215)=0,"None",'Ch9'!X215)</f>
        <v>None</v>
      </c>
      <c r="Z2081" s="1102"/>
      <c r="AL2081" t="str">
        <f>SUBSTITUTE(SUBSTITUTE(SUBSTITUTE("vpa"&amp;$B2081&amp;$C2081&amp;$D2081&amp;$E2081,".","_"),"(","_"),")","")</f>
        <v>vpa902_1_6</v>
      </c>
      <c r="AM2081">
        <f>M2081</f>
        <v>3</v>
      </c>
      <c r="AN2081" t="str">
        <f>SUBSTITUTE(SUBSTITUTE(SUBSTITUTE("vpc"&amp;$B2081&amp;$C2081&amp;$D2081&amp;$E2081,".","_"),"(","_"),")","")</f>
        <v>vpc902_1_6</v>
      </c>
      <c r="AO2081">
        <f ca="1">O2081</f>
        <v>0</v>
      </c>
      <c r="AP2081" t="str">
        <f>SUBSTITUTE(SUBSTITUTE(SUBSTITUTE("vch"&amp;$B2081&amp;$C2081&amp;$D2081&amp;$E2081,".","_"),"(","_"),")","")</f>
        <v>vch902_1_6</v>
      </c>
      <c r="AQ2081" t="str">
        <f>IF(LEN(W2081)=0,"",W2081)</f>
        <v/>
      </c>
      <c r="AR2081" t="str">
        <f>SUBSTITUTE(SUBSTITUTE(SUBSTITUTE("vnt"&amp;$B2081&amp;$C2081&amp;$D2081&amp;$E2081,".","_"),"(","_"),")","")</f>
        <v>vnt902_1_6</v>
      </c>
      <c r="AS2081" t="str">
        <f>IF(LEN(X2081)=0,"",X2081)</f>
        <v/>
      </c>
    </row>
    <row r="2082" spans="1:45" x14ac:dyDescent="0.35">
      <c r="A2082" s="366">
        <v>9</v>
      </c>
      <c r="B2082" s="738" t="s">
        <v>4493</v>
      </c>
      <c r="C2082" s="731"/>
      <c r="D2082" s="731"/>
      <c r="E2082" s="731"/>
      <c r="F2082" s="731"/>
      <c r="G2082" s="366" t="str">
        <f t="shared" ca="1" si="117"/>
        <v/>
      </c>
      <c r="H2082" s="366" t="s">
        <v>3972</v>
      </c>
      <c r="I2082" s="412"/>
      <c r="J2082" s="412"/>
      <c r="K2082" s="412"/>
      <c r="L2082" s="841"/>
      <c r="M2082" s="818"/>
      <c r="N2082" s="834"/>
      <c r="O2082" s="834"/>
      <c r="X2082" s="817"/>
      <c r="Y2082" s="1100"/>
      <c r="Z2082" s="1102"/>
    </row>
    <row r="2083" spans="1:45" ht="15" thickBot="1" x14ac:dyDescent="0.4">
      <c r="A2083" s="366">
        <v>9</v>
      </c>
      <c r="B2083" s="738" t="s">
        <v>4493</v>
      </c>
      <c r="C2083" s="731"/>
      <c r="D2083" s="731"/>
      <c r="E2083" s="731"/>
      <c r="F2083" s="731"/>
      <c r="G2083" s="366" t="str">
        <f t="shared" ca="1" si="117"/>
        <v/>
      </c>
      <c r="H2083" s="366" t="s">
        <v>3972</v>
      </c>
      <c r="I2083" s="412"/>
      <c r="J2083" s="412"/>
      <c r="K2083" s="412"/>
      <c r="L2083" s="854"/>
      <c r="M2083" s="827"/>
      <c r="N2083" s="863"/>
      <c r="O2083" s="863"/>
      <c r="X2083" s="817"/>
      <c r="Y2083" s="1101"/>
      <c r="Z2083" s="1104"/>
    </row>
    <row r="2084" spans="1:45" ht="15" thickTop="1" x14ac:dyDescent="0.35">
      <c r="A2084" s="366">
        <v>9</v>
      </c>
      <c r="B2084" s="738">
        <v>902.2</v>
      </c>
      <c r="C2084" s="731"/>
      <c r="D2084" s="731"/>
      <c r="E2084" s="731"/>
      <c r="F2084" s="731"/>
      <c r="G2084" s="366" t="s">
        <v>3973</v>
      </c>
      <c r="H2084" s="366" t="s">
        <v>3972</v>
      </c>
      <c r="I2084" s="106">
        <v>902.2</v>
      </c>
      <c r="J2084" s="107"/>
      <c r="K2084" s="107"/>
      <c r="L2084" s="274" t="s">
        <v>3244</v>
      </c>
      <c r="M2084" s="267"/>
      <c r="N2084" s="545"/>
      <c r="O2084" s="545"/>
      <c r="P2084" s="59"/>
      <c r="Q2084" s="59"/>
      <c r="R2084" s="59"/>
      <c r="S2084" s="59"/>
      <c r="T2084" s="59"/>
      <c r="U2084" s="59"/>
      <c r="V2084" s="59"/>
      <c r="W2084" s="59"/>
      <c r="X2084" s="59"/>
    </row>
    <row r="2085" spans="1:45" ht="15" customHeight="1" x14ac:dyDescent="0.35">
      <c r="A2085" s="366">
        <v>9</v>
      </c>
      <c r="B2085" s="738" t="s">
        <v>3655</v>
      </c>
      <c r="C2085" s="731"/>
      <c r="D2085" s="731"/>
      <c r="E2085" s="731"/>
      <c r="F2085" s="731"/>
      <c r="G2085" s="366" t="s">
        <v>3973</v>
      </c>
      <c r="H2085" s="366" t="s">
        <v>3972</v>
      </c>
      <c r="I2085" s="30" t="s">
        <v>3655</v>
      </c>
      <c r="J2085" s="4"/>
      <c r="K2085" s="4"/>
      <c r="L2085" s="838" t="s">
        <v>5594</v>
      </c>
      <c r="M2085" s="900" t="str">
        <f>IF(R2085,"Mandatory 
(ACH50 is &lt; 5.0)","N/A")</f>
        <v>N/A</v>
      </c>
      <c r="N2085" s="834">
        <f ca="1">'Ch9'!O219</f>
        <v>3</v>
      </c>
      <c r="O2085" s="834">
        <f ca="1">IFERROR(INDEX({3,6,7,8,10},MATCH(W2085,INDIRECT(U2085),0)),0)*S2085</f>
        <v>0</v>
      </c>
      <c r="P2085" t="b">
        <v>0</v>
      </c>
      <c r="Q2085" t="b">
        <v>1</v>
      </c>
      <c r="R2085" t="b">
        <f>OR(AND(S2086&gt;0,S2086&lt;5),AND(S2087&gt;0,S2087&lt;0.28))</f>
        <v>0</v>
      </c>
      <c r="S2085" t="b">
        <v>1</v>
      </c>
      <c r="T2085" t="b">
        <f>AND(NOT(S2085),LEN(W2085)&gt;0)</f>
        <v>0</v>
      </c>
      <c r="U2085" t="str">
        <f>SUBSTITUTE(SUBSTITUTE(SUBSTITUTE("dd"&amp;B2085&amp;C2085&amp;D2085&amp;E2085&amp;F2085,".","_"),"(","_"),")","")</f>
        <v>dd902_2_1</v>
      </c>
      <c r="W2085" s="9"/>
      <c r="X2085" s="817"/>
      <c r="Y2085" s="1119" t="str">
        <f>IF(LEN('Ch9'!X219)=0,"None",'Ch9'!X219)</f>
        <v>None</v>
      </c>
      <c r="Z2085" s="1105"/>
      <c r="AC2085" t="b">
        <f>OR(AD2085:AE2085)</f>
        <v>0</v>
      </c>
      <c r="AD2085" t="b">
        <f>T2085</f>
        <v>0</v>
      </c>
      <c r="AE2085" t="b">
        <f>AND(R2085,OR(W2085="Not Met",W2085=""))</f>
        <v>0</v>
      </c>
      <c r="AL2085" t="str">
        <f>SUBSTITUTE(SUBSTITUTE(SUBSTITUTE("vpa"&amp;$B2085&amp;$C2085&amp;$D2085&amp;$E2085,".","_"),"(","_"),")","")</f>
        <v>vpa902_2_1</v>
      </c>
      <c r="AM2085" t="str">
        <f>M2085</f>
        <v>N/A</v>
      </c>
      <c r="AN2085" t="str">
        <f>SUBSTITUTE(SUBSTITUTE(SUBSTITUTE("vpc"&amp;$B2085&amp;$C2085&amp;$D2085&amp;$E2085,".","_"),"(","_"),")","")</f>
        <v>vpc902_2_1</v>
      </c>
      <c r="AO2085">
        <f ca="1">O2085</f>
        <v>0</v>
      </c>
      <c r="AP2085" t="str">
        <f>SUBSTITUTE(SUBSTITUTE(SUBSTITUTE("vch"&amp;$B2085&amp;$C2085&amp;$D2085&amp;$E2085,".","_"),"(","_"),")","")</f>
        <v>vch902_2_1</v>
      </c>
      <c r="AQ2085" t="str">
        <f>IF(LEN(W2085)=0,"",W2085)</f>
        <v/>
      </c>
      <c r="AR2085" t="str">
        <f>SUBSTITUTE(SUBSTITUTE(SUBSTITUTE("vnt"&amp;$B2085&amp;$C2085&amp;$D2085&amp;$E2085,".","_"),"(","_"),")","")</f>
        <v>vnt902_2_1</v>
      </c>
      <c r="AS2085" t="str">
        <f>IF(LEN(X2085)=0,"",X2085)</f>
        <v/>
      </c>
    </row>
    <row r="2086" spans="1:45" x14ac:dyDescent="0.35">
      <c r="A2086" s="366">
        <v>9</v>
      </c>
      <c r="B2086" s="738" t="s">
        <v>3655</v>
      </c>
      <c r="C2086" s="731"/>
      <c r="D2086" s="731"/>
      <c r="E2086" s="731"/>
      <c r="F2086" s="731"/>
      <c r="G2086" s="366" t="s">
        <v>3973</v>
      </c>
      <c r="H2086" s="366" t="s">
        <v>3972</v>
      </c>
      <c r="I2086" s="93"/>
      <c r="J2086" s="4"/>
      <c r="K2086" s="4"/>
      <c r="L2086" s="838"/>
      <c r="M2086" s="900"/>
      <c r="N2086" s="834"/>
      <c r="O2086" s="834"/>
      <c r="R2086" s="242" t="s">
        <v>3762</v>
      </c>
      <c r="S2086" s="298">
        <f>MAX(W975,W1493)</f>
        <v>0</v>
      </c>
      <c r="X2086" s="817"/>
      <c r="Y2086" s="1120"/>
      <c r="Z2086" s="1109"/>
    </row>
    <row r="2087" spans="1:45" x14ac:dyDescent="0.35">
      <c r="A2087" s="366">
        <v>9</v>
      </c>
      <c r="B2087" s="738" t="s">
        <v>3655</v>
      </c>
      <c r="C2087" s="731"/>
      <c r="D2087" s="731"/>
      <c r="E2087" s="731"/>
      <c r="F2087" s="731"/>
      <c r="G2087" s="366" t="s">
        <v>3973</v>
      </c>
      <c r="H2087" s="366" t="s">
        <v>3972</v>
      </c>
      <c r="I2087" s="93"/>
      <c r="J2087" s="4"/>
      <c r="K2087" s="4"/>
      <c r="L2087" s="838"/>
      <c r="M2087" s="900"/>
      <c r="N2087" s="834"/>
      <c r="O2087" s="834"/>
      <c r="R2087" s="242" t="s">
        <v>4589</v>
      </c>
      <c r="S2087" s="298">
        <f>MAX(W978,W1495)</f>
        <v>0</v>
      </c>
      <c r="X2087" s="817"/>
      <c r="Y2087" s="1120"/>
      <c r="Z2087" s="1109"/>
    </row>
    <row r="2088" spans="1:45" x14ac:dyDescent="0.35">
      <c r="A2088" s="366">
        <v>9</v>
      </c>
      <c r="B2088" s="738" t="s">
        <v>3655</v>
      </c>
      <c r="C2088" s="731"/>
      <c r="D2088" s="731"/>
      <c r="E2088" s="731"/>
      <c r="F2088" s="731"/>
      <c r="G2088" s="366" t="s">
        <v>3973</v>
      </c>
      <c r="H2088" s="366" t="s">
        <v>3972</v>
      </c>
      <c r="I2088" s="93"/>
      <c r="J2088" s="4"/>
      <c r="K2088" s="4"/>
      <c r="L2088" s="838"/>
      <c r="M2088" s="900"/>
      <c r="N2088" s="834"/>
      <c r="O2088" s="834"/>
      <c r="X2088" s="817"/>
      <c r="Y2088" s="1120"/>
      <c r="Z2088" s="1109"/>
    </row>
    <row r="2089" spans="1:45" x14ac:dyDescent="0.35">
      <c r="A2089" s="366">
        <v>9</v>
      </c>
      <c r="B2089" s="738" t="s">
        <v>3655</v>
      </c>
      <c r="C2089" s="731" t="s">
        <v>256</v>
      </c>
      <c r="D2089" s="731"/>
      <c r="E2089" s="731"/>
      <c r="F2089" s="731"/>
      <c r="G2089" s="366" t="s">
        <v>3973</v>
      </c>
      <c r="H2089" s="366" t="s">
        <v>3972</v>
      </c>
      <c r="I2089" s="93"/>
      <c r="J2089" s="19" t="s">
        <v>256</v>
      </c>
      <c r="K2089" s="4"/>
      <c r="L2089" s="848" t="s">
        <v>3245</v>
      </c>
      <c r="M2089" s="818">
        <v>3</v>
      </c>
      <c r="N2089" s="41"/>
      <c r="O2089" s="41"/>
      <c r="X2089" s="817"/>
      <c r="Y2089" s="1120"/>
      <c r="Z2089" s="1109"/>
      <c r="AL2089" t="str">
        <f>SUBSTITUTE(SUBSTITUTE(SUBSTITUTE("vpa"&amp;$B2089&amp;$C2089&amp;$D2089&amp;$E2089,".","_"),"(","_"),")","")</f>
        <v>vpa902_2_1_1</v>
      </c>
      <c r="AM2089">
        <f>M2089</f>
        <v>3</v>
      </c>
    </row>
    <row r="2090" spans="1:45" x14ac:dyDescent="0.35">
      <c r="A2090" s="366">
        <v>9</v>
      </c>
      <c r="B2090" s="738" t="s">
        <v>3655</v>
      </c>
      <c r="C2090" s="731" t="s">
        <v>256</v>
      </c>
      <c r="D2090" s="731"/>
      <c r="E2090" s="731"/>
      <c r="F2090" s="731"/>
      <c r="G2090" s="366" t="s">
        <v>3973</v>
      </c>
      <c r="H2090" s="366" t="s">
        <v>3972</v>
      </c>
      <c r="I2090" s="93"/>
      <c r="J2090" s="129"/>
      <c r="K2090" s="133"/>
      <c r="L2090" s="821"/>
      <c r="M2090" s="819"/>
      <c r="N2090" s="41"/>
      <c r="O2090" s="41"/>
      <c r="X2090" s="817"/>
      <c r="Y2090" s="1120"/>
      <c r="Z2090" s="1109"/>
    </row>
    <row r="2091" spans="1:45" x14ac:dyDescent="0.35">
      <c r="A2091" s="366">
        <v>9</v>
      </c>
      <c r="B2091" s="738" t="s">
        <v>3655</v>
      </c>
      <c r="C2091" s="731" t="s">
        <v>258</v>
      </c>
      <c r="D2091" s="731"/>
      <c r="E2091" s="731"/>
      <c r="F2091" s="731"/>
      <c r="G2091" s="366" t="s">
        <v>3973</v>
      </c>
      <c r="H2091" s="366" t="s">
        <v>3972</v>
      </c>
      <c r="I2091" s="93"/>
      <c r="J2091" s="19" t="s">
        <v>258</v>
      </c>
      <c r="K2091" s="4"/>
      <c r="L2091" s="814" t="s">
        <v>3246</v>
      </c>
      <c r="M2091" s="818">
        <v>6</v>
      </c>
      <c r="N2091" s="41"/>
      <c r="O2091" s="41"/>
      <c r="X2091" s="817"/>
      <c r="Y2091" s="1120"/>
      <c r="Z2091" s="1109"/>
      <c r="AL2091" t="str">
        <f>SUBSTITUTE(SUBSTITUTE(SUBSTITUTE("vpa"&amp;$B2091&amp;$C2091&amp;$D2091&amp;$E2091,".","_"),"(","_"),")","")</f>
        <v>vpa902_2_1_2</v>
      </c>
      <c r="AM2091">
        <f>M2091</f>
        <v>6</v>
      </c>
    </row>
    <row r="2092" spans="1:45" x14ac:dyDescent="0.35">
      <c r="A2092" s="366">
        <v>9</v>
      </c>
      <c r="B2092" s="738" t="s">
        <v>3655</v>
      </c>
      <c r="C2092" s="731" t="s">
        <v>258</v>
      </c>
      <c r="D2092" s="731"/>
      <c r="E2092" s="731"/>
      <c r="F2092" s="731"/>
      <c r="G2092" s="366" t="s">
        <v>3973</v>
      </c>
      <c r="H2092" s="366" t="s">
        <v>3972</v>
      </c>
      <c r="I2092" s="93"/>
      <c r="J2092" s="133"/>
      <c r="K2092" s="133"/>
      <c r="L2092" s="815"/>
      <c r="M2092" s="819"/>
      <c r="N2092" s="41"/>
      <c r="O2092" s="41"/>
      <c r="X2092" s="817"/>
      <c r="Y2092" s="1120"/>
      <c r="Z2092" s="1109"/>
    </row>
    <row r="2093" spans="1:45" x14ac:dyDescent="0.35">
      <c r="A2093" s="366">
        <v>9</v>
      </c>
      <c r="B2093" s="738" t="s">
        <v>3655</v>
      </c>
      <c r="C2093" s="731" t="s">
        <v>260</v>
      </c>
      <c r="D2093" s="731"/>
      <c r="E2093" s="731"/>
      <c r="F2093" s="731"/>
      <c r="G2093" s="366" t="s">
        <v>3973</v>
      </c>
      <c r="H2093" s="366" t="s">
        <v>3972</v>
      </c>
      <c r="I2093" s="93"/>
      <c r="J2093" s="129" t="s">
        <v>260</v>
      </c>
      <c r="K2093" s="133"/>
      <c r="L2093" s="228" t="s">
        <v>3247</v>
      </c>
      <c r="M2093" s="268">
        <v>7</v>
      </c>
      <c r="N2093" s="41"/>
      <c r="O2093" s="41"/>
      <c r="X2093" s="817"/>
      <c r="Y2093" s="1120"/>
      <c r="Z2093" s="1109"/>
      <c r="AL2093" t="str">
        <f>SUBSTITUTE(SUBSTITUTE(SUBSTITUTE("vpa"&amp;$B2093&amp;$C2093&amp;$D2093&amp;$E2093,".","_"),"(","_"),")","")</f>
        <v>vpa902_2_1_3</v>
      </c>
      <c r="AM2093">
        <f>M2093</f>
        <v>7</v>
      </c>
    </row>
    <row r="2094" spans="1:45" x14ac:dyDescent="0.35">
      <c r="A2094" s="366">
        <v>9</v>
      </c>
      <c r="B2094" s="738" t="s">
        <v>3655</v>
      </c>
      <c r="C2094" s="731" t="s">
        <v>269</v>
      </c>
      <c r="D2094" s="731"/>
      <c r="E2094" s="731"/>
      <c r="F2094" s="731"/>
      <c r="G2094" s="366" t="s">
        <v>3973</v>
      </c>
      <c r="H2094" s="366" t="s">
        <v>3972</v>
      </c>
      <c r="I2094" s="93"/>
      <c r="J2094" s="129" t="s">
        <v>269</v>
      </c>
      <c r="K2094" s="133"/>
      <c r="L2094" s="228" t="s">
        <v>3248</v>
      </c>
      <c r="M2094" s="268">
        <v>8</v>
      </c>
      <c r="N2094" s="41"/>
      <c r="O2094" s="41"/>
      <c r="X2094" s="817"/>
      <c r="Y2094" s="1120"/>
      <c r="Z2094" s="1109"/>
      <c r="AL2094" t="str">
        <f>SUBSTITUTE(SUBSTITUTE(SUBSTITUTE("vpa"&amp;$B2094&amp;$C2094&amp;$D2094&amp;$E2094,".","_"),"(","_"),")","")</f>
        <v>vpa902_2_1_4</v>
      </c>
      <c r="AM2094">
        <f>M2094</f>
        <v>8</v>
      </c>
    </row>
    <row r="2095" spans="1:45" x14ac:dyDescent="0.35">
      <c r="A2095" s="366">
        <v>9</v>
      </c>
      <c r="B2095" s="738" t="s">
        <v>3655</v>
      </c>
      <c r="C2095" s="731" t="s">
        <v>275</v>
      </c>
      <c r="D2095" s="731"/>
      <c r="E2095" s="731"/>
      <c r="F2095" s="731"/>
      <c r="G2095" s="366" t="s">
        <v>3973</v>
      </c>
      <c r="H2095" s="366" t="s">
        <v>3972</v>
      </c>
      <c r="I2095" s="93"/>
      <c r="J2095" s="129" t="s">
        <v>275</v>
      </c>
      <c r="K2095" s="133"/>
      <c r="L2095" s="228" t="s">
        <v>4495</v>
      </c>
      <c r="M2095" s="268">
        <v>10</v>
      </c>
      <c r="O2095" s="41"/>
      <c r="X2095" s="817"/>
      <c r="Y2095" s="1117"/>
      <c r="Z2095" s="1103"/>
      <c r="AL2095" t="str">
        <f>SUBSTITUTE(SUBSTITUTE(SUBSTITUTE("vpa"&amp;$B2095&amp;$C2095&amp;$D2095&amp;$E2095,".","_"),"(","_"),")","")</f>
        <v>vpa902_2_1_5</v>
      </c>
      <c r="AM2095">
        <f>M2095</f>
        <v>10</v>
      </c>
    </row>
    <row r="2096" spans="1:45" ht="15" customHeight="1" x14ac:dyDescent="0.35">
      <c r="A2096" s="366">
        <v>9</v>
      </c>
      <c r="B2096" s="738" t="s">
        <v>3249</v>
      </c>
      <c r="C2096" s="731"/>
      <c r="D2096" s="731"/>
      <c r="E2096" s="731"/>
      <c r="F2096" s="731"/>
      <c r="G2096" s="366" t="str">
        <f ca="1">IF(N2096&gt;0,"P","")</f>
        <v/>
      </c>
      <c r="H2096" s="366" t="s">
        <v>3972</v>
      </c>
      <c r="I2096" s="117" t="s">
        <v>3249</v>
      </c>
      <c r="J2096" s="118"/>
      <c r="K2096" s="118"/>
      <c r="L2096" s="905" t="s">
        <v>4496</v>
      </c>
      <c r="M2096" s="822">
        <v>4</v>
      </c>
      <c r="N2096" s="963">
        <f ca="1">'Ch9'!O230</f>
        <v>0</v>
      </c>
      <c r="O2096" s="963">
        <f ca="1">M2096*S2096*W2096</f>
        <v>0</v>
      </c>
      <c r="P2096" t="b">
        <v>0</v>
      </c>
      <c r="Q2096" t="b">
        <v>1</v>
      </c>
      <c r="R2096" s="120" t="b">
        <v>0</v>
      </c>
      <c r="S2096" s="120" t="b">
        <f ca="1">O2085&gt;0</f>
        <v>0</v>
      </c>
      <c r="T2096" s="120" t="b">
        <f ca="1">AND(NOT(S2096),W2096=TRUE)</f>
        <v>0</v>
      </c>
      <c r="U2096" s="120"/>
      <c r="V2096" s="120"/>
      <c r="W2096" s="17"/>
      <c r="X2096" s="817"/>
      <c r="Y2096" s="1100" t="str">
        <f>IF(LEN('Ch9'!X230)=0,"None",'Ch9'!X230)</f>
        <v>None</v>
      </c>
      <c r="Z2096" s="1102"/>
      <c r="AC2096" t="b">
        <f ca="1">OR(AD2096:AE2096)</f>
        <v>0</v>
      </c>
      <c r="AD2096" t="b">
        <f ca="1">T2096</f>
        <v>0</v>
      </c>
      <c r="AL2096" t="str">
        <f>SUBSTITUTE(SUBSTITUTE(SUBSTITUTE("vpa"&amp;$B2096&amp;$C2096&amp;$D2096&amp;$E2096,".","_"),"(","_"),")","")</f>
        <v>vpa902_2_2</v>
      </c>
      <c r="AM2096">
        <f>M2096</f>
        <v>4</v>
      </c>
      <c r="AN2096" t="str">
        <f>SUBSTITUTE(SUBSTITUTE(SUBSTITUTE("vpc"&amp;$B2096&amp;$C2096&amp;$D2096&amp;$E2096,".","_"),"(","_"),")","")</f>
        <v>vpc902_2_2</v>
      </c>
      <c r="AO2096">
        <f ca="1">O2096</f>
        <v>0</v>
      </c>
      <c r="AP2096" t="str">
        <f>SUBSTITUTE(SUBSTITUTE(SUBSTITUTE("vch"&amp;$B2096&amp;$C2096&amp;$D2096&amp;$E2096,".","_"),"(","_"),")","")</f>
        <v>vch902_2_2</v>
      </c>
      <c r="AQ2096" t="str">
        <f>IF(LEN(W2096)=0,"",W2096)</f>
        <v/>
      </c>
      <c r="AR2096" t="str">
        <f>SUBSTITUTE(SUBSTITUTE(SUBSTITUTE("vnt"&amp;$B2096&amp;$C2096&amp;$D2096&amp;$E2096,".","_"),"(","_"),")","")</f>
        <v>vnt902_2_2</v>
      </c>
      <c r="AS2096" t="str">
        <f>IF(LEN(X2096)=0,"",X2096)</f>
        <v/>
      </c>
    </row>
    <row r="2097" spans="1:45" x14ac:dyDescent="0.35">
      <c r="A2097" s="366">
        <v>9</v>
      </c>
      <c r="B2097" s="738" t="s">
        <v>3249</v>
      </c>
      <c r="C2097" s="731"/>
      <c r="D2097" s="731"/>
      <c r="E2097" s="731"/>
      <c r="F2097" s="731"/>
      <c r="G2097" s="366" t="str">
        <f ca="1">G2096</f>
        <v/>
      </c>
      <c r="H2097" s="366" t="s">
        <v>3972</v>
      </c>
      <c r="I2097" s="320"/>
      <c r="J2097" s="133"/>
      <c r="K2097" s="133"/>
      <c r="L2097" s="889"/>
      <c r="M2097" s="819"/>
      <c r="N2097" s="835"/>
      <c r="O2097" s="835"/>
      <c r="P2097" s="104"/>
      <c r="Q2097" s="104"/>
      <c r="R2097" s="104"/>
      <c r="S2097" s="104"/>
      <c r="T2097" s="104"/>
      <c r="U2097" s="104"/>
      <c r="V2097" s="104"/>
      <c r="W2097" s="104"/>
      <c r="X2097" s="817"/>
      <c r="Y2097" s="1100"/>
      <c r="Z2097" s="1102"/>
    </row>
    <row r="2098" spans="1:45" x14ac:dyDescent="0.35">
      <c r="A2098" s="366">
        <v>9</v>
      </c>
      <c r="B2098" s="738" t="s">
        <v>3250</v>
      </c>
      <c r="C2098" s="731"/>
      <c r="D2098" s="731"/>
      <c r="E2098" s="731"/>
      <c r="F2098" s="731"/>
      <c r="G2098" s="366" t="str">
        <f>IF(N2098&gt;0,"P","")</f>
        <v/>
      </c>
      <c r="H2098" s="366" t="s">
        <v>3972</v>
      </c>
      <c r="I2098" s="117" t="s">
        <v>3250</v>
      </c>
      <c r="J2098" s="118"/>
      <c r="K2098" s="118"/>
      <c r="L2098" s="905" t="s">
        <v>3251</v>
      </c>
      <c r="M2098" s="822">
        <v>2</v>
      </c>
      <c r="N2098" s="963">
        <f>'Ch9'!O232</f>
        <v>0</v>
      </c>
      <c r="O2098" s="963">
        <f>M2098*S2098*W2098</f>
        <v>0</v>
      </c>
      <c r="P2098" t="b">
        <v>0</v>
      </c>
      <c r="Q2098" t="b">
        <v>1</v>
      </c>
      <c r="R2098" s="120" t="b">
        <v>0</v>
      </c>
      <c r="S2098" s="120" t="b">
        <f>NOT(OR(AND(AY1909=INDEX(ddHDucts,2),AY1905=INDEX(ddCDucts,2)),W2101))</f>
        <v>1</v>
      </c>
      <c r="T2098" s="120" t="b">
        <f>AND(NOT(S2098),W2098=TRUE)</f>
        <v>0</v>
      </c>
      <c r="U2098" s="120"/>
      <c r="V2098" s="120"/>
      <c r="W2098" s="17"/>
      <c r="X2098" s="817"/>
      <c r="Y2098" s="1100" t="str">
        <f>IF(LEN('Ch9'!X232)=0,"None",'Ch9'!X232)</f>
        <v>None</v>
      </c>
      <c r="Z2098" s="1102"/>
      <c r="AC2098" t="b">
        <f>OR(AD2098:AE2098)</f>
        <v>0</v>
      </c>
      <c r="AD2098" t="b">
        <f>T2098</f>
        <v>0</v>
      </c>
      <c r="AL2098" t="str">
        <f>SUBSTITUTE(SUBSTITUTE(SUBSTITUTE("vpa"&amp;$B2098&amp;$C2098&amp;$D2098&amp;$E2098,".","_"),"(","_"),")","")</f>
        <v>vpa902_2_3</v>
      </c>
      <c r="AM2098">
        <f>M2098</f>
        <v>2</v>
      </c>
      <c r="AN2098" t="str">
        <f>SUBSTITUTE(SUBSTITUTE(SUBSTITUTE("vpc"&amp;$B2098&amp;$C2098&amp;$D2098&amp;$E2098,".","_"),"(","_"),")","")</f>
        <v>vpc902_2_3</v>
      </c>
      <c r="AO2098">
        <f>O2098</f>
        <v>0</v>
      </c>
      <c r="AP2098" t="str">
        <f>SUBSTITUTE(SUBSTITUTE(SUBSTITUTE("vch"&amp;$B2098&amp;$C2098&amp;$D2098&amp;$E2098,".","_"),"(","_"),")","")</f>
        <v>vch902_2_3</v>
      </c>
      <c r="AQ2098" t="str">
        <f>IF(LEN(W2098)=0,"",W2098)</f>
        <v/>
      </c>
      <c r="AR2098" t="str">
        <f>SUBSTITUTE(SUBSTITUTE(SUBSTITUTE("vnt"&amp;$B2098&amp;$C2098&amp;$D2098&amp;$E2098,".","_"),"(","_"),")","")</f>
        <v>vnt902_2_3</v>
      </c>
      <c r="AS2098" t="str">
        <f>IF(LEN(X2098)=0,"",X2098)</f>
        <v/>
      </c>
    </row>
    <row r="2099" spans="1:45" x14ac:dyDescent="0.35">
      <c r="A2099" s="366">
        <v>9</v>
      </c>
      <c r="B2099" s="738" t="s">
        <v>3250</v>
      </c>
      <c r="C2099" s="731"/>
      <c r="D2099" s="731"/>
      <c r="E2099" s="731"/>
      <c r="F2099" s="731"/>
      <c r="G2099" s="366" t="str">
        <f>G2098</f>
        <v/>
      </c>
      <c r="H2099" s="366" t="s">
        <v>3972</v>
      </c>
      <c r="I2099" s="93"/>
      <c r="J2099" s="4"/>
      <c r="K2099" s="4"/>
      <c r="L2099" s="838"/>
      <c r="M2099" s="818"/>
      <c r="N2099" s="834"/>
      <c r="O2099" s="834"/>
      <c r="X2099" s="817"/>
      <c r="Y2099" s="1100"/>
      <c r="Z2099" s="1102"/>
    </row>
    <row r="2100" spans="1:45" x14ac:dyDescent="0.35">
      <c r="A2100" s="366">
        <v>9</v>
      </c>
      <c r="B2100" s="738" t="s">
        <v>3250</v>
      </c>
      <c r="C2100" s="731"/>
      <c r="D2100" s="731"/>
      <c r="E2100" s="731"/>
      <c r="F2100" s="731"/>
      <c r="G2100" s="366" t="str">
        <f>G2099</f>
        <v/>
      </c>
      <c r="H2100" s="366" t="s">
        <v>3972</v>
      </c>
      <c r="I2100" s="320"/>
      <c r="J2100" s="133"/>
      <c r="K2100" s="133"/>
      <c r="L2100" s="889"/>
      <c r="M2100" s="819"/>
      <c r="N2100" s="835"/>
      <c r="O2100" s="835"/>
      <c r="P2100" s="104"/>
      <c r="Q2100" s="104"/>
      <c r="R2100" s="104"/>
      <c r="S2100" s="104"/>
      <c r="T2100" s="104"/>
      <c r="U2100" s="104"/>
      <c r="V2100" s="104"/>
      <c r="W2100" s="104"/>
      <c r="X2100" s="817"/>
      <c r="Y2100" s="1100"/>
      <c r="Z2100" s="1102"/>
    </row>
    <row r="2101" spans="1:45" x14ac:dyDescent="0.35">
      <c r="A2101" s="366">
        <v>9</v>
      </c>
      <c r="B2101" s="738" t="s">
        <v>3252</v>
      </c>
      <c r="C2101" s="731"/>
      <c r="D2101" s="731"/>
      <c r="E2101" s="731"/>
      <c r="F2101" s="731"/>
      <c r="G2101" s="366" t="str">
        <f>IF(N2101&gt;0,"P","")</f>
        <v/>
      </c>
      <c r="H2101" s="366" t="s">
        <v>3972</v>
      </c>
      <c r="I2101" s="30" t="s">
        <v>3252</v>
      </c>
      <c r="J2101" s="4"/>
      <c r="K2101" s="4"/>
      <c r="L2101" s="838" t="s">
        <v>3253</v>
      </c>
      <c r="M2101" s="818">
        <v>3</v>
      </c>
      <c r="N2101" s="834">
        <f>'Ch9'!O235</f>
        <v>0</v>
      </c>
      <c r="O2101" s="834">
        <f>M2101*S2101*W2101</f>
        <v>0</v>
      </c>
      <c r="P2101" t="b">
        <v>0</v>
      </c>
      <c r="Q2101" t="b">
        <v>1</v>
      </c>
      <c r="R2101" t="b">
        <v>0</v>
      </c>
      <c r="S2101" t="b">
        <f>NOT(OR(AND(AY1909=INDEX(ddHDucts,2),AY1905=INDEX(ddCDucts,2)),W2098))</f>
        <v>1</v>
      </c>
      <c r="T2101" t="b">
        <f>AND(NOT(S2101),W2101=TRUE)</f>
        <v>0</v>
      </c>
      <c r="W2101" s="17"/>
      <c r="X2101" s="816"/>
      <c r="Y2101" s="1100" t="str">
        <f>IF(LEN('Ch9'!X235)=0,"None",'Ch9'!X235)</f>
        <v>None</v>
      </c>
      <c r="Z2101" s="1102"/>
      <c r="AC2101" t="b">
        <f>OR(AD2101:AE2101)</f>
        <v>0</v>
      </c>
      <c r="AD2101" t="b">
        <f>T2101</f>
        <v>0</v>
      </c>
      <c r="AL2101" t="str">
        <f>SUBSTITUTE(SUBSTITUTE(SUBSTITUTE("vpa"&amp;$B2101&amp;$C2101&amp;$D2101&amp;$E2101,".","_"),"(","_"),")","")</f>
        <v>vpa902_2_4</v>
      </c>
      <c r="AM2101">
        <f>M2101</f>
        <v>3</v>
      </c>
      <c r="AN2101" t="str">
        <f>SUBSTITUTE(SUBSTITUTE(SUBSTITUTE("vpc"&amp;$B2101&amp;$C2101&amp;$D2101&amp;$E2101,".","_"),"(","_"),")","")</f>
        <v>vpc902_2_4</v>
      </c>
      <c r="AO2101">
        <f>O2101</f>
        <v>0</v>
      </c>
      <c r="AP2101" t="str">
        <f>SUBSTITUTE(SUBSTITUTE(SUBSTITUTE("vch"&amp;$B2101&amp;$C2101&amp;$D2101&amp;$E2101,".","_"),"(","_"),")","")</f>
        <v>vch902_2_4</v>
      </c>
      <c r="AQ2101" t="str">
        <f>IF(LEN(W2101)=0,"",W2101)</f>
        <v/>
      </c>
      <c r="AR2101" t="str">
        <f>SUBSTITUTE(SUBSTITUTE(SUBSTITUTE("vnt"&amp;$B2101&amp;$C2101&amp;$D2101&amp;$E2101,".","_"),"(","_"),")","")</f>
        <v>vnt902_2_4</v>
      </c>
      <c r="AS2101" t="str">
        <f>IF(LEN(X2101)=0,"",X2101)</f>
        <v/>
      </c>
    </row>
    <row r="2102" spans="1:45" x14ac:dyDescent="0.35">
      <c r="A2102" s="366">
        <v>9</v>
      </c>
      <c r="B2102" s="738" t="s">
        <v>3252</v>
      </c>
      <c r="C2102" s="731"/>
      <c r="D2102" s="731"/>
      <c r="E2102" s="731"/>
      <c r="F2102" s="731"/>
      <c r="G2102" s="366" t="str">
        <f>G2101</f>
        <v/>
      </c>
      <c r="H2102" s="366" t="s">
        <v>3972</v>
      </c>
      <c r="I2102" s="93"/>
      <c r="J2102" s="4"/>
      <c r="K2102" s="4"/>
      <c r="L2102" s="838"/>
      <c r="M2102" s="818"/>
      <c r="N2102" s="834"/>
      <c r="O2102" s="834"/>
      <c r="X2102" s="817"/>
      <c r="Y2102" s="1100"/>
      <c r="Z2102" s="1102"/>
    </row>
    <row r="2103" spans="1:45" ht="15" thickBot="1" x14ac:dyDescent="0.4">
      <c r="A2103" s="366">
        <v>9</v>
      </c>
      <c r="B2103" s="738" t="s">
        <v>3252</v>
      </c>
      <c r="C2103" s="731"/>
      <c r="D2103" s="731"/>
      <c r="E2103" s="731"/>
      <c r="F2103" s="731"/>
      <c r="G2103" s="366" t="str">
        <f>G2102</f>
        <v/>
      </c>
      <c r="H2103" s="366" t="s">
        <v>3972</v>
      </c>
      <c r="I2103" s="294"/>
      <c r="J2103" s="160"/>
      <c r="K2103" s="160"/>
      <c r="L2103" s="849"/>
      <c r="M2103" s="827"/>
      <c r="N2103" s="863"/>
      <c r="O2103" s="863"/>
      <c r="P2103" s="55"/>
      <c r="Q2103" s="55"/>
      <c r="R2103" s="55"/>
      <c r="S2103" s="55"/>
      <c r="T2103" s="55"/>
      <c r="U2103" s="55"/>
      <c r="V2103" s="55"/>
      <c r="W2103" s="55"/>
      <c r="X2103" s="829"/>
      <c r="Y2103" s="1101"/>
      <c r="Z2103" s="1104"/>
    </row>
    <row r="2104" spans="1:45" ht="15.75" customHeight="1" thickTop="1" x14ac:dyDescent="0.35">
      <c r="A2104" s="366">
        <v>9</v>
      </c>
      <c r="B2104" s="738" t="s">
        <v>4497</v>
      </c>
      <c r="C2104" s="731"/>
      <c r="D2104" s="731"/>
      <c r="E2104" s="731"/>
      <c r="F2104" s="731"/>
      <c r="G2104" s="366" t="s">
        <v>3973</v>
      </c>
      <c r="H2104" s="366" t="s">
        <v>3970</v>
      </c>
      <c r="I2104" s="38" t="s">
        <v>4497</v>
      </c>
      <c r="J2104" s="402"/>
      <c r="K2104" s="402"/>
      <c r="L2104" s="841" t="s">
        <v>4498</v>
      </c>
      <c r="M2104" s="899" t="str">
        <f>IF(R2104,"Mandatory","N/A")</f>
        <v>Mandatory</v>
      </c>
      <c r="N2104" s="545"/>
      <c r="O2104" s="308"/>
      <c r="P2104" s="59" t="b">
        <v>1</v>
      </c>
      <c r="Q2104" s="59" t="b">
        <v>0</v>
      </c>
      <c r="R2104" s="59" t="b">
        <v>1</v>
      </c>
      <c r="S2104" s="59" t="b">
        <v>1</v>
      </c>
      <c r="T2104" s="59" t="b">
        <f>AND(LEN(W2156)&gt;0,W2156&gt;4,OR(W2104="ICC IRC F",W2104="N/A"))</f>
        <v>0</v>
      </c>
      <c r="U2104" t="str">
        <f>SUBSTITUTE(SUBSTITUTE(SUBSTITUTE("dd"&amp;B2104&amp;C2104&amp;D2104&amp;E2104&amp;F2104,".","_"),"(","_"),")","")</f>
        <v>dd902_3</v>
      </c>
      <c r="V2104" s="59"/>
      <c r="W2104" s="9"/>
      <c r="X2104" s="864"/>
      <c r="Y2104" s="1100" t="str">
        <f>IF(LEN('Ch9'!X238)=0,"None",'Ch9'!X238)</f>
        <v>None</v>
      </c>
      <c r="Z2104" s="1102"/>
      <c r="AC2104" t="b">
        <f>OR(AD2104:AE2104)</f>
        <v>1</v>
      </c>
      <c r="AD2104" t="b">
        <f>T2104</f>
        <v>0</v>
      </c>
      <c r="AE2104" t="b">
        <f>AND(R2104,OR(W2104="Not Met",W2104=""))</f>
        <v>1</v>
      </c>
      <c r="AF2104" t="b">
        <f>AND(AE2104,NOT(Q2104))</f>
        <v>1</v>
      </c>
      <c r="AL2104" t="str">
        <f>SUBSTITUTE(SUBSTITUTE(SUBSTITUTE("vpa"&amp;$B2104&amp;$C2104&amp;$D2104&amp;$E2104,".","_"),"(","_"),")","")</f>
        <v>vpa902_3</v>
      </c>
      <c r="AM2104" t="str">
        <f>M2104</f>
        <v>Mandatory</v>
      </c>
      <c r="AP2104" t="str">
        <f>SUBSTITUTE(SUBSTITUTE(SUBSTITUTE("vch"&amp;$B2104&amp;$C2104&amp;$D2104&amp;$E2104,".","_"),"(","_"),")","")</f>
        <v>vch902_3</v>
      </c>
      <c r="AQ2104" t="str">
        <f>IF(LEN(W2104)=0,"",W2104)</f>
        <v/>
      </c>
      <c r="AR2104" t="str">
        <f>SUBSTITUTE(SUBSTITUTE(SUBSTITUTE("vnt"&amp;$B2104&amp;$C2104&amp;$D2104&amp;$E2104,".","_"),"(","_"),")","")</f>
        <v>vnt902_3</v>
      </c>
      <c r="AS2104" t="str">
        <f>IF(LEN(X2104)=0,"",X2104)</f>
        <v/>
      </c>
    </row>
    <row r="2105" spans="1:45" x14ac:dyDescent="0.35">
      <c r="A2105" s="366">
        <v>9</v>
      </c>
      <c r="B2105" s="738" t="s">
        <v>4497</v>
      </c>
      <c r="C2105" s="731"/>
      <c r="D2105" s="731"/>
      <c r="E2105" s="731"/>
      <c r="F2105" s="731"/>
      <c r="G2105" s="366" t="s">
        <v>3973</v>
      </c>
      <c r="H2105" s="366" t="s">
        <v>3970</v>
      </c>
      <c r="I2105" s="402"/>
      <c r="J2105" s="402"/>
      <c r="K2105" s="402"/>
      <c r="L2105" s="841"/>
      <c r="M2105" s="885"/>
      <c r="N2105" s="41"/>
      <c r="O2105" s="75"/>
      <c r="X2105" s="851"/>
      <c r="Y2105" s="1100"/>
      <c r="Z2105" s="1102"/>
    </row>
    <row r="2106" spans="1:45" x14ac:dyDescent="0.35">
      <c r="A2106" s="366">
        <v>9</v>
      </c>
      <c r="B2106" s="738" t="s">
        <v>4497</v>
      </c>
      <c r="C2106" s="731"/>
      <c r="D2106" s="731"/>
      <c r="E2106" s="731"/>
      <c r="F2106" s="731"/>
      <c r="G2106" s="366" t="s">
        <v>3973</v>
      </c>
      <c r="H2106" s="366" t="s">
        <v>3970</v>
      </c>
      <c r="I2106" s="402"/>
      <c r="J2106" s="402"/>
      <c r="K2106" s="402"/>
      <c r="L2106" s="841"/>
      <c r="M2106" s="885"/>
      <c r="N2106" s="41"/>
      <c r="O2106" s="75"/>
      <c r="X2106" s="851"/>
      <c r="Y2106" s="1100"/>
      <c r="Z2106" s="1102"/>
    </row>
    <row r="2107" spans="1:45" x14ac:dyDescent="0.35">
      <c r="A2107" s="366">
        <v>9</v>
      </c>
      <c r="B2107" s="738" t="s">
        <v>4497</v>
      </c>
      <c r="C2107" s="731" t="s">
        <v>256</v>
      </c>
      <c r="D2107" s="731"/>
      <c r="E2107" s="731"/>
      <c r="F2107" s="746"/>
      <c r="G2107" s="366" t="s">
        <v>3973</v>
      </c>
      <c r="H2107" s="366" t="s">
        <v>3970</v>
      </c>
      <c r="I2107" s="402"/>
      <c r="J2107" s="402" t="s">
        <v>256</v>
      </c>
      <c r="K2107" s="402"/>
      <c r="L2107" s="517" t="s">
        <v>3254</v>
      </c>
      <c r="N2107" s="41">
        <f ca="1">'Ch9'!O241</f>
        <v>0</v>
      </c>
      <c r="O2107" s="75">
        <f ca="1">IFERROR(INDEX({0,12,0,0},MATCH(W2104,INDIRECT(U2104),0)),0)*S2107</f>
        <v>0</v>
      </c>
      <c r="R2107" t="b">
        <f>S2107</f>
        <v>0</v>
      </c>
      <c r="S2107" t="b">
        <f>(BE1882= 1)</f>
        <v>0</v>
      </c>
      <c r="X2107" s="851"/>
      <c r="Y2107" s="1100"/>
      <c r="Z2107" s="1102"/>
      <c r="AN2107" t="str">
        <f>SUBSTITUTE(SUBSTITUTE(SUBSTITUTE("vpc"&amp;$B2107&amp;$C2107&amp;$D2107&amp;$E2107,".","_"),"(","_"),")","")</f>
        <v>vpc902_3_1</v>
      </c>
      <c r="AO2107">
        <f ca="1">O2107</f>
        <v>0</v>
      </c>
    </row>
    <row r="2108" spans="1:45" x14ac:dyDescent="0.35">
      <c r="A2108" s="366">
        <v>9</v>
      </c>
      <c r="B2108" s="738" t="s">
        <v>4497</v>
      </c>
      <c r="C2108" s="731" t="s">
        <v>256</v>
      </c>
      <c r="D2108" s="731" t="s">
        <v>121</v>
      </c>
      <c r="E2108" s="731"/>
      <c r="F2108" s="746"/>
      <c r="G2108" s="366" t="s">
        <v>3973</v>
      </c>
      <c r="H2108" s="366" t="s">
        <v>3970</v>
      </c>
      <c r="I2108" s="402"/>
      <c r="J2108" s="402"/>
      <c r="K2108" s="402" t="s">
        <v>121</v>
      </c>
      <c r="L2108" s="517" t="s">
        <v>4499</v>
      </c>
      <c r="M2108" s="459" t="str">
        <f>IF(R2107,"Mandatory","N/A")</f>
        <v>N/A</v>
      </c>
      <c r="N2108" s="41"/>
      <c r="O2108" s="75"/>
      <c r="X2108" s="851"/>
      <c r="Y2108" s="1100"/>
      <c r="Z2108" s="1102"/>
      <c r="AL2108" t="str">
        <f>SUBSTITUTE(SUBSTITUTE(SUBSTITUTE("vpa"&amp;$B2108&amp;$C2108&amp;$D2108&amp;$E2108,".","_"),"(","_"),")","")</f>
        <v>vpa902_3_1_a</v>
      </c>
      <c r="AM2108" t="str">
        <f>M2108</f>
        <v>N/A</v>
      </c>
    </row>
    <row r="2109" spans="1:45" x14ac:dyDescent="0.35">
      <c r="A2109" s="366">
        <v>9</v>
      </c>
      <c r="B2109" s="738" t="s">
        <v>4497</v>
      </c>
      <c r="C2109" s="731" t="s">
        <v>256</v>
      </c>
      <c r="D2109" s="731" t="s">
        <v>122</v>
      </c>
      <c r="E2109" s="731"/>
      <c r="F2109" s="746"/>
      <c r="G2109" s="366" t="s">
        <v>3973</v>
      </c>
      <c r="H2109" s="366" t="s">
        <v>3970</v>
      </c>
      <c r="I2109" s="402"/>
      <c r="J2109" s="416"/>
      <c r="K2109" s="416" t="s">
        <v>122</v>
      </c>
      <c r="L2109" s="518" t="s">
        <v>4500</v>
      </c>
      <c r="M2109" s="268">
        <v>12</v>
      </c>
      <c r="N2109" s="546"/>
      <c r="O2109" s="309"/>
      <c r="X2109" s="851"/>
      <c r="Y2109" s="1100"/>
      <c r="Z2109" s="1102"/>
      <c r="AL2109" t="str">
        <f>SUBSTITUTE(SUBSTITUTE(SUBSTITUTE("vpa"&amp;$B2109&amp;$C2109&amp;$D2109&amp;$E2109,".","_"),"(","_"),")","")</f>
        <v>vpa902_3_1_b</v>
      </c>
      <c r="AM2109">
        <f>M2109</f>
        <v>12</v>
      </c>
    </row>
    <row r="2110" spans="1:45" ht="15" customHeight="1" x14ac:dyDescent="0.35">
      <c r="A2110" s="366">
        <v>9</v>
      </c>
      <c r="B2110" s="738" t="s">
        <v>4497</v>
      </c>
      <c r="C2110" s="731" t="s">
        <v>258</v>
      </c>
      <c r="D2110" s="731"/>
      <c r="E2110" s="731"/>
      <c r="F2110" s="746"/>
      <c r="G2110" s="366" t="s">
        <v>3973</v>
      </c>
      <c r="H2110" s="366" t="s">
        <v>3970</v>
      </c>
      <c r="I2110" s="402"/>
      <c r="J2110" s="402" t="s">
        <v>258</v>
      </c>
      <c r="K2110" s="402"/>
      <c r="L2110" s="517" t="s">
        <v>3255</v>
      </c>
      <c r="M2110" s="40"/>
      <c r="N2110" s="41">
        <f ca="1">'Ch9'!O244</f>
        <v>0</v>
      </c>
      <c r="O2110" s="75">
        <f ca="1">IFERROR(INDEX({6,12,6,0},MATCH(W2104,INDIRECT(U2104),0)),0)*S2110</f>
        <v>0</v>
      </c>
      <c r="R2110" t="b">
        <v>0</v>
      </c>
      <c r="S2110" t="b">
        <f>OR(BE1882=2,BE1882=3)</f>
        <v>0</v>
      </c>
      <c r="X2110" s="851"/>
      <c r="Y2110" s="1100"/>
      <c r="Z2110" s="1102"/>
      <c r="AN2110" t="str">
        <f>SUBSTITUTE(SUBSTITUTE(SUBSTITUTE("vpc"&amp;$B2110&amp;$C2110&amp;$D2110&amp;$E2110,".","_"),"(","_"),")","")</f>
        <v>vpc902_3_2</v>
      </c>
      <c r="AO2110">
        <f ca="1">O2110</f>
        <v>0</v>
      </c>
    </row>
    <row r="2111" spans="1:45" ht="15" customHeight="1" x14ac:dyDescent="0.35">
      <c r="A2111" s="366">
        <v>9</v>
      </c>
      <c r="B2111" s="738" t="s">
        <v>4497</v>
      </c>
      <c r="C2111" s="731" t="s">
        <v>258</v>
      </c>
      <c r="D2111" s="731" t="s">
        <v>121</v>
      </c>
      <c r="E2111" s="731"/>
      <c r="F2111" s="746"/>
      <c r="G2111" s="366" t="s">
        <v>3973</v>
      </c>
      <c r="H2111" s="366" t="s">
        <v>3970</v>
      </c>
      <c r="I2111" s="402"/>
      <c r="J2111" s="402"/>
      <c r="K2111" s="402" t="s">
        <v>121</v>
      </c>
      <c r="L2111" s="517" t="s">
        <v>4499</v>
      </c>
      <c r="M2111" s="40">
        <v>6</v>
      </c>
      <c r="O2111" s="75"/>
      <c r="X2111" s="851"/>
      <c r="Y2111" s="1100"/>
      <c r="Z2111" s="1102"/>
      <c r="AL2111" t="str">
        <f>SUBSTITUTE(SUBSTITUTE(SUBSTITUTE("vpa"&amp;$B2111&amp;$C2111&amp;$D2111&amp;$E2111,".","_"),"(","_"),")","")</f>
        <v>vpa902_3_2_a</v>
      </c>
      <c r="AM2111">
        <f>M2111</f>
        <v>6</v>
      </c>
    </row>
    <row r="2112" spans="1:45" ht="15" customHeight="1" x14ac:dyDescent="0.35">
      <c r="A2112" s="366">
        <v>9</v>
      </c>
      <c r="B2112" s="738" t="s">
        <v>4497</v>
      </c>
      <c r="C2112" s="731" t="s">
        <v>258</v>
      </c>
      <c r="D2112" s="731" t="s">
        <v>122</v>
      </c>
      <c r="G2112" s="366" t="s">
        <v>3973</v>
      </c>
      <c r="H2112" s="366" t="s">
        <v>3970</v>
      </c>
      <c r="I2112" s="416"/>
      <c r="J2112" s="416"/>
      <c r="K2112" s="416" t="s">
        <v>122</v>
      </c>
      <c r="L2112" s="518" t="s">
        <v>4500</v>
      </c>
      <c r="M2112" s="40">
        <v>12</v>
      </c>
      <c r="N2112" s="104"/>
      <c r="X2112" s="816"/>
      <c r="Y2112" s="1100"/>
      <c r="Z2112" s="1102"/>
      <c r="AL2112" t="str">
        <f>SUBSTITUTE(SUBSTITUTE(SUBSTITUTE("vpa"&amp;$B2112&amp;$C2112&amp;$D2112&amp;$E2112,".","_"),"(","_"),")","")</f>
        <v>vpa902_3_2_b</v>
      </c>
      <c r="AM2112">
        <f>M2112</f>
        <v>12</v>
      </c>
    </row>
    <row r="2113" spans="1:45" ht="15" customHeight="1" x14ac:dyDescent="0.35">
      <c r="A2113" s="366">
        <v>9</v>
      </c>
      <c r="B2113" s="738" t="s">
        <v>4501</v>
      </c>
      <c r="C2113" s="731"/>
      <c r="D2113" s="731"/>
      <c r="E2113" s="738"/>
      <c r="F2113" s="738"/>
      <c r="G2113" s="366" t="s">
        <v>3973</v>
      </c>
      <c r="H2113" s="366" t="s">
        <v>3970</v>
      </c>
      <c r="I2113" s="402" t="s">
        <v>4501</v>
      </c>
      <c r="J2113" s="402"/>
      <c r="K2113" s="402"/>
      <c r="L2113" s="485" t="s">
        <v>4502</v>
      </c>
      <c r="M2113" s="118"/>
      <c r="O2113" s="120"/>
      <c r="X2113" s="36"/>
      <c r="Y2113" s="396"/>
      <c r="Z2113" s="652"/>
      <c r="AR2113" t="str">
        <f>SUBSTITUTE(SUBSTITUTE(SUBSTITUTE("vnt"&amp;$B2113&amp;$C2113&amp;$D2113&amp;$E2113,".","_"),"(","_"),")","")</f>
        <v>vnt902_3_1</v>
      </c>
      <c r="AS2113" t="str">
        <f>IF(LEN(X2113)=0,"",X2113)</f>
        <v/>
      </c>
    </row>
    <row r="2114" spans="1:45" ht="15" customHeight="1" x14ac:dyDescent="0.35">
      <c r="A2114" s="366">
        <v>9</v>
      </c>
      <c r="B2114" s="738" t="s">
        <v>4503</v>
      </c>
      <c r="C2114" s="731"/>
      <c r="D2114" s="731"/>
      <c r="E2114" s="738"/>
      <c r="F2114" s="738"/>
      <c r="G2114" s="366" t="s">
        <v>3973</v>
      </c>
      <c r="H2114" s="366" t="s">
        <v>3970</v>
      </c>
      <c r="I2114" s="402" t="s">
        <v>4503</v>
      </c>
      <c r="J2114" s="402"/>
      <c r="K2114" s="402"/>
      <c r="L2114" s="841" t="s">
        <v>4504</v>
      </c>
      <c r="M2114" s="4"/>
    </row>
    <row r="2115" spans="1:45" ht="15" customHeight="1" x14ac:dyDescent="0.35">
      <c r="A2115" s="366">
        <v>9</v>
      </c>
      <c r="B2115" s="738" t="s">
        <v>4503</v>
      </c>
      <c r="C2115" s="731"/>
      <c r="D2115" s="731"/>
      <c r="E2115" s="738"/>
      <c r="F2115" s="738"/>
      <c r="G2115" s="366" t="s">
        <v>3973</v>
      </c>
      <c r="H2115" s="366" t="s">
        <v>3970</v>
      </c>
      <c r="I2115" s="402"/>
      <c r="J2115" s="402"/>
      <c r="K2115" s="402"/>
      <c r="L2115" s="841"/>
      <c r="M2115" s="4"/>
    </row>
    <row r="2116" spans="1:45" x14ac:dyDescent="0.35">
      <c r="A2116" s="366">
        <v>9</v>
      </c>
      <c r="B2116" s="738" t="s">
        <v>4503</v>
      </c>
      <c r="C2116" s="731"/>
      <c r="D2116" s="731"/>
      <c r="E2116" s="738"/>
      <c r="F2116" s="738"/>
      <c r="G2116" s="366" t="s">
        <v>3973</v>
      </c>
      <c r="H2116" s="366" t="s">
        <v>3970</v>
      </c>
      <c r="I2116" s="402"/>
      <c r="J2116" s="402"/>
      <c r="K2116" s="402"/>
      <c r="L2116" s="841"/>
      <c r="M2116" s="4"/>
    </row>
    <row r="2117" spans="1:45" x14ac:dyDescent="0.35">
      <c r="A2117" s="366">
        <v>9</v>
      </c>
      <c r="B2117" s="738" t="s">
        <v>4503</v>
      </c>
      <c r="C2117" s="731"/>
      <c r="D2117" s="731"/>
      <c r="E2117" s="738"/>
      <c r="F2117" s="738"/>
      <c r="G2117" s="366" t="s">
        <v>3973</v>
      </c>
      <c r="H2117" s="366" t="s">
        <v>3970</v>
      </c>
      <c r="I2117" s="402"/>
      <c r="J2117" s="402"/>
      <c r="K2117" s="402"/>
      <c r="L2117" s="841"/>
      <c r="M2117" s="4"/>
    </row>
    <row r="2118" spans="1:45" x14ac:dyDescent="0.35">
      <c r="A2118" s="366">
        <v>9</v>
      </c>
      <c r="B2118" s="738" t="s">
        <v>4503</v>
      </c>
      <c r="C2118" s="731"/>
      <c r="D2118" s="731"/>
      <c r="E2118" s="738"/>
      <c r="F2118" s="738"/>
      <c r="G2118" s="366" t="s">
        <v>3973</v>
      </c>
      <c r="H2118" s="366" t="s">
        <v>3970</v>
      </c>
      <c r="I2118" s="402"/>
      <c r="J2118" s="402"/>
      <c r="K2118" s="402"/>
      <c r="L2118" s="841"/>
      <c r="M2118" s="4"/>
    </row>
    <row r="2119" spans="1:45" x14ac:dyDescent="0.35">
      <c r="A2119" s="366">
        <v>9</v>
      </c>
      <c r="B2119" s="738" t="s">
        <v>4503</v>
      </c>
      <c r="C2119" s="731"/>
      <c r="D2119" s="731"/>
      <c r="E2119" s="738"/>
      <c r="F2119" s="738"/>
      <c r="G2119" s="366" t="s">
        <v>3973</v>
      </c>
      <c r="H2119" s="366" t="s">
        <v>3970</v>
      </c>
      <c r="I2119" s="402"/>
      <c r="J2119" s="402"/>
      <c r="K2119" s="402"/>
      <c r="L2119" s="841"/>
      <c r="M2119" s="4"/>
    </row>
    <row r="2120" spans="1:45" x14ac:dyDescent="0.35">
      <c r="A2120" s="366">
        <v>9</v>
      </c>
      <c r="B2120" s="738" t="s">
        <v>4503</v>
      </c>
      <c r="C2120" s="731"/>
      <c r="D2120" s="731"/>
      <c r="E2120" s="738"/>
      <c r="F2120" s="738"/>
      <c r="G2120" s="366" t="s">
        <v>3973</v>
      </c>
      <c r="H2120" s="366" t="s">
        <v>3970</v>
      </c>
      <c r="I2120" s="402"/>
      <c r="J2120" s="402"/>
      <c r="K2120" s="402"/>
      <c r="L2120" s="841"/>
      <c r="M2120" s="4"/>
    </row>
    <row r="2121" spans="1:45" x14ac:dyDescent="0.35">
      <c r="A2121" s="366">
        <v>9</v>
      </c>
      <c r="B2121" s="738" t="s">
        <v>4503</v>
      </c>
      <c r="C2121" s="731"/>
      <c r="D2121" s="731"/>
      <c r="E2121" s="738"/>
      <c r="F2121" s="738"/>
      <c r="G2121" s="366" t="s">
        <v>3973</v>
      </c>
      <c r="H2121" s="366" t="s">
        <v>3970</v>
      </c>
      <c r="I2121" s="416"/>
      <c r="J2121" s="416"/>
      <c r="K2121" s="416"/>
      <c r="L2121" s="962"/>
      <c r="M2121" s="4"/>
    </row>
    <row r="2122" spans="1:45" x14ac:dyDescent="0.35">
      <c r="A2122" s="366">
        <v>9</v>
      </c>
      <c r="B2122" s="738" t="s">
        <v>4505</v>
      </c>
      <c r="C2122" s="731"/>
      <c r="D2122" s="731"/>
      <c r="E2122" s="738"/>
      <c r="F2122" s="738"/>
      <c r="G2122" s="366" t="s">
        <v>3973</v>
      </c>
      <c r="H2122" s="366" t="s">
        <v>3970</v>
      </c>
      <c r="I2122" s="424" t="s">
        <v>4505</v>
      </c>
      <c r="J2122" s="424"/>
      <c r="K2122" s="424"/>
      <c r="L2122" s="961" t="s">
        <v>4506</v>
      </c>
      <c r="M2122" s="4"/>
    </row>
    <row r="2123" spans="1:45" x14ac:dyDescent="0.35">
      <c r="A2123" s="366">
        <v>9</v>
      </c>
      <c r="B2123" s="738" t="s">
        <v>4505</v>
      </c>
      <c r="C2123" s="731"/>
      <c r="D2123" s="731"/>
      <c r="E2123" s="738"/>
      <c r="F2123" s="738"/>
      <c r="G2123" s="366" t="s">
        <v>3973</v>
      </c>
      <c r="H2123" s="366" t="s">
        <v>3970</v>
      </c>
      <c r="I2123" s="402"/>
      <c r="J2123" s="402"/>
      <c r="K2123" s="402"/>
      <c r="L2123" s="841"/>
      <c r="M2123" s="4"/>
    </row>
    <row r="2124" spans="1:45" x14ac:dyDescent="0.35">
      <c r="A2124" s="366">
        <v>9</v>
      </c>
      <c r="B2124" s="738" t="s">
        <v>4505</v>
      </c>
      <c r="C2124" s="731"/>
      <c r="D2124" s="731"/>
      <c r="E2124" s="738"/>
      <c r="F2124" s="738"/>
      <c r="G2124" s="366" t="s">
        <v>3973</v>
      </c>
      <c r="H2124" s="366" t="s">
        <v>3970</v>
      </c>
      <c r="I2124" s="402"/>
      <c r="J2124" s="402"/>
      <c r="K2124" s="402"/>
      <c r="L2124" s="841"/>
      <c r="M2124" s="4"/>
    </row>
    <row r="2125" spans="1:45" x14ac:dyDescent="0.35">
      <c r="A2125" s="366">
        <v>9</v>
      </c>
      <c r="B2125" s="738" t="s">
        <v>4505</v>
      </c>
      <c r="C2125" s="731"/>
      <c r="D2125" s="731"/>
      <c r="E2125" s="738"/>
      <c r="F2125" s="738"/>
      <c r="G2125" s="366" t="s">
        <v>3973</v>
      </c>
      <c r="H2125" s="366" t="s">
        <v>3970</v>
      </c>
      <c r="I2125" s="402"/>
      <c r="J2125" s="402"/>
      <c r="K2125" s="402"/>
      <c r="L2125" s="841"/>
      <c r="M2125" s="4"/>
    </row>
    <row r="2126" spans="1:45" x14ac:dyDescent="0.35">
      <c r="A2126" s="366">
        <v>9</v>
      </c>
      <c r="B2126" s="738" t="s">
        <v>4505</v>
      </c>
      <c r="C2126" s="731"/>
      <c r="D2126" s="731"/>
      <c r="E2126" s="738"/>
      <c r="F2126" s="738"/>
      <c r="G2126" s="366" t="s">
        <v>3973</v>
      </c>
      <c r="H2126" s="366" t="s">
        <v>3970</v>
      </c>
      <c r="I2126" s="402"/>
      <c r="J2126" s="402"/>
      <c r="K2126" s="402"/>
      <c r="L2126" s="841"/>
      <c r="M2126" s="4"/>
    </row>
    <row r="2127" spans="1:45" x14ac:dyDescent="0.35">
      <c r="A2127" s="366">
        <v>9</v>
      </c>
      <c r="B2127" s="738" t="s">
        <v>4505</v>
      </c>
      <c r="C2127" s="731"/>
      <c r="D2127" s="731"/>
      <c r="E2127" s="738"/>
      <c r="F2127" s="738"/>
      <c r="G2127" s="366" t="s">
        <v>3973</v>
      </c>
      <c r="H2127" s="366" t="s">
        <v>3970</v>
      </c>
      <c r="I2127" s="402"/>
      <c r="J2127" s="402"/>
      <c r="K2127" s="402"/>
      <c r="L2127" s="841"/>
      <c r="M2127" s="4"/>
    </row>
    <row r="2128" spans="1:45" x14ac:dyDescent="0.35">
      <c r="A2128" s="366">
        <v>9</v>
      </c>
      <c r="B2128" s="738" t="s">
        <v>4505</v>
      </c>
      <c r="C2128" s="731"/>
      <c r="D2128" s="731"/>
      <c r="E2128" s="738"/>
      <c r="F2128" s="738"/>
      <c r="G2128" s="366" t="s">
        <v>3973</v>
      </c>
      <c r="H2128" s="366" t="s">
        <v>3970</v>
      </c>
      <c r="I2128" s="416"/>
      <c r="J2128" s="416"/>
      <c r="K2128" s="416"/>
      <c r="L2128" s="962"/>
      <c r="M2128" s="4"/>
    </row>
    <row r="2129" spans="1:13" x14ac:dyDescent="0.35">
      <c r="A2129" s="366">
        <v>9</v>
      </c>
      <c r="B2129" s="738" t="s">
        <v>4507</v>
      </c>
      <c r="C2129" s="731"/>
      <c r="D2129" s="731"/>
      <c r="E2129" s="738"/>
      <c r="F2129" s="738"/>
      <c r="G2129" s="366" t="s">
        <v>3973</v>
      </c>
      <c r="H2129" s="366" t="s">
        <v>3970</v>
      </c>
      <c r="I2129" s="424" t="s">
        <v>4507</v>
      </c>
      <c r="J2129" s="424"/>
      <c r="K2129" s="424"/>
      <c r="L2129" s="961" t="s">
        <v>4508</v>
      </c>
      <c r="M2129" s="4"/>
    </row>
    <row r="2130" spans="1:13" x14ac:dyDescent="0.35">
      <c r="A2130" s="366">
        <v>9</v>
      </c>
      <c r="B2130" s="738" t="s">
        <v>4507</v>
      </c>
      <c r="C2130" s="731"/>
      <c r="D2130" s="731"/>
      <c r="E2130" s="738"/>
      <c r="F2130" s="738"/>
      <c r="G2130" s="366" t="s">
        <v>3973</v>
      </c>
      <c r="H2130" s="366" t="s">
        <v>3970</v>
      </c>
      <c r="I2130" s="402"/>
      <c r="J2130" s="402"/>
      <c r="K2130" s="402"/>
      <c r="L2130" s="841"/>
      <c r="M2130" s="4"/>
    </row>
    <row r="2131" spans="1:13" x14ac:dyDescent="0.35">
      <c r="A2131" s="366">
        <v>9</v>
      </c>
      <c r="B2131" s="738" t="s">
        <v>4507</v>
      </c>
      <c r="C2131" s="731"/>
      <c r="D2131" s="731"/>
      <c r="E2131" s="738"/>
      <c r="F2131" s="738"/>
      <c r="G2131" s="366" t="s">
        <v>3973</v>
      </c>
      <c r="H2131" s="366" t="s">
        <v>3970</v>
      </c>
      <c r="I2131" s="402"/>
      <c r="J2131" s="402"/>
      <c r="K2131" s="402"/>
      <c r="L2131" s="841"/>
      <c r="M2131" s="4"/>
    </row>
    <row r="2132" spans="1:13" x14ac:dyDescent="0.35">
      <c r="A2132" s="366">
        <v>9</v>
      </c>
      <c r="B2132" s="738" t="s">
        <v>4507</v>
      </c>
      <c r="C2132" s="731"/>
      <c r="D2132" s="731"/>
      <c r="E2132" s="738"/>
      <c r="F2132" s="738"/>
      <c r="G2132" s="366" t="s">
        <v>3973</v>
      </c>
      <c r="H2132" s="366" t="s">
        <v>3970</v>
      </c>
      <c r="I2132" s="402"/>
      <c r="J2132" s="402"/>
      <c r="K2132" s="402"/>
      <c r="L2132" s="841"/>
      <c r="M2132" s="4"/>
    </row>
    <row r="2133" spans="1:13" x14ac:dyDescent="0.35">
      <c r="A2133" s="366">
        <v>9</v>
      </c>
      <c r="B2133" s="738" t="s">
        <v>4507</v>
      </c>
      <c r="C2133" s="731"/>
      <c r="D2133" s="731"/>
      <c r="E2133" s="738"/>
      <c r="F2133" s="738"/>
      <c r="G2133" s="366" t="s">
        <v>3973</v>
      </c>
      <c r="H2133" s="366" t="s">
        <v>3970</v>
      </c>
      <c r="I2133" s="402"/>
      <c r="J2133" s="402"/>
      <c r="K2133" s="402"/>
      <c r="L2133" s="841"/>
      <c r="M2133" s="4"/>
    </row>
    <row r="2134" spans="1:13" x14ac:dyDescent="0.35">
      <c r="A2134" s="366">
        <v>9</v>
      </c>
      <c r="B2134" s="738" t="s">
        <v>4507</v>
      </c>
      <c r="C2134" s="731"/>
      <c r="D2134" s="731"/>
      <c r="E2134" s="738"/>
      <c r="F2134" s="738"/>
      <c r="G2134" s="366" t="s">
        <v>3973</v>
      </c>
      <c r="H2134" s="366" t="s">
        <v>3970</v>
      </c>
      <c r="I2134" s="402"/>
      <c r="J2134" s="402"/>
      <c r="K2134" s="402"/>
      <c r="L2134" s="841"/>
      <c r="M2134" s="4"/>
    </row>
    <row r="2135" spans="1:13" x14ac:dyDescent="0.35">
      <c r="A2135" s="366">
        <v>9</v>
      </c>
      <c r="B2135" s="738" t="s">
        <v>4507</v>
      </c>
      <c r="C2135" s="731"/>
      <c r="D2135" s="731"/>
      <c r="E2135" s="738"/>
      <c r="F2135" s="738"/>
      <c r="G2135" s="366" t="s">
        <v>3973</v>
      </c>
      <c r="H2135" s="366" t="s">
        <v>3970</v>
      </c>
      <c r="I2135" s="416"/>
      <c r="J2135" s="416"/>
      <c r="K2135" s="416"/>
      <c r="L2135" s="962"/>
      <c r="M2135" s="4"/>
    </row>
    <row r="2136" spans="1:13" x14ac:dyDescent="0.35">
      <c r="A2136" s="366">
        <v>9</v>
      </c>
      <c r="B2136" s="738" t="s">
        <v>4509</v>
      </c>
      <c r="C2136" s="731"/>
      <c r="D2136" s="731"/>
      <c r="E2136" s="738"/>
      <c r="F2136" s="738"/>
      <c r="G2136" s="366" t="s">
        <v>3973</v>
      </c>
      <c r="H2136" s="366" t="s">
        <v>3970</v>
      </c>
      <c r="I2136" s="424" t="s">
        <v>4509</v>
      </c>
      <c r="J2136" s="424"/>
      <c r="K2136" s="424"/>
      <c r="L2136" s="961" t="s">
        <v>4510</v>
      </c>
      <c r="M2136" s="4"/>
    </row>
    <row r="2137" spans="1:13" x14ac:dyDescent="0.35">
      <c r="A2137" s="366">
        <v>9</v>
      </c>
      <c r="B2137" s="738" t="s">
        <v>4509</v>
      </c>
      <c r="C2137" s="731"/>
      <c r="D2137" s="731"/>
      <c r="E2137" s="738"/>
      <c r="F2137" s="738"/>
      <c r="G2137" s="366" t="s">
        <v>3973</v>
      </c>
      <c r="H2137" s="366" t="s">
        <v>3970</v>
      </c>
      <c r="I2137" s="402"/>
      <c r="J2137" s="402"/>
      <c r="K2137" s="402"/>
      <c r="L2137" s="841"/>
      <c r="M2137" s="4"/>
    </row>
    <row r="2138" spans="1:13" x14ac:dyDescent="0.35">
      <c r="A2138" s="366">
        <v>9</v>
      </c>
      <c r="B2138" s="738" t="s">
        <v>4509</v>
      </c>
      <c r="C2138" s="731"/>
      <c r="D2138" s="731"/>
      <c r="E2138" s="738"/>
      <c r="F2138" s="738"/>
      <c r="G2138" s="366" t="s">
        <v>3973</v>
      </c>
      <c r="H2138" s="366" t="s">
        <v>3970</v>
      </c>
      <c r="I2138" s="402"/>
      <c r="J2138" s="402"/>
      <c r="K2138" s="402"/>
      <c r="L2138" s="841"/>
      <c r="M2138" s="4"/>
    </row>
    <row r="2139" spans="1:13" x14ac:dyDescent="0.35">
      <c r="A2139" s="366">
        <v>9</v>
      </c>
      <c r="B2139" s="738" t="s">
        <v>4509</v>
      </c>
      <c r="C2139" s="731"/>
      <c r="D2139" s="731"/>
      <c r="E2139" s="738"/>
      <c r="F2139" s="738"/>
      <c r="G2139" s="366" t="s">
        <v>3973</v>
      </c>
      <c r="H2139" s="366" t="s">
        <v>3970</v>
      </c>
      <c r="I2139" s="402"/>
      <c r="J2139" s="402"/>
      <c r="K2139" s="402"/>
      <c r="L2139" s="841"/>
      <c r="M2139" s="4"/>
    </row>
    <row r="2140" spans="1:13" x14ac:dyDescent="0.35">
      <c r="A2140" s="366">
        <v>9</v>
      </c>
      <c r="B2140" s="738" t="s">
        <v>4509</v>
      </c>
      <c r="C2140" s="731"/>
      <c r="D2140" s="731"/>
      <c r="E2140" s="738"/>
      <c r="F2140" s="738"/>
      <c r="G2140" s="366" t="s">
        <v>3973</v>
      </c>
      <c r="H2140" s="366" t="s">
        <v>3970</v>
      </c>
      <c r="I2140" s="416"/>
      <c r="J2140" s="416"/>
      <c r="K2140" s="416"/>
      <c r="L2140" s="962"/>
      <c r="M2140" s="4"/>
    </row>
    <row r="2141" spans="1:13" x14ac:dyDescent="0.35">
      <c r="A2141" s="366">
        <v>9</v>
      </c>
      <c r="B2141" s="738" t="s">
        <v>4511</v>
      </c>
      <c r="C2141" s="731"/>
      <c r="D2141" s="731"/>
      <c r="E2141" s="738"/>
      <c r="F2141" s="738"/>
      <c r="G2141" s="366" t="s">
        <v>3973</v>
      </c>
      <c r="H2141" s="366" t="s">
        <v>3970</v>
      </c>
      <c r="I2141" s="424" t="s">
        <v>4511</v>
      </c>
      <c r="J2141" s="424"/>
      <c r="K2141" s="424"/>
      <c r="L2141" s="961" t="s">
        <v>4512</v>
      </c>
      <c r="M2141" s="4"/>
    </row>
    <row r="2142" spans="1:13" x14ac:dyDescent="0.35">
      <c r="A2142" s="366">
        <v>9</v>
      </c>
      <c r="B2142" s="738" t="s">
        <v>4511</v>
      </c>
      <c r="C2142" s="731"/>
      <c r="D2142" s="731"/>
      <c r="E2142" s="738"/>
      <c r="F2142" s="738"/>
      <c r="G2142" s="366" t="s">
        <v>3973</v>
      </c>
      <c r="H2142" s="366" t="s">
        <v>3970</v>
      </c>
      <c r="I2142" s="416"/>
      <c r="J2142" s="416"/>
      <c r="K2142" s="416"/>
      <c r="L2142" s="962"/>
      <c r="M2142" s="4"/>
    </row>
    <row r="2143" spans="1:13" x14ac:dyDescent="0.35">
      <c r="A2143" s="366">
        <v>9</v>
      </c>
      <c r="B2143" s="738" t="s">
        <v>4513</v>
      </c>
      <c r="C2143" s="731"/>
      <c r="D2143" s="731"/>
      <c r="E2143" s="738"/>
      <c r="F2143" s="738"/>
      <c r="G2143" s="366" t="s">
        <v>3973</v>
      </c>
      <c r="H2143" s="366" t="s">
        <v>3970</v>
      </c>
      <c r="I2143" s="424" t="s">
        <v>4513</v>
      </c>
      <c r="J2143" s="424"/>
      <c r="K2143" s="424"/>
      <c r="L2143" s="961" t="s">
        <v>4514</v>
      </c>
      <c r="M2143" s="4"/>
    </row>
    <row r="2144" spans="1:13" x14ac:dyDescent="0.35">
      <c r="A2144" s="366">
        <v>9</v>
      </c>
      <c r="B2144" s="738" t="s">
        <v>4513</v>
      </c>
      <c r="C2144" s="731"/>
      <c r="D2144" s="731"/>
      <c r="E2144" s="738"/>
      <c r="F2144" s="738"/>
      <c r="G2144" s="366" t="s">
        <v>3973</v>
      </c>
      <c r="H2144" s="366" t="s">
        <v>3970</v>
      </c>
      <c r="I2144" s="402"/>
      <c r="J2144" s="402"/>
      <c r="K2144" s="402"/>
      <c r="L2144" s="841"/>
      <c r="M2144" s="4"/>
    </row>
    <row r="2145" spans="1:45" x14ac:dyDescent="0.35">
      <c r="A2145" s="366">
        <v>9</v>
      </c>
      <c r="B2145" s="738" t="s">
        <v>4513</v>
      </c>
      <c r="C2145" s="731"/>
      <c r="D2145" s="731"/>
      <c r="E2145" s="738"/>
      <c r="F2145" s="738"/>
      <c r="G2145" s="366" t="s">
        <v>3973</v>
      </c>
      <c r="H2145" s="366" t="s">
        <v>3970</v>
      </c>
      <c r="I2145" s="402"/>
      <c r="J2145" s="402"/>
      <c r="K2145" s="402"/>
      <c r="L2145" s="841"/>
      <c r="M2145" s="4"/>
    </row>
    <row r="2146" spans="1:45" x14ac:dyDescent="0.35">
      <c r="A2146" s="366">
        <v>9</v>
      </c>
      <c r="B2146" s="738" t="s">
        <v>4513</v>
      </c>
      <c r="C2146" s="731"/>
      <c r="D2146" s="731"/>
      <c r="E2146" s="738"/>
      <c r="F2146" s="738"/>
      <c r="G2146" s="366" t="s">
        <v>3973</v>
      </c>
      <c r="H2146" s="366" t="s">
        <v>3970</v>
      </c>
      <c r="I2146" s="416"/>
      <c r="J2146" s="416"/>
      <c r="K2146" s="416"/>
      <c r="L2146" s="962"/>
      <c r="M2146" s="4"/>
    </row>
    <row r="2147" spans="1:45" x14ac:dyDescent="0.35">
      <c r="A2147" s="366">
        <v>9</v>
      </c>
      <c r="B2147" s="738" t="s">
        <v>4515</v>
      </c>
      <c r="C2147" s="731"/>
      <c r="D2147" s="731"/>
      <c r="E2147" s="738"/>
      <c r="F2147" s="738"/>
      <c r="G2147" s="366" t="s">
        <v>3973</v>
      </c>
      <c r="H2147" s="366" t="s">
        <v>3970</v>
      </c>
      <c r="I2147" s="424" t="s">
        <v>4515</v>
      </c>
      <c r="J2147" s="424"/>
      <c r="K2147" s="424"/>
      <c r="L2147" s="961" t="s">
        <v>4516</v>
      </c>
      <c r="M2147" s="4"/>
    </row>
    <row r="2148" spans="1:45" x14ac:dyDescent="0.35">
      <c r="A2148" s="366">
        <v>9</v>
      </c>
      <c r="B2148" s="738" t="s">
        <v>4515</v>
      </c>
      <c r="C2148" s="731"/>
      <c r="D2148" s="731"/>
      <c r="E2148" s="738"/>
      <c r="F2148" s="738"/>
      <c r="G2148" s="366" t="s">
        <v>3973</v>
      </c>
      <c r="H2148" s="366" t="s">
        <v>3970</v>
      </c>
      <c r="I2148" s="402"/>
      <c r="J2148" s="402"/>
      <c r="K2148" s="402"/>
      <c r="L2148" s="841"/>
      <c r="M2148" s="4"/>
    </row>
    <row r="2149" spans="1:45" x14ac:dyDescent="0.35">
      <c r="A2149" s="366">
        <v>9</v>
      </c>
      <c r="B2149" s="738" t="s">
        <v>4515</v>
      </c>
      <c r="C2149" s="731"/>
      <c r="D2149" s="731"/>
      <c r="E2149" s="738"/>
      <c r="F2149" s="738"/>
      <c r="G2149" s="366" t="s">
        <v>3973</v>
      </c>
      <c r="H2149" s="366" t="s">
        <v>3970</v>
      </c>
      <c r="I2149" s="416"/>
      <c r="J2149" s="416"/>
      <c r="K2149" s="416"/>
      <c r="L2149" s="962"/>
      <c r="M2149" s="133"/>
      <c r="N2149" s="104"/>
    </row>
    <row r="2150" spans="1:45" x14ac:dyDescent="0.35">
      <c r="A2150" s="366">
        <v>9</v>
      </c>
      <c r="B2150" s="738" t="s">
        <v>4517</v>
      </c>
      <c r="C2150" s="731"/>
      <c r="D2150" s="731"/>
      <c r="E2150" s="738"/>
      <c r="F2150" s="738"/>
      <c r="G2150" s="366" t="s">
        <v>3973</v>
      </c>
      <c r="H2150" s="366" t="s">
        <v>3970</v>
      </c>
      <c r="I2150" s="402" t="s">
        <v>4517</v>
      </c>
      <c r="J2150" s="402"/>
      <c r="K2150" s="402"/>
      <c r="L2150" s="485" t="s">
        <v>4518</v>
      </c>
      <c r="M2150" s="459" t="str">
        <f>IF(R2154,"Mandatory","N/A")</f>
        <v>N/A</v>
      </c>
      <c r="N2150" s="120"/>
      <c r="O2150" s="120"/>
      <c r="P2150" s="120"/>
      <c r="Q2150" s="120"/>
      <c r="R2150" s="120"/>
      <c r="S2150" s="120"/>
      <c r="T2150" s="120"/>
      <c r="AL2150" t="str">
        <f>SUBSTITUTE(SUBSTITUTE(SUBSTITUTE("vpa"&amp;$B2150&amp;$C2150&amp;$D2150&amp;$E2150,".","_"),"(","_"),")","")</f>
        <v>vpa902_3_2</v>
      </c>
      <c r="AM2150" t="str">
        <f>M2150</f>
        <v>N/A</v>
      </c>
    </row>
    <row r="2151" spans="1:45" x14ac:dyDescent="0.35">
      <c r="A2151" s="366">
        <v>9</v>
      </c>
      <c r="B2151" s="738" t="s">
        <v>4517</v>
      </c>
      <c r="C2151" s="731"/>
      <c r="D2151" s="731"/>
      <c r="E2151" s="738"/>
      <c r="F2151" s="738"/>
      <c r="G2151" s="366" t="s">
        <v>3973</v>
      </c>
      <c r="H2151" s="366" t="s">
        <v>3970</v>
      </c>
      <c r="I2151" s="402"/>
      <c r="J2151" s="402"/>
      <c r="K2151" s="402"/>
      <c r="L2151" s="485" t="s">
        <v>4519</v>
      </c>
      <c r="M2151" s="4"/>
      <c r="W2151" t="s">
        <v>4533</v>
      </c>
    </row>
    <row r="2152" spans="1:45" x14ac:dyDescent="0.35">
      <c r="A2152" s="366">
        <v>9</v>
      </c>
      <c r="B2152" s="738" t="s">
        <v>4517</v>
      </c>
      <c r="C2152" s="731"/>
      <c r="D2152" s="731"/>
      <c r="E2152" s="738"/>
      <c r="F2152" s="738"/>
      <c r="G2152" s="366" t="s">
        <v>3973</v>
      </c>
      <c r="H2152" s="366" t="s">
        <v>3970</v>
      </c>
      <c r="I2152" s="402"/>
      <c r="J2152" s="402"/>
      <c r="K2152" s="402"/>
      <c r="L2152" s="957" t="s">
        <v>4520</v>
      </c>
      <c r="M2152" s="4"/>
      <c r="P2152" t="b">
        <v>1</v>
      </c>
      <c r="Q2152" t="b">
        <v>1</v>
      </c>
      <c r="R2152" t="b">
        <v>0</v>
      </c>
      <c r="S2152" t="b">
        <v>1</v>
      </c>
      <c r="T2152" t="b">
        <f>AND(NOT(S2152),W2152=TRUE)</f>
        <v>0</v>
      </c>
      <c r="W2152" s="17"/>
      <c r="AC2152" t="b">
        <f>OR(AD2152:AE2152)</f>
        <v>0</v>
      </c>
      <c r="AD2152" t="b">
        <f>T2152</f>
        <v>0</v>
      </c>
      <c r="AP2152" t="str">
        <f>SUBSTITUTE(SUBSTITUTE(SUBSTITUTE("vch"&amp;$B2152&amp;$C2152&amp;$D2152&amp;$E2152,".","_"),"(","_"),")","")</f>
        <v>vch902_3_2</v>
      </c>
      <c r="AQ2152" t="str">
        <f>IF(LEN(W2152)=0,"",W2152)</f>
        <v/>
      </c>
    </row>
    <row r="2153" spans="1:45" x14ac:dyDescent="0.35">
      <c r="A2153" s="366">
        <v>9</v>
      </c>
      <c r="B2153" s="738" t="s">
        <v>4517</v>
      </c>
      <c r="C2153" s="731"/>
      <c r="D2153" s="731"/>
      <c r="E2153" s="738"/>
      <c r="F2153" s="738"/>
      <c r="G2153" s="366" t="s">
        <v>3973</v>
      </c>
      <c r="H2153" s="366" t="s">
        <v>3970</v>
      </c>
      <c r="I2153" s="402"/>
      <c r="J2153" s="402"/>
      <c r="K2153" s="402"/>
      <c r="L2153" s="957"/>
      <c r="M2153" s="4"/>
    </row>
    <row r="2154" spans="1:45" x14ac:dyDescent="0.35">
      <c r="A2154" s="366">
        <v>9</v>
      </c>
      <c r="B2154" s="738" t="s">
        <v>4517</v>
      </c>
      <c r="C2154" s="738" t="s">
        <v>256</v>
      </c>
      <c r="D2154" s="738"/>
      <c r="E2154" s="738"/>
      <c r="F2154" s="738"/>
      <c r="G2154" s="366" t="s">
        <v>3973</v>
      </c>
      <c r="H2154" s="366" t="s">
        <v>3970</v>
      </c>
      <c r="I2154" s="402"/>
      <c r="J2154" s="402" t="s">
        <v>256</v>
      </c>
      <c r="K2154" s="402"/>
      <c r="L2154" s="517" t="s">
        <v>4521</v>
      </c>
      <c r="M2154" s="40">
        <v>8</v>
      </c>
      <c r="N2154" s="41">
        <f>'Ch9'!O288</f>
        <v>0</v>
      </c>
      <c r="O2154" s="41">
        <f>M2154*S2154*W2154</f>
        <v>0</v>
      </c>
      <c r="P2154" t="b">
        <v>0</v>
      </c>
      <c r="Q2154" t="b">
        <v>1</v>
      </c>
      <c r="R2154" t="b">
        <f>AND(S2154, NOT(W2152=TRUE),BE1882= 1)</f>
        <v>0</v>
      </c>
      <c r="S2154" t="b">
        <v>1</v>
      </c>
      <c r="T2154" t="b">
        <f>AND(NOT(S2154),W2154=TRUE)</f>
        <v>0</v>
      </c>
      <c r="W2154" s="17"/>
      <c r="X2154" s="817"/>
      <c r="Y2154" s="1119" t="str">
        <f>IF(LEN('Ch9'!X288)=0,"None",'Ch9'!X288)</f>
        <v>None</v>
      </c>
      <c r="Z2154" s="1105"/>
      <c r="AC2154" t="b">
        <f>OR(AD2154:AE2154)</f>
        <v>0</v>
      </c>
      <c r="AD2154" t="b">
        <f>T2154</f>
        <v>0</v>
      </c>
      <c r="AE2154" t="b">
        <f>AND(R2154,NOT(W2154))</f>
        <v>0</v>
      </c>
      <c r="AL2154" t="str">
        <f>SUBSTITUTE(SUBSTITUTE(SUBSTITUTE("vpa"&amp;$B2154&amp;$C2154&amp;$D2154&amp;$E2154,".","_"),"(","_"),")","")</f>
        <v>vpa902_3_2_1</v>
      </c>
      <c r="AM2154">
        <f>M2154</f>
        <v>8</v>
      </c>
      <c r="AN2154" t="str">
        <f>SUBSTITUTE(SUBSTITUTE(SUBSTITUTE("vpc"&amp;$B2154&amp;$C2154&amp;$D2154&amp;$E2154,".","_"),"(","_"),")","")</f>
        <v>vpc902_3_2_1</v>
      </c>
      <c r="AO2154">
        <f>O2154</f>
        <v>0</v>
      </c>
      <c r="AP2154" t="str">
        <f>SUBSTITUTE(SUBSTITUTE(SUBSTITUTE("vch"&amp;$B2154&amp;$C2154&amp;$D2154&amp;$E2154,".","_"),"(","_"),")","")</f>
        <v>vch902_3_2_1</v>
      </c>
      <c r="AQ2154" t="str">
        <f>IF(LEN(W2154)=0,"",W2154)</f>
        <v/>
      </c>
      <c r="AR2154" t="str">
        <f>SUBSTITUTE(SUBSTITUTE(SUBSTITUTE("vnt"&amp;$B2154&amp;$C2154&amp;$D2154&amp;$E2154,".","_"),"(","_"),")","")</f>
        <v>vnt902_3_2_1</v>
      </c>
      <c r="AS2154" t="str">
        <f>IF(LEN(X2154)=0,"",X2154)</f>
        <v/>
      </c>
    </row>
    <row r="2155" spans="1:45" x14ac:dyDescent="0.35">
      <c r="A2155" s="366">
        <v>9</v>
      </c>
      <c r="B2155" s="738" t="s">
        <v>4517</v>
      </c>
      <c r="C2155" s="738" t="s">
        <v>256</v>
      </c>
      <c r="D2155" s="738" t="s">
        <v>121</v>
      </c>
      <c r="E2155" s="738"/>
      <c r="F2155" s="738"/>
      <c r="G2155" s="366" t="s">
        <v>3973</v>
      </c>
      <c r="H2155" s="366" t="s">
        <v>3970</v>
      </c>
      <c r="I2155" s="402"/>
      <c r="J2155" s="402"/>
      <c r="K2155" s="402" t="s">
        <v>121</v>
      </c>
      <c r="L2155" s="517" t="s">
        <v>4522</v>
      </c>
      <c r="M2155" s="40"/>
      <c r="O2155" s="41"/>
      <c r="W2155" t="s">
        <v>5620</v>
      </c>
      <c r="X2155" s="817"/>
      <c r="Y2155" s="1120"/>
      <c r="Z2155" s="1109"/>
    </row>
    <row r="2156" spans="1:45" x14ac:dyDescent="0.35">
      <c r="A2156" s="366">
        <v>9</v>
      </c>
      <c r="B2156" s="738" t="s">
        <v>4517</v>
      </c>
      <c r="C2156" s="738" t="s">
        <v>256</v>
      </c>
      <c r="D2156" s="738" t="s">
        <v>122</v>
      </c>
      <c r="E2156" s="738"/>
      <c r="F2156" s="738"/>
      <c r="G2156" s="366" t="s">
        <v>3973</v>
      </c>
      <c r="H2156" s="366" t="s">
        <v>3970</v>
      </c>
      <c r="I2156" s="402"/>
      <c r="J2156" s="402"/>
      <c r="K2156" s="402" t="s">
        <v>122</v>
      </c>
      <c r="L2156" s="957" t="s">
        <v>4523</v>
      </c>
      <c r="M2156" s="4"/>
      <c r="P2156" t="b">
        <v>0</v>
      </c>
      <c r="Q2156" t="b">
        <v>1</v>
      </c>
      <c r="R2156" t="b">
        <f>S2156</f>
        <v>0</v>
      </c>
      <c r="S2156" t="b">
        <f>(W2154=TRUE)</f>
        <v>0</v>
      </c>
      <c r="T2156" t="b">
        <f>AND(NOT(S2156),LEN(W2156)&gt;0)</f>
        <v>0</v>
      </c>
      <c r="W2156" s="644"/>
      <c r="X2156" s="817"/>
      <c r="Y2156" s="1120"/>
      <c r="Z2156" s="1109"/>
      <c r="AC2156" t="b">
        <f>OR(AD2156:AE2156)</f>
        <v>0</v>
      </c>
      <c r="AD2156" t="b">
        <f>T2156</f>
        <v>0</v>
      </c>
      <c r="AE2156" t="b">
        <f>AND(R2156,OR(W2156="Not Met",W2156=""))</f>
        <v>0</v>
      </c>
      <c r="AP2156" t="str">
        <f>SUBSTITUTE(SUBSTITUTE(SUBSTITUTE("vch"&amp;$B2156&amp;$C2156&amp;$D2156&amp;$E2156,".","_"),"(","_"),")","")</f>
        <v>vch902_3_2_1_b</v>
      </c>
      <c r="AQ2156" t="str">
        <f>IF(LEN(W2156)=0,"",W2156)</f>
        <v/>
      </c>
    </row>
    <row r="2157" spans="1:45" x14ac:dyDescent="0.35">
      <c r="A2157" s="366">
        <v>9</v>
      </c>
      <c r="B2157" s="738" t="s">
        <v>4517</v>
      </c>
      <c r="C2157" s="738" t="s">
        <v>256</v>
      </c>
      <c r="D2157" s="738" t="s">
        <v>122</v>
      </c>
      <c r="E2157" s="738"/>
      <c r="F2157" s="738"/>
      <c r="G2157" s="366" t="s">
        <v>3973</v>
      </c>
      <c r="H2157" s="366" t="s">
        <v>3970</v>
      </c>
      <c r="I2157" s="402"/>
      <c r="J2157" s="402"/>
      <c r="K2157" s="402"/>
      <c r="L2157" s="957"/>
      <c r="M2157" s="4"/>
      <c r="X2157" s="817"/>
      <c r="Y2157" s="1120"/>
      <c r="Z2157" s="1109"/>
    </row>
    <row r="2158" spans="1:45" x14ac:dyDescent="0.35">
      <c r="A2158" s="366">
        <v>9</v>
      </c>
      <c r="B2158" s="738" t="s">
        <v>4517</v>
      </c>
      <c r="C2158" s="738" t="s">
        <v>256</v>
      </c>
      <c r="D2158" s="738" t="s">
        <v>123</v>
      </c>
      <c r="E2158" s="738"/>
      <c r="F2158" s="738"/>
      <c r="G2158" s="366" t="s">
        <v>3973</v>
      </c>
      <c r="H2158" s="366" t="s">
        <v>3970</v>
      </c>
      <c r="K2158" s="402" t="s">
        <v>123</v>
      </c>
      <c r="L2158" s="957" t="s">
        <v>4524</v>
      </c>
      <c r="M2158" s="4"/>
      <c r="X2158" s="817"/>
      <c r="Y2158" s="1120"/>
      <c r="Z2158" s="1109"/>
    </row>
    <row r="2159" spans="1:45" x14ac:dyDescent="0.35">
      <c r="A2159" s="366">
        <v>9</v>
      </c>
      <c r="B2159" s="738" t="s">
        <v>4517</v>
      </c>
      <c r="C2159" s="738" t="s">
        <v>256</v>
      </c>
      <c r="D2159" s="738" t="s">
        <v>123</v>
      </c>
      <c r="E2159" s="738"/>
      <c r="F2159" s="738"/>
      <c r="G2159" s="366" t="s">
        <v>3973</v>
      </c>
      <c r="H2159" s="366" t="s">
        <v>3970</v>
      </c>
      <c r="K2159" s="402"/>
      <c r="L2159" s="957"/>
      <c r="M2159" s="4"/>
      <c r="X2159" s="817"/>
      <c r="Y2159" s="1120"/>
      <c r="Z2159" s="1109"/>
    </row>
    <row r="2160" spans="1:45" x14ac:dyDescent="0.35">
      <c r="A2160" s="366">
        <v>9</v>
      </c>
      <c r="B2160" s="738" t="s">
        <v>4517</v>
      </c>
      <c r="C2160" s="738" t="s">
        <v>256</v>
      </c>
      <c r="D2160" s="751" t="s">
        <v>401</v>
      </c>
      <c r="E2160" s="738"/>
      <c r="F2160" s="751"/>
      <c r="G2160" s="366" t="s">
        <v>3973</v>
      </c>
      <c r="H2160" s="366" t="s">
        <v>3970</v>
      </c>
      <c r="K2160" s="31" t="s">
        <v>401</v>
      </c>
      <c r="L2160" s="957" t="s">
        <v>4525</v>
      </c>
      <c r="M2160" s="4"/>
      <c r="X2160" s="817"/>
      <c r="Y2160" s="1120"/>
      <c r="Z2160" s="1109"/>
    </row>
    <row r="2161" spans="1:45" x14ac:dyDescent="0.35">
      <c r="A2161" s="366">
        <v>9</v>
      </c>
      <c r="B2161" s="738" t="s">
        <v>4517</v>
      </c>
      <c r="C2161" s="738" t="s">
        <v>256</v>
      </c>
      <c r="D2161" s="751" t="s">
        <v>401</v>
      </c>
      <c r="E2161" s="738"/>
      <c r="F2161" s="751"/>
      <c r="G2161" s="366" t="s">
        <v>3973</v>
      </c>
      <c r="H2161" s="366" t="s">
        <v>3970</v>
      </c>
      <c r="K2161" s="31"/>
      <c r="L2161" s="957"/>
      <c r="M2161" s="4"/>
      <c r="X2161" s="817"/>
      <c r="Y2161" s="1120"/>
      <c r="Z2161" s="1109"/>
    </row>
    <row r="2162" spans="1:45" x14ac:dyDescent="0.35">
      <c r="A2162" s="366">
        <v>9</v>
      </c>
      <c r="B2162" s="738" t="s">
        <v>4517</v>
      </c>
      <c r="C2162" s="738" t="s">
        <v>256</v>
      </c>
      <c r="D2162" s="751" t="s">
        <v>539</v>
      </c>
      <c r="E2162" s="738"/>
      <c r="F2162" s="751"/>
      <c r="G2162" s="366" t="s">
        <v>3973</v>
      </c>
      <c r="H2162" s="366" t="s">
        <v>3970</v>
      </c>
      <c r="K2162" s="31" t="s">
        <v>539</v>
      </c>
      <c r="L2162" s="957" t="s">
        <v>4893</v>
      </c>
      <c r="M2162" s="4"/>
      <c r="X2162" s="817"/>
      <c r="Y2162" s="1120"/>
      <c r="Z2162" s="1109"/>
    </row>
    <row r="2163" spans="1:45" x14ac:dyDescent="0.35">
      <c r="A2163" s="366">
        <v>9</v>
      </c>
      <c r="B2163" s="738" t="s">
        <v>4517</v>
      </c>
      <c r="C2163" s="738" t="s">
        <v>256</v>
      </c>
      <c r="D2163" s="751" t="s">
        <v>539</v>
      </c>
      <c r="E2163" s="738"/>
      <c r="F2163" s="751"/>
      <c r="G2163" s="366" t="s">
        <v>3973</v>
      </c>
      <c r="H2163" s="366" t="s">
        <v>3970</v>
      </c>
      <c r="K2163" s="31"/>
      <c r="L2163" s="957"/>
      <c r="M2163" s="4"/>
      <c r="X2163" s="817"/>
      <c r="Y2163" s="1120"/>
      <c r="Z2163" s="1109"/>
    </row>
    <row r="2164" spans="1:45" x14ac:dyDescent="0.35">
      <c r="A2164" s="366">
        <v>9</v>
      </c>
      <c r="B2164" s="738" t="s">
        <v>4517</v>
      </c>
      <c r="C2164" s="738" t="s">
        <v>256</v>
      </c>
      <c r="D2164" s="751" t="s">
        <v>539</v>
      </c>
      <c r="E2164" s="738"/>
      <c r="F2164" s="751"/>
      <c r="G2164" s="366" t="s">
        <v>3973</v>
      </c>
      <c r="H2164" s="366" t="s">
        <v>3970</v>
      </c>
      <c r="K2164" s="31"/>
      <c r="L2164" s="957"/>
      <c r="M2164" s="4"/>
      <c r="X2164" s="817"/>
      <c r="Y2164" s="1120"/>
      <c r="Z2164" s="1109"/>
    </row>
    <row r="2165" spans="1:45" x14ac:dyDescent="0.35">
      <c r="A2165" s="366">
        <v>9</v>
      </c>
      <c r="B2165" s="738" t="s">
        <v>4517</v>
      </c>
      <c r="C2165" s="738" t="s">
        <v>256</v>
      </c>
      <c r="D2165" s="751" t="s">
        <v>604</v>
      </c>
      <c r="E2165" s="738"/>
      <c r="F2165" s="751"/>
      <c r="G2165" s="366" t="s">
        <v>3973</v>
      </c>
      <c r="H2165" s="366" t="s">
        <v>3970</v>
      </c>
      <c r="K2165" s="31" t="s">
        <v>604</v>
      </c>
      <c r="L2165" s="957" t="s">
        <v>4526</v>
      </c>
      <c r="M2165" s="4"/>
      <c r="X2165" s="817"/>
      <c r="Y2165" s="1120"/>
      <c r="Z2165" s="1109"/>
    </row>
    <row r="2166" spans="1:45" x14ac:dyDescent="0.35">
      <c r="A2166" s="366">
        <v>9</v>
      </c>
      <c r="B2166" s="738" t="s">
        <v>4517</v>
      </c>
      <c r="C2166" s="738" t="s">
        <v>256</v>
      </c>
      <c r="D2166" s="751" t="s">
        <v>604</v>
      </c>
      <c r="E2166" s="738"/>
      <c r="F2166" s="751"/>
      <c r="G2166" s="366" t="s">
        <v>3973</v>
      </c>
      <c r="H2166" s="366" t="s">
        <v>3970</v>
      </c>
      <c r="K2166" s="31"/>
      <c r="L2166" s="957"/>
      <c r="M2166" s="4"/>
      <c r="X2166" s="817"/>
      <c r="Y2166" s="1120"/>
      <c r="Z2166" s="1109"/>
    </row>
    <row r="2167" spans="1:45" x14ac:dyDescent="0.35">
      <c r="A2167" s="366">
        <v>9</v>
      </c>
      <c r="B2167" s="738" t="s">
        <v>4517</v>
      </c>
      <c r="C2167" s="738" t="s">
        <v>256</v>
      </c>
      <c r="D2167" s="738" t="s">
        <v>606</v>
      </c>
      <c r="E2167" s="738"/>
      <c r="F2167" s="738"/>
      <c r="G2167" s="366" t="s">
        <v>3973</v>
      </c>
      <c r="H2167" s="366" t="s">
        <v>3970</v>
      </c>
      <c r="K2167" s="402" t="s">
        <v>606</v>
      </c>
      <c r="L2167" s="957" t="s">
        <v>4527</v>
      </c>
      <c r="M2167" s="4"/>
      <c r="X2167" s="817"/>
      <c r="Y2167" s="1120"/>
      <c r="Z2167" s="1109"/>
    </row>
    <row r="2168" spans="1:45" x14ac:dyDescent="0.35">
      <c r="A2168" s="366">
        <v>9</v>
      </c>
      <c r="B2168" s="738" t="s">
        <v>4517</v>
      </c>
      <c r="C2168" s="738" t="s">
        <v>256</v>
      </c>
      <c r="D2168" s="738" t="s">
        <v>606</v>
      </c>
      <c r="E2168" s="738"/>
      <c r="F2168" s="738"/>
      <c r="G2168" s="366" t="s">
        <v>3973</v>
      </c>
      <c r="H2168" s="366" t="s">
        <v>3970</v>
      </c>
      <c r="K2168" s="402"/>
      <c r="L2168" s="957"/>
      <c r="M2168" s="4"/>
      <c r="X2168" s="817"/>
      <c r="Y2168" s="1120"/>
      <c r="Z2168" s="1109"/>
    </row>
    <row r="2169" spans="1:45" x14ac:dyDescent="0.35">
      <c r="A2169" s="366">
        <v>9</v>
      </c>
      <c r="B2169" s="738" t="s">
        <v>4517</v>
      </c>
      <c r="C2169" s="738" t="s">
        <v>256</v>
      </c>
      <c r="D2169" s="738" t="s">
        <v>608</v>
      </c>
      <c r="E2169" s="738"/>
      <c r="F2169" s="738"/>
      <c r="G2169" s="366" t="s">
        <v>3973</v>
      </c>
      <c r="H2169" s="366" t="s">
        <v>3970</v>
      </c>
      <c r="K2169" s="402" t="s">
        <v>608</v>
      </c>
      <c r="L2169" s="957" t="s">
        <v>4528</v>
      </c>
      <c r="M2169" s="4"/>
      <c r="X2169" s="817"/>
      <c r="Y2169" s="1120"/>
      <c r="Z2169" s="1109"/>
    </row>
    <row r="2170" spans="1:45" x14ac:dyDescent="0.35">
      <c r="A2170" s="366">
        <v>9</v>
      </c>
      <c r="B2170" s="738" t="s">
        <v>4517</v>
      </c>
      <c r="C2170" s="738" t="s">
        <v>256</v>
      </c>
      <c r="D2170" s="738" t="s">
        <v>608</v>
      </c>
      <c r="E2170" s="738"/>
      <c r="F2170" s="738"/>
      <c r="G2170" s="366" t="s">
        <v>3973</v>
      </c>
      <c r="H2170" s="366" t="s">
        <v>3970</v>
      </c>
      <c r="K2170" s="402"/>
      <c r="L2170" s="957"/>
      <c r="M2170" s="4"/>
      <c r="X2170" s="817"/>
      <c r="Y2170" s="1120"/>
      <c r="Z2170" s="1109"/>
    </row>
    <row r="2171" spans="1:45" x14ac:dyDescent="0.35">
      <c r="A2171" s="366">
        <v>9</v>
      </c>
      <c r="B2171" s="738" t="s">
        <v>4517</v>
      </c>
      <c r="C2171" s="738" t="s">
        <v>256</v>
      </c>
      <c r="D2171" s="738" t="s">
        <v>843</v>
      </c>
      <c r="E2171" s="738"/>
      <c r="F2171" s="738"/>
      <c r="G2171" s="366" t="s">
        <v>3973</v>
      </c>
      <c r="H2171" s="366" t="s">
        <v>3970</v>
      </c>
      <c r="K2171" s="402" t="s">
        <v>843</v>
      </c>
      <c r="L2171" s="957" t="s">
        <v>4529</v>
      </c>
      <c r="M2171" s="4"/>
      <c r="X2171" s="817"/>
      <c r="Y2171" s="1120"/>
      <c r="Z2171" s="1109"/>
    </row>
    <row r="2172" spans="1:45" x14ac:dyDescent="0.35">
      <c r="A2172" s="366">
        <v>9</v>
      </c>
      <c r="B2172" s="738" t="s">
        <v>4517</v>
      </c>
      <c r="C2172" s="738" t="s">
        <v>256</v>
      </c>
      <c r="D2172" s="738" t="s">
        <v>843</v>
      </c>
      <c r="E2172" s="738"/>
      <c r="F2172" s="738"/>
      <c r="G2172" s="366" t="s">
        <v>3973</v>
      </c>
      <c r="H2172" s="366" t="s">
        <v>3970</v>
      </c>
      <c r="K2172" s="402"/>
      <c r="L2172" s="957"/>
      <c r="M2172" s="4"/>
      <c r="X2172" s="817"/>
      <c r="Y2172" s="1120"/>
      <c r="Z2172" s="1109"/>
    </row>
    <row r="2173" spans="1:45" x14ac:dyDescent="0.35">
      <c r="A2173" s="366">
        <v>9</v>
      </c>
      <c r="B2173" s="738" t="s">
        <v>4517</v>
      </c>
      <c r="C2173" s="738" t="s">
        <v>256</v>
      </c>
      <c r="D2173" s="738" t="s">
        <v>843</v>
      </c>
      <c r="E2173" s="738"/>
      <c r="F2173" s="738"/>
      <c r="G2173" s="366" t="s">
        <v>3973</v>
      </c>
      <c r="H2173" s="366" t="s">
        <v>3970</v>
      </c>
      <c r="K2173" s="402"/>
      <c r="L2173" s="957"/>
      <c r="M2173" s="4"/>
      <c r="X2173" s="817"/>
      <c r="Y2173" s="1120"/>
      <c r="Z2173" s="1109"/>
    </row>
    <row r="2174" spans="1:45" x14ac:dyDescent="0.35">
      <c r="A2174" s="366">
        <v>9</v>
      </c>
      <c r="B2174" s="738" t="s">
        <v>4517</v>
      </c>
      <c r="C2174" s="738" t="s">
        <v>256</v>
      </c>
      <c r="D2174" s="738" t="s">
        <v>844</v>
      </c>
      <c r="E2174" s="738"/>
      <c r="F2174" s="738"/>
      <c r="G2174" s="366" t="s">
        <v>3973</v>
      </c>
      <c r="H2174" s="366" t="s">
        <v>3970</v>
      </c>
      <c r="K2174" s="402" t="s">
        <v>844</v>
      </c>
      <c r="L2174" s="957" t="s">
        <v>4530</v>
      </c>
      <c r="M2174" s="4"/>
      <c r="X2174" s="817"/>
      <c r="Y2174" s="1120"/>
      <c r="Z2174" s="1109"/>
    </row>
    <row r="2175" spans="1:45" x14ac:dyDescent="0.35">
      <c r="A2175" s="366">
        <v>9</v>
      </c>
      <c r="B2175" s="738" t="s">
        <v>4517</v>
      </c>
      <c r="C2175" s="738" t="s">
        <v>256</v>
      </c>
      <c r="D2175" s="738" t="s">
        <v>844</v>
      </c>
      <c r="E2175" s="738"/>
      <c r="F2175" s="738"/>
      <c r="G2175" s="366" t="s">
        <v>3973</v>
      </c>
      <c r="H2175" s="366" t="s">
        <v>3970</v>
      </c>
      <c r="J2175" s="416"/>
      <c r="K2175" s="416"/>
      <c r="L2175" s="960"/>
      <c r="M2175" s="133"/>
      <c r="N2175" s="104"/>
      <c r="O2175" s="104"/>
      <c r="X2175" s="817"/>
      <c r="Y2175" s="1117"/>
      <c r="Z2175" s="1103"/>
    </row>
    <row r="2176" spans="1:45" x14ac:dyDescent="0.35">
      <c r="A2176" s="366">
        <v>9</v>
      </c>
      <c r="B2176" s="738" t="s">
        <v>4517</v>
      </c>
      <c r="C2176" s="738" t="s">
        <v>258</v>
      </c>
      <c r="D2176" s="738"/>
      <c r="E2176" s="738"/>
      <c r="F2176" s="752"/>
      <c r="G2176" s="366" t="s">
        <v>3973</v>
      </c>
      <c r="H2176" s="366" t="s">
        <v>3970</v>
      </c>
      <c r="I2176" s="402"/>
      <c r="J2176" s="402" t="s">
        <v>258</v>
      </c>
      <c r="K2176" s="402"/>
      <c r="L2176" s="957" t="s">
        <v>4531</v>
      </c>
      <c r="M2176" s="956">
        <v>6</v>
      </c>
      <c r="N2176" s="963">
        <f>'Ch9'!O310</f>
        <v>0</v>
      </c>
      <c r="O2176" s="963">
        <f>M2176*S2156*AND(LEN(W2156)&gt;0,W2156&lt;=2)</f>
        <v>0</v>
      </c>
      <c r="X2176" s="817"/>
      <c r="Y2176" s="1100" t="str">
        <f>IF(LEN('Ch9'!X310)=0,"None",'Ch9'!X310)</f>
        <v>None</v>
      </c>
      <c r="Z2176" s="1102"/>
      <c r="AL2176" t="str">
        <f>SUBSTITUTE(SUBSTITUTE(SUBSTITUTE("vpa"&amp;$B2176&amp;$C2176&amp;$D2176&amp;$E2176,".","_"),"(","_"),")","")</f>
        <v>vpa902_3_2_2</v>
      </c>
      <c r="AM2176">
        <f>M2176</f>
        <v>6</v>
      </c>
      <c r="AN2176" t="str">
        <f>SUBSTITUTE(SUBSTITUTE(SUBSTITUTE("vpc"&amp;$B2176&amp;$C2176&amp;$D2176&amp;$E2176,".","_"),"(","_"),")","")</f>
        <v>vpc902_3_2_2</v>
      </c>
      <c r="AO2176">
        <f>O2176</f>
        <v>0</v>
      </c>
      <c r="AR2176" t="str">
        <f>SUBSTITUTE(SUBSTITUTE(SUBSTITUTE("vnt"&amp;$B2176&amp;$C2176&amp;$D2176&amp;$E2176,".","_"),"(","_"),")","")</f>
        <v>vnt902_3_2_2</v>
      </c>
      <c r="AS2176" t="str">
        <f>IF(LEN(X2176)=0,"",X2176)</f>
        <v/>
      </c>
    </row>
    <row r="2177" spans="1:45" ht="15" thickBot="1" x14ac:dyDescent="0.4">
      <c r="A2177" s="366">
        <v>9</v>
      </c>
      <c r="B2177" s="738" t="s">
        <v>4517</v>
      </c>
      <c r="C2177" s="738" t="s">
        <v>258</v>
      </c>
      <c r="D2177" s="738"/>
      <c r="E2177" s="738"/>
      <c r="F2177" s="738"/>
      <c r="G2177" s="366" t="s">
        <v>3973</v>
      </c>
      <c r="H2177" s="366" t="s">
        <v>3970</v>
      </c>
      <c r="I2177" s="407"/>
      <c r="J2177" s="407"/>
      <c r="K2177" s="407"/>
      <c r="L2177" s="958"/>
      <c r="M2177" s="940"/>
      <c r="N2177" s="863"/>
      <c r="O2177" s="863"/>
      <c r="P2177" s="55"/>
      <c r="Q2177" s="55"/>
      <c r="R2177" s="55"/>
      <c r="S2177" s="55"/>
      <c r="T2177" s="55"/>
      <c r="U2177" s="55"/>
      <c r="V2177" s="55"/>
      <c r="W2177" s="55"/>
      <c r="X2177" s="829"/>
      <c r="Y2177" s="1101"/>
      <c r="Z2177" s="1104"/>
    </row>
    <row r="2178" spans="1:45" ht="15" thickTop="1" x14ac:dyDescent="0.35">
      <c r="A2178" s="366">
        <v>9</v>
      </c>
      <c r="B2178" s="738" t="s">
        <v>4534</v>
      </c>
      <c r="C2178" s="731"/>
      <c r="D2178" s="731"/>
      <c r="E2178" s="738"/>
      <c r="F2178" s="738"/>
      <c r="G2178" s="366" t="str">
        <f>IF(N2178&gt;0,"P","")</f>
        <v>P</v>
      </c>
      <c r="H2178" s="366" t="s">
        <v>3970</v>
      </c>
      <c r="I2178" s="30">
        <v>902.4</v>
      </c>
      <c r="J2178" s="4"/>
      <c r="K2178" s="4"/>
      <c r="L2178" s="838" t="s">
        <v>3256</v>
      </c>
      <c r="M2178" s="830">
        <v>3</v>
      </c>
      <c r="N2178" s="834">
        <f>'Ch9'!O312</f>
        <v>3</v>
      </c>
      <c r="O2178" s="959">
        <f>M2178*S2180*IFERROR(OR(W2180,W2182,W2185),0)</f>
        <v>0</v>
      </c>
      <c r="AL2178" t="str">
        <f>SUBSTITUTE(SUBSTITUTE(SUBSTITUTE("vpa"&amp;$B2178&amp;$C2178&amp;$D2178&amp;$E2178,".","_"),"(","_"),")","")</f>
        <v>vpa902_4</v>
      </c>
      <c r="AM2178">
        <f>M2178</f>
        <v>3</v>
      </c>
      <c r="AN2178" t="str">
        <f>SUBSTITUTE(SUBSTITUTE(SUBSTITUTE("vpc"&amp;$B2178&amp;$C2178&amp;$D2178&amp;$E2178,".","_"),"(","_"),")","")</f>
        <v>vpc902_4</v>
      </c>
      <c r="AO2178">
        <f>O2178</f>
        <v>0</v>
      </c>
    </row>
    <row r="2179" spans="1:45" x14ac:dyDescent="0.35">
      <c r="A2179" s="366">
        <v>9</v>
      </c>
      <c r="B2179" s="738" t="s">
        <v>4534</v>
      </c>
      <c r="C2179" s="731"/>
      <c r="D2179" s="731"/>
      <c r="E2179" s="738"/>
      <c r="F2179" s="738"/>
      <c r="G2179" s="366" t="str">
        <f t="shared" ref="G2179:G2187" si="118">G2178</f>
        <v>P</v>
      </c>
      <c r="H2179" s="366" t="s">
        <v>3970</v>
      </c>
      <c r="I2179" s="93"/>
      <c r="J2179" s="4"/>
      <c r="K2179" s="4"/>
      <c r="L2179" s="838"/>
      <c r="M2179" s="818"/>
      <c r="N2179" s="834"/>
      <c r="O2179" s="834"/>
    </row>
    <row r="2180" spans="1:45" x14ac:dyDescent="0.35">
      <c r="A2180" s="366">
        <v>9</v>
      </c>
      <c r="B2180" s="738" t="s">
        <v>4534</v>
      </c>
      <c r="C2180" s="738" t="s">
        <v>256</v>
      </c>
      <c r="D2180" s="738"/>
      <c r="E2180" s="731"/>
      <c r="F2180" s="738"/>
      <c r="G2180" s="366" t="str">
        <f t="shared" si="118"/>
        <v>P</v>
      </c>
      <c r="H2180" s="366" t="s">
        <v>3971</v>
      </c>
      <c r="I2180" s="93"/>
      <c r="J2180" s="19" t="s">
        <v>256</v>
      </c>
      <c r="K2180" s="4"/>
      <c r="L2180" s="814" t="s">
        <v>3257</v>
      </c>
      <c r="M2180" s="40"/>
      <c r="N2180" s="41"/>
      <c r="O2180" s="41"/>
      <c r="P2180" t="b">
        <v>1</v>
      </c>
      <c r="Q2180" t="b">
        <v>0</v>
      </c>
      <c r="R2180" t="b">
        <v>0</v>
      </c>
      <c r="S2180" t="b">
        <v>1</v>
      </c>
      <c r="T2180" t="b">
        <v>0</v>
      </c>
      <c r="W2180" s="17"/>
      <c r="X2180" s="817"/>
      <c r="Y2180" s="1100" t="str">
        <f>IF(LEN('Ch9'!X314)=0,"None",'Ch9'!X314)</f>
        <v>None</v>
      </c>
      <c r="Z2180" s="1102"/>
      <c r="AP2180" t="str">
        <f>SUBSTITUTE(SUBSTITUTE(SUBSTITUTE("vch"&amp;$B2180&amp;$C2180&amp;$D2180&amp;$E2180,".","_"),"(","_"),")","")</f>
        <v>vch902_4_1</v>
      </c>
      <c r="AQ2180" t="str">
        <f>IF(LEN(W2180)=0,"",W2180)</f>
        <v/>
      </c>
      <c r="AR2180" t="str">
        <f>SUBSTITUTE(SUBSTITUTE(SUBSTITUTE("vnt"&amp;$B2180&amp;$C2180&amp;$D2180&amp;$E2180,".","_"),"(","_"),")","")</f>
        <v>vnt902_4_1</v>
      </c>
      <c r="AS2180" t="str">
        <f>IF(LEN(X2180)=0,"",X2180)</f>
        <v/>
      </c>
    </row>
    <row r="2181" spans="1:45" x14ac:dyDescent="0.35">
      <c r="A2181" s="366">
        <v>9</v>
      </c>
      <c r="B2181" s="738" t="s">
        <v>4534</v>
      </c>
      <c r="C2181" s="738" t="s">
        <v>256</v>
      </c>
      <c r="D2181" s="738"/>
      <c r="E2181" s="731"/>
      <c r="F2181" s="738"/>
      <c r="G2181" s="366" t="str">
        <f t="shared" si="118"/>
        <v>P</v>
      </c>
      <c r="H2181" s="366" t="s">
        <v>3971</v>
      </c>
      <c r="I2181" s="93"/>
      <c r="J2181" s="129"/>
      <c r="K2181" s="133"/>
      <c r="L2181" s="815"/>
      <c r="M2181" s="40"/>
      <c r="N2181" s="41"/>
      <c r="O2181" s="41"/>
      <c r="X2181" s="817"/>
      <c r="Y2181" s="1100"/>
      <c r="Z2181" s="1102"/>
    </row>
    <row r="2182" spans="1:45" ht="15" customHeight="1" x14ac:dyDescent="0.35">
      <c r="A2182" s="366">
        <v>9</v>
      </c>
      <c r="B2182" s="738" t="s">
        <v>4534</v>
      </c>
      <c r="C2182" s="738" t="s">
        <v>258</v>
      </c>
      <c r="D2182" s="738"/>
      <c r="E2182" s="731"/>
      <c r="F2182" s="738"/>
      <c r="G2182" s="366" t="str">
        <f t="shared" si="118"/>
        <v>P</v>
      </c>
      <c r="H2182" s="366" t="s">
        <v>3972</v>
      </c>
      <c r="I2182" s="93"/>
      <c r="J2182" s="19" t="s">
        <v>258</v>
      </c>
      <c r="K2182" s="4"/>
      <c r="L2182" s="814" t="s">
        <v>3258</v>
      </c>
      <c r="M2182" s="40"/>
      <c r="O2182" s="41"/>
      <c r="P2182" t="b">
        <v>0</v>
      </c>
      <c r="Q2182" t="b">
        <v>1</v>
      </c>
      <c r="R2182" t="b">
        <v>0</v>
      </c>
      <c r="S2182" t="b">
        <v>1</v>
      </c>
      <c r="T2182" t="b">
        <v>0</v>
      </c>
      <c r="W2182" s="17"/>
      <c r="X2182" s="817"/>
      <c r="Y2182" s="1100" t="str">
        <f>IF(LEN('Ch9'!X316)=0,"None",'Ch9'!X316)</f>
        <v>None</v>
      </c>
      <c r="Z2182" s="1102"/>
      <c r="AP2182" t="str">
        <f>SUBSTITUTE(SUBSTITUTE(SUBSTITUTE("vch"&amp;$B2182&amp;$C2182&amp;$D2182&amp;$E2182,".","_"),"(","_"),")","")</f>
        <v>vch902_4_2</v>
      </c>
      <c r="AQ2182" t="str">
        <f>IF(LEN(W2182)=0,"",W2182)</f>
        <v/>
      </c>
      <c r="AR2182" t="str">
        <f>SUBSTITUTE(SUBSTITUTE(SUBSTITUTE("vnt"&amp;$B2182&amp;$C2182&amp;$D2182&amp;$E2182,".","_"),"(","_"),")","")</f>
        <v>vnt902_4_2</v>
      </c>
      <c r="AS2182" t="str">
        <f>IF(LEN(X2182)=0,"",X2182)</f>
        <v/>
      </c>
    </row>
    <row r="2183" spans="1:45" x14ac:dyDescent="0.35">
      <c r="A2183" s="366">
        <v>9</v>
      </c>
      <c r="B2183" s="738" t="s">
        <v>4534</v>
      </c>
      <c r="C2183" s="738" t="s">
        <v>258</v>
      </c>
      <c r="D2183" s="738"/>
      <c r="E2183" s="731"/>
      <c r="F2183" s="738"/>
      <c r="G2183" s="366" t="str">
        <f t="shared" si="118"/>
        <v>P</v>
      </c>
      <c r="H2183" s="366" t="s">
        <v>3972</v>
      </c>
      <c r="I2183" s="93"/>
      <c r="J2183" s="4"/>
      <c r="K2183" s="4"/>
      <c r="L2183" s="814"/>
      <c r="M2183" s="40"/>
      <c r="O2183" s="41"/>
      <c r="X2183" s="817"/>
      <c r="Y2183" s="1100"/>
      <c r="Z2183" s="1102"/>
    </row>
    <row r="2184" spans="1:45" x14ac:dyDescent="0.35">
      <c r="A2184" s="366">
        <v>9</v>
      </c>
      <c r="B2184" s="738" t="s">
        <v>4534</v>
      </c>
      <c r="C2184" s="738" t="s">
        <v>258</v>
      </c>
      <c r="D2184" s="738"/>
      <c r="E2184" s="731"/>
      <c r="F2184" s="738"/>
      <c r="G2184" s="366" t="str">
        <f t="shared" si="118"/>
        <v>P</v>
      </c>
      <c r="H2184" s="366" t="s">
        <v>3972</v>
      </c>
      <c r="I2184" s="93"/>
      <c r="J2184" s="133"/>
      <c r="K2184" s="133"/>
      <c r="L2184" s="815"/>
      <c r="M2184" s="40"/>
      <c r="O2184" s="41"/>
      <c r="X2184" s="817"/>
      <c r="Y2184" s="1119"/>
      <c r="Z2184" s="1105"/>
    </row>
    <row r="2185" spans="1:45" x14ac:dyDescent="0.35">
      <c r="A2185" s="366">
        <v>9</v>
      </c>
      <c r="B2185" s="738" t="s">
        <v>4534</v>
      </c>
      <c r="C2185" s="738" t="s">
        <v>260</v>
      </c>
      <c r="D2185" s="738"/>
      <c r="E2185" s="731"/>
      <c r="F2185" s="738"/>
      <c r="G2185" s="366" t="str">
        <f t="shared" si="118"/>
        <v>P</v>
      </c>
      <c r="H2185" s="366" t="s">
        <v>3972</v>
      </c>
      <c r="I2185" s="93"/>
      <c r="J2185" s="402" t="s">
        <v>260</v>
      </c>
      <c r="K2185" s="412"/>
      <c r="L2185" s="957" t="s">
        <v>4536</v>
      </c>
      <c r="M2185" s="40"/>
      <c r="O2185" s="41"/>
      <c r="P2185" t="b">
        <v>1</v>
      </c>
      <c r="Q2185" t="b">
        <v>0</v>
      </c>
      <c r="R2185" t="b">
        <v>0</v>
      </c>
      <c r="S2185" t="b">
        <v>1</v>
      </c>
      <c r="T2185" t="b">
        <v>0</v>
      </c>
      <c r="W2185" s="17"/>
      <c r="X2185" s="817"/>
      <c r="Y2185" s="1100" t="str">
        <f>IF(LEN('Ch9'!X319)=0,"None",'Ch9'!X319)</f>
        <v>None</v>
      </c>
      <c r="Z2185" s="1102"/>
      <c r="AP2185" t="str">
        <f>SUBSTITUTE(SUBSTITUTE(SUBSTITUTE("vch"&amp;$B2185&amp;$C2185&amp;$D2185&amp;$E2185,".","_"),"(","_"),")","")</f>
        <v>vch902_4_3</v>
      </c>
      <c r="AQ2185" t="str">
        <f>IF(LEN(W2185)=0,"",W2185)</f>
        <v/>
      </c>
      <c r="AR2185" t="str">
        <f>SUBSTITUTE(SUBSTITUTE(SUBSTITUTE("vnt"&amp;$B2185&amp;$C2185&amp;$D2185&amp;$E2185,".","_"),"(","_"),")","")</f>
        <v>vnt902_4_3</v>
      </c>
      <c r="AS2185" t="str">
        <f>IF(LEN(X2185)=0,"",X2185)</f>
        <v/>
      </c>
    </row>
    <row r="2186" spans="1:45" x14ac:dyDescent="0.35">
      <c r="A2186" s="366">
        <v>9</v>
      </c>
      <c r="B2186" s="738" t="s">
        <v>4534</v>
      </c>
      <c r="C2186" s="738" t="s">
        <v>260</v>
      </c>
      <c r="D2186" s="738"/>
      <c r="E2186" s="731"/>
      <c r="F2186" s="738"/>
      <c r="G2186" s="366" t="str">
        <f t="shared" si="118"/>
        <v>P</v>
      </c>
      <c r="H2186" s="366" t="s">
        <v>3972</v>
      </c>
      <c r="I2186" s="93"/>
      <c r="J2186" s="412"/>
      <c r="K2186" s="412"/>
      <c r="L2186" s="957"/>
      <c r="M2186" s="40"/>
      <c r="O2186" s="41"/>
      <c r="X2186" s="817"/>
      <c r="Y2186" s="1100"/>
      <c r="Z2186" s="1102"/>
    </row>
    <row r="2187" spans="1:45" ht="15" thickBot="1" x14ac:dyDescent="0.4">
      <c r="A2187" s="366">
        <v>9</v>
      </c>
      <c r="B2187" s="738" t="s">
        <v>4534</v>
      </c>
      <c r="C2187" s="738" t="s">
        <v>260</v>
      </c>
      <c r="D2187" s="738"/>
      <c r="E2187" s="731"/>
      <c r="F2187" s="738"/>
      <c r="G2187" s="366" t="str">
        <f t="shared" si="118"/>
        <v>P</v>
      </c>
      <c r="H2187" s="366" t="s">
        <v>3972</v>
      </c>
      <c r="I2187" s="93"/>
      <c r="J2187" s="412"/>
      <c r="K2187" s="412"/>
      <c r="L2187" s="957"/>
      <c r="M2187" s="40"/>
      <c r="O2187" s="41"/>
      <c r="P2187" s="55"/>
      <c r="Q2187" s="55"/>
      <c r="R2187" s="55"/>
      <c r="S2187" s="55"/>
      <c r="T2187" s="55"/>
      <c r="U2187" s="55"/>
      <c r="V2187" s="55"/>
      <c r="W2187" s="64"/>
      <c r="X2187" s="817"/>
      <c r="Y2187" s="1101"/>
      <c r="Z2187" s="1104"/>
    </row>
    <row r="2188" spans="1:45" ht="15" thickTop="1" x14ac:dyDescent="0.35">
      <c r="A2188" s="366">
        <v>9</v>
      </c>
      <c r="B2188" s="738" t="s">
        <v>4535</v>
      </c>
      <c r="C2188" s="731"/>
      <c r="D2188" s="731"/>
      <c r="E2188" s="738"/>
      <c r="F2188" s="738"/>
      <c r="G2188" s="366" t="str">
        <f>IF(N2188&gt;0,"P","")</f>
        <v/>
      </c>
      <c r="H2188" s="366" t="s">
        <v>3970</v>
      </c>
      <c r="I2188" s="106">
        <v>902.5</v>
      </c>
      <c r="J2188" s="107"/>
      <c r="K2188" s="107"/>
      <c r="L2188" s="946" t="s">
        <v>3259</v>
      </c>
      <c r="M2188" s="830">
        <v>3</v>
      </c>
      <c r="N2188" s="959">
        <f>'Ch9'!O322</f>
        <v>0</v>
      </c>
      <c r="O2188" s="959">
        <f>M2188*S2188*W2188</f>
        <v>0</v>
      </c>
      <c r="P2188" t="b">
        <v>1</v>
      </c>
      <c r="Q2188" t="b">
        <v>1</v>
      </c>
      <c r="R2188" t="b">
        <v>0</v>
      </c>
      <c r="S2188" t="b">
        <v>1</v>
      </c>
      <c r="T2188" t="b">
        <v>0</v>
      </c>
      <c r="W2188" s="69"/>
      <c r="X2188" s="840"/>
      <c r="Y2188" s="1117" t="str">
        <f>IF(LEN('Ch9'!X322)=0,"None",'Ch9'!X322)</f>
        <v>None</v>
      </c>
      <c r="Z2188" s="1103"/>
      <c r="AL2188" t="str">
        <f>SUBSTITUTE(SUBSTITUTE(SUBSTITUTE("vpa"&amp;$B2188&amp;$C2188&amp;$D2188&amp;$E2188,".","_"),"(","_"),")","")</f>
        <v>vpa902_5</v>
      </c>
      <c r="AM2188">
        <f>M2188</f>
        <v>3</v>
      </c>
      <c r="AN2188" t="str">
        <f>SUBSTITUTE(SUBSTITUTE(SUBSTITUTE("vpc"&amp;$B2188&amp;$C2188&amp;$D2188&amp;$E2188,".","_"),"(","_"),")","")</f>
        <v>vpc902_5</v>
      </c>
      <c r="AO2188">
        <f>O2188</f>
        <v>0</v>
      </c>
      <c r="AP2188" t="str">
        <f>SUBSTITUTE(SUBSTITUTE(SUBSTITUTE("vch"&amp;$B2188&amp;$C2188&amp;$D2188&amp;$E2188,".","_"),"(","_"),")","")</f>
        <v>vch902_5</v>
      </c>
      <c r="AQ2188" t="str">
        <f>IF(LEN(W2188)=0,"",W2188)</f>
        <v/>
      </c>
      <c r="AR2188" t="str">
        <f>SUBSTITUTE(SUBSTITUTE(SUBSTITUTE("vnt"&amp;$B2188&amp;$C2188&amp;$D2188&amp;$E2188,".","_"),"(","_"),")","")</f>
        <v>vnt902_5</v>
      </c>
      <c r="AS2188" t="str">
        <f>IF(LEN(X2188)=0,"",X2188)</f>
        <v/>
      </c>
    </row>
    <row r="2189" spans="1:45" ht="15" thickBot="1" x14ac:dyDescent="0.4">
      <c r="A2189" s="366">
        <v>9</v>
      </c>
      <c r="B2189" s="738" t="s">
        <v>4535</v>
      </c>
      <c r="C2189" s="731"/>
      <c r="D2189" s="731"/>
      <c r="E2189" s="738"/>
      <c r="F2189" s="738"/>
      <c r="G2189" s="366" t="str">
        <f>G2188</f>
        <v/>
      </c>
      <c r="H2189" s="366" t="s">
        <v>3970</v>
      </c>
      <c r="I2189" s="114"/>
      <c r="J2189" s="160"/>
      <c r="K2189" s="160"/>
      <c r="L2189" s="947"/>
      <c r="M2189" s="827"/>
      <c r="N2189" s="863"/>
      <c r="O2189" s="863"/>
      <c r="P2189" s="55"/>
      <c r="Q2189" s="55"/>
      <c r="R2189" s="55"/>
      <c r="S2189" s="55"/>
      <c r="T2189" s="55"/>
      <c r="U2189" s="55"/>
      <c r="V2189" s="55"/>
      <c r="W2189" s="55"/>
      <c r="X2189" s="829"/>
      <c r="Y2189" s="1101"/>
      <c r="Z2189" s="1104"/>
    </row>
    <row r="2190" spans="1:45" ht="15" thickTop="1" x14ac:dyDescent="0.35">
      <c r="A2190" s="366">
        <v>9</v>
      </c>
      <c r="B2190" s="738">
        <v>902.6</v>
      </c>
      <c r="C2190" s="731"/>
      <c r="D2190" s="731"/>
      <c r="E2190" s="731"/>
      <c r="F2190" s="731"/>
      <c r="G2190" s="366" t="s">
        <v>3973</v>
      </c>
      <c r="H2190" s="366" t="s">
        <v>3971</v>
      </c>
      <c r="I2190" s="30">
        <v>902.6</v>
      </c>
      <c r="J2190" s="4"/>
      <c r="K2190" s="4"/>
      <c r="L2190" s="838" t="s">
        <v>3260</v>
      </c>
      <c r="M2190" s="885" t="str">
        <f>IF(R2190,"Mandatory","N/A")</f>
        <v>Mandatory</v>
      </c>
      <c r="N2190" s="41"/>
      <c r="O2190" s="41"/>
      <c r="P2190" t="b">
        <v>1</v>
      </c>
      <c r="Q2190" t="b">
        <v>0</v>
      </c>
      <c r="R2190" t="b">
        <f>S2190</f>
        <v>1</v>
      </c>
      <c r="S2190" t="b">
        <v>1</v>
      </c>
      <c r="T2190" t="b">
        <v>0</v>
      </c>
      <c r="W2190" s="17"/>
      <c r="X2190" s="816"/>
      <c r="Y2190" s="1117" t="str">
        <f>IF(LEN('Ch9'!X324)=0,"None",'Ch9'!X324)</f>
        <v>None</v>
      </c>
      <c r="Z2190" s="1103"/>
      <c r="AC2190" t="b">
        <f>OR(AD2190:AE2190)</f>
        <v>1</v>
      </c>
      <c r="AD2190" t="b">
        <v>0</v>
      </c>
      <c r="AE2190" t="b">
        <f>AND(R2190,NOT(W2190))</f>
        <v>1</v>
      </c>
      <c r="AF2190" t="b">
        <f>AND(AE2190,NOT(Q2190))</f>
        <v>1</v>
      </c>
      <c r="AL2190" t="str">
        <f>SUBSTITUTE(SUBSTITUTE(SUBSTITUTE("vpa"&amp;$B2190&amp;$C2190&amp;$D2190&amp;$E2190,".","_"),"(","_"),")","")</f>
        <v>vpa902_6</v>
      </c>
      <c r="AM2190" t="str">
        <f>M2190</f>
        <v>Mandatory</v>
      </c>
      <c r="AP2190" t="str">
        <f>SUBSTITUTE(SUBSTITUTE(SUBSTITUTE("vch"&amp;$B2190&amp;$C2190&amp;$D2190&amp;$E2190,".","_"),"(","_"),")","")</f>
        <v>vch902_6</v>
      </c>
      <c r="AQ2190" t="str">
        <f>IF(LEN(W2190)=0,"",W2190)</f>
        <v/>
      </c>
      <c r="AR2190" t="str">
        <f>SUBSTITUTE(SUBSTITUTE(SUBSTITUTE("vnt"&amp;$B2190&amp;$C2190&amp;$D2190&amp;$E2190,".","_"),"(","_"),")","")</f>
        <v>vnt902_6</v>
      </c>
      <c r="AS2190" t="str">
        <f>IF(LEN(X2190)=0,"",X2190)</f>
        <v/>
      </c>
    </row>
    <row r="2191" spans="1:45" x14ac:dyDescent="0.35">
      <c r="A2191" s="366">
        <v>9</v>
      </c>
      <c r="B2191" s="738">
        <v>902.6</v>
      </c>
      <c r="C2191" s="731"/>
      <c r="D2191" s="731"/>
      <c r="E2191" s="731"/>
      <c r="F2191" s="731"/>
      <c r="G2191" s="366" t="s">
        <v>3973</v>
      </c>
      <c r="H2191" s="366" t="s">
        <v>3971</v>
      </c>
      <c r="I2191" s="93"/>
      <c r="J2191" s="4"/>
      <c r="K2191" s="4"/>
      <c r="L2191" s="838"/>
      <c r="M2191" s="885"/>
      <c r="N2191" s="41"/>
      <c r="O2191" s="41"/>
      <c r="X2191" s="817"/>
      <c r="Y2191" s="1100"/>
      <c r="Z2191" s="1102"/>
    </row>
    <row r="2192" spans="1:45" ht="18.5" x14ac:dyDescent="0.45">
      <c r="A2192" s="366">
        <v>9</v>
      </c>
      <c r="B2192" s="738">
        <v>903</v>
      </c>
      <c r="C2192" s="731"/>
      <c r="D2192" s="731"/>
      <c r="E2192" s="731"/>
      <c r="F2192" s="731"/>
      <c r="G2192" s="366" t="s">
        <v>3973</v>
      </c>
      <c r="H2192" s="366" t="s">
        <v>3970</v>
      </c>
      <c r="I2192" s="10" t="s">
        <v>3261</v>
      </c>
      <c r="J2192" s="15"/>
      <c r="K2192" s="15"/>
      <c r="L2192" s="44"/>
      <c r="M2192" s="307"/>
      <c r="N2192" s="544"/>
      <c r="O2192" s="544"/>
      <c r="P2192" s="15"/>
      <c r="Q2192" s="15"/>
      <c r="R2192" s="15"/>
      <c r="S2192" s="15"/>
      <c r="T2192" s="15"/>
      <c r="U2192" s="15"/>
      <c r="V2192" s="15"/>
      <c r="W2192" s="15"/>
      <c r="X2192" s="15"/>
      <c r="Y2192" s="15"/>
      <c r="Z2192" s="651"/>
    </row>
    <row r="2193" spans="1:45" ht="15" thickBot="1" x14ac:dyDescent="0.4">
      <c r="A2193" s="366">
        <v>9</v>
      </c>
      <c r="B2193" s="738" t="s">
        <v>4080</v>
      </c>
      <c r="C2193" s="731"/>
      <c r="D2193" s="731"/>
      <c r="E2193" s="731"/>
      <c r="F2193" s="731"/>
      <c r="I2193" s="292">
        <v>903</v>
      </c>
      <c r="J2193" s="160"/>
      <c r="K2193" s="160"/>
      <c r="L2193" s="275" t="s">
        <v>3262</v>
      </c>
      <c r="M2193" s="270"/>
      <c r="N2193" s="72"/>
      <c r="O2193" s="72"/>
      <c r="P2193" s="55"/>
      <c r="Q2193" s="55"/>
      <c r="R2193" s="55"/>
      <c r="S2193" s="55"/>
      <c r="T2193" s="55"/>
      <c r="U2193" s="55"/>
      <c r="V2193" s="55"/>
      <c r="W2193" s="55"/>
      <c r="X2193" s="55"/>
      <c r="Y2193" s="55"/>
      <c r="Z2193" s="653"/>
    </row>
    <row r="2194" spans="1:45" ht="15" thickTop="1" x14ac:dyDescent="0.35">
      <c r="A2194" s="366">
        <v>9</v>
      </c>
      <c r="B2194" s="738">
        <v>903.1</v>
      </c>
      <c r="C2194" s="731"/>
      <c r="D2194" s="731"/>
      <c r="E2194" s="731"/>
      <c r="F2194" s="731"/>
      <c r="G2194" s="366" t="str">
        <f ca="1">IF(N2194&gt;0,"P","")</f>
        <v/>
      </c>
      <c r="H2194" s="366" t="s">
        <v>3971</v>
      </c>
      <c r="I2194" s="293">
        <v>903.1</v>
      </c>
      <c r="J2194" s="107"/>
      <c r="K2194" s="107"/>
      <c r="L2194" s="274" t="s">
        <v>3658</v>
      </c>
      <c r="M2194" s="267"/>
      <c r="N2194" s="545">
        <f ca="1">'Ch9'!O328</f>
        <v>0</v>
      </c>
      <c r="O2194" s="545">
        <f ca="1">IFERROR(INDEX({2,5},MATCH(W2194,INDIRECT(U2194),0)),0)*S2194</f>
        <v>0</v>
      </c>
      <c r="P2194" t="b">
        <v>1</v>
      </c>
      <c r="Q2194" t="b">
        <v>0</v>
      </c>
      <c r="R2194" s="59" t="b">
        <v>0</v>
      </c>
      <c r="S2194" s="59" t="b">
        <v>1</v>
      </c>
      <c r="T2194" s="59" t="b">
        <v>0</v>
      </c>
      <c r="U2194" s="59" t="str">
        <f>SUBSTITUTE(SUBSTITUTE(SUBSTITUTE("dd"&amp;B2194&amp;C2194&amp;D2194&amp;E2194&amp;F2194,".","_"),"(","_"),")","")</f>
        <v>dd903_1</v>
      </c>
      <c r="V2194" s="59"/>
      <c r="W2194" s="9"/>
      <c r="X2194" s="840"/>
      <c r="Y2194" s="1117" t="str">
        <f>IF(LEN('Ch9'!X328)=0,"None",'Ch9'!X328)</f>
        <v>None</v>
      </c>
      <c r="Z2194" s="1103"/>
      <c r="AN2194" t="str">
        <f>SUBSTITUTE(SUBSTITUTE(SUBSTITUTE("vpc"&amp;$B2194&amp;$C2194&amp;$D2194&amp;$E2194,".","_"),"(","_"),")","")</f>
        <v>vpc903_1</v>
      </c>
      <c r="AO2194">
        <f ca="1">O2194</f>
        <v>0</v>
      </c>
      <c r="AP2194" t="str">
        <f>SUBSTITUTE(SUBSTITUTE(SUBSTITUTE("vch"&amp;$B2194&amp;$C2194&amp;$D2194&amp;$E2194,".","_"),"(","_"),")","")</f>
        <v>vch903_1</v>
      </c>
      <c r="AQ2194" t="str">
        <f>IF(LEN(W2194)=0,"",W2194)</f>
        <v/>
      </c>
      <c r="AR2194" t="str">
        <f>SUBSTITUTE(SUBSTITUTE(SUBSTITUTE("vnt"&amp;$B2194&amp;$C2194&amp;$D2194&amp;$E2194,".","_"),"(","_"),")","")</f>
        <v>vnt903_1</v>
      </c>
      <c r="AS2194" t="str">
        <f>IF(LEN(X2194)=0,"",X2194)</f>
        <v/>
      </c>
    </row>
    <row r="2195" spans="1:45" x14ac:dyDescent="0.35">
      <c r="A2195" s="366">
        <v>9</v>
      </c>
      <c r="B2195" s="738" t="s">
        <v>3263</v>
      </c>
      <c r="C2195" s="731" t="s">
        <v>256</v>
      </c>
      <c r="D2195" s="731"/>
      <c r="E2195" s="731"/>
      <c r="F2195" s="731"/>
      <c r="G2195" s="366" t="str">
        <f ca="1">G2194</f>
        <v/>
      </c>
      <c r="H2195" s="366" t="s">
        <v>3971</v>
      </c>
      <c r="I2195" s="93"/>
      <c r="J2195" s="19" t="s">
        <v>256</v>
      </c>
      <c r="K2195" s="4"/>
      <c r="L2195" s="814" t="s">
        <v>3656</v>
      </c>
      <c r="M2195" s="818">
        <v>2</v>
      </c>
      <c r="N2195" s="41"/>
      <c r="O2195" s="41"/>
      <c r="X2195" s="817"/>
      <c r="Y2195" s="1100"/>
      <c r="Z2195" s="1102"/>
      <c r="AL2195" t="str">
        <f>SUBSTITUTE(SUBSTITUTE(SUBSTITUTE("vpa"&amp;$B2195&amp;$C2195&amp;$D2195&amp;$E2195,".","_"),"(","_"),")","")</f>
        <v>vpa903_1_1_1</v>
      </c>
      <c r="AM2195">
        <f>M2195</f>
        <v>2</v>
      </c>
    </row>
    <row r="2196" spans="1:45" x14ac:dyDescent="0.35">
      <c r="A2196" s="366">
        <v>9</v>
      </c>
      <c r="B2196" s="738" t="s">
        <v>3263</v>
      </c>
      <c r="C2196" s="731" t="s">
        <v>256</v>
      </c>
      <c r="D2196" s="731"/>
      <c r="E2196" s="731"/>
      <c r="F2196" s="731"/>
      <c r="G2196" s="366" t="str">
        <f ca="1">G2195</f>
        <v/>
      </c>
      <c r="H2196" s="366" t="s">
        <v>3971</v>
      </c>
      <c r="I2196" s="93"/>
      <c r="J2196" s="129"/>
      <c r="K2196" s="133"/>
      <c r="L2196" s="889"/>
      <c r="M2196" s="819"/>
      <c r="N2196" s="41"/>
      <c r="O2196" s="41"/>
      <c r="X2196" s="817"/>
      <c r="Y2196" s="1100"/>
      <c r="Z2196" s="1102"/>
    </row>
    <row r="2197" spans="1:45" ht="15" thickBot="1" x14ac:dyDescent="0.4">
      <c r="A2197" s="366">
        <v>9</v>
      </c>
      <c r="B2197" s="738" t="s">
        <v>3264</v>
      </c>
      <c r="C2197" s="731" t="s">
        <v>258</v>
      </c>
      <c r="D2197" s="731"/>
      <c r="E2197" s="731"/>
      <c r="F2197" s="731"/>
      <c r="G2197" s="366" t="str">
        <f ca="1">G2196</f>
        <v/>
      </c>
      <c r="H2197" s="366" t="s">
        <v>3971</v>
      </c>
      <c r="I2197" s="294"/>
      <c r="J2197" s="115" t="s">
        <v>258</v>
      </c>
      <c r="K2197" s="160"/>
      <c r="L2197" s="229" t="s">
        <v>3657</v>
      </c>
      <c r="M2197" s="270">
        <v>5</v>
      </c>
      <c r="N2197" s="72"/>
      <c r="O2197" s="72"/>
      <c r="P2197" s="55"/>
      <c r="Q2197" s="55"/>
      <c r="R2197" s="55"/>
      <c r="S2197" s="55"/>
      <c r="T2197" s="55"/>
      <c r="U2197" s="55"/>
      <c r="V2197" s="55"/>
      <c r="W2197" s="55"/>
      <c r="X2197" s="829"/>
      <c r="Y2197" s="1101"/>
      <c r="Z2197" s="1104"/>
      <c r="AL2197" t="str">
        <f>SUBSTITUTE(SUBSTITUTE(SUBSTITUTE("vpa"&amp;$B2197&amp;$C2197&amp;$D2197&amp;$E2197,".","_"),"(","_"),")","")</f>
        <v>vpa903_1_2_2</v>
      </c>
      <c r="AM2197">
        <f>M2197</f>
        <v>5</v>
      </c>
    </row>
    <row r="2198" spans="1:45" ht="15" thickTop="1" x14ac:dyDescent="0.35">
      <c r="A2198" s="366">
        <v>9</v>
      </c>
      <c r="B2198" s="738">
        <v>903.2</v>
      </c>
      <c r="C2198" s="731"/>
      <c r="D2198" s="731"/>
      <c r="E2198" s="731"/>
      <c r="F2198" s="731"/>
      <c r="G2198" s="366" t="str">
        <f ca="1">IF(N2198&gt;0,"P","")</f>
        <v/>
      </c>
      <c r="H2198" s="366" t="s">
        <v>3970</v>
      </c>
      <c r="I2198" s="106">
        <v>903.2</v>
      </c>
      <c r="J2198" s="107"/>
      <c r="K2198" s="107"/>
      <c r="L2198" s="274" t="s">
        <v>3265</v>
      </c>
      <c r="M2198" s="267"/>
      <c r="N2198" s="545">
        <f ca="1">'Ch9'!O332</f>
        <v>0</v>
      </c>
      <c r="O2198" s="545">
        <f ca="1">IFERROR(INDEX({1,3},MATCH(W2198,INDIRECT(U2198),0)),0)*S2198</f>
        <v>0</v>
      </c>
      <c r="P2198" t="b">
        <v>1</v>
      </c>
      <c r="Q2198" t="b">
        <v>1</v>
      </c>
      <c r="R2198" s="59" t="b">
        <v>0</v>
      </c>
      <c r="S2198" s="59" t="b">
        <v>1</v>
      </c>
      <c r="T2198" s="59" t="b">
        <v>0</v>
      </c>
      <c r="U2198" s="59" t="str">
        <f>SUBSTITUTE(SUBSTITUTE(SUBSTITUTE("dd"&amp;B2198&amp;C2198&amp;D2198&amp;E2198&amp;F2198,".","_"),"(","_"),")","")</f>
        <v>dd903_2</v>
      </c>
      <c r="V2198" s="59"/>
      <c r="W2198" s="9"/>
      <c r="X2198" s="840"/>
      <c r="Y2198" s="1117" t="str">
        <f>IF(LEN('Ch9'!X332)=0,"None",'Ch9'!X332)</f>
        <v>None</v>
      </c>
      <c r="Z2198" s="1103"/>
      <c r="AN2198" t="str">
        <f>SUBSTITUTE(SUBSTITUTE(SUBSTITUTE("vpc"&amp;$B2198&amp;$C2198&amp;$D2198&amp;$E2198,".","_"),"(","_"),")","")</f>
        <v>vpc903_2</v>
      </c>
      <c r="AO2198">
        <f ca="1">O2198</f>
        <v>0</v>
      </c>
      <c r="AP2198" t="str">
        <f>SUBSTITUTE(SUBSTITUTE(SUBSTITUTE("vch"&amp;$B2198&amp;$C2198&amp;$D2198&amp;$E2198,".","_"),"(","_"),")","")</f>
        <v>vch903_2</v>
      </c>
      <c r="AQ2198" t="str">
        <f>IF(LEN(W2198)=0,"",W2198)</f>
        <v/>
      </c>
      <c r="AR2198" t="str">
        <f>SUBSTITUTE(SUBSTITUTE(SUBSTITUTE("vnt"&amp;$B2198&amp;$C2198&amp;$D2198&amp;$E2198,".","_"),"(","_"),")","")</f>
        <v>vnt903_2</v>
      </c>
      <c r="AS2198" t="str">
        <f>IF(LEN(X2198)=0,"",X2198)</f>
        <v/>
      </c>
    </row>
    <row r="2199" spans="1:45" x14ac:dyDescent="0.35">
      <c r="A2199" s="366">
        <v>9</v>
      </c>
      <c r="B2199" s="738">
        <v>903.2</v>
      </c>
      <c r="C2199" s="731" t="s">
        <v>256</v>
      </c>
      <c r="D2199" s="731"/>
      <c r="E2199" s="731"/>
      <c r="F2199" s="731"/>
      <c r="G2199" s="366" t="str">
        <f ca="1">G2198</f>
        <v/>
      </c>
      <c r="H2199" s="366" t="s">
        <v>3970</v>
      </c>
      <c r="I2199" s="93"/>
      <c r="J2199" s="129" t="s">
        <v>256</v>
      </c>
      <c r="K2199" s="133"/>
      <c r="L2199" s="228" t="s">
        <v>3266</v>
      </c>
      <c r="M2199" s="268">
        <v>1</v>
      </c>
      <c r="N2199" s="41"/>
      <c r="O2199" s="41"/>
      <c r="X2199" s="817"/>
      <c r="Y2199" s="1100"/>
      <c r="Z2199" s="1102"/>
      <c r="AL2199" t="str">
        <f>SUBSTITUTE(SUBSTITUTE(SUBSTITUTE("vpa"&amp;$B2199&amp;$C2199&amp;$D2199&amp;$E2199,".","_"),"(","_"),")","")</f>
        <v>vpa903_2_1</v>
      </c>
      <c r="AM2199">
        <f>M2199</f>
        <v>1</v>
      </c>
    </row>
    <row r="2200" spans="1:45" x14ac:dyDescent="0.35">
      <c r="A2200" s="366">
        <v>9</v>
      </c>
      <c r="B2200" s="738">
        <v>903.2</v>
      </c>
      <c r="C2200" s="731" t="s">
        <v>258</v>
      </c>
      <c r="D2200" s="731"/>
      <c r="E2200" s="731"/>
      <c r="F2200" s="731"/>
      <c r="G2200" s="366" t="str">
        <f ca="1">G2199</f>
        <v/>
      </c>
      <c r="H2200" s="366" t="s">
        <v>3970</v>
      </c>
      <c r="I2200" s="93"/>
      <c r="J2200" s="19" t="s">
        <v>258</v>
      </c>
      <c r="K2200" s="4"/>
      <c r="L2200" s="814" t="s">
        <v>3267</v>
      </c>
      <c r="M2200" s="818">
        <v>3</v>
      </c>
      <c r="N2200" s="41"/>
      <c r="O2200" s="41"/>
      <c r="X2200" s="817"/>
      <c r="Y2200" s="1100"/>
      <c r="Z2200" s="1102"/>
      <c r="AL2200" t="str">
        <f>SUBSTITUTE(SUBSTITUTE(SUBSTITUTE("vpa"&amp;$B2200&amp;$C2200&amp;$D2200&amp;$E2200,".","_"),"(","_"),")","")</f>
        <v>vpa903_2_2</v>
      </c>
      <c r="AM2200">
        <f>M2200</f>
        <v>3</v>
      </c>
    </row>
    <row r="2201" spans="1:45" ht="15" thickBot="1" x14ac:dyDescent="0.4">
      <c r="A2201" s="366">
        <v>9</v>
      </c>
      <c r="B2201" s="738">
        <v>903.2</v>
      </c>
      <c r="C2201" s="731" t="s">
        <v>258</v>
      </c>
      <c r="D2201" s="731"/>
      <c r="E2201" s="731"/>
      <c r="F2201" s="731"/>
      <c r="G2201" s="366" t="str">
        <f ca="1">G2200</f>
        <v/>
      </c>
      <c r="H2201" s="366" t="s">
        <v>3970</v>
      </c>
      <c r="I2201" s="294"/>
      <c r="J2201" s="160"/>
      <c r="K2201" s="160"/>
      <c r="L2201" s="839"/>
      <c r="M2201" s="827"/>
      <c r="N2201" s="72"/>
      <c r="O2201" s="72"/>
      <c r="P2201" s="55"/>
      <c r="Q2201" s="55"/>
      <c r="R2201" s="55"/>
      <c r="S2201" s="55"/>
      <c r="T2201" s="55"/>
      <c r="U2201" s="55"/>
      <c r="V2201" s="55"/>
      <c r="W2201" s="55"/>
      <c r="X2201" s="829"/>
      <c r="Y2201" s="1101"/>
      <c r="Z2201" s="1104"/>
    </row>
    <row r="2202" spans="1:45" ht="15" thickTop="1" x14ac:dyDescent="0.35">
      <c r="A2202" s="366">
        <v>9</v>
      </c>
      <c r="B2202" s="738">
        <v>903.3</v>
      </c>
      <c r="C2202" s="731"/>
      <c r="D2202" s="731"/>
      <c r="E2202" s="731"/>
      <c r="F2202" s="731"/>
      <c r="G2202" s="366" t="str">
        <f>IF(N2202&gt;0,"P","")</f>
        <v/>
      </c>
      <c r="H2202" s="366" t="s">
        <v>3972</v>
      </c>
      <c r="I2202" s="30">
        <v>903.3</v>
      </c>
      <c r="J2202" s="4"/>
      <c r="K2202" s="4"/>
      <c r="L2202" s="838" t="s">
        <v>3659</v>
      </c>
      <c r="M2202" s="818">
        <v>7</v>
      </c>
      <c r="N2202" s="834">
        <f>'Ch9'!O336</f>
        <v>0</v>
      </c>
      <c r="O2202" s="834">
        <f>M2202*S2204*IFERROR(OR(W2204,W2205),0)</f>
        <v>0</v>
      </c>
      <c r="X2202" s="816"/>
      <c r="Y2202" s="1117" t="str">
        <f>IF(LEN('Ch9'!X336)=0,"None",'Ch9'!X336)</f>
        <v>None</v>
      </c>
      <c r="Z2202" s="1103"/>
      <c r="AL2202" t="str">
        <f>SUBSTITUTE(SUBSTITUTE(SUBSTITUTE("vpa"&amp;$B2202&amp;$C2202&amp;$D2202&amp;$E2202,".","_"),"(","_"),")","")</f>
        <v>vpa903_3</v>
      </c>
      <c r="AM2202">
        <f>M2202</f>
        <v>7</v>
      </c>
      <c r="AN2202" t="str">
        <f>SUBSTITUTE(SUBSTITUTE(SUBSTITUTE("vpc"&amp;$B2202&amp;$C2202&amp;$D2202&amp;$E2202,".","_"),"(","_"),")","")</f>
        <v>vpc903_3</v>
      </c>
      <c r="AO2202">
        <f>O2202</f>
        <v>0</v>
      </c>
      <c r="AR2202" t="str">
        <f>SUBSTITUTE(SUBSTITUTE(SUBSTITUTE("vnt"&amp;$B2202&amp;$C2202&amp;$D2202&amp;$E2202,".","_"),"(","_"),")","")</f>
        <v>vnt903_3</v>
      </c>
      <c r="AS2202" t="str">
        <f>IF(LEN(X2202)=0,"",X2202)</f>
        <v/>
      </c>
    </row>
    <row r="2203" spans="1:45" x14ac:dyDescent="0.35">
      <c r="A2203" s="366">
        <v>9</v>
      </c>
      <c r="B2203" s="738">
        <v>903.3</v>
      </c>
      <c r="C2203" s="731"/>
      <c r="D2203" s="731"/>
      <c r="E2203" s="731"/>
      <c r="F2203" s="731"/>
      <c r="G2203" s="366" t="str">
        <f>G2202</f>
        <v/>
      </c>
      <c r="H2203" s="366" t="s">
        <v>3972</v>
      </c>
      <c r="I2203" s="93"/>
      <c r="J2203" s="4"/>
      <c r="K2203" s="4"/>
      <c r="L2203" s="838"/>
      <c r="M2203" s="818"/>
      <c r="N2203" s="834"/>
      <c r="O2203" s="834"/>
      <c r="X2203" s="817"/>
      <c r="Y2203" s="1100"/>
      <c r="Z2203" s="1102"/>
    </row>
    <row r="2204" spans="1:45" x14ac:dyDescent="0.35">
      <c r="A2204" s="366">
        <v>9</v>
      </c>
      <c r="B2204" s="738">
        <v>903.3</v>
      </c>
      <c r="C2204" s="731" t="s">
        <v>256</v>
      </c>
      <c r="D2204" s="731"/>
      <c r="E2204" s="731"/>
      <c r="F2204" s="731"/>
      <c r="G2204" s="366" t="str">
        <f>G2203</f>
        <v/>
      </c>
      <c r="H2204" s="366" t="s">
        <v>3972</v>
      </c>
      <c r="I2204" s="93"/>
      <c r="J2204" s="129" t="s">
        <v>256</v>
      </c>
      <c r="K2204" s="104"/>
      <c r="L2204" s="228" t="s">
        <v>3268</v>
      </c>
      <c r="M2204" s="40"/>
      <c r="N2204" s="41"/>
      <c r="O2204" s="41"/>
      <c r="P2204" t="b">
        <v>0</v>
      </c>
      <c r="Q2204" t="b">
        <v>1</v>
      </c>
      <c r="R2204" s="104" t="b">
        <v>0</v>
      </c>
      <c r="S2204" s="104" t="b">
        <f>AND(BF1882&lt;6,BG1882="Moist")</f>
        <v>0</v>
      </c>
      <c r="T2204" s="104" t="b">
        <f>AND(NOT(S2204),W2204=TRUE)</f>
        <v>0</v>
      </c>
      <c r="U2204" s="104"/>
      <c r="V2204" s="104"/>
      <c r="W2204" s="17"/>
      <c r="X2204" s="817"/>
      <c r="Y2204" s="1100"/>
      <c r="Z2204" s="1102"/>
      <c r="AC2204" t="b">
        <f>OR(AD2204:AE2204)</f>
        <v>0</v>
      </c>
      <c r="AD2204" t="b">
        <f>T2204</f>
        <v>0</v>
      </c>
      <c r="AP2204" t="str">
        <f>SUBSTITUTE(SUBSTITUTE(SUBSTITUTE("vch"&amp;$B2204&amp;$C2204&amp;$D2204&amp;$E2204,".","_"),"(","_"),")","")</f>
        <v>vch903_3_1</v>
      </c>
      <c r="AQ2204" t="str">
        <f>IF(LEN(W2204)=0,"",W2204)</f>
        <v/>
      </c>
    </row>
    <row r="2205" spans="1:45" x14ac:dyDescent="0.35">
      <c r="A2205" s="366">
        <v>9</v>
      </c>
      <c r="B2205" s="738">
        <v>903.3</v>
      </c>
      <c r="C2205" s="731" t="s">
        <v>258</v>
      </c>
      <c r="D2205" s="731"/>
      <c r="E2205" s="731"/>
      <c r="F2205" s="731"/>
      <c r="G2205" s="366" t="str">
        <f>G2204</f>
        <v/>
      </c>
      <c r="H2205" s="366" t="s">
        <v>3972</v>
      </c>
      <c r="I2205" s="93"/>
      <c r="J2205" s="19" t="s">
        <v>258</v>
      </c>
      <c r="L2205" s="848" t="s">
        <v>3269</v>
      </c>
      <c r="M2205" s="40"/>
      <c r="N2205" s="41"/>
      <c r="O2205" s="41"/>
      <c r="P2205" t="b">
        <v>0</v>
      </c>
      <c r="Q2205" t="b">
        <v>1</v>
      </c>
      <c r="R2205" t="b">
        <v>0</v>
      </c>
      <c r="S2205" t="b">
        <f>AND(BF1882&lt;6,BG1882="Moist")</f>
        <v>0</v>
      </c>
      <c r="T2205" t="b">
        <f>AND(NOT(S2205),W2205=TRUE)</f>
        <v>0</v>
      </c>
      <c r="W2205" s="17"/>
      <c r="X2205" s="817"/>
      <c r="Y2205" s="1100"/>
      <c r="Z2205" s="1102"/>
      <c r="AC2205" t="b">
        <f>OR(AD2205:AE2205)</f>
        <v>0</v>
      </c>
      <c r="AD2205" t="b">
        <f>T2205</f>
        <v>0</v>
      </c>
      <c r="AP2205" t="str">
        <f>SUBSTITUTE(SUBSTITUTE(SUBSTITUTE("vch"&amp;$B2205&amp;$C2205&amp;$D2205&amp;$E2205,".","_"),"(","_"),")","")</f>
        <v>vch903_3_2</v>
      </c>
      <c r="AQ2205" t="str">
        <f>IF(LEN(W2205)=0,"",W2205)</f>
        <v/>
      </c>
    </row>
    <row r="2206" spans="1:45" x14ac:dyDescent="0.35">
      <c r="A2206" s="366">
        <v>9</v>
      </c>
      <c r="B2206" s="738">
        <v>903.3</v>
      </c>
      <c r="C2206" s="731" t="s">
        <v>258</v>
      </c>
      <c r="D2206" s="731"/>
      <c r="E2206" s="731"/>
      <c r="F2206" s="731"/>
      <c r="G2206" s="366" t="str">
        <f>G2205</f>
        <v/>
      </c>
      <c r="H2206" s="366" t="s">
        <v>3972</v>
      </c>
      <c r="I2206" s="93"/>
      <c r="J2206" s="4"/>
      <c r="K2206" s="19"/>
      <c r="L2206" s="848"/>
      <c r="M2206" s="40"/>
      <c r="N2206" s="41"/>
      <c r="O2206" s="41"/>
      <c r="X2206" s="817"/>
      <c r="Y2206" s="1100"/>
      <c r="Z2206" s="1102"/>
    </row>
    <row r="2207" spans="1:45" ht="18.5" x14ac:dyDescent="0.45">
      <c r="A2207" s="366">
        <v>9</v>
      </c>
      <c r="B2207" s="738">
        <v>904</v>
      </c>
      <c r="C2207" s="731"/>
      <c r="D2207" s="731"/>
      <c r="E2207" s="731"/>
      <c r="F2207" s="731"/>
      <c r="G2207" s="366" t="s">
        <v>3973</v>
      </c>
      <c r="H2207" s="366" t="s">
        <v>3970</v>
      </c>
      <c r="I2207" s="10" t="s">
        <v>3270</v>
      </c>
      <c r="J2207" s="15"/>
      <c r="K2207" s="15"/>
      <c r="L2207" s="44"/>
      <c r="M2207" s="307"/>
      <c r="N2207" s="544"/>
      <c r="O2207" s="544"/>
      <c r="P2207" s="15"/>
      <c r="Q2207" s="15"/>
      <c r="R2207" s="15"/>
      <c r="S2207" s="15"/>
      <c r="T2207" s="15"/>
      <c r="U2207" s="15"/>
      <c r="V2207" s="15"/>
      <c r="W2207" s="15"/>
      <c r="X2207" s="15"/>
      <c r="Y2207" s="15"/>
      <c r="Z2207" s="651"/>
    </row>
    <row r="2208" spans="1:45" x14ac:dyDescent="0.35">
      <c r="A2208" s="366">
        <v>9</v>
      </c>
      <c r="B2208" s="738" t="s">
        <v>4081</v>
      </c>
      <c r="C2208" s="731"/>
      <c r="D2208" s="731"/>
      <c r="E2208" s="731"/>
      <c r="F2208" s="731"/>
      <c r="I2208" s="143">
        <v>904</v>
      </c>
      <c r="J2208" s="4"/>
      <c r="K2208" s="4"/>
      <c r="L2208" s="838" t="s">
        <v>3271</v>
      </c>
      <c r="M2208" s="40"/>
      <c r="N2208" s="41"/>
      <c r="O2208" s="41"/>
    </row>
    <row r="2209" spans="1:45" ht="15" thickBot="1" x14ac:dyDescent="0.4">
      <c r="A2209" s="366">
        <v>9</v>
      </c>
      <c r="B2209" s="738" t="s">
        <v>4081</v>
      </c>
      <c r="C2209" s="731"/>
      <c r="D2209" s="731"/>
      <c r="E2209" s="731"/>
      <c r="F2209" s="731"/>
      <c r="I2209" s="294"/>
      <c r="J2209" s="160"/>
      <c r="K2209" s="160"/>
      <c r="L2209" s="849"/>
      <c r="M2209" s="270"/>
      <c r="N2209" s="72"/>
      <c r="O2209" s="72"/>
      <c r="P2209" s="55"/>
      <c r="Q2209" s="55"/>
      <c r="R2209" s="55"/>
      <c r="S2209" s="55"/>
      <c r="T2209" s="55"/>
      <c r="U2209" s="55"/>
      <c r="V2209" s="55"/>
      <c r="W2209" s="55"/>
      <c r="X2209" s="55"/>
      <c r="Y2209" s="55"/>
      <c r="Z2209" s="653"/>
    </row>
    <row r="2210" spans="1:45" ht="15" thickTop="1" x14ac:dyDescent="0.35">
      <c r="A2210" s="366">
        <v>9</v>
      </c>
      <c r="B2210" s="738">
        <v>904.1</v>
      </c>
      <c r="C2210" s="731"/>
      <c r="D2210" s="731"/>
      <c r="E2210" s="731"/>
      <c r="F2210" s="731"/>
      <c r="G2210" s="366" t="str">
        <f>IF(N2210&gt;0,"P","")</f>
        <v/>
      </c>
      <c r="H2210" s="366" t="s">
        <v>3971</v>
      </c>
      <c r="I2210" s="293">
        <v>904.1</v>
      </c>
      <c r="J2210" s="107"/>
      <c r="K2210" s="107"/>
      <c r="L2210" s="837" t="s">
        <v>3272</v>
      </c>
      <c r="M2210" s="830">
        <v>2</v>
      </c>
      <c r="N2210" s="959">
        <f>'Ch9'!O344</f>
        <v>0</v>
      </c>
      <c r="O2210" s="959">
        <f>M2210*S2210*W2210</f>
        <v>0</v>
      </c>
      <c r="P2210" t="b">
        <v>1</v>
      </c>
      <c r="Q2210" t="b">
        <v>0</v>
      </c>
      <c r="R2210" s="59" t="b">
        <v>0</v>
      </c>
      <c r="S2210" s="59" t="b">
        <f>T2211</f>
        <v>0</v>
      </c>
      <c r="T2210" s="59" t="b">
        <f>AND(NOT(S2210),W2210=TRUE)</f>
        <v>0</v>
      </c>
      <c r="U2210" s="59"/>
      <c r="V2210" s="59"/>
      <c r="W2210" s="17"/>
      <c r="X2210" s="840"/>
      <c r="Y2210" s="1118" t="str">
        <f>IF(LEN('Ch9'!X344)=0,"None",'Ch9'!X344)</f>
        <v>None</v>
      </c>
      <c r="Z2210" s="1106"/>
      <c r="AC2210" t="b">
        <f>OR(AD2210:AE2210)</f>
        <v>0</v>
      </c>
      <c r="AD2210" t="b">
        <f>T2210</f>
        <v>0</v>
      </c>
      <c r="AL2210" t="str">
        <f>SUBSTITUTE(SUBSTITUTE(SUBSTITUTE("vpa"&amp;$B2210&amp;$C2210&amp;$D2210&amp;$E2210,".","_"),"(","_"),")","")</f>
        <v>vpa904_1</v>
      </c>
      <c r="AM2210">
        <f>M2210</f>
        <v>2</v>
      </c>
      <c r="AN2210" t="str">
        <f>SUBSTITUTE(SUBSTITUTE(SUBSTITUTE("vpc"&amp;$B2210&amp;$C2210&amp;$D2210&amp;$E2210,".","_"),"(","_"),")","")</f>
        <v>vpc904_1</v>
      </c>
      <c r="AO2210">
        <f>O2210</f>
        <v>0</v>
      </c>
      <c r="AP2210" t="str">
        <f>SUBSTITUTE(SUBSTITUTE(SUBSTITUTE("vch"&amp;$B2210&amp;$C2210&amp;$D2210&amp;$E2210,".","_"),"(","_"),")","")</f>
        <v>vch904_1</v>
      </c>
      <c r="AQ2210" t="str">
        <f>IF(LEN(W2210)=0,"",W2210)</f>
        <v/>
      </c>
      <c r="AR2210" t="str">
        <f>SUBSTITUTE(SUBSTITUTE(SUBSTITUTE("vnt"&amp;$B2210&amp;$C2210&amp;$D2210&amp;$E2210,".","_"),"(","_"),")","")</f>
        <v>vnt904_1</v>
      </c>
      <c r="AS2210" t="str">
        <f>IF(LEN(X2210)=0,"",X2210)</f>
        <v/>
      </c>
    </row>
    <row r="2211" spans="1:45" x14ac:dyDescent="0.35">
      <c r="A2211" s="366">
        <v>9</v>
      </c>
      <c r="B2211" s="738">
        <v>904.1</v>
      </c>
      <c r="C2211" s="731"/>
      <c r="D2211" s="731"/>
      <c r="E2211" s="731"/>
      <c r="F2211" s="731"/>
      <c r="G2211" s="366" t="str">
        <f>G2210</f>
        <v/>
      </c>
      <c r="H2211" s="366" t="s">
        <v>3971</v>
      </c>
      <c r="I2211" s="93"/>
      <c r="J2211" s="4"/>
      <c r="K2211" s="4"/>
      <c r="L2211" s="838"/>
      <c r="M2211" s="818"/>
      <c r="N2211" s="834"/>
      <c r="O2211" s="834"/>
      <c r="S2211" s="242" t="s">
        <v>3764</v>
      </c>
      <c r="T2211" s="1" t="b">
        <f>W467=TRUE</f>
        <v>0</v>
      </c>
      <c r="X2211" s="817"/>
      <c r="Y2211" s="1100"/>
      <c r="Z2211" s="1102"/>
    </row>
    <row r="2212" spans="1:45" x14ac:dyDescent="0.35">
      <c r="A2212" s="366">
        <v>9</v>
      </c>
      <c r="B2212" s="738">
        <v>904.1</v>
      </c>
      <c r="C2212" s="731"/>
      <c r="D2212" s="731"/>
      <c r="E2212" s="731"/>
      <c r="F2212" s="731"/>
      <c r="G2212" s="366" t="str">
        <f>G2211</f>
        <v/>
      </c>
      <c r="H2212" s="366" t="s">
        <v>3971</v>
      </c>
      <c r="I2212" s="93"/>
      <c r="J2212" s="4"/>
      <c r="K2212" s="4"/>
      <c r="L2212" s="838"/>
      <c r="M2212" s="818"/>
      <c r="N2212" s="834"/>
      <c r="O2212" s="834"/>
      <c r="X2212" s="817"/>
      <c r="Y2212" s="1100"/>
      <c r="Z2212" s="1102"/>
    </row>
    <row r="2213" spans="1:45" x14ac:dyDescent="0.35">
      <c r="A2213" s="366">
        <v>9</v>
      </c>
      <c r="B2213" s="738">
        <v>904.1</v>
      </c>
      <c r="C2213" s="731"/>
      <c r="D2213" s="731"/>
      <c r="E2213" s="731"/>
      <c r="F2213" s="731"/>
      <c r="G2213" s="366" t="str">
        <f>G2212</f>
        <v/>
      </c>
      <c r="H2213" s="366" t="s">
        <v>3971</v>
      </c>
      <c r="I2213" s="93"/>
      <c r="J2213" s="4"/>
      <c r="K2213" s="4"/>
      <c r="L2213" s="838"/>
      <c r="M2213" s="818"/>
      <c r="N2213" s="834"/>
      <c r="O2213" s="834"/>
      <c r="X2213" s="817"/>
      <c r="Y2213" s="1100"/>
      <c r="Z2213" s="1102"/>
    </row>
    <row r="2214" spans="1:45" ht="15" thickBot="1" x14ac:dyDescent="0.4">
      <c r="A2214" s="366">
        <v>9</v>
      </c>
      <c r="B2214" s="738">
        <v>904.1</v>
      </c>
      <c r="C2214" s="731"/>
      <c r="D2214" s="731"/>
      <c r="E2214" s="731"/>
      <c r="F2214" s="731"/>
      <c r="G2214" s="366" t="str">
        <f>G2213</f>
        <v/>
      </c>
      <c r="H2214" s="366" t="s">
        <v>3971</v>
      </c>
      <c r="I2214" s="294"/>
      <c r="J2214" s="160"/>
      <c r="K2214" s="160"/>
      <c r="L2214" s="849"/>
      <c r="M2214" s="827"/>
      <c r="N2214" s="863"/>
      <c r="O2214" s="863"/>
      <c r="P2214" s="55"/>
      <c r="Q2214" s="55"/>
      <c r="R2214" s="55"/>
      <c r="S2214" s="55"/>
      <c r="T2214" s="55"/>
      <c r="U2214" s="55"/>
      <c r="V2214" s="55"/>
      <c r="W2214" s="55"/>
      <c r="X2214" s="829"/>
      <c r="Y2214" s="1101"/>
      <c r="Z2214" s="1104"/>
    </row>
    <row r="2215" spans="1:45" ht="15" thickTop="1" x14ac:dyDescent="0.35">
      <c r="A2215" s="366">
        <v>9</v>
      </c>
      <c r="B2215" s="738">
        <v>904.2</v>
      </c>
      <c r="C2215" s="731"/>
      <c r="D2215" s="731"/>
      <c r="E2215" s="731"/>
      <c r="F2215" s="731"/>
      <c r="G2215" s="366" t="str">
        <f>IF(N2215&gt;0,"P","")</f>
        <v/>
      </c>
      <c r="H2215" s="366" t="s">
        <v>3972</v>
      </c>
      <c r="I2215" s="106">
        <v>904.2</v>
      </c>
      <c r="J2215" s="107"/>
      <c r="K2215" s="107"/>
      <c r="L2215" s="837" t="s">
        <v>3273</v>
      </c>
      <c r="M2215" s="830">
        <v>3</v>
      </c>
      <c r="N2215" s="959">
        <f>'Ch9'!O349</f>
        <v>0</v>
      </c>
      <c r="O2215" s="959">
        <f>M2215*S2215*W2215</f>
        <v>0</v>
      </c>
      <c r="P2215" s="59" t="b">
        <v>0</v>
      </c>
      <c r="Q2215" s="59" t="b">
        <v>1</v>
      </c>
      <c r="R2215" s="59" t="b">
        <v>0</v>
      </c>
      <c r="S2215" s="59" t="b">
        <f>T2211</f>
        <v>0</v>
      </c>
      <c r="T2215" s="59" t="b">
        <f>AND(NOT(S2215),W2215=TRUE)</f>
        <v>0</v>
      </c>
      <c r="U2215" s="59"/>
      <c r="V2215" s="59"/>
      <c r="W2215" s="236"/>
      <c r="X2215" s="840"/>
      <c r="Y2215" s="1118" t="str">
        <f>IF(LEN('Ch9'!X349)=0,"None",'Ch9'!X349)</f>
        <v>None</v>
      </c>
      <c r="Z2215" s="1106"/>
      <c r="AC2215" t="b">
        <f>OR(AD2215:AE2215)</f>
        <v>0</v>
      </c>
      <c r="AD2215" t="b">
        <f>T2215</f>
        <v>0</v>
      </c>
      <c r="AL2215" t="str">
        <f>SUBSTITUTE(SUBSTITUTE(SUBSTITUTE("vpa"&amp;$B2215&amp;$C2215&amp;$D2215&amp;$E2215,".","_"),"(","_"),")","")</f>
        <v>vpa904_2</v>
      </c>
      <c r="AM2215">
        <f>M2215</f>
        <v>3</v>
      </c>
      <c r="AN2215" t="str">
        <f>SUBSTITUTE(SUBSTITUTE(SUBSTITUTE("vpc"&amp;$B2215&amp;$C2215&amp;$D2215&amp;$E2215,".","_"),"(","_"),")","")</f>
        <v>vpc904_2</v>
      </c>
      <c r="AO2215">
        <f>O2215</f>
        <v>0</v>
      </c>
      <c r="AP2215" t="str">
        <f>SUBSTITUTE(SUBSTITUTE(SUBSTITUTE("vch"&amp;$B2215&amp;$C2215&amp;$D2215&amp;$E2215,".","_"),"(","_"),")","")</f>
        <v>vch904_2</v>
      </c>
      <c r="AQ2215" t="str">
        <f>IF(LEN(W2215)=0,"",W2215)</f>
        <v/>
      </c>
      <c r="AR2215" t="str">
        <f>SUBSTITUTE(SUBSTITUTE(SUBSTITUTE("vnt"&amp;$B2215&amp;$C2215&amp;$D2215&amp;$E2215,".","_"),"(","_"),")","")</f>
        <v>vnt904_2</v>
      </c>
      <c r="AS2215" t="str">
        <f>IF(LEN(X2215)=0,"",X2215)</f>
        <v/>
      </c>
    </row>
    <row r="2216" spans="1:45" x14ac:dyDescent="0.35">
      <c r="A2216" s="366">
        <v>9</v>
      </c>
      <c r="B2216" s="738">
        <v>904.2</v>
      </c>
      <c r="C2216" s="731"/>
      <c r="D2216" s="731"/>
      <c r="E2216" s="731"/>
      <c r="F2216" s="731"/>
      <c r="G2216" s="366" t="str">
        <f>G2215</f>
        <v/>
      </c>
      <c r="H2216" s="366" t="s">
        <v>3972</v>
      </c>
      <c r="I2216" s="93"/>
      <c r="J2216" s="4"/>
      <c r="K2216" s="4"/>
      <c r="L2216" s="838"/>
      <c r="M2216" s="818"/>
      <c r="N2216" s="834"/>
      <c r="O2216" s="834"/>
      <c r="X2216" s="817"/>
      <c r="Y2216" s="1100"/>
      <c r="Z2216" s="1102"/>
    </row>
    <row r="2217" spans="1:45" ht="15" thickBot="1" x14ac:dyDescent="0.4">
      <c r="A2217" s="366">
        <v>9</v>
      </c>
      <c r="B2217" s="738">
        <v>904.2</v>
      </c>
      <c r="C2217" s="731"/>
      <c r="D2217" s="731"/>
      <c r="E2217" s="731"/>
      <c r="F2217" s="731"/>
      <c r="G2217" s="366" t="str">
        <f>G2216</f>
        <v/>
      </c>
      <c r="H2217" s="366" t="s">
        <v>3972</v>
      </c>
      <c r="I2217" s="294"/>
      <c r="J2217" s="160"/>
      <c r="K2217" s="160"/>
      <c r="L2217" s="849"/>
      <c r="M2217" s="827"/>
      <c r="N2217" s="863"/>
      <c r="O2217" s="863"/>
      <c r="P2217" s="55"/>
      <c r="Q2217" s="55"/>
      <c r="R2217" s="55"/>
      <c r="S2217" s="55"/>
      <c r="T2217" s="55"/>
      <c r="U2217" s="55"/>
      <c r="V2217" s="55"/>
      <c r="W2217" s="55"/>
      <c r="X2217" s="829"/>
      <c r="Y2217" s="1101"/>
      <c r="Z2217" s="1104"/>
    </row>
    <row r="2218" spans="1:45" ht="15" thickTop="1" x14ac:dyDescent="0.35">
      <c r="A2218" s="366">
        <v>9</v>
      </c>
      <c r="B2218" s="738" t="s">
        <v>4539</v>
      </c>
      <c r="C2218" s="731"/>
      <c r="D2218" s="731"/>
      <c r="E2218" s="738"/>
      <c r="F2218" s="731"/>
      <c r="G2218" s="366" t="s">
        <v>3973</v>
      </c>
      <c r="H2218" s="366" t="s">
        <v>3971</v>
      </c>
      <c r="I2218" s="402" t="s">
        <v>4539</v>
      </c>
      <c r="J2218" s="402"/>
      <c r="K2218" s="412"/>
      <c r="L2218" s="841" t="s">
        <v>4540</v>
      </c>
      <c r="M2218" s="4"/>
    </row>
    <row r="2219" spans="1:45" x14ac:dyDescent="0.35">
      <c r="A2219" s="366">
        <v>9</v>
      </c>
      <c r="B2219" s="738" t="s">
        <v>4539</v>
      </c>
      <c r="C2219" s="731"/>
      <c r="D2219" s="731"/>
      <c r="E2219" s="738"/>
      <c r="F2219" s="731"/>
      <c r="G2219" s="366" t="s">
        <v>3973</v>
      </c>
      <c r="H2219" s="366" t="s">
        <v>3971</v>
      </c>
      <c r="I2219" s="402"/>
      <c r="J2219" s="402"/>
      <c r="K2219" s="412"/>
      <c r="L2219" s="841"/>
      <c r="M2219" s="4"/>
    </row>
    <row r="2220" spans="1:45" x14ac:dyDescent="0.35">
      <c r="A2220" s="366">
        <v>9</v>
      </c>
      <c r="B2220" s="738" t="s">
        <v>4539</v>
      </c>
      <c r="C2220" s="738" t="s">
        <v>256</v>
      </c>
      <c r="D2220" s="731"/>
      <c r="E2220" s="731"/>
      <c r="F2220" s="731"/>
      <c r="G2220" s="366" t="s">
        <v>3973</v>
      </c>
      <c r="H2220" s="366" t="s">
        <v>3971</v>
      </c>
      <c r="I2220" s="402"/>
      <c r="J2220" s="402" t="s">
        <v>256</v>
      </c>
      <c r="K2220" s="412"/>
      <c r="L2220" s="957" t="s">
        <v>4537</v>
      </c>
      <c r="M2220" s="885" t="str">
        <f>IF(R2220,"Mandatory","N/A")</f>
        <v>Mandatory</v>
      </c>
      <c r="P2220" t="b">
        <v>1</v>
      </c>
      <c r="Q2220" t="b">
        <v>0</v>
      </c>
      <c r="R2220" t="b">
        <v>1</v>
      </c>
      <c r="S2220" t="b">
        <v>1</v>
      </c>
      <c r="T2220" t="b">
        <v>0</v>
      </c>
      <c r="W2220" s="17"/>
      <c r="X2220" s="1142"/>
      <c r="Y2220" s="1100" t="str">
        <f>IF(LEN('Ch9'!X354)=0,"None",'Ch9'!X354)</f>
        <v>None</v>
      </c>
      <c r="Z2220" s="1102"/>
      <c r="AC2220" t="b">
        <f>OR(AD2220:AE2220)</f>
        <v>1</v>
      </c>
      <c r="AD2220" t="b">
        <v>0</v>
      </c>
      <c r="AE2220" t="b">
        <f>AND(R2220,NOT(W2220))</f>
        <v>1</v>
      </c>
      <c r="AF2220" t="b">
        <f>AND(AE2220,NOT(Q2220))</f>
        <v>1</v>
      </c>
      <c r="AL2220" t="str">
        <f>SUBSTITUTE(SUBSTITUTE(SUBSTITUTE("vpa"&amp;$B2220&amp;$C2220&amp;$D2220&amp;$E2220,".","_"),"(","_"),")","")</f>
        <v>vpa904_3_1</v>
      </c>
      <c r="AM2220" t="str">
        <f>M2220</f>
        <v>Mandatory</v>
      </c>
      <c r="AP2220" t="str">
        <f>SUBSTITUTE(SUBSTITUTE(SUBSTITUTE("vch"&amp;$B2220&amp;$C2220&amp;$D2220&amp;$E2220,".","_"),"(","_"),")","")</f>
        <v>vch904_3_1</v>
      </c>
      <c r="AQ2220" t="str">
        <f>IF(LEN(W2220)=0,"",W2220)</f>
        <v/>
      </c>
      <c r="AR2220" t="str">
        <f>SUBSTITUTE(SUBSTITUTE(SUBSTITUTE("vnt"&amp;$B2220&amp;$C2220&amp;$D2220&amp;$E2220,".","_"),"(","_"),")","")</f>
        <v>vnt904_3_1</v>
      </c>
      <c r="AS2220" t="str">
        <f>IF(LEN(X2220)=0,"",X2220)</f>
        <v/>
      </c>
    </row>
    <row r="2221" spans="1:45" x14ac:dyDescent="0.35">
      <c r="A2221" s="366">
        <v>9</v>
      </c>
      <c r="B2221" s="738" t="s">
        <v>4539</v>
      </c>
      <c r="C2221" s="738" t="s">
        <v>256</v>
      </c>
      <c r="D2221" s="731"/>
      <c r="E2221" s="731"/>
      <c r="F2221" s="731"/>
      <c r="G2221" s="366" t="s">
        <v>3973</v>
      </c>
      <c r="H2221" s="366" t="s">
        <v>3971</v>
      </c>
      <c r="I2221" s="402"/>
      <c r="J2221" s="402"/>
      <c r="K2221" s="412"/>
      <c r="L2221" s="957"/>
      <c r="M2221" s="885"/>
      <c r="X2221" s="1142"/>
      <c r="Y2221" s="1100"/>
      <c r="Z2221" s="1102"/>
    </row>
    <row r="2222" spans="1:45" x14ac:dyDescent="0.35">
      <c r="A2222" s="366">
        <v>9</v>
      </c>
      <c r="B2222" s="738" t="s">
        <v>4539</v>
      </c>
      <c r="C2222" s="738" t="s">
        <v>256</v>
      </c>
      <c r="D2222" s="731"/>
      <c r="E2222" s="731"/>
      <c r="F2222" s="731"/>
      <c r="G2222" s="366" t="s">
        <v>3973</v>
      </c>
      <c r="H2222" s="366" t="s">
        <v>3971</v>
      </c>
      <c r="I2222" s="402"/>
      <c r="J2222" s="402"/>
      <c r="K2222" s="412"/>
      <c r="L2222" s="957"/>
      <c r="M2222" s="4"/>
      <c r="X2222" s="1142"/>
      <c r="Y2222" s="1100"/>
      <c r="Z2222" s="1102"/>
    </row>
    <row r="2223" spans="1:45" x14ac:dyDescent="0.35">
      <c r="A2223" s="366">
        <v>9</v>
      </c>
      <c r="B2223" s="738" t="s">
        <v>4539</v>
      </c>
      <c r="C2223" s="738" t="s">
        <v>256</v>
      </c>
      <c r="D2223" s="731"/>
      <c r="E2223" s="731"/>
      <c r="F2223" s="731"/>
      <c r="G2223" s="366" t="s">
        <v>3973</v>
      </c>
      <c r="H2223" s="366" t="s">
        <v>3971</v>
      </c>
      <c r="I2223" s="402"/>
      <c r="J2223" s="402"/>
      <c r="K2223" s="412"/>
      <c r="L2223" s="957"/>
      <c r="M2223" s="4"/>
      <c r="X2223" s="1142"/>
      <c r="Y2223" s="1100"/>
      <c r="Z2223" s="1102"/>
    </row>
    <row r="2224" spans="1:45" x14ac:dyDescent="0.35">
      <c r="A2224" s="366">
        <v>9</v>
      </c>
      <c r="B2224" s="738" t="s">
        <v>4539</v>
      </c>
      <c r="C2224" s="738" t="s">
        <v>256</v>
      </c>
      <c r="D2224" s="731"/>
      <c r="E2224" s="731"/>
      <c r="F2224" s="731"/>
      <c r="G2224" s="366" t="s">
        <v>3973</v>
      </c>
      <c r="H2224" s="366" t="s">
        <v>3971</v>
      </c>
      <c r="I2224" s="402"/>
      <c r="J2224" s="402"/>
      <c r="K2224" s="412"/>
      <c r="L2224" s="957"/>
      <c r="M2224" s="4"/>
      <c r="X2224" s="1142"/>
      <c r="Y2224" s="1100"/>
      <c r="Z2224" s="1102"/>
    </row>
    <row r="2225" spans="1:45" x14ac:dyDescent="0.35">
      <c r="A2225" s="366">
        <v>9</v>
      </c>
      <c r="B2225" s="738" t="s">
        <v>4539</v>
      </c>
      <c r="C2225" s="738" t="s">
        <v>256</v>
      </c>
      <c r="D2225" s="731"/>
      <c r="E2225" s="731"/>
      <c r="F2225" s="731"/>
      <c r="G2225" s="366" t="s">
        <v>3973</v>
      </c>
      <c r="H2225" s="366" t="s">
        <v>3971</v>
      </c>
      <c r="I2225" s="402"/>
      <c r="J2225" s="402"/>
      <c r="K2225" s="412"/>
      <c r="L2225" s="957"/>
      <c r="M2225" s="4"/>
      <c r="X2225" s="1142"/>
      <c r="Y2225" s="1100"/>
      <c r="Z2225" s="1102"/>
    </row>
    <row r="2226" spans="1:45" x14ac:dyDescent="0.35">
      <c r="A2226" s="366">
        <v>9</v>
      </c>
      <c r="B2226" s="738" t="s">
        <v>4539</v>
      </c>
      <c r="C2226" s="738" t="s">
        <v>256</v>
      </c>
      <c r="D2226" s="731"/>
      <c r="E2226" s="731"/>
      <c r="F2226" s="731"/>
      <c r="G2226" s="366" t="s">
        <v>3973</v>
      </c>
      <c r="H2226" s="366" t="s">
        <v>3971</v>
      </c>
      <c r="I2226" s="402"/>
      <c r="J2226" s="402"/>
      <c r="K2226" s="412"/>
      <c r="L2226" s="957"/>
      <c r="M2226" s="4"/>
      <c r="X2226" s="1142"/>
      <c r="Y2226" s="1100"/>
      <c r="Z2226" s="1102"/>
    </row>
    <row r="2227" spans="1:45" x14ac:dyDescent="0.35">
      <c r="A2227" s="366">
        <v>9</v>
      </c>
      <c r="B2227" s="738" t="s">
        <v>4539</v>
      </c>
      <c r="C2227" s="738" t="s">
        <v>256</v>
      </c>
      <c r="D2227" s="731"/>
      <c r="E2227" s="731"/>
      <c r="F2227" s="731"/>
      <c r="G2227" s="366" t="s">
        <v>3973</v>
      </c>
      <c r="H2227" s="366" t="s">
        <v>3971</v>
      </c>
      <c r="I2227" s="402"/>
      <c r="J2227" s="416"/>
      <c r="K2227" s="418"/>
      <c r="L2227" s="960"/>
      <c r="M2227" s="133"/>
      <c r="N2227" s="104"/>
      <c r="O2227" s="104"/>
      <c r="P2227" s="104"/>
      <c r="Q2227" s="104"/>
      <c r="R2227" s="104"/>
      <c r="S2227" s="104"/>
      <c r="T2227" s="104"/>
      <c r="U2227" s="104"/>
      <c r="V2227" s="104"/>
      <c r="X2227" s="1142"/>
      <c r="Y2227" s="1100"/>
      <c r="Z2227" s="1102"/>
    </row>
    <row r="2228" spans="1:45" x14ac:dyDescent="0.35">
      <c r="A2228" s="366">
        <v>9</v>
      </c>
      <c r="B2228" s="738" t="s">
        <v>4539</v>
      </c>
      <c r="C2228" s="738" t="s">
        <v>258</v>
      </c>
      <c r="D2228" s="731"/>
      <c r="E2228" s="731"/>
      <c r="F2228" s="731"/>
      <c r="G2228" s="366" t="s">
        <v>3973</v>
      </c>
      <c r="H2228" s="366" t="s">
        <v>3971</v>
      </c>
      <c r="I2228" s="402"/>
      <c r="J2228" s="402" t="s">
        <v>258</v>
      </c>
      <c r="K2228" s="412"/>
      <c r="L2228" s="957" t="s">
        <v>4538</v>
      </c>
      <c r="M2228" s="885" t="str">
        <f>IF(R2228,"Mandatory","N/A")</f>
        <v>Mandatory</v>
      </c>
      <c r="P2228" t="b">
        <v>1</v>
      </c>
      <c r="Q2228" t="b">
        <v>0</v>
      </c>
      <c r="R2228" t="b">
        <v>1</v>
      </c>
      <c r="S2228" t="b">
        <v>1</v>
      </c>
      <c r="T2228" t="b">
        <v>0</v>
      </c>
      <c r="W2228" s="17"/>
      <c r="X2228" s="1142"/>
      <c r="Y2228" s="1100" t="str">
        <f>IF(LEN('Ch9'!X362)=0,"None",'Ch9'!X362)</f>
        <v>None</v>
      </c>
      <c r="Z2228" s="1102"/>
      <c r="AC2228" t="b">
        <f>OR(AD2228:AE2228)</f>
        <v>1</v>
      </c>
      <c r="AD2228" t="b">
        <v>0</v>
      </c>
      <c r="AE2228" t="b">
        <f>AND(R2228,NOT(W2228))</f>
        <v>1</v>
      </c>
      <c r="AF2228" t="b">
        <f>AND(AE2228,NOT(Q2228))</f>
        <v>1</v>
      </c>
      <c r="AL2228" t="str">
        <f>SUBSTITUTE(SUBSTITUTE(SUBSTITUTE("vpa"&amp;$B2228&amp;$C2228&amp;$D2228&amp;$E2228,".","_"),"(","_"),")","")</f>
        <v>vpa904_3_2</v>
      </c>
      <c r="AM2228" t="str">
        <f>M2228</f>
        <v>Mandatory</v>
      </c>
      <c r="AP2228" t="str">
        <f>SUBSTITUTE(SUBSTITUTE(SUBSTITUTE("vch"&amp;$B2228&amp;$C2228&amp;$D2228&amp;$E2228,".","_"),"(","_"),")","")</f>
        <v>vch904_3_2</v>
      </c>
      <c r="AQ2228" t="str">
        <f>IF(LEN(W2228)=0,"",W2228)</f>
        <v/>
      </c>
      <c r="AR2228" t="str">
        <f>SUBSTITUTE(SUBSTITUTE(SUBSTITUTE("vnt"&amp;$B2228&amp;$C2228&amp;$D2228&amp;$E2228,".","_"),"(","_"),")","")</f>
        <v>vnt904_3_2</v>
      </c>
      <c r="AS2228" t="str">
        <f>IF(LEN(X2228)=0,"",X2228)</f>
        <v/>
      </c>
    </row>
    <row r="2229" spans="1:45" x14ac:dyDescent="0.35">
      <c r="A2229" s="366">
        <v>9</v>
      </c>
      <c r="B2229" s="738" t="s">
        <v>4539</v>
      </c>
      <c r="C2229" s="738" t="s">
        <v>258</v>
      </c>
      <c r="D2229" s="731"/>
      <c r="E2229" s="731"/>
      <c r="F2229" s="731"/>
      <c r="G2229" s="366" t="s">
        <v>3973</v>
      </c>
      <c r="H2229" s="366" t="s">
        <v>3971</v>
      </c>
      <c r="I2229" s="412"/>
      <c r="J2229" s="412"/>
      <c r="K2229" s="412"/>
      <c r="L2229" s="957"/>
      <c r="M2229" s="885"/>
      <c r="X2229" s="1142"/>
      <c r="Y2229" s="1100"/>
      <c r="Z2229" s="1102"/>
    </row>
    <row r="2230" spans="1:45" x14ac:dyDescent="0.35">
      <c r="A2230" s="366">
        <v>9</v>
      </c>
      <c r="B2230" s="738" t="s">
        <v>4539</v>
      </c>
      <c r="C2230" s="738" t="s">
        <v>258</v>
      </c>
      <c r="D2230" s="731"/>
      <c r="E2230" s="731"/>
      <c r="F2230" s="731"/>
      <c r="G2230" s="366" t="s">
        <v>3973</v>
      </c>
      <c r="H2230" s="366" t="s">
        <v>3971</v>
      </c>
      <c r="I2230" s="412"/>
      <c r="J2230" s="412"/>
      <c r="K2230" s="412"/>
      <c r="L2230" s="957"/>
      <c r="M2230" s="4"/>
      <c r="X2230" s="1142"/>
      <c r="Y2230" s="1100"/>
      <c r="Z2230" s="1102"/>
    </row>
    <row r="2231" spans="1:45" ht="18.5" x14ac:dyDescent="0.45">
      <c r="A2231" s="366">
        <v>9</v>
      </c>
      <c r="B2231" s="738">
        <v>905</v>
      </c>
      <c r="C2231" s="731"/>
      <c r="D2231" s="731"/>
      <c r="E2231" s="731"/>
      <c r="F2231" s="731"/>
      <c r="G2231" s="366" t="s">
        <v>3973</v>
      </c>
      <c r="H2231" s="366" t="s">
        <v>3970</v>
      </c>
      <c r="I2231" s="10" t="s">
        <v>3274</v>
      </c>
      <c r="J2231" s="15"/>
      <c r="K2231" s="15"/>
      <c r="L2231" s="44"/>
      <c r="M2231" s="307"/>
      <c r="N2231" s="544"/>
      <c r="O2231" s="544"/>
      <c r="P2231" s="15"/>
      <c r="Q2231" s="15"/>
      <c r="R2231" s="15"/>
      <c r="S2231" s="15"/>
      <c r="T2231" s="15"/>
      <c r="U2231" s="15"/>
      <c r="V2231" s="15"/>
      <c r="W2231" s="15"/>
      <c r="X2231" s="15"/>
      <c r="Y2231" s="15"/>
      <c r="Z2231" s="651"/>
    </row>
    <row r="2232" spans="1:45" x14ac:dyDescent="0.35">
      <c r="A2232" s="366">
        <v>9</v>
      </c>
      <c r="B2232" s="738">
        <v>905.1</v>
      </c>
      <c r="C2232" s="731"/>
      <c r="D2232" s="731"/>
      <c r="E2232" s="731"/>
      <c r="F2232" s="731"/>
      <c r="G2232" s="366" t="str">
        <f>IF(N2232&gt;0,"P","")</f>
        <v/>
      </c>
      <c r="H2232" s="366" t="s">
        <v>3972</v>
      </c>
      <c r="I2232" s="30">
        <v>905.1</v>
      </c>
      <c r="J2232" s="4"/>
      <c r="K2232" s="4"/>
      <c r="L2232" s="838" t="s">
        <v>3275</v>
      </c>
      <c r="M2232" s="818">
        <v>2</v>
      </c>
      <c r="N2232" s="834">
        <f>'Ch9'!O366</f>
        <v>0</v>
      </c>
      <c r="O2232" s="834">
        <f>M2232*S2232*W2232</f>
        <v>0</v>
      </c>
      <c r="P2232" t="b">
        <v>0</v>
      </c>
      <c r="Q2232" t="b">
        <v>1</v>
      </c>
      <c r="R2232" t="b">
        <v>0</v>
      </c>
      <c r="S2232" t="b">
        <v>1</v>
      </c>
      <c r="T2232" t="b">
        <v>0</v>
      </c>
      <c r="W2232" s="17"/>
      <c r="X2232" s="817"/>
      <c r="Y2232" s="1100" t="str">
        <f>IF(LEN('Ch9'!X366)=0,"None",'Ch9'!X366)</f>
        <v>None</v>
      </c>
      <c r="Z2232" s="1102"/>
      <c r="AL2232" t="str">
        <f>SUBSTITUTE(SUBSTITUTE(SUBSTITUTE("vpa"&amp;$B2232&amp;$C2232&amp;$D2232&amp;$E2232,".","_"),"(","_"),")","")</f>
        <v>vpa905_1</v>
      </c>
      <c r="AM2232">
        <f>M2232</f>
        <v>2</v>
      </c>
      <c r="AN2232" t="str">
        <f>SUBSTITUTE(SUBSTITUTE(SUBSTITUTE("vpc"&amp;$B2232&amp;$C2232&amp;$D2232&amp;$E2232,".","_"),"(","_"),")","")</f>
        <v>vpc905_1</v>
      </c>
      <c r="AO2232">
        <f>O2232</f>
        <v>0</v>
      </c>
      <c r="AP2232" t="str">
        <f>SUBSTITUTE(SUBSTITUTE(SUBSTITUTE("vch"&amp;$B2232&amp;$C2232&amp;$D2232&amp;$E2232,".","_"),"(","_"),")","")</f>
        <v>vch905_1</v>
      </c>
      <c r="AQ2232" t="str">
        <f>IF(LEN(W2232)=0,"",W2232)</f>
        <v/>
      </c>
      <c r="AR2232" t="str">
        <f>SUBSTITUTE(SUBSTITUTE(SUBSTITUTE("vnt"&amp;$B2232&amp;$C2232&amp;$D2232&amp;$E2232,".","_"),"(","_"),")","")</f>
        <v>vnt905_1</v>
      </c>
      <c r="AS2232" t="str">
        <f>IF(LEN(X2232)=0,"",X2232)</f>
        <v/>
      </c>
    </row>
    <row r="2233" spans="1:45" x14ac:dyDescent="0.35">
      <c r="A2233" s="366">
        <v>9</v>
      </c>
      <c r="B2233" s="738">
        <v>905.1</v>
      </c>
      <c r="C2233" s="731"/>
      <c r="D2233" s="731"/>
      <c r="E2233" s="731"/>
      <c r="F2233" s="731"/>
      <c r="G2233" s="366" t="str">
        <f>G2232</f>
        <v/>
      </c>
      <c r="H2233" s="366" t="s">
        <v>3972</v>
      </c>
      <c r="I2233" s="93"/>
      <c r="J2233" s="4"/>
      <c r="K2233" s="4"/>
      <c r="L2233" s="838"/>
      <c r="M2233" s="818"/>
      <c r="N2233" s="834"/>
      <c r="O2233" s="834"/>
      <c r="X2233" s="817"/>
      <c r="Y2233" s="1100"/>
      <c r="Z2233" s="1102"/>
    </row>
    <row r="2234" spans="1:45" x14ac:dyDescent="0.35">
      <c r="A2234" s="366">
        <v>9</v>
      </c>
      <c r="B2234" s="738">
        <v>905.1</v>
      </c>
      <c r="C2234" s="731"/>
      <c r="D2234" s="731"/>
      <c r="E2234" s="731"/>
      <c r="F2234" s="731"/>
      <c r="G2234" s="366" t="str">
        <f>G2233</f>
        <v/>
      </c>
      <c r="H2234" s="366" t="s">
        <v>3972</v>
      </c>
      <c r="I2234" s="93"/>
      <c r="J2234" s="4"/>
      <c r="K2234" s="4"/>
      <c r="L2234" s="838"/>
      <c r="M2234" s="818"/>
      <c r="N2234" s="834"/>
      <c r="O2234" s="834"/>
      <c r="X2234" s="817"/>
      <c r="Y2234" s="1100"/>
      <c r="Z2234" s="1102"/>
    </row>
    <row r="2235" spans="1:45" x14ac:dyDescent="0.35">
      <c r="A2235" s="366">
        <v>9</v>
      </c>
      <c r="B2235" s="738">
        <v>905.1</v>
      </c>
      <c r="C2235" s="731"/>
      <c r="D2235" s="731"/>
      <c r="E2235" s="731"/>
      <c r="F2235" s="731"/>
      <c r="G2235" s="366" t="str">
        <f>G2234</f>
        <v/>
      </c>
      <c r="H2235" s="366" t="s">
        <v>3972</v>
      </c>
      <c r="I2235" s="93"/>
      <c r="J2235" s="4"/>
      <c r="K2235" s="4"/>
      <c r="L2235" s="838"/>
      <c r="M2235" s="818"/>
      <c r="N2235" s="834"/>
      <c r="O2235" s="834"/>
      <c r="X2235" s="817"/>
      <c r="Y2235" s="1100"/>
      <c r="Z2235" s="1102"/>
    </row>
    <row r="2236" spans="1:45" ht="15" thickBot="1" x14ac:dyDescent="0.4">
      <c r="A2236" s="366">
        <v>9</v>
      </c>
      <c r="B2236" s="738">
        <v>905.1</v>
      </c>
      <c r="C2236" s="731"/>
      <c r="D2236" s="731"/>
      <c r="E2236" s="731"/>
      <c r="F2236" s="731"/>
      <c r="G2236" s="366" t="str">
        <f>G2235</f>
        <v/>
      </c>
      <c r="H2236" s="366" t="s">
        <v>3972</v>
      </c>
      <c r="I2236" s="294"/>
      <c r="J2236" s="160"/>
      <c r="K2236" s="160"/>
      <c r="L2236" s="849"/>
      <c r="M2236" s="827"/>
      <c r="N2236" s="863"/>
      <c r="O2236" s="863"/>
      <c r="P2236" s="55"/>
      <c r="Q2236" s="55"/>
      <c r="R2236" s="55"/>
      <c r="S2236" s="55"/>
      <c r="T2236" s="55"/>
      <c r="U2236" s="55"/>
      <c r="V2236" s="55"/>
      <c r="W2236" s="55"/>
      <c r="X2236" s="829"/>
      <c r="Y2236" s="1101"/>
      <c r="Z2236" s="1104"/>
    </row>
    <row r="2237" spans="1:45" ht="15" thickTop="1" x14ac:dyDescent="0.35">
      <c r="A2237" s="366">
        <v>9</v>
      </c>
      <c r="B2237" s="738">
        <v>905.2</v>
      </c>
      <c r="C2237" s="731"/>
      <c r="D2237" s="731"/>
      <c r="E2237" s="731"/>
      <c r="F2237" s="731"/>
      <c r="G2237" s="366" t="str">
        <f>IF(N2237&gt;0,"P","")</f>
        <v/>
      </c>
      <c r="H2237" s="366" t="s">
        <v>3972</v>
      </c>
      <c r="I2237" s="106">
        <v>905.2</v>
      </c>
      <c r="J2237" s="107"/>
      <c r="K2237" s="107"/>
      <c r="L2237" s="837" t="s">
        <v>3276</v>
      </c>
      <c r="M2237" s="830">
        <v>2</v>
      </c>
      <c r="N2237" s="959">
        <f>'Ch9'!O371</f>
        <v>0</v>
      </c>
      <c r="O2237" s="959">
        <f>M2237*S2237*W2237</f>
        <v>0</v>
      </c>
      <c r="P2237" s="59" t="b">
        <v>0</v>
      </c>
      <c r="Q2237" s="59" t="b">
        <v>1</v>
      </c>
      <c r="R2237" s="59" t="b">
        <v>0</v>
      </c>
      <c r="S2237" s="59" t="b">
        <v>1</v>
      </c>
      <c r="T2237" s="59" t="b">
        <v>0</v>
      </c>
      <c r="U2237" s="59"/>
      <c r="V2237" s="59"/>
      <c r="W2237" s="236"/>
      <c r="X2237" s="840"/>
      <c r="Y2237" s="1141" t="str">
        <f>IF(LEN('Ch9'!X371)=0,"None",'Ch9'!X371)</f>
        <v>None</v>
      </c>
      <c r="Z2237" s="1107"/>
      <c r="AL2237" t="str">
        <f>SUBSTITUTE(SUBSTITUTE(SUBSTITUTE("vpa"&amp;$B2237&amp;$C2237&amp;$D2237&amp;$E2237,".","_"),"(","_"),")","")</f>
        <v>vpa905_2</v>
      </c>
      <c r="AM2237">
        <f>M2237</f>
        <v>2</v>
      </c>
      <c r="AN2237" t="str">
        <f>SUBSTITUTE(SUBSTITUTE(SUBSTITUTE("vpc"&amp;$B2237&amp;$C2237&amp;$D2237&amp;$E2237,".","_"),"(","_"),")","")</f>
        <v>vpc905_2</v>
      </c>
      <c r="AO2237">
        <f>O2237</f>
        <v>0</v>
      </c>
      <c r="AP2237" t="str">
        <f>SUBSTITUTE(SUBSTITUTE(SUBSTITUTE("vch"&amp;$B2237&amp;$C2237&amp;$D2237&amp;$E2237,".","_"),"(","_"),")","")</f>
        <v>vch905_2</v>
      </c>
      <c r="AQ2237" t="str">
        <f>IF(LEN(W2237)=0,"",W2237)</f>
        <v/>
      </c>
      <c r="AR2237" t="str">
        <f>SUBSTITUTE(SUBSTITUTE(SUBSTITUTE("vnt"&amp;$B2237&amp;$C2237&amp;$D2237&amp;$E2237,".","_"),"(","_"),")","")</f>
        <v>vnt905_2</v>
      </c>
      <c r="AS2237" t="str">
        <f>IF(LEN(X2237)=0,"",X2237)</f>
        <v/>
      </c>
    </row>
    <row r="2238" spans="1:45" ht="15" thickBot="1" x14ac:dyDescent="0.4">
      <c r="A2238" s="366">
        <v>9</v>
      </c>
      <c r="B2238" s="738">
        <v>905.2</v>
      </c>
      <c r="C2238" s="731"/>
      <c r="D2238" s="731"/>
      <c r="E2238" s="731"/>
      <c r="F2238" s="731"/>
      <c r="G2238" s="366" t="str">
        <f>G2237</f>
        <v/>
      </c>
      <c r="H2238" s="366" t="s">
        <v>3972</v>
      </c>
      <c r="I2238" s="294"/>
      <c r="J2238" s="160"/>
      <c r="K2238" s="160"/>
      <c r="L2238" s="849"/>
      <c r="M2238" s="827"/>
      <c r="N2238" s="863"/>
      <c r="O2238" s="863"/>
      <c r="P2238" s="55"/>
      <c r="Q2238" s="55"/>
      <c r="R2238" s="55"/>
      <c r="S2238" s="55"/>
      <c r="T2238" s="55"/>
      <c r="U2238" s="55"/>
      <c r="V2238" s="55"/>
      <c r="W2238" s="55"/>
      <c r="X2238" s="829"/>
      <c r="Y2238" s="1121"/>
      <c r="Z2238" s="1108"/>
    </row>
    <row r="2239" spans="1:45" ht="15" thickTop="1" x14ac:dyDescent="0.35">
      <c r="A2239" s="366">
        <v>9</v>
      </c>
      <c r="B2239" s="738" t="s">
        <v>4541</v>
      </c>
      <c r="G2239" s="366" t="str">
        <f>IF(N2239&gt;0,"P","")</f>
        <v/>
      </c>
      <c r="H2239" s="366" t="s">
        <v>3972</v>
      </c>
      <c r="I2239" s="402" t="s">
        <v>4541</v>
      </c>
      <c r="J2239" s="402"/>
      <c r="K2239" s="412"/>
      <c r="L2239" s="485" t="s">
        <v>4542</v>
      </c>
      <c r="M2239" s="40">
        <v>2</v>
      </c>
      <c r="N2239" s="545">
        <f>'Ch9'!O373</f>
        <v>0</v>
      </c>
      <c r="O2239" s="41">
        <f>M2239*S2240*AND(W2240=TRUE,W2241=TRUE)</f>
        <v>0</v>
      </c>
      <c r="Y2239" s="173"/>
      <c r="Z2239" s="654"/>
      <c r="AL2239" t="str">
        <f>SUBSTITUTE(SUBSTITUTE(SUBSTITUTE("vpa"&amp;$B2239&amp;$C2239&amp;$D2239&amp;$E2239,".","_"),"(","_"),")","")</f>
        <v>vpa905_3</v>
      </c>
      <c r="AM2239">
        <f>M2239</f>
        <v>2</v>
      </c>
      <c r="AN2239" t="str">
        <f>SUBSTITUTE(SUBSTITUTE(SUBSTITUTE("vpc"&amp;$B2239&amp;$C2239&amp;$D2239&amp;$E2239,".","_"),"(","_"),")","")</f>
        <v>vpc905_3</v>
      </c>
      <c r="AO2239">
        <f>O2239</f>
        <v>0</v>
      </c>
    </row>
    <row r="2240" spans="1:45" x14ac:dyDescent="0.35">
      <c r="A2240" s="366">
        <v>9</v>
      </c>
      <c r="B2240" s="738" t="s">
        <v>4541</v>
      </c>
      <c r="C2240" s="738" t="s">
        <v>256</v>
      </c>
      <c r="G2240" s="366" t="str">
        <f>G2239</f>
        <v/>
      </c>
      <c r="H2240" s="366" t="s">
        <v>3972</v>
      </c>
      <c r="I2240" s="402"/>
      <c r="J2240" s="402" t="s">
        <v>256</v>
      </c>
      <c r="K2240" s="412"/>
      <c r="L2240" s="517" t="s">
        <v>4543</v>
      </c>
      <c r="M2240" s="40"/>
      <c r="O2240" s="41"/>
      <c r="P2240" t="b">
        <v>0</v>
      </c>
      <c r="Q2240" t="b">
        <v>1</v>
      </c>
      <c r="R2240" t="b">
        <v>0</v>
      </c>
      <c r="S2240" t="b">
        <v>1</v>
      </c>
      <c r="T2240" t="b">
        <v>0</v>
      </c>
      <c r="W2240" s="17"/>
      <c r="X2240" s="36"/>
      <c r="Y2240" s="396" t="str">
        <f>IF(LEN('Ch9'!X374)=0,"None",'Ch9'!X374)</f>
        <v>None</v>
      </c>
      <c r="Z2240" s="652"/>
      <c r="AP2240" t="str">
        <f>SUBSTITUTE(SUBSTITUTE(SUBSTITUTE("vch"&amp;$B2240&amp;$C2240&amp;$D2240&amp;$E2240,".","_"),"(","_"),")","")</f>
        <v>vch905_3_1</v>
      </c>
      <c r="AQ2240" t="str">
        <f>IF(LEN(W2240)=0,"",W2240)</f>
        <v/>
      </c>
      <c r="AR2240" t="str">
        <f>SUBSTITUTE(SUBSTITUTE(SUBSTITUTE("vnt"&amp;$B2240&amp;$C2240&amp;$D2240&amp;$E2240,".","_"),"(","_"),")","")</f>
        <v>vnt905_3_1</v>
      </c>
      <c r="AS2240" t="str">
        <f>IF(LEN(X2240)=0,"",X2240)</f>
        <v/>
      </c>
    </row>
    <row r="2241" spans="1:61" x14ac:dyDescent="0.35">
      <c r="A2241" s="366">
        <v>9</v>
      </c>
      <c r="B2241" s="738" t="s">
        <v>4541</v>
      </c>
      <c r="C2241" s="738" t="s">
        <v>258</v>
      </c>
      <c r="G2241" s="366" t="str">
        <f>G2240</f>
        <v/>
      </c>
      <c r="H2241" s="366" t="s">
        <v>3972</v>
      </c>
      <c r="I2241" s="402"/>
      <c r="J2241" s="402" t="s">
        <v>258</v>
      </c>
      <c r="K2241" s="412"/>
      <c r="L2241" s="957" t="s">
        <v>4544</v>
      </c>
      <c r="M2241" s="40"/>
      <c r="P2241" t="b">
        <v>0</v>
      </c>
      <c r="Q2241" t="b">
        <v>1</v>
      </c>
      <c r="R2241" t="b">
        <v>0</v>
      </c>
      <c r="S2241" t="b">
        <v>1</v>
      </c>
      <c r="T2241" t="b">
        <v>0</v>
      </c>
      <c r="W2241" s="17"/>
      <c r="X2241" s="817"/>
      <c r="Y2241" s="1119" t="str">
        <f>IF(LEN('Ch9'!X375)=0,"None",'Ch9'!X375)</f>
        <v>None</v>
      </c>
      <c r="Z2241" s="1105"/>
      <c r="AP2241" t="str">
        <f>SUBSTITUTE(SUBSTITUTE(SUBSTITUTE("vch"&amp;$B2241&amp;$C2241&amp;$D2241&amp;$E2241,".","_"),"(","_"),")","")</f>
        <v>vch905_3_2</v>
      </c>
      <c r="AQ2241" t="str">
        <f>IF(LEN(W2241)=0,"",W2241)</f>
        <v/>
      </c>
      <c r="AR2241" t="str">
        <f>SUBSTITUTE(SUBSTITUTE(SUBSTITUTE("vnt"&amp;$B2241&amp;$C2241&amp;$D2241&amp;$E2241,".","_"),"(","_"),")","")</f>
        <v>vnt905_3_2</v>
      </c>
      <c r="AS2241" t="str">
        <f>IF(LEN(X2241)=0,"",X2241)</f>
        <v/>
      </c>
    </row>
    <row r="2242" spans="1:61" ht="15" thickBot="1" x14ac:dyDescent="0.4">
      <c r="A2242" s="366">
        <v>9</v>
      </c>
      <c r="B2242" s="738" t="s">
        <v>4541</v>
      </c>
      <c r="C2242" s="738" t="s">
        <v>258</v>
      </c>
      <c r="G2242" s="366" t="str">
        <f>G2241</f>
        <v/>
      </c>
      <c r="H2242" s="366" t="s">
        <v>3972</v>
      </c>
      <c r="I2242" s="407"/>
      <c r="J2242" s="407"/>
      <c r="K2242" s="413"/>
      <c r="L2242" s="958"/>
      <c r="M2242" s="270"/>
      <c r="N2242" s="55"/>
      <c r="O2242" s="55"/>
      <c r="P2242" s="55"/>
      <c r="Q2242" s="55"/>
      <c r="R2242" s="55"/>
      <c r="S2242" s="55"/>
      <c r="T2242" s="55"/>
      <c r="U2242" s="55"/>
      <c r="V2242" s="55"/>
      <c r="W2242" s="168"/>
      <c r="X2242" s="829"/>
      <c r="Y2242" s="1121"/>
      <c r="Z2242" s="1108"/>
    </row>
    <row r="2243" spans="1:61" ht="15" thickTop="1" x14ac:dyDescent="0.35">
      <c r="A2243" s="366">
        <v>9</v>
      </c>
      <c r="B2243" s="738" t="s">
        <v>4545</v>
      </c>
      <c r="G2243" s="366" t="str">
        <f ca="1">IF(N2243&gt;0,"P","")</f>
        <v/>
      </c>
      <c r="H2243" s="366" t="s">
        <v>3972</v>
      </c>
      <c r="I2243" s="414" t="s">
        <v>4545</v>
      </c>
      <c r="J2243" s="414"/>
      <c r="K2243" s="419"/>
      <c r="L2243" s="853" t="s">
        <v>4887</v>
      </c>
      <c r="M2243" s="830" t="s">
        <v>4886</v>
      </c>
      <c r="N2243" s="959">
        <f ca="1">'Ch9'!O377</f>
        <v>0</v>
      </c>
      <c r="O2243" s="959">
        <f ca="1">IF(AY1885=INDEX(INDIRECT("ddSingleOrMulti"),2),4,1)*S2243*W2243</f>
        <v>0</v>
      </c>
      <c r="P2243" s="59" t="b">
        <v>0</v>
      </c>
      <c r="Q2243" s="59" t="b">
        <v>1</v>
      </c>
      <c r="R2243" s="59" t="b">
        <v>0</v>
      </c>
      <c r="S2243" s="59" t="b">
        <v>1</v>
      </c>
      <c r="T2243" s="59" t="b">
        <v>0</v>
      </c>
      <c r="U2243" s="59"/>
      <c r="V2243" s="59"/>
      <c r="W2243" s="69"/>
      <c r="X2243" s="816"/>
      <c r="Y2243" s="1100" t="str">
        <f>IF(LEN('Ch9'!X377)=0,"None",'Ch9'!X377)</f>
        <v>None</v>
      </c>
      <c r="Z2243" s="1102"/>
      <c r="AL2243" t="str">
        <f>SUBSTITUTE(SUBSTITUTE(SUBSTITUTE("vpa"&amp;$B2243&amp;$C2243&amp;$D2243&amp;$E2243,".","_"),"(","_"),")","")</f>
        <v>vpa905_4</v>
      </c>
      <c r="AM2243" t="str">
        <f>M2243</f>
        <v>1 SF / 4 MF</v>
      </c>
      <c r="AN2243" t="str">
        <f>SUBSTITUTE(SUBSTITUTE(SUBSTITUTE("vpc"&amp;$B2243&amp;$C2243&amp;$D2243&amp;$E2243,".","_"),"(","_"),")","")</f>
        <v>vpc905_4</v>
      </c>
      <c r="AO2243">
        <f ca="1">O2243</f>
        <v>0</v>
      </c>
      <c r="AP2243" t="str">
        <f>SUBSTITUTE(SUBSTITUTE(SUBSTITUTE("vch"&amp;$B2243&amp;$C2243&amp;$D2243&amp;$E2243,".","_"),"(","_"),")","")</f>
        <v>vch905_4</v>
      </c>
      <c r="AQ2243" t="str">
        <f>IF(LEN(W2243)=0,"",W2243)</f>
        <v/>
      </c>
      <c r="AR2243" t="str">
        <f>SUBSTITUTE(SUBSTITUTE(SUBSTITUTE("vnt"&amp;$B2243&amp;$C2243&amp;$D2243&amp;$E2243,".","_"),"(","_"),")","")</f>
        <v>vnt905_4</v>
      </c>
      <c r="AS2243" t="str">
        <f>IF(LEN(X2243)=0,"",X2243)</f>
        <v/>
      </c>
    </row>
    <row r="2244" spans="1:61" x14ac:dyDescent="0.35">
      <c r="A2244" s="366">
        <v>9</v>
      </c>
      <c r="B2244" s="738" t="s">
        <v>4545</v>
      </c>
      <c r="G2244" s="366" t="str">
        <f ca="1">G2243</f>
        <v/>
      </c>
      <c r="H2244" s="366" t="s">
        <v>3972</v>
      </c>
      <c r="I2244" s="402"/>
      <c r="J2244" s="402"/>
      <c r="K2244" s="412"/>
      <c r="L2244" s="841"/>
      <c r="M2244" s="818"/>
      <c r="N2244" s="834"/>
      <c r="O2244" s="834"/>
      <c r="X2244" s="817"/>
      <c r="Y2244" s="1100"/>
      <c r="Z2244" s="1102"/>
    </row>
    <row r="2245" spans="1:61" x14ac:dyDescent="0.35">
      <c r="A2245" s="366">
        <v>9</v>
      </c>
      <c r="B2245" s="738" t="s">
        <v>4545</v>
      </c>
      <c r="G2245" s="366" t="str">
        <f ca="1">G2244</f>
        <v/>
      </c>
      <c r="H2245" s="366" t="s">
        <v>3972</v>
      </c>
      <c r="I2245" s="402"/>
      <c r="J2245" s="402"/>
      <c r="K2245" s="412"/>
      <c r="L2245" s="841"/>
      <c r="M2245" s="818"/>
      <c r="N2245" s="834"/>
      <c r="O2245" s="834"/>
      <c r="X2245" s="817"/>
      <c r="Y2245" s="1100"/>
      <c r="Z2245" s="1102"/>
    </row>
    <row r="2246" spans="1:61" x14ac:dyDescent="0.35">
      <c r="A2246" s="366">
        <v>9</v>
      </c>
      <c r="B2246" s="738" t="s">
        <v>4545</v>
      </c>
      <c r="G2246" s="366" t="str">
        <f ca="1">G2245</f>
        <v/>
      </c>
      <c r="H2246" s="366" t="s">
        <v>3972</v>
      </c>
      <c r="I2246" s="402"/>
      <c r="J2246" s="402"/>
      <c r="K2246" s="412"/>
      <c r="L2246" s="841"/>
      <c r="M2246" s="40"/>
    </row>
    <row r="2247" spans="1:61" ht="15" thickBot="1" x14ac:dyDescent="0.4">
      <c r="A2247" s="366">
        <v>9</v>
      </c>
      <c r="B2247" s="738" t="s">
        <v>4545</v>
      </c>
      <c r="G2247" s="366" t="str">
        <f ca="1">G2246</f>
        <v/>
      </c>
      <c r="H2247" s="366" t="s">
        <v>3972</v>
      </c>
      <c r="I2247" s="407"/>
      <c r="J2247" s="407"/>
      <c r="K2247" s="413"/>
      <c r="L2247" s="854"/>
      <c r="M2247" s="270"/>
      <c r="N2247" s="55"/>
      <c r="O2247" s="55"/>
      <c r="P2247" s="55"/>
      <c r="Q2247" s="55"/>
      <c r="R2247" s="55"/>
      <c r="S2247" s="55"/>
      <c r="T2247" s="55"/>
      <c r="U2247" s="55"/>
      <c r="V2247" s="55"/>
      <c r="W2247" s="55"/>
      <c r="X2247" s="55"/>
    </row>
    <row r="2248" spans="1:61" ht="15" thickTop="1" x14ac:dyDescent="0.35">
      <c r="A2248" s="366">
        <v>9</v>
      </c>
      <c r="B2248" s="738" t="s">
        <v>6064</v>
      </c>
      <c r="G2248" s="366" t="str">
        <f>IF(N2248&gt;0,"P","")</f>
        <v/>
      </c>
      <c r="H2248" s="366" t="s">
        <v>3972</v>
      </c>
      <c r="I2248" s="402" t="s">
        <v>6064</v>
      </c>
      <c r="J2248" s="402"/>
      <c r="K2248" s="412"/>
      <c r="L2248" s="841" t="s">
        <v>6065</v>
      </c>
      <c r="M2248" s="830">
        <v>2</v>
      </c>
      <c r="N2248" s="959">
        <f>'Ch9'!O382</f>
        <v>0</v>
      </c>
      <c r="O2248" s="959">
        <f>M2248*S2248*W2248</f>
        <v>0</v>
      </c>
      <c r="P2248" s="59" t="b">
        <v>0</v>
      </c>
      <c r="Q2248" s="59" t="b">
        <v>1</v>
      </c>
      <c r="R2248" s="59" t="b">
        <v>0</v>
      </c>
      <c r="S2248" s="59" t="b">
        <v>1</v>
      </c>
      <c r="T2248" s="59" t="b">
        <v>0</v>
      </c>
      <c r="W2248" s="69"/>
      <c r="X2248" s="817"/>
      <c r="Y2248" s="1141" t="str">
        <f>IF(LEN('Ch9'!X382)=0,"None",'Ch9'!X382)</f>
        <v>None</v>
      </c>
      <c r="Z2248" s="1107"/>
      <c r="AL2248" t="str">
        <f>SUBSTITUTE(SUBSTITUTE(SUBSTITUTE("vpa"&amp;$B2248&amp;$C2248&amp;$D2248&amp;$E2248,".","_"),"(","_"),")","")</f>
        <v>vpa905_5</v>
      </c>
      <c r="AM2248">
        <f>M2248</f>
        <v>2</v>
      </c>
      <c r="AN2248" t="str">
        <f>SUBSTITUTE(SUBSTITUTE(SUBSTITUTE("vpc"&amp;$B2248&amp;$C2248&amp;$D2248&amp;$E2248,".","_"),"(","_"),")","")</f>
        <v>vpc905_5</v>
      </c>
      <c r="AO2248">
        <f>O2248</f>
        <v>0</v>
      </c>
      <c r="AP2248" t="str">
        <f>SUBSTITUTE(SUBSTITUTE(SUBSTITUTE("vch"&amp;$B2248&amp;$C2248&amp;$D2248&amp;$E2248,".","_"),"(","_"),")","")</f>
        <v>vch905_5</v>
      </c>
      <c r="AQ2248" t="str">
        <f>IF(LEN(W2248)=0,"",W2248)</f>
        <v/>
      </c>
      <c r="AR2248" t="str">
        <f>SUBSTITUTE(SUBSTITUTE(SUBSTITUTE("vnt"&amp;$B2248&amp;$C2248&amp;$D2248&amp;$E2248,".","_"),"(","_"),")","")</f>
        <v>vnt905_5</v>
      </c>
      <c r="AS2248" t="str">
        <f>IF(LEN(X2248)=0,"",X2248)</f>
        <v/>
      </c>
    </row>
    <row r="2249" spans="1:61" x14ac:dyDescent="0.35">
      <c r="A2249" s="366">
        <v>9</v>
      </c>
      <c r="B2249" s="738" t="s">
        <v>6064</v>
      </c>
      <c r="G2249" s="366" t="str">
        <f>G2248</f>
        <v/>
      </c>
      <c r="H2249" s="366" t="s">
        <v>3972</v>
      </c>
      <c r="I2249" s="412"/>
      <c r="J2249" s="412"/>
      <c r="K2249" s="412"/>
      <c r="L2249" s="841"/>
      <c r="M2249" s="818"/>
      <c r="N2249" s="834"/>
      <c r="O2249" s="834"/>
      <c r="X2249" s="817"/>
      <c r="Y2249" s="1120"/>
      <c r="Z2249" s="1109"/>
    </row>
    <row r="2250" spans="1:61" x14ac:dyDescent="0.35">
      <c r="A2250" s="366">
        <v>9</v>
      </c>
      <c r="B2250" s="738" t="s">
        <v>6064</v>
      </c>
      <c r="G2250" s="366" t="str">
        <f>G2249</f>
        <v/>
      </c>
      <c r="H2250" s="366" t="s">
        <v>3972</v>
      </c>
      <c r="I2250" s="412"/>
      <c r="J2250" s="412"/>
      <c r="K2250" s="412"/>
      <c r="L2250" s="841"/>
      <c r="M2250" s="818"/>
      <c r="N2250" s="834"/>
      <c r="O2250" s="834"/>
      <c r="X2250" s="817"/>
      <c r="Y2250" s="1120"/>
      <c r="Z2250" s="1109"/>
      <c r="AA2250" s="2"/>
    </row>
    <row r="2251" spans="1:61" x14ac:dyDescent="0.35">
      <c r="A2251" s="366">
        <v>9</v>
      </c>
      <c r="B2251" s="738" t="s">
        <v>6064</v>
      </c>
      <c r="G2251" s="366" t="str">
        <f>G2250</f>
        <v/>
      </c>
      <c r="H2251" s="366" t="s">
        <v>3972</v>
      </c>
      <c r="I2251" s="412"/>
      <c r="J2251" s="412"/>
      <c r="K2251" s="412"/>
      <c r="L2251" s="841"/>
      <c r="M2251" s="818"/>
      <c r="N2251" s="834"/>
      <c r="O2251" s="834"/>
      <c r="X2251" s="817"/>
      <c r="Y2251" s="1120"/>
      <c r="Z2251" s="1109"/>
    </row>
    <row r="2252" spans="1:61" ht="18.5" x14ac:dyDescent="0.45">
      <c r="A2252" s="366">
        <v>10</v>
      </c>
      <c r="B2252" s="738" t="s">
        <v>4085</v>
      </c>
      <c r="G2252" s="366" t="s">
        <v>3973</v>
      </c>
      <c r="H2252" s="366" t="s">
        <v>3970</v>
      </c>
      <c r="I2252" s="14" t="s">
        <v>3371</v>
      </c>
      <c r="J2252" s="14"/>
      <c r="K2252" s="14"/>
      <c r="L2252" s="584"/>
      <c r="M2252" s="554"/>
      <c r="N2252" s="549"/>
      <c r="O2252" s="549"/>
      <c r="P2252" t="s">
        <v>247</v>
      </c>
      <c r="Q2252" t="s">
        <v>247</v>
      </c>
      <c r="R2252" t="s">
        <v>247</v>
      </c>
      <c r="S2252" t="s">
        <v>247</v>
      </c>
      <c r="T2252" t="s">
        <v>247</v>
      </c>
      <c r="U2252" t="s">
        <v>247</v>
      </c>
      <c r="V2252" t="s">
        <v>247</v>
      </c>
      <c r="W2252" s="15"/>
      <c r="X2252" s="15"/>
      <c r="Y2252" s="15"/>
      <c r="Z2252" s="651"/>
      <c r="AB2252" s="2" t="s">
        <v>247</v>
      </c>
      <c r="AC2252" s="2" t="s">
        <v>247</v>
      </c>
      <c r="AD2252" s="2" t="s">
        <v>247</v>
      </c>
      <c r="AE2252" s="2" t="s">
        <v>247</v>
      </c>
      <c r="AF2252" s="2" t="s">
        <v>247</v>
      </c>
      <c r="AG2252" s="2" t="s">
        <v>247</v>
      </c>
      <c r="AH2252" s="2" t="s">
        <v>247</v>
      </c>
      <c r="AI2252" s="2" t="s">
        <v>247</v>
      </c>
      <c r="AJ2252" s="2" t="s">
        <v>247</v>
      </c>
      <c r="AK2252" s="2" t="s">
        <v>247</v>
      </c>
      <c r="AL2252" s="2"/>
      <c r="AM2252" s="2"/>
      <c r="AN2252" s="2"/>
      <c r="AO2252" s="2"/>
      <c r="AP2252" s="2"/>
      <c r="AQ2252" s="2"/>
      <c r="AR2252" s="2"/>
      <c r="AS2252" s="2"/>
      <c r="AT2252" s="2" t="s">
        <v>247</v>
      </c>
      <c r="AU2252" s="2" t="s">
        <v>247</v>
      </c>
      <c r="AV2252" s="2" t="s">
        <v>247</v>
      </c>
      <c r="AW2252" s="2" t="s">
        <v>247</v>
      </c>
      <c r="AX2252" s="2" t="s">
        <v>247</v>
      </c>
      <c r="AY2252" s="2" t="s">
        <v>247</v>
      </c>
      <c r="AZ2252" s="2" t="s">
        <v>247</v>
      </c>
      <c r="BA2252" s="2" t="s">
        <v>247</v>
      </c>
      <c r="BB2252" s="2" t="s">
        <v>247</v>
      </c>
      <c r="BC2252" s="2" t="s">
        <v>247</v>
      </c>
      <c r="BD2252" s="2" t="s">
        <v>247</v>
      </c>
      <c r="BE2252" s="2" t="s">
        <v>247</v>
      </c>
      <c r="BF2252" s="2" t="s">
        <v>247</v>
      </c>
      <c r="BG2252" s="2" t="s">
        <v>247</v>
      </c>
      <c r="BH2252" s="2" t="s">
        <v>247</v>
      </c>
      <c r="BI2252" s="2" t="s">
        <v>247</v>
      </c>
    </row>
    <row r="2253" spans="1:61" x14ac:dyDescent="0.35">
      <c r="A2253" s="366">
        <v>10</v>
      </c>
      <c r="B2253" s="738" t="s">
        <v>4076</v>
      </c>
      <c r="C2253" s="731"/>
      <c r="D2253" s="731"/>
      <c r="E2253" s="731"/>
      <c r="F2253" s="731"/>
      <c r="I2253" s="143">
        <v>1001</v>
      </c>
      <c r="J2253" s="4"/>
      <c r="K2253" s="4"/>
      <c r="L2253" s="838" t="s">
        <v>3277</v>
      </c>
      <c r="M2253" s="75"/>
    </row>
    <row r="2254" spans="1:61" ht="15" thickBot="1" x14ac:dyDescent="0.4">
      <c r="A2254" s="366">
        <v>10</v>
      </c>
      <c r="B2254" s="738" t="s">
        <v>4076</v>
      </c>
      <c r="C2254" s="731"/>
      <c r="D2254" s="731"/>
      <c r="E2254" s="731"/>
      <c r="F2254" s="731"/>
      <c r="I2254" s="160"/>
      <c r="J2254" s="160"/>
      <c r="K2254" s="160"/>
      <c r="L2254" s="849"/>
      <c r="M2254" s="161"/>
      <c r="N2254" s="55"/>
      <c r="O2254" s="55"/>
      <c r="P2254" s="55"/>
      <c r="Q2254" s="55"/>
      <c r="R2254" s="55"/>
      <c r="S2254" s="55"/>
      <c r="T2254" s="55"/>
      <c r="U2254" s="55"/>
      <c r="V2254" s="55"/>
      <c r="W2254" s="55"/>
      <c r="X2254" s="55"/>
      <c r="Y2254" s="55"/>
      <c r="Z2254" s="653"/>
      <c r="AX2254" s="6" t="str">
        <f>'Overview (Verification)'!A10</f>
        <v>Builder Name:</v>
      </c>
      <c r="AY2254">
        <f>IF(LEN('Overview (Verification)'!P10)=0,0,'Overview (Verification)'!P10)</f>
        <v>0</v>
      </c>
    </row>
    <row r="2255" spans="1:61" ht="15.75" customHeight="1" thickTop="1" x14ac:dyDescent="0.35">
      <c r="A2255" s="366">
        <v>10</v>
      </c>
      <c r="B2255" s="738">
        <v>1001.1</v>
      </c>
      <c r="C2255" s="731"/>
      <c r="D2255" s="731"/>
      <c r="E2255" s="731"/>
      <c r="F2255" s="731"/>
      <c r="G2255" s="366" t="str">
        <f>IF(N2255&gt;0,"P","")</f>
        <v>P</v>
      </c>
      <c r="H2255" s="366" t="s">
        <v>3972</v>
      </c>
      <c r="I2255" s="31">
        <v>1001.1</v>
      </c>
      <c r="J2255" s="4"/>
      <c r="K2255" s="4"/>
      <c r="L2255" s="838" t="s">
        <v>3278</v>
      </c>
      <c r="M2255" s="891" t="s">
        <v>3373</v>
      </c>
      <c r="N2255" s="959">
        <f>'Ch10'!O12</f>
        <v>4</v>
      </c>
      <c r="O2255" s="834">
        <f>MIN(IF(AND(COUNTIF(W2258:W2260,TRUE)=3,S2258),ROUNDDOWN(COUNTIF(W2264:W2302,TRUE)/2,0),0),8)</f>
        <v>0</v>
      </c>
      <c r="AL2255" t="str">
        <f>SUBSTITUTE(SUBSTITUTE(SUBSTITUTE("vpa"&amp;$B2255&amp;$C2255&amp;$D2255&amp;$E2255,".","_"),"(","_"),")","")</f>
        <v>vpa1001_1</v>
      </c>
      <c r="AM2255" t="str">
        <f>M2255</f>
        <v>1
8 Max</v>
      </c>
      <c r="AN2255" t="str">
        <f>SUBSTITUTE(SUBSTITUTE(SUBSTITUTE("vpc"&amp;$B2255&amp;$C2255&amp;$D2255&amp;$E2255,".","_"),"(","_"),")","")</f>
        <v>vpc1001_1</v>
      </c>
      <c r="AO2255">
        <f>O2255</f>
        <v>0</v>
      </c>
      <c r="AX2255" s="6" t="str">
        <f>'Overview (Verification)'!A11</f>
        <v>Physical Address of Home:</v>
      </c>
      <c r="AY2255">
        <f>IF(LEN('Overview (Verification)'!P11)=0,0,'Overview (Verification)'!P11)</f>
        <v>0</v>
      </c>
    </row>
    <row r="2256" spans="1:61" x14ac:dyDescent="0.35">
      <c r="A2256" s="366">
        <v>10</v>
      </c>
      <c r="B2256" s="738">
        <v>1001.1</v>
      </c>
      <c r="C2256" s="731"/>
      <c r="D2256" s="731"/>
      <c r="E2256" s="731"/>
      <c r="F2256" s="731"/>
      <c r="G2256" s="366" t="str">
        <f t="shared" ref="G2256:G2302" si="119">G2255</f>
        <v>P</v>
      </c>
      <c r="H2256" s="366" t="s">
        <v>3972</v>
      </c>
      <c r="I2256" s="4"/>
      <c r="J2256" s="4"/>
      <c r="K2256" s="4"/>
      <c r="L2256" s="838"/>
      <c r="M2256" s="891"/>
      <c r="N2256" s="834"/>
      <c r="O2256" s="834"/>
      <c r="AX2256" s="6" t="str">
        <f>'Overview (Verification)'!A12</f>
        <v>Community/Lot #:</v>
      </c>
      <c r="AY2256">
        <f>IF(LEN('Overview (Verification)'!P12)=0,0,'Overview (Verification)'!P12)</f>
        <v>0</v>
      </c>
    </row>
    <row r="2257" spans="1:60" x14ac:dyDescent="0.35">
      <c r="A2257" s="366">
        <v>10</v>
      </c>
      <c r="B2257" s="738">
        <v>1001.1</v>
      </c>
      <c r="C2257" s="731"/>
      <c r="D2257" s="731"/>
      <c r="E2257" s="731"/>
      <c r="F2257" s="731"/>
      <c r="G2257" s="366" t="str">
        <f t="shared" si="119"/>
        <v>P</v>
      </c>
      <c r="H2257" s="366" t="s">
        <v>3972</v>
      </c>
      <c r="I2257" s="4"/>
      <c r="J2257" s="4"/>
      <c r="K2257" s="4"/>
      <c r="L2257" s="145" t="s">
        <v>3370</v>
      </c>
      <c r="M2257" s="891"/>
      <c r="N2257" s="834"/>
      <c r="O2257" s="834"/>
      <c r="AX2257" s="6" t="str">
        <f>'Overview (Verification)'!A13</f>
        <v>City:</v>
      </c>
      <c r="AY2257">
        <f>IF(LEN('Overview (Verification)'!P13)=0,0,'Overview (Verification)'!P13)</f>
        <v>0</v>
      </c>
    </row>
    <row r="2258" spans="1:60" x14ac:dyDescent="0.35">
      <c r="A2258" s="366">
        <v>10</v>
      </c>
      <c r="B2258" s="738">
        <v>1001.1</v>
      </c>
      <c r="C2258" s="731" t="s">
        <v>256</v>
      </c>
      <c r="D2258" s="731"/>
      <c r="E2258" s="731"/>
      <c r="F2258" s="746"/>
      <c r="G2258" s="366" t="str">
        <f t="shared" si="119"/>
        <v>P</v>
      </c>
      <c r="H2258" s="366" t="s">
        <v>3972</v>
      </c>
      <c r="I2258" s="4"/>
      <c r="J2258" s="129" t="s">
        <v>256</v>
      </c>
      <c r="K2258" s="133"/>
      <c r="L2258" s="228" t="s">
        <v>3279</v>
      </c>
      <c r="M2258" s="458" t="str">
        <f t="shared" ref="M2258:M2263" si="120">IF(R2258,"Mandatory","N/A")</f>
        <v>Mandatory</v>
      </c>
      <c r="O2258" s="41"/>
      <c r="P2258" t="b">
        <v>0</v>
      </c>
      <c r="Q2258" t="b">
        <v>1</v>
      </c>
      <c r="R2258" t="b">
        <f>S2258</f>
        <v>1</v>
      </c>
      <c r="S2258" t="b">
        <f>IF(AY2262=INDEX(ddSingleOrMulti,1),TRUE,FALSE)</f>
        <v>1</v>
      </c>
      <c r="T2258" t="b">
        <f>AND(NOT(S2258),W2258=TRUE)</f>
        <v>0</v>
      </c>
      <c r="W2258" s="17"/>
      <c r="X2258" s="36"/>
      <c r="Y2258" s="396" t="str">
        <f>IF(LEN('Ch10'!X15)=0,"None",'Ch10'!X15)</f>
        <v>None</v>
      </c>
      <c r="Z2258" s="652"/>
      <c r="AC2258" t="b">
        <f>OR(AD2258:AE2258)</f>
        <v>1</v>
      </c>
      <c r="AD2258" t="b">
        <f>T2258</f>
        <v>0</v>
      </c>
      <c r="AE2258" t="b">
        <f>AND(R2258,NOT(W2258=TRUE))</f>
        <v>1</v>
      </c>
      <c r="AL2258" t="str">
        <f>SUBSTITUTE(SUBSTITUTE(SUBSTITUTE("vpa"&amp;$B2258&amp;$C2258&amp;$D2258&amp;$E2258,".","_"),"(","_"),")","")</f>
        <v>vpa1001_1_1</v>
      </c>
      <c r="AM2258" t="str">
        <f>M2258</f>
        <v>Mandatory</v>
      </c>
      <c r="AP2258" t="str">
        <f>SUBSTITUTE(SUBSTITUTE(SUBSTITUTE("vch"&amp;$B2258&amp;$C2258&amp;$D2258&amp;$E2258,".","_"),"(","_"),")","")</f>
        <v>vch1001_1_1</v>
      </c>
      <c r="AQ2258" t="str">
        <f>IF(LEN(W2258)=0,"",W2258)</f>
        <v/>
      </c>
      <c r="AR2258" t="str">
        <f>SUBSTITUTE(SUBSTITUTE(SUBSTITUTE("vnt"&amp;$B2258&amp;$C2258&amp;$D2258&amp;$E2258,".","_"),"(","_"),")","")</f>
        <v>vnt1001_1_1</v>
      </c>
      <c r="AS2258" t="str">
        <f>IF(LEN(X2258)=0,"",X2258)</f>
        <v/>
      </c>
      <c r="AX2258" s="6" t="str">
        <f>'Overview (Verification)'!A14</f>
        <v>State:</v>
      </c>
      <c r="AY2258">
        <f>IF(LEN('Overview (Verification)'!P14)=0,0,'Overview (Verification)'!P14)</f>
        <v>0</v>
      </c>
      <c r="BC2258" t="str">
        <f>'Overview (Verification)'!T14</f>
        <v>State</v>
      </c>
      <c r="BD2258" t="str">
        <f>'Overview (Verification)'!U14</f>
        <v>County</v>
      </c>
      <c r="BE2258" t="str">
        <f>'Overview (Verification)'!V14</f>
        <v>Radon</v>
      </c>
      <c r="BF2258" t="str">
        <f>'Overview (Verification)'!W14</f>
        <v>Climate</v>
      </c>
      <c r="BG2258" t="str">
        <f>'Overview (Verification)'!X14</f>
        <v>Moist</v>
      </c>
      <c r="BH2258" t="str">
        <f>'Overview (Verification)'!Y14</f>
        <v>WarmHumid</v>
      </c>
    </row>
    <row r="2259" spans="1:60" x14ac:dyDescent="0.35">
      <c r="A2259" s="366">
        <v>10</v>
      </c>
      <c r="B2259" s="738">
        <v>1001.1</v>
      </c>
      <c r="C2259" s="731" t="s">
        <v>258</v>
      </c>
      <c r="D2259" s="731"/>
      <c r="E2259" s="731"/>
      <c r="F2259" s="746"/>
      <c r="G2259" s="366" t="str">
        <f t="shared" si="119"/>
        <v>P</v>
      </c>
      <c r="H2259" s="366" t="s">
        <v>3972</v>
      </c>
      <c r="I2259" s="4"/>
      <c r="J2259" s="130" t="s">
        <v>258</v>
      </c>
      <c r="K2259" s="163"/>
      <c r="L2259" s="178" t="s">
        <v>3280</v>
      </c>
      <c r="M2259" s="459" t="str">
        <f t="shared" si="120"/>
        <v>Mandatory</v>
      </c>
      <c r="O2259" s="41"/>
      <c r="P2259" t="b">
        <v>0</v>
      </c>
      <c r="Q2259" t="b">
        <v>1</v>
      </c>
      <c r="R2259" t="b">
        <f>S2259</f>
        <v>1</v>
      </c>
      <c r="S2259" t="b">
        <f>IF(AY2262=INDEX(ddSingleOrMulti,1),TRUE,FALSE)</f>
        <v>1</v>
      </c>
      <c r="T2259" t="b">
        <f>AND(NOT(S2259),W2259=TRUE)</f>
        <v>0</v>
      </c>
      <c r="W2259" s="17"/>
      <c r="X2259" s="36"/>
      <c r="Y2259" s="396" t="str">
        <f>IF(LEN('Ch10'!X16)=0,"None",'Ch10'!X16)</f>
        <v>None</v>
      </c>
      <c r="Z2259" s="652"/>
      <c r="AC2259" t="b">
        <f>OR(AD2259:AE2259)</f>
        <v>1</v>
      </c>
      <c r="AD2259" t="b">
        <f>T2259</f>
        <v>0</v>
      </c>
      <c r="AE2259" t="b">
        <f>AND(R2259,NOT(W2259=TRUE))</f>
        <v>1</v>
      </c>
      <c r="AL2259" t="str">
        <f>SUBSTITUTE(SUBSTITUTE(SUBSTITUTE("vpa"&amp;$B2259&amp;$C2259&amp;$D2259&amp;$E2259,".","_"),"(","_"),")","")</f>
        <v>vpa1001_1_2</v>
      </c>
      <c r="AM2259" t="str">
        <f>M2259</f>
        <v>Mandatory</v>
      </c>
      <c r="AP2259" t="str">
        <f>SUBSTITUTE(SUBSTITUTE(SUBSTITUTE("vch"&amp;$B2259&amp;$C2259&amp;$D2259&amp;$E2259,".","_"),"(","_"),")","")</f>
        <v>vch1001_1_2</v>
      </c>
      <c r="AQ2259" t="str">
        <f>IF(LEN(W2259)=0,"",W2259)</f>
        <v/>
      </c>
      <c r="AR2259" t="str">
        <f>SUBSTITUTE(SUBSTITUTE(SUBSTITUTE("vnt"&amp;$B2259&amp;$C2259&amp;$D2259&amp;$E2259,".","_"),"(","_"),")","")</f>
        <v>vnt1001_1_2</v>
      </c>
      <c r="AS2259" t="str">
        <f>IF(LEN(X2259)=0,"",X2259)</f>
        <v/>
      </c>
      <c r="AX2259" s="6" t="str">
        <f>'Overview (Verification)'!A15</f>
        <v>County:</v>
      </c>
      <c r="AY2259">
        <f>IF(LEN('Overview (Verification)'!P15)=0,0,'Overview (Verification)'!P15)</f>
        <v>0</v>
      </c>
      <c r="BC2259" t="str">
        <f>'Overview (Verification)'!T15</f>
        <v/>
      </c>
      <c r="BD2259" t="str">
        <f>'Overview (Verification)'!U15</f>
        <v/>
      </c>
      <c r="BE2259" t="str">
        <f>'Overview (Verification)'!V15</f>
        <v>!!</v>
      </c>
      <c r="BF2259" t="str">
        <f>'Overview (Verification)'!W15</f>
        <v>!!</v>
      </c>
      <c r="BG2259" t="str">
        <f>'Overview (Verification)'!X15</f>
        <v>!!</v>
      </c>
      <c r="BH2259" t="str">
        <f>'Overview (Verification)'!Y15</f>
        <v>!!</v>
      </c>
    </row>
    <row r="2260" spans="1:60" x14ac:dyDescent="0.35">
      <c r="A2260" s="366">
        <v>10</v>
      </c>
      <c r="B2260" s="738">
        <v>1001.1</v>
      </c>
      <c r="C2260" s="731" t="s">
        <v>260</v>
      </c>
      <c r="D2260" s="731"/>
      <c r="E2260" s="731"/>
      <c r="F2260" s="746"/>
      <c r="G2260" s="366" t="str">
        <f t="shared" si="119"/>
        <v>P</v>
      </c>
      <c r="H2260" s="366" t="s">
        <v>3972</v>
      </c>
      <c r="I2260" s="4"/>
      <c r="J2260" s="132" t="s">
        <v>260</v>
      </c>
      <c r="K2260" s="118"/>
      <c r="L2260" s="836" t="s">
        <v>3281</v>
      </c>
      <c r="M2260" s="912" t="str">
        <f t="shared" si="120"/>
        <v>Mandatory</v>
      </c>
      <c r="O2260" s="41"/>
      <c r="P2260" t="b">
        <v>0</v>
      </c>
      <c r="Q2260" t="b">
        <v>1</v>
      </c>
      <c r="R2260" t="b">
        <f>S2260</f>
        <v>1</v>
      </c>
      <c r="S2260" t="b">
        <f>IF(AY2262=INDEX(ddSingleOrMulti,1),TRUE,FALSE)</f>
        <v>1</v>
      </c>
      <c r="T2260" t="b">
        <f>AND(NOT(S2260),W2260=TRUE)</f>
        <v>0</v>
      </c>
      <c r="W2260" s="17"/>
      <c r="X2260" s="850"/>
      <c r="Y2260" s="1100" t="str">
        <f>IF(LEN('Ch10'!X17)=0,"None",'Ch10'!X17)</f>
        <v>None</v>
      </c>
      <c r="Z2260" s="1102"/>
      <c r="AC2260" t="b">
        <f>OR(AD2260:AE2260)</f>
        <v>1</v>
      </c>
      <c r="AD2260" t="b">
        <f>T2260</f>
        <v>0</v>
      </c>
      <c r="AE2260" t="b">
        <f>AND(R2260,NOT(W2260=TRUE))</f>
        <v>1</v>
      </c>
      <c r="AL2260" t="str">
        <f>SUBSTITUTE(SUBSTITUTE(SUBSTITUTE("vpa"&amp;$B2260&amp;$C2260&amp;$D2260&amp;$E2260,".","_"),"(","_"),")","")</f>
        <v>vpa1001_1_3</v>
      </c>
      <c r="AM2260" t="str">
        <f>M2260</f>
        <v>Mandatory</v>
      </c>
      <c r="AP2260" t="str">
        <f>SUBSTITUTE(SUBSTITUTE(SUBSTITUTE("vch"&amp;$B2260&amp;$C2260&amp;$D2260&amp;$E2260,".","_"),"(","_"),")","")</f>
        <v>vch1001_1_3</v>
      </c>
      <c r="AQ2260" t="str">
        <f>IF(LEN(W2260)=0,"",W2260)</f>
        <v/>
      </c>
      <c r="AR2260" t="str">
        <f>SUBSTITUTE(SUBSTITUTE(SUBSTITUTE("vnt"&amp;$B2260&amp;$C2260&amp;$D2260&amp;$E2260,".","_"),"(","_"),")","")</f>
        <v>vnt1001_1_3</v>
      </c>
      <c r="AS2260" t="str">
        <f>IF(LEN(X2260)=0,"",X2260)</f>
        <v/>
      </c>
      <c r="AX2260" s="6" t="str">
        <f>'Overview (Verification)'!A16</f>
        <v>Zip:</v>
      </c>
      <c r="AY2260">
        <f>IF(LEN('Overview (Verification)'!P16)=0,0,'Overview (Verification)'!P16)</f>
        <v>0</v>
      </c>
    </row>
    <row r="2261" spans="1:60" x14ac:dyDescent="0.35">
      <c r="A2261" s="366">
        <v>10</v>
      </c>
      <c r="B2261" s="738">
        <v>1001.1</v>
      </c>
      <c r="C2261" s="731" t="s">
        <v>260</v>
      </c>
      <c r="D2261" s="731"/>
      <c r="E2261" s="731"/>
      <c r="F2261" s="746"/>
      <c r="G2261" s="366" t="str">
        <f t="shared" si="119"/>
        <v>P</v>
      </c>
      <c r="H2261" s="366" t="s">
        <v>3972</v>
      </c>
      <c r="I2261" s="4"/>
      <c r="J2261" s="19"/>
      <c r="K2261" s="4"/>
      <c r="L2261" s="814"/>
      <c r="M2261" s="885" t="str">
        <f t="shared" si="120"/>
        <v>N/A</v>
      </c>
      <c r="O2261" s="41"/>
      <c r="X2261" s="851"/>
      <c r="Y2261" s="1100"/>
      <c r="Z2261" s="1102"/>
      <c r="AX2261" s="6"/>
    </row>
    <row r="2262" spans="1:60" x14ac:dyDescent="0.35">
      <c r="A2262" s="366">
        <v>10</v>
      </c>
      <c r="B2262" s="738">
        <v>1001.1</v>
      </c>
      <c r="C2262" s="731" t="s">
        <v>260</v>
      </c>
      <c r="D2262" s="731"/>
      <c r="E2262" s="731"/>
      <c r="F2262" s="746"/>
      <c r="G2262" s="366" t="str">
        <f t="shared" si="119"/>
        <v>P</v>
      </c>
      <c r="H2262" s="366" t="s">
        <v>3972</v>
      </c>
      <c r="I2262" s="4"/>
      <c r="J2262" s="19"/>
      <c r="K2262" s="4"/>
      <c r="L2262" s="814"/>
      <c r="M2262" s="885" t="str">
        <f t="shared" si="120"/>
        <v>N/A</v>
      </c>
      <c r="O2262" s="41"/>
      <c r="X2262" s="851"/>
      <c r="Y2262" s="1100"/>
      <c r="Z2262" s="1102"/>
      <c r="AX2262" s="6" t="str">
        <f>'Overview (Verification)'!A18</f>
        <v>Single-Family or Multifamily:</v>
      </c>
      <c r="AY2262" t="str">
        <f>IF(LEN('Overview (Verification)'!P18)=0,0,'Overview (Verification)'!P18)</f>
        <v>Single-Family</v>
      </c>
    </row>
    <row r="2263" spans="1:60" x14ac:dyDescent="0.35">
      <c r="A2263" s="366">
        <v>10</v>
      </c>
      <c r="B2263" s="738">
        <v>1001.1</v>
      </c>
      <c r="C2263" s="731" t="s">
        <v>260</v>
      </c>
      <c r="D2263" s="731"/>
      <c r="E2263" s="731"/>
      <c r="F2263" s="746"/>
      <c r="G2263" s="366" t="str">
        <f t="shared" si="119"/>
        <v>P</v>
      </c>
      <c r="H2263" s="366" t="s">
        <v>3972</v>
      </c>
      <c r="I2263" s="4"/>
      <c r="J2263" s="129"/>
      <c r="K2263" s="133"/>
      <c r="L2263" s="815"/>
      <c r="M2263" s="890" t="str">
        <f t="shared" si="120"/>
        <v>N/A</v>
      </c>
      <c r="O2263" s="41"/>
      <c r="X2263" s="816"/>
      <c r="Y2263" s="1100"/>
      <c r="Z2263" s="1102"/>
      <c r="AX2263" s="6" t="str">
        <f>'Overview (Verification)'!A19</f>
        <v>Number of Units:</v>
      </c>
      <c r="AY2263">
        <f>IF(LEN('Overview (Verification)'!P19)=0,0,'Overview (Verification)'!P19)</f>
        <v>0</v>
      </c>
    </row>
    <row r="2264" spans="1:60" x14ac:dyDescent="0.35">
      <c r="A2264" s="366">
        <v>10</v>
      </c>
      <c r="B2264" s="738">
        <v>1001.1</v>
      </c>
      <c r="C2264" s="731" t="s">
        <v>269</v>
      </c>
      <c r="D2264" s="731"/>
      <c r="E2264" s="731"/>
      <c r="F2264" s="746"/>
      <c r="G2264" s="366" t="str">
        <f t="shared" si="119"/>
        <v>P</v>
      </c>
      <c r="H2264" s="366" t="s">
        <v>3972</v>
      </c>
      <c r="I2264" s="4"/>
      <c r="J2264" s="130" t="s">
        <v>269</v>
      </c>
      <c r="K2264" s="163"/>
      <c r="L2264" s="178" t="s">
        <v>3282</v>
      </c>
      <c r="M2264" s="75"/>
      <c r="O2264" s="41"/>
      <c r="P2264" t="b">
        <v>0</v>
      </c>
      <c r="Q2264" t="b">
        <v>1</v>
      </c>
      <c r="R2264" t="b">
        <v>0</v>
      </c>
      <c r="S2264" t="b">
        <f>IF(AY2262=INDEX(ddSingleOrMulti,1),TRUE,FALSE)</f>
        <v>1</v>
      </c>
      <c r="T2264" t="b">
        <f>AND(NOT(S2264),W2264=TRUE)</f>
        <v>0</v>
      </c>
      <c r="W2264" s="17"/>
      <c r="X2264" s="36"/>
      <c r="Y2264" s="396" t="str">
        <f>IF(LEN('Ch10'!X21)=0,"None",'Ch10'!X21)</f>
        <v>None</v>
      </c>
      <c r="Z2264" s="652"/>
      <c r="AC2264" t="b">
        <f>OR(AD2264:AE2264)</f>
        <v>0</v>
      </c>
      <c r="AD2264" t="b">
        <f>T2264</f>
        <v>0</v>
      </c>
      <c r="AP2264" t="str">
        <f>SUBSTITUTE(SUBSTITUTE(SUBSTITUTE("vch"&amp;$B2264&amp;$C2264&amp;$D2264&amp;$E2264,".","_"),"(","_"),")","")</f>
        <v>vch1001_1_4</v>
      </c>
      <c r="AQ2264" t="str">
        <f>IF(LEN(W2264)=0,"",W2264)</f>
        <v/>
      </c>
      <c r="AR2264" t="str">
        <f>SUBSTITUTE(SUBSTITUTE(SUBSTITUTE("vnt"&amp;$B2264&amp;$C2264&amp;$D2264&amp;$E2264,".","_"),"(","_"),")","")</f>
        <v>vnt1001_1_4</v>
      </c>
      <c r="AS2264" t="str">
        <f>IF(LEN(X2264)=0,"",X2264)</f>
        <v/>
      </c>
      <c r="AX2264" s="6" t="str">
        <f>'Overview (Verification)'!A20</f>
        <v>Building includes commercial space pursuing Commercial Space certification?</v>
      </c>
      <c r="AY2264">
        <f>IF(LEN('Overview (Verification)'!P20)=0,0,'Overview (Verification)'!P20)</f>
        <v>0</v>
      </c>
    </row>
    <row r="2265" spans="1:60" x14ac:dyDescent="0.35">
      <c r="A2265" s="366">
        <v>10</v>
      </c>
      <c r="B2265" s="738">
        <v>1001.1</v>
      </c>
      <c r="C2265" s="731" t="s">
        <v>275</v>
      </c>
      <c r="D2265" s="731"/>
      <c r="E2265" s="731"/>
      <c r="F2265" s="746"/>
      <c r="G2265" s="366" t="str">
        <f t="shared" si="119"/>
        <v>P</v>
      </c>
      <c r="H2265" s="366" t="s">
        <v>3972</v>
      </c>
      <c r="I2265" s="4"/>
      <c r="J2265" s="130" t="s">
        <v>275</v>
      </c>
      <c r="K2265" s="163"/>
      <c r="L2265" s="178" t="s">
        <v>3283</v>
      </c>
      <c r="M2265" s="75"/>
      <c r="O2265" s="41"/>
      <c r="P2265" t="b">
        <v>0</v>
      </c>
      <c r="Q2265" t="b">
        <v>1</v>
      </c>
      <c r="R2265" t="b">
        <v>0</v>
      </c>
      <c r="S2265" t="b">
        <f>IF(AY2262=INDEX(ddSingleOrMulti,1),TRUE,FALSE)</f>
        <v>1</v>
      </c>
      <c r="T2265" t="b">
        <f>AND(NOT(S2265),W2265=TRUE)</f>
        <v>0</v>
      </c>
      <c r="W2265" s="17"/>
      <c r="X2265" s="36"/>
      <c r="Y2265" s="396" t="str">
        <f>IF(LEN('Ch10'!X22)=0,"None",'Ch10'!X22)</f>
        <v>None</v>
      </c>
      <c r="Z2265" s="652"/>
      <c r="AC2265" t="b">
        <f>OR(AD2265:AE2265)</f>
        <v>0</v>
      </c>
      <c r="AD2265" t="b">
        <f>T2265</f>
        <v>0</v>
      </c>
      <c r="AP2265" t="str">
        <f>SUBSTITUTE(SUBSTITUTE(SUBSTITUTE("vch"&amp;$B2265&amp;$C2265&amp;$D2265&amp;$E2265,".","_"),"(","_"),")","")</f>
        <v>vch1001_1_5</v>
      </c>
      <c r="AQ2265" t="str">
        <f>IF(LEN(W2265)=0,"",W2265)</f>
        <v/>
      </c>
      <c r="AR2265" t="str">
        <f>SUBSTITUTE(SUBSTITUTE(SUBSTITUTE("vnt"&amp;$B2265&amp;$C2265&amp;$D2265&amp;$E2265,".","_"),"(","_"),")","")</f>
        <v>vnt1001_1_5</v>
      </c>
      <c r="AS2265" t="str">
        <f>IF(LEN(X2265)=0,"",X2265)</f>
        <v/>
      </c>
    </row>
    <row r="2266" spans="1:60" x14ac:dyDescent="0.35">
      <c r="A2266" s="366">
        <v>10</v>
      </c>
      <c r="B2266" s="738">
        <v>1001.1</v>
      </c>
      <c r="C2266" s="731" t="s">
        <v>277</v>
      </c>
      <c r="D2266" s="731"/>
      <c r="E2266" s="731"/>
      <c r="F2266" s="746"/>
      <c r="G2266" s="366" t="str">
        <f t="shared" si="119"/>
        <v>P</v>
      </c>
      <c r="H2266" s="366" t="s">
        <v>3972</v>
      </c>
      <c r="I2266" s="4"/>
      <c r="J2266" s="132" t="s">
        <v>277</v>
      </c>
      <c r="K2266" s="118"/>
      <c r="L2266" s="836" t="s">
        <v>3284</v>
      </c>
      <c r="M2266" s="75"/>
      <c r="O2266" s="41"/>
      <c r="P2266" t="b">
        <v>0</v>
      </c>
      <c r="Q2266" t="b">
        <v>1</v>
      </c>
      <c r="R2266" t="b">
        <v>0</v>
      </c>
      <c r="S2266" t="b">
        <f>IF(AY2262=INDEX(ddSingleOrMulti,1),TRUE,FALSE)</f>
        <v>1</v>
      </c>
      <c r="T2266" t="b">
        <f>AND(NOT(S2266),W2266=TRUE)</f>
        <v>0</v>
      </c>
      <c r="W2266" s="17"/>
      <c r="X2266" s="817"/>
      <c r="Y2266" s="1100" t="str">
        <f>IF(LEN('Ch10'!X23)=0,"None",'Ch10'!X23)</f>
        <v>None</v>
      </c>
      <c r="Z2266" s="1102"/>
      <c r="AC2266" t="b">
        <f>OR(AD2266:AE2266)</f>
        <v>0</v>
      </c>
      <c r="AD2266" t="b">
        <f>T2266</f>
        <v>0</v>
      </c>
      <c r="AP2266" t="str">
        <f>SUBSTITUTE(SUBSTITUTE(SUBSTITUTE("vch"&amp;$B2266&amp;$C2266&amp;$D2266&amp;$E2266,".","_"),"(","_"),")","")</f>
        <v>vch1001_1_6</v>
      </c>
      <c r="AQ2266" t="str">
        <f>IF(LEN(W2266)=0,"",W2266)</f>
        <v/>
      </c>
      <c r="AR2266" t="str">
        <f>SUBSTITUTE(SUBSTITUTE(SUBSTITUTE("vnt"&amp;$B2266&amp;$C2266&amp;$D2266&amp;$E2266,".","_"),"(","_"),")","")</f>
        <v>vnt1001_1_6</v>
      </c>
      <c r="AS2266" t="str">
        <f>IF(LEN(X2266)=0,"",X2266)</f>
        <v/>
      </c>
    </row>
    <row r="2267" spans="1:60" x14ac:dyDescent="0.35">
      <c r="A2267" s="366">
        <v>10</v>
      </c>
      <c r="B2267" s="738">
        <v>1001.1</v>
      </c>
      <c r="C2267" s="731" t="s">
        <v>277</v>
      </c>
      <c r="D2267" s="731"/>
      <c r="E2267" s="731"/>
      <c r="F2267" s="746"/>
      <c r="G2267" s="366" t="str">
        <f t="shared" si="119"/>
        <v>P</v>
      </c>
      <c r="H2267" s="366" t="s">
        <v>3972</v>
      </c>
      <c r="I2267" s="4"/>
      <c r="J2267" s="129"/>
      <c r="K2267" s="133"/>
      <c r="L2267" s="815"/>
      <c r="M2267" s="75"/>
      <c r="O2267" s="41"/>
      <c r="X2267" s="817"/>
      <c r="Y2267" s="1100"/>
      <c r="Z2267" s="1102"/>
      <c r="AX2267" s="6" t="str">
        <f>'Overview (Verification)'!A23</f>
        <v>Project Name:</v>
      </c>
      <c r="AY2267">
        <f>IF(LEN('Overview (Verification)'!P23)=0,0,'Overview (Verification)'!P23)</f>
        <v>0</v>
      </c>
    </row>
    <row r="2268" spans="1:60" x14ac:dyDescent="0.35">
      <c r="A2268" s="366">
        <v>10</v>
      </c>
      <c r="B2268" s="738">
        <v>1001.1</v>
      </c>
      <c r="C2268" s="731" t="s">
        <v>383</v>
      </c>
      <c r="D2268" s="731"/>
      <c r="E2268" s="731"/>
      <c r="F2268" s="746"/>
      <c r="G2268" s="366" t="str">
        <f t="shared" si="119"/>
        <v>P</v>
      </c>
      <c r="H2268" s="366" t="s">
        <v>3972</v>
      </c>
      <c r="I2268" s="4"/>
      <c r="J2268" s="132" t="s">
        <v>383</v>
      </c>
      <c r="K2268" s="118"/>
      <c r="L2268" s="836" t="s">
        <v>3285</v>
      </c>
      <c r="M2268" s="75"/>
      <c r="O2268" s="41"/>
      <c r="P2268" t="b">
        <v>0</v>
      </c>
      <c r="Q2268" t="b">
        <v>1</v>
      </c>
      <c r="R2268" t="b">
        <v>0</v>
      </c>
      <c r="S2268" t="b">
        <f>IF(AY2262=INDEX(ddSingleOrMulti,1),TRUE,FALSE)</f>
        <v>1</v>
      </c>
      <c r="T2268" t="b">
        <f>AND(NOT(S2268),W2268=TRUE)</f>
        <v>0</v>
      </c>
      <c r="W2268" s="17"/>
      <c r="X2268" s="817"/>
      <c r="Y2268" s="1100" t="str">
        <f>IF(LEN('Ch10'!X25)=0,"None",'Ch10'!X25)</f>
        <v>None</v>
      </c>
      <c r="Z2268" s="1102"/>
      <c r="AC2268" t="b">
        <f>OR(AD2268:AE2268)</f>
        <v>0</v>
      </c>
      <c r="AD2268" t="b">
        <f>T2268</f>
        <v>0</v>
      </c>
      <c r="AP2268" t="str">
        <f>SUBSTITUTE(SUBSTITUTE(SUBSTITUTE("vch"&amp;$B2268&amp;$C2268&amp;$D2268&amp;$E2268,".","_"),"(","_"),")","")</f>
        <v>vch1001_1_7</v>
      </c>
      <c r="AQ2268" t="str">
        <f>IF(LEN(W2268)=0,"",W2268)</f>
        <v/>
      </c>
      <c r="AR2268" t="str">
        <f>SUBSTITUTE(SUBSTITUTE(SUBSTITUTE("vnt"&amp;$B2268&amp;$C2268&amp;$D2268&amp;$E2268,".","_"),"(","_"),")","")</f>
        <v>vnt1001_1_7</v>
      </c>
      <c r="AS2268" t="str">
        <f>IF(LEN(X2268)=0,"",X2268)</f>
        <v/>
      </c>
      <c r="AX2268" s="6"/>
    </row>
    <row r="2269" spans="1:60" x14ac:dyDescent="0.35">
      <c r="A2269" s="366">
        <v>10</v>
      </c>
      <c r="B2269" s="738">
        <v>1001.1</v>
      </c>
      <c r="C2269" s="731" t="s">
        <v>383</v>
      </c>
      <c r="D2269" s="731"/>
      <c r="E2269" s="731"/>
      <c r="F2269" s="746"/>
      <c r="G2269" s="366" t="str">
        <f t="shared" si="119"/>
        <v>P</v>
      </c>
      <c r="H2269" s="366" t="s">
        <v>3972</v>
      </c>
      <c r="I2269" s="4"/>
      <c r="J2269" s="129"/>
      <c r="K2269" s="133"/>
      <c r="L2269" s="815"/>
      <c r="M2269" s="75"/>
      <c r="O2269" s="41"/>
      <c r="X2269" s="817"/>
      <c r="Y2269" s="1100"/>
      <c r="Z2269" s="1102"/>
      <c r="AX2269" s="6" t="str">
        <f>'Overview (Verification)'!A25</f>
        <v>Above grade plane finished floor area:</v>
      </c>
      <c r="AY2269">
        <f>IF(LEN('Overview (Verification)'!P25)=0,0,'Overview (Verification)'!P25)</f>
        <v>0</v>
      </c>
    </row>
    <row r="2270" spans="1:60" x14ac:dyDescent="0.35">
      <c r="A2270" s="366">
        <v>10</v>
      </c>
      <c r="B2270" s="738">
        <v>1001.1</v>
      </c>
      <c r="C2270" s="731" t="s">
        <v>428</v>
      </c>
      <c r="D2270" s="731"/>
      <c r="E2270" s="731"/>
      <c r="F2270" s="746"/>
      <c r="G2270" s="366" t="str">
        <f t="shared" si="119"/>
        <v>P</v>
      </c>
      <c r="H2270" s="366" t="s">
        <v>3972</v>
      </c>
      <c r="I2270" s="4"/>
      <c r="J2270" s="130" t="s">
        <v>428</v>
      </c>
      <c r="K2270" s="163"/>
      <c r="L2270" s="178" t="s">
        <v>3286</v>
      </c>
      <c r="M2270" s="75"/>
      <c r="O2270" s="41"/>
      <c r="P2270" t="b">
        <v>0</v>
      </c>
      <c r="Q2270" t="b">
        <v>1</v>
      </c>
      <c r="R2270" t="b">
        <v>0</v>
      </c>
      <c r="S2270" t="b">
        <f>IF(AY2262=INDEX(ddSingleOrMulti,1),TRUE,FALSE)</f>
        <v>1</v>
      </c>
      <c r="T2270" t="b">
        <f>AND(NOT(S2270),W2270=TRUE)</f>
        <v>0</v>
      </c>
      <c r="W2270" s="17"/>
      <c r="X2270" s="36"/>
      <c r="Y2270" s="396" t="str">
        <f>IF(LEN('Ch10'!X27)=0,"None",'Ch10'!X27)</f>
        <v>None</v>
      </c>
      <c r="Z2270" s="652"/>
      <c r="AC2270" t="b">
        <f>OR(AD2270:AE2270)</f>
        <v>0</v>
      </c>
      <c r="AD2270" t="b">
        <f>T2270</f>
        <v>0</v>
      </c>
      <c r="AP2270" t="str">
        <f>SUBSTITUTE(SUBSTITUTE(SUBSTITUTE("vch"&amp;$B2270&amp;$C2270&amp;$D2270&amp;$E2270,".","_"),"(","_"),")","")</f>
        <v>vch1001_1_8</v>
      </c>
      <c r="AQ2270" t="str">
        <f>IF(LEN(W2270)=0,"",W2270)</f>
        <v/>
      </c>
      <c r="AR2270" t="str">
        <f>SUBSTITUTE(SUBSTITUTE(SUBSTITUTE("vnt"&amp;$B2270&amp;$C2270&amp;$D2270&amp;$E2270,".","_"),"(","_"),")","")</f>
        <v>vnt1001_1_8</v>
      </c>
      <c r="AS2270" t="str">
        <f>IF(LEN(X2270)=0,"",X2270)</f>
        <v/>
      </c>
      <c r="AX2270" s="6" t="str">
        <f>'Overview (Verification)'!A26</f>
        <v>Total conditioned floor area:</v>
      </c>
      <c r="AY2270">
        <f>IF(LEN('Overview (Verification)'!P26)=0,0,'Overview (Verification)'!P26)</f>
        <v>0</v>
      </c>
    </row>
    <row r="2271" spans="1:60" ht="15" customHeight="1" x14ac:dyDescent="0.35">
      <c r="A2271" s="366">
        <v>10</v>
      </c>
      <c r="B2271" s="738">
        <v>1001.1</v>
      </c>
      <c r="C2271" s="731" t="s">
        <v>430</v>
      </c>
      <c r="D2271" s="731"/>
      <c r="E2271" s="731"/>
      <c r="F2271" s="746"/>
      <c r="G2271" s="366" t="str">
        <f t="shared" si="119"/>
        <v>P</v>
      </c>
      <c r="H2271" s="366" t="s">
        <v>3972</v>
      </c>
      <c r="I2271" s="4"/>
      <c r="J2271" s="19" t="s">
        <v>430</v>
      </c>
      <c r="K2271" s="4"/>
      <c r="L2271" s="820" t="s">
        <v>3287</v>
      </c>
      <c r="M2271" s="900" t="str">
        <f ca="1">IF(R2271,"Mandatory per 902.2.1","N/A")</f>
        <v>N/A</v>
      </c>
      <c r="O2271" s="41"/>
      <c r="P2271" t="b">
        <v>0</v>
      </c>
      <c r="Q2271" t="b">
        <v>1</v>
      </c>
      <c r="R2271" s="1" t="b">
        <f ca="1">AND(S2271,OR($O$2085&gt;0,$R$2085))</f>
        <v>0</v>
      </c>
      <c r="S2271" t="b">
        <f>IF(AY2262=INDEX(ddSingleOrMulti,1),TRUE,FALSE)</f>
        <v>1</v>
      </c>
      <c r="T2271" t="b">
        <f>AND(NOT(S2271),W2271=TRUE)</f>
        <v>0</v>
      </c>
      <c r="W2271" s="17"/>
      <c r="X2271" s="850"/>
      <c r="Y2271" s="1119" t="str">
        <f>IF(LEN('Ch10'!X28)=0,"None",'Ch10'!X28)</f>
        <v>None</v>
      </c>
      <c r="Z2271" s="1105"/>
      <c r="AC2271" t="b">
        <f ca="1">OR(AD2271:AE2271)</f>
        <v>0</v>
      </c>
      <c r="AD2271" t="b">
        <f>T2271</f>
        <v>0</v>
      </c>
      <c r="AE2271" t="b">
        <f ca="1">AND(R2271,NOT(W2271=TRUE))</f>
        <v>0</v>
      </c>
      <c r="AL2271" t="str">
        <f>SUBSTITUTE(SUBSTITUTE(SUBSTITUTE("vpa"&amp;$B2271&amp;$C2271&amp;$D2271&amp;$E2271,".","_"),"(","_"),")","")</f>
        <v>vpa1001_1_9</v>
      </c>
      <c r="AM2271" t="str">
        <f ca="1">M2271</f>
        <v>N/A</v>
      </c>
      <c r="AP2271" t="str">
        <f>SUBSTITUTE(SUBSTITUTE(SUBSTITUTE("vch"&amp;$B2271&amp;$C2271&amp;$D2271&amp;$E2271,".","_"),"(","_"),")","")</f>
        <v>vch1001_1_9</v>
      </c>
      <c r="AQ2271" t="str">
        <f>IF(LEN(W2271)=0,"",W2271)</f>
        <v/>
      </c>
      <c r="AR2271" t="str">
        <f>SUBSTITUTE(SUBSTITUTE(SUBSTITUTE("vnt"&amp;$B2271&amp;$C2271&amp;$D2271&amp;$E2271,".","_"),"(","_"),")","")</f>
        <v>vnt1001_1_9</v>
      </c>
      <c r="AS2271" t="str">
        <f>IF(LEN(X2271)=0,"",X2271)</f>
        <v/>
      </c>
      <c r="AX2271" s="6" t="str">
        <f>'Overview (Verification)'!A27</f>
        <v>Stories above grade:</v>
      </c>
      <c r="AY2271">
        <f>IF(LEN('Overview (Verification)'!P27)=0,0,'Overview (Verification)'!P27)</f>
        <v>0</v>
      </c>
    </row>
    <row r="2272" spans="1:60" ht="15" customHeight="1" x14ac:dyDescent="0.35">
      <c r="A2272" s="366">
        <v>10</v>
      </c>
      <c r="B2272" s="738">
        <v>1001.1</v>
      </c>
      <c r="C2272" s="731" t="s">
        <v>430</v>
      </c>
      <c r="D2272" s="731"/>
      <c r="E2272" s="731"/>
      <c r="F2272" s="746"/>
      <c r="G2272" s="366" t="str">
        <f t="shared" si="119"/>
        <v>P</v>
      </c>
      <c r="H2272" s="366" t="s">
        <v>3972</v>
      </c>
      <c r="I2272" s="4"/>
      <c r="J2272" s="19"/>
      <c r="K2272" s="4"/>
      <c r="L2272" s="821"/>
      <c r="M2272" s="900"/>
      <c r="O2272" s="41"/>
      <c r="X2272" s="816"/>
      <c r="Y2272" s="1117"/>
      <c r="Z2272" s="1103"/>
      <c r="AX2272" s="6" t="str">
        <f>'Overview (Verification)'!A28</f>
        <v>Project Elevation (ft. above sea level):</v>
      </c>
      <c r="AY2272">
        <f>IF(LEN('Overview (Verification)'!P28)=0,0,'Overview (Verification)'!P28)</f>
        <v>0</v>
      </c>
    </row>
    <row r="2273" spans="1:51" x14ac:dyDescent="0.35">
      <c r="A2273" s="366">
        <v>10</v>
      </c>
      <c r="B2273" s="738">
        <v>1001.1</v>
      </c>
      <c r="C2273" s="731" t="s">
        <v>432</v>
      </c>
      <c r="D2273" s="731"/>
      <c r="E2273" s="731"/>
      <c r="F2273" s="746"/>
      <c r="G2273" s="366" t="str">
        <f>G2271</f>
        <v>P</v>
      </c>
      <c r="H2273" s="366" t="s">
        <v>3972</v>
      </c>
      <c r="I2273" s="4"/>
      <c r="J2273" s="130" t="s">
        <v>432</v>
      </c>
      <c r="K2273" s="163"/>
      <c r="L2273" s="178" t="s">
        <v>3288</v>
      </c>
      <c r="M2273" s="75"/>
      <c r="O2273" s="41"/>
      <c r="P2273" t="b">
        <v>0</v>
      </c>
      <c r="Q2273" t="b">
        <v>1</v>
      </c>
      <c r="R2273" t="b">
        <v>0</v>
      </c>
      <c r="S2273" t="b">
        <f>IF(AY2262=INDEX(ddSingleOrMulti,1),TRUE,FALSE)</f>
        <v>1</v>
      </c>
      <c r="T2273" t="b">
        <f>AND(NOT(S2273),W2273=TRUE)</f>
        <v>0</v>
      </c>
      <c r="W2273" s="17"/>
      <c r="X2273" s="36"/>
      <c r="Y2273" s="396" t="str">
        <f>IF(LEN('Ch10'!X30)=0,"None",'Ch10'!X30)</f>
        <v>None</v>
      </c>
      <c r="Z2273" s="652"/>
      <c r="AC2273" t="b">
        <f>OR(AD2273:AE2273)</f>
        <v>0</v>
      </c>
      <c r="AD2273" t="b">
        <f>T2273</f>
        <v>0</v>
      </c>
      <c r="AP2273" t="str">
        <f>SUBSTITUTE(SUBSTITUTE(SUBSTITUTE("vch"&amp;$B2273&amp;$C2273&amp;$D2273&amp;$E2273,".","_"),"(","_"),")","")</f>
        <v>vch1001_1_10</v>
      </c>
      <c r="AQ2273" t="str">
        <f>IF(LEN(W2273)=0,"",W2273)</f>
        <v/>
      </c>
      <c r="AR2273" t="str">
        <f>SUBSTITUTE(SUBSTITUTE(SUBSTITUTE("vnt"&amp;$B2273&amp;$C2273&amp;$D2273&amp;$E2273,".","_"),"(","_"),")","")</f>
        <v>vnt1001_1_10</v>
      </c>
      <c r="AS2273" t="str">
        <f>IF(LEN(X2273)=0,"",X2273)</f>
        <v/>
      </c>
    </row>
    <row r="2274" spans="1:51" ht="15" customHeight="1" x14ac:dyDescent="0.35">
      <c r="A2274" s="366">
        <v>10</v>
      </c>
      <c r="B2274" s="738">
        <v>1001.1</v>
      </c>
      <c r="C2274" s="731" t="s">
        <v>434</v>
      </c>
      <c r="D2274" s="731"/>
      <c r="E2274" s="731"/>
      <c r="F2274" s="746"/>
      <c r="G2274" s="366" t="str">
        <f t="shared" si="119"/>
        <v>P</v>
      </c>
      <c r="H2274" s="366" t="s">
        <v>3972</v>
      </c>
      <c r="I2274" s="4"/>
      <c r="J2274" s="19" t="s">
        <v>434</v>
      </c>
      <c r="K2274" s="4"/>
      <c r="L2274" s="90" t="s">
        <v>3289</v>
      </c>
      <c r="M2274" s="75"/>
      <c r="O2274" s="41"/>
      <c r="P2274" t="b">
        <v>0</v>
      </c>
      <c r="Q2274" t="b">
        <v>1</v>
      </c>
      <c r="R2274" t="b">
        <v>0</v>
      </c>
      <c r="S2274" t="b">
        <f>IF(AY2262=INDEX(ddSingleOrMulti,1),TRUE,FALSE)</f>
        <v>1</v>
      </c>
      <c r="T2274" t="b">
        <f>AND(NOT(S2274),W2274=TRUE)</f>
        <v>0</v>
      </c>
      <c r="W2274" s="17"/>
      <c r="X2274" s="36"/>
      <c r="Y2274" s="396" t="str">
        <f>IF(LEN('Ch10'!X31)=0,"None",'Ch10'!X31)</f>
        <v>None</v>
      </c>
      <c r="Z2274" s="652"/>
      <c r="AC2274" t="b">
        <f>OR(AD2274:AE2274)</f>
        <v>0</v>
      </c>
      <c r="AD2274" t="b">
        <f>T2274</f>
        <v>0</v>
      </c>
      <c r="AP2274" t="str">
        <f>SUBSTITUTE(SUBSTITUTE(SUBSTITUTE("vch"&amp;$B2274&amp;$C2274&amp;$D2274&amp;$E2274,".","_"),"(","_"),")","")</f>
        <v>vch1001_1_11</v>
      </c>
      <c r="AQ2274" t="str">
        <f>IF(LEN(W2274)=0,"",W2274)</f>
        <v/>
      </c>
      <c r="AR2274" t="str">
        <f>SUBSTITUTE(SUBSTITUTE(SUBSTITUTE("vnt"&amp;$B2274&amp;$C2274&amp;$D2274&amp;$E2274,".","_"),"(","_"),")","")</f>
        <v>vnt1001_1_11</v>
      </c>
      <c r="AS2274" t="str">
        <f>IF(LEN(X2274)=0,"",X2274)</f>
        <v/>
      </c>
      <c r="AX2274" s="6" t="str">
        <f>'Overview (Verification)'!A30</f>
        <v xml:space="preserve">Project Description (optional): </v>
      </c>
      <c r="AY2274">
        <f>IF(LEN('Overview (Verification)'!P30)=0,0,'Overview (Verification)'!P30)</f>
        <v>0</v>
      </c>
    </row>
    <row r="2275" spans="1:51" x14ac:dyDescent="0.35">
      <c r="A2275" s="366">
        <v>10</v>
      </c>
      <c r="B2275" s="738">
        <v>1001.1</v>
      </c>
      <c r="C2275" s="731" t="s">
        <v>436</v>
      </c>
      <c r="D2275" s="731"/>
      <c r="E2275" s="731"/>
      <c r="F2275" s="746"/>
      <c r="G2275" s="366" t="str">
        <f t="shared" si="119"/>
        <v>P</v>
      </c>
      <c r="H2275" s="366" t="s">
        <v>3972</v>
      </c>
      <c r="I2275" s="4"/>
      <c r="J2275" s="132" t="s">
        <v>436</v>
      </c>
      <c r="K2275" s="118"/>
      <c r="L2275" s="836" t="s">
        <v>3290</v>
      </c>
      <c r="M2275" s="75"/>
      <c r="O2275" s="41"/>
      <c r="P2275" t="b">
        <v>0</v>
      </c>
      <c r="Q2275" t="b">
        <v>1</v>
      </c>
      <c r="R2275" t="b">
        <v>0</v>
      </c>
      <c r="S2275" t="b">
        <f>IF(AY2262=INDEX(ddSingleOrMulti,1),TRUE,FALSE)</f>
        <v>1</v>
      </c>
      <c r="T2275" t="b">
        <f>AND(NOT(S2275),W2275=TRUE)</f>
        <v>0</v>
      </c>
      <c r="W2275" s="17"/>
      <c r="X2275" s="817"/>
      <c r="Y2275" s="1100" t="str">
        <f>IF(LEN('Ch10'!X32)=0,"None",'Ch10'!X32)</f>
        <v>None</v>
      </c>
      <c r="Z2275" s="1102"/>
      <c r="AC2275" t="b">
        <f>OR(AD2275:AE2275)</f>
        <v>0</v>
      </c>
      <c r="AD2275" t="b">
        <f>T2275</f>
        <v>0</v>
      </c>
      <c r="AP2275" t="str">
        <f>SUBSTITUTE(SUBSTITUTE(SUBSTITUTE("vch"&amp;$B2275&amp;$C2275&amp;$D2275&amp;$E2275,".","_"),"(","_"),")","")</f>
        <v>vch1001_1_12</v>
      </c>
      <c r="AQ2275" t="str">
        <f>IF(LEN(W2275)=0,"",W2275)</f>
        <v/>
      </c>
      <c r="AR2275" t="str">
        <f>SUBSTITUTE(SUBSTITUTE(SUBSTITUTE("vnt"&amp;$B2275&amp;$C2275&amp;$D2275&amp;$E2275,".","_"),"(","_"),")","")</f>
        <v>vnt1001_1_12</v>
      </c>
      <c r="AS2275" t="str">
        <f>IF(LEN(X2275)=0,"",X2275)</f>
        <v/>
      </c>
    </row>
    <row r="2276" spans="1:51" x14ac:dyDescent="0.35">
      <c r="A2276" s="366">
        <v>10</v>
      </c>
      <c r="B2276" s="738">
        <v>1001.1</v>
      </c>
      <c r="C2276" s="731" t="s">
        <v>436</v>
      </c>
      <c r="D2276" s="731"/>
      <c r="E2276" s="731"/>
      <c r="F2276" s="746"/>
      <c r="G2276" s="366" t="str">
        <f t="shared" si="119"/>
        <v>P</v>
      </c>
      <c r="H2276" s="366" t="s">
        <v>3972</v>
      </c>
      <c r="I2276" s="4"/>
      <c r="J2276" s="4"/>
      <c r="K2276" s="4"/>
      <c r="L2276" s="814"/>
      <c r="M2276" s="75"/>
      <c r="O2276" s="41"/>
      <c r="X2276" s="817"/>
      <c r="Y2276" s="1100"/>
      <c r="Z2276" s="1102"/>
      <c r="AX2276" s="6" t="str">
        <f>'Overview (Verification)'!A32</f>
        <v>Foundation Type:</v>
      </c>
      <c r="AY2276">
        <f>IF(LEN('Overview (Verification)'!P32)=0,0,'Overview (Verification)'!P32)</f>
        <v>0</v>
      </c>
    </row>
    <row r="2277" spans="1:51" x14ac:dyDescent="0.35">
      <c r="A2277" s="366">
        <v>10</v>
      </c>
      <c r="B2277" s="738">
        <v>1001.1</v>
      </c>
      <c r="C2277" s="731" t="s">
        <v>436</v>
      </c>
      <c r="D2277" s="731" t="s">
        <v>121</v>
      </c>
      <c r="E2277" s="731"/>
      <c r="F2277" s="746"/>
      <c r="G2277" s="366" t="str">
        <f t="shared" si="119"/>
        <v>P</v>
      </c>
      <c r="H2277" s="732" t="s">
        <v>3972</v>
      </c>
      <c r="I2277" s="4"/>
      <c r="J2277" s="4"/>
      <c r="K2277" s="19" t="s">
        <v>121</v>
      </c>
      <c r="L2277" s="90" t="s">
        <v>3291</v>
      </c>
      <c r="M2277" s="75"/>
      <c r="O2277" s="41"/>
      <c r="X2277" s="817"/>
      <c r="Y2277" s="1100"/>
      <c r="Z2277" s="1102"/>
      <c r="AX2277" s="6"/>
    </row>
    <row r="2278" spans="1:51" x14ac:dyDescent="0.35">
      <c r="A2278" s="366">
        <v>10</v>
      </c>
      <c r="B2278" s="738">
        <v>1001.1</v>
      </c>
      <c r="C2278" s="731" t="s">
        <v>436</v>
      </c>
      <c r="D2278" s="731" t="s">
        <v>122</v>
      </c>
      <c r="E2278" s="731"/>
      <c r="F2278" s="746"/>
      <c r="G2278" s="366" t="str">
        <f t="shared" si="119"/>
        <v>P</v>
      </c>
      <c r="H2278" s="732" t="s">
        <v>3972</v>
      </c>
      <c r="I2278" s="4"/>
      <c r="J2278" s="4"/>
      <c r="K2278" s="19" t="s">
        <v>122</v>
      </c>
      <c r="L2278" s="90" t="s">
        <v>3292</v>
      </c>
      <c r="M2278" s="75"/>
      <c r="O2278" s="41"/>
      <c r="X2278" s="817"/>
      <c r="Y2278" s="1100"/>
      <c r="Z2278" s="1102"/>
      <c r="AX2278" s="6" t="str">
        <f>'Overview (Verification)'!A34</f>
        <v>Type of Heating System (main system):</v>
      </c>
      <c r="AY2278">
        <f>IF(LEN('Overview (Verification)'!P34)=0,0,'Overview (Verification)'!P34)</f>
        <v>0</v>
      </c>
    </row>
    <row r="2279" spans="1:51" x14ac:dyDescent="0.35">
      <c r="A2279" s="366">
        <v>10</v>
      </c>
      <c r="B2279" s="738">
        <v>1001.1</v>
      </c>
      <c r="C2279" s="731" t="s">
        <v>436</v>
      </c>
      <c r="D2279" s="731" t="s">
        <v>123</v>
      </c>
      <c r="E2279" s="731"/>
      <c r="F2279" s="746"/>
      <c r="G2279" s="366" t="str">
        <f t="shared" si="119"/>
        <v>P</v>
      </c>
      <c r="H2279" s="732" t="s">
        <v>3972</v>
      </c>
      <c r="I2279" s="4"/>
      <c r="J2279" s="4"/>
      <c r="K2279" s="19" t="s">
        <v>123</v>
      </c>
      <c r="L2279" s="814" t="s">
        <v>3293</v>
      </c>
      <c r="M2279" s="75"/>
      <c r="O2279" s="41"/>
      <c r="X2279" s="817"/>
      <c r="Y2279" s="1100"/>
      <c r="Z2279" s="1102"/>
      <c r="AX2279" s="6" t="str">
        <f>'Overview (Verification)'!A35</f>
        <v>Type of Heating System (system 2):</v>
      </c>
      <c r="AY2279">
        <f>IF(LEN('Overview (Verification)'!P35)=0,0,'Overview (Verification)'!P35)</f>
        <v>0</v>
      </c>
    </row>
    <row r="2280" spans="1:51" x14ac:dyDescent="0.35">
      <c r="A2280" s="366">
        <v>10</v>
      </c>
      <c r="B2280" s="738">
        <v>1001.1</v>
      </c>
      <c r="C2280" s="731" t="s">
        <v>436</v>
      </c>
      <c r="D2280" s="731"/>
      <c r="E2280" s="731"/>
      <c r="F2280" s="746"/>
      <c r="G2280" s="366" t="str">
        <f t="shared" si="119"/>
        <v>P</v>
      </c>
      <c r="H2280" s="366" t="s">
        <v>3972</v>
      </c>
      <c r="I2280" s="4"/>
      <c r="J2280" s="133"/>
      <c r="K2280" s="133"/>
      <c r="L2280" s="815"/>
      <c r="M2280" s="75"/>
      <c r="O2280" s="41"/>
      <c r="X2280" s="817"/>
      <c r="Y2280" s="1100"/>
      <c r="Z2280" s="1102"/>
      <c r="AX2280" s="6" t="str">
        <f>'Overview (Verification)'!A36</f>
        <v>Type of Heating System (system 3):</v>
      </c>
      <c r="AY2280">
        <f>IF(LEN('Overview (Verification)'!P36)=0,0,'Overview (Verification)'!P36)</f>
        <v>0</v>
      </c>
    </row>
    <row r="2281" spans="1:51" x14ac:dyDescent="0.35">
      <c r="A2281" s="366">
        <v>10</v>
      </c>
      <c r="B2281" s="738">
        <v>1001.1</v>
      </c>
      <c r="C2281" s="731" t="s">
        <v>3294</v>
      </c>
      <c r="D2281" s="731"/>
      <c r="E2281" s="731"/>
      <c r="F2281" s="746"/>
      <c r="G2281" s="366" t="str">
        <f t="shared" si="119"/>
        <v>P</v>
      </c>
      <c r="H2281" s="366" t="s">
        <v>3972</v>
      </c>
      <c r="I2281" s="4"/>
      <c r="J2281" s="132" t="s">
        <v>3294</v>
      </c>
      <c r="K2281" s="118"/>
      <c r="L2281" s="836" t="s">
        <v>3295</v>
      </c>
      <c r="M2281" s="75"/>
      <c r="O2281" s="41"/>
      <c r="P2281" t="b">
        <v>0</v>
      </c>
      <c r="Q2281" t="b">
        <v>1</v>
      </c>
      <c r="R2281" t="b">
        <v>0</v>
      </c>
      <c r="S2281" t="b">
        <f>IF(AY2262=INDEX(ddSingleOrMulti,1),TRUE,FALSE)</f>
        <v>1</v>
      </c>
      <c r="T2281" t="b">
        <f>AND(NOT(S2281),W2281=TRUE)</f>
        <v>0</v>
      </c>
      <c r="W2281" s="17"/>
      <c r="X2281" s="817"/>
      <c r="Y2281" s="1100" t="str">
        <f>IF(LEN('Ch10'!X38)=0,"None",'Ch10'!X38)</f>
        <v>None</v>
      </c>
      <c r="Z2281" s="1102"/>
      <c r="AC2281" t="b">
        <f>OR(AD2281:AE2281)</f>
        <v>0</v>
      </c>
      <c r="AD2281" t="b">
        <f>T2281</f>
        <v>0</v>
      </c>
      <c r="AP2281" t="str">
        <f>SUBSTITUTE(SUBSTITUTE(SUBSTITUTE("vch"&amp;$B2281&amp;$C2281&amp;$D2281&amp;$E2281,".","_"),"(","_"),")","")</f>
        <v>vch1001_1_13</v>
      </c>
      <c r="AQ2281" t="str">
        <f>IF(LEN(W2281)=0,"",W2281)</f>
        <v/>
      </c>
      <c r="AR2281" t="str">
        <f>SUBSTITUTE(SUBSTITUTE(SUBSTITUTE("vnt"&amp;$B2281&amp;$C2281&amp;$D2281&amp;$E2281,".","_"),"(","_"),")","")</f>
        <v>vnt1001_1_13</v>
      </c>
      <c r="AS2281" t="str">
        <f>IF(LEN(X2281)=0,"",X2281)</f>
        <v/>
      </c>
      <c r="AX2281" s="6" t="str">
        <f>'Overview (Verification)'!A37</f>
        <v>Primary Heating Fuel:</v>
      </c>
      <c r="AY2281">
        <f>IF(LEN('Overview (Verification)'!P37)=0,0,'Overview (Verification)'!P37)</f>
        <v>0</v>
      </c>
    </row>
    <row r="2282" spans="1:51" x14ac:dyDescent="0.35">
      <c r="A2282" s="366">
        <v>10</v>
      </c>
      <c r="B2282" s="738">
        <v>1001.1</v>
      </c>
      <c r="C2282" s="731" t="s">
        <v>3294</v>
      </c>
      <c r="D2282" s="731"/>
      <c r="E2282" s="731"/>
      <c r="F2282" s="746"/>
      <c r="G2282" s="366" t="str">
        <f t="shared" si="119"/>
        <v>P</v>
      </c>
      <c r="H2282" s="366" t="s">
        <v>3972</v>
      </c>
      <c r="I2282" s="4"/>
      <c r="J2282" s="4"/>
      <c r="K2282" s="4"/>
      <c r="L2282" s="814"/>
      <c r="M2282" s="75"/>
      <c r="O2282" s="41"/>
      <c r="X2282" s="817"/>
      <c r="Y2282" s="1100"/>
      <c r="Z2282" s="1102"/>
      <c r="AX2282" s="6" t="str">
        <f>'Overview (Verification)'!A38</f>
        <v>Heating Ducts:</v>
      </c>
      <c r="AY2282">
        <f>IF(LEN('Overview (Verification)'!P38)=0,0,'Overview (Verification)'!P38)</f>
        <v>0</v>
      </c>
    </row>
    <row r="2283" spans="1:51" x14ac:dyDescent="0.35">
      <c r="A2283" s="366">
        <v>10</v>
      </c>
      <c r="B2283" s="738">
        <v>1001.1</v>
      </c>
      <c r="C2283" s="731" t="s">
        <v>3294</v>
      </c>
      <c r="D2283" s="731"/>
      <c r="E2283" s="731"/>
      <c r="F2283" s="746"/>
      <c r="G2283" s="366" t="str">
        <f t="shared" si="119"/>
        <v>P</v>
      </c>
      <c r="H2283" s="366" t="s">
        <v>3972</v>
      </c>
      <c r="I2283" s="4"/>
      <c r="J2283" s="4"/>
      <c r="K2283" s="4"/>
      <c r="L2283" s="814"/>
      <c r="M2283" s="75"/>
      <c r="O2283" s="41"/>
      <c r="X2283" s="817"/>
      <c r="Y2283" s="1100"/>
      <c r="Z2283" s="1102"/>
      <c r="AX2283" s="6" t="str">
        <f>'Overview (Verification)'!A39</f>
        <v>Type of Cooling System (main system):</v>
      </c>
      <c r="AY2283">
        <f>IF(LEN('Overview (Verification)'!P39)=0,0,'Overview (Verification)'!P39)</f>
        <v>0</v>
      </c>
    </row>
    <row r="2284" spans="1:51" x14ac:dyDescent="0.35">
      <c r="A2284" s="366">
        <v>10</v>
      </c>
      <c r="B2284" s="738">
        <v>1001.1</v>
      </c>
      <c r="C2284" s="731" t="s">
        <v>3294</v>
      </c>
      <c r="D2284" s="731"/>
      <c r="E2284" s="731"/>
      <c r="F2284" s="746"/>
      <c r="G2284" s="366" t="str">
        <f t="shared" si="119"/>
        <v>P</v>
      </c>
      <c r="H2284" s="366" t="s">
        <v>3972</v>
      </c>
      <c r="I2284" s="4"/>
      <c r="J2284" s="133"/>
      <c r="K2284" s="133"/>
      <c r="L2284" s="815"/>
      <c r="M2284" s="75"/>
      <c r="O2284" s="41"/>
      <c r="X2284" s="817"/>
      <c r="Y2284" s="1100"/>
      <c r="Z2284" s="1102"/>
      <c r="AX2284" s="6" t="str">
        <f>'Overview (Verification)'!A40</f>
        <v>Type of Cooling System (system 2):</v>
      </c>
      <c r="AY2284">
        <f>IF(LEN('Overview (Verification)'!P40)=0,0,'Overview (Verification)'!P40)</f>
        <v>0</v>
      </c>
    </row>
    <row r="2285" spans="1:51" x14ac:dyDescent="0.35">
      <c r="A2285" s="366">
        <v>10</v>
      </c>
      <c r="B2285" s="738">
        <v>1001.1</v>
      </c>
      <c r="C2285" s="731" t="s">
        <v>3296</v>
      </c>
      <c r="D2285" s="731"/>
      <c r="E2285" s="731"/>
      <c r="F2285" s="746"/>
      <c r="G2285" s="366" t="str">
        <f t="shared" si="119"/>
        <v>P</v>
      </c>
      <c r="H2285" s="366" t="s">
        <v>3972</v>
      </c>
      <c r="I2285" s="4"/>
      <c r="J2285" s="132" t="s">
        <v>3296</v>
      </c>
      <c r="K2285" s="118"/>
      <c r="L2285" s="836" t="s">
        <v>3297</v>
      </c>
      <c r="M2285" s="75"/>
      <c r="O2285" s="41"/>
      <c r="P2285" t="b">
        <v>0</v>
      </c>
      <c r="Q2285" t="b">
        <v>1</v>
      </c>
      <c r="R2285" t="b">
        <v>0</v>
      </c>
      <c r="S2285" t="b">
        <f>IF(AY2262=INDEX(ddSingleOrMulti,1),TRUE,FALSE)</f>
        <v>1</v>
      </c>
      <c r="T2285" t="b">
        <f>AND(NOT(S2285),W2285=TRUE)</f>
        <v>0</v>
      </c>
      <c r="W2285" s="17"/>
      <c r="X2285" s="817"/>
      <c r="Y2285" s="1100" t="str">
        <f>IF(LEN('Ch10'!X42)=0,"None",'Ch10'!X42)</f>
        <v>None</v>
      </c>
      <c r="Z2285" s="1102"/>
      <c r="AC2285" t="b">
        <f>OR(AD2285:AE2285)</f>
        <v>0</v>
      </c>
      <c r="AD2285" t="b">
        <f>T2285</f>
        <v>0</v>
      </c>
      <c r="AP2285" t="str">
        <f>SUBSTITUTE(SUBSTITUTE(SUBSTITUTE("vch"&amp;$B2285&amp;$C2285&amp;$D2285&amp;$E2285,".","_"),"(","_"),")","")</f>
        <v>vch1001_1_14</v>
      </c>
      <c r="AQ2285" t="str">
        <f>IF(LEN(W2285)=0,"",W2285)</f>
        <v/>
      </c>
      <c r="AR2285" t="str">
        <f>SUBSTITUTE(SUBSTITUTE(SUBSTITUTE("vnt"&amp;$B2285&amp;$C2285&amp;$D2285&amp;$E2285,".","_"),"(","_"),")","")</f>
        <v>vnt1001_1_14</v>
      </c>
      <c r="AS2285" t="str">
        <f>IF(LEN(X2285)=0,"",X2285)</f>
        <v/>
      </c>
      <c r="AX2285" s="6" t="str">
        <f>'Overview (Verification)'!A41</f>
        <v>Type of Cooling System (system 3):</v>
      </c>
      <c r="AY2285">
        <f>IF(LEN('Overview (Verification)'!P41)=0,0,'Overview (Verification)'!P41)</f>
        <v>0</v>
      </c>
    </row>
    <row r="2286" spans="1:51" x14ac:dyDescent="0.35">
      <c r="A2286" s="366">
        <v>10</v>
      </c>
      <c r="B2286" s="738">
        <v>1001.1</v>
      </c>
      <c r="C2286" s="731" t="s">
        <v>3296</v>
      </c>
      <c r="D2286" s="731"/>
      <c r="E2286" s="731"/>
      <c r="F2286" s="746"/>
      <c r="G2286" s="366" t="str">
        <f t="shared" si="119"/>
        <v>P</v>
      </c>
      <c r="H2286" s="366" t="s">
        <v>3972</v>
      </c>
      <c r="I2286" s="4"/>
      <c r="J2286" s="133"/>
      <c r="K2286" s="133"/>
      <c r="L2286" s="815"/>
      <c r="M2286" s="75"/>
      <c r="O2286" s="41"/>
      <c r="X2286" s="817"/>
      <c r="Y2286" s="1100"/>
      <c r="Z2286" s="1102"/>
      <c r="AX2286" s="6" t="str">
        <f>'Overview (Verification)'!A42</f>
        <v>Cooling Ducts:</v>
      </c>
      <c r="AY2286">
        <f>IF(LEN('Overview (Verification)'!P42)=0,0,'Overview (Verification)'!P42)</f>
        <v>0</v>
      </c>
    </row>
    <row r="2287" spans="1:51" x14ac:dyDescent="0.35">
      <c r="A2287" s="366">
        <v>10</v>
      </c>
      <c r="B2287" s="738">
        <v>1001.1</v>
      </c>
      <c r="C2287" s="731" t="s">
        <v>3298</v>
      </c>
      <c r="D2287" s="731"/>
      <c r="E2287" s="731"/>
      <c r="F2287" s="746"/>
      <c r="G2287" s="366" t="str">
        <f t="shared" si="119"/>
        <v>P</v>
      </c>
      <c r="H2287" s="366" t="s">
        <v>3972</v>
      </c>
      <c r="I2287" s="4"/>
      <c r="J2287" s="132" t="s">
        <v>3298</v>
      </c>
      <c r="K2287" s="118"/>
      <c r="L2287" s="836" t="s">
        <v>3299</v>
      </c>
      <c r="M2287" s="75"/>
      <c r="O2287" s="41"/>
      <c r="P2287" t="b">
        <v>0</v>
      </c>
      <c r="Q2287" t="b">
        <v>1</v>
      </c>
      <c r="R2287" t="b">
        <v>0</v>
      </c>
      <c r="S2287" t="b">
        <f>IF(AY2262=INDEX(ddSingleOrMulti,1),TRUE,FALSE)</f>
        <v>1</v>
      </c>
      <c r="T2287" t="b">
        <f>AND(NOT(S2287),W2287=TRUE)</f>
        <v>0</v>
      </c>
      <c r="W2287" s="17"/>
      <c r="X2287" s="817"/>
      <c r="Y2287" s="1100" t="str">
        <f>IF(LEN('Ch10'!X44)=0,"None",'Ch10'!X44)</f>
        <v>None</v>
      </c>
      <c r="Z2287" s="1102"/>
      <c r="AC2287" t="b">
        <f>OR(AD2287:AE2287)</f>
        <v>0</v>
      </c>
      <c r="AD2287" t="b">
        <f>T2287</f>
        <v>0</v>
      </c>
      <c r="AP2287" t="str">
        <f>SUBSTITUTE(SUBSTITUTE(SUBSTITUTE("vch"&amp;$B2287&amp;$C2287&amp;$D2287&amp;$E2287,".","_"),"(","_"),")","")</f>
        <v>vch1001_1_15</v>
      </c>
      <c r="AQ2287" t="str">
        <f>IF(LEN(W2287)=0,"",W2287)</f>
        <v/>
      </c>
      <c r="AR2287" t="str">
        <f>SUBSTITUTE(SUBSTITUTE(SUBSTITUTE("vnt"&amp;$B2287&amp;$C2287&amp;$D2287&amp;$E2287,".","_"),"(","_"),")","")</f>
        <v>vnt1001_1_15</v>
      </c>
      <c r="AS2287" t="str">
        <f>IF(LEN(X2287)=0,"",X2287)</f>
        <v/>
      </c>
      <c r="AX2287" s="6"/>
    </row>
    <row r="2288" spans="1:51" x14ac:dyDescent="0.35">
      <c r="A2288" s="366">
        <v>10</v>
      </c>
      <c r="B2288" s="738">
        <v>1001.1</v>
      </c>
      <c r="C2288" s="731" t="s">
        <v>3298</v>
      </c>
      <c r="D2288" s="731"/>
      <c r="E2288" s="731"/>
      <c r="F2288" s="746"/>
      <c r="G2288" s="366" t="str">
        <f t="shared" si="119"/>
        <v>P</v>
      </c>
      <c r="H2288" s="366" t="s">
        <v>3972</v>
      </c>
      <c r="I2288" s="4"/>
      <c r="J2288" s="133"/>
      <c r="K2288" s="133"/>
      <c r="L2288" s="815"/>
      <c r="M2288" s="75"/>
      <c r="O2288" s="41"/>
      <c r="X2288" s="817"/>
      <c r="Y2288" s="1100"/>
      <c r="Z2288" s="1102"/>
      <c r="AX2288" s="6" t="str">
        <f>'Overview (Verification)'!A44</f>
        <v>Maximum window and door SHGC:</v>
      </c>
      <c r="AY2288">
        <f>IF(LEN('Overview (Verification)'!P44)=0,0,'Overview (Verification)'!P44)</f>
        <v>0</v>
      </c>
    </row>
    <row r="2289" spans="1:51" x14ac:dyDescent="0.35">
      <c r="A2289" s="366">
        <v>10</v>
      </c>
      <c r="B2289" s="738">
        <v>1001.1</v>
      </c>
      <c r="C2289" s="731" t="s">
        <v>3300</v>
      </c>
      <c r="D2289" s="731"/>
      <c r="E2289" s="731"/>
      <c r="F2289" s="746"/>
      <c r="G2289" s="366" t="str">
        <f t="shared" si="119"/>
        <v>P</v>
      </c>
      <c r="H2289" s="366" t="s">
        <v>3972</v>
      </c>
      <c r="I2289" s="4"/>
      <c r="J2289" s="130" t="s">
        <v>3300</v>
      </c>
      <c r="K2289" s="163"/>
      <c r="L2289" s="178" t="s">
        <v>3301</v>
      </c>
      <c r="M2289" s="75"/>
      <c r="O2289" s="41"/>
      <c r="P2289" t="b">
        <v>0</v>
      </c>
      <c r="Q2289" t="b">
        <v>1</v>
      </c>
      <c r="R2289" t="b">
        <v>0</v>
      </c>
      <c r="S2289" t="b">
        <f>IF(AY2262=INDEX(ddSingleOrMulti,1),TRUE,FALSE)</f>
        <v>1</v>
      </c>
      <c r="T2289" t="b">
        <f>AND(NOT(S2289),W2289=TRUE)</f>
        <v>0</v>
      </c>
      <c r="W2289" s="17"/>
      <c r="X2289" s="36"/>
      <c r="Y2289" s="396" t="str">
        <f>IF(LEN('Ch10'!X46)=0,"None",'Ch10'!X46)</f>
        <v>None</v>
      </c>
      <c r="Z2289" s="652"/>
      <c r="AC2289" t="b">
        <f>OR(AD2289:AE2289)</f>
        <v>0</v>
      </c>
      <c r="AD2289" t="b">
        <f>T2289</f>
        <v>0</v>
      </c>
      <c r="AP2289" t="str">
        <f>SUBSTITUTE(SUBSTITUTE(SUBSTITUTE("vch"&amp;$B2289&amp;$C2289&amp;$D2289&amp;$E2289,".","_"),"(","_"),")","")</f>
        <v>vch1001_1_16</v>
      </c>
      <c r="AQ2289" t="str">
        <f>IF(LEN(W2289)=0,"",W2289)</f>
        <v/>
      </c>
      <c r="AR2289" t="str">
        <f>SUBSTITUTE(SUBSTITUTE(SUBSTITUTE("vnt"&amp;$B2289&amp;$C2289&amp;$D2289&amp;$E2289,".","_"),"(","_"),")","")</f>
        <v>vnt1001_1_16</v>
      </c>
      <c r="AS2289" t="str">
        <f>IF(LEN(X2289)=0,"",X2289)</f>
        <v/>
      </c>
      <c r="AX2289" s="6" t="str">
        <f>'Overview (Verification)'!A45</f>
        <v>Maximum skylight SHGC:</v>
      </c>
      <c r="AY2289">
        <f>IF(LEN('Overview (Verification)'!P45)=0,0,'Overview (Verification)'!P45)</f>
        <v>0</v>
      </c>
    </row>
    <row r="2290" spans="1:51" x14ac:dyDescent="0.35">
      <c r="A2290" s="366">
        <v>10</v>
      </c>
      <c r="B2290" s="738">
        <v>1001.1</v>
      </c>
      <c r="C2290" s="731" t="s">
        <v>3302</v>
      </c>
      <c r="D2290" s="731"/>
      <c r="E2290" s="731"/>
      <c r="F2290" s="746"/>
      <c r="G2290" s="366" t="str">
        <f t="shared" si="119"/>
        <v>P</v>
      </c>
      <c r="H2290" s="366" t="s">
        <v>3972</v>
      </c>
      <c r="I2290" s="4"/>
      <c r="J2290" s="132" t="s">
        <v>3302</v>
      </c>
      <c r="K2290" s="118"/>
      <c r="L2290" s="820" t="s">
        <v>3303</v>
      </c>
      <c r="M2290" s="75"/>
      <c r="O2290" s="41"/>
      <c r="P2290" t="b">
        <v>0</v>
      </c>
      <c r="Q2290" t="b">
        <v>1</v>
      </c>
      <c r="R2290" t="b">
        <v>0</v>
      </c>
      <c r="S2290" t="b">
        <f>IF(AY2262=INDEX(ddSingleOrMulti,1),TRUE,FALSE)</f>
        <v>1</v>
      </c>
      <c r="T2290" t="b">
        <f>AND(NOT(S2290),W2290=TRUE)</f>
        <v>0</v>
      </c>
      <c r="W2290" s="17"/>
      <c r="X2290" s="817"/>
      <c r="Y2290" s="1100" t="str">
        <f>IF(LEN('Ch10'!X47)=0,"None",'Ch10'!X47)</f>
        <v>None</v>
      </c>
      <c r="Z2290" s="1102"/>
      <c r="AC2290" t="b">
        <f>OR(AD2290:AE2290)</f>
        <v>0</v>
      </c>
      <c r="AD2290" t="b">
        <f>T2290</f>
        <v>0</v>
      </c>
      <c r="AP2290" t="str">
        <f>SUBSTITUTE(SUBSTITUTE(SUBSTITUTE("vch"&amp;$B2290&amp;$C2290&amp;$D2290&amp;$E2290,".","_"),"(","_"),")","")</f>
        <v>vch1001_1_17</v>
      </c>
      <c r="AQ2290" t="str">
        <f>IF(LEN(W2290)=0,"",W2290)</f>
        <v/>
      </c>
      <c r="AR2290" t="str">
        <f>SUBSTITUTE(SUBSTITUTE(SUBSTITUTE("vnt"&amp;$B2290&amp;$C2290&amp;$D2290&amp;$E2290,".","_"),"(","_"),")","")</f>
        <v>vnt1001_1_17</v>
      </c>
      <c r="AS2290" t="str">
        <f>IF(LEN(X2290)=0,"",X2290)</f>
        <v/>
      </c>
      <c r="AX2290" s="6" t="str">
        <f>'Overview (Verification)'!A46</f>
        <v>Maximum window and door U-value:</v>
      </c>
      <c r="AY2290">
        <f>IF(LEN('Overview (Verification)'!P46)=0,0,'Overview (Verification)'!P46)</f>
        <v>0</v>
      </c>
    </row>
    <row r="2291" spans="1:51" x14ac:dyDescent="0.35">
      <c r="A2291" s="366">
        <v>10</v>
      </c>
      <c r="B2291" s="738">
        <v>1001.1</v>
      </c>
      <c r="C2291" s="731" t="s">
        <v>3302</v>
      </c>
      <c r="D2291" s="731"/>
      <c r="E2291" s="731"/>
      <c r="F2291" s="746"/>
      <c r="G2291" s="366" t="str">
        <f t="shared" si="119"/>
        <v>P</v>
      </c>
      <c r="H2291" s="366" t="s">
        <v>3972</v>
      </c>
      <c r="I2291" s="4"/>
      <c r="J2291" s="129"/>
      <c r="K2291" s="133"/>
      <c r="L2291" s="821"/>
      <c r="M2291" s="75"/>
      <c r="O2291" s="41"/>
      <c r="X2291" s="817"/>
      <c r="Y2291" s="1100"/>
      <c r="Z2291" s="1102"/>
      <c r="AX2291" s="6" t="str">
        <f>'Overview (Verification)'!A47</f>
        <v>Maximum skylight U-value:</v>
      </c>
      <c r="AY2291">
        <f>IF(LEN('Overview (Verification)'!P47)=0,0,'Overview (Verification)'!P47)</f>
        <v>0</v>
      </c>
    </row>
    <row r="2292" spans="1:51" x14ac:dyDescent="0.35">
      <c r="A2292" s="366">
        <v>10</v>
      </c>
      <c r="B2292" s="738">
        <v>1001.1</v>
      </c>
      <c r="C2292" s="731" t="s">
        <v>3304</v>
      </c>
      <c r="D2292" s="731"/>
      <c r="E2292" s="731"/>
      <c r="F2292" s="746"/>
      <c r="G2292" s="366" t="str">
        <f t="shared" si="119"/>
        <v>P</v>
      </c>
      <c r="H2292" s="366" t="s">
        <v>3972</v>
      </c>
      <c r="I2292" s="4"/>
      <c r="J2292" s="132" t="s">
        <v>3304</v>
      </c>
      <c r="K2292" s="118"/>
      <c r="L2292" s="836" t="s">
        <v>3305</v>
      </c>
      <c r="M2292" s="75"/>
      <c r="O2292" s="41"/>
      <c r="P2292" t="b">
        <v>0</v>
      </c>
      <c r="Q2292" t="b">
        <v>1</v>
      </c>
      <c r="R2292" t="b">
        <v>0</v>
      </c>
      <c r="S2292" t="b">
        <f>IF(AY2262=INDEX(ddSingleOrMulti,1),TRUE,FALSE)</f>
        <v>1</v>
      </c>
      <c r="T2292" t="b">
        <f>AND(NOT(S2292),W2292=TRUE)</f>
        <v>0</v>
      </c>
      <c r="W2292" s="17"/>
      <c r="X2292" s="817"/>
      <c r="Y2292" s="1100" t="str">
        <f>IF(LEN('Ch10'!X49)=0,"None",'Ch10'!X49)</f>
        <v>None</v>
      </c>
      <c r="Z2292" s="1102"/>
      <c r="AC2292" t="b">
        <f>OR(AD2292:AE2292)</f>
        <v>0</v>
      </c>
      <c r="AD2292" t="b">
        <f>T2292</f>
        <v>0</v>
      </c>
      <c r="AP2292" t="str">
        <f>SUBSTITUTE(SUBSTITUTE(SUBSTITUTE("vch"&amp;$B2292&amp;$C2292&amp;$D2292&amp;$E2292,".","_"),"(","_"),")","")</f>
        <v>vch1001_1_18</v>
      </c>
      <c r="AQ2292" t="str">
        <f>IF(LEN(W2292)=0,"",W2292)</f>
        <v/>
      </c>
      <c r="AR2292" t="str">
        <f>SUBSTITUTE(SUBSTITUTE(SUBSTITUTE("vnt"&amp;$B2292&amp;$C2292&amp;$D2292&amp;$E2292,".","_"),"(","_"),")","")</f>
        <v>vnt1001_1_18</v>
      </c>
      <c r="AS2292" t="str">
        <f>IF(LEN(X2292)=0,"",X2292)</f>
        <v/>
      </c>
      <c r="AX2292" s="6" t="str">
        <f>'Overview (Verification)'!A48</f>
        <v>Renewable Energy:</v>
      </c>
      <c r="AY2292">
        <f>IF(LEN('Overview (Verification)'!P48)=0,0,'Overview (Verification)'!P48)</f>
        <v>0</v>
      </c>
    </row>
    <row r="2293" spans="1:51" x14ac:dyDescent="0.35">
      <c r="A2293" s="366">
        <v>10</v>
      </c>
      <c r="B2293" s="738">
        <v>1001.1</v>
      </c>
      <c r="C2293" s="731" t="s">
        <v>3304</v>
      </c>
      <c r="D2293" s="731"/>
      <c r="E2293" s="731"/>
      <c r="F2293" s="746"/>
      <c r="G2293" s="366" t="str">
        <f t="shared" si="119"/>
        <v>P</v>
      </c>
      <c r="H2293" s="366" t="s">
        <v>3972</v>
      </c>
      <c r="I2293" s="4"/>
      <c r="J2293" s="133"/>
      <c r="K2293" s="133"/>
      <c r="L2293" s="815"/>
      <c r="M2293" s="75"/>
      <c r="O2293" s="41"/>
      <c r="X2293" s="817"/>
      <c r="Y2293" s="1100"/>
      <c r="Z2293" s="1102"/>
      <c r="AX2293" s="6" t="str">
        <f>'Overview (Verification)'!A49</f>
        <v>Thermal Envelope Insulation:</v>
      </c>
      <c r="AY2293">
        <f>IF(LEN('Overview (Verification)'!P49)=0,0,'Overview (Verification)'!P49)</f>
        <v>0</v>
      </c>
    </row>
    <row r="2294" spans="1:51" x14ac:dyDescent="0.35">
      <c r="A2294" s="366">
        <v>10</v>
      </c>
      <c r="B2294" s="738">
        <v>1001.1</v>
      </c>
      <c r="C2294" s="731" t="s">
        <v>3306</v>
      </c>
      <c r="D2294" s="731"/>
      <c r="E2294" s="731"/>
      <c r="F2294" s="746"/>
      <c r="G2294" s="366" t="str">
        <f t="shared" si="119"/>
        <v>P</v>
      </c>
      <c r="H2294" s="366" t="s">
        <v>3972</v>
      </c>
      <c r="I2294" s="4"/>
      <c r="J2294" s="130" t="s">
        <v>3306</v>
      </c>
      <c r="K2294" s="163"/>
      <c r="L2294" s="178" t="s">
        <v>3307</v>
      </c>
      <c r="M2294" s="75"/>
      <c r="O2294" s="41"/>
      <c r="P2294" t="b">
        <v>0</v>
      </c>
      <c r="Q2294" t="b">
        <v>1</v>
      </c>
      <c r="R2294" t="b">
        <v>0</v>
      </c>
      <c r="S2294" t="b">
        <f>IF(AY2262=INDEX(ddSingleOrMulti,1),TRUE,FALSE)</f>
        <v>1</v>
      </c>
      <c r="T2294" t="b">
        <f>AND(NOT(S2294),W2294=TRUE)</f>
        <v>0</v>
      </c>
      <c r="W2294" s="17"/>
      <c r="X2294" s="36"/>
      <c r="Y2294" s="396" t="str">
        <f>IF(LEN('Ch10'!X51)=0,"None",'Ch10'!X51)</f>
        <v>None</v>
      </c>
      <c r="Z2294" s="652"/>
      <c r="AC2294" t="b">
        <f>OR(AD2294:AE2294)</f>
        <v>0</v>
      </c>
      <c r="AD2294" t="b">
        <f>T2294</f>
        <v>0</v>
      </c>
      <c r="AP2294" t="str">
        <f>SUBSTITUTE(SUBSTITUTE(SUBSTITUTE("vch"&amp;$B2294&amp;$C2294&amp;$D2294&amp;$E2294,".","_"),"(","_"),")","")</f>
        <v>vch1001_1_19</v>
      </c>
      <c r="AQ2294" t="str">
        <f>IF(LEN(W2294)=0,"",W2294)</f>
        <v/>
      </c>
      <c r="AR2294" t="str">
        <f>SUBSTITUTE(SUBSTITUTE(SUBSTITUTE("vnt"&amp;$B2294&amp;$C2294&amp;$D2294&amp;$E2294,".","_"),"(","_"),")","")</f>
        <v>vnt1001_1_19</v>
      </c>
      <c r="AS2294" t="str">
        <f>IF(LEN(X2294)=0,"",X2294)</f>
        <v/>
      </c>
      <c r="AX2294" s="6" t="str">
        <f>'Overview (Verification)'!A50</f>
        <v>Attic Type:</v>
      </c>
      <c r="AY2294">
        <f>IF(LEN('Overview (Verification)'!P50)=0,0,'Overview (Verification)'!P50)</f>
        <v>0</v>
      </c>
    </row>
    <row r="2295" spans="1:51" x14ac:dyDescent="0.35">
      <c r="A2295" s="366">
        <v>10</v>
      </c>
      <c r="B2295" s="738">
        <v>1001.1</v>
      </c>
      <c r="C2295" s="731" t="s">
        <v>3308</v>
      </c>
      <c r="D2295" s="731"/>
      <c r="E2295" s="731"/>
      <c r="F2295" s="746"/>
      <c r="G2295" s="366" t="str">
        <f t="shared" si="119"/>
        <v>P</v>
      </c>
      <c r="H2295" s="366" t="s">
        <v>3972</v>
      </c>
      <c r="I2295" s="4"/>
      <c r="J2295" s="132" t="s">
        <v>3308</v>
      </c>
      <c r="K2295" s="118"/>
      <c r="L2295" s="836" t="s">
        <v>3309</v>
      </c>
      <c r="M2295" s="75"/>
      <c r="O2295" s="41"/>
      <c r="P2295" t="b">
        <v>0</v>
      </c>
      <c r="Q2295" t="b">
        <v>1</v>
      </c>
      <c r="R2295" t="b">
        <v>0</v>
      </c>
      <c r="S2295" t="b">
        <f>IF(AY2262=INDEX(ddSingleOrMulti,1),TRUE,FALSE)</f>
        <v>1</v>
      </c>
      <c r="T2295" t="b">
        <f>AND(NOT(S2295),W2295=TRUE)</f>
        <v>0</v>
      </c>
      <c r="W2295" s="17"/>
      <c r="X2295" s="817"/>
      <c r="Y2295" s="1100" t="str">
        <f>IF(LEN('Ch10'!X52)=0,"None",'Ch10'!X52)</f>
        <v>None</v>
      </c>
      <c r="Z2295" s="1102"/>
      <c r="AC2295" t="b">
        <f>OR(AD2295:AE2295)</f>
        <v>0</v>
      </c>
      <c r="AD2295" t="b">
        <f>T2295</f>
        <v>0</v>
      </c>
      <c r="AP2295" t="str">
        <f>SUBSTITUTE(SUBSTITUTE(SUBSTITUTE("vch"&amp;$B2295&amp;$C2295&amp;$D2295&amp;$E2295,".","_"),"(","_"),")","")</f>
        <v>vch1001_1_20</v>
      </c>
      <c r="AQ2295" t="str">
        <f>IF(LEN(W2295)=0,"",W2295)</f>
        <v/>
      </c>
      <c r="AR2295" t="str">
        <f>SUBSTITUTE(SUBSTITUTE(SUBSTITUTE("vnt"&amp;$B2295&amp;$C2295&amp;$D2295&amp;$E2295,".","_"),"(","_"),")","")</f>
        <v>vnt1001_1_20</v>
      </c>
      <c r="AS2295" t="str">
        <f>IF(LEN(X2295)=0,"",X2295)</f>
        <v/>
      </c>
      <c r="AX2295" s="6" t="str">
        <f>'Overview (Verification)'!A51</f>
        <v>Attached Garage:</v>
      </c>
      <c r="AY2295">
        <f>IF(LEN('Overview (Verification)'!P51)=0,0,'Overview (Verification)'!P51)</f>
        <v>0</v>
      </c>
    </row>
    <row r="2296" spans="1:51" x14ac:dyDescent="0.35">
      <c r="A2296" s="366">
        <v>10</v>
      </c>
      <c r="B2296" s="738">
        <v>1001.1</v>
      </c>
      <c r="C2296" s="731" t="s">
        <v>3308</v>
      </c>
      <c r="D2296" s="731"/>
      <c r="E2296" s="731"/>
      <c r="F2296" s="746"/>
      <c r="G2296" s="366" t="str">
        <f t="shared" si="119"/>
        <v>P</v>
      </c>
      <c r="H2296" s="366" t="s">
        <v>3972</v>
      </c>
      <c r="I2296" s="4"/>
      <c r="J2296" s="133"/>
      <c r="K2296" s="133"/>
      <c r="L2296" s="815"/>
      <c r="M2296" s="75"/>
      <c r="O2296" s="41"/>
      <c r="X2296" s="817"/>
      <c r="Y2296" s="1100"/>
      <c r="Z2296" s="1102"/>
      <c r="AX2296" s="6" t="str">
        <f>'Overview (Verification)'!A52</f>
        <v>Recessed Lighting:</v>
      </c>
      <c r="AY2296">
        <f>IF(LEN('Overview (Verification)'!P52)=0,0,'Overview (Verification)'!P52)</f>
        <v>0</v>
      </c>
    </row>
    <row r="2297" spans="1:51" x14ac:dyDescent="0.35">
      <c r="A2297" s="366">
        <v>10</v>
      </c>
      <c r="B2297" s="738">
        <v>1001.1</v>
      </c>
      <c r="C2297" s="731" t="s">
        <v>3310</v>
      </c>
      <c r="D2297" s="731"/>
      <c r="E2297" s="731"/>
      <c r="F2297" s="746"/>
      <c r="G2297" s="366" t="str">
        <f t="shared" si="119"/>
        <v>P</v>
      </c>
      <c r="H2297" s="366" t="s">
        <v>3972</v>
      </c>
      <c r="I2297" s="4"/>
      <c r="J2297" s="132" t="s">
        <v>3310</v>
      </c>
      <c r="K2297" s="118"/>
      <c r="L2297" s="836" t="s">
        <v>3311</v>
      </c>
      <c r="M2297" s="75"/>
      <c r="O2297" s="41"/>
      <c r="P2297" t="b">
        <v>0</v>
      </c>
      <c r="Q2297" t="b">
        <v>1</v>
      </c>
      <c r="R2297" t="b">
        <v>0</v>
      </c>
      <c r="S2297" t="b">
        <f>IF(AY2262=INDEX(ddSingleOrMulti,1),TRUE,FALSE)</f>
        <v>1</v>
      </c>
      <c r="T2297" t="b">
        <f>AND(NOT(S2297),W2297=TRUE)</f>
        <v>0</v>
      </c>
      <c r="W2297" s="17"/>
      <c r="X2297" s="817"/>
      <c r="Y2297" s="1100" t="str">
        <f>IF(LEN('Ch10'!X54)=0,"None",'Ch10'!X54)</f>
        <v>None</v>
      </c>
      <c r="Z2297" s="1102"/>
      <c r="AC2297" t="b">
        <f>OR(AD2297:AE2297)</f>
        <v>0</v>
      </c>
      <c r="AD2297" t="b">
        <f>T2297</f>
        <v>0</v>
      </c>
      <c r="AP2297" t="str">
        <f>SUBSTITUTE(SUBSTITUTE(SUBSTITUTE("vch"&amp;$B2297&amp;$C2297&amp;$D2297&amp;$E2297,".","_"),"(","_"),")","")</f>
        <v>vch1001_1_21</v>
      </c>
      <c r="AQ2297" t="str">
        <f>IF(LEN(W2297)=0,"",W2297)</f>
        <v/>
      </c>
      <c r="AR2297" t="str">
        <f>SUBSTITUTE(SUBSTITUTE(SUBSTITUTE("vnt"&amp;$B2297&amp;$C2297&amp;$D2297&amp;$E2297,".","_"),"(","_"),")","")</f>
        <v>vnt1001_1_21</v>
      </c>
      <c r="AS2297" t="str">
        <f>IF(LEN(X2297)=0,"",X2297)</f>
        <v/>
      </c>
      <c r="AX2297" s="6"/>
    </row>
    <row r="2298" spans="1:51" x14ac:dyDescent="0.35">
      <c r="A2298" s="366">
        <v>10</v>
      </c>
      <c r="B2298" s="738">
        <v>1001.1</v>
      </c>
      <c r="C2298" s="731" t="s">
        <v>3310</v>
      </c>
      <c r="D2298" s="731"/>
      <c r="E2298" s="731"/>
      <c r="F2298" s="746"/>
      <c r="G2298" s="366" t="str">
        <f t="shared" si="119"/>
        <v>P</v>
      </c>
      <c r="H2298" s="366" t="s">
        <v>3972</v>
      </c>
      <c r="I2298" s="4"/>
      <c r="J2298" s="133"/>
      <c r="K2298" s="133"/>
      <c r="L2298" s="815"/>
      <c r="M2298" s="75"/>
      <c r="O2298" s="41"/>
      <c r="X2298" s="817"/>
      <c r="Y2298" s="1100"/>
      <c r="Z2298" s="1102"/>
      <c r="AX2298" s="6" t="str">
        <f>'Overview (Verification)'!A54</f>
        <v>Special Design Features:</v>
      </c>
    </row>
    <row r="2299" spans="1:51" x14ac:dyDescent="0.35">
      <c r="A2299" s="366">
        <v>10</v>
      </c>
      <c r="B2299" s="738">
        <v>1001.1</v>
      </c>
      <c r="C2299" s="731" t="s">
        <v>3312</v>
      </c>
      <c r="D2299" s="731"/>
      <c r="E2299" s="731"/>
      <c r="F2299" s="746"/>
      <c r="G2299" s="366" t="str">
        <f t="shared" si="119"/>
        <v>P</v>
      </c>
      <c r="H2299" s="366" t="s">
        <v>3972</v>
      </c>
      <c r="I2299" s="4"/>
      <c r="J2299" s="132" t="s">
        <v>3312</v>
      </c>
      <c r="K2299" s="118"/>
      <c r="L2299" s="836" t="s">
        <v>3313</v>
      </c>
      <c r="M2299" s="75"/>
      <c r="O2299" s="41"/>
      <c r="P2299" t="b">
        <v>0</v>
      </c>
      <c r="Q2299" t="b">
        <v>1</v>
      </c>
      <c r="R2299" t="b">
        <v>0</v>
      </c>
      <c r="S2299" t="b">
        <f>IF(AY2262=INDEX(ddSingleOrMulti,1),TRUE,FALSE)</f>
        <v>1</v>
      </c>
      <c r="T2299" t="b">
        <f>AND(NOT(S2299),W2299=TRUE)</f>
        <v>0</v>
      </c>
      <c r="W2299" s="17"/>
      <c r="X2299" s="817"/>
      <c r="Y2299" s="1100" t="str">
        <f>IF(LEN('Ch10'!X56)=0,"None",'Ch10'!X56)</f>
        <v>None</v>
      </c>
      <c r="Z2299" s="1102"/>
      <c r="AC2299" t="b">
        <f>OR(AD2299:AE2299)</f>
        <v>0</v>
      </c>
      <c r="AD2299" t="b">
        <f>T2299</f>
        <v>0</v>
      </c>
      <c r="AP2299" t="str">
        <f>SUBSTITUTE(SUBSTITUTE(SUBSTITUTE("vch"&amp;$B2299&amp;$C2299&amp;$D2299&amp;$E2299,".","_"),"(","_"),")","")</f>
        <v>vch1001_1_22</v>
      </c>
      <c r="AQ2299" t="str">
        <f>IF(LEN(W2299)=0,"",W2299)</f>
        <v/>
      </c>
      <c r="AR2299" t="str">
        <f>SUBSTITUTE(SUBSTITUTE(SUBSTITUTE("vnt"&amp;$B2299&amp;$C2299&amp;$D2299&amp;$E2299,".","_"),"(","_"),")","")</f>
        <v>vnt1001_1_22</v>
      </c>
      <c r="AS2299" t="str">
        <f>IF(LEN(X2299)=0,"",X2299)</f>
        <v/>
      </c>
      <c r="AX2299" s="6" t="str">
        <f>'Overview (Verification)'!A55</f>
        <v>Passive Solar:</v>
      </c>
      <c r="AY2299">
        <f>IF(LEN('Overview (Verification)'!P55)=0,0,'Overview (Verification)'!P55)</f>
        <v>0</v>
      </c>
    </row>
    <row r="2300" spans="1:51" x14ac:dyDescent="0.35">
      <c r="A2300" s="366">
        <v>10</v>
      </c>
      <c r="B2300" s="738">
        <v>1001.1</v>
      </c>
      <c r="C2300" s="731" t="s">
        <v>3312</v>
      </c>
      <c r="D2300" s="731"/>
      <c r="E2300" s="731"/>
      <c r="F2300" s="746"/>
      <c r="G2300" s="366" t="str">
        <f t="shared" si="119"/>
        <v>P</v>
      </c>
      <c r="H2300" s="366" t="s">
        <v>3972</v>
      </c>
      <c r="I2300" s="4"/>
      <c r="J2300" s="133"/>
      <c r="K2300" s="133"/>
      <c r="L2300" s="815"/>
      <c r="M2300" s="75"/>
      <c r="O2300" s="41"/>
      <c r="X2300" s="817"/>
      <c r="Y2300" s="1100"/>
      <c r="Z2300" s="1102"/>
      <c r="AX2300" s="6" t="str">
        <f>'Overview (Verification)'!A56</f>
        <v>Mass Walls:</v>
      </c>
      <c r="AY2300">
        <f>IF(LEN('Overview (Verification)'!P56)=0,0,'Overview (Verification)'!P56)</f>
        <v>0</v>
      </c>
    </row>
    <row r="2301" spans="1:51" x14ac:dyDescent="0.35">
      <c r="A2301" s="366">
        <v>10</v>
      </c>
      <c r="B2301" s="738">
        <v>1001.1</v>
      </c>
      <c r="C2301" s="731" t="s">
        <v>3314</v>
      </c>
      <c r="D2301" s="731"/>
      <c r="E2301" s="731"/>
      <c r="F2301" s="746"/>
      <c r="G2301" s="366" t="str">
        <f t="shared" si="119"/>
        <v>P</v>
      </c>
      <c r="H2301" s="366" t="s">
        <v>3972</v>
      </c>
      <c r="I2301" s="4"/>
      <c r="J2301" s="130" t="s">
        <v>3314</v>
      </c>
      <c r="K2301" s="163"/>
      <c r="L2301" s="178" t="s">
        <v>3315</v>
      </c>
      <c r="M2301" s="75"/>
      <c r="O2301" s="41"/>
      <c r="P2301" t="b">
        <v>0</v>
      </c>
      <c r="Q2301" t="b">
        <v>1</v>
      </c>
      <c r="R2301" t="b">
        <v>0</v>
      </c>
      <c r="S2301" t="b">
        <f>IF(AY2262=INDEX(ddSingleOrMulti,1),TRUE,FALSE)</f>
        <v>1</v>
      </c>
      <c r="T2301" t="b">
        <f>AND(NOT(S2301),W2301=TRUE)</f>
        <v>0</v>
      </c>
      <c r="W2301" s="17"/>
      <c r="X2301" s="36"/>
      <c r="Y2301" s="396" t="str">
        <f>IF(LEN('Ch10'!X58)=0,"None",'Ch10'!X58)</f>
        <v>None</v>
      </c>
      <c r="Z2301" s="652"/>
      <c r="AC2301" t="b">
        <f>OR(AD2301:AE2301)</f>
        <v>0</v>
      </c>
      <c r="AD2301" t="b">
        <f>T2301</f>
        <v>0</v>
      </c>
      <c r="AP2301" t="str">
        <f>SUBSTITUTE(SUBSTITUTE(SUBSTITUTE("vch"&amp;$B2301&amp;$C2301&amp;$D2301&amp;$E2301,".","_"),"(","_"),")","")</f>
        <v>vch1001_1_23</v>
      </c>
      <c r="AQ2301" t="str">
        <f>IF(LEN(W2301)=0,"",W2301)</f>
        <v/>
      </c>
      <c r="AR2301" t="str">
        <f>SUBSTITUTE(SUBSTITUTE(SUBSTITUTE("vnt"&amp;$B2301&amp;$C2301&amp;$D2301&amp;$E2301,".","_"),"(","_"),")","")</f>
        <v>vnt1001_1_23</v>
      </c>
      <c r="AS2301" t="str">
        <f>IF(LEN(X2301)=0,"",X2301)</f>
        <v/>
      </c>
      <c r="AX2301" s="6" t="str">
        <f>'Overview (Verification)'!A57</f>
        <v>Radiant/Hydronic:</v>
      </c>
      <c r="AY2301">
        <f>IF(LEN('Overview (Verification)'!P57)=0,0,'Overview (Verification)'!P57)</f>
        <v>0</v>
      </c>
    </row>
    <row r="2302" spans="1:51" ht="15" thickBot="1" x14ac:dyDescent="0.4">
      <c r="A2302" s="366">
        <v>10</v>
      </c>
      <c r="B2302" s="738">
        <v>1001.1</v>
      </c>
      <c r="C2302" s="731" t="s">
        <v>3316</v>
      </c>
      <c r="D2302" s="731"/>
      <c r="E2302" s="731"/>
      <c r="F2302" s="746"/>
      <c r="G2302" s="366" t="str">
        <f t="shared" si="119"/>
        <v>P</v>
      </c>
      <c r="H2302" s="366" t="s">
        <v>3972</v>
      </c>
      <c r="I2302" s="160"/>
      <c r="J2302" s="115" t="s">
        <v>3316</v>
      </c>
      <c r="K2302" s="160"/>
      <c r="L2302" s="229" t="s">
        <v>3317</v>
      </c>
      <c r="M2302" s="161"/>
      <c r="N2302" s="55"/>
      <c r="O2302" s="72"/>
      <c r="P2302" t="b">
        <v>0</v>
      </c>
      <c r="Q2302" t="b">
        <v>1</v>
      </c>
      <c r="R2302" s="55" t="b">
        <v>0</v>
      </c>
      <c r="S2302" s="55" t="b">
        <f>IF(AY2262=INDEX(ddSingleOrMulti,1),TRUE,FALSE)</f>
        <v>1</v>
      </c>
      <c r="T2302" s="55" t="b">
        <f>AND(NOT(S2302),W2302=TRUE)</f>
        <v>0</v>
      </c>
      <c r="U2302" s="55"/>
      <c r="V2302" s="55"/>
      <c r="W2302" s="56"/>
      <c r="X2302" s="98"/>
      <c r="Y2302" s="397" t="str">
        <f>IF(LEN('Ch10'!X59)=0,"None",'Ch10'!X59)</f>
        <v>None</v>
      </c>
      <c r="Z2302" s="658"/>
      <c r="AC2302" t="b">
        <f>OR(AD2302:AE2302)</f>
        <v>0</v>
      </c>
      <c r="AD2302" t="b">
        <f>T2302</f>
        <v>0</v>
      </c>
      <c r="AP2302" t="str">
        <f>SUBSTITUTE(SUBSTITUTE(SUBSTITUTE("vch"&amp;$B2302&amp;$C2302&amp;$D2302&amp;$E2302,".","_"),"(","_"),")","")</f>
        <v>vch1001_1_24</v>
      </c>
      <c r="AQ2302" t="str">
        <f>IF(LEN(W2302)=0,"",W2302)</f>
        <v/>
      </c>
      <c r="AR2302" t="str">
        <f>SUBSTITUTE(SUBSTITUTE(SUBSTITUTE("vnt"&amp;$B2302&amp;$C2302&amp;$D2302&amp;$E2302,".","_"),"(","_"),")","")</f>
        <v>vnt1001_1_24</v>
      </c>
      <c r="AS2302" t="str">
        <f>IF(LEN(X2302)=0,"",X2302)</f>
        <v/>
      </c>
      <c r="AX2302" s="6" t="str">
        <f>'Overview (Verification)'!A58</f>
        <v>Tankless Water Heater:</v>
      </c>
      <c r="AY2302">
        <f>IF(LEN('Overview (Verification)'!P58)=0,0,'Overview (Verification)'!P58)</f>
        <v>0</v>
      </c>
    </row>
    <row r="2303" spans="1:51" ht="15" thickTop="1" x14ac:dyDescent="0.35">
      <c r="A2303" s="366">
        <v>10</v>
      </c>
      <c r="B2303" s="738">
        <v>1001.2</v>
      </c>
      <c r="C2303" s="731"/>
      <c r="D2303" s="731"/>
      <c r="E2303" s="731"/>
      <c r="F2303" s="731" t="s">
        <v>4889</v>
      </c>
      <c r="G2303" s="366" t="str">
        <f>IF(M2303="Mandatory","P","")</f>
        <v>P</v>
      </c>
      <c r="H2303" s="366" t="s">
        <v>3972</v>
      </c>
      <c r="I2303" s="30">
        <v>1001.2</v>
      </c>
      <c r="J2303" s="4"/>
      <c r="K2303" s="4"/>
      <c r="L2303" s="838" t="s">
        <v>3318</v>
      </c>
      <c r="M2303" s="899" t="str">
        <f>IF(R2303,"Mandatory","N/A")</f>
        <v>Mandatory</v>
      </c>
      <c r="N2303" s="959">
        <f>'Ch10'!O60</f>
        <v>8</v>
      </c>
      <c r="O2303" s="959">
        <f>M2305*W2303*S2303</f>
        <v>0</v>
      </c>
      <c r="P2303" t="b">
        <v>0</v>
      </c>
      <c r="Q2303" t="b">
        <v>1</v>
      </c>
      <c r="R2303" t="b">
        <f>S2303</f>
        <v>1</v>
      </c>
      <c r="S2303" t="b">
        <f>IF(AY2262=INDEX(ddSingleOrMulti,1),TRUE,FALSE)</f>
        <v>1</v>
      </c>
      <c r="T2303" t="b">
        <f>AND(NOT(S2303),W2303=TRUE)</f>
        <v>0</v>
      </c>
      <c r="W2303" s="69"/>
      <c r="X2303" s="816"/>
      <c r="Y2303" s="1117" t="str">
        <f>IF(LEN('Ch10'!X60)=0,"None",'Ch10'!X60)</f>
        <v>None</v>
      </c>
      <c r="Z2303" s="1103"/>
      <c r="AC2303" t="b">
        <f>OR(AD2303:AE2303)</f>
        <v>1</v>
      </c>
      <c r="AD2303" t="b">
        <f>T2303</f>
        <v>0</v>
      </c>
      <c r="AE2303" t="b">
        <f>AND(R2303,NOT(W2303=TRUE))</f>
        <v>1</v>
      </c>
      <c r="AL2303" s="1" t="str">
        <f>SUBSTITUTE(SUBSTITUTE(SUBSTITUTE("vpa"&amp;$B2303&amp;$C2303&amp;$D2303&amp;$E2303&amp;$F2303,".","_"),"(","_"),")","")</f>
        <v>vpa1001_2_m</v>
      </c>
      <c r="AM2303" t="str">
        <f>M2303</f>
        <v>Mandatory</v>
      </c>
      <c r="AN2303" t="str">
        <f>SUBSTITUTE(SUBSTITUTE(SUBSTITUTE("vpc"&amp;$B2303&amp;$C2303&amp;$D2303&amp;$E2303,".","_"),"(","_"),")","")</f>
        <v>vpc1001_2</v>
      </c>
      <c r="AO2303">
        <f>O2303</f>
        <v>0</v>
      </c>
      <c r="AP2303" t="str">
        <f>SUBSTITUTE(SUBSTITUTE(SUBSTITUTE("vch"&amp;$B2303&amp;$C2303&amp;$D2303&amp;$E2303,".","_"),"(","_"),")","")</f>
        <v>vch1001_2</v>
      </c>
      <c r="AQ2303" t="str">
        <f>IF(LEN(W2303)=0,"",W2303)</f>
        <v/>
      </c>
      <c r="AR2303" t="str">
        <f>SUBSTITUTE(SUBSTITUTE(SUBSTITUTE("vnt"&amp;$B2303&amp;$C2303&amp;$D2303&amp;$E2303,".","_"),"(","_"),")","")</f>
        <v>vnt1001_2</v>
      </c>
      <c r="AS2303" t="str">
        <f>IF(LEN(X2303)=0,"",X2303)</f>
        <v/>
      </c>
      <c r="AX2303" s="6" t="str">
        <f>'Overview (Verification)'!A59</f>
        <v>Composting Toilet:</v>
      </c>
      <c r="AY2303">
        <f>IF(LEN('Overview (Verification)'!P59)=0,0,'Overview (Verification)'!P59)</f>
        <v>0</v>
      </c>
    </row>
    <row r="2304" spans="1:51" x14ac:dyDescent="0.35">
      <c r="A2304" s="366">
        <v>10</v>
      </c>
      <c r="B2304" s="738">
        <v>1001.2</v>
      </c>
      <c r="C2304" s="731"/>
      <c r="D2304" s="731"/>
      <c r="E2304" s="731"/>
      <c r="F2304" s="731"/>
      <c r="G2304" s="366" t="str">
        <f t="shared" ref="G2304:G2314" si="121">G2303</f>
        <v>P</v>
      </c>
      <c r="H2304" s="366" t="s">
        <v>3972</v>
      </c>
      <c r="I2304" s="4"/>
      <c r="J2304" s="4"/>
      <c r="K2304" s="4"/>
      <c r="L2304" s="838"/>
      <c r="M2304" s="885"/>
      <c r="N2304" s="834"/>
      <c r="O2304" s="834"/>
      <c r="X2304" s="817"/>
      <c r="Y2304" s="1100"/>
      <c r="Z2304" s="1102"/>
      <c r="AX2304" s="6"/>
    </row>
    <row r="2305" spans="1:51" x14ac:dyDescent="0.35">
      <c r="A2305" s="366">
        <v>10</v>
      </c>
      <c r="B2305" s="738">
        <v>1001.2</v>
      </c>
      <c r="C2305" s="731"/>
      <c r="D2305" s="731"/>
      <c r="E2305" s="731"/>
      <c r="F2305" s="731"/>
      <c r="G2305" s="366" t="str">
        <f t="shared" si="121"/>
        <v>P</v>
      </c>
      <c r="H2305" s="366" t="s">
        <v>3972</v>
      </c>
      <c r="I2305" s="4"/>
      <c r="J2305" s="4"/>
      <c r="K2305" s="4"/>
      <c r="L2305" s="838"/>
      <c r="M2305" s="832">
        <v>8</v>
      </c>
      <c r="N2305" s="834"/>
      <c r="O2305" s="834"/>
      <c r="X2305" s="817"/>
      <c r="Y2305" s="1100"/>
      <c r="Z2305" s="1102"/>
      <c r="AL2305" t="str">
        <f>SUBSTITUTE(SUBSTITUTE(SUBSTITUTE("vpa"&amp;$B2305&amp;$C2305&amp;$D2305&amp;$E2305,".","_"),"(","_"),")","")</f>
        <v>vpa1001_2</v>
      </c>
      <c r="AM2305">
        <f>M2305</f>
        <v>8</v>
      </c>
      <c r="AX2305" s="6" t="str">
        <f>'Overview (Verification)'!A61</f>
        <v>Local Energy Code:</v>
      </c>
      <c r="AY2305">
        <f>IF(LEN('Overview (Verification)'!P61)=0,0,'Overview (Verification)'!P61)</f>
        <v>0</v>
      </c>
    </row>
    <row r="2306" spans="1:51" x14ac:dyDescent="0.35">
      <c r="A2306" s="366">
        <v>10</v>
      </c>
      <c r="B2306" s="738">
        <v>1001.2</v>
      </c>
      <c r="C2306" s="731"/>
      <c r="D2306" s="731"/>
      <c r="E2306" s="731"/>
      <c r="F2306" s="731"/>
      <c r="G2306" s="366" t="str">
        <f t="shared" si="121"/>
        <v>P</v>
      </c>
      <c r="H2306" s="366" t="s">
        <v>3972</v>
      </c>
      <c r="I2306" s="4"/>
      <c r="J2306" s="4"/>
      <c r="K2306" s="4"/>
      <c r="L2306" s="838"/>
      <c r="M2306" s="832"/>
      <c r="N2306" s="834"/>
      <c r="O2306" s="834"/>
      <c r="X2306" s="817"/>
      <c r="Y2306" s="1100"/>
      <c r="Z2306" s="1102"/>
      <c r="AX2306" s="6" t="str">
        <f>'Overview (Verification)'!A62</f>
        <v>Local Building Code:</v>
      </c>
      <c r="AY2306">
        <f>IF(LEN('Overview (Verification)'!P62)=0,0,'Overview (Verification)'!P62)</f>
        <v>0</v>
      </c>
    </row>
    <row r="2307" spans="1:51" x14ac:dyDescent="0.35">
      <c r="A2307" s="366">
        <v>10</v>
      </c>
      <c r="B2307" s="738">
        <v>1001.2</v>
      </c>
      <c r="C2307" s="731" t="s">
        <v>256</v>
      </c>
      <c r="D2307" s="731"/>
      <c r="E2307" s="731"/>
      <c r="F2307" s="731"/>
      <c r="G2307" s="366" t="str">
        <f t="shared" si="121"/>
        <v>P</v>
      </c>
      <c r="H2307" s="366" t="s">
        <v>3972</v>
      </c>
      <c r="I2307" s="4"/>
      <c r="J2307" s="19" t="s">
        <v>256</v>
      </c>
      <c r="K2307" s="4"/>
      <c r="L2307" s="146" t="s">
        <v>3319</v>
      </c>
      <c r="M2307" s="75"/>
      <c r="O2307" s="41"/>
      <c r="X2307" s="817"/>
      <c r="Y2307" s="1100"/>
      <c r="Z2307" s="1102"/>
    </row>
    <row r="2308" spans="1:51" x14ac:dyDescent="0.35">
      <c r="A2308" s="366">
        <v>10</v>
      </c>
      <c r="B2308" s="738">
        <v>1001.2</v>
      </c>
      <c r="C2308" s="731" t="s">
        <v>258</v>
      </c>
      <c r="D2308" s="731"/>
      <c r="E2308" s="731"/>
      <c r="F2308" s="731"/>
      <c r="G2308" s="366" t="str">
        <f t="shared" si="121"/>
        <v>P</v>
      </c>
      <c r="H2308" s="366" t="s">
        <v>3972</v>
      </c>
      <c r="I2308" s="4"/>
      <c r="J2308" s="19" t="s">
        <v>258</v>
      </c>
      <c r="K2308" s="4"/>
      <c r="L2308" s="146" t="s">
        <v>3320</v>
      </c>
      <c r="M2308" s="75"/>
      <c r="O2308" s="41"/>
      <c r="X2308" s="817"/>
      <c r="Y2308" s="1100"/>
      <c r="Z2308" s="1102"/>
    </row>
    <row r="2309" spans="1:51" x14ac:dyDescent="0.35">
      <c r="A2309" s="366">
        <v>10</v>
      </c>
      <c r="B2309" s="738">
        <v>1001.2</v>
      </c>
      <c r="C2309" s="731" t="s">
        <v>260</v>
      </c>
      <c r="D2309" s="731"/>
      <c r="E2309" s="731"/>
      <c r="F2309" s="731"/>
      <c r="G2309" s="366" t="str">
        <f t="shared" si="121"/>
        <v>P</v>
      </c>
      <c r="H2309" s="366" t="s">
        <v>3972</v>
      </c>
      <c r="I2309" s="4"/>
      <c r="J2309" s="19" t="s">
        <v>260</v>
      </c>
      <c r="K2309" s="4"/>
      <c r="L2309" s="146" t="s">
        <v>3321</v>
      </c>
      <c r="M2309" s="75"/>
      <c r="O2309" s="41"/>
      <c r="X2309" s="817"/>
      <c r="Y2309" s="1100"/>
      <c r="Z2309" s="1102"/>
    </row>
    <row r="2310" spans="1:51" x14ac:dyDescent="0.35">
      <c r="A2310" s="366">
        <v>10</v>
      </c>
      <c r="B2310" s="738">
        <v>1001.2</v>
      </c>
      <c r="C2310" s="731" t="s">
        <v>269</v>
      </c>
      <c r="D2310" s="731"/>
      <c r="E2310" s="731"/>
      <c r="F2310" s="731"/>
      <c r="G2310" s="366" t="str">
        <f t="shared" si="121"/>
        <v>P</v>
      </c>
      <c r="H2310" s="366" t="s">
        <v>3972</v>
      </c>
      <c r="I2310" s="4"/>
      <c r="J2310" s="19" t="s">
        <v>269</v>
      </c>
      <c r="K2310" s="4"/>
      <c r="L2310" s="146" t="s">
        <v>3322</v>
      </c>
      <c r="M2310" s="75"/>
      <c r="O2310" s="41"/>
      <c r="X2310" s="817"/>
      <c r="Y2310" s="1100"/>
      <c r="Z2310" s="1102"/>
    </row>
    <row r="2311" spans="1:51" x14ac:dyDescent="0.35">
      <c r="A2311" s="366">
        <v>10</v>
      </c>
      <c r="B2311" s="738">
        <v>1001.2</v>
      </c>
      <c r="C2311" s="731" t="s">
        <v>275</v>
      </c>
      <c r="D2311" s="731"/>
      <c r="E2311" s="731"/>
      <c r="F2311" s="731"/>
      <c r="G2311" s="366" t="str">
        <f t="shared" si="121"/>
        <v>P</v>
      </c>
      <c r="H2311" s="366" t="s">
        <v>3972</v>
      </c>
      <c r="I2311" s="4"/>
      <c r="J2311" s="19" t="s">
        <v>275</v>
      </c>
      <c r="K2311" s="4"/>
      <c r="L2311" s="146" t="s">
        <v>3323</v>
      </c>
      <c r="M2311" s="75"/>
      <c r="O2311" s="41"/>
      <c r="X2311" s="817"/>
      <c r="Y2311" s="1100"/>
      <c r="Z2311" s="1102"/>
    </row>
    <row r="2312" spans="1:51" x14ac:dyDescent="0.35">
      <c r="A2312" s="366">
        <v>10</v>
      </c>
      <c r="B2312" s="738">
        <v>1001.2</v>
      </c>
      <c r="C2312" s="731" t="s">
        <v>277</v>
      </c>
      <c r="D2312" s="731"/>
      <c r="E2312" s="731"/>
      <c r="F2312" s="731"/>
      <c r="G2312" s="366" t="str">
        <f t="shared" si="121"/>
        <v>P</v>
      </c>
      <c r="H2312" s="366" t="s">
        <v>3972</v>
      </c>
      <c r="I2312" s="4"/>
      <c r="J2312" s="19" t="s">
        <v>277</v>
      </c>
      <c r="K2312" s="4"/>
      <c r="L2312" s="146" t="s">
        <v>3324</v>
      </c>
      <c r="M2312" s="75"/>
      <c r="O2312" s="41"/>
      <c r="X2312" s="817"/>
      <c r="Y2312" s="1100"/>
      <c r="Z2312" s="1102"/>
    </row>
    <row r="2313" spans="1:51" x14ac:dyDescent="0.35">
      <c r="A2313" s="366">
        <v>10</v>
      </c>
      <c r="B2313" s="738">
        <v>1001.2</v>
      </c>
      <c r="C2313" s="731" t="s">
        <v>383</v>
      </c>
      <c r="D2313" s="731"/>
      <c r="E2313" s="731"/>
      <c r="F2313" s="731"/>
      <c r="G2313" s="366" t="str">
        <f t="shared" si="121"/>
        <v>P</v>
      </c>
      <c r="H2313" s="366" t="s">
        <v>3972</v>
      </c>
      <c r="I2313" s="4"/>
      <c r="J2313" s="19" t="s">
        <v>383</v>
      </c>
      <c r="K2313" s="4"/>
      <c r="L2313" s="146" t="s">
        <v>3325</v>
      </c>
      <c r="M2313" s="75"/>
      <c r="O2313" s="41"/>
      <c r="X2313" s="817"/>
      <c r="Y2313" s="1100"/>
      <c r="Z2313" s="1102"/>
    </row>
    <row r="2314" spans="1:51" x14ac:dyDescent="0.35">
      <c r="A2314" s="366">
        <v>10</v>
      </c>
      <c r="B2314" s="738">
        <v>1001.2</v>
      </c>
      <c r="C2314" s="731" t="s">
        <v>428</v>
      </c>
      <c r="D2314" s="731"/>
      <c r="E2314" s="731"/>
      <c r="F2314" s="731"/>
      <c r="G2314" s="366" t="str">
        <f t="shared" si="121"/>
        <v>P</v>
      </c>
      <c r="H2314" s="366" t="s">
        <v>3972</v>
      </c>
      <c r="J2314" s="402" t="s">
        <v>428</v>
      </c>
      <c r="K2314" s="412"/>
      <c r="L2314" s="90" t="s">
        <v>4546</v>
      </c>
      <c r="M2314" s="75"/>
      <c r="O2314" s="41"/>
    </row>
    <row r="2315" spans="1:51" ht="18.5" x14ac:dyDescent="0.45">
      <c r="A2315" s="366">
        <v>10</v>
      </c>
      <c r="B2315" s="738">
        <v>1002</v>
      </c>
      <c r="C2315" s="731"/>
      <c r="D2315" s="731"/>
      <c r="E2315" s="731"/>
      <c r="F2315" s="731"/>
      <c r="G2315" s="366" t="s">
        <v>3973</v>
      </c>
      <c r="H2315" s="366" t="s">
        <v>3970</v>
      </c>
      <c r="I2315" s="10" t="s">
        <v>3326</v>
      </c>
      <c r="J2315" s="15"/>
      <c r="K2315" s="15"/>
      <c r="L2315" s="150"/>
      <c r="M2315" s="307"/>
      <c r="N2315" s="551"/>
      <c r="O2315" s="544"/>
      <c r="P2315" s="15"/>
      <c r="Q2315" s="15"/>
      <c r="R2315" s="15"/>
      <c r="S2315" s="15"/>
      <c r="T2315" s="15"/>
      <c r="U2315" s="15"/>
      <c r="V2315" s="15"/>
      <c r="W2315" s="15"/>
      <c r="X2315" s="15"/>
      <c r="Y2315" s="15"/>
      <c r="Z2315" s="651"/>
    </row>
    <row r="2316" spans="1:51" x14ac:dyDescent="0.35">
      <c r="A2316" s="366">
        <v>10</v>
      </c>
      <c r="B2316" s="738" t="s">
        <v>4077</v>
      </c>
      <c r="C2316" s="731"/>
      <c r="D2316" s="731"/>
      <c r="E2316" s="731"/>
      <c r="F2316" s="731"/>
      <c r="I2316" s="143">
        <v>1002</v>
      </c>
      <c r="J2316" s="4"/>
      <c r="K2316" s="4"/>
      <c r="L2316" s="838" t="s">
        <v>3327</v>
      </c>
      <c r="M2316" s="75"/>
      <c r="O2316" s="41"/>
    </row>
    <row r="2317" spans="1:51" x14ac:dyDescent="0.35">
      <c r="A2317" s="366">
        <v>10</v>
      </c>
      <c r="B2317" s="738" t="s">
        <v>4077</v>
      </c>
      <c r="C2317" s="731"/>
      <c r="D2317" s="731"/>
      <c r="E2317" s="731"/>
      <c r="F2317" s="731"/>
      <c r="I2317" s="4"/>
      <c r="J2317" s="4"/>
      <c r="K2317" s="4"/>
      <c r="L2317" s="838"/>
      <c r="M2317" s="75"/>
      <c r="O2317" s="41"/>
    </row>
    <row r="2318" spans="1:51" x14ac:dyDescent="0.35">
      <c r="A2318" s="366">
        <v>10</v>
      </c>
      <c r="B2318" s="738" t="s">
        <v>4077</v>
      </c>
      <c r="C2318" s="731"/>
      <c r="D2318" s="731"/>
      <c r="E2318" s="731"/>
      <c r="F2318" s="731"/>
      <c r="I2318" s="4"/>
      <c r="J2318" s="4"/>
      <c r="K2318" s="4"/>
      <c r="L2318" s="838"/>
      <c r="M2318" s="75"/>
      <c r="O2318" s="41"/>
    </row>
    <row r="2319" spans="1:51" x14ac:dyDescent="0.35">
      <c r="A2319" s="366">
        <v>10</v>
      </c>
      <c r="B2319" s="738" t="s">
        <v>4077</v>
      </c>
      <c r="C2319" s="731"/>
      <c r="D2319" s="731"/>
      <c r="E2319" s="731"/>
      <c r="F2319" s="731"/>
      <c r="I2319" s="4"/>
      <c r="J2319" s="4"/>
      <c r="K2319" s="4"/>
      <c r="L2319" s="838"/>
      <c r="M2319" s="75"/>
      <c r="O2319" s="41"/>
    </row>
    <row r="2320" spans="1:51" x14ac:dyDescent="0.35">
      <c r="A2320" s="366">
        <v>10</v>
      </c>
      <c r="B2320" s="738" t="s">
        <v>4077</v>
      </c>
      <c r="C2320" s="731"/>
      <c r="D2320" s="731"/>
      <c r="E2320" s="731"/>
      <c r="F2320" s="731"/>
      <c r="I2320" s="4"/>
      <c r="J2320" s="4"/>
      <c r="K2320" s="4"/>
      <c r="L2320" s="838"/>
      <c r="M2320" s="75"/>
      <c r="O2320" s="41"/>
    </row>
    <row r="2321" spans="1:45" ht="15" thickBot="1" x14ac:dyDescent="0.4">
      <c r="A2321" s="366">
        <v>10</v>
      </c>
      <c r="B2321" s="738" t="s">
        <v>4077</v>
      </c>
      <c r="C2321" s="731"/>
      <c r="D2321" s="731"/>
      <c r="E2321" s="731"/>
      <c r="F2321" s="731"/>
      <c r="I2321" s="160"/>
      <c r="J2321" s="160"/>
      <c r="K2321" s="160"/>
      <c r="L2321" s="849"/>
      <c r="M2321" s="161"/>
      <c r="N2321" s="55"/>
      <c r="O2321" s="72"/>
      <c r="P2321" s="55"/>
      <c r="Q2321" s="55"/>
      <c r="R2321" s="55"/>
      <c r="S2321" s="55"/>
      <c r="T2321" s="55"/>
      <c r="U2321" s="55"/>
      <c r="V2321" s="55"/>
      <c r="W2321" s="55"/>
      <c r="X2321" s="55"/>
      <c r="Y2321" s="55"/>
      <c r="Z2321" s="653"/>
    </row>
    <row r="2322" spans="1:45" ht="15" thickTop="1" x14ac:dyDescent="0.35">
      <c r="A2322" s="366">
        <v>10</v>
      </c>
      <c r="B2322" s="738">
        <v>1002.1</v>
      </c>
      <c r="C2322" s="731"/>
      <c r="D2322" s="731"/>
      <c r="E2322" s="731"/>
      <c r="F2322" s="731"/>
      <c r="G2322" s="366" t="str">
        <f>IF(N2322&gt;0,"P","")</f>
        <v/>
      </c>
      <c r="H2322" s="366" t="s">
        <v>3972</v>
      </c>
      <c r="I2322" s="30">
        <v>1002.1</v>
      </c>
      <c r="J2322" s="4"/>
      <c r="K2322" s="4"/>
      <c r="L2322" s="838" t="s">
        <v>3374</v>
      </c>
      <c r="M2322" s="818">
        <v>1</v>
      </c>
      <c r="N2322" s="959">
        <f>'Ch10'!O79</f>
        <v>0</v>
      </c>
      <c r="O2322" s="1143">
        <f>IF(AND(COUNTIF(W2325:W2331,TRUE)=3,COUNTIF(W2333:W2338,TRUE)&gt;1,S2325),ROUNDDOWN(COUNTIF(W2333:W2338,TRUE)/2,0),0)</f>
        <v>0</v>
      </c>
      <c r="AL2322" t="str">
        <f>SUBSTITUTE(SUBSTITUTE(SUBSTITUTE("vpa"&amp;$B2322&amp;$C2322&amp;$D2322&amp;$E2322,".","_"),"(","_"),")","")</f>
        <v>vpa1002_1</v>
      </c>
      <c r="AM2322">
        <f>M2322</f>
        <v>1</v>
      </c>
      <c r="AN2322" t="str">
        <f>SUBSTITUTE(SUBSTITUTE(SUBSTITUTE("vpc"&amp;$B2322&amp;$C2322&amp;$D2322&amp;$E2322,".","_"),"(","_"),")","")</f>
        <v>vpc1002_1</v>
      </c>
      <c r="AO2322">
        <f>O2322</f>
        <v>0</v>
      </c>
    </row>
    <row r="2323" spans="1:45" x14ac:dyDescent="0.35">
      <c r="A2323" s="366">
        <v>10</v>
      </c>
      <c r="B2323" s="738">
        <v>1002.1</v>
      </c>
      <c r="C2323" s="731"/>
      <c r="D2323" s="731"/>
      <c r="E2323" s="731"/>
      <c r="F2323" s="731"/>
      <c r="G2323" s="366" t="str">
        <f t="shared" ref="G2323:G2339" si="122">G2322</f>
        <v/>
      </c>
      <c r="H2323" s="366" t="s">
        <v>3972</v>
      </c>
      <c r="I2323" s="4"/>
      <c r="J2323" s="4"/>
      <c r="K2323" s="4"/>
      <c r="L2323" s="838"/>
      <c r="M2323" s="818"/>
      <c r="N2323" s="834"/>
      <c r="O2323" s="1143"/>
    </row>
    <row r="2324" spans="1:45" x14ac:dyDescent="0.35">
      <c r="A2324" s="366">
        <v>10</v>
      </c>
      <c r="B2324" s="738">
        <v>1002.1</v>
      </c>
      <c r="C2324" s="731"/>
      <c r="D2324" s="731"/>
      <c r="E2324" s="731"/>
      <c r="F2324" s="731"/>
      <c r="G2324" s="366" t="str">
        <f t="shared" si="122"/>
        <v/>
      </c>
      <c r="H2324" s="366" t="s">
        <v>3972</v>
      </c>
      <c r="I2324" s="4"/>
      <c r="J2324" s="4"/>
      <c r="K2324" s="4"/>
      <c r="L2324" s="147" t="s">
        <v>3372</v>
      </c>
      <c r="M2324" s="818"/>
      <c r="N2324" s="834"/>
      <c r="O2324" s="1143"/>
    </row>
    <row r="2325" spans="1:45" x14ac:dyDescent="0.35">
      <c r="A2325" s="366">
        <v>10</v>
      </c>
      <c r="B2325" s="738">
        <v>1002.1</v>
      </c>
      <c r="C2325" s="731" t="s">
        <v>256</v>
      </c>
      <c r="D2325" s="731"/>
      <c r="E2325" s="731"/>
      <c r="F2325" s="731"/>
      <c r="G2325" s="366" t="str">
        <f t="shared" si="122"/>
        <v/>
      </c>
      <c r="H2325" s="366" t="s">
        <v>3972</v>
      </c>
      <c r="I2325" s="4"/>
      <c r="J2325" s="19" t="s">
        <v>256</v>
      </c>
      <c r="K2325" s="4"/>
      <c r="L2325" s="814" t="s">
        <v>3328</v>
      </c>
      <c r="M2325" s="885" t="str">
        <f t="shared" ref="M2325:M2332" si="123">IF(R2325,"Mandatory","N/A")</f>
        <v>N/A</v>
      </c>
      <c r="O2325" s="41"/>
      <c r="P2325" t="b">
        <v>0</v>
      </c>
      <c r="Q2325" t="b">
        <v>1</v>
      </c>
      <c r="R2325" t="b">
        <f>S2325</f>
        <v>0</v>
      </c>
      <c r="S2325" t="b">
        <f>IF(AY2262=INDEX(ddSingleOrMulti,2),TRUE,FALSE)</f>
        <v>0</v>
      </c>
      <c r="T2325" t="b">
        <f>AND(NOT(S2325),W2325=TRUE)</f>
        <v>0</v>
      </c>
      <c r="W2325" s="17"/>
      <c r="X2325" s="817"/>
      <c r="Y2325" s="1100" t="str">
        <f>IF(LEN('Ch10'!X82)=0,"None",'Ch10'!X82)</f>
        <v>None</v>
      </c>
      <c r="Z2325" s="1102"/>
      <c r="AC2325" t="b">
        <f>OR(AD2325:AE2325)</f>
        <v>0</v>
      </c>
      <c r="AD2325" t="b">
        <f>T2325</f>
        <v>0</v>
      </c>
      <c r="AE2325" t="b">
        <f>AND(R2325,O2322&lt;1)</f>
        <v>0</v>
      </c>
      <c r="AL2325" t="str">
        <f>SUBSTITUTE(SUBSTITUTE(SUBSTITUTE("vpa"&amp;$B2325&amp;$C2325&amp;$D2325&amp;$E2325,".","_"),"(","_"),")","")</f>
        <v>vpa1002_1_1</v>
      </c>
      <c r="AM2325" t="str">
        <f>M2325</f>
        <v>N/A</v>
      </c>
      <c r="AP2325" t="str">
        <f>SUBSTITUTE(SUBSTITUTE(SUBSTITUTE("vch"&amp;$B2325&amp;$C2325&amp;$D2325&amp;$E2325,".","_"),"(","_"),")","")</f>
        <v>vch1002_1_1</v>
      </c>
      <c r="AQ2325" t="str">
        <f>IF(LEN(W2325)=0,"",W2325)</f>
        <v/>
      </c>
      <c r="AR2325" t="str">
        <f>SUBSTITUTE(SUBSTITUTE(SUBSTITUTE("vnt"&amp;$B2325&amp;$C2325&amp;$D2325&amp;$E2325,".","_"),"(","_"),")","")</f>
        <v>vnt1002_1_1</v>
      </c>
      <c r="AS2325" t="str">
        <f>IF(LEN(X2325)=0,"",X2325)</f>
        <v/>
      </c>
    </row>
    <row r="2326" spans="1:45" x14ac:dyDescent="0.35">
      <c r="A2326" s="366">
        <v>10</v>
      </c>
      <c r="B2326" s="738">
        <v>1002.1</v>
      </c>
      <c r="C2326" s="731" t="s">
        <v>256</v>
      </c>
      <c r="D2326" s="731"/>
      <c r="E2326" s="731"/>
      <c r="F2326" s="731"/>
      <c r="G2326" s="366" t="str">
        <f t="shared" si="122"/>
        <v/>
      </c>
      <c r="H2326" s="366" t="s">
        <v>3972</v>
      </c>
      <c r="I2326" s="4"/>
      <c r="J2326" s="19"/>
      <c r="K2326" s="4"/>
      <c r="L2326" s="814"/>
      <c r="M2326" s="885" t="str">
        <f t="shared" si="123"/>
        <v>N/A</v>
      </c>
      <c r="O2326" s="41"/>
      <c r="X2326" s="817"/>
      <c r="Y2326" s="1100"/>
      <c r="Z2326" s="1102"/>
    </row>
    <row r="2327" spans="1:45" x14ac:dyDescent="0.35">
      <c r="A2327" s="366">
        <v>10</v>
      </c>
      <c r="B2327" s="738">
        <v>1002.1</v>
      </c>
      <c r="C2327" s="731" t="s">
        <v>256</v>
      </c>
      <c r="D2327" s="731"/>
      <c r="E2327" s="731"/>
      <c r="F2327" s="731"/>
      <c r="G2327" s="366" t="str">
        <f t="shared" si="122"/>
        <v/>
      </c>
      <c r="H2327" s="366" t="s">
        <v>3972</v>
      </c>
      <c r="I2327" s="4"/>
      <c r="J2327" s="19"/>
      <c r="K2327" s="4"/>
      <c r="L2327" s="814"/>
      <c r="M2327" s="885" t="str">
        <f t="shared" si="123"/>
        <v>N/A</v>
      </c>
      <c r="O2327" s="41"/>
      <c r="X2327" s="817"/>
      <c r="Y2327" s="1100"/>
      <c r="Z2327" s="1102"/>
    </row>
    <row r="2328" spans="1:45" x14ac:dyDescent="0.35">
      <c r="A2328" s="366">
        <v>10</v>
      </c>
      <c r="B2328" s="738">
        <v>1002.1</v>
      </c>
      <c r="C2328" s="731" t="s">
        <v>258</v>
      </c>
      <c r="D2328" s="731"/>
      <c r="E2328" s="731"/>
      <c r="F2328" s="731"/>
      <c r="G2328" s="366" t="str">
        <f t="shared" si="122"/>
        <v/>
      </c>
      <c r="H2328" s="366" t="s">
        <v>3972</v>
      </c>
      <c r="I2328" s="4"/>
      <c r="J2328" s="132" t="s">
        <v>258</v>
      </c>
      <c r="K2328" s="118"/>
      <c r="L2328" s="836" t="s">
        <v>3329</v>
      </c>
      <c r="M2328" s="912" t="str">
        <f t="shared" si="123"/>
        <v>N/A</v>
      </c>
      <c r="O2328" s="41"/>
      <c r="P2328" t="b">
        <v>0</v>
      </c>
      <c r="Q2328" t="b">
        <v>1</v>
      </c>
      <c r="R2328" t="b">
        <f>S2328</f>
        <v>0</v>
      </c>
      <c r="S2328" t="b">
        <f>IF(AY2262=INDEX(ddSingleOrMulti,2),TRUE,FALSE)</f>
        <v>0</v>
      </c>
      <c r="T2328" t="b">
        <f>AND(NOT(S2328),W2328=TRUE)</f>
        <v>0</v>
      </c>
      <c r="W2328" s="17"/>
      <c r="X2328" s="817"/>
      <c r="Y2328" s="1100" t="str">
        <f>IF(LEN('Ch10'!X85)=0,"None",'Ch10'!X85)</f>
        <v>None</v>
      </c>
      <c r="Z2328" s="1102"/>
      <c r="AC2328" t="b">
        <f>OR(AD2328:AE2328)</f>
        <v>0</v>
      </c>
      <c r="AD2328" t="b">
        <f>T2328</f>
        <v>0</v>
      </c>
      <c r="AE2328" t="b">
        <f>AND(R2328,NOT(W2328=TRUE))</f>
        <v>0</v>
      </c>
      <c r="AL2328" t="str">
        <f>SUBSTITUTE(SUBSTITUTE(SUBSTITUTE("vpa"&amp;$B2328&amp;$C2328&amp;$D2328&amp;$E2328,".","_"),"(","_"),")","")</f>
        <v>vpa1002_1_2</v>
      </c>
      <c r="AM2328" t="str">
        <f>M2328</f>
        <v>N/A</v>
      </c>
      <c r="AP2328" t="str">
        <f>SUBSTITUTE(SUBSTITUTE(SUBSTITUTE("vch"&amp;$B2328&amp;$C2328&amp;$D2328&amp;$E2328,".","_"),"(","_"),")","")</f>
        <v>vch1002_1_2</v>
      </c>
      <c r="AQ2328" t="str">
        <f>IF(LEN(W2328)=0,"",W2328)</f>
        <v/>
      </c>
      <c r="AR2328" t="str">
        <f>SUBSTITUTE(SUBSTITUTE(SUBSTITUTE("vnt"&amp;$B2328&amp;$C2328&amp;$D2328&amp;$E2328,".","_"),"(","_"),")","")</f>
        <v>vnt1002_1_2</v>
      </c>
      <c r="AS2328" t="str">
        <f>IF(LEN(X2328)=0,"",X2328)</f>
        <v/>
      </c>
    </row>
    <row r="2329" spans="1:45" x14ac:dyDescent="0.35">
      <c r="A2329" s="366">
        <v>10</v>
      </c>
      <c r="B2329" s="738">
        <v>1002.1</v>
      </c>
      <c r="C2329" s="731" t="s">
        <v>258</v>
      </c>
      <c r="D2329" s="731"/>
      <c r="E2329" s="731"/>
      <c r="F2329" s="731"/>
      <c r="G2329" s="366" t="str">
        <f t="shared" si="122"/>
        <v/>
      </c>
      <c r="H2329" s="366" t="s">
        <v>3972</v>
      </c>
      <c r="I2329" s="4"/>
      <c r="J2329" s="19"/>
      <c r="K2329" s="4"/>
      <c r="L2329" s="814"/>
      <c r="M2329" s="885" t="str">
        <f t="shared" si="123"/>
        <v>N/A</v>
      </c>
      <c r="O2329" s="41"/>
      <c r="X2329" s="817"/>
      <c r="Y2329" s="1100"/>
      <c r="Z2329" s="1102"/>
    </row>
    <row r="2330" spans="1:45" x14ac:dyDescent="0.35">
      <c r="A2330" s="366">
        <v>10</v>
      </c>
      <c r="B2330" s="738">
        <v>1002.1</v>
      </c>
      <c r="C2330" s="731" t="s">
        <v>258</v>
      </c>
      <c r="D2330" s="731"/>
      <c r="E2330" s="731"/>
      <c r="F2330" s="731"/>
      <c r="G2330" s="366" t="str">
        <f t="shared" si="122"/>
        <v/>
      </c>
      <c r="H2330" s="366" t="s">
        <v>3972</v>
      </c>
      <c r="I2330" s="4"/>
      <c r="J2330" s="129"/>
      <c r="K2330" s="133"/>
      <c r="L2330" s="815"/>
      <c r="M2330" s="890" t="str">
        <f t="shared" si="123"/>
        <v>N/A</v>
      </c>
      <c r="O2330" s="41"/>
      <c r="X2330" s="817"/>
      <c r="Y2330" s="1100"/>
      <c r="Z2330" s="1102"/>
    </row>
    <row r="2331" spans="1:45" x14ac:dyDescent="0.35">
      <c r="A2331" s="366">
        <v>10</v>
      </c>
      <c r="B2331" s="738">
        <v>1002.1</v>
      </c>
      <c r="C2331" s="731" t="s">
        <v>260</v>
      </c>
      <c r="D2331" s="731"/>
      <c r="E2331" s="731"/>
      <c r="F2331" s="731"/>
      <c r="G2331" s="366" t="str">
        <f t="shared" si="122"/>
        <v/>
      </c>
      <c r="H2331" s="366" t="s">
        <v>3972</v>
      </c>
      <c r="I2331" s="4"/>
      <c r="J2331" s="19" t="s">
        <v>260</v>
      </c>
      <c r="K2331" s="4"/>
      <c r="L2331" s="814" t="s">
        <v>3330</v>
      </c>
      <c r="M2331" s="885" t="str">
        <f t="shared" si="123"/>
        <v>N/A</v>
      </c>
      <c r="O2331" s="41"/>
      <c r="P2331" t="b">
        <v>0</v>
      </c>
      <c r="Q2331" t="b">
        <v>1</v>
      </c>
      <c r="R2331" t="b">
        <f>S2331</f>
        <v>0</v>
      </c>
      <c r="S2331" t="b">
        <f>IF(AY2262=INDEX(ddSingleOrMulti,2),TRUE,FALSE)</f>
        <v>0</v>
      </c>
      <c r="T2331" t="b">
        <f>AND(NOT(S2331),W2331=TRUE)</f>
        <v>0</v>
      </c>
      <c r="W2331" s="17"/>
      <c r="X2331" s="817"/>
      <c r="Y2331" s="1100" t="str">
        <f>IF(LEN('Ch10'!X88)=0,"None",'Ch10'!X88)</f>
        <v>None</v>
      </c>
      <c r="Z2331" s="1102"/>
      <c r="AC2331" t="b">
        <f>OR(AD2331:AE2331)</f>
        <v>0</v>
      </c>
      <c r="AD2331" t="b">
        <f>T2331</f>
        <v>0</v>
      </c>
      <c r="AE2331" t="b">
        <f>AND(R2331,NOT(W2331=TRUE))</f>
        <v>0</v>
      </c>
      <c r="AL2331" t="str">
        <f>SUBSTITUTE(SUBSTITUTE(SUBSTITUTE("vpa"&amp;$B2331&amp;$C2331&amp;$D2331&amp;$E2331,".","_"),"(","_"),")","")</f>
        <v>vpa1002_1_3</v>
      </c>
      <c r="AM2331" t="str">
        <f>M2331</f>
        <v>N/A</v>
      </c>
      <c r="AP2331" t="str">
        <f>SUBSTITUTE(SUBSTITUTE(SUBSTITUTE("vch"&amp;$B2331&amp;$C2331&amp;$D2331&amp;$E2331,".","_"),"(","_"),")","")</f>
        <v>vch1002_1_3</v>
      </c>
      <c r="AQ2331" t="str">
        <f>IF(LEN(W2331)=0,"",W2331)</f>
        <v/>
      </c>
      <c r="AR2331" t="str">
        <f>SUBSTITUTE(SUBSTITUTE(SUBSTITUTE("vnt"&amp;$B2331&amp;$C2331&amp;$D2331&amp;$E2331,".","_"),"(","_"),")","")</f>
        <v>vnt1002_1_3</v>
      </c>
      <c r="AS2331" t="str">
        <f>IF(LEN(X2331)=0,"",X2331)</f>
        <v/>
      </c>
    </row>
    <row r="2332" spans="1:45" x14ac:dyDescent="0.35">
      <c r="A2332" s="366">
        <v>10</v>
      </c>
      <c r="B2332" s="738">
        <v>1002.1</v>
      </c>
      <c r="C2332" s="731" t="s">
        <v>260</v>
      </c>
      <c r="D2332" s="731"/>
      <c r="E2332" s="731"/>
      <c r="F2332" s="731"/>
      <c r="G2332" s="366" t="str">
        <f t="shared" si="122"/>
        <v/>
      </c>
      <c r="H2332" s="366" t="s">
        <v>3972</v>
      </c>
      <c r="I2332" s="4"/>
      <c r="J2332" s="19"/>
      <c r="K2332" s="4"/>
      <c r="L2332" s="814"/>
      <c r="M2332" s="885" t="str">
        <f t="shared" si="123"/>
        <v>N/A</v>
      </c>
      <c r="O2332" s="41"/>
      <c r="X2332" s="817"/>
      <c r="Y2332" s="1100"/>
      <c r="Z2332" s="1102"/>
    </row>
    <row r="2333" spans="1:45" x14ac:dyDescent="0.35">
      <c r="A2333" s="366">
        <v>10</v>
      </c>
      <c r="B2333" s="738">
        <v>1002.1</v>
      </c>
      <c r="C2333" s="731" t="s">
        <v>269</v>
      </c>
      <c r="D2333" s="731"/>
      <c r="E2333" s="731"/>
      <c r="F2333" s="731"/>
      <c r="G2333" s="366" t="str">
        <f t="shared" si="122"/>
        <v/>
      </c>
      <c r="H2333" s="366" t="s">
        <v>3972</v>
      </c>
      <c r="I2333" s="4"/>
      <c r="J2333" s="130" t="s">
        <v>269</v>
      </c>
      <c r="K2333" s="163"/>
      <c r="L2333" s="178" t="s">
        <v>3331</v>
      </c>
      <c r="M2333" s="165"/>
      <c r="O2333" s="41"/>
      <c r="P2333" t="b">
        <v>0</v>
      </c>
      <c r="Q2333" t="b">
        <v>1</v>
      </c>
      <c r="R2333" t="b">
        <v>0</v>
      </c>
      <c r="S2333" t="b">
        <f>IF(AY2262=INDEX(ddSingleOrMulti,2),TRUE,FALSE)</f>
        <v>0</v>
      </c>
      <c r="T2333" t="b">
        <f>AND(NOT(S2333),W2333=TRUE)</f>
        <v>0</v>
      </c>
      <c r="W2333" s="17"/>
      <c r="X2333" s="36"/>
      <c r="Y2333" s="396" t="str">
        <f>IF(LEN('Ch10'!X90)=0,"None",'Ch10'!X90)</f>
        <v>None</v>
      </c>
      <c r="Z2333" s="652"/>
      <c r="AC2333" t="b">
        <f>OR(AD2333:AE2333)</f>
        <v>0</v>
      </c>
      <c r="AD2333" t="b">
        <f>T2333</f>
        <v>0</v>
      </c>
      <c r="AP2333" t="str">
        <f>SUBSTITUTE(SUBSTITUTE(SUBSTITUTE("vch"&amp;$B2333&amp;$C2333&amp;$D2333&amp;$E2333,".","_"),"(","_"),")","")</f>
        <v>vch1002_1_4</v>
      </c>
      <c r="AQ2333" t="str">
        <f>IF(LEN(W2333)=0,"",W2333)</f>
        <v/>
      </c>
      <c r="AR2333" t="str">
        <f>SUBSTITUTE(SUBSTITUTE(SUBSTITUTE("vnt"&amp;$B2333&amp;$C2333&amp;$D2333&amp;$E2333,".","_"),"(","_"),")","")</f>
        <v>vnt1002_1_4</v>
      </c>
      <c r="AS2333" t="str">
        <f>IF(LEN(X2333)=0,"",X2333)</f>
        <v/>
      </c>
    </row>
    <row r="2334" spans="1:45" x14ac:dyDescent="0.35">
      <c r="A2334" s="366">
        <v>10</v>
      </c>
      <c r="B2334" s="738">
        <v>1002.1</v>
      </c>
      <c r="C2334" s="731" t="s">
        <v>275</v>
      </c>
      <c r="D2334" s="731"/>
      <c r="E2334" s="731"/>
      <c r="F2334" s="731"/>
      <c r="G2334" s="366" t="str">
        <f t="shared" si="122"/>
        <v/>
      </c>
      <c r="H2334" s="366" t="s">
        <v>3972</v>
      </c>
      <c r="I2334" s="4"/>
      <c r="J2334" s="19" t="s">
        <v>275</v>
      </c>
      <c r="K2334" s="4"/>
      <c r="L2334" s="814" t="s">
        <v>3332</v>
      </c>
      <c r="M2334" s="75"/>
      <c r="O2334" s="41"/>
      <c r="P2334" t="b">
        <v>0</v>
      </c>
      <c r="Q2334" t="b">
        <v>1</v>
      </c>
      <c r="R2334" t="b">
        <v>0</v>
      </c>
      <c r="S2334" t="b">
        <f>IF(AY2262=INDEX(ddSingleOrMulti,2),TRUE,FALSE)</f>
        <v>0</v>
      </c>
      <c r="T2334" t="b">
        <f>AND(NOT(S2334),W2334=TRUE)</f>
        <v>0</v>
      </c>
      <c r="W2334" s="17"/>
      <c r="X2334" s="817"/>
      <c r="Y2334" s="1100" t="str">
        <f>IF(LEN('Ch10'!X91)=0,"None",'Ch10'!X91)</f>
        <v>None</v>
      </c>
      <c r="Z2334" s="1102"/>
      <c r="AC2334" t="b">
        <f>OR(AD2334:AE2334)</f>
        <v>0</v>
      </c>
      <c r="AD2334" t="b">
        <f>T2334</f>
        <v>0</v>
      </c>
      <c r="AP2334" t="str">
        <f>SUBSTITUTE(SUBSTITUTE(SUBSTITUTE("vch"&amp;$B2334&amp;$C2334&amp;$D2334&amp;$E2334,".","_"),"(","_"),")","")</f>
        <v>vch1002_1_5</v>
      </c>
      <c r="AQ2334" t="str">
        <f>IF(LEN(W2334)=0,"",W2334)</f>
        <v/>
      </c>
      <c r="AR2334" t="str">
        <f>SUBSTITUTE(SUBSTITUTE(SUBSTITUTE("vnt"&amp;$B2334&amp;$C2334&amp;$D2334&amp;$E2334,".","_"),"(","_"),")","")</f>
        <v>vnt1002_1_5</v>
      </c>
      <c r="AS2334" t="str">
        <f>IF(LEN(X2334)=0,"",X2334)</f>
        <v/>
      </c>
    </row>
    <row r="2335" spans="1:45" x14ac:dyDescent="0.35">
      <c r="A2335" s="366">
        <v>10</v>
      </c>
      <c r="B2335" s="738">
        <v>1002.1</v>
      </c>
      <c r="C2335" s="731" t="s">
        <v>275</v>
      </c>
      <c r="D2335" s="731"/>
      <c r="E2335" s="731"/>
      <c r="F2335" s="731"/>
      <c r="G2335" s="366" t="str">
        <f t="shared" si="122"/>
        <v/>
      </c>
      <c r="H2335" s="366" t="s">
        <v>3972</v>
      </c>
      <c r="I2335" s="4"/>
      <c r="J2335" s="19"/>
      <c r="K2335" s="4"/>
      <c r="L2335" s="814"/>
      <c r="M2335" s="75"/>
      <c r="O2335" s="41"/>
      <c r="X2335" s="817"/>
      <c r="Y2335" s="1100"/>
      <c r="Z2335" s="1102"/>
    </row>
    <row r="2336" spans="1:45" ht="15" customHeight="1" x14ac:dyDescent="0.35">
      <c r="A2336" s="366">
        <v>10</v>
      </c>
      <c r="B2336" s="738">
        <v>1002.1</v>
      </c>
      <c r="C2336" s="731" t="s">
        <v>277</v>
      </c>
      <c r="D2336" s="731"/>
      <c r="E2336" s="731"/>
      <c r="F2336" s="731"/>
      <c r="G2336" s="366" t="str">
        <f t="shared" si="122"/>
        <v/>
      </c>
      <c r="H2336" s="366" t="s">
        <v>3972</v>
      </c>
      <c r="I2336" s="4"/>
      <c r="J2336" s="130" t="s">
        <v>277</v>
      </c>
      <c r="K2336" s="163"/>
      <c r="L2336" s="178" t="s">
        <v>3289</v>
      </c>
      <c r="M2336" s="75"/>
      <c r="O2336" s="41"/>
      <c r="P2336" t="b">
        <v>0</v>
      </c>
      <c r="Q2336" t="b">
        <v>1</v>
      </c>
      <c r="R2336" t="b">
        <v>0</v>
      </c>
      <c r="S2336" t="b">
        <f>IF(AY2262=INDEX(ddSingleOrMulti,2),TRUE,FALSE)</f>
        <v>0</v>
      </c>
      <c r="T2336" t="b">
        <f>AND(NOT(S2336),W2336=TRUE)</f>
        <v>0</v>
      </c>
      <c r="W2336" s="17"/>
      <c r="X2336" s="36"/>
      <c r="Y2336" s="396" t="str">
        <f>IF(LEN('Ch10'!X93)=0,"None",'Ch10'!X93)</f>
        <v>None</v>
      </c>
      <c r="Z2336" s="652"/>
      <c r="AC2336" t="b">
        <f>OR(AD2336:AE2336)</f>
        <v>0</v>
      </c>
      <c r="AD2336" t="b">
        <f>T2336</f>
        <v>0</v>
      </c>
      <c r="AP2336" t="str">
        <f>SUBSTITUTE(SUBSTITUTE(SUBSTITUTE("vch"&amp;$B2336&amp;$C2336&amp;$D2336&amp;$E2336,".","_"),"(","_"),")","")</f>
        <v>vch1002_1_6</v>
      </c>
      <c r="AQ2336" t="str">
        <f>IF(LEN(W2336)=0,"",W2336)</f>
        <v/>
      </c>
      <c r="AR2336" t="str">
        <f>SUBSTITUTE(SUBSTITUTE(SUBSTITUTE("vnt"&amp;$B2336&amp;$C2336&amp;$D2336&amp;$E2336,".","_"),"(","_"),")","")</f>
        <v>vnt1002_1_6</v>
      </c>
      <c r="AS2336" t="str">
        <f>IF(LEN(X2336)=0,"",X2336)</f>
        <v/>
      </c>
    </row>
    <row r="2337" spans="1:45" x14ac:dyDescent="0.35">
      <c r="A2337" s="366">
        <v>10</v>
      </c>
      <c r="B2337" s="738">
        <v>1002.1</v>
      </c>
      <c r="C2337" s="731" t="s">
        <v>383</v>
      </c>
      <c r="D2337" s="731"/>
      <c r="E2337" s="731"/>
      <c r="F2337" s="731"/>
      <c r="G2337" s="366" t="str">
        <f t="shared" si="122"/>
        <v/>
      </c>
      <c r="H2337" s="366" t="s">
        <v>3972</v>
      </c>
      <c r="I2337" s="4"/>
      <c r="J2337" s="130" t="s">
        <v>383</v>
      </c>
      <c r="K2337" s="163"/>
      <c r="L2337" s="178" t="s">
        <v>3333</v>
      </c>
      <c r="M2337" s="75"/>
      <c r="O2337" s="41"/>
      <c r="P2337" t="b">
        <v>0</v>
      </c>
      <c r="Q2337" t="b">
        <v>1</v>
      </c>
      <c r="R2337" t="b">
        <v>0</v>
      </c>
      <c r="S2337" t="b">
        <f>IF(AY2262=INDEX(ddSingleOrMulti,2),TRUE,FALSE)</f>
        <v>0</v>
      </c>
      <c r="T2337" t="b">
        <f>AND(NOT(S2337),W2337=TRUE)</f>
        <v>0</v>
      </c>
      <c r="W2337" s="17"/>
      <c r="X2337" s="36"/>
      <c r="Y2337" s="396" t="str">
        <f>IF(LEN('Ch10'!X94)=0,"None",'Ch10'!X94)</f>
        <v>None</v>
      </c>
      <c r="Z2337" s="652"/>
      <c r="AC2337" t="b">
        <f>OR(AD2337:AE2337)</f>
        <v>0</v>
      </c>
      <c r="AD2337" t="b">
        <f>T2337</f>
        <v>0</v>
      </c>
      <c r="AP2337" t="str">
        <f>SUBSTITUTE(SUBSTITUTE(SUBSTITUTE("vch"&amp;$B2337&amp;$C2337&amp;$D2337&amp;$E2337,".","_"),"(","_"),")","")</f>
        <v>vch1002_1_7</v>
      </c>
      <c r="AQ2337" t="str">
        <f>IF(LEN(W2337)=0,"",W2337)</f>
        <v/>
      </c>
      <c r="AR2337" t="str">
        <f>SUBSTITUTE(SUBSTITUTE(SUBSTITUTE("vnt"&amp;$B2337&amp;$C2337&amp;$D2337&amp;$E2337,".","_"),"(","_"),")","")</f>
        <v>vnt1002_1_7</v>
      </c>
      <c r="AS2337" t="str">
        <f>IF(LEN(X2337)=0,"",X2337)</f>
        <v/>
      </c>
    </row>
    <row r="2338" spans="1:45" x14ac:dyDescent="0.35">
      <c r="A2338" s="366">
        <v>10</v>
      </c>
      <c r="B2338" s="738">
        <v>1002.1</v>
      </c>
      <c r="C2338" s="731" t="s">
        <v>428</v>
      </c>
      <c r="D2338" s="731"/>
      <c r="E2338" s="731"/>
      <c r="F2338" s="731"/>
      <c r="G2338" s="366" t="str">
        <f t="shared" si="122"/>
        <v/>
      </c>
      <c r="H2338" s="366" t="s">
        <v>3972</v>
      </c>
      <c r="I2338" s="4"/>
      <c r="J2338" s="19" t="s">
        <v>428</v>
      </c>
      <c r="K2338" s="4"/>
      <c r="L2338" s="814" t="s">
        <v>3334</v>
      </c>
      <c r="M2338" s="75"/>
      <c r="O2338" s="41"/>
      <c r="P2338" t="b">
        <v>0</v>
      </c>
      <c r="Q2338" t="b">
        <v>1</v>
      </c>
      <c r="R2338" t="b">
        <v>0</v>
      </c>
      <c r="S2338" t="b">
        <f>IF(AY2262=INDEX(ddSingleOrMulti,2),TRUE,FALSE)</f>
        <v>0</v>
      </c>
      <c r="T2338" t="b">
        <f>AND(NOT(S2338),W2338=TRUE)</f>
        <v>0</v>
      </c>
      <c r="W2338" s="17"/>
      <c r="X2338" s="817"/>
      <c r="Y2338" s="1100" t="str">
        <f>IF(LEN('Ch10'!X95)=0,"None",'Ch10'!X95)</f>
        <v>None</v>
      </c>
      <c r="Z2338" s="1102"/>
      <c r="AC2338" t="b">
        <f>OR(AD2338:AE2338)</f>
        <v>0</v>
      </c>
      <c r="AD2338" t="b">
        <f>T2338</f>
        <v>0</v>
      </c>
      <c r="AP2338" t="str">
        <f>SUBSTITUTE(SUBSTITUTE(SUBSTITUTE("vch"&amp;$B2338&amp;$C2338&amp;$D2338&amp;$E2338,".","_"),"(","_"),")","")</f>
        <v>vch1002_1_8</v>
      </c>
      <c r="AQ2338" t="str">
        <f>IF(LEN(W2338)=0,"",W2338)</f>
        <v/>
      </c>
      <c r="AR2338" t="str">
        <f>SUBSTITUTE(SUBSTITUTE(SUBSTITUTE("vnt"&amp;$B2338&amp;$C2338&amp;$D2338&amp;$E2338,".","_"),"(","_"),")","")</f>
        <v>vnt1002_1_8</v>
      </c>
      <c r="AS2338" t="str">
        <f>IF(LEN(X2338)=0,"",X2338)</f>
        <v/>
      </c>
    </row>
    <row r="2339" spans="1:45" ht="15" thickBot="1" x14ac:dyDescent="0.4">
      <c r="A2339" s="366">
        <v>10</v>
      </c>
      <c r="B2339" s="738">
        <v>1002.1</v>
      </c>
      <c r="C2339" s="731" t="s">
        <v>428</v>
      </c>
      <c r="D2339" s="731"/>
      <c r="E2339" s="731"/>
      <c r="F2339" s="731"/>
      <c r="G2339" s="366" t="str">
        <f t="shared" si="122"/>
        <v/>
      </c>
      <c r="H2339" s="366" t="s">
        <v>3972</v>
      </c>
      <c r="I2339" s="160"/>
      <c r="J2339" s="160"/>
      <c r="K2339" s="160"/>
      <c r="L2339" s="839"/>
      <c r="M2339" s="161"/>
      <c r="N2339" s="55"/>
      <c r="O2339" s="72"/>
      <c r="P2339" s="55"/>
      <c r="Q2339" s="55"/>
      <c r="R2339" s="55"/>
      <c r="S2339" s="55"/>
      <c r="T2339" s="55"/>
      <c r="U2339" s="55"/>
      <c r="V2339" s="55"/>
      <c r="W2339" s="55"/>
      <c r="X2339" s="829"/>
      <c r="Y2339" s="1101"/>
      <c r="Z2339" s="1104"/>
    </row>
    <row r="2340" spans="1:45" ht="15" thickTop="1" x14ac:dyDescent="0.35">
      <c r="A2340" s="366">
        <v>10</v>
      </c>
      <c r="B2340" s="738">
        <v>1002.2</v>
      </c>
      <c r="C2340" s="731"/>
      <c r="D2340" s="731"/>
      <c r="E2340" s="731"/>
      <c r="F2340" s="731"/>
      <c r="G2340" s="366" t="str">
        <f>IF(N2340&gt;0,"P","")</f>
        <v/>
      </c>
      <c r="H2340" s="366" t="s">
        <v>3972</v>
      </c>
      <c r="I2340" s="31">
        <v>1002.2</v>
      </c>
      <c r="J2340" s="4"/>
      <c r="K2340" s="4"/>
      <c r="L2340" s="838" t="s">
        <v>3375</v>
      </c>
      <c r="M2340" s="818">
        <v>1</v>
      </c>
      <c r="N2340" s="959">
        <f>'Ch10'!O97</f>
        <v>0</v>
      </c>
      <c r="O2340" s="1143">
        <f>IF(AND(COUNTIF(W2344:W2346,TRUE)=2,COUNTIF(W2349:W2365,TRUE)&gt;2,S2344),ROUNDDOWN(COUNTIF(W2349:W2365,TRUE)/2,0),0)</f>
        <v>0</v>
      </c>
      <c r="AL2340" t="str">
        <f>SUBSTITUTE(SUBSTITUTE(SUBSTITUTE("vpa"&amp;$B2340&amp;$C2340&amp;$D2340&amp;$E2340,".","_"),"(","_"),")","")</f>
        <v>vpa1002_2</v>
      </c>
      <c r="AM2340">
        <f>M2340</f>
        <v>1</v>
      </c>
      <c r="AN2340" t="str">
        <f>SUBSTITUTE(SUBSTITUTE(SUBSTITUTE("vpc"&amp;$B2340&amp;$C2340&amp;$D2340&amp;$E2340,".","_"),"(","_"),")","")</f>
        <v>vpc1002_2</v>
      </c>
      <c r="AO2340">
        <f>O2340</f>
        <v>0</v>
      </c>
    </row>
    <row r="2341" spans="1:45" x14ac:dyDescent="0.35">
      <c r="A2341" s="366">
        <v>10</v>
      </c>
      <c r="B2341" s="738">
        <v>1002.2</v>
      </c>
      <c r="C2341" s="731"/>
      <c r="D2341" s="731"/>
      <c r="E2341" s="731"/>
      <c r="F2341" s="731"/>
      <c r="G2341" s="366" t="str">
        <f t="shared" ref="G2341:G2366" si="124">G2340</f>
        <v/>
      </c>
      <c r="H2341" s="366" t="s">
        <v>3972</v>
      </c>
      <c r="I2341" s="4"/>
      <c r="J2341" s="4"/>
      <c r="K2341" s="4"/>
      <c r="L2341" s="838"/>
      <c r="M2341" s="818"/>
      <c r="N2341" s="834"/>
      <c r="O2341" s="1143"/>
    </row>
    <row r="2342" spans="1:45" x14ac:dyDescent="0.35">
      <c r="A2342" s="366">
        <v>10</v>
      </c>
      <c r="B2342" s="738">
        <v>1002.2</v>
      </c>
      <c r="C2342" s="731"/>
      <c r="D2342" s="731"/>
      <c r="E2342" s="731"/>
      <c r="F2342" s="731"/>
      <c r="G2342" s="366" t="str">
        <f t="shared" si="124"/>
        <v/>
      </c>
      <c r="H2342" s="366" t="s">
        <v>3972</v>
      </c>
      <c r="I2342" s="4"/>
      <c r="J2342" s="4"/>
      <c r="K2342" s="4"/>
      <c r="L2342" s="838"/>
      <c r="M2342" s="818"/>
      <c r="N2342" s="834"/>
      <c r="O2342" s="1143"/>
    </row>
    <row r="2343" spans="1:45" x14ac:dyDescent="0.35">
      <c r="A2343" s="366">
        <v>10</v>
      </c>
      <c r="B2343" s="738">
        <v>1002.2</v>
      </c>
      <c r="C2343" s="731"/>
      <c r="D2343" s="731"/>
      <c r="E2343" s="731"/>
      <c r="F2343" s="731"/>
      <c r="G2343" s="366" t="str">
        <f t="shared" si="124"/>
        <v/>
      </c>
      <c r="H2343" s="366" t="s">
        <v>3972</v>
      </c>
      <c r="I2343" s="4"/>
      <c r="J2343" s="4"/>
      <c r="K2343" s="4"/>
      <c r="L2343" s="148" t="s">
        <v>3372</v>
      </c>
      <c r="M2343" s="818"/>
      <c r="N2343" s="834"/>
      <c r="O2343" s="1143"/>
    </row>
    <row r="2344" spans="1:45" x14ac:dyDescent="0.35">
      <c r="A2344" s="366">
        <v>10</v>
      </c>
      <c r="B2344" s="738">
        <v>1002.2</v>
      </c>
      <c r="C2344" s="731" t="s">
        <v>256</v>
      </c>
      <c r="D2344" s="731"/>
      <c r="E2344" s="731"/>
      <c r="F2344" s="731"/>
      <c r="G2344" s="366" t="str">
        <f t="shared" si="124"/>
        <v/>
      </c>
      <c r="H2344" s="366" t="s">
        <v>3972</v>
      </c>
      <c r="I2344" s="4"/>
      <c r="J2344" s="19" t="s">
        <v>256</v>
      </c>
      <c r="K2344" s="4"/>
      <c r="L2344" s="814" t="s">
        <v>3335</v>
      </c>
      <c r="M2344" s="885" t="str">
        <f>IF(R2344,"Mandatory","N/A")</f>
        <v>N/A</v>
      </c>
      <c r="O2344" s="41"/>
      <c r="P2344" t="b">
        <v>0</v>
      </c>
      <c r="Q2344" t="b">
        <v>1</v>
      </c>
      <c r="R2344" t="b">
        <f>S2344</f>
        <v>0</v>
      </c>
      <c r="S2344" t="b">
        <f>IF(AY2262=INDEX(ddSingleOrMulti,2),TRUE,FALSE)</f>
        <v>0</v>
      </c>
      <c r="T2344" t="b">
        <f>AND(NOT(S2344),W2344=TRUE)</f>
        <v>0</v>
      </c>
      <c r="W2344" s="17"/>
      <c r="X2344" s="817"/>
      <c r="Y2344" s="1100" t="str">
        <f>IF(LEN('Ch10'!X101)=0,"None",'Ch10'!X101)</f>
        <v>None</v>
      </c>
      <c r="Z2344" s="1102"/>
      <c r="AC2344" t="b">
        <f>OR(AD2344:AE2344)</f>
        <v>0</v>
      </c>
      <c r="AD2344" t="b">
        <f>T2344</f>
        <v>0</v>
      </c>
      <c r="AE2344" t="b">
        <f>AND(R2344,NOT(W2344=TRUE))</f>
        <v>0</v>
      </c>
      <c r="AL2344" t="str">
        <f>SUBSTITUTE(SUBSTITUTE(SUBSTITUTE("vpa"&amp;$B2344&amp;$C2344&amp;$D2344&amp;$E2344,".","_"),"(","_"),")","")</f>
        <v>vpa1002_2_1</v>
      </c>
      <c r="AM2344" t="str">
        <f>M2344</f>
        <v>N/A</v>
      </c>
      <c r="AP2344" t="str">
        <f>SUBSTITUTE(SUBSTITUTE(SUBSTITUTE("vch"&amp;$B2344&amp;$C2344&amp;$D2344&amp;$E2344,".","_"),"(","_"),")","")</f>
        <v>vch1002_2_1</v>
      </c>
      <c r="AQ2344" t="str">
        <f>IF(LEN(W2344)=0,"",W2344)</f>
        <v/>
      </c>
      <c r="AR2344" t="str">
        <f>SUBSTITUTE(SUBSTITUTE(SUBSTITUTE("vnt"&amp;$B2344&amp;$C2344&amp;$D2344&amp;$E2344,".","_"),"(","_"),")","")</f>
        <v>vnt1002_2_1</v>
      </c>
      <c r="AS2344" t="str">
        <f>IF(LEN(X2344)=0,"",X2344)</f>
        <v/>
      </c>
    </row>
    <row r="2345" spans="1:45" x14ac:dyDescent="0.35">
      <c r="A2345" s="366">
        <v>10</v>
      </c>
      <c r="B2345" s="738">
        <v>1002.2</v>
      </c>
      <c r="C2345" s="731" t="s">
        <v>256</v>
      </c>
      <c r="D2345" s="731"/>
      <c r="E2345" s="731"/>
      <c r="F2345" s="731"/>
      <c r="G2345" s="366" t="str">
        <f t="shared" si="124"/>
        <v/>
      </c>
      <c r="H2345" s="366" t="s">
        <v>3972</v>
      </c>
      <c r="I2345" s="4"/>
      <c r="J2345" s="129"/>
      <c r="K2345" s="133"/>
      <c r="L2345" s="815"/>
      <c r="M2345" s="890" t="str">
        <f>IF(R2345,"Mandatory","N/A")</f>
        <v>N/A</v>
      </c>
      <c r="O2345" s="41"/>
      <c r="X2345" s="817"/>
      <c r="Y2345" s="1100"/>
      <c r="Z2345" s="1102"/>
    </row>
    <row r="2346" spans="1:45" x14ac:dyDescent="0.35">
      <c r="A2346" s="366">
        <v>10</v>
      </c>
      <c r="B2346" s="738">
        <v>1002.2</v>
      </c>
      <c r="C2346" s="731" t="s">
        <v>258</v>
      </c>
      <c r="D2346" s="731"/>
      <c r="E2346" s="731"/>
      <c r="F2346" s="731"/>
      <c r="G2346" s="366" t="str">
        <f t="shared" si="124"/>
        <v/>
      </c>
      <c r="H2346" s="366" t="s">
        <v>3972</v>
      </c>
      <c r="I2346" s="4"/>
      <c r="J2346" s="132" t="s">
        <v>258</v>
      </c>
      <c r="K2346" s="118"/>
      <c r="L2346" s="836" t="s">
        <v>3336</v>
      </c>
      <c r="M2346" s="912" t="str">
        <f>IF(R2346,"Mandatory","N/A")</f>
        <v>N/A</v>
      </c>
      <c r="O2346" s="41"/>
      <c r="P2346" t="b">
        <v>0</v>
      </c>
      <c r="Q2346" t="b">
        <v>1</v>
      </c>
      <c r="R2346" t="b">
        <f>S2346</f>
        <v>0</v>
      </c>
      <c r="S2346" t="b">
        <f>IF(AY2262=INDEX(ddSingleOrMulti,2),TRUE,FALSE)</f>
        <v>0</v>
      </c>
      <c r="T2346" t="b">
        <f>AND(NOT(S2346),W2346=TRUE)</f>
        <v>0</v>
      </c>
      <c r="W2346" s="17"/>
      <c r="X2346" s="817"/>
      <c r="Y2346" s="1100" t="str">
        <f>IF(LEN('Ch10'!X103)=0,"None",'Ch10'!X103)</f>
        <v>None</v>
      </c>
      <c r="Z2346" s="1102"/>
      <c r="AC2346" t="b">
        <f>OR(AD2346:AE2346)</f>
        <v>0</v>
      </c>
      <c r="AD2346" t="b">
        <f>T2346</f>
        <v>0</v>
      </c>
      <c r="AE2346" t="b">
        <f>AND(R2346,NOT(W2346=TRUE))</f>
        <v>0</v>
      </c>
      <c r="AL2346" t="str">
        <f>SUBSTITUTE(SUBSTITUTE(SUBSTITUTE("vpa"&amp;$B2346&amp;$C2346&amp;$D2346&amp;$E2346,".","_"),"(","_"),")","")</f>
        <v>vpa1002_2_2</v>
      </c>
      <c r="AM2346" t="str">
        <f>M2346</f>
        <v>N/A</v>
      </c>
      <c r="AP2346" t="str">
        <f>SUBSTITUTE(SUBSTITUTE(SUBSTITUTE("vch"&amp;$B2346&amp;$C2346&amp;$D2346&amp;$E2346,".","_"),"(","_"),")","")</f>
        <v>vch1002_2_2</v>
      </c>
      <c r="AQ2346" t="str">
        <f>IF(LEN(W2346)=0,"",W2346)</f>
        <v/>
      </c>
      <c r="AR2346" t="str">
        <f>SUBSTITUTE(SUBSTITUTE(SUBSTITUTE("vnt"&amp;$B2346&amp;$C2346&amp;$D2346&amp;$E2346,".","_"),"(","_"),")","")</f>
        <v>vnt1002_2_2</v>
      </c>
      <c r="AS2346" t="str">
        <f>IF(LEN(X2346)=0,"",X2346)</f>
        <v/>
      </c>
    </row>
    <row r="2347" spans="1:45" x14ac:dyDescent="0.35">
      <c r="A2347" s="366">
        <v>10</v>
      </c>
      <c r="B2347" s="738">
        <v>1002.2</v>
      </c>
      <c r="C2347" s="731" t="s">
        <v>258</v>
      </c>
      <c r="D2347" s="731"/>
      <c r="E2347" s="731"/>
      <c r="F2347" s="731"/>
      <c r="G2347" s="366" t="str">
        <f t="shared" si="124"/>
        <v/>
      </c>
      <c r="H2347" s="366" t="s">
        <v>3972</v>
      </c>
      <c r="I2347" s="4"/>
      <c r="J2347" s="19"/>
      <c r="K2347" s="4"/>
      <c r="L2347" s="814"/>
      <c r="M2347" s="885" t="str">
        <f>IF(R2347,"Mandatory","N/A")</f>
        <v>N/A</v>
      </c>
      <c r="O2347" s="41"/>
      <c r="X2347" s="817"/>
      <c r="Y2347" s="1100"/>
      <c r="Z2347" s="1102"/>
    </row>
    <row r="2348" spans="1:45" x14ac:dyDescent="0.35">
      <c r="A2348" s="366">
        <v>10</v>
      </c>
      <c r="B2348" s="738">
        <v>1002.2</v>
      </c>
      <c r="C2348" s="731" t="s">
        <v>258</v>
      </c>
      <c r="D2348" s="731"/>
      <c r="E2348" s="731"/>
      <c r="F2348" s="731"/>
      <c r="G2348" s="366" t="str">
        <f t="shared" si="124"/>
        <v/>
      </c>
      <c r="H2348" s="366" t="s">
        <v>3972</v>
      </c>
      <c r="I2348" s="4"/>
      <c r="J2348" s="129"/>
      <c r="K2348" s="133"/>
      <c r="L2348" s="815"/>
      <c r="M2348" s="890" t="str">
        <f>IF(R2348,"Mandatory","N/A")</f>
        <v>N/A</v>
      </c>
      <c r="O2348" s="41"/>
      <c r="X2348" s="817"/>
      <c r="Y2348" s="1100"/>
      <c r="Z2348" s="1102"/>
    </row>
    <row r="2349" spans="1:45" x14ac:dyDescent="0.35">
      <c r="A2349" s="366">
        <v>10</v>
      </c>
      <c r="B2349" s="738">
        <v>1002.2</v>
      </c>
      <c r="C2349" s="731" t="s">
        <v>260</v>
      </c>
      <c r="D2349" s="731"/>
      <c r="E2349" s="731"/>
      <c r="F2349" s="731"/>
      <c r="G2349" s="366" t="str">
        <f t="shared" si="124"/>
        <v/>
      </c>
      <c r="H2349" s="366" t="s">
        <v>3972</v>
      </c>
      <c r="I2349" s="4"/>
      <c r="J2349" s="132" t="s">
        <v>260</v>
      </c>
      <c r="K2349" s="118"/>
      <c r="L2349" s="836" t="s">
        <v>3305</v>
      </c>
      <c r="M2349" s="75"/>
      <c r="O2349" s="41"/>
      <c r="P2349" t="b">
        <v>0</v>
      </c>
      <c r="Q2349" t="b">
        <v>1</v>
      </c>
      <c r="R2349" t="b">
        <v>0</v>
      </c>
      <c r="S2349" t="b">
        <f>IF(AY2262=INDEX(ddSingleOrMulti,2),TRUE,FALSE)</f>
        <v>0</v>
      </c>
      <c r="T2349" t="b">
        <f>AND(NOT(S2349),W2349=TRUE)</f>
        <v>0</v>
      </c>
      <c r="W2349" s="17"/>
      <c r="X2349" s="817"/>
      <c r="Y2349" s="1100" t="str">
        <f>IF(LEN('Ch10'!X106)=0,"None",'Ch10'!X106)</f>
        <v>None</v>
      </c>
      <c r="Z2349" s="1102"/>
      <c r="AC2349" t="b">
        <f>OR(AD2349:AE2349)</f>
        <v>0</v>
      </c>
      <c r="AD2349" t="b">
        <f>T2349</f>
        <v>0</v>
      </c>
      <c r="AP2349" t="str">
        <f>SUBSTITUTE(SUBSTITUTE(SUBSTITUTE("vch"&amp;$B2349&amp;$C2349&amp;$D2349&amp;$E2349,".","_"),"(","_"),")","")</f>
        <v>vch1002_2_3</v>
      </c>
      <c r="AQ2349" t="str">
        <f>IF(LEN(W2349)=0,"",W2349)</f>
        <v/>
      </c>
      <c r="AR2349" t="str">
        <f>SUBSTITUTE(SUBSTITUTE(SUBSTITUTE("vnt"&amp;$B2349&amp;$C2349&amp;$D2349&amp;$E2349,".","_"),"(","_"),")","")</f>
        <v>vnt1002_2_3</v>
      </c>
      <c r="AS2349" t="str">
        <f>IF(LEN(X2349)=0,"",X2349)</f>
        <v/>
      </c>
    </row>
    <row r="2350" spans="1:45" x14ac:dyDescent="0.35">
      <c r="A2350" s="366">
        <v>10</v>
      </c>
      <c r="B2350" s="738">
        <v>1002.2</v>
      </c>
      <c r="C2350" s="731" t="s">
        <v>260</v>
      </c>
      <c r="D2350" s="731"/>
      <c r="E2350" s="731"/>
      <c r="F2350" s="731"/>
      <c r="G2350" s="366" t="str">
        <f t="shared" si="124"/>
        <v/>
      </c>
      <c r="H2350" s="366" t="s">
        <v>3972</v>
      </c>
      <c r="I2350" s="4"/>
      <c r="J2350" s="133"/>
      <c r="K2350" s="133"/>
      <c r="L2350" s="815"/>
      <c r="M2350" s="75"/>
      <c r="O2350" s="41"/>
      <c r="X2350" s="817"/>
      <c r="Y2350" s="1100"/>
      <c r="Z2350" s="1102"/>
    </row>
    <row r="2351" spans="1:45" x14ac:dyDescent="0.35">
      <c r="A2351" s="366">
        <v>10</v>
      </c>
      <c r="B2351" s="738">
        <v>1002.2</v>
      </c>
      <c r="C2351" s="731" t="s">
        <v>269</v>
      </c>
      <c r="D2351" s="731"/>
      <c r="E2351" s="731"/>
      <c r="F2351" s="731"/>
      <c r="G2351" s="366" t="str">
        <f t="shared" si="124"/>
        <v/>
      </c>
      <c r="H2351" s="366" t="s">
        <v>3972</v>
      </c>
      <c r="I2351" s="4"/>
      <c r="J2351" s="19" t="s">
        <v>269</v>
      </c>
      <c r="K2351" s="4"/>
      <c r="L2351" s="814" t="s">
        <v>3337</v>
      </c>
      <c r="M2351" s="75"/>
      <c r="O2351" s="41"/>
      <c r="P2351" t="b">
        <v>0</v>
      </c>
      <c r="Q2351" t="b">
        <v>1</v>
      </c>
      <c r="R2351" t="b">
        <v>0</v>
      </c>
      <c r="S2351" t="b">
        <f>IF(AY2262=INDEX(ddSingleOrMulti,2),TRUE,FALSE)</f>
        <v>0</v>
      </c>
      <c r="T2351" t="b">
        <f>AND(NOT(S2351),W2351=TRUE)</f>
        <v>0</v>
      </c>
      <c r="W2351" s="17"/>
      <c r="X2351" s="817"/>
      <c r="Y2351" s="1100" t="str">
        <f>IF(LEN('Ch10'!X108)=0,"None",'Ch10'!X108)</f>
        <v>None</v>
      </c>
      <c r="Z2351" s="1102"/>
      <c r="AC2351" t="b">
        <f>OR(AD2351:AE2351)</f>
        <v>0</v>
      </c>
      <c r="AD2351" t="b">
        <f>T2351</f>
        <v>0</v>
      </c>
      <c r="AP2351" t="str">
        <f>SUBSTITUTE(SUBSTITUTE(SUBSTITUTE("vch"&amp;$B2351&amp;$C2351&amp;$D2351&amp;$E2351,".","_"),"(","_"),")","")</f>
        <v>vch1002_2_4</v>
      </c>
      <c r="AQ2351" t="str">
        <f>IF(LEN(W2351)=0,"",W2351)</f>
        <v/>
      </c>
      <c r="AR2351" t="str">
        <f>SUBSTITUTE(SUBSTITUTE(SUBSTITUTE("vnt"&amp;$B2351&amp;$C2351&amp;$D2351&amp;$E2351,".","_"),"(","_"),")","")</f>
        <v>vnt1002_2_4</v>
      </c>
      <c r="AS2351" t="str">
        <f>IF(LEN(X2351)=0,"",X2351)</f>
        <v/>
      </c>
    </row>
    <row r="2352" spans="1:45" x14ac:dyDescent="0.35">
      <c r="A2352" s="366">
        <v>10</v>
      </c>
      <c r="B2352" s="738">
        <v>1002.2</v>
      </c>
      <c r="C2352" s="731" t="s">
        <v>269</v>
      </c>
      <c r="D2352" s="731"/>
      <c r="E2352" s="731"/>
      <c r="F2352" s="731"/>
      <c r="G2352" s="366" t="str">
        <f t="shared" si="124"/>
        <v/>
      </c>
      <c r="H2352" s="366" t="s">
        <v>3972</v>
      </c>
      <c r="I2352" s="4"/>
      <c r="J2352" s="4"/>
      <c r="K2352" s="4"/>
      <c r="L2352" s="814"/>
      <c r="M2352" s="75"/>
      <c r="O2352" s="41"/>
      <c r="X2352" s="817"/>
      <c r="Y2352" s="1100"/>
      <c r="Z2352" s="1102"/>
    </row>
    <row r="2353" spans="1:45" x14ac:dyDescent="0.35">
      <c r="A2353" s="366">
        <v>10</v>
      </c>
      <c r="B2353" s="738">
        <v>1002.2</v>
      </c>
      <c r="C2353" s="731" t="s">
        <v>269</v>
      </c>
      <c r="D2353" s="731"/>
      <c r="E2353" s="731"/>
      <c r="F2353" s="731"/>
      <c r="G2353" s="366" t="str">
        <f t="shared" si="124"/>
        <v/>
      </c>
      <c r="H2353" s="366" t="s">
        <v>3972</v>
      </c>
      <c r="I2353" s="4"/>
      <c r="J2353" s="4"/>
      <c r="K2353" s="4"/>
      <c r="L2353" s="814"/>
      <c r="M2353" s="75"/>
      <c r="O2353" s="41"/>
      <c r="X2353" s="817"/>
      <c r="Y2353" s="1100"/>
      <c r="Z2353" s="1102"/>
    </row>
    <row r="2354" spans="1:45" x14ac:dyDescent="0.35">
      <c r="A2354" s="366">
        <v>10</v>
      </c>
      <c r="B2354" s="738">
        <v>1002.2</v>
      </c>
      <c r="C2354" s="731" t="s">
        <v>275</v>
      </c>
      <c r="D2354" s="731"/>
      <c r="E2354" s="731"/>
      <c r="F2354" s="731"/>
      <c r="G2354" s="366" t="str">
        <f t="shared" si="124"/>
        <v/>
      </c>
      <c r="H2354" s="366" t="s">
        <v>3972</v>
      </c>
      <c r="I2354" s="4"/>
      <c r="J2354" s="132" t="s">
        <v>275</v>
      </c>
      <c r="K2354" s="118"/>
      <c r="L2354" s="836" t="s">
        <v>3338</v>
      </c>
      <c r="M2354" s="75"/>
      <c r="O2354" s="41"/>
      <c r="P2354" t="b">
        <v>0</v>
      </c>
      <c r="Q2354" t="b">
        <v>1</v>
      </c>
      <c r="R2354" t="b">
        <v>0</v>
      </c>
      <c r="S2354" t="b">
        <f>IF(AY2262=INDEX(ddSingleOrMulti,2),TRUE,FALSE)</f>
        <v>0</v>
      </c>
      <c r="T2354" t="b">
        <f>AND(NOT(S2354),W2354=TRUE)</f>
        <v>0</v>
      </c>
      <c r="W2354" s="17"/>
      <c r="X2354" s="817"/>
      <c r="Y2354" s="1100" t="str">
        <f>IF(LEN('Ch10'!X111)=0,"None",'Ch10'!X111)</f>
        <v>None</v>
      </c>
      <c r="Z2354" s="1102"/>
      <c r="AC2354" t="b">
        <f>OR(AD2354:AE2354)</f>
        <v>0</v>
      </c>
      <c r="AD2354" t="b">
        <f>T2354</f>
        <v>0</v>
      </c>
      <c r="AP2354" t="str">
        <f>SUBSTITUTE(SUBSTITUTE(SUBSTITUTE("vch"&amp;$B2354&amp;$C2354&amp;$D2354&amp;$E2354,".","_"),"(","_"),")","")</f>
        <v>vch1002_2_5</v>
      </c>
      <c r="AQ2354" t="str">
        <f>IF(LEN(W2354)=0,"",W2354)</f>
        <v/>
      </c>
      <c r="AR2354" t="str">
        <f>SUBSTITUTE(SUBSTITUTE(SUBSTITUTE("vnt"&amp;$B2354&amp;$C2354&amp;$D2354&amp;$E2354,".","_"),"(","_"),")","")</f>
        <v>vnt1002_2_5</v>
      </c>
      <c r="AS2354" t="str">
        <f>IF(LEN(X2354)=0,"",X2354)</f>
        <v/>
      </c>
    </row>
    <row r="2355" spans="1:45" x14ac:dyDescent="0.35">
      <c r="A2355" s="366">
        <v>10</v>
      </c>
      <c r="B2355" s="738">
        <v>1002.2</v>
      </c>
      <c r="C2355" s="731" t="s">
        <v>275</v>
      </c>
      <c r="D2355" s="731"/>
      <c r="E2355" s="731"/>
      <c r="F2355" s="731"/>
      <c r="G2355" s="366" t="str">
        <f t="shared" si="124"/>
        <v/>
      </c>
      <c r="H2355" s="366" t="s">
        <v>3972</v>
      </c>
      <c r="I2355" s="4"/>
      <c r="J2355" s="129"/>
      <c r="K2355" s="133"/>
      <c r="L2355" s="815"/>
      <c r="M2355" s="75"/>
      <c r="O2355" s="41"/>
      <c r="X2355" s="817"/>
      <c r="Y2355" s="1100"/>
      <c r="Z2355" s="1102"/>
    </row>
    <row r="2356" spans="1:45" x14ac:dyDescent="0.35">
      <c r="A2356" s="366">
        <v>10</v>
      </c>
      <c r="B2356" s="738">
        <v>1002.2</v>
      </c>
      <c r="C2356" s="731" t="s">
        <v>277</v>
      </c>
      <c r="D2356" s="731"/>
      <c r="E2356" s="731"/>
      <c r="F2356" s="731"/>
      <c r="G2356" s="366" t="str">
        <f t="shared" si="124"/>
        <v/>
      </c>
      <c r="H2356" s="366" t="s">
        <v>3972</v>
      </c>
      <c r="I2356" s="4"/>
      <c r="J2356" s="19" t="s">
        <v>277</v>
      </c>
      <c r="K2356" s="4"/>
      <c r="L2356" s="90" t="s">
        <v>3288</v>
      </c>
      <c r="M2356" s="75"/>
      <c r="O2356" s="41"/>
      <c r="P2356" t="b">
        <v>0</v>
      </c>
      <c r="Q2356" t="b">
        <v>1</v>
      </c>
      <c r="R2356" t="b">
        <v>0</v>
      </c>
      <c r="S2356" t="b">
        <f>IF(AY2262=INDEX(ddSingleOrMulti,2),TRUE,FALSE)</f>
        <v>0</v>
      </c>
      <c r="T2356" t="b">
        <f>AND(NOT(S2356),W2356=TRUE)</f>
        <v>0</v>
      </c>
      <c r="W2356" s="17"/>
      <c r="X2356" s="36"/>
      <c r="Y2356" s="396" t="str">
        <f>IF(LEN('Ch10'!X113)=0,"None",'Ch10'!X113)</f>
        <v>None</v>
      </c>
      <c r="Z2356" s="652"/>
      <c r="AC2356" t="b">
        <f>OR(AD2356:AE2356)</f>
        <v>0</v>
      </c>
      <c r="AD2356" t="b">
        <f>T2356</f>
        <v>0</v>
      </c>
      <c r="AP2356" t="str">
        <f>SUBSTITUTE(SUBSTITUTE(SUBSTITUTE("vch"&amp;$B2356&amp;$C2356&amp;$D2356&amp;$E2356,".","_"),"(","_"),")","")</f>
        <v>vch1002_2_6</v>
      </c>
      <c r="AQ2356" t="str">
        <f>IF(LEN(W2356)=0,"",W2356)</f>
        <v/>
      </c>
      <c r="AR2356" t="str">
        <f>SUBSTITUTE(SUBSTITUTE(SUBSTITUTE("vnt"&amp;$B2356&amp;$C2356&amp;$D2356&amp;$E2356,".","_"),"(","_"),")","")</f>
        <v>vnt1002_2_6</v>
      </c>
      <c r="AS2356" t="str">
        <f>IF(LEN(X2356)=0,"",X2356)</f>
        <v/>
      </c>
    </row>
    <row r="2357" spans="1:45" x14ac:dyDescent="0.35">
      <c r="A2357" s="366">
        <v>10</v>
      </c>
      <c r="B2357" s="738">
        <v>1002.2</v>
      </c>
      <c r="C2357" s="731" t="s">
        <v>383</v>
      </c>
      <c r="D2357" s="731"/>
      <c r="E2357" s="731"/>
      <c r="F2357" s="731"/>
      <c r="G2357" s="366" t="str">
        <f t="shared" si="124"/>
        <v/>
      </c>
      <c r="H2357" s="366" t="s">
        <v>3972</v>
      </c>
      <c r="I2357" s="4"/>
      <c r="J2357" s="132" t="s">
        <v>383</v>
      </c>
      <c r="K2357" s="118"/>
      <c r="L2357" s="836" t="s">
        <v>3339</v>
      </c>
      <c r="M2357" s="75"/>
      <c r="O2357" s="41"/>
      <c r="P2357" t="b">
        <v>0</v>
      </c>
      <c r="Q2357" t="b">
        <v>1</v>
      </c>
      <c r="R2357" t="b">
        <v>0</v>
      </c>
      <c r="S2357" t="b">
        <f>IF(AY2262=INDEX(ddSingleOrMulti,2),TRUE,FALSE)</f>
        <v>0</v>
      </c>
      <c r="T2357" t="b">
        <f>AND(NOT(S2357),W2357=TRUE)</f>
        <v>0</v>
      </c>
      <c r="W2357" s="17"/>
      <c r="X2357" s="817"/>
      <c r="Y2357" s="1100" t="str">
        <f>IF(LEN('Ch10'!X114)=0,"None",'Ch10'!X114)</f>
        <v>None</v>
      </c>
      <c r="Z2357" s="1102"/>
      <c r="AC2357" t="b">
        <f>OR(AD2357:AE2357)</f>
        <v>0</v>
      </c>
      <c r="AD2357" t="b">
        <f>T2357</f>
        <v>0</v>
      </c>
      <c r="AP2357" t="str">
        <f>SUBSTITUTE(SUBSTITUTE(SUBSTITUTE("vch"&amp;$B2357&amp;$C2357&amp;$D2357&amp;$E2357,".","_"),"(","_"),")","")</f>
        <v>vch1002_2_7</v>
      </c>
      <c r="AQ2357" t="str">
        <f>IF(LEN(W2357)=0,"",W2357)</f>
        <v/>
      </c>
      <c r="AR2357" t="str">
        <f>SUBSTITUTE(SUBSTITUTE(SUBSTITUTE("vnt"&amp;$B2357&amp;$C2357&amp;$D2357&amp;$E2357,".","_"),"(","_"),")","")</f>
        <v>vnt1002_2_7</v>
      </c>
      <c r="AS2357" t="str">
        <f>IF(LEN(X2357)=0,"",X2357)</f>
        <v/>
      </c>
    </row>
    <row r="2358" spans="1:45" x14ac:dyDescent="0.35">
      <c r="A2358" s="366">
        <v>10</v>
      </c>
      <c r="B2358" s="738">
        <v>1002.2</v>
      </c>
      <c r="C2358" s="731" t="s">
        <v>383</v>
      </c>
      <c r="D2358" s="731"/>
      <c r="E2358" s="731"/>
      <c r="F2358" s="731"/>
      <c r="G2358" s="366" t="str">
        <f t="shared" si="124"/>
        <v/>
      </c>
      <c r="H2358" s="366" t="s">
        <v>3972</v>
      </c>
      <c r="I2358" s="4"/>
      <c r="J2358" s="133"/>
      <c r="K2358" s="133"/>
      <c r="L2358" s="815"/>
      <c r="M2358" s="75"/>
      <c r="O2358" s="41"/>
      <c r="X2358" s="817"/>
      <c r="Y2358" s="1100"/>
      <c r="Z2358" s="1102"/>
    </row>
    <row r="2359" spans="1:45" x14ac:dyDescent="0.35">
      <c r="A2359" s="366">
        <v>10</v>
      </c>
      <c r="B2359" s="738">
        <v>1002.2</v>
      </c>
      <c r="C2359" s="731" t="s">
        <v>428</v>
      </c>
      <c r="D2359" s="731"/>
      <c r="E2359" s="731"/>
      <c r="F2359" s="731"/>
      <c r="G2359" s="366" t="str">
        <f t="shared" si="124"/>
        <v/>
      </c>
      <c r="H2359" s="366" t="s">
        <v>3972</v>
      </c>
      <c r="I2359" s="4"/>
      <c r="J2359" s="19" t="s">
        <v>428</v>
      </c>
      <c r="K2359" s="4"/>
      <c r="L2359" s="848" t="s">
        <v>3303</v>
      </c>
      <c r="M2359" s="75"/>
      <c r="O2359" s="41"/>
      <c r="P2359" t="b">
        <v>0</v>
      </c>
      <c r="Q2359" t="b">
        <v>1</v>
      </c>
      <c r="R2359" t="b">
        <v>0</v>
      </c>
      <c r="S2359" t="b">
        <f>IF(AY2262=INDEX(ddSingleOrMulti,2),TRUE,FALSE)</f>
        <v>0</v>
      </c>
      <c r="T2359" t="b">
        <f>AND(NOT(S2359),W2359=TRUE)</f>
        <v>0</v>
      </c>
      <c r="W2359" s="17"/>
      <c r="X2359" s="817"/>
      <c r="Y2359" s="1100" t="str">
        <f>IF(LEN('Ch10'!X116)=0,"None",'Ch10'!X116)</f>
        <v>None</v>
      </c>
      <c r="Z2359" s="1102"/>
      <c r="AC2359" t="b">
        <f>OR(AD2359:AE2359)</f>
        <v>0</v>
      </c>
      <c r="AD2359" t="b">
        <f>T2359</f>
        <v>0</v>
      </c>
      <c r="AP2359" t="str">
        <f>SUBSTITUTE(SUBSTITUTE(SUBSTITUTE("vch"&amp;$B2359&amp;$C2359&amp;$D2359&amp;$E2359,".","_"),"(","_"),")","")</f>
        <v>vch1002_2_8</v>
      </c>
      <c r="AQ2359" t="str">
        <f>IF(LEN(W2359)=0,"",W2359)</f>
        <v/>
      </c>
      <c r="AR2359" t="str">
        <f>SUBSTITUTE(SUBSTITUTE(SUBSTITUTE("vnt"&amp;$B2359&amp;$C2359&amp;$D2359&amp;$E2359,".","_"),"(","_"),")","")</f>
        <v>vnt1002_2_8</v>
      </c>
      <c r="AS2359" t="str">
        <f>IF(LEN(X2359)=0,"",X2359)</f>
        <v/>
      </c>
    </row>
    <row r="2360" spans="1:45" x14ac:dyDescent="0.35">
      <c r="A2360" s="366">
        <v>10</v>
      </c>
      <c r="B2360" s="738">
        <v>1002.2</v>
      </c>
      <c r="C2360" s="731" t="s">
        <v>428</v>
      </c>
      <c r="D2360" s="731"/>
      <c r="E2360" s="731"/>
      <c r="F2360" s="731"/>
      <c r="G2360" s="366" t="str">
        <f t="shared" si="124"/>
        <v/>
      </c>
      <c r="H2360" s="366" t="s">
        <v>3972</v>
      </c>
      <c r="I2360" s="4"/>
      <c r="J2360" s="19"/>
      <c r="K2360" s="4"/>
      <c r="L2360" s="848"/>
      <c r="M2360" s="75"/>
      <c r="O2360" s="41"/>
      <c r="X2360" s="817"/>
      <c r="Y2360" s="1100"/>
      <c r="Z2360" s="1102"/>
    </row>
    <row r="2361" spans="1:45" x14ac:dyDescent="0.35">
      <c r="A2361" s="366">
        <v>10</v>
      </c>
      <c r="B2361" s="738">
        <v>1002.2</v>
      </c>
      <c r="C2361" s="731" t="s">
        <v>430</v>
      </c>
      <c r="D2361" s="731"/>
      <c r="E2361" s="731"/>
      <c r="F2361" s="731"/>
      <c r="G2361" s="366" t="str">
        <f t="shared" si="124"/>
        <v/>
      </c>
      <c r="H2361" s="366" t="s">
        <v>3972</v>
      </c>
      <c r="I2361" s="4"/>
      <c r="J2361" s="132" t="s">
        <v>430</v>
      </c>
      <c r="K2361" s="118"/>
      <c r="L2361" s="286" t="s">
        <v>3340</v>
      </c>
      <c r="M2361" s="75"/>
      <c r="O2361" s="41"/>
      <c r="P2361" t="b">
        <v>0</v>
      </c>
      <c r="Q2361" t="b">
        <v>1</v>
      </c>
      <c r="R2361" t="b">
        <v>0</v>
      </c>
      <c r="S2361" t="b">
        <f>IF(AY2262=INDEX(ddSingleOrMulti,2),TRUE,FALSE)</f>
        <v>0</v>
      </c>
      <c r="T2361" t="b">
        <f>AND(NOT(S2361),W2361=TRUE)</f>
        <v>0</v>
      </c>
      <c r="W2361" s="17"/>
      <c r="X2361" s="36"/>
      <c r="Y2361" s="396" t="str">
        <f>IF(LEN('Ch10'!X118)=0,"None",'Ch10'!X118)</f>
        <v>None</v>
      </c>
      <c r="Z2361" s="652"/>
      <c r="AC2361" t="b">
        <f>OR(AD2361:AE2361)</f>
        <v>0</v>
      </c>
      <c r="AD2361" t="b">
        <f>T2361</f>
        <v>0</v>
      </c>
      <c r="AP2361" t="str">
        <f>SUBSTITUTE(SUBSTITUTE(SUBSTITUTE("vch"&amp;$B2361&amp;$C2361&amp;$D2361&amp;$E2361,".","_"),"(","_"),")","")</f>
        <v>vch1002_2_9</v>
      </c>
      <c r="AQ2361" t="str">
        <f>IF(LEN(W2361)=0,"",W2361)</f>
        <v/>
      </c>
      <c r="AR2361" t="str">
        <f>SUBSTITUTE(SUBSTITUTE(SUBSTITUTE("vnt"&amp;$B2361&amp;$C2361&amp;$D2361&amp;$E2361,".","_"),"(","_"),")","")</f>
        <v>vnt1002_2_9</v>
      </c>
      <c r="AS2361" t="str">
        <f>IF(LEN(X2361)=0,"",X2361)</f>
        <v/>
      </c>
    </row>
    <row r="2362" spans="1:45" x14ac:dyDescent="0.35">
      <c r="A2362" s="366">
        <v>10</v>
      </c>
      <c r="B2362" s="738">
        <v>1002.2</v>
      </c>
      <c r="C2362" s="731" t="s">
        <v>432</v>
      </c>
      <c r="D2362" s="731"/>
      <c r="E2362" s="731"/>
      <c r="F2362" s="731"/>
      <c r="G2362" s="366" t="str">
        <f t="shared" si="124"/>
        <v/>
      </c>
      <c r="H2362" s="366" t="s">
        <v>3972</v>
      </c>
      <c r="I2362" s="4"/>
      <c r="J2362" s="132" t="s">
        <v>432</v>
      </c>
      <c r="K2362" s="118"/>
      <c r="L2362" s="836" t="s">
        <v>3341</v>
      </c>
      <c r="M2362" s="75"/>
      <c r="O2362" s="41"/>
      <c r="P2362" t="b">
        <v>0</v>
      </c>
      <c r="Q2362" t="b">
        <v>1</v>
      </c>
      <c r="R2362" t="b">
        <v>0</v>
      </c>
      <c r="S2362" t="b">
        <f>IF(AY2262=INDEX(ddSingleOrMulti,2),TRUE,FALSE)</f>
        <v>0</v>
      </c>
      <c r="T2362" t="b">
        <f>AND(NOT(S2362),W2362=TRUE)</f>
        <v>0</v>
      </c>
      <c r="W2362" s="17"/>
      <c r="X2362" s="817"/>
      <c r="Y2362" s="1100" t="str">
        <f>IF(LEN('Ch10'!X119)=0,"None",'Ch10'!X119)</f>
        <v>None</v>
      </c>
      <c r="Z2362" s="1102"/>
      <c r="AC2362" t="b">
        <f>OR(AD2362:AE2362)</f>
        <v>0</v>
      </c>
      <c r="AD2362" t="b">
        <f>T2362</f>
        <v>0</v>
      </c>
      <c r="AP2362" t="str">
        <f>SUBSTITUTE(SUBSTITUTE(SUBSTITUTE("vch"&amp;$B2362&amp;$C2362&amp;$D2362&amp;$E2362,".","_"),"(","_"),")","")</f>
        <v>vch1002_2_10</v>
      </c>
      <c r="AQ2362" t="str">
        <f>IF(LEN(W2362)=0,"",W2362)</f>
        <v/>
      </c>
      <c r="AR2362" t="str">
        <f>SUBSTITUTE(SUBSTITUTE(SUBSTITUTE("vnt"&amp;$B2362&amp;$C2362&amp;$D2362&amp;$E2362,".","_"),"(","_"),")","")</f>
        <v>vnt1002_2_10</v>
      </c>
      <c r="AS2362" t="str">
        <f>IF(LEN(X2362)=0,"",X2362)</f>
        <v/>
      </c>
    </row>
    <row r="2363" spans="1:45" x14ac:dyDescent="0.35">
      <c r="A2363" s="366">
        <v>10</v>
      </c>
      <c r="B2363" s="738">
        <v>1002.2</v>
      </c>
      <c r="C2363" s="731" t="s">
        <v>432</v>
      </c>
      <c r="D2363" s="731"/>
      <c r="E2363" s="731"/>
      <c r="F2363" s="731"/>
      <c r="G2363" s="366" t="str">
        <f t="shared" si="124"/>
        <v/>
      </c>
      <c r="H2363" s="366" t="s">
        <v>3972</v>
      </c>
      <c r="I2363" s="4"/>
      <c r="J2363" s="19"/>
      <c r="K2363" s="4"/>
      <c r="L2363" s="814"/>
      <c r="M2363" s="75"/>
      <c r="O2363" s="41"/>
      <c r="X2363" s="817"/>
      <c r="Y2363" s="1100"/>
      <c r="Z2363" s="1102"/>
    </row>
    <row r="2364" spans="1:45" x14ac:dyDescent="0.35">
      <c r="A2364" s="366">
        <v>10</v>
      </c>
      <c r="B2364" s="738">
        <v>1002.2</v>
      </c>
      <c r="C2364" s="731" t="s">
        <v>432</v>
      </c>
      <c r="D2364" s="731"/>
      <c r="E2364" s="731"/>
      <c r="F2364" s="731"/>
      <c r="G2364" s="366" t="str">
        <f t="shared" si="124"/>
        <v/>
      </c>
      <c r="H2364" s="366" t="s">
        <v>3972</v>
      </c>
      <c r="I2364" s="4"/>
      <c r="J2364" s="129"/>
      <c r="K2364" s="133"/>
      <c r="L2364" s="815"/>
      <c r="M2364" s="75"/>
      <c r="O2364" s="41"/>
      <c r="X2364" s="817"/>
      <c r="Y2364" s="1100"/>
      <c r="Z2364" s="1102"/>
    </row>
    <row r="2365" spans="1:45" x14ac:dyDescent="0.35">
      <c r="A2365" s="366">
        <v>10</v>
      </c>
      <c r="B2365" s="738">
        <v>1002.2</v>
      </c>
      <c r="C2365" s="731" t="s">
        <v>434</v>
      </c>
      <c r="D2365" s="731"/>
      <c r="E2365" s="731"/>
      <c r="F2365" s="731"/>
      <c r="G2365" s="366" t="str">
        <f t="shared" si="124"/>
        <v/>
      </c>
      <c r="H2365" s="366" t="s">
        <v>3972</v>
      </c>
      <c r="I2365" s="4"/>
      <c r="J2365" s="19" t="s">
        <v>434</v>
      </c>
      <c r="K2365" s="4"/>
      <c r="L2365" s="848" t="s">
        <v>3342</v>
      </c>
      <c r="M2365" s="900" t="str">
        <f ca="1">IF(R2365,"Mandatory per 902.2.1","N/A")</f>
        <v>N/A</v>
      </c>
      <c r="O2365" s="41"/>
      <c r="P2365" t="b">
        <v>0</v>
      </c>
      <c r="Q2365" t="b">
        <v>1</v>
      </c>
      <c r="R2365" s="1" t="b">
        <f ca="1">AND(S2365,OR($O$2085&gt;0,$R$2085))</f>
        <v>0</v>
      </c>
      <c r="S2365" t="b">
        <f>IF(AY2262=INDEX(ddSingleOrMulti,2),TRUE,FALSE)</f>
        <v>0</v>
      </c>
      <c r="T2365" t="b">
        <f>AND(NOT(S2365),W2365=TRUE)</f>
        <v>0</v>
      </c>
      <c r="W2365" s="17"/>
      <c r="X2365" s="817"/>
      <c r="Y2365" s="1100" t="str">
        <f>IF(LEN('Ch10'!X122)=0,"None",'Ch10'!X122)</f>
        <v>None</v>
      </c>
      <c r="Z2365" s="1102"/>
      <c r="AC2365" t="b">
        <f ca="1">OR(AD2365:AE2365)</f>
        <v>0</v>
      </c>
      <c r="AD2365" t="b">
        <f>T2365</f>
        <v>0</v>
      </c>
      <c r="AE2365" t="b">
        <f ca="1">AND(R2365,NOT(W2365=TRUE))</f>
        <v>0</v>
      </c>
      <c r="AL2365" t="str">
        <f>SUBSTITUTE(SUBSTITUTE(SUBSTITUTE("vpa"&amp;$B2365&amp;$C2365&amp;$D2365&amp;$E2365,".","_"),"(","_"),")","")</f>
        <v>vpa1002_2_11</v>
      </c>
      <c r="AM2365" t="str">
        <f ca="1">M2365</f>
        <v>N/A</v>
      </c>
      <c r="AP2365" t="str">
        <f>SUBSTITUTE(SUBSTITUTE(SUBSTITUTE("vch"&amp;$B2365&amp;$C2365&amp;$D2365&amp;$E2365,".","_"),"(","_"),")","")</f>
        <v>vch1002_2_11</v>
      </c>
      <c r="AQ2365" t="str">
        <f>IF(LEN(W2365)=0,"",W2365)</f>
        <v/>
      </c>
      <c r="AR2365" t="str">
        <f>SUBSTITUTE(SUBSTITUTE(SUBSTITUTE("vnt"&amp;$B2365&amp;$C2365&amp;$D2365&amp;$E2365,".","_"),"(","_"),")","")</f>
        <v>vnt1002_2_11</v>
      </c>
      <c r="AS2365" t="str">
        <f>IF(LEN(X2365)=0,"",X2365)</f>
        <v/>
      </c>
    </row>
    <row r="2366" spans="1:45" ht="15" thickBot="1" x14ac:dyDescent="0.4">
      <c r="A2366" s="366">
        <v>10</v>
      </c>
      <c r="B2366" s="738">
        <v>1002.2</v>
      </c>
      <c r="C2366" s="731" t="s">
        <v>434</v>
      </c>
      <c r="D2366" s="731"/>
      <c r="E2366" s="731"/>
      <c r="F2366" s="731"/>
      <c r="G2366" s="366" t="str">
        <f t="shared" si="124"/>
        <v/>
      </c>
      <c r="H2366" s="366" t="s">
        <v>3972</v>
      </c>
      <c r="I2366" s="160"/>
      <c r="J2366" s="115"/>
      <c r="K2366" s="160"/>
      <c r="L2366" s="888"/>
      <c r="M2366" s="974"/>
      <c r="N2366" s="55"/>
      <c r="O2366" s="72"/>
      <c r="P2366" s="55"/>
      <c r="Q2366" s="55"/>
      <c r="R2366" s="55"/>
      <c r="S2366" s="55"/>
      <c r="T2366" s="55"/>
      <c r="U2366" s="55"/>
      <c r="V2366" s="55"/>
      <c r="W2366" s="55"/>
      <c r="X2366" s="829"/>
      <c r="Y2366" s="1101"/>
      <c r="Z2366" s="1104"/>
    </row>
    <row r="2367" spans="1:45" ht="15" thickTop="1" x14ac:dyDescent="0.35">
      <c r="A2367" s="366">
        <v>10</v>
      </c>
      <c r="B2367" s="738">
        <v>1002.3</v>
      </c>
      <c r="C2367" s="731"/>
      <c r="D2367" s="731"/>
      <c r="E2367" s="731"/>
      <c r="F2367" s="731"/>
      <c r="G2367" s="366" t="str">
        <f>IF(N2367&gt;0,"P","")</f>
        <v/>
      </c>
      <c r="H2367" s="366" t="s">
        <v>3972</v>
      </c>
      <c r="I2367" s="31">
        <v>1002.3</v>
      </c>
      <c r="J2367" s="4"/>
      <c r="K2367" s="4"/>
      <c r="L2367" s="838" t="s">
        <v>3376</v>
      </c>
      <c r="M2367" s="818">
        <v>1</v>
      </c>
      <c r="N2367" s="959">
        <f>'Ch10'!O124</f>
        <v>0</v>
      </c>
      <c r="O2367" s="1143">
        <f>IF(AND(W2371=TRUE,COUNTIF(W2373:W2393,TRUE)&gt;3,S2371),ROUNDDOWN(COUNTIF(W2373:W2393,TRUE)/2,0),0)</f>
        <v>0</v>
      </c>
      <c r="AL2367" t="str">
        <f>SUBSTITUTE(SUBSTITUTE(SUBSTITUTE("vpa"&amp;$B2367&amp;$C2367&amp;$D2367&amp;$E2367,".","_"),"(","_"),")","")</f>
        <v>vpa1002_3</v>
      </c>
      <c r="AM2367">
        <f>M2367</f>
        <v>1</v>
      </c>
      <c r="AN2367" t="str">
        <f>SUBSTITUTE(SUBSTITUTE(SUBSTITUTE("vpc"&amp;$B2367&amp;$C2367&amp;$D2367&amp;$E2367,".","_"),"(","_"),")","")</f>
        <v>vpc1002_3</v>
      </c>
      <c r="AO2367">
        <f>O2367</f>
        <v>0</v>
      </c>
    </row>
    <row r="2368" spans="1:45" x14ac:dyDescent="0.35">
      <c r="A2368" s="366">
        <v>10</v>
      </c>
      <c r="B2368" s="738">
        <v>1002.3</v>
      </c>
      <c r="C2368" s="731"/>
      <c r="D2368" s="731"/>
      <c r="E2368" s="731"/>
      <c r="F2368" s="731"/>
      <c r="G2368" s="366" t="str">
        <f t="shared" ref="G2368:G2394" si="125">G2367</f>
        <v/>
      </c>
      <c r="H2368" s="366" t="s">
        <v>3972</v>
      </c>
      <c r="I2368" s="4"/>
      <c r="J2368" s="4"/>
      <c r="K2368" s="4"/>
      <c r="L2368" s="838"/>
      <c r="M2368" s="818"/>
      <c r="N2368" s="834"/>
      <c r="O2368" s="1143"/>
    </row>
    <row r="2369" spans="1:45" x14ac:dyDescent="0.35">
      <c r="A2369" s="366">
        <v>10</v>
      </c>
      <c r="B2369" s="738">
        <v>1002.3</v>
      </c>
      <c r="C2369" s="731"/>
      <c r="D2369" s="731"/>
      <c r="E2369" s="731"/>
      <c r="F2369" s="731"/>
      <c r="G2369" s="366" t="str">
        <f t="shared" si="125"/>
        <v/>
      </c>
      <c r="H2369" s="366" t="s">
        <v>3972</v>
      </c>
      <c r="I2369" s="4"/>
      <c r="J2369" s="4"/>
      <c r="K2369" s="4"/>
      <c r="L2369" s="838"/>
      <c r="M2369" s="818"/>
      <c r="N2369" s="834"/>
      <c r="O2369" s="1143"/>
    </row>
    <row r="2370" spans="1:45" x14ac:dyDescent="0.35">
      <c r="A2370" s="366">
        <v>10</v>
      </c>
      <c r="B2370" s="738">
        <v>1002.3</v>
      </c>
      <c r="C2370" s="731"/>
      <c r="D2370" s="731"/>
      <c r="E2370" s="731"/>
      <c r="F2370" s="731"/>
      <c r="G2370" s="366" t="str">
        <f t="shared" si="125"/>
        <v/>
      </c>
      <c r="H2370" s="366" t="s">
        <v>3972</v>
      </c>
      <c r="I2370" s="4"/>
      <c r="J2370" s="4"/>
      <c r="K2370" s="4"/>
      <c r="L2370" s="148" t="s">
        <v>3372</v>
      </c>
      <c r="M2370" s="818"/>
      <c r="N2370" s="834"/>
      <c r="O2370" s="1143"/>
    </row>
    <row r="2371" spans="1:45" x14ac:dyDescent="0.35">
      <c r="A2371" s="366">
        <v>10</v>
      </c>
      <c r="B2371" s="738">
        <v>1002.3</v>
      </c>
      <c r="C2371" s="731" t="s">
        <v>256</v>
      </c>
      <c r="D2371" s="731"/>
      <c r="E2371" s="731"/>
      <c r="F2371" s="746"/>
      <c r="G2371" s="366" t="str">
        <f t="shared" si="125"/>
        <v/>
      </c>
      <c r="H2371" s="366" t="s">
        <v>3972</v>
      </c>
      <c r="I2371" s="4"/>
      <c r="J2371" s="19" t="s">
        <v>256</v>
      </c>
      <c r="K2371" s="4"/>
      <c r="L2371" s="814" t="s">
        <v>3343</v>
      </c>
      <c r="M2371" s="885" t="str">
        <f>IF(R2371,"Mandatory","N/A")</f>
        <v>N/A</v>
      </c>
      <c r="O2371" s="41"/>
      <c r="P2371" t="b">
        <v>0</v>
      </c>
      <c r="Q2371" t="b">
        <v>1</v>
      </c>
      <c r="R2371" t="b">
        <f>S2371</f>
        <v>0</v>
      </c>
      <c r="S2371" t="b">
        <f>IF(AY2262=INDEX(ddSingleOrMulti,2),TRUE,FALSE)</f>
        <v>0</v>
      </c>
      <c r="T2371" t="b">
        <f>AND(NOT(S2371),W2371=TRUE)</f>
        <v>0</v>
      </c>
      <c r="W2371" s="17"/>
      <c r="X2371" s="817"/>
      <c r="Y2371" s="1100" t="str">
        <f>IF(LEN('Ch10'!X128)=0,"None",'Ch10'!X128)</f>
        <v>None</v>
      </c>
      <c r="Z2371" s="1102"/>
      <c r="AC2371" t="b">
        <f>OR(AD2371:AE2371)</f>
        <v>0</v>
      </c>
      <c r="AD2371" t="b">
        <f>T2371</f>
        <v>0</v>
      </c>
      <c r="AE2371" t="b">
        <f>AND(R2371,O2367&lt;1)</f>
        <v>0</v>
      </c>
      <c r="AL2371" t="str">
        <f>SUBSTITUTE(SUBSTITUTE(SUBSTITUTE("vpa"&amp;$B2371&amp;$C2371&amp;$D2371&amp;$E2371,".","_"),"(","_"),")","")</f>
        <v>vpa1002_3_1</v>
      </c>
      <c r="AM2371" t="str">
        <f>M2371</f>
        <v>N/A</v>
      </c>
      <c r="AP2371" t="str">
        <f>SUBSTITUTE(SUBSTITUTE(SUBSTITUTE("vch"&amp;$B2371&amp;$C2371&amp;$D2371&amp;$E2371,".","_"),"(","_"),")","")</f>
        <v>vch1002_3_1</v>
      </c>
      <c r="AQ2371" t="str">
        <f>IF(LEN(W2371)=0,"",W2371)</f>
        <v/>
      </c>
      <c r="AR2371" t="str">
        <f>SUBSTITUTE(SUBSTITUTE(SUBSTITUTE("vnt"&amp;$B2371&amp;$C2371&amp;$D2371&amp;$E2371,".","_"),"(","_"),")","")</f>
        <v>vnt1002_3_1</v>
      </c>
      <c r="AS2371" t="str">
        <f>IF(LEN(X2371)=0,"",X2371)</f>
        <v/>
      </c>
    </row>
    <row r="2372" spans="1:45" x14ac:dyDescent="0.35">
      <c r="A2372" s="366">
        <v>10</v>
      </c>
      <c r="B2372" s="738">
        <v>1002.3</v>
      </c>
      <c r="C2372" s="731" t="s">
        <v>256</v>
      </c>
      <c r="D2372" s="731"/>
      <c r="E2372" s="731"/>
      <c r="F2372" s="746"/>
      <c r="G2372" s="366" t="str">
        <f t="shared" si="125"/>
        <v/>
      </c>
      <c r="H2372" s="366" t="s">
        <v>3972</v>
      </c>
      <c r="I2372" s="4"/>
      <c r="J2372" s="129"/>
      <c r="K2372" s="133"/>
      <c r="L2372" s="815"/>
      <c r="M2372" s="890" t="str">
        <f>IF(R2372,"Mandatory","N/A")</f>
        <v>N/A</v>
      </c>
      <c r="O2372" s="41"/>
      <c r="X2372" s="817"/>
      <c r="Y2372" s="1100"/>
      <c r="Z2372" s="1102"/>
    </row>
    <row r="2373" spans="1:45" x14ac:dyDescent="0.35">
      <c r="A2373" s="366">
        <v>10</v>
      </c>
      <c r="B2373" s="738">
        <v>1002.3</v>
      </c>
      <c r="C2373" s="731" t="s">
        <v>258</v>
      </c>
      <c r="D2373" s="731"/>
      <c r="E2373" s="731"/>
      <c r="F2373" s="746"/>
      <c r="G2373" s="366" t="str">
        <f t="shared" si="125"/>
        <v/>
      </c>
      <c r="H2373" s="366" t="s">
        <v>3972</v>
      </c>
      <c r="I2373" s="4"/>
      <c r="J2373" s="132" t="s">
        <v>258</v>
      </c>
      <c r="K2373" s="118"/>
      <c r="L2373" s="836" t="s">
        <v>3295</v>
      </c>
      <c r="M2373" s="75"/>
      <c r="O2373" s="41"/>
      <c r="P2373" t="b">
        <v>0</v>
      </c>
      <c r="Q2373" t="b">
        <v>1</v>
      </c>
      <c r="R2373" t="b">
        <v>0</v>
      </c>
      <c r="S2373" t="b">
        <f>IF(AY2262=INDEX(ddSingleOrMulti,2),TRUE,FALSE)</f>
        <v>0</v>
      </c>
      <c r="T2373" t="b">
        <f>AND(NOT(S2373),W2373=TRUE)</f>
        <v>0</v>
      </c>
      <c r="W2373" s="17"/>
      <c r="X2373" s="817"/>
      <c r="Y2373" s="1100" t="str">
        <f>IF(LEN('Ch10'!X130)=0,"None",'Ch10'!X130)</f>
        <v>None</v>
      </c>
      <c r="Z2373" s="1102"/>
      <c r="AC2373" t="b">
        <f>OR(AD2373:AE2373)</f>
        <v>0</v>
      </c>
      <c r="AD2373" t="b">
        <f>T2373</f>
        <v>0</v>
      </c>
      <c r="AP2373" t="str">
        <f>SUBSTITUTE(SUBSTITUTE(SUBSTITUTE("vch"&amp;$B2373&amp;$C2373&amp;$D2373&amp;$E2373,".","_"),"(","_"),")","")</f>
        <v>vch1002_3_2</v>
      </c>
      <c r="AQ2373" t="str">
        <f>IF(LEN(W2373)=0,"",W2373)</f>
        <v/>
      </c>
      <c r="AR2373" t="str">
        <f>SUBSTITUTE(SUBSTITUTE(SUBSTITUTE("vnt"&amp;$B2373&amp;$C2373&amp;$D2373&amp;$E2373,".","_"),"(","_"),")","")</f>
        <v>vnt1002_3_2</v>
      </c>
      <c r="AS2373" t="str">
        <f>IF(LEN(X2373)=0,"",X2373)</f>
        <v/>
      </c>
    </row>
    <row r="2374" spans="1:45" x14ac:dyDescent="0.35">
      <c r="A2374" s="366">
        <v>10</v>
      </c>
      <c r="B2374" s="738">
        <v>1002.3</v>
      </c>
      <c r="C2374" s="731" t="s">
        <v>258</v>
      </c>
      <c r="D2374" s="731"/>
      <c r="E2374" s="731"/>
      <c r="F2374" s="746"/>
      <c r="G2374" s="366" t="str">
        <f t="shared" si="125"/>
        <v/>
      </c>
      <c r="H2374" s="366" t="s">
        <v>3972</v>
      </c>
      <c r="I2374" s="4"/>
      <c r="J2374" s="4"/>
      <c r="K2374" s="4"/>
      <c r="L2374" s="814"/>
      <c r="M2374" s="75"/>
      <c r="O2374" s="41"/>
      <c r="X2374" s="817"/>
      <c r="Y2374" s="1100"/>
      <c r="Z2374" s="1102"/>
    </row>
    <row r="2375" spans="1:45" x14ac:dyDescent="0.35">
      <c r="A2375" s="366">
        <v>10</v>
      </c>
      <c r="B2375" s="738">
        <v>1002.3</v>
      </c>
      <c r="C2375" s="731" t="s">
        <v>258</v>
      </c>
      <c r="D2375" s="731"/>
      <c r="E2375" s="731"/>
      <c r="F2375" s="746"/>
      <c r="G2375" s="366" t="str">
        <f t="shared" si="125"/>
        <v/>
      </c>
      <c r="H2375" s="366" t="s">
        <v>3972</v>
      </c>
      <c r="I2375" s="4"/>
      <c r="J2375" s="4"/>
      <c r="K2375" s="4"/>
      <c r="L2375" s="814"/>
      <c r="M2375" s="75"/>
      <c r="O2375" s="41"/>
      <c r="X2375" s="817"/>
      <c r="Y2375" s="1100"/>
      <c r="Z2375" s="1102"/>
    </row>
    <row r="2376" spans="1:45" x14ac:dyDescent="0.35">
      <c r="A2376" s="366">
        <v>10</v>
      </c>
      <c r="B2376" s="738">
        <v>1002.3</v>
      </c>
      <c r="C2376" s="731" t="s">
        <v>258</v>
      </c>
      <c r="D2376" s="731"/>
      <c r="E2376" s="731"/>
      <c r="F2376" s="746"/>
      <c r="G2376" s="366" t="str">
        <f t="shared" si="125"/>
        <v/>
      </c>
      <c r="H2376" s="366" t="s">
        <v>3972</v>
      </c>
      <c r="I2376" s="4"/>
      <c r="J2376" s="133"/>
      <c r="K2376" s="133"/>
      <c r="L2376" s="815"/>
      <c r="M2376" s="75"/>
      <c r="O2376" s="41"/>
      <c r="X2376" s="817"/>
      <c r="Y2376" s="1100"/>
      <c r="Z2376" s="1102"/>
    </row>
    <row r="2377" spans="1:45" x14ac:dyDescent="0.35">
      <c r="A2377" s="366">
        <v>10</v>
      </c>
      <c r="B2377" s="738">
        <v>1002.3</v>
      </c>
      <c r="C2377" s="731" t="s">
        <v>260</v>
      </c>
      <c r="D2377" s="731"/>
      <c r="E2377" s="731"/>
      <c r="F2377" s="746"/>
      <c r="G2377" s="366" t="str">
        <f t="shared" si="125"/>
        <v/>
      </c>
      <c r="H2377" s="366" t="s">
        <v>3972</v>
      </c>
      <c r="I2377" s="4"/>
      <c r="J2377" s="132" t="s">
        <v>260</v>
      </c>
      <c r="K2377" s="118"/>
      <c r="L2377" s="166" t="s">
        <v>3344</v>
      </c>
      <c r="M2377" s="75"/>
      <c r="O2377" s="41"/>
      <c r="P2377" t="b">
        <v>0</v>
      </c>
      <c r="Q2377" t="b">
        <v>1</v>
      </c>
      <c r="R2377" t="b">
        <v>0</v>
      </c>
      <c r="S2377" t="b">
        <f>IF(AY2262=INDEX(ddSingleOrMulti,2),TRUE,FALSE)</f>
        <v>0</v>
      </c>
      <c r="T2377" t="b">
        <f>AND(NOT(S2377),W2377=TRUE)</f>
        <v>0</v>
      </c>
      <c r="W2377" s="17"/>
      <c r="X2377" s="817"/>
      <c r="Y2377" s="1100" t="str">
        <f>IF(LEN('Ch10'!X134)=0,"None",'Ch10'!X134)</f>
        <v>None</v>
      </c>
      <c r="Z2377" s="1102"/>
      <c r="AC2377" t="b">
        <f>OR(AD2377:AE2377)</f>
        <v>0</v>
      </c>
      <c r="AD2377" t="b">
        <f>T2377</f>
        <v>0</v>
      </c>
      <c r="AP2377" t="str">
        <f>SUBSTITUTE(SUBSTITUTE(SUBSTITUTE("vch"&amp;$B2377&amp;$C2377&amp;$D2377&amp;$E2377,".","_"),"(","_"),")","")</f>
        <v>vch1002_3_3</v>
      </c>
      <c r="AQ2377" t="str">
        <f>IF(LEN(W2377)=0,"",W2377)</f>
        <v/>
      </c>
      <c r="AR2377" t="str">
        <f>SUBSTITUTE(SUBSTITUTE(SUBSTITUTE("vnt"&amp;$B2377&amp;$C2377&amp;$D2377&amp;$E2377,".","_"),"(","_"),")","")</f>
        <v>vnt1002_3_3</v>
      </c>
      <c r="AS2377" t="str">
        <f>IF(LEN(X2377)=0,"",X2377)</f>
        <v/>
      </c>
    </row>
    <row r="2378" spans="1:45" x14ac:dyDescent="0.35">
      <c r="A2378" s="366">
        <v>10</v>
      </c>
      <c r="B2378" s="738">
        <v>1002.3</v>
      </c>
      <c r="C2378" s="731" t="s">
        <v>260</v>
      </c>
      <c r="D2378" s="731" t="s">
        <v>121</v>
      </c>
      <c r="E2378" s="731"/>
      <c r="F2378" s="746"/>
      <c r="G2378" s="366" t="str">
        <f t="shared" si="125"/>
        <v/>
      </c>
      <c r="H2378" s="732" t="s">
        <v>3972</v>
      </c>
      <c r="I2378" s="4"/>
      <c r="J2378" s="4"/>
      <c r="K2378" s="19" t="s">
        <v>121</v>
      </c>
      <c r="L2378" s="146" t="s">
        <v>3345</v>
      </c>
      <c r="M2378" s="75"/>
      <c r="O2378" s="41"/>
      <c r="X2378" s="817"/>
      <c r="Y2378" s="1100"/>
      <c r="Z2378" s="1102"/>
    </row>
    <row r="2379" spans="1:45" x14ac:dyDescent="0.35">
      <c r="A2379" s="366">
        <v>10</v>
      </c>
      <c r="B2379" s="738">
        <v>1002.3</v>
      </c>
      <c r="C2379" s="731" t="s">
        <v>260</v>
      </c>
      <c r="D2379" s="731" t="s">
        <v>122</v>
      </c>
      <c r="E2379" s="731"/>
      <c r="F2379" s="746"/>
      <c r="G2379" s="366" t="str">
        <f t="shared" si="125"/>
        <v/>
      </c>
      <c r="H2379" s="732" t="s">
        <v>3972</v>
      </c>
      <c r="I2379" s="4"/>
      <c r="J2379" s="4"/>
      <c r="K2379" s="19" t="s">
        <v>122</v>
      </c>
      <c r="L2379" s="146" t="s">
        <v>3346</v>
      </c>
      <c r="M2379" s="75"/>
      <c r="O2379" s="41"/>
      <c r="X2379" s="817"/>
      <c r="Y2379" s="1100"/>
      <c r="Z2379" s="1102"/>
    </row>
    <row r="2380" spans="1:45" x14ac:dyDescent="0.35">
      <c r="A2380" s="366">
        <v>10</v>
      </c>
      <c r="B2380" s="738">
        <v>1002.3</v>
      </c>
      <c r="C2380" s="731" t="s">
        <v>260</v>
      </c>
      <c r="D2380" s="731" t="s">
        <v>123</v>
      </c>
      <c r="E2380" s="731"/>
      <c r="F2380" s="746"/>
      <c r="G2380" s="366" t="str">
        <f t="shared" si="125"/>
        <v/>
      </c>
      <c r="H2380" s="732" t="s">
        <v>3972</v>
      </c>
      <c r="I2380" s="4"/>
      <c r="J2380" s="4"/>
      <c r="K2380" s="19" t="s">
        <v>123</v>
      </c>
      <c r="L2380" s="146" t="s">
        <v>3347</v>
      </c>
      <c r="M2380" s="75"/>
      <c r="O2380" s="41"/>
      <c r="X2380" s="817"/>
      <c r="Y2380" s="1100"/>
      <c r="Z2380" s="1102"/>
    </row>
    <row r="2381" spans="1:45" x14ac:dyDescent="0.35">
      <c r="A2381" s="366">
        <v>10</v>
      </c>
      <c r="B2381" s="738">
        <v>1002.3</v>
      </c>
      <c r="C2381" s="731" t="s">
        <v>260</v>
      </c>
      <c r="D2381" s="731" t="s">
        <v>401</v>
      </c>
      <c r="E2381" s="731"/>
      <c r="F2381" s="746"/>
      <c r="G2381" s="366" t="str">
        <f t="shared" si="125"/>
        <v/>
      </c>
      <c r="H2381" s="732" t="s">
        <v>3972</v>
      </c>
      <c r="I2381" s="4"/>
      <c r="J2381" s="4"/>
      <c r="K2381" s="19" t="s">
        <v>401</v>
      </c>
      <c r="L2381" s="146" t="s">
        <v>3348</v>
      </c>
      <c r="M2381" s="75"/>
      <c r="O2381" s="41"/>
      <c r="X2381" s="817"/>
      <c r="Y2381" s="1100"/>
      <c r="Z2381" s="1102"/>
    </row>
    <row r="2382" spans="1:45" x14ac:dyDescent="0.35">
      <c r="A2382" s="366">
        <v>10</v>
      </c>
      <c r="B2382" s="738">
        <v>1002.3</v>
      </c>
      <c r="C2382" s="731" t="s">
        <v>260</v>
      </c>
      <c r="D2382" s="731" t="s">
        <v>539</v>
      </c>
      <c r="E2382" s="731"/>
      <c r="F2382" s="746"/>
      <c r="G2382" s="366" t="str">
        <f t="shared" si="125"/>
        <v/>
      </c>
      <c r="H2382" s="732" t="s">
        <v>3972</v>
      </c>
      <c r="I2382" s="4"/>
      <c r="J2382" s="4"/>
      <c r="K2382" s="19" t="s">
        <v>539</v>
      </c>
      <c r="L2382" s="146" t="s">
        <v>3349</v>
      </c>
      <c r="M2382" s="75"/>
      <c r="O2382" s="41"/>
      <c r="X2382" s="817"/>
      <c r="Y2382" s="1100"/>
      <c r="Z2382" s="1102"/>
    </row>
    <row r="2383" spans="1:45" x14ac:dyDescent="0.35">
      <c r="A2383" s="366">
        <v>10</v>
      </c>
      <c r="B2383" s="738">
        <v>1002.3</v>
      </c>
      <c r="C2383" s="731" t="s">
        <v>260</v>
      </c>
      <c r="D2383" s="731" t="s">
        <v>604</v>
      </c>
      <c r="E2383" s="731"/>
      <c r="F2383" s="746"/>
      <c r="G2383" s="366" t="str">
        <f t="shared" si="125"/>
        <v/>
      </c>
      <c r="H2383" s="732" t="s">
        <v>3972</v>
      </c>
      <c r="I2383" s="4"/>
      <c r="J2383" s="133"/>
      <c r="K2383" s="129" t="s">
        <v>604</v>
      </c>
      <c r="L2383" s="162" t="s">
        <v>3350</v>
      </c>
      <c r="M2383" s="75"/>
      <c r="O2383" s="41"/>
      <c r="X2383" s="817"/>
      <c r="Y2383" s="1100"/>
      <c r="Z2383" s="1102"/>
    </row>
    <row r="2384" spans="1:45" x14ac:dyDescent="0.35">
      <c r="A2384" s="366">
        <v>10</v>
      </c>
      <c r="B2384" s="738">
        <v>1002.3</v>
      </c>
      <c r="C2384" s="731" t="s">
        <v>269</v>
      </c>
      <c r="D2384" s="731"/>
      <c r="E2384" s="731"/>
      <c r="F2384" s="746"/>
      <c r="G2384" s="366" t="str">
        <f t="shared" si="125"/>
        <v/>
      </c>
      <c r="H2384" s="366" t="s">
        <v>3972</v>
      </c>
      <c r="I2384" s="4"/>
      <c r="J2384" s="19" t="s">
        <v>269</v>
      </c>
      <c r="K2384" s="4"/>
      <c r="L2384" s="814" t="s">
        <v>3299</v>
      </c>
      <c r="M2384" s="75"/>
      <c r="O2384" s="41"/>
      <c r="P2384" t="b">
        <v>0</v>
      </c>
      <c r="Q2384" t="b">
        <v>1</v>
      </c>
      <c r="R2384" t="b">
        <v>0</v>
      </c>
      <c r="S2384" t="b">
        <f>IF(AY2262=INDEX(ddSingleOrMulti,2),TRUE,FALSE)</f>
        <v>0</v>
      </c>
      <c r="T2384" t="b">
        <f>AND(NOT(S2384),W2384=TRUE)</f>
        <v>0</v>
      </c>
      <c r="W2384" s="17"/>
      <c r="X2384" s="817"/>
      <c r="Y2384" s="1100" t="str">
        <f>IF(LEN('Ch10'!X141)=0,"None",'Ch10'!X141)</f>
        <v>None</v>
      </c>
      <c r="Z2384" s="1102"/>
      <c r="AC2384" t="b">
        <f>OR(AD2384:AE2384)</f>
        <v>0</v>
      </c>
      <c r="AD2384" t="b">
        <f>T2384</f>
        <v>0</v>
      </c>
      <c r="AP2384" t="str">
        <f>SUBSTITUTE(SUBSTITUTE(SUBSTITUTE("vch"&amp;$B2384&amp;$C2384&amp;$D2384&amp;$E2384,".","_"),"(","_"),")","")</f>
        <v>vch1002_3_4</v>
      </c>
      <c r="AQ2384" t="str">
        <f>IF(LEN(W2384)=0,"",W2384)</f>
        <v/>
      </c>
      <c r="AR2384" t="str">
        <f>SUBSTITUTE(SUBSTITUTE(SUBSTITUTE("vnt"&amp;$B2384&amp;$C2384&amp;$D2384&amp;$E2384,".","_"),"(","_"),")","")</f>
        <v>vnt1002_3_4</v>
      </c>
      <c r="AS2384" t="str">
        <f>IF(LEN(X2384)=0,"",X2384)</f>
        <v/>
      </c>
    </row>
    <row r="2385" spans="1:45" x14ac:dyDescent="0.35">
      <c r="A2385" s="366">
        <v>10</v>
      </c>
      <c r="B2385" s="738">
        <v>1002.3</v>
      </c>
      <c r="C2385" s="731" t="s">
        <v>269</v>
      </c>
      <c r="D2385" s="731"/>
      <c r="E2385" s="731"/>
      <c r="F2385" s="746"/>
      <c r="G2385" s="366" t="str">
        <f t="shared" si="125"/>
        <v/>
      </c>
      <c r="H2385" s="366" t="s">
        <v>3972</v>
      </c>
      <c r="I2385" s="4"/>
      <c r="J2385" s="4"/>
      <c r="K2385" s="4"/>
      <c r="L2385" s="814"/>
      <c r="M2385" s="75"/>
      <c r="O2385" s="41"/>
      <c r="X2385" s="817"/>
      <c r="Y2385" s="1100"/>
      <c r="Z2385" s="1102"/>
    </row>
    <row r="2386" spans="1:45" x14ac:dyDescent="0.35">
      <c r="A2386" s="366">
        <v>10</v>
      </c>
      <c r="B2386" s="738">
        <v>1002.3</v>
      </c>
      <c r="C2386" s="731" t="s">
        <v>275</v>
      </c>
      <c r="D2386" s="731"/>
      <c r="E2386" s="731"/>
      <c r="F2386" s="746"/>
      <c r="G2386" s="366" t="str">
        <f t="shared" si="125"/>
        <v/>
      </c>
      <c r="H2386" s="366" t="s">
        <v>3972</v>
      </c>
      <c r="I2386" s="4"/>
      <c r="J2386" s="130" t="s">
        <v>275</v>
      </c>
      <c r="K2386" s="163"/>
      <c r="L2386" s="164" t="s">
        <v>3301</v>
      </c>
      <c r="M2386" s="75"/>
      <c r="O2386" s="41"/>
      <c r="P2386" t="b">
        <v>0</v>
      </c>
      <c r="Q2386" t="b">
        <v>1</v>
      </c>
      <c r="R2386" t="b">
        <v>0</v>
      </c>
      <c r="S2386" t="b">
        <f>IF(AY2262=INDEX(ddSingleOrMulti,2),TRUE,FALSE)</f>
        <v>0</v>
      </c>
      <c r="T2386" t="b">
        <f>AND(NOT(S2386),W2386=TRUE)</f>
        <v>0</v>
      </c>
      <c r="W2386" s="17"/>
      <c r="X2386" s="36"/>
      <c r="Y2386" s="396" t="str">
        <f>IF(LEN('Ch10'!X143)=0,"None",'Ch10'!X143)</f>
        <v>None</v>
      </c>
      <c r="Z2386" s="652"/>
      <c r="AC2386" t="b">
        <f>OR(AD2386:AE2386)</f>
        <v>0</v>
      </c>
      <c r="AD2386" t="b">
        <f>T2386</f>
        <v>0</v>
      </c>
      <c r="AP2386" t="str">
        <f>SUBSTITUTE(SUBSTITUTE(SUBSTITUTE("vch"&amp;$B2386&amp;$C2386&amp;$D2386&amp;$E2386,".","_"),"(","_"),")","")</f>
        <v>vch1002_3_5</v>
      </c>
      <c r="AQ2386" t="str">
        <f>IF(LEN(W2386)=0,"",W2386)</f>
        <v/>
      </c>
      <c r="AR2386" t="str">
        <f>SUBSTITUTE(SUBSTITUTE(SUBSTITUTE("vnt"&amp;$B2386&amp;$C2386&amp;$D2386&amp;$E2386,".","_"),"(","_"),")","")</f>
        <v>vnt1002_3_5</v>
      </c>
      <c r="AS2386" t="str">
        <f>IF(LEN(X2386)=0,"",X2386)</f>
        <v/>
      </c>
    </row>
    <row r="2387" spans="1:45" x14ac:dyDescent="0.35">
      <c r="A2387" s="366">
        <v>10</v>
      </c>
      <c r="B2387" s="738">
        <v>1002.3</v>
      </c>
      <c r="C2387" s="731" t="s">
        <v>277</v>
      </c>
      <c r="D2387" s="731"/>
      <c r="E2387" s="731"/>
      <c r="F2387" s="746"/>
      <c r="G2387" s="366" t="str">
        <f t="shared" si="125"/>
        <v/>
      </c>
      <c r="H2387" s="366" t="s">
        <v>3972</v>
      </c>
      <c r="I2387" s="4"/>
      <c r="J2387" s="19" t="s">
        <v>277</v>
      </c>
      <c r="K2387" s="4"/>
      <c r="L2387" s="814" t="s">
        <v>3351</v>
      </c>
      <c r="M2387" s="75"/>
      <c r="O2387" s="41"/>
      <c r="P2387" t="b">
        <v>0</v>
      </c>
      <c r="Q2387" t="b">
        <v>1</v>
      </c>
      <c r="R2387" t="b">
        <v>0</v>
      </c>
      <c r="S2387" t="b">
        <f>IF(AY2262=INDEX(ddSingleOrMulti,2),TRUE,FALSE)</f>
        <v>0</v>
      </c>
      <c r="T2387" t="b">
        <f>AND(NOT(S2387),W2387=TRUE)</f>
        <v>0</v>
      </c>
      <c r="W2387" s="17"/>
      <c r="X2387" s="817"/>
      <c r="Y2387" s="1100" t="str">
        <f>IF(LEN('Ch10'!X144)=0,"None",'Ch10'!X144)</f>
        <v>None</v>
      </c>
      <c r="Z2387" s="1102"/>
      <c r="AC2387" t="b">
        <f>OR(AD2387:AE2387)</f>
        <v>0</v>
      </c>
      <c r="AD2387" t="b">
        <f>T2387</f>
        <v>0</v>
      </c>
      <c r="AP2387" t="str">
        <f>SUBSTITUTE(SUBSTITUTE(SUBSTITUTE("vch"&amp;$B2387&amp;$C2387&amp;$D2387&amp;$E2387,".","_"),"(","_"),")","")</f>
        <v>vch1002_3_6</v>
      </c>
      <c r="AQ2387" t="str">
        <f>IF(LEN(W2387)=0,"",W2387)</f>
        <v/>
      </c>
      <c r="AR2387" t="str">
        <f>SUBSTITUTE(SUBSTITUTE(SUBSTITUTE("vnt"&amp;$B2387&amp;$C2387&amp;$D2387&amp;$E2387,".","_"),"(","_"),")","")</f>
        <v>vnt1002_3_6</v>
      </c>
      <c r="AS2387" t="str">
        <f>IF(LEN(X2387)=0,"",X2387)</f>
        <v/>
      </c>
    </row>
    <row r="2388" spans="1:45" x14ac:dyDescent="0.35">
      <c r="A2388" s="366">
        <v>10</v>
      </c>
      <c r="B2388" s="738">
        <v>1002.3</v>
      </c>
      <c r="C2388" s="731" t="s">
        <v>277</v>
      </c>
      <c r="D2388" s="731"/>
      <c r="E2388" s="731"/>
      <c r="F2388" s="746"/>
      <c r="G2388" s="366" t="str">
        <f t="shared" si="125"/>
        <v/>
      </c>
      <c r="H2388" s="366" t="s">
        <v>3972</v>
      </c>
      <c r="I2388" s="4"/>
      <c r="J2388" s="19"/>
      <c r="K2388" s="4"/>
      <c r="L2388" s="814"/>
      <c r="M2388" s="75"/>
      <c r="O2388" s="41"/>
      <c r="X2388" s="817"/>
      <c r="Y2388" s="1100"/>
      <c r="Z2388" s="1102"/>
    </row>
    <row r="2389" spans="1:45" x14ac:dyDescent="0.35">
      <c r="A2389" s="366">
        <v>10</v>
      </c>
      <c r="B2389" s="738">
        <v>1002.3</v>
      </c>
      <c r="C2389" s="731" t="s">
        <v>383</v>
      </c>
      <c r="D2389" s="731"/>
      <c r="E2389" s="731"/>
      <c r="F2389" s="746"/>
      <c r="G2389" s="366" t="str">
        <f t="shared" si="125"/>
        <v/>
      </c>
      <c r="H2389" s="366" t="s">
        <v>3972</v>
      </c>
      <c r="I2389" s="4"/>
      <c r="J2389" s="130" t="s">
        <v>383</v>
      </c>
      <c r="K2389" s="163"/>
      <c r="L2389" s="164" t="s">
        <v>3307</v>
      </c>
      <c r="M2389" s="75"/>
      <c r="O2389" s="41"/>
      <c r="P2389" t="b">
        <v>0</v>
      </c>
      <c r="Q2389" t="b">
        <v>1</v>
      </c>
      <c r="R2389" t="b">
        <v>0</v>
      </c>
      <c r="S2389" t="b">
        <f>IF(AY2262=INDEX(ddSingleOrMulti,2),TRUE,FALSE)</f>
        <v>0</v>
      </c>
      <c r="T2389" t="b">
        <f>AND(NOT(S2389),W2389=TRUE)</f>
        <v>0</v>
      </c>
      <c r="W2389" s="17"/>
      <c r="X2389" s="36"/>
      <c r="Y2389" s="396" t="str">
        <f>IF(LEN('Ch10'!X146)=0,"None",'Ch10'!X146)</f>
        <v>None</v>
      </c>
      <c r="Z2389" s="652"/>
      <c r="AC2389" t="b">
        <f>OR(AD2389:AE2389)</f>
        <v>0</v>
      </c>
      <c r="AD2389" t="b">
        <f>T2389</f>
        <v>0</v>
      </c>
      <c r="AP2389" t="str">
        <f>SUBSTITUTE(SUBSTITUTE(SUBSTITUTE("vch"&amp;$B2389&amp;$C2389&amp;$D2389&amp;$E2389,".","_"),"(","_"),")","")</f>
        <v>vch1002_3_7</v>
      </c>
      <c r="AQ2389" t="str">
        <f>IF(LEN(W2389)=0,"",W2389)</f>
        <v/>
      </c>
      <c r="AR2389" t="str">
        <f>SUBSTITUTE(SUBSTITUTE(SUBSTITUTE("vnt"&amp;$B2389&amp;$C2389&amp;$D2389&amp;$E2389,".","_"),"(","_"),")","")</f>
        <v>vnt1002_3_7</v>
      </c>
      <c r="AS2389" t="str">
        <f>IF(LEN(X2389)=0,"",X2389)</f>
        <v/>
      </c>
    </row>
    <row r="2390" spans="1:45" x14ac:dyDescent="0.35">
      <c r="A2390" s="366">
        <v>10</v>
      </c>
      <c r="B2390" s="738">
        <v>1002.3</v>
      </c>
      <c r="C2390" s="731" t="s">
        <v>428</v>
      </c>
      <c r="D2390" s="731"/>
      <c r="E2390" s="731"/>
      <c r="F2390" s="746"/>
      <c r="G2390" s="366" t="str">
        <f t="shared" si="125"/>
        <v/>
      </c>
      <c r="H2390" s="366" t="s">
        <v>3972</v>
      </c>
      <c r="I2390" s="4"/>
      <c r="J2390" s="19" t="s">
        <v>428</v>
      </c>
      <c r="K2390" s="4"/>
      <c r="L2390" s="146" t="s">
        <v>3352</v>
      </c>
      <c r="M2390" s="75"/>
      <c r="O2390" s="41"/>
      <c r="P2390" t="b">
        <v>0</v>
      </c>
      <c r="Q2390" t="b">
        <v>1</v>
      </c>
      <c r="R2390" t="b">
        <v>0</v>
      </c>
      <c r="S2390" t="b">
        <f>IF(AY2262=INDEX(ddSingleOrMulti,2),TRUE,FALSE)</f>
        <v>0</v>
      </c>
      <c r="T2390" t="b">
        <f>AND(NOT(S2390),W2390=TRUE)</f>
        <v>0</v>
      </c>
      <c r="W2390" s="17"/>
      <c r="X2390" s="36"/>
      <c r="Y2390" s="396" t="str">
        <f>IF(LEN('Ch10'!X147)=0,"None",'Ch10'!X147)</f>
        <v>None</v>
      </c>
      <c r="Z2390" s="652"/>
      <c r="AC2390" t="b">
        <f>OR(AD2390:AE2390)</f>
        <v>0</v>
      </c>
      <c r="AD2390" t="b">
        <f>T2390</f>
        <v>0</v>
      </c>
      <c r="AP2390" t="str">
        <f>SUBSTITUTE(SUBSTITUTE(SUBSTITUTE("vch"&amp;$B2390&amp;$C2390&amp;$D2390&amp;$E2390,".","_"),"(","_"),")","")</f>
        <v>vch1002_3_8</v>
      </c>
      <c r="AQ2390" t="str">
        <f>IF(LEN(W2390)=0,"",W2390)</f>
        <v/>
      </c>
      <c r="AR2390" t="str">
        <f>SUBSTITUTE(SUBSTITUTE(SUBSTITUTE("vnt"&amp;$B2390&amp;$C2390&amp;$D2390&amp;$E2390,".","_"),"(","_"),")","")</f>
        <v>vnt1002_3_8</v>
      </c>
      <c r="AS2390" t="str">
        <f>IF(LEN(X2390)=0,"",X2390)</f>
        <v/>
      </c>
    </row>
    <row r="2391" spans="1:45" x14ac:dyDescent="0.35">
      <c r="A2391" s="366">
        <v>10</v>
      </c>
      <c r="B2391" s="738">
        <v>1002.3</v>
      </c>
      <c r="C2391" s="731" t="s">
        <v>430</v>
      </c>
      <c r="D2391" s="731"/>
      <c r="E2391" s="731"/>
      <c r="F2391" s="746"/>
      <c r="G2391" s="366" t="str">
        <f t="shared" si="125"/>
        <v/>
      </c>
      <c r="H2391" s="366" t="s">
        <v>3972</v>
      </c>
      <c r="I2391" s="4"/>
      <c r="J2391" s="130" t="s">
        <v>430</v>
      </c>
      <c r="K2391" s="163"/>
      <c r="L2391" s="164" t="s">
        <v>3353</v>
      </c>
      <c r="M2391" s="75"/>
      <c r="O2391" s="41"/>
      <c r="P2391" t="b">
        <v>0</v>
      </c>
      <c r="Q2391" t="b">
        <v>1</v>
      </c>
      <c r="R2391" t="b">
        <v>0</v>
      </c>
      <c r="S2391" t="b">
        <f>IF(AY2262=INDEX(ddSingleOrMulti,2),TRUE,FALSE)</f>
        <v>0</v>
      </c>
      <c r="T2391" t="b">
        <f>AND(NOT(S2391),W2391=TRUE)</f>
        <v>0</v>
      </c>
      <c r="W2391" s="17"/>
      <c r="X2391" s="36"/>
      <c r="Y2391" s="396" t="str">
        <f>IF(LEN('Ch10'!X148)=0,"None",'Ch10'!X148)</f>
        <v>None</v>
      </c>
      <c r="Z2391" s="652"/>
      <c r="AC2391" t="b">
        <f>OR(AD2391:AE2391)</f>
        <v>0</v>
      </c>
      <c r="AD2391" t="b">
        <f>T2391</f>
        <v>0</v>
      </c>
      <c r="AP2391" t="str">
        <f>SUBSTITUTE(SUBSTITUTE(SUBSTITUTE("vch"&amp;$B2391&amp;$C2391&amp;$D2391&amp;$E2391,".","_"),"(","_"),")","")</f>
        <v>vch1002_3_9</v>
      </c>
      <c r="AQ2391" t="str">
        <f>IF(LEN(W2391)=0,"",W2391)</f>
        <v/>
      </c>
      <c r="AR2391" t="str">
        <f>SUBSTITUTE(SUBSTITUTE(SUBSTITUTE("vnt"&amp;$B2391&amp;$C2391&amp;$D2391&amp;$E2391,".","_"),"(","_"),")","")</f>
        <v>vnt1002_3_9</v>
      </c>
      <c r="AS2391" t="str">
        <f>IF(LEN(X2391)=0,"",X2391)</f>
        <v/>
      </c>
    </row>
    <row r="2392" spans="1:45" x14ac:dyDescent="0.35">
      <c r="A2392" s="366">
        <v>10</v>
      </c>
      <c r="B2392" s="738">
        <v>1002.3</v>
      </c>
      <c r="C2392" s="731" t="s">
        <v>432</v>
      </c>
      <c r="D2392" s="731"/>
      <c r="E2392" s="731"/>
      <c r="F2392" s="746"/>
      <c r="G2392" s="366" t="str">
        <f t="shared" si="125"/>
        <v/>
      </c>
      <c r="H2392" s="366" t="s">
        <v>3972</v>
      </c>
      <c r="I2392" s="4"/>
      <c r="J2392" s="130" t="s">
        <v>432</v>
      </c>
      <c r="K2392" s="163"/>
      <c r="L2392" s="164" t="s">
        <v>3354</v>
      </c>
      <c r="M2392" s="75"/>
      <c r="O2392" s="41"/>
      <c r="P2392" t="b">
        <v>0</v>
      </c>
      <c r="Q2392" t="b">
        <v>1</v>
      </c>
      <c r="R2392" t="b">
        <v>0</v>
      </c>
      <c r="S2392" t="b">
        <f>IF(AY2262=INDEX(ddSingleOrMulti,2),TRUE,FALSE)</f>
        <v>0</v>
      </c>
      <c r="T2392" t="b">
        <f>AND(NOT(S2392),W2392=TRUE)</f>
        <v>0</v>
      </c>
      <c r="W2392" s="111"/>
      <c r="X2392" s="36"/>
      <c r="Y2392" s="498" t="str">
        <f>IF(LEN('Ch10'!X149)=0,"None",'Ch10'!X149)</f>
        <v>None</v>
      </c>
      <c r="Z2392" s="662"/>
      <c r="AC2392" t="b">
        <f>OR(AD2392:AE2392)</f>
        <v>0</v>
      </c>
      <c r="AD2392" t="b">
        <f>T2392</f>
        <v>0</v>
      </c>
      <c r="AP2392" t="str">
        <f>SUBSTITUTE(SUBSTITUTE(SUBSTITUTE("vch"&amp;$B2392&amp;$C2392&amp;$D2392&amp;$E2392,".","_"),"(","_"),")","")</f>
        <v>vch1002_3_10</v>
      </c>
      <c r="AQ2392" t="str">
        <f>IF(LEN(W2392)=0,"",W2392)</f>
        <v/>
      </c>
      <c r="AR2392" t="str">
        <f>SUBSTITUTE(SUBSTITUTE(SUBSTITUTE("vnt"&amp;$B2392&amp;$C2392&amp;$D2392&amp;$E2392,".","_"),"(","_"),")","")</f>
        <v>vnt1002_3_10</v>
      </c>
      <c r="AS2392" t="str">
        <f>IF(LEN(X2392)=0,"",X2392)</f>
        <v/>
      </c>
    </row>
    <row r="2393" spans="1:45" ht="15" customHeight="1" x14ac:dyDescent="0.35">
      <c r="A2393" s="366">
        <v>10</v>
      </c>
      <c r="B2393" s="738">
        <v>1002.3</v>
      </c>
      <c r="C2393" s="731" t="s">
        <v>434</v>
      </c>
      <c r="G2393" s="366" t="str">
        <f t="shared" si="125"/>
        <v/>
      </c>
      <c r="H2393" s="366" t="s">
        <v>3972</v>
      </c>
      <c r="J2393" s="402" t="s">
        <v>434</v>
      </c>
      <c r="K2393" s="412"/>
      <c r="L2393" s="1099" t="s">
        <v>4547</v>
      </c>
      <c r="M2393" s="4"/>
      <c r="P2393" t="b">
        <v>0</v>
      </c>
      <c r="Q2393" t="b">
        <v>1</v>
      </c>
      <c r="R2393" t="b">
        <v>0</v>
      </c>
      <c r="S2393" t="b">
        <f>IF(AY2262=INDEX(ddSingleOrMulti,2),TRUE,FALSE)</f>
        <v>0</v>
      </c>
      <c r="T2393" t="b">
        <f>AND(NOT(S2393),W2393=TRUE)</f>
        <v>0</v>
      </c>
      <c r="W2393" s="17"/>
      <c r="X2393" s="817"/>
      <c r="Y2393" s="1119" t="str">
        <f>IF(LEN('Ch10'!X150)=0,"None",'Ch10'!X150)</f>
        <v>None</v>
      </c>
      <c r="Z2393" s="1105"/>
      <c r="AP2393" t="str">
        <f>SUBSTITUTE(SUBSTITUTE(SUBSTITUTE("vch"&amp;$B2393&amp;$C2393&amp;$D2393&amp;$E2393,".","_"),"(","_"),")","")</f>
        <v>vch1002_3_11</v>
      </c>
      <c r="AQ2393" t="str">
        <f>IF(LEN(W2393)=0,"",W2393)</f>
        <v/>
      </c>
      <c r="AR2393" t="str">
        <f>SUBSTITUTE(SUBSTITUTE(SUBSTITUTE("vnt"&amp;$B2393&amp;$C2393&amp;$D2393&amp;$E2393,".","_"),"(","_"),")","")</f>
        <v>vnt1002_3_11</v>
      </c>
      <c r="AS2393" t="str">
        <f>IF(LEN(X2393)=0,"",X2393)</f>
        <v/>
      </c>
    </row>
    <row r="2394" spans="1:45" ht="15" thickBot="1" x14ac:dyDescent="0.4">
      <c r="A2394" s="366">
        <v>10</v>
      </c>
      <c r="B2394" s="738">
        <v>1002.3</v>
      </c>
      <c r="C2394" s="731" t="s">
        <v>434</v>
      </c>
      <c r="G2394" s="366" t="str">
        <f t="shared" si="125"/>
        <v/>
      </c>
      <c r="H2394" s="366" t="s">
        <v>3972</v>
      </c>
      <c r="I2394" s="55"/>
      <c r="J2394" s="413"/>
      <c r="K2394" s="413"/>
      <c r="L2394" s="972"/>
      <c r="M2394" s="160"/>
      <c r="N2394" s="55"/>
      <c r="O2394" s="55"/>
      <c r="P2394" s="55"/>
      <c r="Q2394" s="55"/>
      <c r="R2394" s="55"/>
      <c r="S2394" s="55"/>
      <c r="T2394" s="55"/>
      <c r="U2394" s="55"/>
      <c r="V2394" s="55"/>
      <c r="W2394" s="64"/>
      <c r="X2394" s="829"/>
      <c r="Y2394" s="1121"/>
      <c r="Z2394" s="1108"/>
    </row>
    <row r="2395" spans="1:45" ht="15" thickTop="1" x14ac:dyDescent="0.35">
      <c r="A2395" s="366">
        <v>10</v>
      </c>
      <c r="B2395" s="738">
        <v>1002.4</v>
      </c>
      <c r="C2395" s="731"/>
      <c r="D2395" s="731"/>
      <c r="E2395" s="731"/>
      <c r="F2395" s="731" t="s">
        <v>4889</v>
      </c>
      <c r="G2395" s="366" t="str">
        <f>IF(M2395="Mandatory","P","")</f>
        <v/>
      </c>
      <c r="H2395" s="366" t="s">
        <v>3972</v>
      </c>
      <c r="I2395" s="31">
        <v>1002.4</v>
      </c>
      <c r="J2395" s="4"/>
      <c r="K2395" s="4"/>
      <c r="L2395" s="838" t="s">
        <v>3355</v>
      </c>
      <c r="M2395" s="899" t="str">
        <f>IF(R2395,"Mandatory","N/A")</f>
        <v>N/A</v>
      </c>
      <c r="N2395" s="959">
        <f>'Ch10'!O152</f>
        <v>0</v>
      </c>
      <c r="O2395" s="959">
        <f>M2397*W2395*S2395</f>
        <v>0</v>
      </c>
      <c r="P2395" t="b">
        <v>0</v>
      </c>
      <c r="Q2395" t="b">
        <v>1</v>
      </c>
      <c r="R2395" t="b">
        <f>S2395</f>
        <v>0</v>
      </c>
      <c r="S2395" t="b">
        <f>IF(AY2262=INDEX(ddSingleOrMulti,2),TRUE,FALSE)</f>
        <v>0</v>
      </c>
      <c r="T2395" t="b">
        <f>AND(NOT(S2395),W2395=TRUE)</f>
        <v>0</v>
      </c>
      <c r="W2395" s="69"/>
      <c r="X2395" s="864"/>
      <c r="Y2395" s="1141" t="str">
        <f>IF(LEN('Ch10'!X152)=0,"None",'Ch10'!X152)</f>
        <v>None</v>
      </c>
      <c r="Z2395" s="1107"/>
      <c r="AC2395" t="b">
        <f>OR(AD2395:AE2395)</f>
        <v>0</v>
      </c>
      <c r="AD2395" t="b">
        <f>T2395</f>
        <v>0</v>
      </c>
      <c r="AE2395" t="b">
        <f>AND(R2395,NOT(W2395=TRUE))</f>
        <v>0</v>
      </c>
      <c r="AL2395" s="1" t="str">
        <f>SUBSTITUTE(SUBSTITUTE(SUBSTITUTE("vpa"&amp;$B2395&amp;$C2395&amp;$D2395&amp;$E2395&amp;$F2395,".","_"),"(","_"),")","")</f>
        <v>vpa1002_4_m</v>
      </c>
      <c r="AM2395" t="str">
        <f>M2395</f>
        <v>N/A</v>
      </c>
      <c r="AN2395" t="str">
        <f>SUBSTITUTE(SUBSTITUTE(SUBSTITUTE("vpc"&amp;$B2395&amp;$C2395&amp;$D2395&amp;$E2395,".","_"),"(","_"),")","")</f>
        <v>vpc1002_4</v>
      </c>
      <c r="AO2395">
        <f>O2395</f>
        <v>0</v>
      </c>
      <c r="AP2395" t="str">
        <f>SUBSTITUTE(SUBSTITUTE(SUBSTITUTE("vch"&amp;$B2395&amp;$C2395&amp;$D2395&amp;$E2395,".","_"),"(","_"),")","")</f>
        <v>vch1002_4</v>
      </c>
      <c r="AQ2395" t="str">
        <f>IF(LEN(W2395)=0,"",W2395)</f>
        <v/>
      </c>
      <c r="AR2395" t="str">
        <f>SUBSTITUTE(SUBSTITUTE(SUBSTITUTE("vnt"&amp;$B2395&amp;$C2395&amp;$D2395&amp;$E2395,".","_"),"(","_"),")","")</f>
        <v>vnt1002_4</v>
      </c>
      <c r="AS2395" t="str">
        <f>IF(LEN(X2395)=0,"",X2395)</f>
        <v/>
      </c>
    </row>
    <row r="2396" spans="1:45" x14ac:dyDescent="0.35">
      <c r="A2396" s="366">
        <v>10</v>
      </c>
      <c r="B2396" s="738">
        <v>1002.4</v>
      </c>
      <c r="C2396" s="731"/>
      <c r="D2396" s="731"/>
      <c r="E2396" s="731"/>
      <c r="F2396" s="731"/>
      <c r="G2396" s="366" t="str">
        <f t="shared" ref="G2396:G2407" si="126">G2395</f>
        <v/>
      </c>
      <c r="H2396" s="366" t="s">
        <v>3972</v>
      </c>
      <c r="I2396" s="4"/>
      <c r="J2396" s="4"/>
      <c r="K2396" s="4"/>
      <c r="L2396" s="838"/>
      <c r="M2396" s="885"/>
      <c r="N2396" s="834"/>
      <c r="O2396" s="834"/>
      <c r="X2396" s="851"/>
      <c r="Y2396" s="1120"/>
      <c r="Z2396" s="1109"/>
    </row>
    <row r="2397" spans="1:45" x14ac:dyDescent="0.35">
      <c r="A2397" s="366">
        <v>10</v>
      </c>
      <c r="B2397" s="738">
        <v>1002.4</v>
      </c>
      <c r="C2397" s="731"/>
      <c r="D2397" s="731"/>
      <c r="E2397" s="731"/>
      <c r="F2397" s="731"/>
      <c r="G2397" s="366" t="str">
        <f t="shared" si="126"/>
        <v/>
      </c>
      <c r="H2397" s="366" t="s">
        <v>3972</v>
      </c>
      <c r="I2397" s="4"/>
      <c r="J2397" s="4"/>
      <c r="K2397" s="4"/>
      <c r="L2397" s="838"/>
      <c r="M2397" s="832">
        <v>8</v>
      </c>
      <c r="N2397" s="834"/>
      <c r="O2397" s="834"/>
      <c r="X2397" s="851"/>
      <c r="Y2397" s="1120"/>
      <c r="Z2397" s="1109"/>
      <c r="AL2397" t="str">
        <f>SUBSTITUTE(SUBSTITUTE(SUBSTITUTE("vpa"&amp;$B2397&amp;$C2397&amp;$D2397&amp;$E2397,".","_"),"(","_"),")","")</f>
        <v>vpa1002_4</v>
      </c>
      <c r="AM2397">
        <f>M2397</f>
        <v>8</v>
      </c>
    </row>
    <row r="2398" spans="1:45" x14ac:dyDescent="0.35">
      <c r="A2398" s="366">
        <v>10</v>
      </c>
      <c r="B2398" s="738">
        <v>1002.4</v>
      </c>
      <c r="C2398" s="731"/>
      <c r="D2398" s="731"/>
      <c r="E2398" s="731"/>
      <c r="F2398" s="731"/>
      <c r="G2398" s="366" t="str">
        <f t="shared" si="126"/>
        <v/>
      </c>
      <c r="H2398" s="366" t="s">
        <v>3972</v>
      </c>
      <c r="I2398" s="4"/>
      <c r="J2398" s="4"/>
      <c r="K2398" s="4"/>
      <c r="L2398" s="838"/>
      <c r="M2398" s="832"/>
      <c r="N2398" s="834"/>
      <c r="O2398" s="834"/>
      <c r="X2398" s="851"/>
      <c r="Y2398" s="1120"/>
      <c r="Z2398" s="1109"/>
    </row>
    <row r="2399" spans="1:45" x14ac:dyDescent="0.35">
      <c r="A2399" s="366">
        <v>10</v>
      </c>
      <c r="B2399" s="738">
        <v>1002.4</v>
      </c>
      <c r="C2399" s="731"/>
      <c r="D2399" s="731"/>
      <c r="E2399" s="731"/>
      <c r="F2399" s="731"/>
      <c r="G2399" s="366" t="str">
        <f t="shared" si="126"/>
        <v/>
      </c>
      <c r="H2399" s="366" t="s">
        <v>3972</v>
      </c>
      <c r="I2399" s="4"/>
      <c r="J2399" s="4"/>
      <c r="K2399" s="4"/>
      <c r="L2399" s="838"/>
      <c r="M2399" s="832"/>
      <c r="N2399" s="834"/>
      <c r="O2399" s="834"/>
      <c r="X2399" s="851"/>
      <c r="Y2399" s="1120"/>
      <c r="Z2399" s="1109"/>
    </row>
    <row r="2400" spans="1:45" x14ac:dyDescent="0.35">
      <c r="A2400" s="366">
        <v>10</v>
      </c>
      <c r="B2400" s="738">
        <v>1002.4</v>
      </c>
      <c r="C2400" s="731" t="s">
        <v>256</v>
      </c>
      <c r="D2400" s="731"/>
      <c r="E2400" s="731"/>
      <c r="F2400" s="731"/>
      <c r="G2400" s="366" t="str">
        <f t="shared" si="126"/>
        <v/>
      </c>
      <c r="H2400" s="366" t="s">
        <v>3972</v>
      </c>
      <c r="I2400" s="4"/>
      <c r="J2400" s="19" t="s">
        <v>256</v>
      </c>
      <c r="K2400" s="4"/>
      <c r="L2400" s="146" t="s">
        <v>3345</v>
      </c>
      <c r="M2400" s="75"/>
      <c r="O2400" s="41"/>
      <c r="X2400" s="851"/>
      <c r="Y2400" s="1120"/>
      <c r="Z2400" s="1109"/>
    </row>
    <row r="2401" spans="1:45" x14ac:dyDescent="0.35">
      <c r="A2401" s="366">
        <v>10</v>
      </c>
      <c r="B2401" s="738">
        <v>1002.4</v>
      </c>
      <c r="C2401" s="731" t="s">
        <v>258</v>
      </c>
      <c r="D2401" s="731"/>
      <c r="E2401" s="731"/>
      <c r="F2401" s="731"/>
      <c r="G2401" s="366" t="str">
        <f t="shared" si="126"/>
        <v/>
      </c>
      <c r="H2401" s="366" t="s">
        <v>3972</v>
      </c>
      <c r="I2401" s="4"/>
      <c r="J2401" s="19" t="s">
        <v>258</v>
      </c>
      <c r="K2401" s="4"/>
      <c r="L2401" s="146" t="s">
        <v>3346</v>
      </c>
      <c r="M2401" s="75"/>
      <c r="O2401" s="41"/>
      <c r="X2401" s="851"/>
      <c r="Y2401" s="1120"/>
      <c r="Z2401" s="1109"/>
    </row>
    <row r="2402" spans="1:45" x14ac:dyDescent="0.35">
      <c r="A2402" s="366">
        <v>10</v>
      </c>
      <c r="B2402" s="738">
        <v>1002.4</v>
      </c>
      <c r="C2402" s="731" t="s">
        <v>260</v>
      </c>
      <c r="D2402" s="731"/>
      <c r="E2402" s="731"/>
      <c r="F2402" s="731"/>
      <c r="G2402" s="366" t="str">
        <f t="shared" si="126"/>
        <v/>
      </c>
      <c r="H2402" s="366" t="s">
        <v>3972</v>
      </c>
      <c r="I2402" s="4"/>
      <c r="J2402" s="19" t="s">
        <v>260</v>
      </c>
      <c r="K2402" s="4"/>
      <c r="L2402" s="146" t="s">
        <v>3347</v>
      </c>
      <c r="M2402" s="75"/>
      <c r="O2402" s="41"/>
      <c r="X2402" s="851"/>
      <c r="Y2402" s="1120"/>
      <c r="Z2402" s="1109"/>
    </row>
    <row r="2403" spans="1:45" x14ac:dyDescent="0.35">
      <c r="A2403" s="366">
        <v>10</v>
      </c>
      <c r="B2403" s="738">
        <v>1002.4</v>
      </c>
      <c r="C2403" s="731" t="s">
        <v>269</v>
      </c>
      <c r="D2403" s="731"/>
      <c r="E2403" s="731"/>
      <c r="F2403" s="731"/>
      <c r="G2403" s="366" t="str">
        <f t="shared" si="126"/>
        <v/>
      </c>
      <c r="H2403" s="366" t="s">
        <v>3972</v>
      </c>
      <c r="I2403" s="4"/>
      <c r="J2403" s="19" t="s">
        <v>269</v>
      </c>
      <c r="K2403" s="4"/>
      <c r="L2403" s="146" t="s">
        <v>3356</v>
      </c>
      <c r="M2403" s="75"/>
      <c r="O2403" s="41"/>
      <c r="X2403" s="851"/>
      <c r="Y2403" s="1120"/>
      <c r="Z2403" s="1109"/>
    </row>
    <row r="2404" spans="1:45" x14ac:dyDescent="0.35">
      <c r="A2404" s="366">
        <v>10</v>
      </c>
      <c r="B2404" s="738">
        <v>1002.4</v>
      </c>
      <c r="C2404" s="731" t="s">
        <v>275</v>
      </c>
      <c r="D2404" s="731"/>
      <c r="E2404" s="731"/>
      <c r="F2404" s="731"/>
      <c r="G2404" s="366" t="str">
        <f t="shared" si="126"/>
        <v/>
      </c>
      <c r="H2404" s="366" t="s">
        <v>3972</v>
      </c>
      <c r="I2404" s="4"/>
      <c r="J2404" s="19" t="s">
        <v>275</v>
      </c>
      <c r="K2404" s="4"/>
      <c r="L2404" s="146" t="s">
        <v>3357</v>
      </c>
      <c r="M2404" s="75"/>
      <c r="O2404" s="41"/>
      <c r="X2404" s="851"/>
      <c r="Y2404" s="1120"/>
      <c r="Z2404" s="1109"/>
    </row>
    <row r="2405" spans="1:45" x14ac:dyDescent="0.35">
      <c r="A2405" s="366">
        <v>10</v>
      </c>
      <c r="B2405" s="738">
        <v>1002.4</v>
      </c>
      <c r="C2405" s="731" t="s">
        <v>277</v>
      </c>
      <c r="D2405" s="731"/>
      <c r="E2405" s="731"/>
      <c r="F2405" s="731"/>
      <c r="G2405" s="366" t="str">
        <f t="shared" si="126"/>
        <v/>
      </c>
      <c r="H2405" s="366" t="s">
        <v>3972</v>
      </c>
      <c r="I2405" s="4"/>
      <c r="J2405" s="19" t="s">
        <v>277</v>
      </c>
      <c r="K2405" s="4"/>
      <c r="L2405" s="146" t="s">
        <v>3350</v>
      </c>
      <c r="M2405" s="75"/>
      <c r="O2405" s="41"/>
      <c r="X2405" s="851"/>
      <c r="Y2405" s="1120"/>
      <c r="Z2405" s="1109"/>
    </row>
    <row r="2406" spans="1:45" x14ac:dyDescent="0.35">
      <c r="A2406" s="366">
        <v>10</v>
      </c>
      <c r="B2406" s="738">
        <v>1002.4</v>
      </c>
      <c r="C2406" s="731" t="s">
        <v>383</v>
      </c>
      <c r="D2406" s="731"/>
      <c r="E2406" s="731"/>
      <c r="F2406" s="731"/>
      <c r="G2406" s="366" t="str">
        <f t="shared" si="126"/>
        <v/>
      </c>
      <c r="H2406" s="366" t="s">
        <v>3972</v>
      </c>
      <c r="I2406" s="4"/>
      <c r="J2406" s="19" t="s">
        <v>383</v>
      </c>
      <c r="K2406" s="4"/>
      <c r="L2406" s="146" t="s">
        <v>3358</v>
      </c>
      <c r="M2406" s="75"/>
      <c r="O2406" s="41"/>
      <c r="X2406" s="851"/>
      <c r="Y2406" s="1120"/>
      <c r="Z2406" s="1109"/>
    </row>
    <row r="2407" spans="1:45" ht="15" thickBot="1" x14ac:dyDescent="0.4">
      <c r="A2407" s="366">
        <v>10</v>
      </c>
      <c r="B2407" s="738">
        <v>1002.4</v>
      </c>
      <c r="C2407" s="731" t="s">
        <v>428</v>
      </c>
      <c r="D2407" s="731"/>
      <c r="E2407" s="731"/>
      <c r="F2407" s="731"/>
      <c r="G2407" s="366" t="str">
        <f t="shared" si="126"/>
        <v/>
      </c>
      <c r="H2407" s="366" t="s">
        <v>3972</v>
      </c>
      <c r="I2407" s="160"/>
      <c r="J2407" s="407" t="s">
        <v>428</v>
      </c>
      <c r="K2407" s="413"/>
      <c r="L2407" s="229" t="s">
        <v>4548</v>
      </c>
      <c r="M2407" s="161"/>
      <c r="N2407" s="55"/>
      <c r="O2407" s="72"/>
      <c r="P2407" s="55"/>
      <c r="Q2407" s="55"/>
      <c r="R2407" s="55"/>
      <c r="S2407" s="55"/>
      <c r="T2407" s="55"/>
      <c r="U2407" s="55"/>
      <c r="V2407" s="55"/>
      <c r="W2407" s="55"/>
      <c r="X2407" s="852"/>
      <c r="Y2407" s="1121"/>
      <c r="Z2407" s="1108"/>
    </row>
    <row r="2408" spans="1:45" ht="15" thickTop="1" x14ac:dyDescent="0.35">
      <c r="A2408" s="366">
        <v>10</v>
      </c>
      <c r="B2408" s="738" t="s">
        <v>4549</v>
      </c>
      <c r="C2408" s="738"/>
      <c r="G2408" s="366" t="str">
        <f>IF(N2408&gt;0,"P","")</f>
        <v/>
      </c>
      <c r="H2408" s="366" t="s">
        <v>3972</v>
      </c>
      <c r="I2408" s="402" t="s">
        <v>4549</v>
      </c>
      <c r="J2408" s="402"/>
      <c r="K2408" s="412"/>
      <c r="L2408" s="919" t="s">
        <v>4551</v>
      </c>
      <c r="M2408" s="818" t="s">
        <v>4568</v>
      </c>
      <c r="N2408" s="959">
        <f>'Ch10'!O165</f>
        <v>0</v>
      </c>
      <c r="O2408" s="832">
        <f>IF(AND(COUNTIF(W2410:W2412,TRUE)=3,S2410),ROUNDDOWN(COUNTIF(W2414:W2419,TRUE)/2,0),0)</f>
        <v>0</v>
      </c>
      <c r="AL2408" t="str">
        <f>SUBSTITUTE(SUBSTITUTE(SUBSTITUTE("vpa"&amp;$B2408&amp;$C2408&amp;$D2408&amp;$E2408,".","_"),"(","_"),")","")</f>
        <v>vpa1002_5</v>
      </c>
      <c r="AM2408" t="str">
        <f>M2408</f>
        <v>1 per 2 items</v>
      </c>
      <c r="AN2408" t="str">
        <f>SUBSTITUTE(SUBSTITUTE(SUBSTITUTE("vpc"&amp;$B2408&amp;$C2408&amp;$D2408&amp;$E2408,".","_"),"(","_"),")","")</f>
        <v>vpc1002_5</v>
      </c>
      <c r="AO2408">
        <f>O2408</f>
        <v>0</v>
      </c>
    </row>
    <row r="2409" spans="1:45" x14ac:dyDescent="0.35">
      <c r="A2409" s="366">
        <v>10</v>
      </c>
      <c r="B2409" s="738" t="s">
        <v>4549</v>
      </c>
      <c r="C2409" s="738"/>
      <c r="G2409" s="366" t="str">
        <f t="shared" ref="G2409:G2430" si="127">G2408</f>
        <v/>
      </c>
      <c r="H2409" s="366" t="s">
        <v>3972</v>
      </c>
      <c r="I2409" s="402"/>
      <c r="J2409" s="402"/>
      <c r="K2409" s="412"/>
      <c r="L2409" s="919"/>
      <c r="M2409" s="818"/>
      <c r="N2409" s="834"/>
      <c r="O2409" s="832"/>
    </row>
    <row r="2410" spans="1:45" x14ac:dyDescent="0.35">
      <c r="A2410" s="366">
        <v>10</v>
      </c>
      <c r="B2410" s="738" t="s">
        <v>4549</v>
      </c>
      <c r="C2410" s="738" t="s">
        <v>256</v>
      </c>
      <c r="G2410" s="366" t="str">
        <f t="shared" si="127"/>
        <v/>
      </c>
      <c r="H2410" s="366" t="s">
        <v>3972</v>
      </c>
      <c r="I2410" s="402"/>
      <c r="J2410" s="402" t="s">
        <v>256</v>
      </c>
      <c r="K2410" s="412"/>
      <c r="L2410" s="90" t="s">
        <v>4552</v>
      </c>
      <c r="M2410" s="459" t="str">
        <f>IF(R2410,"Mandatory","N/A")</f>
        <v>N/A</v>
      </c>
      <c r="N2410" s="41"/>
      <c r="O2410" s="41"/>
      <c r="P2410" t="b">
        <v>0</v>
      </c>
      <c r="Q2410" t="b">
        <v>1</v>
      </c>
      <c r="R2410" t="b">
        <f>S2410</f>
        <v>0</v>
      </c>
      <c r="S2410" t="b">
        <f>IF(AY2262=INDEX(ddSingleOrMulti,2),TRUE,FALSE)</f>
        <v>0</v>
      </c>
      <c r="T2410" t="b">
        <f>AND(NOT(S2410),W2410=TRUE)</f>
        <v>0</v>
      </c>
      <c r="W2410" s="17"/>
      <c r="X2410" s="36"/>
      <c r="Y2410" s="498" t="str">
        <f>IF(LEN('Ch10'!X167)=0,"None",'Ch10'!X167)</f>
        <v>None</v>
      </c>
      <c r="Z2410" s="662"/>
      <c r="AC2410" t="b">
        <f>OR(AD2410:AE2410)</f>
        <v>0</v>
      </c>
      <c r="AD2410" t="b">
        <f>T2410</f>
        <v>0</v>
      </c>
      <c r="AE2410" t="b">
        <f>AND(R2410,NOT(W2410=TRUE))</f>
        <v>0</v>
      </c>
      <c r="AL2410" t="str">
        <f>SUBSTITUTE(SUBSTITUTE(SUBSTITUTE("vpa"&amp;$B2410&amp;$C2410&amp;$D2410&amp;$E2410,".","_"),"(","_"),")","")</f>
        <v>vpa1002_5_1</v>
      </c>
      <c r="AM2410" t="str">
        <f>M2410</f>
        <v>N/A</v>
      </c>
      <c r="AP2410" t="str">
        <f>SUBSTITUTE(SUBSTITUTE(SUBSTITUTE("vch"&amp;$B2410&amp;$C2410&amp;$D2410&amp;$E2410,".","_"),"(","_"),")","")</f>
        <v>vch1002_5_1</v>
      </c>
      <c r="AQ2410" t="str">
        <f>IF(LEN(W2410)=0,"",W2410)</f>
        <v/>
      </c>
      <c r="AR2410" t="str">
        <f>SUBSTITUTE(SUBSTITUTE(SUBSTITUTE("vnt"&amp;$B2410&amp;$C2410&amp;$D2410&amp;$E2410,".","_"),"(","_"),")","")</f>
        <v>vnt1002_5_1</v>
      </c>
      <c r="AS2410" t="str">
        <f>IF(LEN(X2410)=0,"",X2410)</f>
        <v/>
      </c>
    </row>
    <row r="2411" spans="1:45" x14ac:dyDescent="0.35">
      <c r="A2411" s="366">
        <v>10</v>
      </c>
      <c r="B2411" s="738" t="s">
        <v>4549</v>
      </c>
      <c r="C2411" s="738" t="s">
        <v>258</v>
      </c>
      <c r="G2411" s="366" t="str">
        <f t="shared" si="127"/>
        <v/>
      </c>
      <c r="H2411" s="366" t="s">
        <v>3972</v>
      </c>
      <c r="I2411" s="402"/>
      <c r="J2411" s="402" t="s">
        <v>258</v>
      </c>
      <c r="K2411" s="412"/>
      <c r="L2411" s="90" t="s">
        <v>4553</v>
      </c>
      <c r="M2411" s="459" t="str">
        <f>IF(R2411,"Mandatory","N/A")</f>
        <v>N/A</v>
      </c>
      <c r="N2411" s="41"/>
      <c r="O2411" s="41"/>
      <c r="P2411" t="b">
        <v>0</v>
      </c>
      <c r="Q2411" t="b">
        <v>1</v>
      </c>
      <c r="R2411" t="b">
        <f>S2411</f>
        <v>0</v>
      </c>
      <c r="S2411" t="b">
        <f>IF(AY2262=INDEX(ddSingleOrMulti,2),TRUE,FALSE)</f>
        <v>0</v>
      </c>
      <c r="T2411" t="b">
        <f>AND(NOT(S2411),W2411=TRUE)</f>
        <v>0</v>
      </c>
      <c r="W2411" s="17"/>
      <c r="X2411" s="36"/>
      <c r="Y2411" s="498" t="str">
        <f>IF(LEN('Ch10'!X168)=0,"None",'Ch10'!X168)</f>
        <v>None</v>
      </c>
      <c r="Z2411" s="662"/>
      <c r="AC2411" t="b">
        <f>OR(AD2411:AE2411)</f>
        <v>0</v>
      </c>
      <c r="AD2411" t="b">
        <f>T2411</f>
        <v>0</v>
      </c>
      <c r="AE2411" t="b">
        <f>AND(R2411,NOT(W2411=TRUE))</f>
        <v>0</v>
      </c>
      <c r="AL2411" t="str">
        <f>SUBSTITUTE(SUBSTITUTE(SUBSTITUTE("vpa"&amp;$B2411&amp;$C2411&amp;$D2411&amp;$E2411,".","_"),"(","_"),")","")</f>
        <v>vpa1002_5_2</v>
      </c>
      <c r="AM2411" t="str">
        <f>M2411</f>
        <v>N/A</v>
      </c>
      <c r="AP2411" t="str">
        <f>SUBSTITUTE(SUBSTITUTE(SUBSTITUTE("vch"&amp;$B2411&amp;$C2411&amp;$D2411&amp;$E2411,".","_"),"(","_"),")","")</f>
        <v>vch1002_5_2</v>
      </c>
      <c r="AQ2411" t="str">
        <f>IF(LEN(W2411)=0,"",W2411)</f>
        <v/>
      </c>
      <c r="AR2411" t="str">
        <f>SUBSTITUTE(SUBSTITUTE(SUBSTITUTE("vnt"&amp;$B2411&amp;$C2411&amp;$D2411&amp;$E2411,".","_"),"(","_"),")","")</f>
        <v>vnt1002_5_2</v>
      </c>
      <c r="AS2411" t="str">
        <f>IF(LEN(X2411)=0,"",X2411)</f>
        <v/>
      </c>
    </row>
    <row r="2412" spans="1:45" x14ac:dyDescent="0.35">
      <c r="A2412" s="366">
        <v>10</v>
      </c>
      <c r="B2412" s="738" t="s">
        <v>4549</v>
      </c>
      <c r="C2412" s="738" t="s">
        <v>260</v>
      </c>
      <c r="G2412" s="366" t="str">
        <f t="shared" si="127"/>
        <v/>
      </c>
      <c r="H2412" s="366" t="s">
        <v>3972</v>
      </c>
      <c r="I2412" s="402"/>
      <c r="J2412" s="402" t="s">
        <v>260</v>
      </c>
      <c r="K2412" s="412"/>
      <c r="L2412" s="848" t="s">
        <v>4554</v>
      </c>
      <c r="M2412" s="459" t="str">
        <f>IF(R2412,"Mandatory","N/A")</f>
        <v>N/A</v>
      </c>
      <c r="N2412" s="41"/>
      <c r="O2412" s="41"/>
      <c r="P2412" t="b">
        <v>0</v>
      </c>
      <c r="Q2412" t="b">
        <v>1</v>
      </c>
      <c r="R2412" t="b">
        <f>S2412</f>
        <v>0</v>
      </c>
      <c r="S2412" t="b">
        <f>IF(AY2262=INDEX(ddSingleOrMulti,2),TRUE,FALSE)</f>
        <v>0</v>
      </c>
      <c r="T2412" t="b">
        <f>AND(NOT(S2412),W2412=TRUE)</f>
        <v>0</v>
      </c>
      <c r="W2412" s="17"/>
      <c r="X2412" s="817"/>
      <c r="Y2412" s="1119" t="str">
        <f>IF(LEN('Ch10'!X169)=0,"None",'Ch10'!X169)</f>
        <v>None</v>
      </c>
      <c r="Z2412" s="1105"/>
      <c r="AC2412" t="b">
        <f>OR(AD2412:AE2412)</f>
        <v>0</v>
      </c>
      <c r="AD2412" t="b">
        <f>T2412</f>
        <v>0</v>
      </c>
      <c r="AE2412" t="b">
        <f>AND(R2412,NOT(W2412=TRUE))</f>
        <v>0</v>
      </c>
      <c r="AL2412" t="str">
        <f>SUBSTITUTE(SUBSTITUTE(SUBSTITUTE("vpa"&amp;$B2412&amp;$C2412&amp;$D2412&amp;$E2412,".","_"),"(","_"),")","")</f>
        <v>vpa1002_5_3</v>
      </c>
      <c r="AM2412" t="str">
        <f>M2412</f>
        <v>N/A</v>
      </c>
      <c r="AP2412" t="str">
        <f>SUBSTITUTE(SUBSTITUTE(SUBSTITUTE("vch"&amp;$B2412&amp;$C2412&amp;$D2412&amp;$E2412,".","_"),"(","_"),")","")</f>
        <v>vch1002_5_3</v>
      </c>
      <c r="AQ2412" t="str">
        <f>IF(LEN(W2412)=0,"",W2412)</f>
        <v/>
      </c>
      <c r="AR2412" t="str">
        <f>SUBSTITUTE(SUBSTITUTE(SUBSTITUTE("vnt"&amp;$B2412&amp;$C2412&amp;$D2412&amp;$E2412,".","_"),"(","_"),")","")</f>
        <v>vnt1002_5_3</v>
      </c>
      <c r="AS2412" t="str">
        <f>IF(LEN(X2412)=0,"",X2412)</f>
        <v/>
      </c>
    </row>
    <row r="2413" spans="1:45" x14ac:dyDescent="0.35">
      <c r="A2413" s="366">
        <v>10</v>
      </c>
      <c r="B2413" s="738" t="s">
        <v>4549</v>
      </c>
      <c r="C2413" s="738" t="s">
        <v>260</v>
      </c>
      <c r="G2413" s="366" t="str">
        <f t="shared" si="127"/>
        <v/>
      </c>
      <c r="H2413" s="366" t="s">
        <v>3972</v>
      </c>
      <c r="I2413" s="402"/>
      <c r="J2413" s="402"/>
      <c r="K2413" s="412"/>
      <c r="L2413" s="848"/>
      <c r="M2413" s="75"/>
      <c r="O2413" s="41"/>
      <c r="X2413" s="817"/>
      <c r="Y2413" s="1117"/>
      <c r="Z2413" s="1103"/>
    </row>
    <row r="2414" spans="1:45" x14ac:dyDescent="0.35">
      <c r="A2414" s="366">
        <v>10</v>
      </c>
      <c r="B2414" s="738" t="s">
        <v>4549</v>
      </c>
      <c r="C2414" s="738" t="s">
        <v>269</v>
      </c>
      <c r="G2414" s="366" t="str">
        <f t="shared" si="127"/>
        <v/>
      </c>
      <c r="H2414" s="366" t="s">
        <v>3972</v>
      </c>
      <c r="I2414" s="402"/>
      <c r="J2414" s="402" t="s">
        <v>269</v>
      </c>
      <c r="K2414" s="412"/>
      <c r="L2414" s="90" t="s">
        <v>4555</v>
      </c>
      <c r="M2414" s="75"/>
      <c r="O2414" s="41"/>
      <c r="P2414" t="b">
        <v>0</v>
      </c>
      <c r="Q2414" t="b">
        <v>1</v>
      </c>
      <c r="R2414" t="b">
        <v>0</v>
      </c>
      <c r="S2414" t="b">
        <f>IF(AY2262=INDEX(ddSingleOrMulti,2),TRUE,FALSE)</f>
        <v>0</v>
      </c>
      <c r="T2414" t="b">
        <f t="shared" ref="T2414:T2419" si="128">AND(NOT(S2414),W2414=TRUE)</f>
        <v>0</v>
      </c>
      <c r="W2414" s="17"/>
      <c r="X2414" s="36"/>
      <c r="Y2414" s="498" t="str">
        <f>IF(LEN('Ch10'!X171)=0,"None",'Ch10'!X171)</f>
        <v>None</v>
      </c>
      <c r="Z2414" s="662"/>
      <c r="AC2414" t="b">
        <f t="shared" ref="AC2414:AC2419" si="129">OR(AD2414:AE2414)</f>
        <v>0</v>
      </c>
      <c r="AD2414" t="b">
        <f t="shared" ref="AD2414:AD2419" si="130">T2414</f>
        <v>0</v>
      </c>
      <c r="AP2414" t="str">
        <f t="shared" ref="AP2414:AP2419" si="131">SUBSTITUTE(SUBSTITUTE(SUBSTITUTE("vch"&amp;$B2414&amp;$C2414&amp;$D2414&amp;$E2414,".","_"),"(","_"),")","")</f>
        <v>vch1002_5_4</v>
      </c>
      <c r="AQ2414" t="str">
        <f t="shared" ref="AQ2414:AQ2419" si="132">IF(LEN(W2414)=0,"",W2414)</f>
        <v/>
      </c>
      <c r="AR2414" t="str">
        <f t="shared" ref="AR2414:AR2419" si="133">SUBSTITUTE(SUBSTITUTE(SUBSTITUTE("vnt"&amp;$B2414&amp;$C2414&amp;$D2414&amp;$E2414,".","_"),"(","_"),")","")</f>
        <v>vnt1002_5_4</v>
      </c>
      <c r="AS2414" t="str">
        <f t="shared" ref="AS2414:AS2419" si="134">IF(LEN(X2414)=0,"",X2414)</f>
        <v/>
      </c>
    </row>
    <row r="2415" spans="1:45" x14ac:dyDescent="0.35">
      <c r="A2415" s="366">
        <v>10</v>
      </c>
      <c r="B2415" s="738" t="s">
        <v>4549</v>
      </c>
      <c r="C2415" s="738" t="s">
        <v>275</v>
      </c>
      <c r="G2415" s="366" t="str">
        <f t="shared" si="127"/>
        <v/>
      </c>
      <c r="H2415" s="366" t="s">
        <v>3972</v>
      </c>
      <c r="I2415" s="402"/>
      <c r="J2415" s="402" t="s">
        <v>275</v>
      </c>
      <c r="K2415" s="412"/>
      <c r="L2415" s="90" t="s">
        <v>4556</v>
      </c>
      <c r="M2415" s="75"/>
      <c r="O2415" s="41"/>
      <c r="P2415" t="b">
        <v>0</v>
      </c>
      <c r="Q2415" t="b">
        <v>1</v>
      </c>
      <c r="R2415" t="b">
        <v>0</v>
      </c>
      <c r="S2415" t="b">
        <f>IF(AY2262=INDEX(ddSingleOrMulti,2),TRUE,FALSE)</f>
        <v>0</v>
      </c>
      <c r="T2415" t="b">
        <f t="shared" si="128"/>
        <v>0</v>
      </c>
      <c r="W2415" s="17"/>
      <c r="X2415" s="36"/>
      <c r="Y2415" s="498" t="str">
        <f>IF(LEN('Ch10'!X172)=0,"None",'Ch10'!X172)</f>
        <v>None</v>
      </c>
      <c r="Z2415" s="662"/>
      <c r="AC2415" t="b">
        <f t="shared" si="129"/>
        <v>0</v>
      </c>
      <c r="AD2415" t="b">
        <f t="shared" si="130"/>
        <v>0</v>
      </c>
      <c r="AP2415" t="str">
        <f t="shared" si="131"/>
        <v>vch1002_5_5</v>
      </c>
      <c r="AQ2415" t="str">
        <f t="shared" si="132"/>
        <v/>
      </c>
      <c r="AR2415" t="str">
        <f t="shared" si="133"/>
        <v>vnt1002_5_5</v>
      </c>
      <c r="AS2415" t="str">
        <f t="shared" si="134"/>
        <v/>
      </c>
    </row>
    <row r="2416" spans="1:45" x14ac:dyDescent="0.35">
      <c r="A2416" s="366">
        <v>10</v>
      </c>
      <c r="B2416" s="738" t="s">
        <v>4549</v>
      </c>
      <c r="C2416" s="738" t="s">
        <v>277</v>
      </c>
      <c r="G2416" s="366" t="str">
        <f t="shared" si="127"/>
        <v/>
      </c>
      <c r="H2416" s="366" t="s">
        <v>3972</v>
      </c>
      <c r="I2416" s="402"/>
      <c r="J2416" s="402" t="s">
        <v>277</v>
      </c>
      <c r="K2416" s="412"/>
      <c r="L2416" s="90" t="s">
        <v>4557</v>
      </c>
      <c r="M2416" s="75"/>
      <c r="O2416" s="41"/>
      <c r="P2416" t="b">
        <v>0</v>
      </c>
      <c r="Q2416" t="b">
        <v>1</v>
      </c>
      <c r="R2416" t="b">
        <v>0</v>
      </c>
      <c r="S2416" t="b">
        <f>IF(AY2262=INDEX(ddSingleOrMulti,2),TRUE,FALSE)</f>
        <v>0</v>
      </c>
      <c r="T2416" t="b">
        <f t="shared" si="128"/>
        <v>0</v>
      </c>
      <c r="W2416" s="17"/>
      <c r="X2416" s="36"/>
      <c r="Y2416" s="498" t="str">
        <f>IF(LEN('Ch10'!X173)=0,"None",'Ch10'!X173)</f>
        <v>None</v>
      </c>
      <c r="Z2416" s="662"/>
      <c r="AC2416" t="b">
        <f t="shared" si="129"/>
        <v>0</v>
      </c>
      <c r="AD2416" t="b">
        <f t="shared" si="130"/>
        <v>0</v>
      </c>
      <c r="AP2416" t="str">
        <f t="shared" si="131"/>
        <v>vch1002_5_6</v>
      </c>
      <c r="AQ2416" t="str">
        <f t="shared" si="132"/>
        <v/>
      </c>
      <c r="AR2416" t="str">
        <f t="shared" si="133"/>
        <v>vnt1002_5_6</v>
      </c>
      <c r="AS2416" t="str">
        <f t="shared" si="134"/>
        <v/>
      </c>
    </row>
    <row r="2417" spans="1:45" x14ac:dyDescent="0.35">
      <c r="A2417" s="366">
        <v>10</v>
      </c>
      <c r="B2417" s="738" t="s">
        <v>4549</v>
      </c>
      <c r="C2417" s="738" t="s">
        <v>383</v>
      </c>
      <c r="G2417" s="366" t="str">
        <f t="shared" si="127"/>
        <v/>
      </c>
      <c r="H2417" s="366" t="s">
        <v>3972</v>
      </c>
      <c r="I2417" s="402"/>
      <c r="J2417" s="402" t="s">
        <v>383</v>
      </c>
      <c r="K2417" s="412"/>
      <c r="L2417" s="90" t="s">
        <v>4558</v>
      </c>
      <c r="M2417" s="75"/>
      <c r="O2417" s="41"/>
      <c r="P2417" t="b">
        <v>0</v>
      </c>
      <c r="Q2417" t="b">
        <v>1</v>
      </c>
      <c r="R2417" t="b">
        <v>0</v>
      </c>
      <c r="S2417" t="b">
        <f>IF(AY2262=INDEX(ddSingleOrMulti,2),TRUE,FALSE)</f>
        <v>0</v>
      </c>
      <c r="T2417" t="b">
        <f t="shared" si="128"/>
        <v>0</v>
      </c>
      <c r="W2417" s="17"/>
      <c r="X2417" s="36"/>
      <c r="Y2417" s="498" t="str">
        <f>IF(LEN('Ch10'!X174)=0,"None",'Ch10'!X174)</f>
        <v>None</v>
      </c>
      <c r="Z2417" s="662"/>
      <c r="AC2417" t="b">
        <f t="shared" si="129"/>
        <v>0</v>
      </c>
      <c r="AD2417" t="b">
        <f t="shared" si="130"/>
        <v>0</v>
      </c>
      <c r="AP2417" t="str">
        <f t="shared" si="131"/>
        <v>vch1002_5_7</v>
      </c>
      <c r="AQ2417" t="str">
        <f t="shared" si="132"/>
        <v/>
      </c>
      <c r="AR2417" t="str">
        <f t="shared" si="133"/>
        <v>vnt1002_5_7</v>
      </c>
      <c r="AS2417" t="str">
        <f t="shared" si="134"/>
        <v/>
      </c>
    </row>
    <row r="2418" spans="1:45" x14ac:dyDescent="0.35">
      <c r="A2418" s="366">
        <v>10</v>
      </c>
      <c r="B2418" s="738" t="s">
        <v>4549</v>
      </c>
      <c r="C2418" s="738" t="s">
        <v>428</v>
      </c>
      <c r="G2418" s="366" t="str">
        <f t="shared" si="127"/>
        <v/>
      </c>
      <c r="H2418" s="366" t="s">
        <v>3972</v>
      </c>
      <c r="I2418" s="402"/>
      <c r="J2418" s="402" t="s">
        <v>428</v>
      </c>
      <c r="K2418" s="412"/>
      <c r="L2418" s="90" t="s">
        <v>4559</v>
      </c>
      <c r="M2418" s="75"/>
      <c r="O2418" s="41"/>
      <c r="P2418" t="b">
        <v>0</v>
      </c>
      <c r="Q2418" t="b">
        <v>1</v>
      </c>
      <c r="R2418" t="b">
        <v>0</v>
      </c>
      <c r="S2418" t="b">
        <f>IF(AY2262=INDEX(ddSingleOrMulti,2),TRUE,FALSE)</f>
        <v>0</v>
      </c>
      <c r="T2418" t="b">
        <f t="shared" si="128"/>
        <v>0</v>
      </c>
      <c r="W2418" s="17"/>
      <c r="X2418" s="36"/>
      <c r="Y2418" s="498" t="str">
        <f>IF(LEN('Ch10'!X175)=0,"None",'Ch10'!X175)</f>
        <v>None</v>
      </c>
      <c r="Z2418" s="662"/>
      <c r="AC2418" t="b">
        <f t="shared" si="129"/>
        <v>0</v>
      </c>
      <c r="AD2418" t="b">
        <f t="shared" si="130"/>
        <v>0</v>
      </c>
      <c r="AP2418" t="str">
        <f t="shared" si="131"/>
        <v>vch1002_5_8</v>
      </c>
      <c r="AQ2418" t="str">
        <f t="shared" si="132"/>
        <v/>
      </c>
      <c r="AR2418" t="str">
        <f t="shared" si="133"/>
        <v>vnt1002_5_8</v>
      </c>
      <c r="AS2418" t="str">
        <f t="shared" si="134"/>
        <v/>
      </c>
    </row>
    <row r="2419" spans="1:45" ht="15" thickBot="1" x14ac:dyDescent="0.4">
      <c r="A2419" s="366">
        <v>10</v>
      </c>
      <c r="B2419" s="738" t="s">
        <v>4549</v>
      </c>
      <c r="C2419" s="738" t="s">
        <v>430</v>
      </c>
      <c r="G2419" s="366" t="str">
        <f t="shared" si="127"/>
        <v/>
      </c>
      <c r="H2419" s="366" t="s">
        <v>3972</v>
      </c>
      <c r="I2419" s="407"/>
      <c r="J2419" s="407" t="s">
        <v>430</v>
      </c>
      <c r="K2419" s="413"/>
      <c r="L2419" s="229" t="s">
        <v>4560</v>
      </c>
      <c r="M2419" s="161"/>
      <c r="N2419" s="55"/>
      <c r="O2419" s="72"/>
      <c r="P2419" s="55" t="b">
        <v>0</v>
      </c>
      <c r="Q2419" s="55" t="b">
        <v>1</v>
      </c>
      <c r="R2419" s="55" t="b">
        <v>0</v>
      </c>
      <c r="S2419" s="55" t="b">
        <f>IF(AY2262=INDEX(ddSingleOrMulti,2),TRUE,FALSE)</f>
        <v>0</v>
      </c>
      <c r="T2419" s="55" t="b">
        <f t="shared" si="128"/>
        <v>0</v>
      </c>
      <c r="U2419" s="55"/>
      <c r="V2419" s="55"/>
      <c r="W2419" s="56"/>
      <c r="X2419" s="98"/>
      <c r="Y2419" s="397" t="str">
        <f>IF(LEN('Ch10'!X176)=0,"None",'Ch10'!X176)</f>
        <v>None</v>
      </c>
      <c r="Z2419" s="658"/>
      <c r="AC2419" t="b">
        <f t="shared" si="129"/>
        <v>0</v>
      </c>
      <c r="AD2419" t="b">
        <f t="shared" si="130"/>
        <v>0</v>
      </c>
      <c r="AP2419" t="str">
        <f t="shared" si="131"/>
        <v>vch1002_5_9</v>
      </c>
      <c r="AQ2419" t="str">
        <f t="shared" si="132"/>
        <v/>
      </c>
      <c r="AR2419" t="str">
        <f t="shared" si="133"/>
        <v>vnt1002_5_9</v>
      </c>
      <c r="AS2419" t="str">
        <f t="shared" si="134"/>
        <v/>
      </c>
    </row>
    <row r="2420" spans="1:45" ht="15" thickTop="1" x14ac:dyDescent="0.35">
      <c r="A2420" s="366">
        <v>10</v>
      </c>
      <c r="B2420" s="738" t="s">
        <v>4550</v>
      </c>
      <c r="E2420" s="738"/>
      <c r="G2420" s="366" t="str">
        <f>IF(N2420&gt;0,"P","")</f>
        <v/>
      </c>
      <c r="H2420" s="366" t="s">
        <v>3972</v>
      </c>
      <c r="I2420" s="402" t="s">
        <v>4550</v>
      </c>
      <c r="J2420" s="402"/>
      <c r="K2420" s="412"/>
      <c r="L2420" s="919" t="s">
        <v>4561</v>
      </c>
      <c r="M2420" s="818" t="s">
        <v>4568</v>
      </c>
      <c r="N2420" s="959">
        <f>'Ch10'!O177</f>
        <v>0</v>
      </c>
      <c r="O2420" s="834">
        <f>ROUNDDOWN(COUNTIF(W2424:W2430,TRUE)/2,0)</f>
        <v>0</v>
      </c>
      <c r="AL2420" t="str">
        <f>SUBSTITUTE(SUBSTITUTE(SUBSTITUTE("vpa"&amp;$B2420&amp;$C2420&amp;$D2420&amp;$E2420,".","_"),"(","_"),")","")</f>
        <v>vpa1002_6</v>
      </c>
      <c r="AM2420" t="str">
        <f>M2420</f>
        <v>1 per 2 items</v>
      </c>
      <c r="AN2420" t="str">
        <f>SUBSTITUTE(SUBSTITUTE(SUBSTITUTE("vpc"&amp;$B2420&amp;$C2420&amp;$D2420&amp;$E2420,".","_"),"(","_"),")","")</f>
        <v>vpc1002_6</v>
      </c>
      <c r="AO2420">
        <f>O2420</f>
        <v>0</v>
      </c>
    </row>
    <row r="2421" spans="1:45" x14ac:dyDescent="0.35">
      <c r="A2421" s="366">
        <v>10</v>
      </c>
      <c r="B2421" s="738" t="s">
        <v>4550</v>
      </c>
      <c r="E2421" s="738"/>
      <c r="G2421" s="366" t="str">
        <f t="shared" si="127"/>
        <v/>
      </c>
      <c r="H2421" s="366" t="s">
        <v>3972</v>
      </c>
      <c r="I2421" s="402"/>
      <c r="J2421" s="402"/>
      <c r="K2421" s="412"/>
      <c r="L2421" s="919"/>
      <c r="M2421" s="818"/>
      <c r="N2421" s="834"/>
      <c r="O2421" s="834"/>
    </row>
    <row r="2422" spans="1:45" x14ac:dyDescent="0.35">
      <c r="A2422" s="366">
        <v>10</v>
      </c>
      <c r="B2422" s="738" t="s">
        <v>4550</v>
      </c>
      <c r="E2422" s="738"/>
      <c r="G2422" s="366" t="str">
        <f t="shared" si="127"/>
        <v/>
      </c>
      <c r="H2422" s="366" t="s">
        <v>3972</v>
      </c>
      <c r="I2422" s="402"/>
      <c r="J2422" s="402"/>
      <c r="K2422" s="412"/>
      <c r="L2422" s="919"/>
      <c r="M2422" s="818"/>
      <c r="N2422" s="834"/>
      <c r="O2422" s="834"/>
    </row>
    <row r="2423" spans="1:45" x14ac:dyDescent="0.35">
      <c r="A2423" s="366">
        <v>10</v>
      </c>
      <c r="B2423" s="738" t="s">
        <v>4550</v>
      </c>
      <c r="E2423" s="738"/>
      <c r="G2423" s="366" t="str">
        <f t="shared" si="127"/>
        <v/>
      </c>
      <c r="H2423" s="366" t="s">
        <v>3972</v>
      </c>
      <c r="I2423" s="402"/>
      <c r="J2423" s="402"/>
      <c r="K2423" s="412"/>
      <c r="L2423" s="919"/>
      <c r="M2423" s="818"/>
      <c r="N2423" s="834"/>
      <c r="O2423" s="834"/>
    </row>
    <row r="2424" spans="1:45" x14ac:dyDescent="0.35">
      <c r="A2424" s="366">
        <v>10</v>
      </c>
      <c r="B2424" s="738" t="s">
        <v>4550</v>
      </c>
      <c r="C2424" s="738" t="s">
        <v>256</v>
      </c>
      <c r="G2424" s="366" t="str">
        <f t="shared" si="127"/>
        <v/>
      </c>
      <c r="H2424" s="366" t="s">
        <v>3972</v>
      </c>
      <c r="I2424" s="402"/>
      <c r="J2424" s="402" t="s">
        <v>256</v>
      </c>
      <c r="K2424" s="412"/>
      <c r="L2424" s="90" t="s">
        <v>4562</v>
      </c>
      <c r="M2424" s="75"/>
      <c r="O2424" s="41"/>
      <c r="P2424" t="b">
        <v>0</v>
      </c>
      <c r="Q2424" t="b">
        <v>1</v>
      </c>
      <c r="R2424" t="b">
        <v>0</v>
      </c>
      <c r="S2424" t="b">
        <f>IF(AY2262=INDEX(ddSingleOrMulti,2),TRUE,FALSE)</f>
        <v>0</v>
      </c>
      <c r="T2424" t="b">
        <f t="shared" ref="T2424:T2430" si="135">AND(NOT(S2424),W2424=TRUE)</f>
        <v>0</v>
      </c>
      <c r="W2424" s="17"/>
      <c r="X2424" s="36"/>
      <c r="Y2424" s="498" t="str">
        <f>IF(LEN('Ch10'!X181)=0,"None",'Ch10'!X181)</f>
        <v>None</v>
      </c>
      <c r="Z2424" s="662"/>
      <c r="AC2424" t="b">
        <f t="shared" ref="AC2424:AC2430" si="136">OR(AD2424:AE2424)</f>
        <v>0</v>
      </c>
      <c r="AD2424" t="b">
        <f t="shared" ref="AD2424:AD2430" si="137">T2424</f>
        <v>0</v>
      </c>
      <c r="AP2424" t="str">
        <f t="shared" ref="AP2424:AP2430" si="138">SUBSTITUTE(SUBSTITUTE(SUBSTITUTE("vch"&amp;$B2424&amp;$C2424&amp;$D2424&amp;$E2424,".","_"),"(","_"),")","")</f>
        <v>vch1002_6_1</v>
      </c>
      <c r="AQ2424" t="str">
        <f t="shared" ref="AQ2424:AQ2430" si="139">IF(LEN(W2424)=0,"",W2424)</f>
        <v/>
      </c>
      <c r="AR2424" t="str">
        <f t="shared" ref="AR2424:AR2430" si="140">SUBSTITUTE(SUBSTITUTE(SUBSTITUTE("vnt"&amp;$B2424&amp;$C2424&amp;$D2424&amp;$E2424,".","_"),"(","_"),")","")</f>
        <v>vnt1002_6_1</v>
      </c>
      <c r="AS2424" t="str">
        <f t="shared" ref="AS2424:AS2430" si="141">IF(LEN(X2424)=0,"",X2424)</f>
        <v/>
      </c>
    </row>
    <row r="2425" spans="1:45" x14ac:dyDescent="0.35">
      <c r="A2425" s="366">
        <v>10</v>
      </c>
      <c r="B2425" s="738" t="s">
        <v>4550</v>
      </c>
      <c r="C2425" s="738" t="s">
        <v>258</v>
      </c>
      <c r="G2425" s="366" t="str">
        <f t="shared" si="127"/>
        <v/>
      </c>
      <c r="H2425" s="366" t="s">
        <v>3972</v>
      </c>
      <c r="I2425" s="402"/>
      <c r="J2425" s="402" t="s">
        <v>258</v>
      </c>
      <c r="K2425" s="412"/>
      <c r="L2425" s="90" t="s">
        <v>4563</v>
      </c>
      <c r="M2425" s="75"/>
      <c r="O2425" s="41"/>
      <c r="P2425" t="b">
        <v>0</v>
      </c>
      <c r="Q2425" t="b">
        <v>1</v>
      </c>
      <c r="R2425" t="b">
        <v>0</v>
      </c>
      <c r="S2425" t="b">
        <f>IF(AY2262=INDEX(ddSingleOrMulti,2),TRUE,FALSE)</f>
        <v>0</v>
      </c>
      <c r="T2425" t="b">
        <f t="shared" si="135"/>
        <v>0</v>
      </c>
      <c r="W2425" s="17"/>
      <c r="X2425" s="36"/>
      <c r="Y2425" s="498" t="str">
        <f>IF(LEN('Ch10'!X182)=0,"None",'Ch10'!X182)</f>
        <v>None</v>
      </c>
      <c r="Z2425" s="662"/>
      <c r="AC2425" t="b">
        <f t="shared" si="136"/>
        <v>0</v>
      </c>
      <c r="AD2425" t="b">
        <f t="shared" si="137"/>
        <v>0</v>
      </c>
      <c r="AP2425" t="str">
        <f t="shared" si="138"/>
        <v>vch1002_6_2</v>
      </c>
      <c r="AQ2425" t="str">
        <f t="shared" si="139"/>
        <v/>
      </c>
      <c r="AR2425" t="str">
        <f t="shared" si="140"/>
        <v>vnt1002_6_2</v>
      </c>
      <c r="AS2425" t="str">
        <f t="shared" si="141"/>
        <v/>
      </c>
    </row>
    <row r="2426" spans="1:45" x14ac:dyDescent="0.35">
      <c r="A2426" s="366">
        <v>10</v>
      </c>
      <c r="B2426" s="738" t="s">
        <v>4550</v>
      </c>
      <c r="C2426" s="738" t="s">
        <v>260</v>
      </c>
      <c r="G2426" s="366" t="str">
        <f t="shared" si="127"/>
        <v/>
      </c>
      <c r="H2426" s="366" t="s">
        <v>3972</v>
      </c>
      <c r="I2426" s="402"/>
      <c r="J2426" s="402" t="s">
        <v>260</v>
      </c>
      <c r="K2426" s="412"/>
      <c r="L2426" s="90" t="s">
        <v>4564</v>
      </c>
      <c r="M2426" s="75"/>
      <c r="O2426" s="41"/>
      <c r="P2426" t="b">
        <v>0</v>
      </c>
      <c r="Q2426" t="b">
        <v>1</v>
      </c>
      <c r="R2426" t="b">
        <v>0</v>
      </c>
      <c r="S2426" t="b">
        <f>IF(AY2262=INDEX(ddSingleOrMulti,2),TRUE,FALSE)</f>
        <v>0</v>
      </c>
      <c r="T2426" t="b">
        <f t="shared" si="135"/>
        <v>0</v>
      </c>
      <c r="W2426" s="17"/>
      <c r="X2426" s="36"/>
      <c r="Y2426" s="498" t="str">
        <f>IF(LEN('Ch10'!X183)=0,"None",'Ch10'!X183)</f>
        <v>None</v>
      </c>
      <c r="Z2426" s="662"/>
      <c r="AC2426" t="b">
        <f t="shared" si="136"/>
        <v>0</v>
      </c>
      <c r="AD2426" t="b">
        <f t="shared" si="137"/>
        <v>0</v>
      </c>
      <c r="AP2426" t="str">
        <f t="shared" si="138"/>
        <v>vch1002_6_3</v>
      </c>
      <c r="AQ2426" t="str">
        <f t="shared" si="139"/>
        <v/>
      </c>
      <c r="AR2426" t="str">
        <f t="shared" si="140"/>
        <v>vnt1002_6_3</v>
      </c>
      <c r="AS2426" t="str">
        <f t="shared" si="141"/>
        <v/>
      </c>
    </row>
    <row r="2427" spans="1:45" x14ac:dyDescent="0.35">
      <c r="A2427" s="366">
        <v>10</v>
      </c>
      <c r="B2427" s="738" t="s">
        <v>4550</v>
      </c>
      <c r="C2427" s="738" t="s">
        <v>269</v>
      </c>
      <c r="G2427" s="366" t="str">
        <f t="shared" si="127"/>
        <v/>
      </c>
      <c r="H2427" s="366" t="s">
        <v>3972</v>
      </c>
      <c r="I2427" s="402"/>
      <c r="J2427" s="402" t="s">
        <v>269</v>
      </c>
      <c r="K2427" s="412"/>
      <c r="L2427" s="90" t="s">
        <v>4565</v>
      </c>
      <c r="M2427" s="75"/>
      <c r="O2427" s="41"/>
      <c r="P2427" t="b">
        <v>0</v>
      </c>
      <c r="Q2427" t="b">
        <v>1</v>
      </c>
      <c r="R2427" t="b">
        <v>0</v>
      </c>
      <c r="S2427" t="b">
        <f>IF(AY2262=INDEX(ddSingleOrMulti,2),TRUE,FALSE)</f>
        <v>0</v>
      </c>
      <c r="T2427" t="b">
        <f t="shared" si="135"/>
        <v>0</v>
      </c>
      <c r="W2427" s="17"/>
      <c r="X2427" s="36"/>
      <c r="Y2427" s="498" t="str">
        <f>IF(LEN('Ch10'!X184)=0,"None",'Ch10'!X184)</f>
        <v>None</v>
      </c>
      <c r="Z2427" s="662"/>
      <c r="AC2427" t="b">
        <f t="shared" si="136"/>
        <v>0</v>
      </c>
      <c r="AD2427" t="b">
        <f t="shared" si="137"/>
        <v>0</v>
      </c>
      <c r="AP2427" t="str">
        <f t="shared" si="138"/>
        <v>vch1002_6_4</v>
      </c>
      <c r="AQ2427" t="str">
        <f t="shared" si="139"/>
        <v/>
      </c>
      <c r="AR2427" t="str">
        <f t="shared" si="140"/>
        <v>vnt1002_6_4</v>
      </c>
      <c r="AS2427" t="str">
        <f t="shared" si="141"/>
        <v/>
      </c>
    </row>
    <row r="2428" spans="1:45" x14ac:dyDescent="0.35">
      <c r="A2428" s="366">
        <v>10</v>
      </c>
      <c r="B2428" s="738" t="s">
        <v>4550</v>
      </c>
      <c r="C2428" s="738" t="s">
        <v>275</v>
      </c>
      <c r="G2428" s="366" t="str">
        <f t="shared" si="127"/>
        <v/>
      </c>
      <c r="H2428" s="366" t="s">
        <v>3972</v>
      </c>
      <c r="I2428" s="402"/>
      <c r="J2428" s="402" t="s">
        <v>275</v>
      </c>
      <c r="K2428" s="412"/>
      <c r="L2428" s="90" t="s">
        <v>4566</v>
      </c>
      <c r="M2428" s="75"/>
      <c r="O2428" s="41"/>
      <c r="P2428" t="b">
        <v>0</v>
      </c>
      <c r="Q2428" t="b">
        <v>1</v>
      </c>
      <c r="R2428" t="b">
        <v>0</v>
      </c>
      <c r="S2428" t="b">
        <f>IF(AY2262=INDEX(ddSingleOrMulti,2),TRUE,FALSE)</f>
        <v>0</v>
      </c>
      <c r="T2428" t="b">
        <f t="shared" si="135"/>
        <v>0</v>
      </c>
      <c r="W2428" s="17"/>
      <c r="X2428" s="36"/>
      <c r="Y2428" s="498" t="str">
        <f>IF(LEN('Ch10'!X185)=0,"None",'Ch10'!X185)</f>
        <v>None</v>
      </c>
      <c r="Z2428" s="662"/>
      <c r="AC2428" t="b">
        <f t="shared" si="136"/>
        <v>0</v>
      </c>
      <c r="AD2428" t="b">
        <f t="shared" si="137"/>
        <v>0</v>
      </c>
      <c r="AP2428" t="str">
        <f t="shared" si="138"/>
        <v>vch1002_6_5</v>
      </c>
      <c r="AQ2428" t="str">
        <f t="shared" si="139"/>
        <v/>
      </c>
      <c r="AR2428" t="str">
        <f t="shared" si="140"/>
        <v>vnt1002_6_5</v>
      </c>
      <c r="AS2428" t="str">
        <f t="shared" si="141"/>
        <v/>
      </c>
    </row>
    <row r="2429" spans="1:45" x14ac:dyDescent="0.35">
      <c r="A2429" s="366">
        <v>10</v>
      </c>
      <c r="B2429" s="738" t="s">
        <v>4550</v>
      </c>
      <c r="C2429" s="738" t="s">
        <v>277</v>
      </c>
      <c r="G2429" s="366" t="str">
        <f t="shared" si="127"/>
        <v/>
      </c>
      <c r="H2429" s="366" t="s">
        <v>3972</v>
      </c>
      <c r="I2429" s="402"/>
      <c r="J2429" s="402" t="s">
        <v>277</v>
      </c>
      <c r="K2429" s="412"/>
      <c r="L2429" s="90" t="s">
        <v>3345</v>
      </c>
      <c r="M2429" s="75"/>
      <c r="O2429" s="41"/>
      <c r="P2429" t="b">
        <v>0</v>
      </c>
      <c r="Q2429" t="b">
        <v>1</v>
      </c>
      <c r="R2429" t="b">
        <v>0</v>
      </c>
      <c r="S2429" t="b">
        <f>IF(AY2262=INDEX(ddSingleOrMulti,2),TRUE,FALSE)</f>
        <v>0</v>
      </c>
      <c r="T2429" t="b">
        <f t="shared" si="135"/>
        <v>0</v>
      </c>
      <c r="W2429" s="17"/>
      <c r="X2429" s="36"/>
      <c r="Y2429" s="498" t="str">
        <f>IF(LEN('Ch10'!X186)=0,"None",'Ch10'!X186)</f>
        <v>None</v>
      </c>
      <c r="Z2429" s="662"/>
      <c r="AC2429" t="b">
        <f t="shared" si="136"/>
        <v>0</v>
      </c>
      <c r="AD2429" t="b">
        <f t="shared" si="137"/>
        <v>0</v>
      </c>
      <c r="AP2429" t="str">
        <f t="shared" si="138"/>
        <v>vch1002_6_6</v>
      </c>
      <c r="AQ2429" t="str">
        <f t="shared" si="139"/>
        <v/>
      </c>
      <c r="AR2429" t="str">
        <f t="shared" si="140"/>
        <v>vnt1002_6_6</v>
      </c>
      <c r="AS2429" t="str">
        <f t="shared" si="141"/>
        <v/>
      </c>
    </row>
    <row r="2430" spans="1:45" x14ac:dyDescent="0.35">
      <c r="A2430" s="366">
        <v>10</v>
      </c>
      <c r="B2430" s="738" t="s">
        <v>4550</v>
      </c>
      <c r="C2430" s="738" t="s">
        <v>383</v>
      </c>
      <c r="G2430" s="366" t="str">
        <f t="shared" si="127"/>
        <v/>
      </c>
      <c r="H2430" s="366" t="s">
        <v>3972</v>
      </c>
      <c r="I2430" s="402"/>
      <c r="J2430" s="402" t="s">
        <v>383</v>
      </c>
      <c r="K2430" s="412"/>
      <c r="L2430" s="90" t="s">
        <v>4567</v>
      </c>
      <c r="M2430" s="4"/>
      <c r="P2430" t="b">
        <v>0</v>
      </c>
      <c r="Q2430" t="b">
        <v>1</v>
      </c>
      <c r="R2430" t="b">
        <v>0</v>
      </c>
      <c r="S2430" t="b">
        <f>IF(AY2262=INDEX(ddSingleOrMulti,2),TRUE,FALSE)</f>
        <v>0</v>
      </c>
      <c r="T2430" t="b">
        <f t="shared" si="135"/>
        <v>0</v>
      </c>
      <c r="W2430" s="17"/>
      <c r="X2430" s="36"/>
      <c r="Y2430" s="498" t="str">
        <f>IF(LEN('Ch10'!X187)=0,"None",'Ch10'!X187)</f>
        <v>None</v>
      </c>
      <c r="Z2430" s="662"/>
      <c r="AC2430" t="b">
        <f t="shared" si="136"/>
        <v>0</v>
      </c>
      <c r="AD2430" t="b">
        <f t="shared" si="137"/>
        <v>0</v>
      </c>
      <c r="AP2430" t="str">
        <f t="shared" si="138"/>
        <v>vch1002_6_7</v>
      </c>
      <c r="AQ2430" t="str">
        <f t="shared" si="139"/>
        <v/>
      </c>
      <c r="AR2430" t="str">
        <f t="shared" si="140"/>
        <v>vnt1002_6_7</v>
      </c>
      <c r="AS2430" t="str">
        <f t="shared" si="141"/>
        <v/>
      </c>
    </row>
    <row r="2431" spans="1:45" ht="18.5" x14ac:dyDescent="0.45">
      <c r="A2431" s="366">
        <v>10</v>
      </c>
      <c r="B2431" s="738">
        <v>1003</v>
      </c>
      <c r="C2431" s="731"/>
      <c r="D2431" s="731"/>
      <c r="E2431" s="731"/>
      <c r="F2431" s="731"/>
      <c r="G2431" s="366" t="s">
        <v>3973</v>
      </c>
      <c r="H2431" s="366" t="s">
        <v>3970</v>
      </c>
      <c r="I2431" s="35" t="s">
        <v>3359</v>
      </c>
      <c r="J2431" s="15"/>
      <c r="K2431" s="15"/>
      <c r="L2431" s="150"/>
      <c r="M2431" s="307"/>
      <c r="N2431" s="551"/>
      <c r="O2431" s="544"/>
      <c r="P2431" s="15"/>
      <c r="Q2431" s="15"/>
      <c r="R2431" s="15"/>
      <c r="S2431" s="15"/>
      <c r="T2431" s="15"/>
      <c r="U2431" s="15"/>
      <c r="V2431" s="15"/>
      <c r="W2431" s="15"/>
      <c r="X2431" s="15"/>
      <c r="Y2431" s="15"/>
      <c r="Z2431" s="651"/>
    </row>
    <row r="2432" spans="1:45" x14ac:dyDescent="0.35">
      <c r="A2432" s="366">
        <v>10</v>
      </c>
      <c r="B2432" s="738" t="s">
        <v>3984</v>
      </c>
      <c r="C2432" s="731"/>
      <c r="D2432" s="731"/>
      <c r="E2432" s="731"/>
      <c r="F2432" s="731"/>
      <c r="I2432" s="402" t="s">
        <v>3984</v>
      </c>
      <c r="J2432" s="4"/>
      <c r="K2432" s="4"/>
      <c r="L2432" s="838" t="s">
        <v>3360</v>
      </c>
      <c r="M2432" s="75"/>
      <c r="O2432" s="41"/>
    </row>
    <row r="2433" spans="1:45" x14ac:dyDescent="0.35">
      <c r="A2433" s="366">
        <v>10</v>
      </c>
      <c r="B2433" s="738" t="s">
        <v>3984</v>
      </c>
      <c r="C2433" s="731"/>
      <c r="D2433" s="731"/>
      <c r="E2433" s="731"/>
      <c r="F2433" s="731"/>
      <c r="I2433" s="94"/>
      <c r="J2433" s="4"/>
      <c r="K2433" s="4"/>
      <c r="L2433" s="838"/>
      <c r="M2433" s="75"/>
      <c r="O2433" s="41"/>
    </row>
    <row r="2434" spans="1:45" ht="15" thickBot="1" x14ac:dyDescent="0.4">
      <c r="A2434" s="366">
        <v>10</v>
      </c>
      <c r="B2434" s="738" t="s">
        <v>3984</v>
      </c>
      <c r="C2434" s="731"/>
      <c r="D2434" s="731"/>
      <c r="E2434" s="731"/>
      <c r="F2434" s="731"/>
      <c r="I2434" s="398"/>
      <c r="J2434" s="160"/>
      <c r="K2434" s="160"/>
      <c r="L2434" s="849"/>
      <c r="M2434" s="161"/>
      <c r="N2434" s="55"/>
      <c r="O2434" s="72"/>
      <c r="P2434" s="55"/>
      <c r="Q2434" s="55"/>
      <c r="R2434" s="55"/>
      <c r="S2434" s="55"/>
      <c r="T2434" s="55"/>
      <c r="U2434" s="55"/>
      <c r="V2434" s="55"/>
      <c r="W2434" s="55"/>
      <c r="X2434" s="55"/>
      <c r="Y2434" s="55"/>
      <c r="Z2434" s="653"/>
    </row>
    <row r="2435" spans="1:45" ht="15" thickTop="1" x14ac:dyDescent="0.35">
      <c r="A2435" s="366">
        <v>10</v>
      </c>
      <c r="B2435" s="738">
        <v>1003.1</v>
      </c>
      <c r="C2435" s="731"/>
      <c r="D2435" s="731"/>
      <c r="E2435" s="731"/>
      <c r="F2435" s="731"/>
      <c r="G2435" s="366" t="str">
        <f>IF(N2435&gt;0,"P","")</f>
        <v/>
      </c>
      <c r="H2435" s="366" t="s">
        <v>3970</v>
      </c>
      <c r="I2435" s="31">
        <v>1003.1</v>
      </c>
      <c r="J2435" s="4"/>
      <c r="K2435" s="4"/>
      <c r="L2435" s="149" t="s">
        <v>3361</v>
      </c>
      <c r="M2435" s="40" t="s">
        <v>3362</v>
      </c>
      <c r="N2435" s="41">
        <f>'Ch10'!O192</f>
        <v>0</v>
      </c>
      <c r="O2435" s="41">
        <f>MIN(2,COUNTIF(W2436:W2441,TRUE))</f>
        <v>0</v>
      </c>
      <c r="AL2435" t="str">
        <f>SUBSTITUTE(SUBSTITUTE(SUBSTITUTE("vpa"&amp;$B2435&amp;$C2435&amp;$D2435&amp;$E2435,".","_"),"(","_"),")","")</f>
        <v>vpa1003_1</v>
      </c>
      <c r="AM2435" t="str">
        <f>M2435</f>
        <v>2 Max</v>
      </c>
      <c r="AN2435" t="str">
        <f>SUBSTITUTE(SUBSTITUTE(SUBSTITUTE("vpc"&amp;$B2435&amp;$C2435&amp;$D2435&amp;$E2435,".","_"),"(","_"),")","")</f>
        <v>vpc1003_1</v>
      </c>
      <c r="AO2435">
        <f>O2435</f>
        <v>0</v>
      </c>
    </row>
    <row r="2436" spans="1:45" x14ac:dyDescent="0.35">
      <c r="A2436" s="366">
        <v>10</v>
      </c>
      <c r="B2436" s="738">
        <v>1003.1</v>
      </c>
      <c r="C2436" s="731" t="s">
        <v>256</v>
      </c>
      <c r="D2436" s="731"/>
      <c r="E2436" s="731"/>
      <c r="F2436" s="731"/>
      <c r="G2436" s="366" t="str">
        <f t="shared" ref="G2436:G2443" si="142">G2435</f>
        <v/>
      </c>
      <c r="H2436" s="366" t="s">
        <v>3971</v>
      </c>
      <c r="I2436" s="94"/>
      <c r="J2436" s="19" t="s">
        <v>256</v>
      </c>
      <c r="K2436" s="4"/>
      <c r="L2436" s="838" t="s">
        <v>3363</v>
      </c>
      <c r="M2436" s="818">
        <v>1</v>
      </c>
      <c r="O2436" s="41"/>
      <c r="P2436" t="b">
        <v>1</v>
      </c>
      <c r="Q2436" t="b">
        <v>0</v>
      </c>
      <c r="R2436" t="b">
        <v>0</v>
      </c>
      <c r="S2436" t="b">
        <v>1</v>
      </c>
      <c r="T2436" t="b">
        <v>0</v>
      </c>
      <c r="W2436" s="17"/>
      <c r="X2436" s="817"/>
      <c r="Y2436" s="1100" t="str">
        <f>IF(LEN('Ch10'!X193)=0,"None",'Ch10'!X193)</f>
        <v>None</v>
      </c>
      <c r="Z2436" s="1102"/>
      <c r="AL2436" t="str">
        <f>SUBSTITUTE(SUBSTITUTE(SUBSTITUTE("vpa"&amp;$B2436&amp;$C2436&amp;$D2436&amp;$E2436,".","_"),"(","_"),")","")</f>
        <v>vpa1003_1_1</v>
      </c>
      <c r="AM2436">
        <f>M2436</f>
        <v>1</v>
      </c>
      <c r="AP2436" t="str">
        <f>SUBSTITUTE(SUBSTITUTE(SUBSTITUTE("vch"&amp;$B2436&amp;$C2436&amp;$D2436&amp;$E2436,".","_"),"(","_"),")","")</f>
        <v>vch1003_1_1</v>
      </c>
      <c r="AQ2436" t="str">
        <f>IF(LEN(W2436)=0,"",W2436)</f>
        <v/>
      </c>
      <c r="AR2436" t="str">
        <f>SUBSTITUTE(SUBSTITUTE(SUBSTITUTE("vnt"&amp;$B2436&amp;$C2436&amp;$D2436&amp;$E2436,".","_"),"(","_"),")","")</f>
        <v>vnt1003_1_1</v>
      </c>
      <c r="AS2436" t="str">
        <f>IF(LEN(X2436)=0,"",X2436)</f>
        <v/>
      </c>
    </row>
    <row r="2437" spans="1:45" x14ac:dyDescent="0.35">
      <c r="A2437" s="366">
        <v>10</v>
      </c>
      <c r="B2437" s="738">
        <v>1003.1</v>
      </c>
      <c r="C2437" s="731" t="s">
        <v>256</v>
      </c>
      <c r="D2437" s="731"/>
      <c r="E2437" s="731"/>
      <c r="F2437" s="731"/>
      <c r="G2437" s="366" t="str">
        <f t="shared" si="142"/>
        <v/>
      </c>
      <c r="H2437" s="366" t="s">
        <v>3971</v>
      </c>
      <c r="I2437" s="94"/>
      <c r="J2437" s="129"/>
      <c r="K2437" s="133"/>
      <c r="L2437" s="889"/>
      <c r="M2437" s="819"/>
      <c r="O2437" s="41"/>
      <c r="X2437" s="817"/>
      <c r="Y2437" s="1100"/>
      <c r="Z2437" s="1102"/>
    </row>
    <row r="2438" spans="1:45" x14ac:dyDescent="0.35">
      <c r="A2438" s="366">
        <v>10</v>
      </c>
      <c r="B2438" s="738">
        <v>1003.1</v>
      </c>
      <c r="C2438" s="731" t="s">
        <v>258</v>
      </c>
      <c r="D2438" s="731"/>
      <c r="E2438" s="731"/>
      <c r="F2438" s="731"/>
      <c r="G2438" s="366" t="str">
        <f t="shared" si="142"/>
        <v/>
      </c>
      <c r="H2438" s="366" t="s">
        <v>3972</v>
      </c>
      <c r="I2438" s="94"/>
      <c r="J2438" s="132" t="s">
        <v>258</v>
      </c>
      <c r="K2438" s="118"/>
      <c r="L2438" s="905" t="s">
        <v>3364</v>
      </c>
      <c r="M2438" s="822">
        <v>1</v>
      </c>
      <c r="O2438" s="41"/>
      <c r="P2438" t="b">
        <v>0</v>
      </c>
      <c r="Q2438" t="b">
        <v>1</v>
      </c>
      <c r="R2438" t="b">
        <v>0</v>
      </c>
      <c r="S2438" t="b">
        <v>1</v>
      </c>
      <c r="T2438" t="b">
        <v>0</v>
      </c>
      <c r="W2438" s="17"/>
      <c r="X2438" s="817"/>
      <c r="Y2438" s="1100" t="str">
        <f>IF(LEN('Ch10'!X195)=0,"None",'Ch10'!X195)</f>
        <v>None</v>
      </c>
      <c r="Z2438" s="1102"/>
      <c r="AL2438" t="str">
        <f>SUBSTITUTE(SUBSTITUTE(SUBSTITUTE("vpa"&amp;$B2438&amp;$C2438&amp;$D2438&amp;$E2438,".","_"),"(","_"),")","")</f>
        <v>vpa1003_1_2</v>
      </c>
      <c r="AM2438">
        <f>M2438</f>
        <v>1</v>
      </c>
      <c r="AP2438" t="str">
        <f>SUBSTITUTE(SUBSTITUTE(SUBSTITUTE("vch"&amp;$B2438&amp;$C2438&amp;$D2438&amp;$E2438,".","_"),"(","_"),")","")</f>
        <v>vch1003_1_2</v>
      </c>
      <c r="AQ2438" t="str">
        <f>IF(LEN(W2438)=0,"",W2438)</f>
        <v/>
      </c>
      <c r="AR2438" t="str">
        <f>SUBSTITUTE(SUBSTITUTE(SUBSTITUTE("vnt"&amp;$B2438&amp;$C2438&amp;$D2438&amp;$E2438,".","_"),"(","_"),")","")</f>
        <v>vnt1003_1_2</v>
      </c>
      <c r="AS2438" t="str">
        <f>IF(LEN(X2438)=0,"",X2438)</f>
        <v/>
      </c>
    </row>
    <row r="2439" spans="1:45" x14ac:dyDescent="0.35">
      <c r="A2439" s="366">
        <v>10</v>
      </c>
      <c r="B2439" s="738">
        <v>1003.1</v>
      </c>
      <c r="C2439" s="731" t="s">
        <v>258</v>
      </c>
      <c r="D2439" s="731"/>
      <c r="E2439" s="731"/>
      <c r="F2439" s="731"/>
      <c r="G2439" s="366" t="str">
        <f t="shared" si="142"/>
        <v/>
      </c>
      <c r="H2439" s="366" t="s">
        <v>3972</v>
      </c>
      <c r="I2439" s="94"/>
      <c r="J2439" s="19"/>
      <c r="K2439" s="4"/>
      <c r="L2439" s="838"/>
      <c r="M2439" s="818"/>
      <c r="O2439" s="41"/>
      <c r="X2439" s="817"/>
      <c r="Y2439" s="1100"/>
      <c r="Z2439" s="1102"/>
    </row>
    <row r="2440" spans="1:45" x14ac:dyDescent="0.35">
      <c r="A2440" s="366">
        <v>10</v>
      </c>
      <c r="B2440" s="738">
        <v>1003.1</v>
      </c>
      <c r="C2440" s="731" t="s">
        <v>258</v>
      </c>
      <c r="D2440" s="731"/>
      <c r="E2440" s="731"/>
      <c r="F2440" s="731"/>
      <c r="G2440" s="366" t="str">
        <f t="shared" si="142"/>
        <v/>
      </c>
      <c r="H2440" s="366" t="s">
        <v>3972</v>
      </c>
      <c r="I2440" s="94"/>
      <c r="J2440" s="129"/>
      <c r="K2440" s="133"/>
      <c r="L2440" s="889"/>
      <c r="M2440" s="819"/>
      <c r="O2440" s="41"/>
      <c r="X2440" s="817"/>
      <c r="Y2440" s="1100"/>
      <c r="Z2440" s="1102"/>
    </row>
    <row r="2441" spans="1:45" x14ac:dyDescent="0.35">
      <c r="A2441" s="366">
        <v>10</v>
      </c>
      <c r="B2441" s="738">
        <v>1003.1</v>
      </c>
      <c r="C2441" s="731" t="s">
        <v>260</v>
      </c>
      <c r="D2441" s="731"/>
      <c r="E2441" s="731"/>
      <c r="F2441" s="731"/>
      <c r="G2441" s="366" t="str">
        <f t="shared" si="142"/>
        <v/>
      </c>
      <c r="H2441" s="366" t="s">
        <v>3971</v>
      </c>
      <c r="I2441" s="94"/>
      <c r="J2441" s="19" t="s">
        <v>260</v>
      </c>
      <c r="K2441" s="4"/>
      <c r="L2441" s="838" t="s">
        <v>3365</v>
      </c>
      <c r="M2441" s="818">
        <v>1</v>
      </c>
      <c r="O2441" s="41"/>
      <c r="P2441" t="b">
        <v>1</v>
      </c>
      <c r="Q2441" t="b">
        <v>0</v>
      </c>
      <c r="R2441" t="b">
        <v>0</v>
      </c>
      <c r="S2441" t="b">
        <v>1</v>
      </c>
      <c r="T2441" t="b">
        <v>0</v>
      </c>
      <c r="W2441" s="17"/>
      <c r="X2441" s="817"/>
      <c r="Y2441" s="1100" t="str">
        <f>IF(LEN('Ch10'!X198)=0,"None",'Ch10'!X198)</f>
        <v>None</v>
      </c>
      <c r="Z2441" s="1102"/>
      <c r="AL2441" t="str">
        <f>SUBSTITUTE(SUBSTITUTE(SUBSTITUTE("vpa"&amp;$B2441&amp;$C2441&amp;$D2441&amp;$E2441,".","_"),"(","_"),")","")</f>
        <v>vpa1003_1_3</v>
      </c>
      <c r="AM2441">
        <f>M2441</f>
        <v>1</v>
      </c>
      <c r="AP2441" t="str">
        <f>SUBSTITUTE(SUBSTITUTE(SUBSTITUTE("vch"&amp;$B2441&amp;$C2441&amp;$D2441&amp;$E2441,".","_"),"(","_"),")","")</f>
        <v>vch1003_1_3</v>
      </c>
      <c r="AQ2441" t="str">
        <f>IF(LEN(W2441)=0,"",W2441)</f>
        <v/>
      </c>
      <c r="AR2441" t="str">
        <f>SUBSTITUTE(SUBSTITUTE(SUBSTITUTE("vnt"&amp;$B2441&amp;$C2441&amp;$D2441&amp;$E2441,".","_"),"(","_"),")","")</f>
        <v>vnt1003_1_3</v>
      </c>
      <c r="AS2441" t="str">
        <f>IF(LEN(X2441)=0,"",X2441)</f>
        <v/>
      </c>
    </row>
    <row r="2442" spans="1:45" x14ac:dyDescent="0.35">
      <c r="A2442" s="366">
        <v>10</v>
      </c>
      <c r="B2442" s="738">
        <v>1003.1</v>
      </c>
      <c r="C2442" s="731" t="s">
        <v>260</v>
      </c>
      <c r="D2442" s="731"/>
      <c r="E2442" s="731"/>
      <c r="F2442" s="731"/>
      <c r="G2442" s="366" t="str">
        <f t="shared" si="142"/>
        <v/>
      </c>
      <c r="H2442" s="366" t="s">
        <v>3971</v>
      </c>
      <c r="I2442" s="94"/>
      <c r="J2442" s="4"/>
      <c r="K2442" s="4"/>
      <c r="L2442" s="838"/>
      <c r="M2442" s="818"/>
      <c r="O2442" s="41"/>
      <c r="X2442" s="817"/>
      <c r="Y2442" s="1100"/>
      <c r="Z2442" s="1102"/>
    </row>
    <row r="2443" spans="1:45" x14ac:dyDescent="0.35">
      <c r="A2443" s="366">
        <v>10</v>
      </c>
      <c r="B2443" s="738">
        <v>1003.1</v>
      </c>
      <c r="C2443" s="731" t="s">
        <v>260</v>
      </c>
      <c r="D2443" s="731"/>
      <c r="E2443" s="731"/>
      <c r="F2443" s="731"/>
      <c r="G2443" s="366" t="str">
        <f t="shared" si="142"/>
        <v/>
      </c>
      <c r="H2443" s="366" t="s">
        <v>3971</v>
      </c>
      <c r="I2443" s="94"/>
      <c r="J2443" s="4"/>
      <c r="K2443" s="4"/>
      <c r="L2443" s="838"/>
      <c r="M2443" s="818"/>
      <c r="O2443" s="41"/>
      <c r="X2443" s="817"/>
      <c r="Y2443" s="1100"/>
      <c r="Z2443" s="1102"/>
    </row>
    <row r="2444" spans="1:45" ht="18.5" x14ac:dyDescent="0.45">
      <c r="A2444" s="366">
        <v>10</v>
      </c>
      <c r="B2444" s="738">
        <v>1004</v>
      </c>
      <c r="C2444" s="737"/>
      <c r="D2444" s="737"/>
      <c r="E2444" s="737"/>
      <c r="F2444" s="737"/>
      <c r="G2444" s="366" t="s">
        <v>3973</v>
      </c>
      <c r="H2444" s="366" t="s">
        <v>3970</v>
      </c>
      <c r="I2444" s="35" t="s">
        <v>3366</v>
      </c>
      <c r="J2444" s="15"/>
      <c r="K2444" s="15"/>
      <c r="L2444" s="150"/>
      <c r="M2444" s="307"/>
      <c r="N2444" s="551"/>
      <c r="O2444" s="544"/>
      <c r="P2444" s="15"/>
      <c r="Q2444" s="15"/>
      <c r="R2444" s="15"/>
      <c r="S2444" s="15"/>
      <c r="T2444" s="15"/>
      <c r="U2444" s="15"/>
      <c r="V2444" s="15"/>
      <c r="W2444" s="15"/>
      <c r="X2444" s="15"/>
      <c r="Y2444" s="15"/>
      <c r="Z2444" s="651"/>
    </row>
    <row r="2445" spans="1:45" x14ac:dyDescent="0.35">
      <c r="A2445" s="366">
        <v>10</v>
      </c>
      <c r="B2445" s="738" t="s">
        <v>3985</v>
      </c>
      <c r="C2445" s="731"/>
      <c r="D2445" s="731"/>
      <c r="E2445" s="731"/>
      <c r="F2445" s="731"/>
      <c r="I2445" s="402" t="s">
        <v>3985</v>
      </c>
      <c r="J2445" s="4"/>
      <c r="K2445" s="4"/>
      <c r="L2445" s="838" t="s">
        <v>3367</v>
      </c>
      <c r="M2445" s="75"/>
      <c r="O2445" s="41"/>
    </row>
    <row r="2446" spans="1:45" x14ac:dyDescent="0.35">
      <c r="A2446" s="366">
        <v>10</v>
      </c>
      <c r="B2446" s="738" t="s">
        <v>3985</v>
      </c>
      <c r="C2446" s="731"/>
      <c r="D2446" s="731"/>
      <c r="E2446" s="731"/>
      <c r="F2446" s="731"/>
      <c r="I2446" s="94"/>
      <c r="J2446" s="4"/>
      <c r="K2446" s="4"/>
      <c r="L2446" s="838"/>
      <c r="M2446" s="75"/>
      <c r="O2446" s="41"/>
    </row>
    <row r="2447" spans="1:45" x14ac:dyDescent="0.35">
      <c r="A2447" s="366">
        <v>10</v>
      </c>
      <c r="B2447" s="738" t="s">
        <v>3985</v>
      </c>
      <c r="C2447" s="731"/>
      <c r="D2447" s="731"/>
      <c r="E2447" s="731"/>
      <c r="F2447" s="731"/>
      <c r="I2447" s="94"/>
      <c r="J2447" s="4"/>
      <c r="K2447" s="4"/>
      <c r="L2447" s="838"/>
      <c r="M2447" s="75"/>
      <c r="O2447" s="41"/>
    </row>
    <row r="2448" spans="1:45" ht="15" thickBot="1" x14ac:dyDescent="0.4">
      <c r="A2448" s="366">
        <v>10</v>
      </c>
      <c r="B2448" s="738" t="s">
        <v>3985</v>
      </c>
      <c r="C2448" s="731"/>
      <c r="D2448" s="731"/>
      <c r="E2448" s="731"/>
      <c r="F2448" s="731"/>
      <c r="I2448" s="398"/>
      <c r="J2448" s="160"/>
      <c r="K2448" s="160"/>
      <c r="L2448" s="849"/>
      <c r="M2448" s="161"/>
      <c r="N2448" s="55"/>
      <c r="O2448" s="72"/>
      <c r="P2448" s="55"/>
      <c r="Q2448" s="55"/>
      <c r="R2448" s="55"/>
      <c r="S2448" s="55"/>
      <c r="T2448" s="55"/>
      <c r="U2448" s="55"/>
      <c r="V2448" s="55"/>
      <c r="W2448" s="55"/>
      <c r="X2448" s="55"/>
      <c r="Y2448" s="55"/>
      <c r="Z2448" s="653"/>
    </row>
    <row r="2449" spans="1:45" ht="15" thickTop="1" x14ac:dyDescent="0.35">
      <c r="A2449" s="366">
        <v>10</v>
      </c>
      <c r="B2449" s="738">
        <v>1004.1</v>
      </c>
      <c r="C2449" s="731"/>
      <c r="D2449" s="731"/>
      <c r="E2449" s="731"/>
      <c r="F2449" s="731"/>
      <c r="G2449" s="727" t="str">
        <f>IF(COUNTIF(G2454:G2456,"P")&gt;0,"P","")</f>
        <v/>
      </c>
      <c r="H2449" s="366" t="s">
        <v>3972</v>
      </c>
      <c r="I2449" s="31">
        <v>1004.1</v>
      </c>
      <c r="J2449" s="4"/>
      <c r="K2449" s="4"/>
      <c r="L2449" s="838" t="s">
        <v>3368</v>
      </c>
      <c r="M2449" s="75"/>
      <c r="O2449" s="41"/>
    </row>
    <row r="2450" spans="1:45" x14ac:dyDescent="0.35">
      <c r="A2450" s="366">
        <v>10</v>
      </c>
      <c r="B2450" s="738">
        <v>1004.1</v>
      </c>
      <c r="C2450" s="731"/>
      <c r="D2450" s="731"/>
      <c r="E2450" s="731"/>
      <c r="F2450" s="731"/>
      <c r="G2450" s="366" t="str">
        <f>G2449</f>
        <v/>
      </c>
      <c r="H2450" s="366" t="s">
        <v>3972</v>
      </c>
      <c r="I2450" s="4"/>
      <c r="J2450" s="4"/>
      <c r="K2450" s="4"/>
      <c r="L2450" s="838"/>
      <c r="M2450" s="75"/>
      <c r="O2450" s="41"/>
    </row>
    <row r="2451" spans="1:45" x14ac:dyDescent="0.35">
      <c r="A2451" s="366">
        <v>10</v>
      </c>
      <c r="B2451" s="738">
        <v>1004.1</v>
      </c>
      <c r="C2451" s="731"/>
      <c r="D2451" s="731"/>
      <c r="E2451" s="731"/>
      <c r="F2451" s="731"/>
      <c r="G2451" s="366" t="str">
        <f>G2450</f>
        <v/>
      </c>
      <c r="H2451" s="366" t="s">
        <v>3972</v>
      </c>
      <c r="I2451" s="4"/>
      <c r="J2451" s="4"/>
      <c r="K2451" s="4"/>
      <c r="L2451" s="838"/>
      <c r="M2451" s="75"/>
      <c r="O2451" s="41"/>
    </row>
    <row r="2452" spans="1:45" x14ac:dyDescent="0.35">
      <c r="A2452" s="366">
        <v>10</v>
      </c>
      <c r="B2452" s="738">
        <v>1004.1</v>
      </c>
      <c r="C2452" s="731"/>
      <c r="D2452" s="731"/>
      <c r="E2452" s="731"/>
      <c r="F2452" s="731"/>
      <c r="G2452" s="366" t="str">
        <f>G2451</f>
        <v/>
      </c>
      <c r="H2452" s="366" t="s">
        <v>3972</v>
      </c>
      <c r="I2452" s="4"/>
      <c r="J2452" s="4"/>
      <c r="K2452" s="4"/>
      <c r="L2452" s="838"/>
      <c r="M2452" s="75"/>
      <c r="O2452" s="41"/>
    </row>
    <row r="2453" spans="1:45" x14ac:dyDescent="0.35">
      <c r="A2453" s="366">
        <v>10</v>
      </c>
      <c r="B2453" s="738">
        <v>1004.1</v>
      </c>
      <c r="C2453" s="731"/>
      <c r="D2453" s="731"/>
      <c r="E2453" s="731"/>
      <c r="F2453" s="731"/>
      <c r="G2453" s="366" t="str">
        <f>G2452</f>
        <v/>
      </c>
      <c r="H2453" s="366" t="s">
        <v>3972</v>
      </c>
      <c r="I2453" s="4"/>
      <c r="J2453" s="4"/>
      <c r="K2453" s="4"/>
      <c r="L2453" s="838"/>
      <c r="M2453" s="75"/>
      <c r="O2453" s="41"/>
    </row>
    <row r="2454" spans="1:45" x14ac:dyDescent="0.35">
      <c r="A2454" s="366">
        <v>10</v>
      </c>
      <c r="B2454" s="738">
        <v>1004.1</v>
      </c>
      <c r="C2454" s="731" t="s">
        <v>256</v>
      </c>
      <c r="D2454" s="731"/>
      <c r="E2454" s="731"/>
      <c r="F2454" s="731"/>
      <c r="G2454" s="366" t="str">
        <f>IF(N2454&gt;0,"P","")</f>
        <v/>
      </c>
      <c r="H2454" s="366" t="s">
        <v>3972</v>
      </c>
      <c r="I2454" s="4"/>
      <c r="J2454" s="19" t="s">
        <v>256</v>
      </c>
      <c r="K2454" s="4"/>
      <c r="L2454" s="814" t="s">
        <v>3949</v>
      </c>
      <c r="M2454" s="818">
        <v>1</v>
      </c>
      <c r="N2454" s="834">
        <f>'Ch10'!O211</f>
        <v>0</v>
      </c>
      <c r="O2454" s="834">
        <f>M2454*S2454*W2454</f>
        <v>0</v>
      </c>
      <c r="P2454" t="b">
        <v>0</v>
      </c>
      <c r="Q2454" t="b">
        <v>1</v>
      </c>
      <c r="R2454" t="b">
        <v>0</v>
      </c>
      <c r="S2454" t="b">
        <v>1</v>
      </c>
      <c r="T2454" t="b">
        <v>0</v>
      </c>
      <c r="W2454" s="17"/>
      <c r="X2454" s="817"/>
      <c r="Y2454" s="1100" t="str">
        <f>IF(LEN('Ch10'!X211)=0,"None",'Ch10'!X211)</f>
        <v>None</v>
      </c>
      <c r="Z2454" s="1102"/>
      <c r="AL2454" t="str">
        <f>SUBSTITUTE(SUBSTITUTE(SUBSTITUTE("vpa"&amp;$B2454&amp;$C2454&amp;$D2454&amp;$E2454,".","_"),"(","_"),")","")</f>
        <v>vpa1004_1_1</v>
      </c>
      <c r="AM2454">
        <f>M2454</f>
        <v>1</v>
      </c>
      <c r="AN2454" t="str">
        <f>SUBSTITUTE(SUBSTITUTE(SUBSTITUTE("vpc"&amp;$B2454&amp;$C2454&amp;$D2454&amp;$E2454,".","_"),"(","_"),")","")</f>
        <v>vpc1004_1_1</v>
      </c>
      <c r="AO2454">
        <f>O2454</f>
        <v>0</v>
      </c>
      <c r="AP2454" t="str">
        <f>SUBSTITUTE(SUBSTITUTE(SUBSTITUTE("vch"&amp;$B2454&amp;$C2454&amp;$D2454&amp;$E2454,".","_"),"(","_"),")","")</f>
        <v>vch1004_1_1</v>
      </c>
      <c r="AQ2454" t="str">
        <f>IF(LEN(W2454)=0,"",W2454)</f>
        <v/>
      </c>
      <c r="AR2454" t="str">
        <f>SUBSTITUTE(SUBSTITUTE(SUBSTITUTE("vnt"&amp;$B2454&amp;$C2454&amp;$D2454&amp;$E2454,".","_"),"(","_"),")","")</f>
        <v>vnt1004_1_1</v>
      </c>
      <c r="AS2454" t="str">
        <f>IF(LEN(X2454)=0,"",X2454)</f>
        <v/>
      </c>
    </row>
    <row r="2455" spans="1:45" x14ac:dyDescent="0.35">
      <c r="A2455" s="366">
        <v>10</v>
      </c>
      <c r="B2455" s="738">
        <v>1004.1</v>
      </c>
      <c r="C2455" s="731" t="s">
        <v>256</v>
      </c>
      <c r="D2455" s="731"/>
      <c r="E2455" s="731"/>
      <c r="F2455" s="731"/>
      <c r="G2455" s="366" t="str">
        <f>G2454</f>
        <v/>
      </c>
      <c r="H2455" s="366" t="s">
        <v>3972</v>
      </c>
      <c r="I2455" s="4"/>
      <c r="J2455" s="129"/>
      <c r="K2455" s="133"/>
      <c r="L2455" s="815"/>
      <c r="M2455" s="819"/>
      <c r="N2455" s="835"/>
      <c r="O2455" s="835"/>
      <c r="X2455" s="817"/>
      <c r="Y2455" s="1100"/>
      <c r="Z2455" s="1102"/>
    </row>
    <row r="2456" spans="1:45" x14ac:dyDescent="0.35">
      <c r="A2456" s="366">
        <v>10</v>
      </c>
      <c r="B2456" s="738">
        <v>1004.1</v>
      </c>
      <c r="C2456" s="731" t="s">
        <v>258</v>
      </c>
      <c r="D2456" s="731"/>
      <c r="E2456" s="731"/>
      <c r="F2456" s="731"/>
      <c r="G2456" s="366" t="str">
        <f>IF(N2456&gt;0,"P","")</f>
        <v/>
      </c>
      <c r="H2456" s="366" t="s">
        <v>3972</v>
      </c>
      <c r="I2456" s="4"/>
      <c r="J2456" s="132" t="s">
        <v>258</v>
      </c>
      <c r="K2456" s="118"/>
      <c r="L2456" s="836" t="s">
        <v>3369</v>
      </c>
      <c r="M2456" s="822">
        <v>3</v>
      </c>
      <c r="N2456" s="963">
        <f>'Ch10'!O213</f>
        <v>0</v>
      </c>
      <c r="O2456" s="963">
        <f>M2456*S2456*W2456</f>
        <v>0</v>
      </c>
      <c r="P2456" t="b">
        <v>0</v>
      </c>
      <c r="Q2456" t="b">
        <v>1</v>
      </c>
      <c r="R2456" t="b">
        <v>0</v>
      </c>
      <c r="S2456" t="b">
        <v>1</v>
      </c>
      <c r="T2456" t="b">
        <v>0</v>
      </c>
      <c r="W2456" s="17"/>
      <c r="X2456" s="817"/>
      <c r="Y2456" s="1100" t="str">
        <f>IF(LEN('Ch10'!X213)=0,"None",'Ch10'!X213)</f>
        <v>None</v>
      </c>
      <c r="Z2456" s="1102"/>
      <c r="AL2456" t="str">
        <f>SUBSTITUTE(SUBSTITUTE(SUBSTITUTE("vpa"&amp;$B2456&amp;$C2456&amp;$D2456&amp;$E2456,".","_"),"(","_"),")","")</f>
        <v>vpa1004_1_2</v>
      </c>
      <c r="AM2456">
        <f>M2456</f>
        <v>3</v>
      </c>
      <c r="AN2456" t="str">
        <f>SUBSTITUTE(SUBSTITUTE(SUBSTITUTE("vpc"&amp;$B2456&amp;$C2456&amp;$D2456&amp;$E2456,".","_"),"(","_"),")","")</f>
        <v>vpc1004_1_2</v>
      </c>
      <c r="AO2456">
        <f>O2456</f>
        <v>0</v>
      </c>
      <c r="AP2456" t="str">
        <f>SUBSTITUTE(SUBSTITUTE(SUBSTITUTE("vch"&amp;$B2456&amp;$C2456&amp;$D2456&amp;$E2456,".","_"),"(","_"),")","")</f>
        <v>vch1004_1_2</v>
      </c>
      <c r="AQ2456" t="str">
        <f>IF(LEN(W2456)=0,"",W2456)</f>
        <v/>
      </c>
      <c r="AR2456" t="str">
        <f>SUBSTITUTE(SUBSTITUTE(SUBSTITUTE("vnt"&amp;$B2456&amp;$C2456&amp;$D2456&amp;$E2456,".","_"),"(","_"),")","")</f>
        <v>vnt1004_1_2</v>
      </c>
      <c r="AS2456" t="str">
        <f>IF(LEN(X2456)=0,"",X2456)</f>
        <v/>
      </c>
    </row>
    <row r="2457" spans="1:45" x14ac:dyDescent="0.35">
      <c r="A2457" s="366">
        <v>10</v>
      </c>
      <c r="B2457" s="738">
        <v>1004.1</v>
      </c>
      <c r="C2457" s="731" t="s">
        <v>258</v>
      </c>
      <c r="D2457" s="731"/>
      <c r="E2457" s="731"/>
      <c r="F2457" s="731"/>
      <c r="G2457" s="366" t="str">
        <f>G2456</f>
        <v/>
      </c>
      <c r="H2457" s="366" t="s">
        <v>3972</v>
      </c>
      <c r="I2457" s="4"/>
      <c r="J2457" s="133"/>
      <c r="K2457" s="133"/>
      <c r="L2457" s="815"/>
      <c r="M2457" s="819"/>
      <c r="N2457" s="835"/>
      <c r="O2457" s="835"/>
      <c r="X2457" s="817"/>
      <c r="Y2457" s="1100"/>
      <c r="Z2457" s="1102"/>
    </row>
    <row r="2458" spans="1:45" ht="18.5" x14ac:dyDescent="0.45">
      <c r="A2458" s="366">
        <v>10</v>
      </c>
      <c r="B2458" s="738" t="s">
        <v>4569</v>
      </c>
      <c r="C2458" s="731"/>
      <c r="D2458" s="731"/>
      <c r="E2458" s="731"/>
      <c r="F2458" s="731"/>
      <c r="G2458" s="366" t="s">
        <v>3973</v>
      </c>
      <c r="H2458" s="366" t="s">
        <v>3970</v>
      </c>
      <c r="I2458" s="35" t="s">
        <v>4570</v>
      </c>
      <c r="J2458" s="39"/>
      <c r="K2458" s="39"/>
      <c r="L2458" s="44"/>
      <c r="M2458" s="536"/>
      <c r="N2458" s="551"/>
      <c r="O2458" s="550"/>
      <c r="P2458" s="15"/>
      <c r="Q2458" s="15"/>
      <c r="R2458" s="15"/>
      <c r="S2458" s="15"/>
      <c r="T2458" s="15"/>
      <c r="U2458" s="15"/>
      <c r="V2458" s="15"/>
      <c r="W2458" s="15"/>
      <c r="X2458" s="15"/>
      <c r="Y2458" s="15"/>
      <c r="Z2458" s="651"/>
    </row>
    <row r="2459" spans="1:45" x14ac:dyDescent="0.35">
      <c r="A2459" s="366">
        <v>10</v>
      </c>
      <c r="B2459" s="738" t="s">
        <v>4571</v>
      </c>
      <c r="C2459" s="731"/>
      <c r="D2459" s="731"/>
      <c r="E2459" s="731"/>
      <c r="F2459" s="731"/>
      <c r="G2459" s="366" t="s">
        <v>3973</v>
      </c>
      <c r="H2459" s="366" t="s">
        <v>3972</v>
      </c>
      <c r="I2459" s="412" t="s">
        <v>4571</v>
      </c>
      <c r="J2459" s="412"/>
      <c r="K2459" s="412"/>
      <c r="L2459" s="95" t="s">
        <v>4572</v>
      </c>
      <c r="M2459" s="40"/>
      <c r="O2459" s="41"/>
    </row>
    <row r="2460" spans="1:45" x14ac:dyDescent="0.35">
      <c r="A2460" s="366">
        <v>10</v>
      </c>
      <c r="B2460" s="738" t="s">
        <v>4571</v>
      </c>
      <c r="C2460" s="738" t="s">
        <v>256</v>
      </c>
      <c r="D2460" s="731"/>
      <c r="E2460" s="731"/>
      <c r="F2460" s="731"/>
      <c r="G2460" s="366" t="str">
        <f>IF(N2460&gt;0,"P","")</f>
        <v/>
      </c>
      <c r="H2460" s="366" t="s">
        <v>3972</v>
      </c>
      <c r="I2460" s="412"/>
      <c r="J2460" s="412" t="s">
        <v>256</v>
      </c>
      <c r="K2460" s="412"/>
      <c r="L2460" s="848" t="s">
        <v>4573</v>
      </c>
      <c r="M2460" s="818">
        <v>2</v>
      </c>
      <c r="N2460" s="834">
        <f>'Ch10'!O217</f>
        <v>0</v>
      </c>
      <c r="O2460" s="834">
        <f>M2460*S2460*W2460</f>
        <v>0</v>
      </c>
      <c r="P2460" t="b">
        <v>0</v>
      </c>
      <c r="Q2460" t="b">
        <v>1</v>
      </c>
      <c r="R2460" t="b">
        <v>0</v>
      </c>
      <c r="S2460" t="b">
        <v>1</v>
      </c>
      <c r="T2460" t="b">
        <v>0</v>
      </c>
      <c r="W2460" s="17"/>
      <c r="X2460" s="817"/>
      <c r="Y2460" s="1119" t="str">
        <f>IF(LEN('Ch10'!X217)=0,"None",'Ch10'!X217)</f>
        <v>None</v>
      </c>
      <c r="Z2460" s="1105"/>
      <c r="AL2460" t="str">
        <f>SUBSTITUTE(SUBSTITUTE(SUBSTITUTE("vpa"&amp;$B2460&amp;$C2460&amp;$D2460&amp;$E2460,".","_"),"(","_"),")","")</f>
        <v>vpa1005_1_1</v>
      </c>
      <c r="AM2460">
        <f>M2460</f>
        <v>2</v>
      </c>
      <c r="AN2460" t="str">
        <f>SUBSTITUTE(SUBSTITUTE(SUBSTITUTE("vpc"&amp;$B2460&amp;$C2460&amp;$D2460&amp;$E2460,".","_"),"(","_"),")","")</f>
        <v>vpc1005_1_1</v>
      </c>
      <c r="AO2460">
        <f>O2460</f>
        <v>0</v>
      </c>
      <c r="AP2460" t="str">
        <f>SUBSTITUTE(SUBSTITUTE(SUBSTITUTE("vch"&amp;$B2460&amp;$C2460&amp;$D2460&amp;$E2460,".","_"),"(","_"),")","")</f>
        <v>vch1005_1_1</v>
      </c>
      <c r="AQ2460" t="str">
        <f>IF(LEN(W2460)=0,"",W2460)</f>
        <v/>
      </c>
      <c r="AR2460" t="str">
        <f>SUBSTITUTE(SUBSTITUTE(SUBSTITUTE("vnt"&amp;$B2460&amp;$C2460&amp;$D2460&amp;$E2460,".","_"),"(","_"),")","")</f>
        <v>vnt1005_1_1</v>
      </c>
      <c r="AS2460" t="str">
        <f>IF(LEN(X2460)=0,"",X2460)</f>
        <v/>
      </c>
    </row>
    <row r="2461" spans="1:45" x14ac:dyDescent="0.35">
      <c r="A2461" s="366">
        <v>10</v>
      </c>
      <c r="B2461" s="738" t="s">
        <v>4571</v>
      </c>
      <c r="C2461" s="738" t="s">
        <v>256</v>
      </c>
      <c r="D2461" s="731"/>
      <c r="E2461" s="731"/>
      <c r="F2461" s="731"/>
      <c r="G2461" s="366" t="str">
        <f>G2460</f>
        <v/>
      </c>
      <c r="H2461" s="366" t="s">
        <v>3972</v>
      </c>
      <c r="I2461" s="412"/>
      <c r="J2461" s="412"/>
      <c r="K2461" s="412"/>
      <c r="L2461" s="848"/>
      <c r="M2461" s="818"/>
      <c r="N2461" s="834"/>
      <c r="O2461" s="834"/>
      <c r="X2461" s="817"/>
      <c r="Y2461" s="1120"/>
      <c r="Z2461" s="1109"/>
    </row>
    <row r="2462" spans="1:45" x14ac:dyDescent="0.35">
      <c r="A2462" s="366">
        <v>10</v>
      </c>
      <c r="B2462" s="738" t="s">
        <v>4571</v>
      </c>
      <c r="C2462" s="738" t="s">
        <v>256</v>
      </c>
      <c r="D2462" s="731"/>
      <c r="E2462" s="731"/>
      <c r="F2462" s="731"/>
      <c r="G2462" s="366" t="str">
        <f>G2461</f>
        <v/>
      </c>
      <c r="H2462" s="366" t="s">
        <v>3972</v>
      </c>
      <c r="I2462" s="412"/>
      <c r="J2462" s="418"/>
      <c r="K2462" s="418"/>
      <c r="L2462" s="821"/>
      <c r="M2462" s="819"/>
      <c r="N2462" s="835"/>
      <c r="O2462" s="835"/>
      <c r="P2462" s="104"/>
      <c r="Q2462" s="104"/>
      <c r="R2462" s="104"/>
      <c r="S2462" s="104"/>
      <c r="T2462" s="104"/>
      <c r="U2462" s="104"/>
      <c r="V2462" s="104"/>
      <c r="X2462" s="817"/>
      <c r="Y2462" s="1117"/>
      <c r="Z2462" s="1103"/>
    </row>
    <row r="2463" spans="1:45" x14ac:dyDescent="0.35">
      <c r="A2463" s="366">
        <v>10</v>
      </c>
      <c r="B2463" s="738" t="s">
        <v>4571</v>
      </c>
      <c r="C2463" s="738" t="s">
        <v>258</v>
      </c>
      <c r="D2463" s="731"/>
      <c r="E2463" s="731"/>
      <c r="F2463" s="731"/>
      <c r="G2463" s="366" t="str">
        <f>IF(N2463&gt;0,"P","")</f>
        <v/>
      </c>
      <c r="H2463" s="366" t="s">
        <v>3972</v>
      </c>
      <c r="I2463" s="412"/>
      <c r="J2463" s="519" t="s">
        <v>258</v>
      </c>
      <c r="K2463" s="519"/>
      <c r="L2463" s="820" t="s">
        <v>4574</v>
      </c>
      <c r="M2463" s="818">
        <v>2</v>
      </c>
      <c r="N2463" s="963">
        <f>'Ch10'!O220</f>
        <v>0</v>
      </c>
      <c r="O2463" s="834">
        <f>M2463*S2463*W2463</f>
        <v>0</v>
      </c>
      <c r="P2463" s="120" t="b">
        <v>0</v>
      </c>
      <c r="Q2463" s="120" t="b">
        <v>1</v>
      </c>
      <c r="R2463" s="120" t="b">
        <v>0</v>
      </c>
      <c r="S2463" s="120" t="b">
        <v>1</v>
      </c>
      <c r="T2463" s="120" t="b">
        <v>0</v>
      </c>
      <c r="U2463" s="120"/>
      <c r="V2463" s="120"/>
      <c r="W2463" s="17"/>
      <c r="X2463" s="817"/>
      <c r="Y2463" s="1100" t="str">
        <f>IF(LEN('Ch10'!X220)=0,"None",'Ch10'!X220)</f>
        <v>None</v>
      </c>
      <c r="Z2463" s="1102"/>
      <c r="AL2463" t="str">
        <f>SUBSTITUTE(SUBSTITUTE(SUBSTITUTE("vpa"&amp;$B2463&amp;$C2463&amp;$D2463&amp;$E2463,".","_"),"(","_"),")","")</f>
        <v>vpa1005_1_2</v>
      </c>
      <c r="AM2463">
        <f>M2463</f>
        <v>2</v>
      </c>
      <c r="AN2463" t="str">
        <f>SUBSTITUTE(SUBSTITUTE(SUBSTITUTE("vpc"&amp;$B2463&amp;$C2463&amp;$D2463&amp;$E2463,".","_"),"(","_"),")","")</f>
        <v>vpc1005_1_2</v>
      </c>
      <c r="AO2463">
        <f>O2463</f>
        <v>0</v>
      </c>
      <c r="AP2463" t="str">
        <f>SUBSTITUTE(SUBSTITUTE(SUBSTITUTE("vch"&amp;$B2463&amp;$C2463&amp;$D2463&amp;$E2463,".","_"),"(","_"),")","")</f>
        <v>vch1005_1_2</v>
      </c>
      <c r="AQ2463" t="str">
        <f>IF(LEN(W2463)=0,"",W2463)</f>
        <v/>
      </c>
      <c r="AR2463" t="str">
        <f>SUBSTITUTE(SUBSTITUTE(SUBSTITUTE("vnt"&amp;$B2463&amp;$C2463&amp;$D2463&amp;$E2463,".","_"),"(","_"),")","")</f>
        <v>vnt1005_1_2</v>
      </c>
      <c r="AS2463" t="str">
        <f>IF(LEN(X2463)=0,"",X2463)</f>
        <v/>
      </c>
    </row>
    <row r="2464" spans="1:45" x14ac:dyDescent="0.35">
      <c r="A2464" s="366">
        <v>10</v>
      </c>
      <c r="B2464" s="738" t="s">
        <v>4571</v>
      </c>
      <c r="C2464" s="738" t="s">
        <v>258</v>
      </c>
      <c r="D2464" s="731"/>
      <c r="E2464" s="731"/>
      <c r="F2464" s="731"/>
      <c r="G2464" s="366" t="str">
        <f>G2463</f>
        <v/>
      </c>
      <c r="H2464" s="366" t="s">
        <v>3972</v>
      </c>
      <c r="I2464" s="412"/>
      <c r="J2464" s="412"/>
      <c r="K2464" s="412"/>
      <c r="L2464" s="848"/>
      <c r="M2464" s="818"/>
      <c r="N2464" s="834"/>
      <c r="O2464" s="834"/>
      <c r="W2464" s="65"/>
      <c r="X2464" s="817"/>
      <c r="Y2464" s="1100"/>
      <c r="Z2464" s="1102"/>
    </row>
    <row r="2465" spans="1:41" x14ac:dyDescent="0.35">
      <c r="A2465" s="366">
        <v>10</v>
      </c>
      <c r="B2465" s="738" t="s">
        <v>4571</v>
      </c>
      <c r="C2465" s="738" t="s">
        <v>258</v>
      </c>
      <c r="D2465" s="731"/>
      <c r="E2465" s="731"/>
      <c r="F2465" s="731"/>
      <c r="G2465" s="366" t="str">
        <f>G2464</f>
        <v/>
      </c>
      <c r="H2465" s="366" t="s">
        <v>3972</v>
      </c>
      <c r="I2465" s="412"/>
      <c r="J2465" s="412"/>
      <c r="K2465" s="412"/>
      <c r="L2465" s="848"/>
      <c r="M2465" s="818"/>
      <c r="N2465" s="834"/>
      <c r="O2465" s="834"/>
      <c r="W2465" s="65"/>
      <c r="X2465" s="817"/>
      <c r="Y2465" s="1100"/>
      <c r="Z2465" s="1102"/>
    </row>
    <row r="2466" spans="1:41" x14ac:dyDescent="0.35">
      <c r="A2466" s="366">
        <v>10</v>
      </c>
      <c r="B2466" s="738" t="s">
        <v>4571</v>
      </c>
      <c r="C2466" s="738" t="s">
        <v>258</v>
      </c>
      <c r="D2466" s="731"/>
      <c r="E2466" s="731"/>
      <c r="F2466" s="731"/>
      <c r="G2466" s="366" t="str">
        <f>G2465</f>
        <v/>
      </c>
      <c r="H2466" s="366" t="s">
        <v>3972</v>
      </c>
      <c r="I2466" s="412"/>
      <c r="J2466" s="418"/>
      <c r="K2466" s="418"/>
      <c r="L2466" s="821"/>
      <c r="M2466" s="819"/>
      <c r="N2466" s="835"/>
      <c r="O2466" s="835"/>
      <c r="P2466" s="104"/>
      <c r="Q2466" s="104"/>
      <c r="R2466" s="104"/>
      <c r="S2466" s="104"/>
      <c r="T2466" s="104"/>
      <c r="U2466" s="104"/>
      <c r="V2466" s="104"/>
      <c r="W2466" s="335"/>
      <c r="X2466" s="817"/>
      <c r="Y2466" s="1100"/>
      <c r="Z2466" s="1102"/>
    </row>
    <row r="2467" spans="1:41" x14ac:dyDescent="0.35">
      <c r="A2467" s="366">
        <v>10</v>
      </c>
      <c r="B2467" s="738" t="s">
        <v>4571</v>
      </c>
      <c r="C2467" s="738" t="s">
        <v>260</v>
      </c>
      <c r="D2467" s="731"/>
      <c r="E2467" s="731"/>
      <c r="F2467" s="731"/>
      <c r="G2467" s="366" t="s">
        <v>3973</v>
      </c>
      <c r="H2467" s="366" t="s">
        <v>3972</v>
      </c>
      <c r="I2467" s="412"/>
      <c r="J2467" s="412" t="s">
        <v>260</v>
      </c>
      <c r="K2467" s="412"/>
      <c r="L2467" s="848" t="s">
        <v>4575</v>
      </c>
      <c r="M2467" s="818">
        <v>2</v>
      </c>
      <c r="N2467" s="963">
        <f>'Ch10'!O224</f>
        <v>2</v>
      </c>
      <c r="O2467" s="834">
        <f>M2467*S2467</f>
        <v>2</v>
      </c>
      <c r="P2467" t="b">
        <v>0</v>
      </c>
      <c r="Q2467" t="b">
        <v>1</v>
      </c>
      <c r="R2467" t="b">
        <v>0</v>
      </c>
      <c r="S2467" t="b">
        <v>1</v>
      </c>
      <c r="T2467" t="b">
        <v>0</v>
      </c>
      <c r="W2467" s="760" t="s">
        <v>4576</v>
      </c>
      <c r="AL2467" t="str">
        <f>SUBSTITUTE(SUBSTITUTE(SUBSTITUTE("vpa"&amp;$B2467&amp;$C2467&amp;$D2467&amp;$E2467,".","_"),"(","_"),")","")</f>
        <v>vpa1005_1_3</v>
      </c>
      <c r="AM2467">
        <f>M2467</f>
        <v>2</v>
      </c>
      <c r="AN2467" t="str">
        <f>SUBSTITUTE(SUBSTITUTE(SUBSTITUTE("vpc"&amp;$B2467&amp;$C2467&amp;$D2467&amp;$E2467,".","_"),"(","_"),")","")</f>
        <v>vpc1005_1_3</v>
      </c>
      <c r="AO2467">
        <f>O2467</f>
        <v>2</v>
      </c>
    </row>
    <row r="2468" spans="1:41" x14ac:dyDescent="0.35">
      <c r="A2468" s="366">
        <v>10</v>
      </c>
      <c r="B2468" s="738" t="s">
        <v>4571</v>
      </c>
      <c r="C2468" s="738" t="s">
        <v>260</v>
      </c>
      <c r="D2468" s="731"/>
      <c r="E2468" s="731"/>
      <c r="F2468" s="731"/>
      <c r="G2468" s="366" t="s">
        <v>3973</v>
      </c>
      <c r="H2468" s="366" t="s">
        <v>3972</v>
      </c>
      <c r="I2468" s="412"/>
      <c r="J2468" s="412"/>
      <c r="K2468" s="412"/>
      <c r="L2468" s="848"/>
      <c r="M2468" s="818"/>
      <c r="N2468" s="834"/>
      <c r="O2468" s="834"/>
      <c r="W2468" s="760"/>
    </row>
    <row r="2469" spans="1:41" x14ac:dyDescent="0.35">
      <c r="A2469" s="366">
        <v>10</v>
      </c>
      <c r="B2469" s="738" t="s">
        <v>4571</v>
      </c>
      <c r="C2469" s="738" t="s">
        <v>260</v>
      </c>
      <c r="D2469" s="731"/>
      <c r="E2469" s="731"/>
      <c r="F2469" s="731"/>
      <c r="G2469" s="366" t="s">
        <v>3973</v>
      </c>
      <c r="H2469" s="366" t="s">
        <v>3972</v>
      </c>
      <c r="I2469" s="412"/>
      <c r="J2469" s="412"/>
      <c r="K2469" s="412"/>
      <c r="L2469" s="848"/>
      <c r="M2469" s="818"/>
      <c r="N2469" s="834"/>
      <c r="O2469" s="834"/>
      <c r="W2469" s="760"/>
    </row>
    <row r="2470" spans="1:41" x14ac:dyDescent="0.35">
      <c r="A2470" s="366">
        <v>10</v>
      </c>
      <c r="B2470" s="738" t="s">
        <v>4571</v>
      </c>
      <c r="C2470" s="738" t="s">
        <v>260</v>
      </c>
      <c r="D2470" s="731"/>
      <c r="E2470" s="731"/>
      <c r="F2470" s="731"/>
      <c r="G2470" s="366" t="s">
        <v>3973</v>
      </c>
      <c r="H2470" s="366" t="s">
        <v>3972</v>
      </c>
      <c r="I2470" s="4"/>
      <c r="J2470" s="4"/>
      <c r="K2470" s="4"/>
      <c r="L2470" s="266"/>
      <c r="M2470" s="489"/>
      <c r="O2470" s="41"/>
      <c r="W2470" s="760"/>
    </row>
    <row r="2471" spans="1:41" x14ac:dyDescent="0.35">
      <c r="A2471" s="366">
        <v>10</v>
      </c>
      <c r="B2471" s="738" t="s">
        <v>4571</v>
      </c>
      <c r="C2471" s="738" t="s">
        <v>260</v>
      </c>
      <c r="D2471" s="731"/>
      <c r="E2471" s="731"/>
      <c r="F2471" s="731"/>
      <c r="G2471" s="366" t="s">
        <v>3973</v>
      </c>
      <c r="H2471" s="366" t="s">
        <v>3972</v>
      </c>
      <c r="I2471" s="4"/>
      <c r="J2471" s="4"/>
      <c r="K2471" s="4"/>
      <c r="L2471" s="266"/>
      <c r="M2471" s="489"/>
      <c r="O2471" s="41"/>
      <c r="W2471" s="760"/>
    </row>
    <row r="2472" spans="1:41" x14ac:dyDescent="0.35">
      <c r="A2472" s="366">
        <v>10</v>
      </c>
      <c r="B2472" s="738" t="s">
        <v>4571</v>
      </c>
      <c r="C2472" s="738" t="s">
        <v>260</v>
      </c>
      <c r="D2472" s="731"/>
      <c r="E2472" s="731"/>
      <c r="F2472" s="731"/>
      <c r="G2472" s="366" t="s">
        <v>3973</v>
      </c>
      <c r="H2472" s="366" t="s">
        <v>3972</v>
      </c>
      <c r="I2472" s="4"/>
      <c r="J2472" s="4"/>
      <c r="K2472" s="4"/>
      <c r="L2472" s="266"/>
      <c r="M2472" s="489"/>
      <c r="O2472" s="41"/>
      <c r="W2472" s="760"/>
    </row>
    <row r="2473" spans="1:41" x14ac:dyDescent="0.35">
      <c r="A2473" s="366">
        <v>10</v>
      </c>
      <c r="B2473" s="738" t="s">
        <v>4571</v>
      </c>
      <c r="C2473" s="738" t="s">
        <v>260</v>
      </c>
      <c r="D2473" s="731"/>
      <c r="E2473" s="731"/>
      <c r="F2473" s="731"/>
      <c r="G2473" s="366" t="s">
        <v>3973</v>
      </c>
      <c r="H2473" s="366" t="s">
        <v>3972</v>
      </c>
      <c r="I2473" s="4"/>
      <c r="J2473" s="4"/>
      <c r="K2473" s="4"/>
      <c r="L2473" s="266"/>
      <c r="M2473" s="489"/>
      <c r="O2473" s="41"/>
      <c r="W2473" s="760"/>
    </row>
    <row r="2474" spans="1:41" x14ac:dyDescent="0.35">
      <c r="A2474" s="366">
        <v>10</v>
      </c>
      <c r="B2474" s="738" t="s">
        <v>4571</v>
      </c>
      <c r="C2474" s="738" t="s">
        <v>260</v>
      </c>
      <c r="D2474" s="731"/>
      <c r="E2474" s="731"/>
      <c r="F2474" s="731"/>
      <c r="G2474" s="366" t="s">
        <v>3973</v>
      </c>
      <c r="H2474" s="366" t="s">
        <v>3972</v>
      </c>
      <c r="I2474" s="4"/>
      <c r="J2474" s="4"/>
      <c r="K2474" s="4"/>
      <c r="L2474" s="266"/>
      <c r="M2474" s="489"/>
      <c r="O2474" s="41"/>
      <c r="W2474" s="760"/>
    </row>
    <row r="2475" spans="1:41" x14ac:dyDescent="0.35">
      <c r="A2475" s="366">
        <v>10</v>
      </c>
      <c r="B2475" s="738" t="s">
        <v>4571</v>
      </c>
      <c r="C2475" s="738" t="s">
        <v>260</v>
      </c>
      <c r="D2475" s="731"/>
      <c r="E2475" s="731"/>
      <c r="F2475" s="731"/>
      <c r="G2475" s="366" t="s">
        <v>3973</v>
      </c>
      <c r="H2475" s="366" t="s">
        <v>3972</v>
      </c>
      <c r="I2475" s="4"/>
      <c r="J2475" s="4"/>
      <c r="K2475" s="4"/>
      <c r="L2475" s="266"/>
      <c r="M2475" s="489"/>
      <c r="O2475" s="41"/>
      <c r="W2475" s="760"/>
    </row>
    <row r="2476" spans="1:41" x14ac:dyDescent="0.35">
      <c r="A2476" s="366">
        <v>10</v>
      </c>
      <c r="B2476" s="738" t="s">
        <v>4571</v>
      </c>
      <c r="C2476" s="738" t="s">
        <v>260</v>
      </c>
      <c r="D2476" s="731"/>
      <c r="E2476" s="731"/>
      <c r="F2476" s="731"/>
      <c r="G2476" s="366" t="s">
        <v>3973</v>
      </c>
      <c r="H2476" s="366" t="s">
        <v>3972</v>
      </c>
      <c r="I2476" s="4"/>
      <c r="J2476" s="4"/>
      <c r="K2476" s="4"/>
      <c r="L2476" s="266"/>
      <c r="M2476" s="489"/>
      <c r="O2476" s="41"/>
      <c r="W2476" s="760"/>
    </row>
  </sheetData>
  <sheetProtection algorithmName="SHA-512" hashValue="JBNO4Qo+gc7iTg2Y3T9RHnKASO8ivyEtXiMOlZVQ365D74S2qBNqxbKmbApLp/Hr705eic0+/NHElzXwoAjvww==" saltValue="eIDQNFYBVEZHNT41xXrvAA==" spinCount="100000" sheet="1" objects="1" scenarios="1" selectLockedCells="1" autoFilter="0"/>
  <autoFilter ref="A7:H2457" xr:uid="{00000000-0009-0000-0000-00000F000000}"/>
  <mergeCells count="2940">
    <mergeCell ref="L884:L886"/>
    <mergeCell ref="Y884:Y886"/>
    <mergeCell ref="Z884:Z886"/>
    <mergeCell ref="M1866:M1869"/>
    <mergeCell ref="O1870:O1874"/>
    <mergeCell ref="N1870:N1874"/>
    <mergeCell ref="Z1957:Z1958"/>
    <mergeCell ref="Z1959:Z1961"/>
    <mergeCell ref="Z1996:Z1997"/>
    <mergeCell ref="Y2044:Y2045"/>
    <mergeCell ref="Y2050:Y2051"/>
    <mergeCell ref="Y1860:Y1861"/>
    <mergeCell ref="X1857:X1859"/>
    <mergeCell ref="X1862:X1864"/>
    <mergeCell ref="Y1631:Y1632"/>
    <mergeCell ref="Y1622:Y1625"/>
    <mergeCell ref="L1587:L1592"/>
    <mergeCell ref="X1852:X1856"/>
    <mergeCell ref="Z1618:Z1621"/>
    <mergeCell ref="Z1394:Z1396"/>
    <mergeCell ref="Z1397:Z1404"/>
    <mergeCell ref="Y1693:Y1694"/>
    <mergeCell ref="Y1695:Y1698"/>
    <mergeCell ref="Y1702:Y1703"/>
    <mergeCell ref="Y1704:Y1707"/>
    <mergeCell ref="Y1729:Y1740"/>
    <mergeCell ref="Z1522:Z1523"/>
    <mergeCell ref="Z1525:Z1526"/>
    <mergeCell ref="Z1527:Z1528"/>
    <mergeCell ref="Z1427:Z1430"/>
    <mergeCell ref="Y1793:Y1794"/>
    <mergeCell ref="Z1674:Z1678"/>
    <mergeCell ref="Z507:Z508"/>
    <mergeCell ref="Z511:Z522"/>
    <mergeCell ref="Z523:Z524"/>
    <mergeCell ref="Z525:Z527"/>
    <mergeCell ref="Z528:Z531"/>
    <mergeCell ref="Z1385:Z1386"/>
    <mergeCell ref="Z1381:Z1382"/>
    <mergeCell ref="Z1616:Z1617"/>
    <mergeCell ref="Z1962:Z1963"/>
    <mergeCell ref="Z1824:Z1831"/>
    <mergeCell ref="Z1909:Z1911"/>
    <mergeCell ref="Z1985:Z1990"/>
    <mergeCell ref="Z1991:Z1993"/>
    <mergeCell ref="Z1971:Z1980"/>
    <mergeCell ref="Z1981:Z1984"/>
    <mergeCell ref="Z1556:Z1563"/>
    <mergeCell ref="Z1574:Z1575"/>
    <mergeCell ref="Z1576:Z1577"/>
    <mergeCell ref="Z1578:Z1579"/>
    <mergeCell ref="Z1595:Z1596"/>
    <mergeCell ref="Z1622:Z1625"/>
    <mergeCell ref="Z1627:Z1630"/>
    <mergeCell ref="Z1631:Z1632"/>
    <mergeCell ref="Z1642:Z1647"/>
    <mergeCell ref="Z1693:Z1694"/>
    <mergeCell ref="Z1338:Z1339"/>
    <mergeCell ref="Z1340:Z1341"/>
    <mergeCell ref="Z1345:Z1346"/>
    <mergeCell ref="Z1347:Z1349"/>
    <mergeCell ref="Z1369:Z1370"/>
    <mergeCell ref="Z1371:Z1373"/>
    <mergeCell ref="Z1376:Z1377"/>
    <mergeCell ref="Z1679:Z1681"/>
    <mergeCell ref="Y1981:Y1984"/>
    <mergeCell ref="Z1726:Z1727"/>
    <mergeCell ref="Z1746:Z1748"/>
    <mergeCell ref="Z1751:Z1752"/>
    <mergeCell ref="Z1753:Z1759"/>
    <mergeCell ref="Z1763:Z1766"/>
    <mergeCell ref="X1580:X1594"/>
    <mergeCell ref="X1611:X1615"/>
    <mergeCell ref="Y1962:Y1963"/>
    <mergeCell ref="X1903:X1905"/>
    <mergeCell ref="X1663:X1673"/>
    <mergeCell ref="Z1852:Z1856"/>
    <mergeCell ref="Z1857:Z1859"/>
    <mergeCell ref="Z1860:Z1861"/>
    <mergeCell ref="Z1862:Z1864"/>
    <mergeCell ref="Z1878:Z1883"/>
    <mergeCell ref="Z1884:Z1886"/>
    <mergeCell ref="Z1709:Z1720"/>
    <mergeCell ref="Z1721:Z1725"/>
    <mergeCell ref="Z1695:Z1698"/>
    <mergeCell ref="Z1702:Z1703"/>
    <mergeCell ref="Z1849:Z1851"/>
    <mergeCell ref="Y1919:Y1920"/>
    <mergeCell ref="Y1924:Y1925"/>
    <mergeCell ref="Y1926:Y1927"/>
    <mergeCell ref="Y1928:Y1933"/>
    <mergeCell ref="Y1938:Y1942"/>
    <mergeCell ref="Z1868:Z1869"/>
    <mergeCell ref="Z1895:Z1899"/>
    <mergeCell ref="Z1900:Z1902"/>
    <mergeCell ref="Z1390:Z1391"/>
    <mergeCell ref="Z1685:Z1690"/>
    <mergeCell ref="Z1832:Z1835"/>
    <mergeCell ref="Y1462:Y1464"/>
    <mergeCell ref="Y1465:Y1466"/>
    <mergeCell ref="Y1903:Y1905"/>
    <mergeCell ref="Y1453:Y1455"/>
    <mergeCell ref="L2463:L2466"/>
    <mergeCell ref="Z416:Z419"/>
    <mergeCell ref="Z421:Z422"/>
    <mergeCell ref="Z423:Z424"/>
    <mergeCell ref="Z429:Z430"/>
    <mergeCell ref="Z435:Z436"/>
    <mergeCell ref="Z437:Z438"/>
    <mergeCell ref="Z440:Z445"/>
    <mergeCell ref="Z1298:Z1314"/>
    <mergeCell ref="Z1374:Z1375"/>
    <mergeCell ref="Z1462:Z1464"/>
    <mergeCell ref="Z1465:Z1466"/>
    <mergeCell ref="Z1476:Z1477"/>
    <mergeCell ref="Z1502:Z1503"/>
    <mergeCell ref="Z1504:Z1506"/>
    <mergeCell ref="Z1606:Z1610"/>
    <mergeCell ref="Z449:Z459"/>
    <mergeCell ref="Z464:Z466"/>
    <mergeCell ref="Z467:Z468"/>
    <mergeCell ref="Z469:Z470"/>
    <mergeCell ref="Z471:Z474"/>
    <mergeCell ref="Z1544:Z1548"/>
    <mergeCell ref="Z1549:Z1555"/>
    <mergeCell ref="Y1862:Y1864"/>
    <mergeCell ref="Y1878:Y1883"/>
    <mergeCell ref="Z475:Z477"/>
    <mergeCell ref="Z483:Z492"/>
    <mergeCell ref="Z493:Z495"/>
    <mergeCell ref="Z1352:Z1356"/>
    <mergeCell ref="Z1357:Z1358"/>
    <mergeCell ref="Z1365:Z1366"/>
    <mergeCell ref="X708:X709"/>
    <mergeCell ref="Y708:Y709"/>
    <mergeCell ref="Y710:Y711"/>
    <mergeCell ref="Z708:Z709"/>
    <mergeCell ref="Z710:Z711"/>
    <mergeCell ref="Z497:Z500"/>
    <mergeCell ref="Z501:Z506"/>
    <mergeCell ref="N706:N711"/>
    <mergeCell ref="Y1959:Y1961"/>
    <mergeCell ref="L2467:L2469"/>
    <mergeCell ref="X2460:X2462"/>
    <mergeCell ref="X2463:X2466"/>
    <mergeCell ref="W2467:W2476"/>
    <mergeCell ref="M2467:M2469"/>
    <mergeCell ref="O2467:O2469"/>
    <mergeCell ref="Y2460:Y2462"/>
    <mergeCell ref="Y2463:Y2466"/>
    <mergeCell ref="N2467:N2469"/>
    <mergeCell ref="N2463:N2466"/>
    <mergeCell ref="N2460:N2462"/>
    <mergeCell ref="N2248:N2251"/>
    <mergeCell ref="L2393:L2394"/>
    <mergeCell ref="X2393:X2394"/>
    <mergeCell ref="Y2393:Y2394"/>
    <mergeCell ref="L2408:L2409"/>
    <mergeCell ref="M2408:M2409"/>
    <mergeCell ref="M2395:M2396"/>
    <mergeCell ref="M2397:M2399"/>
    <mergeCell ref="O2395:O2399"/>
    <mergeCell ref="X2395:X2407"/>
    <mergeCell ref="Y2395:Y2407"/>
    <mergeCell ref="Y2194:Y2197"/>
    <mergeCell ref="Y2198:Y2201"/>
    <mergeCell ref="Y2202:Y2206"/>
    <mergeCell ref="Y2210:Y2214"/>
    <mergeCell ref="L2460:L2462"/>
    <mergeCell ref="M2460:M2462"/>
    <mergeCell ref="Z2412:Z2413"/>
    <mergeCell ref="Z1917:Z1918"/>
    <mergeCell ref="Z1919:Z1920"/>
    <mergeCell ref="Z1924:Z1925"/>
    <mergeCell ref="Z1926:Z1927"/>
    <mergeCell ref="Z1928:Z1933"/>
    <mergeCell ref="Z1938:Z1942"/>
    <mergeCell ref="Z2460:Z2462"/>
    <mergeCell ref="Z2393:Z2394"/>
    <mergeCell ref="Z2395:Z2407"/>
    <mergeCell ref="Z2243:Z2245"/>
    <mergeCell ref="Y2052:Y2053"/>
    <mergeCell ref="Y2054:Y2055"/>
    <mergeCell ref="Y2056:Y2058"/>
    <mergeCell ref="Y2015:Y2019"/>
    <mergeCell ref="Y2021:Y2024"/>
    <mergeCell ref="Y2025:Y2029"/>
    <mergeCell ref="Y2387:Y2388"/>
    <mergeCell ref="Y2076:Y2077"/>
    <mergeCell ref="O2460:O2462"/>
    <mergeCell ref="Z1943:Z1953"/>
    <mergeCell ref="Z2463:Z2466"/>
    <mergeCell ref="Z1704:Z1707"/>
    <mergeCell ref="Z1729:Z1740"/>
    <mergeCell ref="Z1741:Z1745"/>
    <mergeCell ref="Z1769:Z1770"/>
    <mergeCell ref="Z1772:Z1773"/>
    <mergeCell ref="Z1774:Z1776"/>
    <mergeCell ref="Z1793:Z1794"/>
    <mergeCell ref="Z1795:Z1796"/>
    <mergeCell ref="Z1798:Z1799"/>
    <mergeCell ref="Z1800:Z1801"/>
    <mergeCell ref="Z1780:Z1781"/>
    <mergeCell ref="Z1787:Z1790"/>
    <mergeCell ref="Z1804:Z1814"/>
    <mergeCell ref="Z1818:Z1819"/>
    <mergeCell ref="Z1889:Z1891"/>
    <mergeCell ref="Y1846:Y1847"/>
    <mergeCell ref="Y1852:Y1856"/>
    <mergeCell ref="Y1943:Y1953"/>
    <mergeCell ref="Z2081:Z2083"/>
    <mergeCell ref="Z2085:Z2095"/>
    <mergeCell ref="Y2359:Y2360"/>
    <mergeCell ref="Y2285:Y2286"/>
    <mergeCell ref="Y2354:Y2355"/>
    <mergeCell ref="Y2438:Y2440"/>
    <mergeCell ref="Y2292:Y2293"/>
    <mergeCell ref="Y2295:Y2296"/>
    <mergeCell ref="Y2297:Y2298"/>
    <mergeCell ref="Y2299:Y2300"/>
    <mergeCell ref="Y2362:Y2364"/>
    <mergeCell ref="Y2365:Y2366"/>
    <mergeCell ref="Y2042:Y2043"/>
    <mergeCell ref="O2408:O2409"/>
    <mergeCell ref="Y1917:Y1918"/>
    <mergeCell ref="Y2176:Y2177"/>
    <mergeCell ref="Y2030:Y2033"/>
    <mergeCell ref="Y2215:Y2217"/>
    <mergeCell ref="Y2357:Y2358"/>
    <mergeCell ref="Y2371:Y2372"/>
    <mergeCell ref="Z1912:Z1913"/>
    <mergeCell ref="Z1914:Z1916"/>
    <mergeCell ref="Y2287:Y2288"/>
    <mergeCell ref="Y2290:Y2291"/>
    <mergeCell ref="M2463:M2466"/>
    <mergeCell ref="O2463:O2466"/>
    <mergeCell ref="Y2154:Y2175"/>
    <mergeCell ref="Y2268:Y2269"/>
    <mergeCell ref="Y2104:Y2112"/>
    <mergeCell ref="Y2441:Y2443"/>
    <mergeCell ref="Y2454:Y2455"/>
    <mergeCell ref="Y2456:Y2457"/>
    <mergeCell ref="N2456:N2457"/>
    <mergeCell ref="N2454:N2455"/>
    <mergeCell ref="Y2344:Y2345"/>
    <mergeCell ref="Y2346:Y2348"/>
    <mergeCell ref="Y2349:Y2350"/>
    <mergeCell ref="Y2351:Y2353"/>
    <mergeCell ref="X2384:X2385"/>
    <mergeCell ref="N2303:N2306"/>
    <mergeCell ref="X2387:X2388"/>
    <mergeCell ref="Y2384:Y2385"/>
    <mergeCell ref="Y2373:Y2376"/>
    <mergeCell ref="Y2377:Y2383"/>
    <mergeCell ref="Y2436:Y2437"/>
    <mergeCell ref="Y2081:Y2083"/>
    <mergeCell ref="Y2085:Y2095"/>
    <mergeCell ref="Y2180:Y2181"/>
    <mergeCell ref="Y2182:Y2184"/>
    <mergeCell ref="Y2188:Y2189"/>
    <mergeCell ref="L2160:L2161"/>
    <mergeCell ref="L2162:L2164"/>
    <mergeCell ref="L2165:L2166"/>
    <mergeCell ref="L2167:L2168"/>
    <mergeCell ref="L2169:L2170"/>
    <mergeCell ref="L2171:L2173"/>
    <mergeCell ref="L2174:L2175"/>
    <mergeCell ref="Y2096:Y2097"/>
    <mergeCell ref="Y2098:Y2100"/>
    <mergeCell ref="M2176:M2177"/>
    <mergeCell ref="O2176:O2177"/>
    <mergeCell ref="N2176:N2177"/>
    <mergeCell ref="L2136:L2140"/>
    <mergeCell ref="L2141:L2142"/>
    <mergeCell ref="L2143:L2146"/>
    <mergeCell ref="L2147:L2149"/>
    <mergeCell ref="L2152:L2153"/>
    <mergeCell ref="L2156:L2157"/>
    <mergeCell ref="L2158:L2159"/>
    <mergeCell ref="O2101:O2103"/>
    <mergeCell ref="X2101:X2103"/>
    <mergeCell ref="L2104:L2106"/>
    <mergeCell ref="L2178:L2179"/>
    <mergeCell ref="M2178:M2179"/>
    <mergeCell ref="O2178:O2179"/>
    <mergeCell ref="N2178:N2179"/>
    <mergeCell ref="N2101:N2103"/>
    <mergeCell ref="M2072:M2073"/>
    <mergeCell ref="O2072:O2073"/>
    <mergeCell ref="L2074:L2075"/>
    <mergeCell ref="Y2412:Y2413"/>
    <mergeCell ref="L2412:L2413"/>
    <mergeCell ref="L2180:L2181"/>
    <mergeCell ref="X2180:X2181"/>
    <mergeCell ref="L2182:L2184"/>
    <mergeCell ref="X2182:X2184"/>
    <mergeCell ref="L2188:L2189"/>
    <mergeCell ref="M2188:M2189"/>
    <mergeCell ref="O2188:O2189"/>
    <mergeCell ref="X2188:X2189"/>
    <mergeCell ref="M2104:M2106"/>
    <mergeCell ref="L2114:L2121"/>
    <mergeCell ref="X2104:X2112"/>
    <mergeCell ref="Y2232:Y2236"/>
    <mergeCell ref="Y2237:Y2238"/>
    <mergeCell ref="Y2260:Y2263"/>
    <mergeCell ref="Y2266:Y2267"/>
    <mergeCell ref="L2340:L2342"/>
    <mergeCell ref="M2340:M2343"/>
    <mergeCell ref="O2340:O2343"/>
    <mergeCell ref="L2344:L2345"/>
    <mergeCell ref="M2344:M2345"/>
    <mergeCell ref="X2344:X2345"/>
    <mergeCell ref="L2346:L2348"/>
    <mergeCell ref="M2346:M2348"/>
    <mergeCell ref="X2346:X2348"/>
    <mergeCell ref="L2349:L2350"/>
    <mergeCell ref="X2349:X2350"/>
    <mergeCell ref="Y2101:Y2103"/>
    <mergeCell ref="Y1493:Y1495"/>
    <mergeCell ref="Y1884:Y1886"/>
    <mergeCell ref="Y1889:Y1891"/>
    <mergeCell ref="Y1849:Y1851"/>
    <mergeCell ref="Y1857:Y1859"/>
    <mergeCell ref="Y1824:Y1831"/>
    <mergeCell ref="Y1892:Y1894"/>
    <mergeCell ref="Y1895:Y1899"/>
    <mergeCell ref="Y1900:Y1902"/>
    <mergeCell ref="M1693:M1694"/>
    <mergeCell ref="M1695:M1698"/>
    <mergeCell ref="M1702:M1703"/>
    <mergeCell ref="M1704:M1707"/>
    <mergeCell ref="Y2067:Y2071"/>
    <mergeCell ref="M1711:M1717"/>
    <mergeCell ref="M1772:M1773"/>
    <mergeCell ref="M1774:M1776"/>
    <mergeCell ref="M1785:M1786"/>
    <mergeCell ref="O1774:O1776"/>
    <mergeCell ref="O1785:O1786"/>
    <mergeCell ref="M1767:M1768"/>
    <mergeCell ref="X1767:X1768"/>
    <mergeCell ref="O1611:O1613"/>
    <mergeCell ref="M1581:M1582"/>
    <mergeCell ref="M1583:M1584"/>
    <mergeCell ref="N1815:N1817"/>
    <mergeCell ref="M1821:M1822"/>
    <mergeCell ref="N1821:N1822"/>
    <mergeCell ref="O1821:O1822"/>
    <mergeCell ref="X1679:X1681"/>
    <mergeCell ref="X1868:X1869"/>
    <mergeCell ref="Y1868:Y1869"/>
    <mergeCell ref="Z1539:Z1540"/>
    <mergeCell ref="Z1600:Z1602"/>
    <mergeCell ref="Z1603:Z1605"/>
    <mergeCell ref="Z1611:Z1615"/>
    <mergeCell ref="Z1663:Z1673"/>
    <mergeCell ref="L2129:L2135"/>
    <mergeCell ref="Y1832:Y1835"/>
    <mergeCell ref="Y1606:Y1610"/>
    <mergeCell ref="Y1627:Y1630"/>
    <mergeCell ref="Y1618:Y1621"/>
    <mergeCell ref="Z1821:Z1822"/>
    <mergeCell ref="Z1846:Z1847"/>
    <mergeCell ref="Y1616:Y1617"/>
    <mergeCell ref="Y1909:Y1911"/>
    <mergeCell ref="Y1912:Y1913"/>
    <mergeCell ref="Y1914:Y1916"/>
    <mergeCell ref="Y2036:Y2039"/>
    <mergeCell ref="L1751:L1752"/>
    <mergeCell ref="M1751:M1752"/>
    <mergeCell ref="X1751:X1752"/>
    <mergeCell ref="L1753:L1756"/>
    <mergeCell ref="M1753:M1756"/>
    <mergeCell ref="O1753:O1756"/>
    <mergeCell ref="X1726:X1727"/>
    <mergeCell ref="Y2059:Y2062"/>
    <mergeCell ref="Y2078:Y2080"/>
    <mergeCell ref="Y1971:Y1980"/>
    <mergeCell ref="Y2063:Y2066"/>
    <mergeCell ref="Z1903:Z1905"/>
    <mergeCell ref="Z1767:Z1768"/>
    <mergeCell ref="Z1892:Z1894"/>
    <mergeCell ref="L2072:L2073"/>
    <mergeCell ref="Z1451:Z1452"/>
    <mergeCell ref="Z1453:Z1455"/>
    <mergeCell ref="Z1457:Z1459"/>
    <mergeCell ref="Z1493:Z1495"/>
    <mergeCell ref="Y1504:Y1506"/>
    <mergeCell ref="Y1795:Y1796"/>
    <mergeCell ref="Y1798:Y1799"/>
    <mergeCell ref="Y1800:Y1801"/>
    <mergeCell ref="Y1741:Y1745"/>
    <mergeCell ref="Y1769:Y1770"/>
    <mergeCell ref="Y1772:Y1773"/>
    <mergeCell ref="Y1774:Y1776"/>
    <mergeCell ref="Z1383:Z1384"/>
    <mergeCell ref="Z1467:Z1468"/>
    <mergeCell ref="Z1480:Z1485"/>
    <mergeCell ref="Z1496:Z1498"/>
    <mergeCell ref="Z1507:Z1512"/>
    <mergeCell ref="Z1405:Z1407"/>
    <mergeCell ref="Z1408:Z1409"/>
    <mergeCell ref="Z1411:Z1421"/>
    <mergeCell ref="Z1431:Z1432"/>
    <mergeCell ref="Z1434:Z1437"/>
    <mergeCell ref="Z1438:Z1442"/>
    <mergeCell ref="Z1443:Z1447"/>
    <mergeCell ref="Z1448:Z1450"/>
    <mergeCell ref="Y1642:Y1647"/>
    <mergeCell ref="Y1443:Y1447"/>
    <mergeCell ref="Y1448:Y1450"/>
    <mergeCell ref="Y1451:Y1452"/>
    <mergeCell ref="Y1383:Y1384"/>
    <mergeCell ref="Y1476:Y1477"/>
    <mergeCell ref="Z1529:Z1532"/>
    <mergeCell ref="N1780:N1781"/>
    <mergeCell ref="N1767:N1768"/>
    <mergeCell ref="X1769:X1770"/>
    <mergeCell ref="X1695:X1698"/>
    <mergeCell ref="X1702:X1703"/>
    <mergeCell ref="X1704:X1707"/>
    <mergeCell ref="L1721:L1723"/>
    <mergeCell ref="N1721:N1723"/>
    <mergeCell ref="M1738:M1739"/>
    <mergeCell ref="L1700:L1701"/>
    <mergeCell ref="L1702:L1703"/>
    <mergeCell ref="L1704:L1707"/>
    <mergeCell ref="X1772:X1773"/>
    <mergeCell ref="L1695:L1698"/>
    <mergeCell ref="L1729:L1731"/>
    <mergeCell ref="M1732:M1735"/>
    <mergeCell ref="L1733:L1735"/>
    <mergeCell ref="L1746:L1747"/>
    <mergeCell ref="M1746:M1748"/>
    <mergeCell ref="L1639:L1641"/>
    <mergeCell ref="L1642:L1647"/>
    <mergeCell ref="X1642:X1647"/>
    <mergeCell ref="N1693:N1694"/>
    <mergeCell ref="N1695:N1698"/>
    <mergeCell ref="N1702:N1703"/>
    <mergeCell ref="N1704:N1707"/>
    <mergeCell ref="N1746:N1748"/>
    <mergeCell ref="N1726:N1727"/>
    <mergeCell ref="L1674:L1678"/>
    <mergeCell ref="M1674:M1678"/>
    <mergeCell ref="X1674:X1678"/>
    <mergeCell ref="N1649:N1653"/>
    <mergeCell ref="L1679:L1681"/>
    <mergeCell ref="M1679:M1681"/>
    <mergeCell ref="O1679:O1681"/>
    <mergeCell ref="Y1385:Y1386"/>
    <mergeCell ref="Y1390:Y1391"/>
    <mergeCell ref="O1462:O1464"/>
    <mergeCell ref="L1693:L1694"/>
    <mergeCell ref="N1465:N1466"/>
    <mergeCell ref="N1462:N1464"/>
    <mergeCell ref="N1685:N1686"/>
    <mergeCell ref="N1679:N1681"/>
    <mergeCell ref="Y1394:Y1396"/>
    <mergeCell ref="Y1397:Y1404"/>
    <mergeCell ref="Y1405:Y1407"/>
    <mergeCell ref="Y1408:Y1409"/>
    <mergeCell ref="N1603:N1605"/>
    <mergeCell ref="N1595:N1596"/>
    <mergeCell ref="L1593:L1594"/>
    <mergeCell ref="M1611:M1613"/>
    <mergeCell ref="X672:X673"/>
    <mergeCell ref="N566:N571"/>
    <mergeCell ref="X1224:X1225"/>
    <mergeCell ref="X1295:X1296"/>
    <mergeCell ref="O1746:O1748"/>
    <mergeCell ref="X1746:X1748"/>
    <mergeCell ref="X1693:X1694"/>
    <mergeCell ref="O1693:O1694"/>
    <mergeCell ref="O1695:O1698"/>
    <mergeCell ref="O1702:O1703"/>
    <mergeCell ref="O1704:O1707"/>
    <mergeCell ref="O1721:O1723"/>
    <mergeCell ref="O1729:O1731"/>
    <mergeCell ref="O1741:O1743"/>
    <mergeCell ref="X1721:X1725"/>
    <mergeCell ref="N1709:N1717"/>
    <mergeCell ref="M1726:M1727"/>
    <mergeCell ref="O1726:O1727"/>
    <mergeCell ref="O1631:O1632"/>
    <mergeCell ref="N1627:N1630"/>
    <mergeCell ref="N1622:N1623"/>
    <mergeCell ref="N1631:N1632"/>
    <mergeCell ref="X1622:X1625"/>
    <mergeCell ref="X1627:X1630"/>
    <mergeCell ref="X1631:X1632"/>
    <mergeCell ref="O1581:O1582"/>
    <mergeCell ref="O1583:O1584"/>
    <mergeCell ref="O1585:O1586"/>
    <mergeCell ref="M1595:M1596"/>
    <mergeCell ref="O1595:O1596"/>
    <mergeCell ref="X1595:X1596"/>
    <mergeCell ref="N1611:N1613"/>
    <mergeCell ref="L1585:L1586"/>
    <mergeCell ref="M1585:M1586"/>
    <mergeCell ref="N1583:N1584"/>
    <mergeCell ref="L1622:L1623"/>
    <mergeCell ref="L1627:L1630"/>
    <mergeCell ref="Y1502:Y1503"/>
    <mergeCell ref="Y795:Y804"/>
    <mergeCell ref="Y805:Y811"/>
    <mergeCell ref="Y572:Y578"/>
    <mergeCell ref="Y579:Y581"/>
    <mergeCell ref="Y1298:Y1314"/>
    <mergeCell ref="Y583:Y584"/>
    <mergeCell ref="Y1374:Y1375"/>
    <mergeCell ref="Y887:Y889"/>
    <mergeCell ref="Y890:Y893"/>
    <mergeCell ref="Y894:Y896"/>
    <mergeCell ref="Y897:Y905"/>
    <mergeCell ref="Y933:Y935"/>
    <mergeCell ref="X710:X711"/>
    <mergeCell ref="Y938:Y940"/>
    <mergeCell ref="Y941:Y945"/>
    <mergeCell ref="Y947:Y949"/>
    <mergeCell ref="Y951:Y952"/>
    <mergeCell ref="Y975:Y977"/>
    <mergeCell ref="Y912:Y913"/>
    <mergeCell ref="Y915:Y916"/>
    <mergeCell ref="Y917:Y918"/>
    <mergeCell ref="Y1381:Y1382"/>
    <mergeCell ref="X854:X857"/>
    <mergeCell ref="X727:X735"/>
    <mergeCell ref="X764:X770"/>
    <mergeCell ref="X771:X776"/>
    <mergeCell ref="X1381:X1382"/>
    <mergeCell ref="X897:X905"/>
    <mergeCell ref="X831:X832"/>
    <mergeCell ref="X833:X834"/>
    <mergeCell ref="X864:X878"/>
    <mergeCell ref="Y585:Y586"/>
    <mergeCell ref="Y587:Y588"/>
    <mergeCell ref="Y589:Y590"/>
    <mergeCell ref="L1420:L1421"/>
    <mergeCell ref="M1462:M1464"/>
    <mergeCell ref="Y596:Y610"/>
    <mergeCell ref="Y611:Y619"/>
    <mergeCell ref="Y624:Y630"/>
    <mergeCell ref="L1381:L1382"/>
    <mergeCell ref="Y288:Y290"/>
    <mergeCell ref="Y286:Y287"/>
    <mergeCell ref="Y305:Y308"/>
    <mergeCell ref="Y312:Y314"/>
    <mergeCell ref="Y316:Y317"/>
    <mergeCell ref="Y321:Y322"/>
    <mergeCell ref="Y323:Y324"/>
    <mergeCell ref="X316:X317"/>
    <mergeCell ref="X321:X322"/>
    <mergeCell ref="X323:X324"/>
    <mergeCell ref="X325:X326"/>
    <mergeCell ref="N1301:N1302"/>
    <mergeCell ref="N1308:N1309"/>
    <mergeCell ref="O1256:O1257"/>
    <mergeCell ref="O1261:O1263"/>
    <mergeCell ref="N1252:N1253"/>
    <mergeCell ref="N1256:N1257"/>
    <mergeCell ref="N1261:N1263"/>
    <mergeCell ref="N897:N905"/>
    <mergeCell ref="X825:X826"/>
    <mergeCell ref="X827:X828"/>
    <mergeCell ref="X829:X830"/>
    <mergeCell ref="O1453:O1455"/>
    <mergeCell ref="O1443:O1445"/>
    <mergeCell ref="X1443:X1447"/>
    <mergeCell ref="L1448:L1449"/>
    <mergeCell ref="Y978:Y979"/>
    <mergeCell ref="X1476:X1477"/>
    <mergeCell ref="L1462:L1464"/>
    <mergeCell ref="L1614:L1615"/>
    <mergeCell ref="L1595:L1596"/>
    <mergeCell ref="Y927:Y928"/>
    <mergeCell ref="Y538:Y540"/>
    <mergeCell ref="Y831:Y832"/>
    <mergeCell ref="Y833:Y834"/>
    <mergeCell ref="Y864:Y878"/>
    <mergeCell ref="Y736:Y743"/>
    <mergeCell ref="Y744:Y745"/>
    <mergeCell ref="Y750:Y756"/>
    <mergeCell ref="Y757:Y763"/>
    <mergeCell ref="Y764:Y770"/>
    <mergeCell ref="Y858:Y859"/>
    <mergeCell ref="Y860:Y862"/>
    <mergeCell ref="Y839:Y843"/>
    <mergeCell ref="Y844:Y847"/>
    <mergeCell ref="Y848:Y849"/>
    <mergeCell ref="Y850:Y851"/>
    <mergeCell ref="Y854:Y857"/>
    <mergeCell ref="Y566:Y571"/>
    <mergeCell ref="Y593:Y595"/>
    <mergeCell ref="Y688:Y693"/>
    <mergeCell ref="Y825:Y826"/>
    <mergeCell ref="Y827:Y828"/>
    <mergeCell ref="Y829:Y830"/>
    <mergeCell ref="L1633:L1635"/>
    <mergeCell ref="Y1580:Y1594"/>
    <mergeCell ref="Z1580:Z1594"/>
    <mergeCell ref="L1606:L1610"/>
    <mergeCell ref="L1616:L1617"/>
    <mergeCell ref="M1616:M1617"/>
    <mergeCell ref="L1618:L1621"/>
    <mergeCell ref="M1618:M1621"/>
    <mergeCell ref="O1616:O1617"/>
    <mergeCell ref="O1618:O1621"/>
    <mergeCell ref="M1606:M1610"/>
    <mergeCell ref="O1606:O1610"/>
    <mergeCell ref="N1606:N1610"/>
    <mergeCell ref="N1616:N1617"/>
    <mergeCell ref="N1618:N1621"/>
    <mergeCell ref="X1606:X1610"/>
    <mergeCell ref="X1616:X1617"/>
    <mergeCell ref="X1618:X1621"/>
    <mergeCell ref="L1597:L1598"/>
    <mergeCell ref="X1600:X1602"/>
    <mergeCell ref="L1601:L1602"/>
    <mergeCell ref="L1603:L1605"/>
    <mergeCell ref="M1603:M1605"/>
    <mergeCell ref="O1603:O1605"/>
    <mergeCell ref="X1603:X1605"/>
    <mergeCell ref="L1611:L1613"/>
    <mergeCell ref="N1585:N1586"/>
    <mergeCell ref="M1627:M1630"/>
    <mergeCell ref="L1631:L1632"/>
    <mergeCell ref="M1631:M1632"/>
    <mergeCell ref="O1622:O1623"/>
    <mergeCell ref="O1627:O1630"/>
    <mergeCell ref="N1320:N1321"/>
    <mergeCell ref="L1298:L1300"/>
    <mergeCell ref="L1316:L1317"/>
    <mergeCell ref="L1511:L1512"/>
    <mergeCell ref="M1511:M1512"/>
    <mergeCell ref="L1513:L1514"/>
    <mergeCell ref="M1513:M1514"/>
    <mergeCell ref="O1513:O1514"/>
    <mergeCell ref="L1522:L1523"/>
    <mergeCell ref="N1581:N1582"/>
    <mergeCell ref="L1405:L1407"/>
    <mergeCell ref="X1405:X1407"/>
    <mergeCell ref="L1408:L1409"/>
    <mergeCell ref="X1408:X1409"/>
    <mergeCell ref="O1411:O1421"/>
    <mergeCell ref="X1411:X1421"/>
    <mergeCell ref="L1417:L1419"/>
    <mergeCell ref="L1390:L1391"/>
    <mergeCell ref="X1390:X1391"/>
    <mergeCell ref="L1392:L1393"/>
    <mergeCell ref="L1394:L1396"/>
    <mergeCell ref="X1394:X1396"/>
    <mergeCell ref="L1397:L1398"/>
    <mergeCell ref="X1397:X1404"/>
    <mergeCell ref="L1399:L1400"/>
    <mergeCell ref="L1401:L1402"/>
    <mergeCell ref="L1403:L1404"/>
    <mergeCell ref="N1411:N1421"/>
    <mergeCell ref="L1415:L1416"/>
    <mergeCell ref="L1411:L1414"/>
    <mergeCell ref="O1476:O1477"/>
    <mergeCell ref="N1476:N1477"/>
    <mergeCell ref="L1357:L1358"/>
    <mergeCell ref="M1357:M1358"/>
    <mergeCell ref="O1357:O1358"/>
    <mergeCell ref="L1301:L1302"/>
    <mergeCell ref="L1308:L1309"/>
    <mergeCell ref="M1318:M1319"/>
    <mergeCell ref="O1318:O1319"/>
    <mergeCell ref="X1334:X1335"/>
    <mergeCell ref="L1336:L1337"/>
    <mergeCell ref="X1336:X1337"/>
    <mergeCell ref="L1320:L1321"/>
    <mergeCell ref="M1320:M1321"/>
    <mergeCell ref="O1320:O1321"/>
    <mergeCell ref="X1320:X1321"/>
    <mergeCell ref="L1322:L1323"/>
    <mergeCell ref="M1322:M1323"/>
    <mergeCell ref="O1322:O1323"/>
    <mergeCell ref="X1322:X1323"/>
    <mergeCell ref="X1327:X1328"/>
    <mergeCell ref="X1298:X1314"/>
    <mergeCell ref="L1330:L1331"/>
    <mergeCell ref="M1330:M1331"/>
    <mergeCell ref="L1352:L1356"/>
    <mergeCell ref="X1352:X1356"/>
    <mergeCell ref="O1330:O1331"/>
    <mergeCell ref="L1332:L1333"/>
    <mergeCell ref="X1332:X1333"/>
    <mergeCell ref="L1334:L1335"/>
    <mergeCell ref="X1318:X1319"/>
    <mergeCell ref="X1357:X1358"/>
    <mergeCell ref="N1330:N1331"/>
    <mergeCell ref="N1322:N1323"/>
    <mergeCell ref="Y2303:Y2313"/>
    <mergeCell ref="Y2325:Y2327"/>
    <mergeCell ref="Y2328:Y2330"/>
    <mergeCell ref="Y2331:Y2332"/>
    <mergeCell ref="Y2334:Y2335"/>
    <mergeCell ref="Y2338:Y2339"/>
    <mergeCell ref="Y1957:Y1958"/>
    <mergeCell ref="N2243:N2245"/>
    <mergeCell ref="O2243:O2245"/>
    <mergeCell ref="Y2275:Y2280"/>
    <mergeCell ref="Y2271:Y2272"/>
    <mergeCell ref="Y2281:Y2284"/>
    <mergeCell ref="Y2185:Y2187"/>
    <mergeCell ref="Y2228:Y2230"/>
    <mergeCell ref="Y2220:Y2227"/>
    <mergeCell ref="Y2241:Y2242"/>
    <mergeCell ref="Y2243:Y2245"/>
    <mergeCell ref="Y2248:Y2251"/>
    <mergeCell ref="Y1985:Y1990"/>
    <mergeCell ref="Y1991:Y1993"/>
    <mergeCell ref="Y1996:Y1997"/>
    <mergeCell ref="Y1999:Y2000"/>
    <mergeCell ref="Y2001:Y2005"/>
    <mergeCell ref="Y2006:Y2011"/>
    <mergeCell ref="X2154:X2175"/>
    <mergeCell ref="Y2034:Y2035"/>
    <mergeCell ref="Y2190:Y2191"/>
    <mergeCell ref="Y2074:Y2075"/>
    <mergeCell ref="L2454:L2455"/>
    <mergeCell ref="M2454:M2455"/>
    <mergeCell ref="O2454:O2455"/>
    <mergeCell ref="X2454:X2455"/>
    <mergeCell ref="L2449:L2453"/>
    <mergeCell ref="L2359:L2360"/>
    <mergeCell ref="X2359:X2360"/>
    <mergeCell ref="L2362:L2364"/>
    <mergeCell ref="X2362:X2364"/>
    <mergeCell ref="L2365:L2366"/>
    <mergeCell ref="X2365:X2366"/>
    <mergeCell ref="L2367:L2369"/>
    <mergeCell ref="M2367:M2370"/>
    <mergeCell ref="O2367:O2370"/>
    <mergeCell ref="L2371:L2372"/>
    <mergeCell ref="M2371:M2372"/>
    <mergeCell ref="X2371:X2372"/>
    <mergeCell ref="L2373:L2376"/>
    <mergeCell ref="X2373:X2376"/>
    <mergeCell ref="X2377:X2383"/>
    <mergeCell ref="M2365:M2366"/>
    <mergeCell ref="L2420:L2423"/>
    <mergeCell ref="M2420:M2423"/>
    <mergeCell ref="L2395:L2399"/>
    <mergeCell ref="L2384:L2385"/>
    <mergeCell ref="L2387:L2388"/>
    <mergeCell ref="O2420:O2423"/>
    <mergeCell ref="N2395:N2399"/>
    <mergeCell ref="N2408:N2409"/>
    <mergeCell ref="N2420:N2423"/>
    <mergeCell ref="N2367:N2370"/>
    <mergeCell ref="X2412:X2413"/>
    <mergeCell ref="L2456:L2457"/>
    <mergeCell ref="M2456:M2457"/>
    <mergeCell ref="O2456:O2457"/>
    <mergeCell ref="X2456:X2457"/>
    <mergeCell ref="Y1663:Y1673"/>
    <mergeCell ref="Y1674:Y1678"/>
    <mergeCell ref="Y1679:Y1681"/>
    <mergeCell ref="Y1685:Y1690"/>
    <mergeCell ref="Y1709:Y1720"/>
    <mergeCell ref="Y1721:Y1725"/>
    <mergeCell ref="Y1726:Y1727"/>
    <mergeCell ref="Y1746:Y1748"/>
    <mergeCell ref="Y1751:Y1752"/>
    <mergeCell ref="Y1753:Y1759"/>
    <mergeCell ref="Y1763:Y1766"/>
    <mergeCell ref="Y1767:Y1768"/>
    <mergeCell ref="Y1780:Y1781"/>
    <mergeCell ref="Y1787:Y1790"/>
    <mergeCell ref="Y1804:Y1814"/>
    <mergeCell ref="Y1818:Y1819"/>
    <mergeCell ref="Y1821:Y1822"/>
    <mergeCell ref="L2432:L2434"/>
    <mergeCell ref="L2436:L2437"/>
    <mergeCell ref="M2436:M2437"/>
    <mergeCell ref="X2436:X2437"/>
    <mergeCell ref="L2438:L2440"/>
    <mergeCell ref="M2438:M2440"/>
    <mergeCell ref="X2438:X2440"/>
    <mergeCell ref="L2441:L2443"/>
    <mergeCell ref="M2441:M2443"/>
    <mergeCell ref="X2441:X2443"/>
    <mergeCell ref="L2445:L2448"/>
    <mergeCell ref="L2351:L2353"/>
    <mergeCell ref="X2351:X2353"/>
    <mergeCell ref="L2354:L2355"/>
    <mergeCell ref="X2354:X2355"/>
    <mergeCell ref="L2357:L2358"/>
    <mergeCell ref="X2357:X2358"/>
    <mergeCell ref="N2340:N2343"/>
    <mergeCell ref="L2316:L2321"/>
    <mergeCell ref="L2322:L2323"/>
    <mergeCell ref="M2322:M2324"/>
    <mergeCell ref="O2322:O2324"/>
    <mergeCell ref="L2325:L2327"/>
    <mergeCell ref="M2325:M2327"/>
    <mergeCell ref="X2325:X2327"/>
    <mergeCell ref="L2328:L2330"/>
    <mergeCell ref="M2328:M2330"/>
    <mergeCell ref="X2328:X2330"/>
    <mergeCell ref="L2331:L2332"/>
    <mergeCell ref="M2331:M2332"/>
    <mergeCell ref="X2331:X2332"/>
    <mergeCell ref="L2334:L2335"/>
    <mergeCell ref="X2334:X2335"/>
    <mergeCell ref="L2338:L2339"/>
    <mergeCell ref="X2338:X2339"/>
    <mergeCell ref="N2322:N2324"/>
    <mergeCell ref="L2281:L2284"/>
    <mergeCell ref="X2281:X2284"/>
    <mergeCell ref="L2285:L2286"/>
    <mergeCell ref="X2285:X2286"/>
    <mergeCell ref="L2287:L2288"/>
    <mergeCell ref="X2287:X2288"/>
    <mergeCell ref="L2290:L2291"/>
    <mergeCell ref="X2290:X2291"/>
    <mergeCell ref="L2292:L2293"/>
    <mergeCell ref="X2292:X2293"/>
    <mergeCell ref="L2295:L2296"/>
    <mergeCell ref="X2295:X2296"/>
    <mergeCell ref="L2297:L2298"/>
    <mergeCell ref="X2297:X2298"/>
    <mergeCell ref="L2299:L2300"/>
    <mergeCell ref="X2299:X2300"/>
    <mergeCell ref="L2303:L2306"/>
    <mergeCell ref="X2303:X2313"/>
    <mergeCell ref="M2303:M2304"/>
    <mergeCell ref="M2305:M2306"/>
    <mergeCell ref="O2303:O2306"/>
    <mergeCell ref="L2237:L2238"/>
    <mergeCell ref="M2237:M2238"/>
    <mergeCell ref="O2237:O2238"/>
    <mergeCell ref="X2237:X2238"/>
    <mergeCell ref="L2253:L2254"/>
    <mergeCell ref="L2255:L2256"/>
    <mergeCell ref="M2255:M2257"/>
    <mergeCell ref="O2255:O2257"/>
    <mergeCell ref="L2260:L2263"/>
    <mergeCell ref="M2260:M2263"/>
    <mergeCell ref="X2260:X2263"/>
    <mergeCell ref="L2266:L2267"/>
    <mergeCell ref="X2266:X2267"/>
    <mergeCell ref="L2268:L2269"/>
    <mergeCell ref="X2268:X2269"/>
    <mergeCell ref="L2275:L2276"/>
    <mergeCell ref="X2275:X2280"/>
    <mergeCell ref="L2279:L2280"/>
    <mergeCell ref="X2271:X2272"/>
    <mergeCell ref="M2271:M2272"/>
    <mergeCell ref="L2271:L2272"/>
    <mergeCell ref="N2255:N2257"/>
    <mergeCell ref="N2237:N2238"/>
    <mergeCell ref="L2241:L2242"/>
    <mergeCell ref="L2243:L2247"/>
    <mergeCell ref="M2243:M2245"/>
    <mergeCell ref="L2248:L2251"/>
    <mergeCell ref="M2248:M2251"/>
    <mergeCell ref="O2248:O2251"/>
    <mergeCell ref="X2241:X2242"/>
    <mergeCell ref="X2243:X2245"/>
    <mergeCell ref="X2248:X2251"/>
    <mergeCell ref="L2215:L2217"/>
    <mergeCell ref="M2215:M2217"/>
    <mergeCell ref="O2215:O2217"/>
    <mergeCell ref="X2215:X2217"/>
    <mergeCell ref="L2232:L2236"/>
    <mergeCell ref="M2232:M2236"/>
    <mergeCell ref="O2232:O2236"/>
    <mergeCell ref="X2232:X2236"/>
    <mergeCell ref="N2232:N2236"/>
    <mergeCell ref="N2215:N2217"/>
    <mergeCell ref="N2210:N2214"/>
    <mergeCell ref="N2202:N2203"/>
    <mergeCell ref="L2218:L2219"/>
    <mergeCell ref="L2220:L2227"/>
    <mergeCell ref="M2220:M2221"/>
    <mergeCell ref="L2228:L2230"/>
    <mergeCell ref="M2228:M2229"/>
    <mergeCell ref="X2220:X2227"/>
    <mergeCell ref="X2228:X2230"/>
    <mergeCell ref="N2098:N2100"/>
    <mergeCell ref="N2096:N2097"/>
    <mergeCell ref="L2202:L2203"/>
    <mergeCell ref="M2202:M2203"/>
    <mergeCell ref="O2202:O2203"/>
    <mergeCell ref="X2202:X2206"/>
    <mergeCell ref="L2205:L2206"/>
    <mergeCell ref="L2208:L2209"/>
    <mergeCell ref="L2210:L2214"/>
    <mergeCell ref="M2210:M2214"/>
    <mergeCell ref="O2210:O2214"/>
    <mergeCell ref="X2210:X2214"/>
    <mergeCell ref="L2176:L2177"/>
    <mergeCell ref="X2176:X2177"/>
    <mergeCell ref="L2091:L2092"/>
    <mergeCell ref="M2091:M2092"/>
    <mergeCell ref="N2072:N2073"/>
    <mergeCell ref="N2085:N2088"/>
    <mergeCell ref="L2081:L2083"/>
    <mergeCell ref="M2081:M2083"/>
    <mergeCell ref="O2081:O2083"/>
    <mergeCell ref="N2081:N2083"/>
    <mergeCell ref="X2081:X2083"/>
    <mergeCell ref="X2085:X2095"/>
    <mergeCell ref="L2190:L2191"/>
    <mergeCell ref="M2190:M2191"/>
    <mergeCell ref="X2190:X2191"/>
    <mergeCell ref="X2194:X2197"/>
    <mergeCell ref="L2195:L2196"/>
    <mergeCell ref="M2195:M2196"/>
    <mergeCell ref="X2198:X2201"/>
    <mergeCell ref="L2200:L2201"/>
    <mergeCell ref="M2200:M2201"/>
    <mergeCell ref="N2188:N2189"/>
    <mergeCell ref="L2185:L2187"/>
    <mergeCell ref="X2185:X2187"/>
    <mergeCell ref="L2096:L2097"/>
    <mergeCell ref="M2096:M2097"/>
    <mergeCell ref="O2096:O2097"/>
    <mergeCell ref="X2096:X2097"/>
    <mergeCell ref="L2098:L2100"/>
    <mergeCell ref="M2098:M2100"/>
    <mergeCell ref="O2098:O2100"/>
    <mergeCell ref="X2098:X2100"/>
    <mergeCell ref="L2101:L2103"/>
    <mergeCell ref="M2101:M2103"/>
    <mergeCell ref="L2122:L2128"/>
    <mergeCell ref="X2074:X2075"/>
    <mergeCell ref="L2054:L2055"/>
    <mergeCell ref="M2054:M2055"/>
    <mergeCell ref="X2054:X2055"/>
    <mergeCell ref="L2056:L2058"/>
    <mergeCell ref="M2056:M2058"/>
    <mergeCell ref="O2056:O2058"/>
    <mergeCell ref="X2056:X2058"/>
    <mergeCell ref="L2059:L2060"/>
    <mergeCell ref="M2059:M2060"/>
    <mergeCell ref="O2059:O2060"/>
    <mergeCell ref="X2059:X2062"/>
    <mergeCell ref="L2063:L2064"/>
    <mergeCell ref="M2063:M2064"/>
    <mergeCell ref="O2063:O2064"/>
    <mergeCell ref="X2063:X2066"/>
    <mergeCell ref="X2067:X2071"/>
    <mergeCell ref="M2068:M2069"/>
    <mergeCell ref="M2070:M2071"/>
    <mergeCell ref="N2063:N2064"/>
    <mergeCell ref="N2059:N2060"/>
    <mergeCell ref="N2056:N2058"/>
    <mergeCell ref="L2076:L2077"/>
    <mergeCell ref="X2076:X2077"/>
    <mergeCell ref="L2078:L2080"/>
    <mergeCell ref="X2078:X2080"/>
    <mergeCell ref="L2085:L2088"/>
    <mergeCell ref="M2085:M2088"/>
    <mergeCell ref="O2085:O2088"/>
    <mergeCell ref="L2089:L2090"/>
    <mergeCell ref="M2089:M2090"/>
    <mergeCell ref="L2036:L2037"/>
    <mergeCell ref="O2036:O2037"/>
    <mergeCell ref="X2036:X2039"/>
    <mergeCell ref="L2040:L2041"/>
    <mergeCell ref="L2042:L2043"/>
    <mergeCell ref="M2042:M2043"/>
    <mergeCell ref="O2042:O2043"/>
    <mergeCell ref="X2042:X2043"/>
    <mergeCell ref="L2044:L2045"/>
    <mergeCell ref="M2044:M2045"/>
    <mergeCell ref="O2044:O2045"/>
    <mergeCell ref="X2044:X2045"/>
    <mergeCell ref="L2050:L2051"/>
    <mergeCell ref="M2050:M2051"/>
    <mergeCell ref="X2050:X2051"/>
    <mergeCell ref="L2052:L2053"/>
    <mergeCell ref="M2052:M2053"/>
    <mergeCell ref="O2052:O2053"/>
    <mergeCell ref="X2052:X2053"/>
    <mergeCell ref="N2052:N2053"/>
    <mergeCell ref="N2044:N2045"/>
    <mergeCell ref="N2042:N2043"/>
    <mergeCell ref="N2036:N2037"/>
    <mergeCell ref="L2006:L2011"/>
    <mergeCell ref="M2006:M2011"/>
    <mergeCell ref="O2006:O2011"/>
    <mergeCell ref="X2006:X2011"/>
    <mergeCell ref="L2012:L2014"/>
    <mergeCell ref="O2012:O2014"/>
    <mergeCell ref="L2015:L2019"/>
    <mergeCell ref="M2015:M2019"/>
    <mergeCell ref="X2015:X2019"/>
    <mergeCell ref="L2021:L2023"/>
    <mergeCell ref="M2021:M2023"/>
    <mergeCell ref="X2021:X2024"/>
    <mergeCell ref="L2025:L2029"/>
    <mergeCell ref="M2025:M2029"/>
    <mergeCell ref="O2025:O2029"/>
    <mergeCell ref="X2025:X2029"/>
    <mergeCell ref="L2034:L2035"/>
    <mergeCell ref="M2034:M2035"/>
    <mergeCell ref="X2034:X2035"/>
    <mergeCell ref="N2025:N2029"/>
    <mergeCell ref="N2012:N2014"/>
    <mergeCell ref="N2006:N2011"/>
    <mergeCell ref="M2030:M2033"/>
    <mergeCell ref="O2030:O2033"/>
    <mergeCell ref="N2030:N2033"/>
    <mergeCell ref="X2030:X2033"/>
    <mergeCell ref="L2030:L2033"/>
    <mergeCell ref="L1983:L1984"/>
    <mergeCell ref="L1985:L1990"/>
    <mergeCell ref="M1985:M1990"/>
    <mergeCell ref="O1985:O1990"/>
    <mergeCell ref="X1985:X1990"/>
    <mergeCell ref="L1991:L1993"/>
    <mergeCell ref="X1991:X1993"/>
    <mergeCell ref="L1994:L1995"/>
    <mergeCell ref="M1994:M1995"/>
    <mergeCell ref="O1994:O1995"/>
    <mergeCell ref="L1996:L1997"/>
    <mergeCell ref="X1996:X1997"/>
    <mergeCell ref="X1999:X2000"/>
    <mergeCell ref="L2001:L2002"/>
    <mergeCell ref="M2001:M2004"/>
    <mergeCell ref="O2001:O2004"/>
    <mergeCell ref="X2001:X2005"/>
    <mergeCell ref="L2003:L2004"/>
    <mergeCell ref="N2001:N2004"/>
    <mergeCell ref="N1994:N1995"/>
    <mergeCell ref="N1985:N1990"/>
    <mergeCell ref="X1981:X1984"/>
    <mergeCell ref="L1954:L1955"/>
    <mergeCell ref="L1957:L1958"/>
    <mergeCell ref="M1957:M1958"/>
    <mergeCell ref="O1957:O1958"/>
    <mergeCell ref="X1957:X1958"/>
    <mergeCell ref="L1959:L1961"/>
    <mergeCell ref="M1959:M1961"/>
    <mergeCell ref="O1959:O1961"/>
    <mergeCell ref="X1959:X1961"/>
    <mergeCell ref="L1962:L1963"/>
    <mergeCell ref="M1962:M1963"/>
    <mergeCell ref="X1962:X1963"/>
    <mergeCell ref="L1964:L1968"/>
    <mergeCell ref="M1964:M1970"/>
    <mergeCell ref="O1964:O1970"/>
    <mergeCell ref="L1969:L1970"/>
    <mergeCell ref="L1971:L1974"/>
    <mergeCell ref="X1971:X1980"/>
    <mergeCell ref="N1964:N1970"/>
    <mergeCell ref="N1959:N1961"/>
    <mergeCell ref="N1957:N1958"/>
    <mergeCell ref="L1926:L1927"/>
    <mergeCell ref="O1926:O1927"/>
    <mergeCell ref="X1926:X1927"/>
    <mergeCell ref="L1928:L1933"/>
    <mergeCell ref="M1928:M1933"/>
    <mergeCell ref="O1928:O1933"/>
    <mergeCell ref="X1928:X1933"/>
    <mergeCell ref="L1935:L1937"/>
    <mergeCell ref="M1935:M1937"/>
    <mergeCell ref="L1938:L1941"/>
    <mergeCell ref="M1938:M1942"/>
    <mergeCell ref="X1938:X1942"/>
    <mergeCell ref="X1943:X1953"/>
    <mergeCell ref="L1947:L1948"/>
    <mergeCell ref="M1947:M1948"/>
    <mergeCell ref="L1951:L1952"/>
    <mergeCell ref="M1951:M1952"/>
    <mergeCell ref="N1928:N1933"/>
    <mergeCell ref="N1926:N1927"/>
    <mergeCell ref="N1935:N1937"/>
    <mergeCell ref="O1935:O1937"/>
    <mergeCell ref="L1914:L1916"/>
    <mergeCell ref="O1914:O1916"/>
    <mergeCell ref="X1914:X1916"/>
    <mergeCell ref="M1915:M1916"/>
    <mergeCell ref="L1917:L1918"/>
    <mergeCell ref="O1917:O1918"/>
    <mergeCell ref="X1917:X1918"/>
    <mergeCell ref="L1919:L1920"/>
    <mergeCell ref="O1919:O1920"/>
    <mergeCell ref="X1919:X1920"/>
    <mergeCell ref="N1919:N1920"/>
    <mergeCell ref="N1917:N1918"/>
    <mergeCell ref="N1914:N1916"/>
    <mergeCell ref="N1912:N1913"/>
    <mergeCell ref="N1909:N1911"/>
    <mergeCell ref="L1924:L1925"/>
    <mergeCell ref="O1924:O1925"/>
    <mergeCell ref="X1924:X1925"/>
    <mergeCell ref="N1924:N1925"/>
    <mergeCell ref="L1912:L1913"/>
    <mergeCell ref="O1912:O1913"/>
    <mergeCell ref="X1912:X1913"/>
    <mergeCell ref="L1860:L1861"/>
    <mergeCell ref="M1860:M1861"/>
    <mergeCell ref="O1860:O1861"/>
    <mergeCell ref="L1862:L1863"/>
    <mergeCell ref="M1862:M1864"/>
    <mergeCell ref="O1862:O1864"/>
    <mergeCell ref="N1862:N1864"/>
    <mergeCell ref="L1884:L1885"/>
    <mergeCell ref="M1884:M1885"/>
    <mergeCell ref="O1884:O1885"/>
    <mergeCell ref="X1884:X1886"/>
    <mergeCell ref="L1887:L1888"/>
    <mergeCell ref="X1889:X1891"/>
    <mergeCell ref="X1892:X1894"/>
    <mergeCell ref="M1849:M1851"/>
    <mergeCell ref="O1849:O1851"/>
    <mergeCell ref="X1849:X1851"/>
    <mergeCell ref="L1866:L1867"/>
    <mergeCell ref="L1868:L1869"/>
    <mergeCell ref="L1870:L1872"/>
    <mergeCell ref="L1852:L1854"/>
    <mergeCell ref="M1852:M1854"/>
    <mergeCell ref="O1852:O1854"/>
    <mergeCell ref="L1857:L1859"/>
    <mergeCell ref="M1857:M1859"/>
    <mergeCell ref="O1857:O1859"/>
    <mergeCell ref="L1878:L1881"/>
    <mergeCell ref="M1878:M1883"/>
    <mergeCell ref="O1878:O1883"/>
    <mergeCell ref="X1878:X1883"/>
    <mergeCell ref="L1882:L1883"/>
    <mergeCell ref="X1860:X1861"/>
    <mergeCell ref="L1907:L1908"/>
    <mergeCell ref="L1909:L1911"/>
    <mergeCell ref="O1909:O1911"/>
    <mergeCell ref="X1909:X1911"/>
    <mergeCell ref="M1910:M1911"/>
    <mergeCell ref="L1810:L1811"/>
    <mergeCell ref="M1810:M1811"/>
    <mergeCell ref="L1812:L1814"/>
    <mergeCell ref="L1895:L1899"/>
    <mergeCell ref="M1895:M1899"/>
    <mergeCell ref="X1895:X1899"/>
    <mergeCell ref="L1900:L1902"/>
    <mergeCell ref="M1900:M1902"/>
    <mergeCell ref="O1900:O1902"/>
    <mergeCell ref="X1900:X1902"/>
    <mergeCell ref="N1900:N1902"/>
    <mergeCell ref="N1884:N1885"/>
    <mergeCell ref="N1878:N1883"/>
    <mergeCell ref="N1860:N1861"/>
    <mergeCell ref="N1857:N1859"/>
    <mergeCell ref="N1852:N1854"/>
    <mergeCell ref="L1815:L1817"/>
    <mergeCell ref="O1815:O1817"/>
    <mergeCell ref="M1818:M1819"/>
    <mergeCell ref="X1818:X1819"/>
    <mergeCell ref="L1821:L1822"/>
    <mergeCell ref="X1821:X1822"/>
    <mergeCell ref="L1842:L1843"/>
    <mergeCell ref="O1842:O1844"/>
    <mergeCell ref="M1846:M1847"/>
    <mergeCell ref="X1846:X1847"/>
    <mergeCell ref="N1842:N1844"/>
    <mergeCell ref="L1849:L1851"/>
    <mergeCell ref="X1753:X1759"/>
    <mergeCell ref="L1757:L1759"/>
    <mergeCell ref="N1753:N1756"/>
    <mergeCell ref="N1849:N1851"/>
    <mergeCell ref="O1832:O1833"/>
    <mergeCell ref="X1824:X1831"/>
    <mergeCell ref="X1832:X1835"/>
    <mergeCell ref="L1824:L1829"/>
    <mergeCell ref="L1832:L1833"/>
    <mergeCell ref="L1837:L1839"/>
    <mergeCell ref="N1824:N1828"/>
    <mergeCell ref="N1832:N1833"/>
    <mergeCell ref="X1774:X1776"/>
    <mergeCell ref="X1793:X1794"/>
    <mergeCell ref="X1795:X1796"/>
    <mergeCell ref="X1798:X1799"/>
    <mergeCell ref="X1800:X1801"/>
    <mergeCell ref="O1824:O1828"/>
    <mergeCell ref="L1785:L1786"/>
    <mergeCell ref="N1785:N1786"/>
    <mergeCell ref="N1774:N1776"/>
    <mergeCell ref="L1787:L1788"/>
    <mergeCell ref="M1787:M1788"/>
    <mergeCell ref="O1787:O1788"/>
    <mergeCell ref="X1787:X1790"/>
    <mergeCell ref="L1789:L1790"/>
    <mergeCell ref="L1791:L1792"/>
    <mergeCell ref="N1791:N1792"/>
    <mergeCell ref="N1787:N1788"/>
    <mergeCell ref="L1802:L1803"/>
    <mergeCell ref="X1804:X1814"/>
    <mergeCell ref="L1806:L1807"/>
    <mergeCell ref="L1761:L1762"/>
    <mergeCell ref="M1763:M1766"/>
    <mergeCell ref="O1763:O1766"/>
    <mergeCell ref="X1763:X1766"/>
    <mergeCell ref="L1764:L1766"/>
    <mergeCell ref="L1738:L1739"/>
    <mergeCell ref="L1741:L1743"/>
    <mergeCell ref="N1741:N1743"/>
    <mergeCell ref="N1729:N1731"/>
    <mergeCell ref="M1769:M1770"/>
    <mergeCell ref="N1769:N1770"/>
    <mergeCell ref="O1769:O1770"/>
    <mergeCell ref="X1729:X1740"/>
    <mergeCell ref="X1741:X1745"/>
    <mergeCell ref="L1767:L1768"/>
    <mergeCell ref="M1812:M1814"/>
    <mergeCell ref="L1793:L1794"/>
    <mergeCell ref="L1795:L1796"/>
    <mergeCell ref="L1798:L1799"/>
    <mergeCell ref="L1800:L1801"/>
    <mergeCell ref="N1763:N1766"/>
    <mergeCell ref="L1782:L1783"/>
    <mergeCell ref="L1769:L1770"/>
    <mergeCell ref="L1772:L1773"/>
    <mergeCell ref="L1774:L1776"/>
    <mergeCell ref="L1749:L1750"/>
    <mergeCell ref="O1767:O1768"/>
    <mergeCell ref="L1780:L1781"/>
    <mergeCell ref="M1780:M1781"/>
    <mergeCell ref="O1780:O1781"/>
    <mergeCell ref="X1780:X1781"/>
    <mergeCell ref="L1682:L1683"/>
    <mergeCell ref="O1685:O1686"/>
    <mergeCell ref="X1685:X1690"/>
    <mergeCell ref="L1687:L1688"/>
    <mergeCell ref="L1689:L1690"/>
    <mergeCell ref="L1709:L1717"/>
    <mergeCell ref="M1709:M1710"/>
    <mergeCell ref="O1709:O1717"/>
    <mergeCell ref="X1709:X1720"/>
    <mergeCell ref="L1718:L1720"/>
    <mergeCell ref="M1718:M1720"/>
    <mergeCell ref="M1700:M1701"/>
    <mergeCell ref="L1649:L1653"/>
    <mergeCell ref="O1649:O1653"/>
    <mergeCell ref="L1654:L1656"/>
    <mergeCell ref="L1657:L1659"/>
    <mergeCell ref="L1663:L1664"/>
    <mergeCell ref="M1663:M1664"/>
    <mergeCell ref="L1665:L1666"/>
    <mergeCell ref="M1665:M1666"/>
    <mergeCell ref="L1667:L1668"/>
    <mergeCell ref="M1667:M1668"/>
    <mergeCell ref="L1669:L1671"/>
    <mergeCell ref="M1669:M1671"/>
    <mergeCell ref="L1672:L1673"/>
    <mergeCell ref="M1672:M1673"/>
    <mergeCell ref="L907:L909"/>
    <mergeCell ref="O907:O909"/>
    <mergeCell ref="L912:L913"/>
    <mergeCell ref="L915:L916"/>
    <mergeCell ref="L917:L918"/>
    <mergeCell ref="L927:L928"/>
    <mergeCell ref="L929:L930"/>
    <mergeCell ref="L994:L997"/>
    <mergeCell ref="M929:M930"/>
    <mergeCell ref="M1020:M1029"/>
    <mergeCell ref="L1059:L1061"/>
    <mergeCell ref="L1090:L1095"/>
    <mergeCell ref="M1090:M1095"/>
    <mergeCell ref="O1090:O1095"/>
    <mergeCell ref="L1122:L1126"/>
    <mergeCell ref="M1122:M1126"/>
    <mergeCell ref="O1122:O1126"/>
    <mergeCell ref="L999:L1002"/>
    <mergeCell ref="M958:M970"/>
    <mergeCell ref="L1003:L1004"/>
    <mergeCell ref="L1189:L1191"/>
    <mergeCell ref="L1198:L1199"/>
    <mergeCell ref="M1198:M1199"/>
    <mergeCell ref="O1198:O1199"/>
    <mergeCell ref="M1226:M1227"/>
    <mergeCell ref="O1226:O1227"/>
    <mergeCell ref="L1318:L1319"/>
    <mergeCell ref="X912:X913"/>
    <mergeCell ref="X915:X916"/>
    <mergeCell ref="X917:X918"/>
    <mergeCell ref="X927:X928"/>
    <mergeCell ref="X929:X930"/>
    <mergeCell ref="L971:L974"/>
    <mergeCell ref="M971:M974"/>
    <mergeCell ref="L975:L979"/>
    <mergeCell ref="L981:L982"/>
    <mergeCell ref="X981:X982"/>
    <mergeCell ref="L984:L985"/>
    <mergeCell ref="L947:L949"/>
    <mergeCell ref="M947:M949"/>
    <mergeCell ref="X947:X949"/>
    <mergeCell ref="L951:L952"/>
    <mergeCell ref="M951:M952"/>
    <mergeCell ref="X951:X952"/>
    <mergeCell ref="L954:L957"/>
    <mergeCell ref="X954:X957"/>
    <mergeCell ref="X975:X977"/>
    <mergeCell ref="X978:X979"/>
    <mergeCell ref="X1020:X1029"/>
    <mergeCell ref="L991:L992"/>
    <mergeCell ref="X991:X993"/>
    <mergeCell ref="X999:X1002"/>
    <mergeCell ref="L858:L859"/>
    <mergeCell ref="M858:M859"/>
    <mergeCell ref="X858:X859"/>
    <mergeCell ref="L860:L862"/>
    <mergeCell ref="M860:M862"/>
    <mergeCell ref="X860:X862"/>
    <mergeCell ref="L931:L932"/>
    <mergeCell ref="M931:M932"/>
    <mergeCell ref="L933:L934"/>
    <mergeCell ref="X933:X935"/>
    <mergeCell ref="L938:L940"/>
    <mergeCell ref="M938:M940"/>
    <mergeCell ref="X938:X940"/>
    <mergeCell ref="L941:L945"/>
    <mergeCell ref="M941:M945"/>
    <mergeCell ref="X941:X945"/>
    <mergeCell ref="L880:L883"/>
    <mergeCell ref="L887:L889"/>
    <mergeCell ref="M887:M896"/>
    <mergeCell ref="X887:X889"/>
    <mergeCell ref="L890:L893"/>
    <mergeCell ref="X890:X893"/>
    <mergeCell ref="L894:L896"/>
    <mergeCell ref="X894:X896"/>
    <mergeCell ref="L897:L905"/>
    <mergeCell ref="O897:O905"/>
    <mergeCell ref="M912:M913"/>
    <mergeCell ref="M915:M916"/>
    <mergeCell ref="M917:M918"/>
    <mergeCell ref="M927:M928"/>
    <mergeCell ref="M871:M874"/>
    <mergeCell ref="N864:N868"/>
    <mergeCell ref="L850:L851"/>
    <mergeCell ref="Y694:Y695"/>
    <mergeCell ref="Y697:Y704"/>
    <mergeCell ref="Y727:Y735"/>
    <mergeCell ref="Y637:Y652"/>
    <mergeCell ref="Y669:Y670"/>
    <mergeCell ref="Y672:Y673"/>
    <mergeCell ref="Y674:Y679"/>
    <mergeCell ref="Y683:Y687"/>
    <mergeCell ref="Y771:Y776"/>
    <mergeCell ref="Y777:Y782"/>
    <mergeCell ref="Y783:Y788"/>
    <mergeCell ref="Y813:Y820"/>
    <mergeCell ref="Y835:Y836"/>
    <mergeCell ref="L854:L857"/>
    <mergeCell ref="M854:M857"/>
    <mergeCell ref="M821:M823"/>
    <mergeCell ref="O821:O823"/>
    <mergeCell ref="L835:L836"/>
    <mergeCell ref="M835:M836"/>
    <mergeCell ref="L813:L817"/>
    <mergeCell ref="M813:M820"/>
    <mergeCell ref="O813:O820"/>
    <mergeCell ref="L819:L820"/>
    <mergeCell ref="L825:L826"/>
    <mergeCell ref="M825:M826"/>
    <mergeCell ref="L827:L828"/>
    <mergeCell ref="X850:X851"/>
    <mergeCell ref="L805:L810"/>
    <mergeCell ref="W805:W806"/>
    <mergeCell ref="X805:X811"/>
    <mergeCell ref="L790:L794"/>
    <mergeCell ref="M790:M794"/>
    <mergeCell ref="O790:O794"/>
    <mergeCell ref="L795:L803"/>
    <mergeCell ref="X795:X804"/>
    <mergeCell ref="N790:N794"/>
    <mergeCell ref="N837:N838"/>
    <mergeCell ref="N821:N823"/>
    <mergeCell ref="L764:L772"/>
    <mergeCell ref="L844:L847"/>
    <mergeCell ref="M844:M847"/>
    <mergeCell ref="L848:L849"/>
    <mergeCell ref="M848:M849"/>
    <mergeCell ref="X848:X849"/>
    <mergeCell ref="L837:L838"/>
    <mergeCell ref="M837:M838"/>
    <mergeCell ref="O837:O838"/>
    <mergeCell ref="L839:L843"/>
    <mergeCell ref="L777:L778"/>
    <mergeCell ref="L785:L786"/>
    <mergeCell ref="L787:L788"/>
    <mergeCell ref="L821:L823"/>
    <mergeCell ref="M827:M828"/>
    <mergeCell ref="L829:L830"/>
    <mergeCell ref="M829:M830"/>
    <mergeCell ref="L831:L832"/>
    <mergeCell ref="M831:M832"/>
    <mergeCell ref="L833:L834"/>
    <mergeCell ref="M833:M834"/>
    <mergeCell ref="M839:M843"/>
    <mergeCell ref="Y469:Y470"/>
    <mergeCell ref="Y471:Y474"/>
    <mergeCell ref="Y475:Y477"/>
    <mergeCell ref="Y545:Y546"/>
    <mergeCell ref="Y548:Y550"/>
    <mergeCell ref="Y551:Y553"/>
    <mergeCell ref="Y555:Y559"/>
    <mergeCell ref="Y560:Y561"/>
    <mergeCell ref="Y511:Y522"/>
    <mergeCell ref="Y523:Y524"/>
    <mergeCell ref="Y525:Y527"/>
    <mergeCell ref="Y528:Y531"/>
    <mergeCell ref="Y534:Y535"/>
    <mergeCell ref="Y375:Y379"/>
    <mergeCell ref="Y398:Y405"/>
    <mergeCell ref="Y411:Y413"/>
    <mergeCell ref="Y483:Y492"/>
    <mergeCell ref="Y493:Y495"/>
    <mergeCell ref="Y497:Y500"/>
    <mergeCell ref="Y501:Y506"/>
    <mergeCell ref="Y507:Y508"/>
    <mergeCell ref="Y349:Y351"/>
    <mergeCell ref="Y352:Y354"/>
    <mergeCell ref="Y364:Y366"/>
    <mergeCell ref="Y380:Y397"/>
    <mergeCell ref="Y435:Y436"/>
    <mergeCell ref="Y437:Y438"/>
    <mergeCell ref="Y440:Y445"/>
    <mergeCell ref="Y449:Y459"/>
    <mergeCell ref="Y462:Y463"/>
    <mergeCell ref="Y414:Y415"/>
    <mergeCell ref="Y416:Y419"/>
    <mergeCell ref="Y421:Y422"/>
    <mergeCell ref="Y423:Y424"/>
    <mergeCell ref="Y429:Y430"/>
    <mergeCell ref="Y325:Y326"/>
    <mergeCell ref="Y464:Y466"/>
    <mergeCell ref="Y467:Y468"/>
    <mergeCell ref="Y149:Y154"/>
    <mergeCell ref="Y155:Y156"/>
    <mergeCell ref="Y194:Y199"/>
    <mergeCell ref="Y200:Y204"/>
    <mergeCell ref="Y208:Y212"/>
    <mergeCell ref="Y213:Y219"/>
    <mergeCell ref="Y220:Y222"/>
    <mergeCell ref="Y178:Y180"/>
    <mergeCell ref="Y181:Y182"/>
    <mergeCell ref="Y183:Y184"/>
    <mergeCell ref="Y185:Y186"/>
    <mergeCell ref="Y187:Y193"/>
    <mergeCell ref="Y140:Y141"/>
    <mergeCell ref="Y142:Y144"/>
    <mergeCell ref="Y162:Y164"/>
    <mergeCell ref="Y293:Y304"/>
    <mergeCell ref="Y331:Y346"/>
    <mergeCell ref="Y101:Y113"/>
    <mergeCell ref="Y114:Y120"/>
    <mergeCell ref="Y121:Y123"/>
    <mergeCell ref="Y124:Y127"/>
    <mergeCell ref="X844:X847"/>
    <mergeCell ref="Y238:Y245"/>
    <mergeCell ref="Y275:Y280"/>
    <mergeCell ref="Y223:Y224"/>
    <mergeCell ref="Y226:Y227"/>
    <mergeCell ref="Y228:Y229"/>
    <mergeCell ref="Y230:Y233"/>
    <mergeCell ref="Y234:Y236"/>
    <mergeCell ref="Y253:Y254"/>
    <mergeCell ref="Y257:Y260"/>
    <mergeCell ref="Y262:Y271"/>
    <mergeCell ref="Y272:Y274"/>
    <mergeCell ref="X835:X836"/>
    <mergeCell ref="X839:X843"/>
    <mergeCell ref="X777:X782"/>
    <mergeCell ref="X783:X788"/>
    <mergeCell ref="X813:X820"/>
    <mergeCell ref="X501:X506"/>
    <mergeCell ref="X483:X492"/>
    <mergeCell ref="X293:X304"/>
    <mergeCell ref="Y157:Y159"/>
    <mergeCell ref="Y160:Y161"/>
    <mergeCell ref="Y165:Y169"/>
    <mergeCell ref="Y171:Y175"/>
    <mergeCell ref="Y176:Y177"/>
    <mergeCell ref="Y128:Y134"/>
    <mergeCell ref="Y135:Y139"/>
    <mergeCell ref="Y145:Y148"/>
    <mergeCell ref="L736:L743"/>
    <mergeCell ref="M736:M743"/>
    <mergeCell ref="O736:O743"/>
    <mergeCell ref="X736:X743"/>
    <mergeCell ref="L725:L726"/>
    <mergeCell ref="L727:L729"/>
    <mergeCell ref="M727:M735"/>
    <mergeCell ref="O727:O735"/>
    <mergeCell ref="L750:L752"/>
    <mergeCell ref="M750:M763"/>
    <mergeCell ref="W750:W751"/>
    <mergeCell ref="X750:X756"/>
    <mergeCell ref="W757:W758"/>
    <mergeCell ref="X757:X763"/>
    <mergeCell ref="L759:L761"/>
    <mergeCell ref="L762:L763"/>
    <mergeCell ref="L744:L745"/>
    <mergeCell ref="M744:M745"/>
    <mergeCell ref="O744:O745"/>
    <mergeCell ref="X744:X745"/>
    <mergeCell ref="L746:L749"/>
    <mergeCell ref="N744:N745"/>
    <mergeCell ref="M746:M749"/>
    <mergeCell ref="L683:L687"/>
    <mergeCell ref="M683:M687"/>
    <mergeCell ref="O683:O687"/>
    <mergeCell ref="X683:X687"/>
    <mergeCell ref="L694:L695"/>
    <mergeCell ref="M694:M695"/>
    <mergeCell ref="O694:O695"/>
    <mergeCell ref="X694:X695"/>
    <mergeCell ref="L674:L677"/>
    <mergeCell ref="M674:M679"/>
    <mergeCell ref="O674:O679"/>
    <mergeCell ref="X674:X679"/>
    <mergeCell ref="L681:L682"/>
    <mergeCell ref="N694:N695"/>
    <mergeCell ref="N683:N687"/>
    <mergeCell ref="N674:N679"/>
    <mergeCell ref="L706:L707"/>
    <mergeCell ref="X688:X693"/>
    <mergeCell ref="L712:L714"/>
    <mergeCell ref="L715:L716"/>
    <mergeCell ref="L697:L699"/>
    <mergeCell ref="M697:M704"/>
    <mergeCell ref="O697:O704"/>
    <mergeCell ref="X697:X704"/>
    <mergeCell ref="L700:L701"/>
    <mergeCell ref="N697:N704"/>
    <mergeCell ref="L688:L693"/>
    <mergeCell ref="M706:M707"/>
    <mergeCell ref="M708:M709"/>
    <mergeCell ref="M710:M711"/>
    <mergeCell ref="O706:O711"/>
    <mergeCell ref="L620:L621"/>
    <mergeCell ref="M620:M621"/>
    <mergeCell ref="O620:O621"/>
    <mergeCell ref="X624:X630"/>
    <mergeCell ref="O636:O645"/>
    <mergeCell ref="X637:X652"/>
    <mergeCell ref="L644:L645"/>
    <mergeCell ref="L647:L648"/>
    <mergeCell ref="M647:M648"/>
    <mergeCell ref="L649:L650"/>
    <mergeCell ref="M649:M650"/>
    <mergeCell ref="L651:L652"/>
    <mergeCell ref="M651:M652"/>
    <mergeCell ref="N636:N645"/>
    <mergeCell ref="N620:N621"/>
    <mergeCell ref="X669:X670"/>
    <mergeCell ref="L671:L672"/>
    <mergeCell ref="M671:M673"/>
    <mergeCell ref="O671:O673"/>
    <mergeCell ref="L653:L654"/>
    <mergeCell ref="L656:L657"/>
    <mergeCell ref="L668:L669"/>
    <mergeCell ref="M668:M670"/>
    <mergeCell ref="O668:O670"/>
    <mergeCell ref="N671:N673"/>
    <mergeCell ref="N668:N670"/>
    <mergeCell ref="L663:L667"/>
    <mergeCell ref="L579:L580"/>
    <mergeCell ref="M579:M581"/>
    <mergeCell ref="O579:O581"/>
    <mergeCell ref="X579:X581"/>
    <mergeCell ref="L583:L584"/>
    <mergeCell ref="M583:M590"/>
    <mergeCell ref="O583:O590"/>
    <mergeCell ref="X583:X584"/>
    <mergeCell ref="X585:X586"/>
    <mergeCell ref="L587:L588"/>
    <mergeCell ref="X587:X588"/>
    <mergeCell ref="X589:X590"/>
    <mergeCell ref="N583:N590"/>
    <mergeCell ref="N579:N581"/>
    <mergeCell ref="L611:L612"/>
    <mergeCell ref="M611:M612"/>
    <mergeCell ref="O611:O612"/>
    <mergeCell ref="X611:X619"/>
    <mergeCell ref="L613:L615"/>
    <mergeCell ref="L617:L619"/>
    <mergeCell ref="L596:L601"/>
    <mergeCell ref="M596:M610"/>
    <mergeCell ref="O596:O610"/>
    <mergeCell ref="X596:X610"/>
    <mergeCell ref="L602:L605"/>
    <mergeCell ref="L607:L608"/>
    <mergeCell ref="L609:L610"/>
    <mergeCell ref="N611:N612"/>
    <mergeCell ref="N596:N610"/>
    <mergeCell ref="L593:L595"/>
    <mergeCell ref="M593:M595"/>
    <mergeCell ref="X593:X595"/>
    <mergeCell ref="L560:L561"/>
    <mergeCell ref="M560:M561"/>
    <mergeCell ref="O560:O561"/>
    <mergeCell ref="X560:X561"/>
    <mergeCell ref="L548:L550"/>
    <mergeCell ref="X548:X550"/>
    <mergeCell ref="L551:L553"/>
    <mergeCell ref="M551:M553"/>
    <mergeCell ref="O551:O553"/>
    <mergeCell ref="X551:X553"/>
    <mergeCell ref="N560:N561"/>
    <mergeCell ref="N551:N553"/>
    <mergeCell ref="L572:L574"/>
    <mergeCell ref="M572:M578"/>
    <mergeCell ref="O572:O578"/>
    <mergeCell ref="X572:X578"/>
    <mergeCell ref="L576:L578"/>
    <mergeCell ref="L564:L565"/>
    <mergeCell ref="L566:L567"/>
    <mergeCell ref="M566:M571"/>
    <mergeCell ref="O566:O571"/>
    <mergeCell ref="X566:X571"/>
    <mergeCell ref="L569:L571"/>
    <mergeCell ref="N572:N578"/>
    <mergeCell ref="L541:L544"/>
    <mergeCell ref="M541:M544"/>
    <mergeCell ref="O541:O544"/>
    <mergeCell ref="L545:L546"/>
    <mergeCell ref="X545:X546"/>
    <mergeCell ref="L528:L531"/>
    <mergeCell ref="M528:M531"/>
    <mergeCell ref="X528:X531"/>
    <mergeCell ref="L532:L533"/>
    <mergeCell ref="L534:L535"/>
    <mergeCell ref="M534:M535"/>
    <mergeCell ref="O534:O535"/>
    <mergeCell ref="X534:X535"/>
    <mergeCell ref="N541:N544"/>
    <mergeCell ref="N534:N535"/>
    <mergeCell ref="L555:L559"/>
    <mergeCell ref="M555:M559"/>
    <mergeCell ref="X555:X559"/>
    <mergeCell ref="L538:L539"/>
    <mergeCell ref="M538:M540"/>
    <mergeCell ref="O538:O540"/>
    <mergeCell ref="N538:N540"/>
    <mergeCell ref="X538:X540"/>
    <mergeCell ref="L502:L504"/>
    <mergeCell ref="M502:M504"/>
    <mergeCell ref="L505:L506"/>
    <mergeCell ref="M505:M506"/>
    <mergeCell ref="N497:N500"/>
    <mergeCell ref="L523:L524"/>
    <mergeCell ref="M523:M524"/>
    <mergeCell ref="X523:X524"/>
    <mergeCell ref="L525:L526"/>
    <mergeCell ref="M525:M527"/>
    <mergeCell ref="O525:O527"/>
    <mergeCell ref="X525:X527"/>
    <mergeCell ref="L507:L508"/>
    <mergeCell ref="M507:M508"/>
    <mergeCell ref="O507:O508"/>
    <mergeCell ref="X507:X508"/>
    <mergeCell ref="L510:L515"/>
    <mergeCell ref="M510:M522"/>
    <mergeCell ref="O510:O522"/>
    <mergeCell ref="X511:X522"/>
    <mergeCell ref="L521:L522"/>
    <mergeCell ref="N525:N527"/>
    <mergeCell ref="N510:N522"/>
    <mergeCell ref="N507:N508"/>
    <mergeCell ref="L487:L488"/>
    <mergeCell ref="L493:L495"/>
    <mergeCell ref="M493:M495"/>
    <mergeCell ref="O493:O495"/>
    <mergeCell ref="X493:X495"/>
    <mergeCell ref="L471:L474"/>
    <mergeCell ref="M471:M474"/>
    <mergeCell ref="O471:O474"/>
    <mergeCell ref="X471:X474"/>
    <mergeCell ref="L475:L476"/>
    <mergeCell ref="M475:M477"/>
    <mergeCell ref="X475:X477"/>
    <mergeCell ref="N493:N495"/>
    <mergeCell ref="N471:N474"/>
    <mergeCell ref="L497:L500"/>
    <mergeCell ref="M497:M500"/>
    <mergeCell ref="O497:O500"/>
    <mergeCell ref="X497:X500"/>
    <mergeCell ref="M483:M492"/>
    <mergeCell ref="L469:L470"/>
    <mergeCell ref="M469:M470"/>
    <mergeCell ref="O469:O470"/>
    <mergeCell ref="X469:X470"/>
    <mergeCell ref="L462:L463"/>
    <mergeCell ref="M462:M463"/>
    <mergeCell ref="O462:O463"/>
    <mergeCell ref="X462:X463"/>
    <mergeCell ref="L464:L465"/>
    <mergeCell ref="M464:M466"/>
    <mergeCell ref="O464:O466"/>
    <mergeCell ref="X464:X466"/>
    <mergeCell ref="N469:N470"/>
    <mergeCell ref="N467:N468"/>
    <mergeCell ref="N464:N466"/>
    <mergeCell ref="N462:N463"/>
    <mergeCell ref="L478:L482"/>
    <mergeCell ref="L446:L447"/>
    <mergeCell ref="L449:L452"/>
    <mergeCell ref="M449:M452"/>
    <mergeCell ref="O449:O452"/>
    <mergeCell ref="X449:X459"/>
    <mergeCell ref="L453:L456"/>
    <mergeCell ref="M453:M456"/>
    <mergeCell ref="O453:O456"/>
    <mergeCell ref="L457:L459"/>
    <mergeCell ref="M457:M459"/>
    <mergeCell ref="O457:O459"/>
    <mergeCell ref="N457:N459"/>
    <mergeCell ref="N453:N456"/>
    <mergeCell ref="N449:N452"/>
    <mergeCell ref="L467:L468"/>
    <mergeCell ref="M467:M468"/>
    <mergeCell ref="O467:O468"/>
    <mergeCell ref="X467:X468"/>
    <mergeCell ref="L429:L430"/>
    <mergeCell ref="M429:M430"/>
    <mergeCell ref="O429:O430"/>
    <mergeCell ref="X429:X430"/>
    <mergeCell ref="L432:L434"/>
    <mergeCell ref="L423:L424"/>
    <mergeCell ref="M423:M424"/>
    <mergeCell ref="O423:O424"/>
    <mergeCell ref="X423:X424"/>
    <mergeCell ref="L426:L428"/>
    <mergeCell ref="N429:N430"/>
    <mergeCell ref="N423:N424"/>
    <mergeCell ref="X440:X445"/>
    <mergeCell ref="L441:L442"/>
    <mergeCell ref="M441:M442"/>
    <mergeCell ref="O441:O442"/>
    <mergeCell ref="L443:L445"/>
    <mergeCell ref="M443:M445"/>
    <mergeCell ref="O443:O445"/>
    <mergeCell ref="L435:L436"/>
    <mergeCell ref="M435:M436"/>
    <mergeCell ref="O435:O436"/>
    <mergeCell ref="X435:X436"/>
    <mergeCell ref="L437:L438"/>
    <mergeCell ref="M437:M438"/>
    <mergeCell ref="X437:X438"/>
    <mergeCell ref="N443:N445"/>
    <mergeCell ref="N441:N442"/>
    <mergeCell ref="N435:N436"/>
    <mergeCell ref="L398:L402"/>
    <mergeCell ref="M398:M405"/>
    <mergeCell ref="O398:O405"/>
    <mergeCell ref="X398:X405"/>
    <mergeCell ref="L403:L405"/>
    <mergeCell ref="N398:N405"/>
    <mergeCell ref="L416:L417"/>
    <mergeCell ref="M416:M419"/>
    <mergeCell ref="O416:O419"/>
    <mergeCell ref="X416:X419"/>
    <mergeCell ref="L421:L422"/>
    <mergeCell ref="M421:M422"/>
    <mergeCell ref="X421:X422"/>
    <mergeCell ref="L407:L408"/>
    <mergeCell ref="L411:L413"/>
    <mergeCell ref="M411:M413"/>
    <mergeCell ref="X411:X413"/>
    <mergeCell ref="L414:L415"/>
    <mergeCell ref="M414:M415"/>
    <mergeCell ref="O414:O415"/>
    <mergeCell ref="X414:X415"/>
    <mergeCell ref="N416:N419"/>
    <mergeCell ref="N414:N415"/>
    <mergeCell ref="L391:L392"/>
    <mergeCell ref="N380:N381"/>
    <mergeCell ref="N375:N377"/>
    <mergeCell ref="X380:X397"/>
    <mergeCell ref="L396:L397"/>
    <mergeCell ref="M394:M395"/>
    <mergeCell ref="L394:L395"/>
    <mergeCell ref="L364:L366"/>
    <mergeCell ref="M364:M366"/>
    <mergeCell ref="O364:O366"/>
    <mergeCell ref="X364:X366"/>
    <mergeCell ref="L367:L369"/>
    <mergeCell ref="M367:M369"/>
    <mergeCell ref="L375:L377"/>
    <mergeCell ref="M375:M377"/>
    <mergeCell ref="O375:O377"/>
    <mergeCell ref="X375:X379"/>
    <mergeCell ref="L380:L381"/>
    <mergeCell ref="M380:M381"/>
    <mergeCell ref="O380:O381"/>
    <mergeCell ref="L385:L386"/>
    <mergeCell ref="L389:L390"/>
    <mergeCell ref="L328:L330"/>
    <mergeCell ref="L331:L336"/>
    <mergeCell ref="O331:O336"/>
    <mergeCell ref="X331:X346"/>
    <mergeCell ref="L343:L344"/>
    <mergeCell ref="L345:L346"/>
    <mergeCell ref="N331:N336"/>
    <mergeCell ref="L352:L354"/>
    <mergeCell ref="M352:M354"/>
    <mergeCell ref="O352:O354"/>
    <mergeCell ref="X352:X354"/>
    <mergeCell ref="L356:L358"/>
    <mergeCell ref="N364:N366"/>
    <mergeCell ref="N352:N354"/>
    <mergeCell ref="L347:L348"/>
    <mergeCell ref="L349:L351"/>
    <mergeCell ref="M349:M351"/>
    <mergeCell ref="O349:O351"/>
    <mergeCell ref="X349:X351"/>
    <mergeCell ref="N349:N351"/>
    <mergeCell ref="L316:L317"/>
    <mergeCell ref="M316:M317"/>
    <mergeCell ref="O316:O317"/>
    <mergeCell ref="L318:L320"/>
    <mergeCell ref="L321:L322"/>
    <mergeCell ref="M321:M322"/>
    <mergeCell ref="O321:O322"/>
    <mergeCell ref="L323:L324"/>
    <mergeCell ref="M323:M324"/>
    <mergeCell ref="X305:X308"/>
    <mergeCell ref="X312:X314"/>
    <mergeCell ref="X238:X245"/>
    <mergeCell ref="L248:L250"/>
    <mergeCell ref="L251:L252"/>
    <mergeCell ref="L253:L254"/>
    <mergeCell ref="M253:M254"/>
    <mergeCell ref="O253:O254"/>
    <mergeCell ref="N253:N254"/>
    <mergeCell ref="N238:N245"/>
    <mergeCell ref="X253:X254"/>
    <mergeCell ref="X257:X260"/>
    <mergeCell ref="X262:X271"/>
    <mergeCell ref="X275:X280"/>
    <mergeCell ref="L283:L285"/>
    <mergeCell ref="L262:L263"/>
    <mergeCell ref="M262:M263"/>
    <mergeCell ref="O262:O263"/>
    <mergeCell ref="L264:L266"/>
    <mergeCell ref="L267:L270"/>
    <mergeCell ref="L272:L274"/>
    <mergeCell ref="M272:M274"/>
    <mergeCell ref="O272:O274"/>
    <mergeCell ref="N272:N274"/>
    <mergeCell ref="N262:N263"/>
    <mergeCell ref="X272:X274"/>
    <mergeCell ref="L255:L256"/>
    <mergeCell ref="M255:M256"/>
    <mergeCell ref="N255:N256"/>
    <mergeCell ref="O255:O256"/>
    <mergeCell ref="X255:X256"/>
    <mergeCell ref="L226:L227"/>
    <mergeCell ref="M226:M227"/>
    <mergeCell ref="O226:O227"/>
    <mergeCell ref="X226:X227"/>
    <mergeCell ref="L228:L229"/>
    <mergeCell ref="M228:M229"/>
    <mergeCell ref="O228:O229"/>
    <mergeCell ref="X228:X229"/>
    <mergeCell ref="N228:N229"/>
    <mergeCell ref="N226:N227"/>
    <mergeCell ref="L230:L233"/>
    <mergeCell ref="M230:M233"/>
    <mergeCell ref="O230:O233"/>
    <mergeCell ref="X230:X233"/>
    <mergeCell ref="L234:L236"/>
    <mergeCell ref="M234:M236"/>
    <mergeCell ref="O234:O236"/>
    <mergeCell ref="X234:X236"/>
    <mergeCell ref="N234:N236"/>
    <mergeCell ref="N230:N233"/>
    <mergeCell ref="L206:L207"/>
    <mergeCell ref="L208:L211"/>
    <mergeCell ref="M208:M212"/>
    <mergeCell ref="O208:O212"/>
    <mergeCell ref="X208:X212"/>
    <mergeCell ref="N208:N212"/>
    <mergeCell ref="L200:L202"/>
    <mergeCell ref="M200:M202"/>
    <mergeCell ref="O200:O202"/>
    <mergeCell ref="X200:X204"/>
    <mergeCell ref="L203:L204"/>
    <mergeCell ref="M203:M204"/>
    <mergeCell ref="N200:N202"/>
    <mergeCell ref="L220:L222"/>
    <mergeCell ref="X220:X222"/>
    <mergeCell ref="L223:L224"/>
    <mergeCell ref="M223:M224"/>
    <mergeCell ref="O223:O224"/>
    <mergeCell ref="X223:X224"/>
    <mergeCell ref="N223:N224"/>
    <mergeCell ref="L213:L214"/>
    <mergeCell ref="X213:X219"/>
    <mergeCell ref="L216:L217"/>
    <mergeCell ref="M216:M217"/>
    <mergeCell ref="O216:O217"/>
    <mergeCell ref="L218:L219"/>
    <mergeCell ref="M218:M219"/>
    <mergeCell ref="O218:O219"/>
    <mergeCell ref="N218:N219"/>
    <mergeCell ref="N216:N217"/>
    <mergeCell ref="L185:L186"/>
    <mergeCell ref="M185:M186"/>
    <mergeCell ref="O185:O186"/>
    <mergeCell ref="X185:X186"/>
    <mergeCell ref="L187:L188"/>
    <mergeCell ref="O187:O188"/>
    <mergeCell ref="X187:X193"/>
    <mergeCell ref="L191:L192"/>
    <mergeCell ref="M191:M192"/>
    <mergeCell ref="N187:N188"/>
    <mergeCell ref="N185:N186"/>
    <mergeCell ref="L194:L195"/>
    <mergeCell ref="X194:X199"/>
    <mergeCell ref="L196:L197"/>
    <mergeCell ref="M196:M197"/>
    <mergeCell ref="L198:L199"/>
    <mergeCell ref="M198:M199"/>
    <mergeCell ref="N194:N195"/>
    <mergeCell ref="O194:O195"/>
    <mergeCell ref="X162:X164"/>
    <mergeCell ref="L176:L177"/>
    <mergeCell ref="M176:M177"/>
    <mergeCell ref="O176:O177"/>
    <mergeCell ref="X176:X177"/>
    <mergeCell ref="L178:L180"/>
    <mergeCell ref="X178:X180"/>
    <mergeCell ref="M178:M180"/>
    <mergeCell ref="N178:N180"/>
    <mergeCell ref="O178:O180"/>
    <mergeCell ref="N176:N177"/>
    <mergeCell ref="L181:L182"/>
    <mergeCell ref="M181:M182"/>
    <mergeCell ref="O181:O182"/>
    <mergeCell ref="X181:X182"/>
    <mergeCell ref="L183:L184"/>
    <mergeCell ref="M183:M184"/>
    <mergeCell ref="O183:O184"/>
    <mergeCell ref="X183:X184"/>
    <mergeCell ref="N183:N184"/>
    <mergeCell ref="N181:N182"/>
    <mergeCell ref="L149:L150"/>
    <mergeCell ref="O149:O150"/>
    <mergeCell ref="X149:X154"/>
    <mergeCell ref="O142:O144"/>
    <mergeCell ref="X140:X141"/>
    <mergeCell ref="X142:X144"/>
    <mergeCell ref="L155:L156"/>
    <mergeCell ref="M155:M156"/>
    <mergeCell ref="O155:O156"/>
    <mergeCell ref="X155:X156"/>
    <mergeCell ref="N155:N156"/>
    <mergeCell ref="N149:N150"/>
    <mergeCell ref="X165:X169"/>
    <mergeCell ref="L171:L175"/>
    <mergeCell ref="M171:M175"/>
    <mergeCell ref="O171:O175"/>
    <mergeCell ref="X171:X175"/>
    <mergeCell ref="N171:N175"/>
    <mergeCell ref="L157:L159"/>
    <mergeCell ref="M157:M159"/>
    <mergeCell ref="O157:O159"/>
    <mergeCell ref="X157:X159"/>
    <mergeCell ref="L160:L161"/>
    <mergeCell ref="M160:M161"/>
    <mergeCell ref="O160:O161"/>
    <mergeCell ref="X160:X161"/>
    <mergeCell ref="N160:N161"/>
    <mergeCell ref="N157:N159"/>
    <mergeCell ref="L162:L164"/>
    <mergeCell ref="M162:M164"/>
    <mergeCell ref="O162:O164"/>
    <mergeCell ref="N162:N164"/>
    <mergeCell ref="L135:L136"/>
    <mergeCell ref="O135:O136"/>
    <mergeCell ref="X135:X139"/>
    <mergeCell ref="L145:L146"/>
    <mergeCell ref="X145:X148"/>
    <mergeCell ref="L147:L148"/>
    <mergeCell ref="N135:N136"/>
    <mergeCell ref="L124:L127"/>
    <mergeCell ref="M124:M127"/>
    <mergeCell ref="O124:O127"/>
    <mergeCell ref="X124:X127"/>
    <mergeCell ref="L128:L131"/>
    <mergeCell ref="O128:O131"/>
    <mergeCell ref="X128:X134"/>
    <mergeCell ref="N128:N131"/>
    <mergeCell ref="N124:N127"/>
    <mergeCell ref="L77:L78"/>
    <mergeCell ref="M77:M78"/>
    <mergeCell ref="N77:N78"/>
    <mergeCell ref="O77:O78"/>
    <mergeCell ref="L121:L123"/>
    <mergeCell ref="M121:M123"/>
    <mergeCell ref="O121:O123"/>
    <mergeCell ref="X121:X123"/>
    <mergeCell ref="N121:N123"/>
    <mergeCell ref="L101:L102"/>
    <mergeCell ref="X101:X113"/>
    <mergeCell ref="L104:L105"/>
    <mergeCell ref="L106:L107"/>
    <mergeCell ref="M106:M112"/>
    <mergeCell ref="O106:O112"/>
    <mergeCell ref="L109:L110"/>
    <mergeCell ref="Y68:Y87"/>
    <mergeCell ref="X50:X51"/>
    <mergeCell ref="X52:X54"/>
    <mergeCell ref="X55:X56"/>
    <mergeCell ref="O23:O24"/>
    <mergeCell ref="Y23:Y24"/>
    <mergeCell ref="N21:N22"/>
    <mergeCell ref="N23:N24"/>
    <mergeCell ref="X21:X22"/>
    <mergeCell ref="X23:X24"/>
    <mergeCell ref="N91:N92"/>
    <mergeCell ref="L69:L70"/>
    <mergeCell ref="M69:M70"/>
    <mergeCell ref="O73:O74"/>
    <mergeCell ref="L73:L74"/>
    <mergeCell ref="L81:L82"/>
    <mergeCell ref="L75:L76"/>
    <mergeCell ref="Y88:Y100"/>
    <mergeCell ref="X88:X100"/>
    <mergeCell ref="L21:L22"/>
    <mergeCell ref="Y45:Y49"/>
    <mergeCell ref="N42:N44"/>
    <mergeCell ref="N45:N46"/>
    <mergeCell ref="X42:X44"/>
    <mergeCell ref="X45:X49"/>
    <mergeCell ref="L42:L44"/>
    <mergeCell ref="M42:M44"/>
    <mergeCell ref="O42:O44"/>
    <mergeCell ref="Y42:Y44"/>
    <mergeCell ref="Y25:Y26"/>
    <mergeCell ref="Y27:Y35"/>
    <mergeCell ref="L36:L39"/>
    <mergeCell ref="O37:O39"/>
    <mergeCell ref="N37:N39"/>
    <mergeCell ref="X37:X41"/>
    <mergeCell ref="Y37:Y41"/>
    <mergeCell ref="L25:L26"/>
    <mergeCell ref="M25:M26"/>
    <mergeCell ref="O25:O26"/>
    <mergeCell ref="X27:X35"/>
    <mergeCell ref="L45:L46"/>
    <mergeCell ref="M45:M46"/>
    <mergeCell ref="O45:O46"/>
    <mergeCell ref="M21:M22"/>
    <mergeCell ref="O21:O22"/>
    <mergeCell ref="L27:L30"/>
    <mergeCell ref="M27:M35"/>
    <mergeCell ref="O27:O35"/>
    <mergeCell ref="Y21:Y22"/>
    <mergeCell ref="L23:L24"/>
    <mergeCell ref="M23:M24"/>
    <mergeCell ref="X2:Y2"/>
    <mergeCell ref="X1:Y1"/>
    <mergeCell ref="Y6:Y7"/>
    <mergeCell ref="O6:O7"/>
    <mergeCell ref="I6:K7"/>
    <mergeCell ref="L6:L7"/>
    <mergeCell ref="M6:M7"/>
    <mergeCell ref="W6:W7"/>
    <mergeCell ref="X6:X7"/>
    <mergeCell ref="N6:N7"/>
    <mergeCell ref="X4:Y4"/>
    <mergeCell ref="X5:Y5"/>
    <mergeCell ref="Y13:Y18"/>
    <mergeCell ref="L19:L20"/>
    <mergeCell ref="M19:M20"/>
    <mergeCell ref="O19:O20"/>
    <mergeCell ref="Y19:Y20"/>
    <mergeCell ref="X13:X18"/>
    <mergeCell ref="X19:X20"/>
    <mergeCell ref="L9:L11"/>
    <mergeCell ref="N19:N20"/>
    <mergeCell ref="I5:K5"/>
    <mergeCell ref="I1:K1"/>
    <mergeCell ref="M1:O5"/>
    <mergeCell ref="I2:L2"/>
    <mergeCell ref="I3:L3"/>
    <mergeCell ref="I4:L4"/>
    <mergeCell ref="W1:W3"/>
    <mergeCell ref="X3:Y3"/>
    <mergeCell ref="Y984:Y985"/>
    <mergeCell ref="Y989:Y990"/>
    <mergeCell ref="Y991:Y993"/>
    <mergeCell ref="Y999:Y1002"/>
    <mergeCell ref="Y1003:Y1004"/>
    <mergeCell ref="Y929:Y930"/>
    <mergeCell ref="Y954:Y957"/>
    <mergeCell ref="Y981:Y982"/>
    <mergeCell ref="L864:L868"/>
    <mergeCell ref="M864:M866"/>
    <mergeCell ref="O864:O868"/>
    <mergeCell ref="L869:L870"/>
    <mergeCell ref="M869:M870"/>
    <mergeCell ref="L871:L874"/>
    <mergeCell ref="N25:N26"/>
    <mergeCell ref="N27:N35"/>
    <mergeCell ref="X25:X26"/>
    <mergeCell ref="X68:X87"/>
    <mergeCell ref="N69:N70"/>
    <mergeCell ref="O71:O72"/>
    <mergeCell ref="N106:N112"/>
    <mergeCell ref="N104:N105"/>
    <mergeCell ref="Y58:Y61"/>
    <mergeCell ref="Y63:Y67"/>
    <mergeCell ref="Y50:Y51"/>
    <mergeCell ref="Y55:Y56"/>
    <mergeCell ref="L91:L92"/>
    <mergeCell ref="M91:M92"/>
    <mergeCell ref="O91:O92"/>
    <mergeCell ref="N73:N74"/>
    <mergeCell ref="N71:N72"/>
    <mergeCell ref="Y52:Y54"/>
    <mergeCell ref="X1003:X1004"/>
    <mergeCell ref="L1005:L1007"/>
    <mergeCell ref="X1005:X1007"/>
    <mergeCell ref="M994:M997"/>
    <mergeCell ref="L1020:L1026"/>
    <mergeCell ref="L1027:L1029"/>
    <mergeCell ref="X984:X985"/>
    <mergeCell ref="L989:L990"/>
    <mergeCell ref="X989:X990"/>
    <mergeCell ref="L1053:L1057"/>
    <mergeCell ref="M1053:M1057"/>
    <mergeCell ref="O1053:O1057"/>
    <mergeCell ref="W1053:W1054"/>
    <mergeCell ref="X1053:X1058"/>
    <mergeCell ref="L1008:L1009"/>
    <mergeCell ref="X1008:X1009"/>
    <mergeCell ref="L1012:L1014"/>
    <mergeCell ref="X1012:X1014"/>
    <mergeCell ref="L1015:L1016"/>
    <mergeCell ref="X1015:X1016"/>
    <mergeCell ref="L1017:L1019"/>
    <mergeCell ref="X1017:X1019"/>
    <mergeCell ref="X1059:X1061"/>
    <mergeCell ref="L1062:L1063"/>
    <mergeCell ref="X1062:X1063"/>
    <mergeCell ref="L1030:L1037"/>
    <mergeCell ref="M1030:M1037"/>
    <mergeCell ref="X1030:X1037"/>
    <mergeCell ref="L1038:L1039"/>
    <mergeCell ref="M1038:M1039"/>
    <mergeCell ref="L1040:L1041"/>
    <mergeCell ref="X1040:X1041"/>
    <mergeCell ref="L1046:L1047"/>
    <mergeCell ref="L1049:L1052"/>
    <mergeCell ref="M1049:M1052"/>
    <mergeCell ref="X1049:X1052"/>
    <mergeCell ref="N1053:N1057"/>
    <mergeCell ref="L1043:L1044"/>
    <mergeCell ref="M1043:M1044"/>
    <mergeCell ref="X1043:X1044"/>
    <mergeCell ref="X1090:X1096"/>
    <mergeCell ref="L1097:L1098"/>
    <mergeCell ref="M1097:M1098"/>
    <mergeCell ref="O1097:O1098"/>
    <mergeCell ref="X1097:X1098"/>
    <mergeCell ref="L1099:L1101"/>
    <mergeCell ref="M1099:M1101"/>
    <mergeCell ref="O1099:O1101"/>
    <mergeCell ref="X1099:X1101"/>
    <mergeCell ref="L1066:L1067"/>
    <mergeCell ref="M1066:M1067"/>
    <mergeCell ref="X1066:X1080"/>
    <mergeCell ref="L1069:L1076"/>
    <mergeCell ref="L1077:L1080"/>
    <mergeCell ref="L1081:L1082"/>
    <mergeCell ref="M1081:M1082"/>
    <mergeCell ref="X1081:X1083"/>
    <mergeCell ref="L1084:L1088"/>
    <mergeCell ref="M1084:M1088"/>
    <mergeCell ref="X1084:X1088"/>
    <mergeCell ref="N1099:N1101"/>
    <mergeCell ref="N1097:N1098"/>
    <mergeCell ref="N1090:N1095"/>
    <mergeCell ref="N1186:N1187"/>
    <mergeCell ref="X1186:X1187"/>
    <mergeCell ref="X1122:X1129"/>
    <mergeCell ref="L1130:L1138"/>
    <mergeCell ref="X1130:X1138"/>
    <mergeCell ref="L1140:L1148"/>
    <mergeCell ref="X1140:X1146"/>
    <mergeCell ref="X1147:X1153"/>
    <mergeCell ref="L1149:L1150"/>
    <mergeCell ref="L1102:L1104"/>
    <mergeCell ref="M1102:M1104"/>
    <mergeCell ref="O1102:O1104"/>
    <mergeCell ref="X1102:X1104"/>
    <mergeCell ref="L1106:L1112"/>
    <mergeCell ref="M1106:M1112"/>
    <mergeCell ref="X1106:X1113"/>
    <mergeCell ref="L1114:L1121"/>
    <mergeCell ref="X1114:X1121"/>
    <mergeCell ref="N1122:N1126"/>
    <mergeCell ref="N1102:N1104"/>
    <mergeCell ref="W1102:W1103"/>
    <mergeCell ref="M1290:M1291"/>
    <mergeCell ref="O1271:O1272"/>
    <mergeCell ref="O1286:O1287"/>
    <mergeCell ref="O1288:O1289"/>
    <mergeCell ref="O1290:O1291"/>
    <mergeCell ref="N1271:N1272"/>
    <mergeCell ref="N1286:N1287"/>
    <mergeCell ref="N1288:N1289"/>
    <mergeCell ref="N1290:N1291"/>
    <mergeCell ref="N1280:N1281"/>
    <mergeCell ref="O1280:O1281"/>
    <mergeCell ref="X1198:X1199"/>
    <mergeCell ref="L1201:L1203"/>
    <mergeCell ref="M1201:M1204"/>
    <mergeCell ref="O1201:O1204"/>
    <mergeCell ref="X1201:X1204"/>
    <mergeCell ref="L1154:L1158"/>
    <mergeCell ref="M1154:M1158"/>
    <mergeCell ref="O1154:O1158"/>
    <mergeCell ref="X1154:X1158"/>
    <mergeCell ref="X1160:X1165"/>
    <mergeCell ref="X1166:X1168"/>
    <mergeCell ref="X1169:X1173"/>
    <mergeCell ref="X1174:X1176"/>
    <mergeCell ref="L1177:L1179"/>
    <mergeCell ref="N1201:N1204"/>
    <mergeCell ref="N1198:N1199"/>
    <mergeCell ref="N1154:N1158"/>
    <mergeCell ref="X1180:X1185"/>
    <mergeCell ref="X1192:X1197"/>
    <mergeCell ref="M1186:M1187"/>
    <mergeCell ref="O1186:O1187"/>
    <mergeCell ref="X1226:X1227"/>
    <mergeCell ref="L1230:L1231"/>
    <mergeCell ref="X1230:X1231"/>
    <mergeCell ref="X1232:X1233"/>
    <mergeCell ref="L1205:L1207"/>
    <mergeCell ref="O1205:O1207"/>
    <mergeCell ref="X1205:X1210"/>
    <mergeCell ref="X1211:X1217"/>
    <mergeCell ref="L1213:L1216"/>
    <mergeCell ref="L1218:L1219"/>
    <mergeCell ref="M1218:M1219"/>
    <mergeCell ref="O1218:O1219"/>
    <mergeCell ref="X1218:X1222"/>
    <mergeCell ref="L1221:L1222"/>
    <mergeCell ref="N1226:N1227"/>
    <mergeCell ref="N1224:N1225"/>
    <mergeCell ref="N1218:N1219"/>
    <mergeCell ref="N1205:N1207"/>
    <mergeCell ref="M1224:M1225"/>
    <mergeCell ref="O1224:O1225"/>
    <mergeCell ref="L1234:L1238"/>
    <mergeCell ref="O1234:O1238"/>
    <mergeCell ref="X1234:X1242"/>
    <mergeCell ref="X1244:X1292"/>
    <mergeCell ref="L1266:L1267"/>
    <mergeCell ref="O1266:O1267"/>
    <mergeCell ref="L1293:L1294"/>
    <mergeCell ref="M1293:M1294"/>
    <mergeCell ref="O1293:O1294"/>
    <mergeCell ref="X1293:X1294"/>
    <mergeCell ref="N1318:N1319"/>
    <mergeCell ref="N1298:N1300"/>
    <mergeCell ref="N1293:N1294"/>
    <mergeCell ref="N1266:N1267"/>
    <mergeCell ref="N1234:N1238"/>
    <mergeCell ref="L1245:L1246"/>
    <mergeCell ref="L1247:L1248"/>
    <mergeCell ref="L1249:L1250"/>
    <mergeCell ref="L1252:L1253"/>
    <mergeCell ref="L1256:L1257"/>
    <mergeCell ref="M1256:M1257"/>
    <mergeCell ref="L1261:L1263"/>
    <mergeCell ref="O1252:O1253"/>
    <mergeCell ref="O1301:O1302"/>
    <mergeCell ref="O1308:O1309"/>
    <mergeCell ref="L1271:L1272"/>
    <mergeCell ref="L1280:L1281"/>
    <mergeCell ref="L1286:L1287"/>
    <mergeCell ref="M1286:M1287"/>
    <mergeCell ref="L1288:L1289"/>
    <mergeCell ref="M1288:M1289"/>
    <mergeCell ref="L1290:L1291"/>
    <mergeCell ref="L1359:L1360"/>
    <mergeCell ref="O1359:O1360"/>
    <mergeCell ref="L1363:L1364"/>
    <mergeCell ref="L1338:L1339"/>
    <mergeCell ref="X1338:X1339"/>
    <mergeCell ref="L1340:L1341"/>
    <mergeCell ref="X1340:X1341"/>
    <mergeCell ref="L1345:L1346"/>
    <mergeCell ref="X1345:X1346"/>
    <mergeCell ref="L1347:L1348"/>
    <mergeCell ref="X1347:X1349"/>
    <mergeCell ref="N1359:N1360"/>
    <mergeCell ref="N1357:N1358"/>
    <mergeCell ref="X1385:X1386"/>
    <mergeCell ref="L1387:L1388"/>
    <mergeCell ref="M1387:M1388"/>
    <mergeCell ref="O1387:O1388"/>
    <mergeCell ref="L1365:L1366"/>
    <mergeCell ref="X1365:X1366"/>
    <mergeCell ref="L1369:L1370"/>
    <mergeCell ref="X1369:X1370"/>
    <mergeCell ref="L1371:L1372"/>
    <mergeCell ref="X1371:X1373"/>
    <mergeCell ref="L1376:L1377"/>
    <mergeCell ref="X1376:X1377"/>
    <mergeCell ref="L1378:L1380"/>
    <mergeCell ref="N1387:N1388"/>
    <mergeCell ref="X1374:X1375"/>
    <mergeCell ref="L1383:L1384"/>
    <mergeCell ref="X1383:X1384"/>
    <mergeCell ref="L1385:L1386"/>
    <mergeCell ref="L1374:L1375"/>
    <mergeCell ref="M1448:M1449"/>
    <mergeCell ref="O1448:O1449"/>
    <mergeCell ref="X1448:X1450"/>
    <mergeCell ref="L1425:L1426"/>
    <mergeCell ref="L1427:L1428"/>
    <mergeCell ref="O1427:O1428"/>
    <mergeCell ref="X1427:X1430"/>
    <mergeCell ref="L1431:L1432"/>
    <mergeCell ref="M1431:M1432"/>
    <mergeCell ref="O1431:O1432"/>
    <mergeCell ref="X1431:X1432"/>
    <mergeCell ref="L1434:L1435"/>
    <mergeCell ref="O1434:O1435"/>
    <mergeCell ref="X1434:X1437"/>
    <mergeCell ref="N1448:N1449"/>
    <mergeCell ref="N1443:N1445"/>
    <mergeCell ref="N1438:N1440"/>
    <mergeCell ref="N1434:N1435"/>
    <mergeCell ref="N1431:N1432"/>
    <mergeCell ref="N1427:N1428"/>
    <mergeCell ref="L1443:L1445"/>
    <mergeCell ref="O1438:O1440"/>
    <mergeCell ref="X1438:X1442"/>
    <mergeCell ref="L1438:L1440"/>
    <mergeCell ref="X1453:X1455"/>
    <mergeCell ref="L1457:L1459"/>
    <mergeCell ref="M1457:M1459"/>
    <mergeCell ref="O1457:O1459"/>
    <mergeCell ref="X1457:X1459"/>
    <mergeCell ref="N1467:N1468"/>
    <mergeCell ref="N1457:N1459"/>
    <mergeCell ref="N1453:N1455"/>
    <mergeCell ref="N1451:N1452"/>
    <mergeCell ref="N1480:N1485"/>
    <mergeCell ref="L1476:L1477"/>
    <mergeCell ref="M1476:M1477"/>
    <mergeCell ref="L1465:L1466"/>
    <mergeCell ref="M1465:M1466"/>
    <mergeCell ref="O1465:O1466"/>
    <mergeCell ref="X1462:X1464"/>
    <mergeCell ref="X1465:X1466"/>
    <mergeCell ref="L1467:L1468"/>
    <mergeCell ref="M1467:M1468"/>
    <mergeCell ref="O1467:O1468"/>
    <mergeCell ref="X1467:X1468"/>
    <mergeCell ref="L1480:L1485"/>
    <mergeCell ref="M1480:M1485"/>
    <mergeCell ref="O1480:O1485"/>
    <mergeCell ref="W1480:W1485"/>
    <mergeCell ref="X1480:X1485"/>
    <mergeCell ref="L1451:L1452"/>
    <mergeCell ref="M1451:M1452"/>
    <mergeCell ref="O1451:O1452"/>
    <mergeCell ref="X1451:X1452"/>
    <mergeCell ref="L1453:L1455"/>
    <mergeCell ref="M1453:M1455"/>
    <mergeCell ref="L1487:L1489"/>
    <mergeCell ref="L1490:L1491"/>
    <mergeCell ref="X1496:X1498"/>
    <mergeCell ref="L1497:L1498"/>
    <mergeCell ref="L1499:L1501"/>
    <mergeCell ref="L1502:L1503"/>
    <mergeCell ref="L1505:L1506"/>
    <mergeCell ref="N1513:N1514"/>
    <mergeCell ref="N1507:N1509"/>
    <mergeCell ref="L1534:L1535"/>
    <mergeCell ref="M1534:M1535"/>
    <mergeCell ref="O1534:O1535"/>
    <mergeCell ref="L1539:L1540"/>
    <mergeCell ref="M1539:M1540"/>
    <mergeCell ref="X1539:X1540"/>
    <mergeCell ref="L1542:L1543"/>
    <mergeCell ref="M1502:M1503"/>
    <mergeCell ref="O1502:O1503"/>
    <mergeCell ref="M1504:M1506"/>
    <mergeCell ref="O1504:O1506"/>
    <mergeCell ref="N1502:N1503"/>
    <mergeCell ref="N1504:N1506"/>
    <mergeCell ref="X1502:X1503"/>
    <mergeCell ref="M1493:M1495"/>
    <mergeCell ref="O1493:O1495"/>
    <mergeCell ref="X1493:X1495"/>
    <mergeCell ref="N1493:N1495"/>
    <mergeCell ref="X1529:X1532"/>
    <mergeCell ref="X1504:X1506"/>
    <mergeCell ref="O1507:O1509"/>
    <mergeCell ref="X1507:X1512"/>
    <mergeCell ref="L1576:L1577"/>
    <mergeCell ref="M1576:M1577"/>
    <mergeCell ref="O1576:O1577"/>
    <mergeCell ref="X1576:X1577"/>
    <mergeCell ref="L1578:L1579"/>
    <mergeCell ref="M1578:M1579"/>
    <mergeCell ref="O1578:O1579"/>
    <mergeCell ref="X1578:X1579"/>
    <mergeCell ref="L1549:L1551"/>
    <mergeCell ref="O1549:O1551"/>
    <mergeCell ref="X1549:X1555"/>
    <mergeCell ref="L1552:L1553"/>
    <mergeCell ref="M1552:M1553"/>
    <mergeCell ref="L1554:L1555"/>
    <mergeCell ref="M1554:M1555"/>
    <mergeCell ref="L1556:L1557"/>
    <mergeCell ref="O1556:O1557"/>
    <mergeCell ref="X1556:X1563"/>
    <mergeCell ref="L1560:L1561"/>
    <mergeCell ref="L1562:L1563"/>
    <mergeCell ref="N1578:N1579"/>
    <mergeCell ref="N1576:N1577"/>
    <mergeCell ref="N1574:N1575"/>
    <mergeCell ref="N1556:N1557"/>
    <mergeCell ref="N1549:N1551"/>
    <mergeCell ref="Y1166:Y1168"/>
    <mergeCell ref="Y1169:Y1173"/>
    <mergeCell ref="L1574:L1575"/>
    <mergeCell ref="M1574:M1575"/>
    <mergeCell ref="O1574:O1575"/>
    <mergeCell ref="X1574:X1575"/>
    <mergeCell ref="L1544:L1548"/>
    <mergeCell ref="X1544:X1548"/>
    <mergeCell ref="L1525:L1526"/>
    <mergeCell ref="M1525:M1526"/>
    <mergeCell ref="O1525:O1526"/>
    <mergeCell ref="X1525:X1526"/>
    <mergeCell ref="L1527:L1528"/>
    <mergeCell ref="M1527:M1528"/>
    <mergeCell ref="O1527:O1528"/>
    <mergeCell ref="X1527:X1528"/>
    <mergeCell ref="L1529:L1532"/>
    <mergeCell ref="M1529:M1532"/>
    <mergeCell ref="O1529:O1532"/>
    <mergeCell ref="Y1174:Y1176"/>
    <mergeCell ref="Y1198:Y1199"/>
    <mergeCell ref="Y1201:Y1204"/>
    <mergeCell ref="Y1318:Y1319"/>
    <mergeCell ref="Y1320:Y1321"/>
    <mergeCell ref="N1534:N1535"/>
    <mergeCell ref="N1529:N1532"/>
    <mergeCell ref="N1527:N1528"/>
    <mergeCell ref="N1525:N1526"/>
    <mergeCell ref="M1544:M1548"/>
    <mergeCell ref="N1544:N1548"/>
    <mergeCell ref="O1544:O1548"/>
    <mergeCell ref="X1522:X1523"/>
    <mergeCell ref="Y1053:Y1058"/>
    <mergeCell ref="Y1005:Y1007"/>
    <mergeCell ref="Y1008:Y1009"/>
    <mergeCell ref="Y1012:Y1014"/>
    <mergeCell ref="Y1015:Y1016"/>
    <mergeCell ref="Y1017:Y1019"/>
    <mergeCell ref="Y1020:Y1029"/>
    <mergeCell ref="Y1030:Y1037"/>
    <mergeCell ref="Y1040:Y1041"/>
    <mergeCell ref="Y1049:Y1052"/>
    <mergeCell ref="Y1043:Y1044"/>
    <mergeCell ref="Y1205:Y1210"/>
    <mergeCell ref="Y1211:Y1217"/>
    <mergeCell ref="Y1102:Y1104"/>
    <mergeCell ref="Y1106:Y1113"/>
    <mergeCell ref="Y1114:Y1121"/>
    <mergeCell ref="Y1122:Y1129"/>
    <mergeCell ref="Y1130:Y1138"/>
    <mergeCell ref="Y1140:Y1146"/>
    <mergeCell ref="Y1147:Y1153"/>
    <mergeCell ref="Y1154:Y1158"/>
    <mergeCell ref="Y1160:Y1165"/>
    <mergeCell ref="Y1180:Y1185"/>
    <mergeCell ref="Y1192:Y1197"/>
    <mergeCell ref="Y1059:Y1061"/>
    <mergeCell ref="Y1062:Y1063"/>
    <mergeCell ref="Y1066:Y1080"/>
    <mergeCell ref="Y1081:Y1083"/>
    <mergeCell ref="Y1084:Y1088"/>
    <mergeCell ref="Y1090:Y1096"/>
    <mergeCell ref="Y1097:Y1098"/>
    <mergeCell ref="Y1099:Y1101"/>
    <mergeCell ref="Y1338:Y1339"/>
    <mergeCell ref="Y1218:Y1222"/>
    <mergeCell ref="Y1224:Y1225"/>
    <mergeCell ref="Y1226:Y1227"/>
    <mergeCell ref="Y1230:Y1231"/>
    <mergeCell ref="Y1232:Y1233"/>
    <mergeCell ref="Y1234:Y1242"/>
    <mergeCell ref="Y1244:Y1292"/>
    <mergeCell ref="Y1293:Y1294"/>
    <mergeCell ref="Y1295:Y1296"/>
    <mergeCell ref="Y1376:Y1377"/>
    <mergeCell ref="Y1340:Y1341"/>
    <mergeCell ref="Y1345:Y1346"/>
    <mergeCell ref="Y1347:Y1349"/>
    <mergeCell ref="Y1352:Y1356"/>
    <mergeCell ref="Y1357:Y1358"/>
    <mergeCell ref="Y1365:Y1366"/>
    <mergeCell ref="Y1369:Y1370"/>
    <mergeCell ref="Y1371:Y1373"/>
    <mergeCell ref="Y1332:Y1333"/>
    <mergeCell ref="Y1334:Y1335"/>
    <mergeCell ref="Y1336:Y1337"/>
    <mergeCell ref="A1:H3"/>
    <mergeCell ref="A4:A6"/>
    <mergeCell ref="G4:G6"/>
    <mergeCell ref="H4:H6"/>
    <mergeCell ref="Y1595:Y1596"/>
    <mergeCell ref="Y1600:Y1602"/>
    <mergeCell ref="Y1603:Y1605"/>
    <mergeCell ref="Y1611:Y1615"/>
    <mergeCell ref="Y1527:Y1528"/>
    <mergeCell ref="Y1529:Y1532"/>
    <mergeCell ref="Y1539:Y1540"/>
    <mergeCell ref="Y1544:Y1548"/>
    <mergeCell ref="Y1549:Y1555"/>
    <mergeCell ref="Y1556:Y1563"/>
    <mergeCell ref="Y1574:Y1575"/>
    <mergeCell ref="Y1576:Y1577"/>
    <mergeCell ref="Y1578:Y1579"/>
    <mergeCell ref="Y1457:Y1459"/>
    <mergeCell ref="Y1467:Y1468"/>
    <mergeCell ref="Y1480:Y1485"/>
    <mergeCell ref="Y1496:Y1498"/>
    <mergeCell ref="Y1507:Y1512"/>
    <mergeCell ref="Y1522:Y1523"/>
    <mergeCell ref="Y1525:Y1526"/>
    <mergeCell ref="Y1411:Y1421"/>
    <mergeCell ref="Y1427:Y1430"/>
    <mergeCell ref="Y1431:Y1432"/>
    <mergeCell ref="Y1434:Y1437"/>
    <mergeCell ref="Y1438:Y1442"/>
    <mergeCell ref="L58:L61"/>
    <mergeCell ref="L50:L51"/>
    <mergeCell ref="M50:M51"/>
    <mergeCell ref="Z13:Z18"/>
    <mergeCell ref="Z19:Z20"/>
    <mergeCell ref="Z21:Z22"/>
    <mergeCell ref="Z23:Z24"/>
    <mergeCell ref="Z25:Z26"/>
    <mergeCell ref="Z27:Z35"/>
    <mergeCell ref="Z42:Z44"/>
    <mergeCell ref="Z45:Z49"/>
    <mergeCell ref="Z58:Z61"/>
    <mergeCell ref="Z63:Z67"/>
    <mergeCell ref="Z88:Z100"/>
    <mergeCell ref="Z101:Z113"/>
    <mergeCell ref="Z114:Z120"/>
    <mergeCell ref="Z121:Z123"/>
    <mergeCell ref="Z124:Z127"/>
    <mergeCell ref="Z128:Z134"/>
    <mergeCell ref="Z37:Z41"/>
    <mergeCell ref="Z50:Z51"/>
    <mergeCell ref="Z52:Z54"/>
    <mergeCell ref="Z55:Z56"/>
    <mergeCell ref="Z68:Z87"/>
    <mergeCell ref="Z135:Z139"/>
    <mergeCell ref="Z145:Z148"/>
    <mergeCell ref="Z149:Z154"/>
    <mergeCell ref="Z155:Z156"/>
    <mergeCell ref="Z157:Z159"/>
    <mergeCell ref="Z160:Z161"/>
    <mergeCell ref="Z165:Z169"/>
    <mergeCell ref="Z171:Z175"/>
    <mergeCell ref="Z176:Z177"/>
    <mergeCell ref="Z178:Z180"/>
    <mergeCell ref="Z181:Z182"/>
    <mergeCell ref="Z183:Z184"/>
    <mergeCell ref="Z185:Z186"/>
    <mergeCell ref="Z187:Z193"/>
    <mergeCell ref="Z194:Z199"/>
    <mergeCell ref="Z200:Z204"/>
    <mergeCell ref="Z208:Z212"/>
    <mergeCell ref="Z140:Z141"/>
    <mergeCell ref="Z142:Z144"/>
    <mergeCell ref="Z162:Z164"/>
    <mergeCell ref="Z213:Z219"/>
    <mergeCell ref="Z220:Z222"/>
    <mergeCell ref="Z223:Z224"/>
    <mergeCell ref="Z226:Z227"/>
    <mergeCell ref="Z228:Z229"/>
    <mergeCell ref="Z230:Z233"/>
    <mergeCell ref="Z234:Z236"/>
    <mergeCell ref="Z238:Z245"/>
    <mergeCell ref="Z253:Z254"/>
    <mergeCell ref="Z257:Z260"/>
    <mergeCell ref="Z262:Z271"/>
    <mergeCell ref="Z272:Z274"/>
    <mergeCell ref="Z275:Z280"/>
    <mergeCell ref="Z293:Z304"/>
    <mergeCell ref="Z331:Z346"/>
    <mergeCell ref="Z462:Z463"/>
    <mergeCell ref="Z286:Z287"/>
    <mergeCell ref="Z288:Z290"/>
    <mergeCell ref="Z305:Z308"/>
    <mergeCell ref="Z312:Z314"/>
    <mergeCell ref="Z316:Z317"/>
    <mergeCell ref="Z321:Z322"/>
    <mergeCell ref="Z323:Z324"/>
    <mergeCell ref="Z325:Z326"/>
    <mergeCell ref="Z349:Z351"/>
    <mergeCell ref="Z352:Z354"/>
    <mergeCell ref="Z364:Z366"/>
    <mergeCell ref="Z375:Z379"/>
    <mergeCell ref="Z380:Z397"/>
    <mergeCell ref="Z398:Z405"/>
    <mergeCell ref="Z411:Z413"/>
    <mergeCell ref="Z414:Z415"/>
    <mergeCell ref="Z534:Z535"/>
    <mergeCell ref="Z545:Z546"/>
    <mergeCell ref="Z548:Z550"/>
    <mergeCell ref="Z538:Z540"/>
    <mergeCell ref="Z551:Z553"/>
    <mergeCell ref="Z555:Z559"/>
    <mergeCell ref="Z560:Z561"/>
    <mergeCell ref="Z566:Z571"/>
    <mergeCell ref="Z572:Z578"/>
    <mergeCell ref="Z579:Z581"/>
    <mergeCell ref="Z583:Z584"/>
    <mergeCell ref="Z585:Z586"/>
    <mergeCell ref="Z587:Z588"/>
    <mergeCell ref="Z589:Z590"/>
    <mergeCell ref="Z596:Z610"/>
    <mergeCell ref="Z611:Z619"/>
    <mergeCell ref="Z624:Z630"/>
    <mergeCell ref="Z795:Z804"/>
    <mergeCell ref="Z805:Z811"/>
    <mergeCell ref="Z718:Z724"/>
    <mergeCell ref="Z637:Z652"/>
    <mergeCell ref="Z669:Z670"/>
    <mergeCell ref="Z672:Z673"/>
    <mergeCell ref="Z674:Z679"/>
    <mergeCell ref="Z593:Z595"/>
    <mergeCell ref="Z683:Z687"/>
    <mergeCell ref="Z694:Z695"/>
    <mergeCell ref="Z697:Z704"/>
    <mergeCell ref="Z727:Z735"/>
    <mergeCell ref="Z736:Z743"/>
    <mergeCell ref="Z744:Z745"/>
    <mergeCell ref="Z750:Z756"/>
    <mergeCell ref="Z757:Z763"/>
    <mergeCell ref="Z764:Z770"/>
    <mergeCell ref="Z771:Z776"/>
    <mergeCell ref="Z777:Z782"/>
    <mergeCell ref="Z783:Z788"/>
    <mergeCell ref="Z688:Z693"/>
    <mergeCell ref="Z864:Z878"/>
    <mergeCell ref="Z951:Z952"/>
    <mergeCell ref="Z954:Z957"/>
    <mergeCell ref="Z975:Z977"/>
    <mergeCell ref="Z813:Z820"/>
    <mergeCell ref="Z835:Z836"/>
    <mergeCell ref="Z839:Z843"/>
    <mergeCell ref="Z825:Z826"/>
    <mergeCell ref="Z827:Z828"/>
    <mergeCell ref="Z829:Z830"/>
    <mergeCell ref="Z831:Z832"/>
    <mergeCell ref="Z833:Z834"/>
    <mergeCell ref="Z844:Z847"/>
    <mergeCell ref="Z848:Z849"/>
    <mergeCell ref="Z850:Z851"/>
    <mergeCell ref="Z854:Z857"/>
    <mergeCell ref="Z858:Z859"/>
    <mergeCell ref="Z860:Z862"/>
    <mergeCell ref="Z1049:Z1052"/>
    <mergeCell ref="Z1053:Z1058"/>
    <mergeCell ref="Z1140:Z1146"/>
    <mergeCell ref="Z1147:Z1153"/>
    <mergeCell ref="Z1043:Z1044"/>
    <mergeCell ref="Z887:Z889"/>
    <mergeCell ref="Z890:Z893"/>
    <mergeCell ref="Z894:Z896"/>
    <mergeCell ref="Z897:Z905"/>
    <mergeCell ref="Z933:Z935"/>
    <mergeCell ref="Z938:Z940"/>
    <mergeCell ref="Z941:Z945"/>
    <mergeCell ref="Z947:Z949"/>
    <mergeCell ref="Z912:Z913"/>
    <mergeCell ref="Z915:Z916"/>
    <mergeCell ref="Z917:Z918"/>
    <mergeCell ref="Z927:Z928"/>
    <mergeCell ref="Z929:Z930"/>
    <mergeCell ref="Z1059:Z1061"/>
    <mergeCell ref="Z1062:Z1063"/>
    <mergeCell ref="Z1066:Z1080"/>
    <mergeCell ref="Z1099:Z1101"/>
    <mergeCell ref="Z1081:Z1083"/>
    <mergeCell ref="Z1084:Z1088"/>
    <mergeCell ref="Z1090:Z1096"/>
    <mergeCell ref="Z1097:Z1098"/>
    <mergeCell ref="Z1130:Z1138"/>
    <mergeCell ref="L310:L311"/>
    <mergeCell ref="L312:L314"/>
    <mergeCell ref="M312:M314"/>
    <mergeCell ref="O312:O314"/>
    <mergeCell ref="M288:M290"/>
    <mergeCell ref="O288:O290"/>
    <mergeCell ref="X718:X724"/>
    <mergeCell ref="Y718:Y724"/>
    <mergeCell ref="Z1180:Z1185"/>
    <mergeCell ref="Z978:Z979"/>
    <mergeCell ref="Z981:Z982"/>
    <mergeCell ref="Z984:Z985"/>
    <mergeCell ref="Z989:Z990"/>
    <mergeCell ref="Z991:Z993"/>
    <mergeCell ref="Z999:Z1002"/>
    <mergeCell ref="Z1003:Z1004"/>
    <mergeCell ref="Z1005:Z1007"/>
    <mergeCell ref="Z1008:Z1009"/>
    <mergeCell ref="Z1012:Z1014"/>
    <mergeCell ref="Z1015:Z1016"/>
    <mergeCell ref="Z1017:Z1019"/>
    <mergeCell ref="Z1020:Z1029"/>
    <mergeCell ref="Z1030:Z1037"/>
    <mergeCell ref="Z1040:Z1041"/>
    <mergeCell ref="Z1102:Z1104"/>
    <mergeCell ref="Z1106:Z1113"/>
    <mergeCell ref="Z1114:Z1121"/>
    <mergeCell ref="Z1122:Z1129"/>
    <mergeCell ref="Z1154:Z1158"/>
    <mergeCell ref="Z1160:Z1165"/>
    <mergeCell ref="Z1166:Z1168"/>
    <mergeCell ref="Z1169:Z1173"/>
    <mergeCell ref="Z1192:Z1197"/>
    <mergeCell ref="Z1232:Z1233"/>
    <mergeCell ref="Z1234:Z1242"/>
    <mergeCell ref="Z1244:Z1292"/>
    <mergeCell ref="Z1293:Z1294"/>
    <mergeCell ref="Z1295:Z1296"/>
    <mergeCell ref="Z1318:Z1319"/>
    <mergeCell ref="Z1320:Z1321"/>
    <mergeCell ref="Z1322:Z1323"/>
    <mergeCell ref="Z1327:Z1328"/>
    <mergeCell ref="Z1332:Z1333"/>
    <mergeCell ref="Z1334:Z1335"/>
    <mergeCell ref="Z1336:Z1337"/>
    <mergeCell ref="Z1174:Z1176"/>
    <mergeCell ref="Z1198:Z1199"/>
    <mergeCell ref="Z1201:Z1204"/>
    <mergeCell ref="Z1205:Z1210"/>
    <mergeCell ref="Z1211:Z1217"/>
    <mergeCell ref="Z1218:Z1222"/>
    <mergeCell ref="Z1224:Z1225"/>
    <mergeCell ref="Z1226:Z1227"/>
    <mergeCell ref="Z1186:Z1187"/>
    <mergeCell ref="Z1230:Z1231"/>
    <mergeCell ref="Z1999:Z2000"/>
    <mergeCell ref="Z2454:Z2455"/>
    <mergeCell ref="Z2154:Z2175"/>
    <mergeCell ref="Z2438:Z2440"/>
    <mergeCell ref="Z2285:Z2286"/>
    <mergeCell ref="Z2287:Z2288"/>
    <mergeCell ref="Z2290:Z2291"/>
    <mergeCell ref="Z2292:Z2293"/>
    <mergeCell ref="Z2295:Z2296"/>
    <mergeCell ref="Z2456:Z2457"/>
    <mergeCell ref="Z6:Z7"/>
    <mergeCell ref="Z2338:Z2339"/>
    <mergeCell ref="Z2344:Z2345"/>
    <mergeCell ref="Z2346:Z2348"/>
    <mergeCell ref="Z2349:Z2350"/>
    <mergeCell ref="Z2351:Z2353"/>
    <mergeCell ref="Z2354:Z2355"/>
    <mergeCell ref="Z2357:Z2358"/>
    <mergeCell ref="Z2359:Z2360"/>
    <mergeCell ref="Z2362:Z2364"/>
    <mergeCell ref="Z2365:Z2366"/>
    <mergeCell ref="Z2371:Z2372"/>
    <mergeCell ref="Z2373:Z2376"/>
    <mergeCell ref="Z2377:Z2383"/>
    <mergeCell ref="Z2384:Z2385"/>
    <mergeCell ref="Z2387:Z2388"/>
    <mergeCell ref="Z2436:Z2437"/>
    <mergeCell ref="Z2266:Z2267"/>
    <mergeCell ref="Z2268:Z2269"/>
    <mergeCell ref="Z2271:Z2272"/>
    <mergeCell ref="Z2275:Z2280"/>
    <mergeCell ref="Z2334:Z2335"/>
    <mergeCell ref="Z2441:Z2443"/>
    <mergeCell ref="Z2098:Z2100"/>
    <mergeCell ref="Z2101:Z2103"/>
    <mergeCell ref="Z2180:Z2181"/>
    <mergeCell ref="Z2182:Z2184"/>
    <mergeCell ref="Z2188:Z2189"/>
    <mergeCell ref="Z2190:Z2191"/>
    <mergeCell ref="Z2194:Z2197"/>
    <mergeCell ref="Z2198:Z2201"/>
    <mergeCell ref="Z2202:Z2206"/>
    <mergeCell ref="Z2210:Z2214"/>
    <mergeCell ref="Z2215:Z2217"/>
    <mergeCell ref="Z2232:Z2236"/>
    <mergeCell ref="Z2237:Z2238"/>
    <mergeCell ref="Z2260:Z2263"/>
    <mergeCell ref="Z2248:Z2251"/>
    <mergeCell ref="Z2185:Z2187"/>
    <mergeCell ref="Z2220:Z2227"/>
    <mergeCell ref="Z2228:Z2230"/>
    <mergeCell ref="Z2241:Z2242"/>
    <mergeCell ref="Z2067:Z2071"/>
    <mergeCell ref="Z2074:Z2075"/>
    <mergeCell ref="Z2076:Z2077"/>
    <mergeCell ref="Z2078:Z2080"/>
    <mergeCell ref="Z2297:Z2298"/>
    <mergeCell ref="Z2299:Z2300"/>
    <mergeCell ref="Z2303:Z2313"/>
    <mergeCell ref="Z2325:Z2327"/>
    <mergeCell ref="Z2328:Z2330"/>
    <mergeCell ref="Z2331:Z2332"/>
    <mergeCell ref="Z2001:Z2005"/>
    <mergeCell ref="Z2006:Z2011"/>
    <mergeCell ref="Z2015:Z2019"/>
    <mergeCell ref="Z2021:Z2024"/>
    <mergeCell ref="Z2025:Z2029"/>
    <mergeCell ref="Z2034:Z2035"/>
    <mergeCell ref="Z2036:Z2039"/>
    <mergeCell ref="Z2042:Z2043"/>
    <mergeCell ref="Z2044:Z2045"/>
    <mergeCell ref="Z2050:Z2051"/>
    <mergeCell ref="Z2052:Z2053"/>
    <mergeCell ref="Z2054:Z2055"/>
    <mergeCell ref="Z2056:Z2058"/>
    <mergeCell ref="Z2059:Z2062"/>
    <mergeCell ref="Z2063:Z2066"/>
    <mergeCell ref="Z2030:Z2033"/>
    <mergeCell ref="Z2281:Z2284"/>
    <mergeCell ref="Z2096:Z2097"/>
    <mergeCell ref="Z2104:Z2112"/>
    <mergeCell ref="Z2176:Z2177"/>
    <mergeCell ref="L325:L326"/>
    <mergeCell ref="M325:M326"/>
    <mergeCell ref="O325:O326"/>
    <mergeCell ref="N140:N141"/>
    <mergeCell ref="N142:N144"/>
    <mergeCell ref="N83:N87"/>
    <mergeCell ref="M688:M693"/>
    <mergeCell ref="N688:N693"/>
    <mergeCell ref="O688:O693"/>
    <mergeCell ref="L718:L723"/>
    <mergeCell ref="L83:L87"/>
    <mergeCell ref="M83:M87"/>
    <mergeCell ref="O83:O87"/>
    <mergeCell ref="L140:L141"/>
    <mergeCell ref="M140:M141"/>
    <mergeCell ref="O140:O141"/>
    <mergeCell ref="L142:L144"/>
    <mergeCell ref="M142:M144"/>
    <mergeCell ref="L286:L287"/>
    <mergeCell ref="M286:M287"/>
    <mergeCell ref="O286:O287"/>
    <mergeCell ref="L293:L296"/>
    <mergeCell ref="L118:L120"/>
    <mergeCell ref="N316:N317"/>
    <mergeCell ref="N321:N322"/>
    <mergeCell ref="N323:N324"/>
    <mergeCell ref="N325:N326"/>
    <mergeCell ref="N286:N287"/>
    <mergeCell ref="N288:N290"/>
    <mergeCell ref="L114:L117"/>
    <mergeCell ref="M104:M105"/>
    <mergeCell ref="O104:O105"/>
    <mergeCell ref="L63:L66"/>
    <mergeCell ref="L288:L290"/>
    <mergeCell ref="L71:L72"/>
    <mergeCell ref="L52:L53"/>
    <mergeCell ref="M52:M54"/>
    <mergeCell ref="O52:O54"/>
    <mergeCell ref="M55:M56"/>
    <mergeCell ref="O55:O56"/>
    <mergeCell ref="L297:L304"/>
    <mergeCell ref="L305:L308"/>
    <mergeCell ref="X63:X67"/>
    <mergeCell ref="L93:L94"/>
    <mergeCell ref="N58:N61"/>
    <mergeCell ref="O93:O94"/>
    <mergeCell ref="L98:L99"/>
    <mergeCell ref="M98:M99"/>
    <mergeCell ref="O79:O80"/>
    <mergeCell ref="M238:M245"/>
    <mergeCell ref="O238:O245"/>
    <mergeCell ref="M81:M82"/>
    <mergeCell ref="O81:O82"/>
    <mergeCell ref="N81:N82"/>
    <mergeCell ref="N79:N80"/>
    <mergeCell ref="M75:M76"/>
    <mergeCell ref="N75:N76"/>
    <mergeCell ref="O75:O76"/>
    <mergeCell ref="O98:O99"/>
    <mergeCell ref="N98:N99"/>
    <mergeCell ref="N93:N94"/>
    <mergeCell ref="X114:X120"/>
    <mergeCell ref="L79:L80"/>
    <mergeCell ref="M79:M80"/>
    <mergeCell ref="X884:X886"/>
    <mergeCell ref="N312:N314"/>
    <mergeCell ref="M850:M851"/>
    <mergeCell ref="M58:M61"/>
    <mergeCell ref="O58:O61"/>
    <mergeCell ref="M71:M72"/>
    <mergeCell ref="M293:M295"/>
    <mergeCell ref="O69:O70"/>
    <mergeCell ref="M1837:M1839"/>
    <mergeCell ref="X1837:X1839"/>
    <mergeCell ref="Y1837:Y1839"/>
    <mergeCell ref="N50:N51"/>
    <mergeCell ref="N55:N56"/>
    <mergeCell ref="N52:N54"/>
    <mergeCell ref="M305:M308"/>
    <mergeCell ref="N305:N308"/>
    <mergeCell ref="O305:O308"/>
    <mergeCell ref="X58:X61"/>
    <mergeCell ref="O746:O749"/>
    <mergeCell ref="O50:O51"/>
    <mergeCell ref="N813:N820"/>
    <mergeCell ref="M764:M788"/>
    <mergeCell ref="N746:N749"/>
    <mergeCell ref="N736:N743"/>
    <mergeCell ref="N727:N735"/>
    <mergeCell ref="O323:O324"/>
    <mergeCell ref="Y1322:Y1323"/>
    <mergeCell ref="Y1327:Y1328"/>
    <mergeCell ref="Y1186:Y1187"/>
    <mergeCell ref="M73:M74"/>
    <mergeCell ref="X286:X287"/>
    <mergeCell ref="X288:X290"/>
  </mergeCells>
  <conditionalFormatting sqref="X2">
    <cfRule type="expression" dxfId="2894" priority="5615">
      <formula>$AG$3</formula>
    </cfRule>
  </conditionalFormatting>
  <conditionalFormatting sqref="X3">
    <cfRule type="expression" dxfId="2893" priority="5616">
      <formula>$AI$3</formula>
    </cfRule>
  </conditionalFormatting>
  <conditionalFormatting sqref="I2">
    <cfRule type="expression" dxfId="2892" priority="5588">
      <formula>$AM$2="Gold"</formula>
    </cfRule>
    <cfRule type="expression" dxfId="2891" priority="5589">
      <formula>$AM$2="Silver"</formula>
    </cfRule>
    <cfRule type="expression" dxfId="2890" priority="5590">
      <formula>$AM$2="Bronze"</formula>
    </cfRule>
    <cfRule type="expression" dxfId="2889" priority="5591">
      <formula>$AM$2="Emerald"</formula>
    </cfRule>
  </conditionalFormatting>
  <conditionalFormatting sqref="L5">
    <cfRule type="notContainsBlanks" dxfId="2888" priority="5587">
      <formula>LEN(TRIM(L5))&gt;0</formula>
    </cfRule>
  </conditionalFormatting>
  <conditionalFormatting sqref="L1">
    <cfRule type="notContainsBlanks" dxfId="2887" priority="5546">
      <formula>LEN(TRIM(L1))&gt;0</formula>
    </cfRule>
  </conditionalFormatting>
  <conditionalFormatting sqref="W89">
    <cfRule type="notContainsBlanks" dxfId="2886" priority="5545">
      <formula>LEN(TRIM(W89))&gt;0</formula>
    </cfRule>
  </conditionalFormatting>
  <conditionalFormatting sqref="W566">
    <cfRule type="expression" dxfId="2885" priority="4850">
      <formula>AND($R$566,$S$566)</formula>
    </cfRule>
  </conditionalFormatting>
  <conditionalFormatting sqref="W566">
    <cfRule type="expression" dxfId="2884" priority="4849">
      <formula>AND(IF($R$566,$W$566,TRUE),LEN(TRIM($W$566))&gt;0)</formula>
    </cfRule>
  </conditionalFormatting>
  <conditionalFormatting sqref="W566">
    <cfRule type="expression" dxfId="2883" priority="4848">
      <formula>OR($S$566 = FALSE, AND($P$566 = FALSE, ReportType &lt;&gt; "Final"), AND($Q$566 = FALSE, ReportType &lt;&gt; "Rough"))</formula>
    </cfRule>
  </conditionalFormatting>
  <conditionalFormatting sqref="W566">
    <cfRule type="expression" dxfId="2882" priority="4847">
      <formula>OR($T$566 = TRUE, AND($W$566 = TRUE, $S$566 = FALSE))</formula>
    </cfRule>
  </conditionalFormatting>
  <conditionalFormatting sqref="W572">
    <cfRule type="expression" dxfId="2881" priority="4845">
      <formula>AND(R572,S572)</formula>
    </cfRule>
  </conditionalFormatting>
  <conditionalFormatting sqref="W572">
    <cfRule type="expression" dxfId="2880" priority="4844">
      <formula>AND(IF(R572,W572,TRUE),LEN(TRIM(W572))&gt;0)</formula>
    </cfRule>
  </conditionalFormatting>
  <conditionalFormatting sqref="W572">
    <cfRule type="expression" dxfId="2879" priority="4843">
      <formula>OR(S572 = FALSE, AND(P572 = FALSE, ReportType &lt;&gt; "Final"), AND(Q572 = FALSE, ReportType &lt;&gt; "Rough"))</formula>
    </cfRule>
  </conditionalFormatting>
  <conditionalFormatting sqref="W572">
    <cfRule type="expression" dxfId="2878" priority="4842">
      <formula>OR(T572 = TRUE, AND(W572 = TRUE, S572 = FALSE))</formula>
    </cfRule>
  </conditionalFormatting>
  <conditionalFormatting sqref="W584">
    <cfRule type="expression" dxfId="2877" priority="4841">
      <formula>AND(R584,S584)</formula>
    </cfRule>
  </conditionalFormatting>
  <conditionalFormatting sqref="W584">
    <cfRule type="expression" dxfId="2876" priority="4840">
      <formula>AND(IF(R584,W584,TRUE),LEN(TRIM(W584))&gt;0)</formula>
    </cfRule>
  </conditionalFormatting>
  <conditionalFormatting sqref="W584">
    <cfRule type="expression" dxfId="2875" priority="4839">
      <formula>OR(S584 = FALSE, AND($P$584 = FALSE, ReportType &lt;&gt; "Final"), AND($Q$584 = FALSE, ReportType &lt;&gt; "Rough"))</formula>
    </cfRule>
  </conditionalFormatting>
  <conditionalFormatting sqref="W584">
    <cfRule type="expression" dxfId="2874" priority="4838">
      <formula>OR(T584 = TRUE, AND(W584 = TRUE, S584 = FALSE))</formula>
    </cfRule>
  </conditionalFormatting>
  <conditionalFormatting sqref="W586">
    <cfRule type="expression" dxfId="2873" priority="4837">
      <formula>AND(R586,S586)</formula>
    </cfRule>
  </conditionalFormatting>
  <conditionalFormatting sqref="W586">
    <cfRule type="expression" dxfId="2872" priority="4836">
      <formula>AND(IF(R586,W586,TRUE),LEN(TRIM(W586))&gt;0)</formula>
    </cfRule>
  </conditionalFormatting>
  <conditionalFormatting sqref="W586">
    <cfRule type="expression" dxfId="2871" priority="4835">
      <formula>OR(S586 = FALSE, AND($P$586 = FALSE, ReportType &lt;&gt; "Final"), AND($Q$586 = FALSE, ReportType &lt;&gt; "Rough"))</formula>
    </cfRule>
  </conditionalFormatting>
  <conditionalFormatting sqref="W586">
    <cfRule type="expression" dxfId="2870" priority="4834">
      <formula>OR(T586 = TRUE, AND(W586 = TRUE, S586 = FALSE))</formula>
    </cfRule>
  </conditionalFormatting>
  <conditionalFormatting sqref="W588">
    <cfRule type="expression" dxfId="2869" priority="4833">
      <formula>AND(R588,S588)</formula>
    </cfRule>
  </conditionalFormatting>
  <conditionalFormatting sqref="W588">
    <cfRule type="expression" dxfId="2868" priority="4832">
      <formula>AND(IF(R588,W588,TRUE),LEN(TRIM(W588))&gt;0)</formula>
    </cfRule>
  </conditionalFormatting>
  <conditionalFormatting sqref="W588">
    <cfRule type="expression" dxfId="2867" priority="4831">
      <formula>OR(S588 = FALSE, AND($P$588 = FALSE, ReportType &lt;&gt; "Final"), AND($Q$588 = FALSE, ReportType &lt;&gt; "Rough"))</formula>
    </cfRule>
  </conditionalFormatting>
  <conditionalFormatting sqref="W588">
    <cfRule type="expression" dxfId="2866" priority="4830">
      <formula>OR(T588 = TRUE, AND(W588 = TRUE, S588 = FALSE))</formula>
    </cfRule>
  </conditionalFormatting>
  <conditionalFormatting sqref="W590">
    <cfRule type="expression" dxfId="2865" priority="4829">
      <formula>AND(R590,S590)</formula>
    </cfRule>
  </conditionalFormatting>
  <conditionalFormatting sqref="W590">
    <cfRule type="expression" dxfId="2864" priority="4828">
      <formula>AND(IF(R590,W590,TRUE),LEN(TRIM(W590))&gt;0)</formula>
    </cfRule>
  </conditionalFormatting>
  <conditionalFormatting sqref="W590">
    <cfRule type="expression" dxfId="2863" priority="4827">
      <formula>OR(S590 = FALSE, AND($P$590 = FALSE, ReportType &lt;&gt; "Final"), AND($Q$590 = FALSE, ReportType &lt;&gt; "Rough"))</formula>
    </cfRule>
  </conditionalFormatting>
  <conditionalFormatting sqref="W590">
    <cfRule type="expression" dxfId="2862" priority="4826">
      <formula>OR(T590 = TRUE, AND(W590 = TRUE, S590 = FALSE))</formula>
    </cfRule>
  </conditionalFormatting>
  <conditionalFormatting sqref="W796">
    <cfRule type="expression" dxfId="2861" priority="4670">
      <formula>AND(R796,S796)</formula>
    </cfRule>
  </conditionalFormatting>
  <conditionalFormatting sqref="W796">
    <cfRule type="expression" dxfId="2860" priority="4669">
      <formula>AND(IF(R796,W796,TRUE),LEN(TRIM(W796))&gt;0)</formula>
    </cfRule>
  </conditionalFormatting>
  <conditionalFormatting sqref="W796">
    <cfRule type="expression" dxfId="2859" priority="4667">
      <formula>OR(T796 = TRUE, AND(W796 = TRUE, S796 = FALSE))</formula>
    </cfRule>
  </conditionalFormatting>
  <conditionalFormatting sqref="W807">
    <cfRule type="expression" dxfId="2858" priority="4666">
      <formula>AND(R807,S807)</formula>
    </cfRule>
  </conditionalFormatting>
  <conditionalFormatting sqref="W807">
    <cfRule type="expression" dxfId="2857" priority="4665">
      <formula>AND(IF(R807,W807,TRUE),LEN(TRIM(W807))&gt;0)</formula>
    </cfRule>
  </conditionalFormatting>
  <conditionalFormatting sqref="W807">
    <cfRule type="expression" dxfId="2856" priority="4663">
      <formula>OR(T807 = TRUE, AND(W807 = TRUE, S807 = FALSE))</formula>
    </cfRule>
  </conditionalFormatting>
  <conditionalFormatting sqref="W45">
    <cfRule type="expression" dxfId="2855" priority="4624">
      <formula>AND($R$45,$S$45)</formula>
    </cfRule>
  </conditionalFormatting>
  <conditionalFormatting sqref="W45">
    <cfRule type="expression" dxfId="2854" priority="4623">
      <formula>AND(IF($R$45,$W$45,TRUE),LEN(TRIM($W$45))&gt;0)</formula>
    </cfRule>
  </conditionalFormatting>
  <conditionalFormatting sqref="W45">
    <cfRule type="expression" dxfId="2853" priority="4622">
      <formula>OR($S$45 = FALSE, AND($P$45 = FALSE, ReportType &lt;&gt; "Final"), AND($Q$45 = FALSE, ReportType &lt;&gt; "Rough"))</formula>
    </cfRule>
  </conditionalFormatting>
  <conditionalFormatting sqref="W45">
    <cfRule type="expression" dxfId="2852" priority="4621">
      <formula>OR($T$45 = TRUE, AND(LEN(TRIM($W$45))&gt;0, $S$45 = FALSE))</formula>
    </cfRule>
  </conditionalFormatting>
  <conditionalFormatting sqref="W93">
    <cfRule type="expression" dxfId="2851" priority="4580">
      <formula>AND($R$93,$S$93)</formula>
    </cfRule>
  </conditionalFormatting>
  <conditionalFormatting sqref="W93">
    <cfRule type="expression" dxfId="2850" priority="4579">
      <formula>AND(IF($R$93,$W$93,TRUE),LEN(TRIM($W$93))&gt;0)</formula>
    </cfRule>
  </conditionalFormatting>
  <conditionalFormatting sqref="W93">
    <cfRule type="expression" dxfId="2849" priority="4578">
      <formula>OR($S$93 = FALSE, AND($P$93 = FALSE, ReportType &lt;&gt; "Final"), AND($Q$93 = FALSE, ReportType &lt;&gt; "Rough"))</formula>
    </cfRule>
  </conditionalFormatting>
  <conditionalFormatting sqref="W93">
    <cfRule type="expression" dxfId="2848" priority="4577">
      <formula>OR($T$93 = TRUE, AND(LEN(TRIM($W$93))&gt;0, $S$93 = FALSE))</formula>
    </cfRule>
  </conditionalFormatting>
  <conditionalFormatting sqref="W128">
    <cfRule type="expression" dxfId="2847" priority="4536">
      <formula>AND($R$128,$S$128)</formula>
    </cfRule>
  </conditionalFormatting>
  <conditionalFormatting sqref="W128">
    <cfRule type="expression" dxfId="2846" priority="4535">
      <formula>AND(IF($R$128,$W$128,TRUE),LEN(TRIM($W$128))&gt;0)</formula>
    </cfRule>
  </conditionalFormatting>
  <conditionalFormatting sqref="W128">
    <cfRule type="expression" dxfId="2845" priority="4534">
      <formula>OR($S$128 = FALSE, AND($P$128 = FALSE, ReportType &lt;&gt; "Final"), AND($Q$128 = FALSE, ReportType &lt;&gt; "Rough"))</formula>
    </cfRule>
  </conditionalFormatting>
  <conditionalFormatting sqref="W128">
    <cfRule type="expression" dxfId="2844" priority="4533">
      <formula>OR($T$128 = TRUE, AND(LEN(TRIM($W$128))&gt;0, $S$128 = FALSE))</formula>
    </cfRule>
  </conditionalFormatting>
  <conditionalFormatting sqref="W135">
    <cfRule type="expression" dxfId="2843" priority="4532">
      <formula>AND($R$135,$S$135)</formula>
    </cfRule>
  </conditionalFormatting>
  <conditionalFormatting sqref="W135">
    <cfRule type="expression" dxfId="2842" priority="4531">
      <formula>AND(IF($R$135,$W$135,TRUE),LEN(TRIM($W$135))&gt;0)</formula>
    </cfRule>
  </conditionalFormatting>
  <conditionalFormatting sqref="W135">
    <cfRule type="expression" dxfId="2841" priority="4530">
      <formula>OR($S$135 = FALSE, AND($P$135 = FALSE, ReportType &lt;&gt; "Final"), AND($Q$135 = FALSE, ReportType &lt;&gt; "Rough"))</formula>
    </cfRule>
  </conditionalFormatting>
  <conditionalFormatting sqref="W135">
    <cfRule type="expression" dxfId="2840" priority="4529">
      <formula>OR($T$135 = TRUE, AND(LEN(TRIM($W$135))&gt;0, $S$135 = FALSE))</formula>
    </cfRule>
  </conditionalFormatting>
  <conditionalFormatting sqref="W147">
    <cfRule type="expression" dxfId="2839" priority="4528">
      <formula>AND($R$147,$S$147)</formula>
    </cfRule>
  </conditionalFormatting>
  <conditionalFormatting sqref="W147">
    <cfRule type="expression" dxfId="2838" priority="4527">
      <formula>AND(IF($R$147,$W$147,TRUE),LEN(TRIM($W$147))&gt;0)</formula>
    </cfRule>
  </conditionalFormatting>
  <conditionalFormatting sqref="W147">
    <cfRule type="expression" dxfId="2837" priority="4526">
      <formula>OR($S$147 = FALSE, AND($P$147 = FALSE, ReportType &lt;&gt; "Final"), AND($Q$147 = FALSE, ReportType &lt;&gt; "Rough"))</formula>
    </cfRule>
  </conditionalFormatting>
  <conditionalFormatting sqref="W147">
    <cfRule type="expression" dxfId="2836" priority="4525">
      <formula>OR($T$147 = TRUE, AND(LEN(TRIM($W$147))&gt;0, $S$147 = FALSE))</formula>
    </cfRule>
  </conditionalFormatting>
  <conditionalFormatting sqref="W149">
    <cfRule type="expression" dxfId="2835" priority="4524">
      <formula>AND($R$149,$S$149)</formula>
    </cfRule>
  </conditionalFormatting>
  <conditionalFormatting sqref="W149">
    <cfRule type="expression" dxfId="2834" priority="4523">
      <formula>AND(IF($R$149,$W$149,TRUE),LEN(TRIM($W$149))&gt;0)</formula>
    </cfRule>
  </conditionalFormatting>
  <conditionalFormatting sqref="W149">
    <cfRule type="expression" dxfId="2833" priority="4522">
      <formula>OR($S$149 = FALSE, AND($P$149 = FALSE, ReportType &lt;&gt; "Final"), AND($Q$149 = FALSE, ReportType &lt;&gt; "Rough"))</formula>
    </cfRule>
  </conditionalFormatting>
  <conditionalFormatting sqref="W149">
    <cfRule type="expression" dxfId="2832" priority="4521">
      <formula>OR($T$149 = TRUE, AND(LEN(TRIM($W$149))&gt;0, $S$149 = FALSE))</formula>
    </cfRule>
  </conditionalFormatting>
  <conditionalFormatting sqref="W165">
    <cfRule type="expression" dxfId="2831" priority="4520">
      <formula>AND($R$165,$S$165)</formula>
    </cfRule>
  </conditionalFormatting>
  <conditionalFormatting sqref="W165">
    <cfRule type="expression" dxfId="2830" priority="4519">
      <formula>AND(IF($R$165,$W$165,TRUE),LEN(TRIM($W$165))&gt;0)</formula>
    </cfRule>
  </conditionalFormatting>
  <conditionalFormatting sqref="W165">
    <cfRule type="expression" dxfId="2829" priority="4518">
      <formula>OR($S$165 = FALSE, AND($P$165 = FALSE, ReportType &lt;&gt; "Final"), AND($Q$165 = FALSE, ReportType &lt;&gt; "Rough"))</formula>
    </cfRule>
  </conditionalFormatting>
  <conditionalFormatting sqref="W165">
    <cfRule type="expression" dxfId="2828" priority="4517">
      <formula>OR($T$165 = TRUE, AND(LEN(TRIM($W$165))&gt;0, $S$165 = FALSE))</formula>
    </cfRule>
  </conditionalFormatting>
  <conditionalFormatting sqref="W201">
    <cfRule type="expression" dxfId="2827" priority="4452">
      <formula>AND($R$201,$S$201)</formula>
    </cfRule>
  </conditionalFormatting>
  <conditionalFormatting sqref="W201">
    <cfRule type="expression" dxfId="2826" priority="4451">
      <formula>AND(IF($R$201,$W$201,TRUE),LEN(TRIM($W$201))&gt;0)</formula>
    </cfRule>
  </conditionalFormatting>
  <conditionalFormatting sqref="W201">
    <cfRule type="expression" dxfId="2825" priority="4450">
      <formula>OR($S$201 = FALSE, AND($P$201 = FALSE, ReportType &lt;&gt; "Final"), AND($Q$201 = FALSE, ReportType &lt;&gt; "Rough"))</formula>
    </cfRule>
  </conditionalFormatting>
  <conditionalFormatting sqref="W201">
    <cfRule type="expression" dxfId="2824" priority="4449">
      <formula>OR($T$201 = TRUE, AND(LEN(TRIM($W$201))&gt;0, $S$201 = FALSE))</formula>
    </cfRule>
  </conditionalFormatting>
  <conditionalFormatting sqref="W257">
    <cfRule type="expression" dxfId="2823" priority="4364">
      <formula>AND($R$257,$S$257)</formula>
    </cfRule>
  </conditionalFormatting>
  <conditionalFormatting sqref="W257">
    <cfRule type="expression" dxfId="2822" priority="4363">
      <formula>AND(IF($R$257,$W$257,TRUE),LEN(TRIM($W$257))&gt;0)</formula>
    </cfRule>
  </conditionalFormatting>
  <conditionalFormatting sqref="W257">
    <cfRule type="expression" dxfId="2821" priority="4362">
      <formula>OR($S$257 = FALSE, AND($P$257 = FALSE, ReportType &lt;&gt; "Final"), AND($Q$257 = FALSE, ReportType &lt;&gt; "Rough"))</formula>
    </cfRule>
  </conditionalFormatting>
  <conditionalFormatting sqref="W257">
    <cfRule type="expression" dxfId="2820" priority="4361">
      <formula>OR($T$257 = TRUE, AND(LEN(TRIM($W$257))&gt;0, $S$257 = FALSE))</formula>
    </cfRule>
  </conditionalFormatting>
  <conditionalFormatting sqref="W383">
    <cfRule type="expression" dxfId="2819" priority="4264">
      <formula>AND($R$383,$S$383)</formula>
    </cfRule>
  </conditionalFormatting>
  <conditionalFormatting sqref="W383">
    <cfRule type="expression" dxfId="2818" priority="4263">
      <formula>AND(IF($R$383,$W$383,TRUE),LEN(TRIM($W$383))&gt;0)</formula>
    </cfRule>
  </conditionalFormatting>
  <conditionalFormatting sqref="W383">
    <cfRule type="expression" dxfId="2817" priority="4262">
      <formula>OR($S$383 = FALSE, AND($P$383 = FALSE, ReportType &lt;&gt; "Final"), AND($Q$383 = FALSE, ReportType &lt;&gt; "Rough"))</formula>
    </cfRule>
  </conditionalFormatting>
  <conditionalFormatting sqref="W383">
    <cfRule type="expression" dxfId="2816" priority="4261">
      <formula>OR($T$383 = TRUE, AND(LEN(TRIM($W$383))&gt;0, $S$383 = FALSE))</formula>
    </cfRule>
  </conditionalFormatting>
  <conditionalFormatting sqref="W384">
    <cfRule type="expression" dxfId="2815" priority="4260">
      <formula>AND($R$384,$S$384)</formula>
    </cfRule>
  </conditionalFormatting>
  <conditionalFormatting sqref="W384">
    <cfRule type="expression" dxfId="2814" priority="4259">
      <formula>AND(IF($R$384,$W$384,TRUE),LEN(TRIM($W$384))&gt;0)</formula>
    </cfRule>
  </conditionalFormatting>
  <conditionalFormatting sqref="W384">
    <cfRule type="expression" dxfId="2813" priority="4258">
      <formula>OR($S$384 = FALSE, AND($P$384 = FALSE, ReportType &lt;&gt; "Final"), AND($Q$384 = FALSE, ReportType &lt;&gt; "Rough"))</formula>
    </cfRule>
  </conditionalFormatting>
  <conditionalFormatting sqref="W384">
    <cfRule type="expression" dxfId="2812" priority="4257">
      <formula>OR($T$384 = TRUE, AND(LEN(TRIM($W$384))&gt;0, $S$384 = FALSE))</formula>
    </cfRule>
  </conditionalFormatting>
  <conditionalFormatting sqref="W385">
    <cfRule type="expression" dxfId="2811" priority="4256">
      <formula>AND($R$385,$S$385)</formula>
    </cfRule>
  </conditionalFormatting>
  <conditionalFormatting sqref="W385">
    <cfRule type="expression" dxfId="2810" priority="4255">
      <formula>AND(IF($R$385,$W$385,TRUE),LEN(TRIM($W$385))&gt;0)</formula>
    </cfRule>
  </conditionalFormatting>
  <conditionalFormatting sqref="W385">
    <cfRule type="expression" dxfId="2809" priority="4254">
      <formula>OR($S$385 = FALSE, AND($P$385 = FALSE, ReportType &lt;&gt; "Final"), AND($Q$385 = FALSE, ReportType &lt;&gt; "Rough"))</formula>
    </cfRule>
  </conditionalFormatting>
  <conditionalFormatting sqref="W385">
    <cfRule type="expression" dxfId="2808" priority="4253">
      <formula>OR($T$385 = TRUE, AND(LEN(TRIM($W$385))&gt;0, $S$385 = FALSE))</formula>
    </cfRule>
  </conditionalFormatting>
  <conditionalFormatting sqref="W389">
    <cfRule type="expression" dxfId="2807" priority="4252">
      <formula>AND($R$389,$S$389)</formula>
    </cfRule>
  </conditionalFormatting>
  <conditionalFormatting sqref="W389">
    <cfRule type="expression" dxfId="2806" priority="4251">
      <formula>AND(IF($R$389,$W$389,TRUE),LEN(TRIM($W$389))&gt;0)</formula>
    </cfRule>
  </conditionalFormatting>
  <conditionalFormatting sqref="W389">
    <cfRule type="expression" dxfId="2805" priority="4250">
      <formula>OR($S$389 = FALSE, AND($P$389 = FALSE, ReportType &lt;&gt; "Final"), AND($Q$389 = FALSE, ReportType &lt;&gt; "Rough"))</formula>
    </cfRule>
  </conditionalFormatting>
  <conditionalFormatting sqref="W389">
    <cfRule type="expression" dxfId="2804" priority="4249">
      <formula>OR($T$389 = TRUE, AND(LEN(TRIM($W$389))&gt;0, $S$389 = FALSE))</formula>
    </cfRule>
  </conditionalFormatting>
  <conditionalFormatting sqref="W391">
    <cfRule type="expression" dxfId="2803" priority="4248">
      <formula>AND($R$391,$S$391)</formula>
    </cfRule>
  </conditionalFormatting>
  <conditionalFormatting sqref="W391">
    <cfRule type="expression" dxfId="2802" priority="4247">
      <formula>AND(IF($R$391,$W$391,TRUE),LEN(TRIM($W$391))&gt;0)</formula>
    </cfRule>
  </conditionalFormatting>
  <conditionalFormatting sqref="W391">
    <cfRule type="expression" dxfId="2801" priority="4246">
      <formula>OR($S$391 = FALSE, AND($P$391 = FALSE, ReportType &lt;&gt; "Final"), AND($Q$391 = FALSE, ReportType &lt;&gt; "Rough"))</formula>
    </cfRule>
  </conditionalFormatting>
  <conditionalFormatting sqref="W391">
    <cfRule type="expression" dxfId="2800" priority="4245">
      <formula>OR($T$391 = TRUE, AND(LEN(TRIM($W$391))&gt;0, $S$391 = FALSE))</formula>
    </cfRule>
  </conditionalFormatting>
  <conditionalFormatting sqref="W440">
    <cfRule type="expression" dxfId="2799" priority="4196">
      <formula>AND($R$440,$S$440)</formula>
    </cfRule>
  </conditionalFormatting>
  <conditionalFormatting sqref="W440">
    <cfRule type="expression" dxfId="2798" priority="4195">
      <formula>AND(IF($R$440,$W$440,TRUE),LEN(TRIM($W$440))&gt;0)</formula>
    </cfRule>
  </conditionalFormatting>
  <conditionalFormatting sqref="W440">
    <cfRule type="expression" dxfId="2797" priority="4194">
      <formula>OR($S$440 = FALSE, AND($P$440 = FALSE, ReportType &lt;&gt; "Final"), AND($Q$440 = FALSE, ReportType &lt;&gt; "Rough"))</formula>
    </cfRule>
  </conditionalFormatting>
  <conditionalFormatting sqref="W440">
    <cfRule type="expression" dxfId="2796" priority="4193">
      <formula>OR($T$440 = TRUE, AND(LEN(TRIM($W$440))&gt;0, $S$440 = FALSE))</formula>
    </cfRule>
  </conditionalFormatting>
  <conditionalFormatting sqref="W501">
    <cfRule type="expression" dxfId="2795" priority="4132">
      <formula>AND($R$501,$S$501)</formula>
    </cfRule>
  </conditionalFormatting>
  <conditionalFormatting sqref="W501">
    <cfRule type="expression" dxfId="2794" priority="4131">
      <formula>AND(IF($R$501,$W$501,TRUE),LEN(TRIM($W$501))&gt;0)</formula>
    </cfRule>
  </conditionalFormatting>
  <conditionalFormatting sqref="W501">
    <cfRule type="expression" dxfId="2793" priority="4130">
      <formula>OR($S$501 = FALSE, AND($P$501 = FALSE, ReportType &lt;&gt; "Final"), AND($Q$501 = FALSE, ReportType &lt;&gt; "Rough"))</formula>
    </cfRule>
  </conditionalFormatting>
  <conditionalFormatting sqref="W501">
    <cfRule type="expression" dxfId="2792" priority="4129">
      <formula>OR($T$501 = TRUE, AND(LEN(TRIM($W$501))&gt;0, $S$501 = FALSE))</formula>
    </cfRule>
  </conditionalFormatting>
  <conditionalFormatting sqref="W511">
    <cfRule type="expression" dxfId="2791" priority="4120">
      <formula>AND($R$511,$S$511)</formula>
    </cfRule>
  </conditionalFormatting>
  <conditionalFormatting sqref="W511">
    <cfRule type="expression" dxfId="2790" priority="4119">
      <formula>AND(IF($R$511,$W$511,TRUE),LEN(TRIM($W$511))&gt;0)</formula>
    </cfRule>
  </conditionalFormatting>
  <conditionalFormatting sqref="W511">
    <cfRule type="expression" dxfId="2789" priority="4118">
      <formula>OR($S$511 = FALSE, AND($P$511 = FALSE, ReportType &lt;&gt; "Final"), AND($Q$511 = FALSE, ReportType &lt;&gt; "Rough"))</formula>
    </cfRule>
  </conditionalFormatting>
  <conditionalFormatting sqref="W511">
    <cfRule type="expression" dxfId="2788" priority="4117">
      <formula>OR($T$511 = TRUE, AND(LEN(TRIM($W$511))&gt;0, $S$511 = FALSE))</formula>
    </cfRule>
  </conditionalFormatting>
  <conditionalFormatting sqref="W637">
    <cfRule type="expression" dxfId="2787" priority="4012">
      <formula>AND($R$637,$S$637)</formula>
    </cfRule>
  </conditionalFormatting>
  <conditionalFormatting sqref="W637">
    <cfRule type="expression" dxfId="2786" priority="4011">
      <formula>AND(IF($R$637,$W$637,TRUE),LEN(TRIM($W$637))&gt;0)</formula>
    </cfRule>
  </conditionalFormatting>
  <conditionalFormatting sqref="W637">
    <cfRule type="expression" dxfId="2785" priority="4010">
      <formula>OR($S$637 = FALSE, AND($P$637 = FALSE, ReportType &lt;&gt; "Final"), AND($Q$637 = FALSE, ReportType &lt;&gt; "Rough"))</formula>
    </cfRule>
  </conditionalFormatting>
  <conditionalFormatting sqref="W637">
    <cfRule type="expression" dxfId="2784" priority="4009">
      <formula>OR($T$637 = TRUE, AND(LEN(TRIM($W$637))&gt;0, $S$637 = FALSE))</formula>
    </cfRule>
  </conditionalFormatting>
  <conditionalFormatting sqref="W638">
    <cfRule type="expression" dxfId="2783" priority="4008">
      <formula>AND($R$638,$S$638)</formula>
    </cfRule>
  </conditionalFormatting>
  <conditionalFormatting sqref="W638">
    <cfRule type="expression" dxfId="2782" priority="4007">
      <formula>AND(IF($R$638,$W$638,TRUE),LEN(TRIM($W$638))&gt;0)</formula>
    </cfRule>
  </conditionalFormatting>
  <conditionalFormatting sqref="W638">
    <cfRule type="expression" dxfId="2781" priority="4006">
      <formula>OR($S$638 = FALSE, AND($P$638 = FALSE, ReportType &lt;&gt; "Final"), AND($Q$638 = FALSE, ReportType &lt;&gt; "Rough"))</formula>
    </cfRule>
  </conditionalFormatting>
  <conditionalFormatting sqref="W638">
    <cfRule type="expression" dxfId="2780" priority="4005">
      <formula>OR($T$638 = TRUE, AND(LEN(TRIM($W$638))&gt;0, $S$638 = FALSE))</formula>
    </cfRule>
  </conditionalFormatting>
  <conditionalFormatting sqref="W639">
    <cfRule type="expression" dxfId="2779" priority="4004">
      <formula>AND($R$639,$S$639)</formula>
    </cfRule>
  </conditionalFormatting>
  <conditionalFormatting sqref="W639">
    <cfRule type="expression" dxfId="2778" priority="4003">
      <formula>AND(IF($R$639,$W$639,TRUE),LEN(TRIM($W$639))&gt;0)</formula>
    </cfRule>
  </conditionalFormatting>
  <conditionalFormatting sqref="W639">
    <cfRule type="expression" dxfId="2777" priority="4002">
      <formula>OR($S$639 = FALSE, AND($P$639 = FALSE, ReportType &lt;&gt; "Final"), AND($Q$639 = FALSE, ReportType &lt;&gt; "Rough"))</formula>
    </cfRule>
  </conditionalFormatting>
  <conditionalFormatting sqref="W639">
    <cfRule type="expression" dxfId="2776" priority="4001">
      <formula>OR($T$639 = TRUE, AND(LEN(TRIM($W$639))&gt;0, $S$639 = FALSE))</formula>
    </cfRule>
  </conditionalFormatting>
  <conditionalFormatting sqref="W640">
    <cfRule type="expression" dxfId="2775" priority="4000">
      <formula>AND($R$640,$S$640)</formula>
    </cfRule>
  </conditionalFormatting>
  <conditionalFormatting sqref="W640">
    <cfRule type="expression" dxfId="2774" priority="3999">
      <formula>AND(IF($R$640,$W$640,TRUE),LEN(TRIM($W$640))&gt;0)</formula>
    </cfRule>
  </conditionalFormatting>
  <conditionalFormatting sqref="W640">
    <cfRule type="expression" dxfId="2773" priority="3998">
      <formula>OR($S$640 = FALSE, AND($P$640 = FALSE, ReportType &lt;&gt; "Final"), AND($Q$640 = FALSE, ReportType &lt;&gt; "Rough"))</formula>
    </cfRule>
  </conditionalFormatting>
  <conditionalFormatting sqref="W640">
    <cfRule type="expression" dxfId="2772" priority="3997">
      <formula>OR($T$640 = TRUE, AND(LEN(TRIM($W$640))&gt;0, $S$640 = FALSE))</formula>
    </cfRule>
  </conditionalFormatting>
  <conditionalFormatting sqref="W641">
    <cfRule type="expression" dxfId="2771" priority="3996">
      <formula>AND($R$641,$S$641)</formula>
    </cfRule>
  </conditionalFormatting>
  <conditionalFormatting sqref="W641">
    <cfRule type="expression" dxfId="2770" priority="3995">
      <formula>AND(IF($R$641,$W$641,TRUE),LEN(TRIM($W$641))&gt;0)</formula>
    </cfRule>
  </conditionalFormatting>
  <conditionalFormatting sqref="W641">
    <cfRule type="expression" dxfId="2769" priority="3994">
      <formula>OR($S$641 = FALSE, AND($P$641 = FALSE, ReportType &lt;&gt; "Final"), AND($Q$641 = FALSE, ReportType &lt;&gt; "Rough"))</formula>
    </cfRule>
  </conditionalFormatting>
  <conditionalFormatting sqref="W641">
    <cfRule type="expression" dxfId="2768" priority="3993">
      <formula>OR($T$641 = TRUE, AND(LEN(TRIM($W$641))&gt;0, $S$641 = FALSE))</formula>
    </cfRule>
  </conditionalFormatting>
  <conditionalFormatting sqref="W642">
    <cfRule type="expression" dxfId="2767" priority="3992">
      <formula>AND($R$642,$S$642)</formula>
    </cfRule>
  </conditionalFormatting>
  <conditionalFormatting sqref="W642">
    <cfRule type="expression" dxfId="2766" priority="3991">
      <formula>AND(IF($R$642,$W$642,TRUE),LEN(TRIM($W$642))&gt;0)</formula>
    </cfRule>
  </conditionalFormatting>
  <conditionalFormatting sqref="W642">
    <cfRule type="expression" dxfId="2765" priority="3990">
      <formula>OR($S$642 = FALSE, AND($P$642 = FALSE, ReportType &lt;&gt; "Final"), AND($Q$642 = FALSE, ReportType &lt;&gt; "Rough"))</formula>
    </cfRule>
  </conditionalFormatting>
  <conditionalFormatting sqref="W642">
    <cfRule type="expression" dxfId="2764" priority="3989">
      <formula>OR($T$642 = TRUE, AND(LEN(TRIM($W$642))&gt;0, $S$642 = FALSE))</formula>
    </cfRule>
  </conditionalFormatting>
  <conditionalFormatting sqref="W643">
    <cfRule type="expression" dxfId="2763" priority="3988">
      <formula>AND($R$643,$S$643)</formula>
    </cfRule>
  </conditionalFormatting>
  <conditionalFormatting sqref="W643">
    <cfRule type="expression" dxfId="2762" priority="3987">
      <formula>AND(IF($R$643,$W$643,TRUE),LEN(TRIM($W$643))&gt;0)</formula>
    </cfRule>
  </conditionalFormatting>
  <conditionalFormatting sqref="W643">
    <cfRule type="expression" dxfId="2761" priority="3986">
      <formula>OR($S$643 = FALSE, AND($P$643 = FALSE, ReportType &lt;&gt; "Final"), AND($Q$643 = FALSE, ReportType &lt;&gt; "Rough"))</formula>
    </cfRule>
  </conditionalFormatting>
  <conditionalFormatting sqref="W643">
    <cfRule type="expression" dxfId="2760" priority="3985">
      <formula>OR($T$643 = TRUE, AND(LEN(TRIM($W$643))&gt;0, $S$643 = FALSE))</formula>
    </cfRule>
  </conditionalFormatting>
  <conditionalFormatting sqref="W644">
    <cfRule type="expression" dxfId="2759" priority="3984">
      <formula>AND($R$644,$S$644)</formula>
    </cfRule>
  </conditionalFormatting>
  <conditionalFormatting sqref="W644">
    <cfRule type="expression" dxfId="2758" priority="3983">
      <formula>AND(IF($R$644,$W$644,TRUE),LEN(TRIM($W$644))&gt;0)</formula>
    </cfRule>
  </conditionalFormatting>
  <conditionalFormatting sqref="W644">
    <cfRule type="expression" dxfId="2757" priority="3982">
      <formula>OR($S$644 = FALSE, AND($P$644 = FALSE, ReportType &lt;&gt; "Final"), AND($Q$644 = FALSE, ReportType &lt;&gt; "Rough"))</formula>
    </cfRule>
  </conditionalFormatting>
  <conditionalFormatting sqref="W644">
    <cfRule type="expression" dxfId="2756" priority="3981">
      <formula>OR($T$644 = TRUE, AND(LEN(TRIM($W$644))&gt;0, $S$644 = FALSE))</formula>
    </cfRule>
  </conditionalFormatting>
  <conditionalFormatting sqref="W668">
    <cfRule type="expression" dxfId="2755" priority="3980">
      <formula>AND($R$668,$S$668)</formula>
    </cfRule>
  </conditionalFormatting>
  <conditionalFormatting sqref="W668">
    <cfRule type="expression" dxfId="2754" priority="3979">
      <formula>AND(IF($R$668,$W$668,TRUE),LEN(TRIM($W$668))&gt;0)</formula>
    </cfRule>
  </conditionalFormatting>
  <conditionalFormatting sqref="W668">
    <cfRule type="expression" dxfId="2753" priority="3978">
      <formula>OR($S$668 = FALSE, AND($P$668 = FALSE, ReportType &lt;&gt; "Final"), AND($Q$668 = FALSE, ReportType &lt;&gt; "Rough"))</formula>
    </cfRule>
  </conditionalFormatting>
  <conditionalFormatting sqref="W668">
    <cfRule type="expression" dxfId="2752" priority="3977">
      <formula>OR($T$668 = TRUE, AND(LEN(TRIM($W$668))&gt;0, $S$668 = FALSE))</formula>
    </cfRule>
  </conditionalFormatting>
  <conditionalFormatting sqref="W669">
    <cfRule type="expression" dxfId="2751" priority="3976">
      <formula>AND($R$669,$S$669)</formula>
    </cfRule>
  </conditionalFormatting>
  <conditionalFormatting sqref="W669">
    <cfRule type="expression" dxfId="2750" priority="3975">
      <formula>AND(IF($R$669,$W$669,TRUE),LEN(TRIM($W$669))&gt;0)</formula>
    </cfRule>
  </conditionalFormatting>
  <conditionalFormatting sqref="W669">
    <cfRule type="expression" dxfId="2749" priority="3974">
      <formula>OR($S$669 = FALSE, AND($P$669 = FALSE, ReportType &lt;&gt; "Final"), AND($Q$669 = FALSE, ReportType &lt;&gt; "Rough"))</formula>
    </cfRule>
  </conditionalFormatting>
  <conditionalFormatting sqref="W669">
    <cfRule type="expression" dxfId="2748" priority="3973">
      <formula>OR($T$669 = TRUE, AND(LEN(TRIM($W$669))&gt;0, $S$669 = FALSE))</formula>
    </cfRule>
  </conditionalFormatting>
  <conditionalFormatting sqref="W671">
    <cfRule type="expression" dxfId="2747" priority="3972">
      <formula>AND($R$671,$S$671)</formula>
    </cfRule>
  </conditionalFormatting>
  <conditionalFormatting sqref="W671">
    <cfRule type="expression" dxfId="2746" priority="3971">
      <formula>AND(IF($R$671,$W$671,TRUE),LEN(TRIM($W$671))&gt;0)</formula>
    </cfRule>
  </conditionalFormatting>
  <conditionalFormatting sqref="W671">
    <cfRule type="expression" dxfId="2745" priority="3970">
      <formula>OR($S$671 = FALSE, AND($P$671 = FALSE, ReportType &lt;&gt; "Final"), AND($Q$671 = FALSE, ReportType &lt;&gt; "Rough"))</formula>
    </cfRule>
  </conditionalFormatting>
  <conditionalFormatting sqref="W671">
    <cfRule type="expression" dxfId="2744" priority="3969">
      <formula>OR($T$671 = TRUE, AND(LEN(TRIM($W$671))&gt;0, $S$671 = FALSE))</formula>
    </cfRule>
  </conditionalFormatting>
  <conditionalFormatting sqref="W672">
    <cfRule type="expression" dxfId="2743" priority="3968">
      <formula>AND($R$672,$S$672)</formula>
    </cfRule>
  </conditionalFormatting>
  <conditionalFormatting sqref="W672">
    <cfRule type="expression" dxfId="2742" priority="3967">
      <formula>AND(IF($R$672,$W$672,TRUE),LEN(TRIM($W$672))&gt;0)</formula>
    </cfRule>
  </conditionalFormatting>
  <conditionalFormatting sqref="W672">
    <cfRule type="expression" dxfId="2741" priority="3966">
      <formula>OR($S$672 = FALSE, AND($P$672 = FALSE, ReportType &lt;&gt; "Final"), AND($Q$672 = FALSE, ReportType &lt;&gt; "Rough"))</formula>
    </cfRule>
  </conditionalFormatting>
  <conditionalFormatting sqref="W672">
    <cfRule type="expression" dxfId="2740" priority="3965">
      <formula>OR($T$672 = TRUE, AND(LEN(TRIM($W$672))&gt;0, $S$672 = FALSE))</formula>
    </cfRule>
  </conditionalFormatting>
  <conditionalFormatting sqref="W674">
    <cfRule type="expression" dxfId="2739" priority="3964">
      <formula>AND($R$674,$S$674)</formula>
    </cfRule>
  </conditionalFormatting>
  <conditionalFormatting sqref="W674">
    <cfRule type="expression" dxfId="2738" priority="3963">
      <formula>AND(IF($R$674,$W$674,TRUE),LEN(TRIM($W$674))&gt;0)</formula>
    </cfRule>
  </conditionalFormatting>
  <conditionalFormatting sqref="W674">
    <cfRule type="expression" dxfId="2737" priority="3962">
      <formula>OR($S$674 = FALSE, AND($P$674 = FALSE, ReportType &lt;&gt; "Final"), AND($Q$674 = FALSE, ReportType &lt;&gt; "Rough"))</formula>
    </cfRule>
  </conditionalFormatting>
  <conditionalFormatting sqref="W674">
    <cfRule type="expression" dxfId="2736" priority="3961">
      <formula>OR($T$674 = TRUE, AND(LEN(TRIM($W$674))&gt;0, $S$674 = FALSE))</formula>
    </cfRule>
  </conditionalFormatting>
  <conditionalFormatting sqref="W697">
    <cfRule type="expression" dxfId="2735" priority="3948">
      <formula>AND($R$697,$S$697)</formula>
    </cfRule>
  </conditionalFormatting>
  <conditionalFormatting sqref="W697">
    <cfRule type="expression" dxfId="2734" priority="3947">
      <formula>AND(IF($R$697,$W$697,TRUE),LEN(TRIM($W$697))&gt;0)</formula>
    </cfRule>
  </conditionalFormatting>
  <conditionalFormatting sqref="W697">
    <cfRule type="expression" dxfId="2733" priority="3946">
      <formula>OR($S$697 = FALSE, AND($P$697 = FALSE, ReportType &lt;&gt; "Final"), AND($Q$697 = FALSE, ReportType &lt;&gt; "Rough"))</formula>
    </cfRule>
  </conditionalFormatting>
  <conditionalFormatting sqref="W697">
    <cfRule type="expression" dxfId="2732" priority="3945">
      <formula>OR($T$697 = TRUE, AND(LEN(TRIM($W$697))&gt;0, $S$697 = FALSE))</formula>
    </cfRule>
  </conditionalFormatting>
  <conditionalFormatting sqref="W708">
    <cfRule type="expression" dxfId="2731" priority="3944">
      <formula>AND($R$708,$S$708)</formula>
    </cfRule>
  </conditionalFormatting>
  <conditionalFormatting sqref="W708">
    <cfRule type="expression" dxfId="2730" priority="3943">
      <formula>AND(IF($R$708,$W$708,TRUE),LEN(TRIM($W$708))&gt;0)</formula>
    </cfRule>
  </conditionalFormatting>
  <conditionalFormatting sqref="W708">
    <cfRule type="expression" dxfId="2729" priority="3942">
      <formula>OR($S$708 = FALSE, AND($P$708 = FALSE, ReportType &lt;&gt; "Final"), AND($Q$708 = FALSE, ReportType &lt;&gt; "Rough"))</formula>
    </cfRule>
  </conditionalFormatting>
  <conditionalFormatting sqref="W708">
    <cfRule type="expression" dxfId="2728" priority="3941">
      <formula>OR($T$708 = TRUE, AND(LEN(TRIM($W$708))&gt;0, $S$708 = FALSE))</formula>
    </cfRule>
  </conditionalFormatting>
  <conditionalFormatting sqref="W710">
    <cfRule type="expression" dxfId="2727" priority="3940">
      <formula>AND($R$710,$S$710)</formula>
    </cfRule>
  </conditionalFormatting>
  <conditionalFormatting sqref="W710">
    <cfRule type="expression" dxfId="2726" priority="3939">
      <formula>AND(IF($R$710,$W$710,TRUE),LEN(TRIM($W$710))&gt;0)</formula>
    </cfRule>
  </conditionalFormatting>
  <conditionalFormatting sqref="W710">
    <cfRule type="expression" dxfId="2725" priority="3938">
      <formula>OR($S$710 = FALSE, AND($P$710 = FALSE, ReportType &lt;&gt; "Final"), AND($Q$710 = FALSE, ReportType &lt;&gt; "Rough"))</formula>
    </cfRule>
  </conditionalFormatting>
  <conditionalFormatting sqref="W710">
    <cfRule type="expression" dxfId="2724" priority="3937">
      <formula>OR($T$710 = TRUE, AND(LEN(TRIM($W$710))&gt;0, $S$710 = FALSE))</formula>
    </cfRule>
  </conditionalFormatting>
  <conditionalFormatting sqref="W752">
    <cfRule type="expression" dxfId="2723" priority="3924">
      <formula>AND($R$752,$S$752)</formula>
    </cfRule>
  </conditionalFormatting>
  <conditionalFormatting sqref="W752">
    <cfRule type="expression" dxfId="2722" priority="3923">
      <formula>AND(IF($R$752,$W$752,TRUE),LEN(TRIM($W$752))&gt;0)</formula>
    </cfRule>
  </conditionalFormatting>
  <conditionalFormatting sqref="W752">
    <cfRule type="expression" dxfId="2721" priority="3922">
      <formula>OR($S$752 = FALSE, AND($P$752 = FALSE, ReportType &lt;&gt; "Final"), AND($Q$752 = FALSE, ReportType &lt;&gt; "Rough"))</formula>
    </cfRule>
  </conditionalFormatting>
  <conditionalFormatting sqref="W752">
    <cfRule type="expression" dxfId="2720" priority="3921">
      <formula>OR($T$752 = TRUE, AND(LEN(TRIM($W$752))&gt;0, $S$752 = FALSE))</formula>
    </cfRule>
  </conditionalFormatting>
  <conditionalFormatting sqref="W759">
    <cfRule type="expression" dxfId="2719" priority="3920">
      <formula>AND($R$759,$S$759)</formula>
    </cfRule>
  </conditionalFormatting>
  <conditionalFormatting sqref="W759">
    <cfRule type="expression" dxfId="2718" priority="3919">
      <formula>AND(IF($R$759,$W$759,TRUE),LEN(TRIM($W$759))&gt;0)</formula>
    </cfRule>
  </conditionalFormatting>
  <conditionalFormatting sqref="W759">
    <cfRule type="expression" dxfId="2717" priority="3918">
      <formula>OR($S$759 = FALSE, AND($P$759 = FALSE, ReportType &lt;&gt; "Final"), AND($Q$759 = FALSE, ReportType &lt;&gt; "Rough"))</formula>
    </cfRule>
  </conditionalFormatting>
  <conditionalFormatting sqref="W759">
    <cfRule type="expression" dxfId="2716" priority="3917">
      <formula>OR($T$759 = TRUE, AND(LEN(TRIM($W$759))&gt;0, $S$759 = FALSE))</formula>
    </cfRule>
  </conditionalFormatting>
  <conditionalFormatting sqref="W765">
    <cfRule type="expression" dxfId="2715" priority="3916">
      <formula>AND($R$765,$S$765)</formula>
    </cfRule>
  </conditionalFormatting>
  <conditionalFormatting sqref="W765">
    <cfRule type="expression" dxfId="2714" priority="3915">
      <formula>AND(IF($R$765,$W$765,TRUE),LEN(TRIM($W$765))&gt;0)</formula>
    </cfRule>
  </conditionalFormatting>
  <conditionalFormatting sqref="W765">
    <cfRule type="expression" dxfId="2713" priority="3914">
      <formula>OR($S$765 = FALSE, AND($P$765 = FALSE, ReportType &lt;&gt; "Final"), AND($Q$765 = FALSE, ReportType &lt;&gt; "Rough"))</formula>
    </cfRule>
  </conditionalFormatting>
  <conditionalFormatting sqref="W765">
    <cfRule type="expression" dxfId="2712" priority="3913">
      <formula>OR($T$765 = TRUE, AND(LEN(TRIM($W$765))&gt;0, $S$765 = FALSE))</formula>
    </cfRule>
  </conditionalFormatting>
  <conditionalFormatting sqref="W772">
    <cfRule type="expression" dxfId="2711" priority="3912">
      <formula>AND($R$772,$S$772)</formula>
    </cfRule>
  </conditionalFormatting>
  <conditionalFormatting sqref="W772">
    <cfRule type="expression" dxfId="2710" priority="3911">
      <formula>AND(IF($R$772,$W$772,TRUE),LEN(TRIM($W$772))&gt;0)</formula>
    </cfRule>
  </conditionalFormatting>
  <conditionalFormatting sqref="W772">
    <cfRule type="expression" dxfId="2709" priority="3910">
      <formula>OR($S$772 = FALSE, AND($P$772 = FALSE, ReportType &lt;&gt; "Final"), AND($Q$772 = FALSE, ReportType &lt;&gt; "Rough"))</formula>
    </cfRule>
  </conditionalFormatting>
  <conditionalFormatting sqref="W772">
    <cfRule type="expression" dxfId="2708" priority="3909">
      <formula>OR($T$772 = TRUE, AND(LEN(TRIM($W$772))&gt;0, $S$772 = FALSE))</formula>
    </cfRule>
  </conditionalFormatting>
  <conditionalFormatting sqref="W778">
    <cfRule type="expression" dxfId="2707" priority="3908">
      <formula>AND($R$778,$S$778)</formula>
    </cfRule>
  </conditionalFormatting>
  <conditionalFormatting sqref="W778">
    <cfRule type="expression" dxfId="2706" priority="3907">
      <formula>AND(IF($R$778,$W$778,TRUE),LEN(TRIM($W$778))&gt;0)</formula>
    </cfRule>
  </conditionalFormatting>
  <conditionalFormatting sqref="W778">
    <cfRule type="expression" dxfId="2705" priority="3906">
      <formula>OR($S$778 = FALSE, AND($P$778 = FALSE, ReportType &lt;&gt; "Final"), AND($Q$778 = FALSE, ReportType &lt;&gt; "Rough"))</formula>
    </cfRule>
  </conditionalFormatting>
  <conditionalFormatting sqref="W778">
    <cfRule type="expression" dxfId="2704" priority="3905">
      <formula>OR($T$778 = TRUE, AND(LEN(TRIM($W$778))&gt;0, $S$778 = FALSE))</formula>
    </cfRule>
  </conditionalFormatting>
  <conditionalFormatting sqref="W784">
    <cfRule type="expression" dxfId="2703" priority="3904">
      <formula>AND($R$784,$S$784)</formula>
    </cfRule>
  </conditionalFormatting>
  <conditionalFormatting sqref="W784">
    <cfRule type="expression" dxfId="2702" priority="3903">
      <formula>AND(IF($R$784,$W$784,TRUE),LEN(TRIM($W$784))&gt;0)</formula>
    </cfRule>
  </conditionalFormatting>
  <conditionalFormatting sqref="W784">
    <cfRule type="expression" dxfId="2701" priority="3902">
      <formula>OR($S$784 = FALSE, AND($P$784 = FALSE, ReportType &lt;&gt; "Final"), AND($Q$784 = FALSE, ReportType &lt;&gt; "Rough"))</formula>
    </cfRule>
  </conditionalFormatting>
  <conditionalFormatting sqref="W784">
    <cfRule type="expression" dxfId="2700" priority="3901">
      <formula>OR($T$784 = TRUE, AND(LEN(TRIM($W$784))&gt;0, $S$784 = FALSE))</formula>
    </cfRule>
  </conditionalFormatting>
  <conditionalFormatting sqref="W813">
    <cfRule type="expression" dxfId="2699" priority="3900">
      <formula>AND($R$813,$S$813)</formula>
    </cfRule>
  </conditionalFormatting>
  <conditionalFormatting sqref="W813">
    <cfRule type="expression" dxfId="2698" priority="3899">
      <formula>AND(IF($R$813,$W$813,TRUE),LEN(TRIM($W$813))&gt;0)</formula>
    </cfRule>
  </conditionalFormatting>
  <conditionalFormatting sqref="W813">
    <cfRule type="expression" dxfId="2697" priority="3898">
      <formula>OR($S$813 = FALSE, AND($P$813 = FALSE, ReportType &lt;&gt; "Final"), AND($Q$813 = FALSE, ReportType &lt;&gt; "Rough"))</formula>
    </cfRule>
  </conditionalFormatting>
  <conditionalFormatting sqref="W813">
    <cfRule type="expression" dxfId="2696" priority="3897">
      <formula>OR($T$813 = TRUE, AND(LEN(TRIM($W$813))&gt;0, $S$813 = FALSE))</formula>
    </cfRule>
  </conditionalFormatting>
  <conditionalFormatting sqref="W431">
    <cfRule type="expression" dxfId="2695" priority="3832">
      <formula>AND($R$431,$S$431)</formula>
    </cfRule>
  </conditionalFormatting>
  <conditionalFormatting sqref="W431">
    <cfRule type="expression" dxfId="2694" priority="3831">
      <formula>AND($W$431&lt;&gt;"Not Met",LEN(TRIM($W$431))&gt;0)</formula>
    </cfRule>
  </conditionalFormatting>
  <conditionalFormatting sqref="W431">
    <cfRule type="expression" dxfId="2693" priority="3830">
      <formula>OR($S$431 = FALSE, AND($P$431 = FALSE, ReportType &lt;&gt; "Final"), AND($Q$431 = FALSE, ReportType &lt;&gt; "Rough"))</formula>
    </cfRule>
  </conditionalFormatting>
  <conditionalFormatting sqref="W431">
    <cfRule type="expression" dxfId="2692" priority="3829">
      <formula>OR($T$431 = TRUE, AND(LEN(TRIM($W$431))&gt;0, $S$431 = FALSE))</formula>
    </cfRule>
  </conditionalFormatting>
  <conditionalFormatting sqref="W437">
    <cfRule type="expression" dxfId="2691" priority="3828">
      <formula>AND($R$437,$S$437)</formula>
    </cfRule>
  </conditionalFormatting>
  <conditionalFormatting sqref="W437">
    <cfRule type="expression" dxfId="2690" priority="3827">
      <formula>AND($W$437&lt;&gt;"Not Met",LEN(TRIM($W$437))&gt;0)</formula>
    </cfRule>
  </conditionalFormatting>
  <conditionalFormatting sqref="W437">
    <cfRule type="expression" dxfId="2689" priority="3826">
      <formula>OR($S$437 = FALSE, AND($P$437 = FALSE, ReportType &lt;&gt; "Final"), AND($Q$437 = FALSE, ReportType &lt;&gt; "Rough"))</formula>
    </cfRule>
  </conditionalFormatting>
  <conditionalFormatting sqref="W437">
    <cfRule type="expression" dxfId="2688" priority="3825">
      <formula>OR($T$437 = TRUE, AND(LEN(TRIM($W$437))&gt;0, $S$437 = FALSE))</formula>
    </cfRule>
  </conditionalFormatting>
  <conditionalFormatting sqref="W464">
    <cfRule type="expression" dxfId="2687" priority="3824">
      <formula>AND($R$464,$S$464)</formula>
    </cfRule>
  </conditionalFormatting>
  <conditionalFormatting sqref="W464">
    <cfRule type="expression" dxfId="2686" priority="3823">
      <formula>AND($W$464&lt;&gt;"Not Met",LEN(TRIM($W$464))&gt;0)</formula>
    </cfRule>
  </conditionalFormatting>
  <conditionalFormatting sqref="W464">
    <cfRule type="expression" dxfId="2685" priority="3822">
      <formula>OR($S$464 = FALSE, AND($P$464 = FALSE, ReportType &lt;&gt; "Final"), AND($Q$464 = FALSE, ReportType &lt;&gt; "Rough"))</formula>
    </cfRule>
  </conditionalFormatting>
  <conditionalFormatting sqref="W464">
    <cfRule type="expression" dxfId="2684" priority="3821">
      <formula>OR($T$464 = TRUE, AND(LEN(TRIM($W$464))&gt;0, $S$464 = FALSE))</formula>
    </cfRule>
  </conditionalFormatting>
  <conditionalFormatting sqref="W475">
    <cfRule type="expression" dxfId="2683" priority="3820">
      <formula>AND($R$475,$S$475)</formula>
    </cfRule>
  </conditionalFormatting>
  <conditionalFormatting sqref="W475">
    <cfRule type="expression" dxfId="2682" priority="3819">
      <formula>AND($W$475&lt;&gt;"Not Met",LEN(TRIM($W$475))&gt;0)</formula>
    </cfRule>
  </conditionalFormatting>
  <conditionalFormatting sqref="W475">
    <cfRule type="expression" dxfId="2681" priority="3818">
      <formula>OR($S$475 = FALSE, AND($P$475 = FALSE, ReportType &lt;&gt; "Final"), AND($Q$475 = FALSE, ReportType &lt;&gt; "Rough"))</formula>
    </cfRule>
  </conditionalFormatting>
  <conditionalFormatting sqref="W475">
    <cfRule type="expression" dxfId="2680" priority="3817">
      <formula>OR($T$475 = TRUE, AND(LEN(TRIM($W$475))&gt;0, $S$475 = FALSE))</formula>
    </cfRule>
  </conditionalFormatting>
  <conditionalFormatting sqref="W523">
    <cfRule type="expression" dxfId="2679" priority="3816">
      <formula>AND($R$523,$S$523)</formula>
    </cfRule>
  </conditionalFormatting>
  <conditionalFormatting sqref="W523">
    <cfRule type="expression" dxfId="2678" priority="3815">
      <formula>AND($W$523&lt;&gt;"Not Met",LEN(TRIM($W$523))&gt;0)</formula>
    </cfRule>
  </conditionalFormatting>
  <conditionalFormatting sqref="W523">
    <cfRule type="expression" dxfId="2677" priority="3814">
      <formula>OR($S$523 = FALSE, AND($P$523 = FALSE, ReportType &lt;&gt; "Final"), AND($Q$523 = FALSE, ReportType &lt;&gt; "Rough"))</formula>
    </cfRule>
  </conditionalFormatting>
  <conditionalFormatting sqref="W523">
    <cfRule type="expression" dxfId="2676" priority="3813">
      <formula>OR($T$523 = TRUE, AND(LEN(TRIM($W$523))&gt;0, $S$523 = FALSE))</formula>
    </cfRule>
  </conditionalFormatting>
  <conditionalFormatting sqref="W528">
    <cfRule type="expression" dxfId="2675" priority="3812">
      <formula>AND($R$528,$S$528)</formula>
    </cfRule>
  </conditionalFormatting>
  <conditionalFormatting sqref="W528">
    <cfRule type="expression" dxfId="2674" priority="3811">
      <formula>AND($W$528&lt;&gt;"Not Met",LEN(TRIM($W$528))&gt;0)</formula>
    </cfRule>
  </conditionalFormatting>
  <conditionalFormatting sqref="W528">
    <cfRule type="expression" dxfId="2673" priority="3810">
      <formula>OR($S$528 = FALSE, AND($P$528 = FALSE, ReportType &lt;&gt; "Final"), AND($Q$528 = FALSE, ReportType &lt;&gt; "Rough"))</formula>
    </cfRule>
  </conditionalFormatting>
  <conditionalFormatting sqref="W528">
    <cfRule type="expression" dxfId="2672" priority="3809">
      <formula>OR($T$528 = TRUE, AND(LEN(TRIM($W$528))&gt;0, $S$528 = FALSE))</formula>
    </cfRule>
  </conditionalFormatting>
  <conditionalFormatting sqref="W534">
    <cfRule type="expression" dxfId="2671" priority="3808">
      <formula>AND($R$534,$S$534)</formula>
    </cfRule>
  </conditionalFormatting>
  <conditionalFormatting sqref="W534">
    <cfRule type="expression" dxfId="2670" priority="3807">
      <formula>AND($W$534&lt;&gt;"Not Met",LEN(TRIM($W$534))&gt;0)</formula>
    </cfRule>
  </conditionalFormatting>
  <conditionalFormatting sqref="W534">
    <cfRule type="expression" dxfId="2669" priority="3806">
      <formula>OR($S$534 = FALSE, AND($P$534 = FALSE, ReportType &lt;&gt; "Final"), AND($Q$534 = FALSE, ReportType &lt;&gt; "Rough"))</formula>
    </cfRule>
  </conditionalFormatting>
  <conditionalFormatting sqref="W534">
    <cfRule type="expression" dxfId="2668" priority="3805">
      <formula>OR($T$534 = TRUE, AND(LEN(TRIM($W$534))&gt;0, $S$534 = FALSE))</formula>
    </cfRule>
  </conditionalFormatting>
  <conditionalFormatting sqref="W14">
    <cfRule type="expression" dxfId="2667" priority="3801">
      <formula>OR($T$14 = TRUE, AND($W$14 = TRUE, $S$14 = FALSE))</formula>
    </cfRule>
    <cfRule type="expression" dxfId="2666" priority="3802">
      <formula>OR($S$14 = FALSE, AND($P$14 = FALSE, ReportType &lt;&gt; "Final"), AND($Q$14 = FALSE, ReportType &lt;&gt; "Rough"))</formula>
    </cfRule>
    <cfRule type="expression" dxfId="2665" priority="3803">
      <formula>AND(IF($R$14,$W$14,TRUE),LEN(TRIM($W$14))&gt;0)</formula>
    </cfRule>
    <cfRule type="expression" dxfId="2664" priority="3804">
      <formula>AND($R$14,$S$14)</formula>
    </cfRule>
  </conditionalFormatting>
  <conditionalFormatting sqref="W16">
    <cfRule type="expression" dxfId="2663" priority="3797">
      <formula>OR($T$16 = TRUE, AND($W$16 = TRUE, $S$16 = FALSE))</formula>
    </cfRule>
    <cfRule type="expression" dxfId="2662" priority="3798">
      <formula>OR($S$16 = FALSE, AND($P$16 = FALSE, ReportType &lt;&gt; "Final"), AND($Q$16 = FALSE, ReportType &lt;&gt; "Rough"))</formula>
    </cfRule>
    <cfRule type="expression" dxfId="2661" priority="3799">
      <formula>AND(IF($R$16,$W$16,TRUE),LEN(TRIM($W$16))&gt;0)</formula>
    </cfRule>
    <cfRule type="expression" dxfId="2660" priority="3800">
      <formula>AND($R$16,$S$16)</formula>
    </cfRule>
  </conditionalFormatting>
  <conditionalFormatting sqref="W17">
    <cfRule type="expression" dxfId="2659" priority="3793">
      <formula>OR($T$17 = TRUE, AND($W$17 = TRUE, $S$17 = FALSE))</formula>
    </cfRule>
    <cfRule type="expression" dxfId="2658" priority="3794">
      <formula>OR($S$17 = FALSE, AND($P$17 = FALSE, ReportType &lt;&gt; "Final"), AND($Q$17 = FALSE, ReportType &lt;&gt; "Rough"))</formula>
    </cfRule>
    <cfRule type="expression" dxfId="2657" priority="3795">
      <formula>AND(IF($R$17,$W$17,TRUE),LEN(TRIM($W$17))&gt;0)</formula>
    </cfRule>
    <cfRule type="expression" dxfId="2656" priority="3796">
      <formula>AND($R$17,$S$17)</formula>
    </cfRule>
  </conditionalFormatting>
  <conditionalFormatting sqref="W18">
    <cfRule type="expression" dxfId="2655" priority="3792">
      <formula>AND($R$18,$S$18)</formula>
    </cfRule>
  </conditionalFormatting>
  <conditionalFormatting sqref="W18">
    <cfRule type="expression" dxfId="2654" priority="3791">
      <formula>AND(IF($R$18,$W$18,TRUE),LEN(TRIM($W$18))&gt;0)</formula>
    </cfRule>
  </conditionalFormatting>
  <conditionalFormatting sqref="W18">
    <cfRule type="expression" dxfId="2653" priority="3790">
      <formula>OR($S$18 = FALSE, AND($P$18 = FALSE, ReportType &lt;&gt; "Final"), AND($Q$18 = FALSE, ReportType &lt;&gt; "Rough"))</formula>
    </cfRule>
  </conditionalFormatting>
  <conditionalFormatting sqref="W18">
    <cfRule type="expression" dxfId="2652" priority="3789">
      <formula>OR($T$18 = TRUE, AND($W$18 = TRUE, $S$18 = FALSE))</formula>
    </cfRule>
  </conditionalFormatting>
  <conditionalFormatting sqref="W21">
    <cfRule type="expression" dxfId="2651" priority="3785">
      <formula>OR($T$21 = TRUE, AND($W$21 = TRUE, $S$21 = FALSE))</formula>
    </cfRule>
    <cfRule type="expression" dxfId="2650" priority="3786">
      <formula>OR($S$21 = FALSE, AND($P$21 = FALSE, ReportType &lt;&gt; "Final"), AND($Q$21 = FALSE, ReportType &lt;&gt; "Rough"))</formula>
    </cfRule>
    <cfRule type="expression" dxfId="2649" priority="3787">
      <formula>AND(IF($R$21,$W$21,TRUE),LEN(TRIM($W$21))&gt;0)</formula>
    </cfRule>
    <cfRule type="expression" dxfId="2648" priority="3788">
      <formula>AND($R$21,$S$21)</formula>
    </cfRule>
  </conditionalFormatting>
  <conditionalFormatting sqref="W23">
    <cfRule type="expression" dxfId="2647" priority="3784">
      <formula>AND($R$23,$S$23)</formula>
    </cfRule>
  </conditionalFormatting>
  <conditionalFormatting sqref="W23">
    <cfRule type="expression" dxfId="2646" priority="3783">
      <formula>AND(IF($R$23,$W$23,TRUE),LEN(TRIM($W$23))&gt;0)</formula>
    </cfRule>
  </conditionalFormatting>
  <conditionalFormatting sqref="W23">
    <cfRule type="expression" dxfId="2645" priority="3782">
      <formula>OR($S$23 = FALSE, AND($P$23 = FALSE, ReportType &lt;&gt; "Final"), AND($Q$23 = FALSE, ReportType &lt;&gt; "Rough"))</formula>
    </cfRule>
  </conditionalFormatting>
  <conditionalFormatting sqref="W23">
    <cfRule type="expression" dxfId="2644" priority="3781">
      <formula>OR($T$23 = TRUE, AND($W$23 = TRUE, $S$23 = FALSE))</formula>
    </cfRule>
  </conditionalFormatting>
  <conditionalFormatting sqref="W25">
    <cfRule type="expression" dxfId="2643" priority="3780">
      <formula>AND($R$25,$S$25)</formula>
    </cfRule>
  </conditionalFormatting>
  <conditionalFormatting sqref="W25">
    <cfRule type="expression" dxfId="2642" priority="3779">
      <formula>AND(IF($R$25,$W$25,TRUE),LEN(TRIM($W$25))&gt;0)</formula>
    </cfRule>
  </conditionalFormatting>
  <conditionalFormatting sqref="W25">
    <cfRule type="expression" dxfId="2641" priority="3778">
      <formula>OR($S$25 = FALSE, AND($P$25 = FALSE, ReportType &lt;&gt; "Final"), AND($Q$25 = FALSE, ReportType &lt;&gt; "Rough"))</formula>
    </cfRule>
  </conditionalFormatting>
  <conditionalFormatting sqref="W25">
    <cfRule type="expression" dxfId="2640" priority="3777">
      <formula>OR($T$25 = TRUE, AND($W$25 = TRUE, $S$25 = FALSE))</formula>
    </cfRule>
  </conditionalFormatting>
  <conditionalFormatting sqref="W27">
    <cfRule type="expression" dxfId="2639" priority="3776">
      <formula>AND($R$27,$S$27)</formula>
    </cfRule>
  </conditionalFormatting>
  <conditionalFormatting sqref="W27">
    <cfRule type="expression" dxfId="2638" priority="3775">
      <formula>AND(IF($R$27,$W$27,TRUE),LEN(TRIM($W$27))&gt;0)</formula>
    </cfRule>
  </conditionalFormatting>
  <conditionalFormatting sqref="W27">
    <cfRule type="expression" dxfId="2637" priority="3774">
      <formula>OR($S$27 = FALSE, AND($P$27 = FALSE, ReportType &lt;&gt; "Final"), AND($Q$27 = FALSE, ReportType &lt;&gt; "Rough"))</formula>
    </cfRule>
  </conditionalFormatting>
  <conditionalFormatting sqref="W27">
    <cfRule type="expression" dxfId="2636" priority="3773">
      <formula>OR($T$27 = TRUE, AND($W$27 = TRUE, $S$27 = FALSE))</formula>
    </cfRule>
  </conditionalFormatting>
  <conditionalFormatting sqref="W42">
    <cfRule type="expression" dxfId="2635" priority="3772">
      <formula>AND($R$42,$S$42)</formula>
    </cfRule>
  </conditionalFormatting>
  <conditionalFormatting sqref="W42">
    <cfRule type="expression" dxfId="2634" priority="3771">
      <formula>AND(IF($R$42,$W$42,TRUE),LEN(TRIM($W$42))&gt;0)</formula>
    </cfRule>
  </conditionalFormatting>
  <conditionalFormatting sqref="W42">
    <cfRule type="expression" dxfId="2633" priority="3770">
      <formula>OR($S$42 = FALSE, AND($P$42 = FALSE, ReportType &lt;&gt; "Final"), AND($Q$42 = FALSE, ReportType &lt;&gt; "Rough"))</formula>
    </cfRule>
  </conditionalFormatting>
  <conditionalFormatting sqref="W42">
    <cfRule type="expression" dxfId="2632" priority="3769">
      <formula>OR($T$42 = TRUE, AND($W$42 = TRUE, $S$42 = FALSE))</formula>
    </cfRule>
  </conditionalFormatting>
  <conditionalFormatting sqref="W58">
    <cfRule type="expression" dxfId="2631" priority="3768">
      <formula>AND($R$58,$S$58)</formula>
    </cfRule>
  </conditionalFormatting>
  <conditionalFormatting sqref="W58">
    <cfRule type="expression" dxfId="2630" priority="3767">
      <formula>AND(IF($R$58,$W$58,TRUE),LEN(TRIM($W$58))&gt;0)</formula>
    </cfRule>
  </conditionalFormatting>
  <conditionalFormatting sqref="W58">
    <cfRule type="expression" dxfId="2629" priority="3766">
      <formula>OR($S$58 = FALSE, AND($P$58 = FALSE, ReportType &lt;&gt; "Final"), AND($Q$58 = FALSE, ReportType &lt;&gt; "Rough"))</formula>
    </cfRule>
  </conditionalFormatting>
  <conditionalFormatting sqref="W58">
    <cfRule type="expression" dxfId="2628" priority="3765">
      <formula>OR($T$58 = TRUE, AND($W$58 = TRUE, $S$58 = FALSE))</formula>
    </cfRule>
  </conditionalFormatting>
  <conditionalFormatting sqref="W69">
    <cfRule type="expression" dxfId="2627" priority="3764">
      <formula>AND($R$69,$S$69)</formula>
    </cfRule>
  </conditionalFormatting>
  <conditionalFormatting sqref="W69">
    <cfRule type="expression" dxfId="2626" priority="3763">
      <formula>AND(IF($R$69,$W$69,TRUE),LEN(TRIM($W$69))&gt;0)</formula>
    </cfRule>
  </conditionalFormatting>
  <conditionalFormatting sqref="W69">
    <cfRule type="expression" dxfId="2625" priority="3762">
      <formula>OR($S$69 = FALSE, AND($P$69 = FALSE, ReportType &lt;&gt; "Final"), AND($Q$69 = FALSE, ReportType &lt;&gt; "Rough"))</formula>
    </cfRule>
  </conditionalFormatting>
  <conditionalFormatting sqref="W69">
    <cfRule type="expression" dxfId="2624" priority="3761">
      <formula>OR($T$69 = TRUE, AND($W$69 = TRUE, $S$69 = FALSE))</formula>
    </cfRule>
  </conditionalFormatting>
  <conditionalFormatting sqref="W71">
    <cfRule type="expression" dxfId="2623" priority="3760">
      <formula>AND($R$71,$S$71)</formula>
    </cfRule>
  </conditionalFormatting>
  <conditionalFormatting sqref="W71">
    <cfRule type="expression" dxfId="2622" priority="3759">
      <formula>AND(IF($R$71,$W$71,TRUE),LEN(TRIM($W$71))&gt;0)</formula>
    </cfRule>
  </conditionalFormatting>
  <conditionalFormatting sqref="W71">
    <cfRule type="expression" dxfId="2621" priority="3758">
      <formula>OR($S$71 = FALSE, AND($P$71 = FALSE, ReportType &lt;&gt; "Final"), AND($Q$71 = FALSE, ReportType &lt;&gt; "Rough"))</formula>
    </cfRule>
  </conditionalFormatting>
  <conditionalFormatting sqref="W71">
    <cfRule type="expression" dxfId="2620" priority="3757">
      <formula>OR($T$71 = TRUE, AND($W$71 = TRUE, $S$71 = FALSE))</formula>
    </cfRule>
  </conditionalFormatting>
  <conditionalFormatting sqref="W73">
    <cfRule type="expression" dxfId="2619" priority="3756">
      <formula>AND($R$73,$S$73)</formula>
    </cfRule>
  </conditionalFormatting>
  <conditionalFormatting sqref="W73">
    <cfRule type="expression" dxfId="2618" priority="3755">
      <formula>AND(IF($R$73,$W$73,TRUE),LEN(TRIM($W$73))&gt;0)</formula>
    </cfRule>
  </conditionalFormatting>
  <conditionalFormatting sqref="W73">
    <cfRule type="expression" dxfId="2617" priority="3754">
      <formula>OR($S$73 = FALSE, AND($P$73 = FALSE, ReportType &lt;&gt; "Final"), AND($Q$73 = FALSE, ReportType &lt;&gt; "Rough"))</formula>
    </cfRule>
  </conditionalFormatting>
  <conditionalFormatting sqref="W73">
    <cfRule type="expression" dxfId="2616" priority="3753">
      <formula>OR($T$73 = TRUE, AND($W$73 = TRUE, $S$73 = FALSE))</formula>
    </cfRule>
  </conditionalFormatting>
  <conditionalFormatting sqref="W75">
    <cfRule type="expression" dxfId="2615" priority="3752">
      <formula>AND($R$75,$S$75)</formula>
    </cfRule>
  </conditionalFormatting>
  <conditionalFormatting sqref="W75">
    <cfRule type="expression" dxfId="2614" priority="3751">
      <formula>AND(IF($R$75,$W$75,TRUE),LEN(TRIM($W$75))&gt;0)</formula>
    </cfRule>
  </conditionalFormatting>
  <conditionalFormatting sqref="W75">
    <cfRule type="expression" dxfId="2613" priority="3750">
      <formula>OR($S$75 = FALSE, AND($P$75 = FALSE, ReportType &lt;&gt; "Final"), AND($Q$75 = FALSE, ReportType &lt;&gt; "Rough"))</formula>
    </cfRule>
  </conditionalFormatting>
  <conditionalFormatting sqref="W75">
    <cfRule type="expression" dxfId="2612" priority="3749">
      <formula>OR($T$75 = TRUE, AND($W$75 = TRUE, $S$75 = FALSE))</formula>
    </cfRule>
  </conditionalFormatting>
  <conditionalFormatting sqref="W77">
    <cfRule type="expression" dxfId="2611" priority="3748">
      <formula>AND($R$77,$S$77)</formula>
    </cfRule>
  </conditionalFormatting>
  <conditionalFormatting sqref="W77">
    <cfRule type="expression" dxfId="2610" priority="3747">
      <formula>AND(IF($R$77,$W$77,TRUE),LEN(TRIM($W$77))&gt;0)</formula>
    </cfRule>
  </conditionalFormatting>
  <conditionalFormatting sqref="W77">
    <cfRule type="expression" dxfId="2609" priority="3746">
      <formula>OR($S$77 = FALSE, AND($P$77 = FALSE, ReportType &lt;&gt; "Final"), AND($Q$77 = FALSE, ReportType &lt;&gt; "Rough"))</formula>
    </cfRule>
  </conditionalFormatting>
  <conditionalFormatting sqref="W77">
    <cfRule type="expression" dxfId="2608" priority="3745">
      <formula>OR($T$77 = TRUE, AND($W$77 = TRUE, $S$77 = FALSE))</formula>
    </cfRule>
  </conditionalFormatting>
  <conditionalFormatting sqref="W79">
    <cfRule type="expression" dxfId="2607" priority="3744">
      <formula>AND($R$79,$S$79)</formula>
    </cfRule>
  </conditionalFormatting>
  <conditionalFormatting sqref="W79">
    <cfRule type="expression" dxfId="2606" priority="3743">
      <formula>AND(IF($R$79,$W$79,TRUE),LEN(TRIM($W$79))&gt;0)</formula>
    </cfRule>
  </conditionalFormatting>
  <conditionalFormatting sqref="W79">
    <cfRule type="expression" dxfId="2605" priority="3742">
      <formula>OR($S$79 = FALSE, AND($P$79 = FALSE, ReportType &lt;&gt; "Final"), AND($Q$79 = FALSE, ReportType &lt;&gt; "Rough"))</formula>
    </cfRule>
  </conditionalFormatting>
  <conditionalFormatting sqref="W79">
    <cfRule type="expression" dxfId="2604" priority="3741">
      <formula>OR($T$79 = TRUE, AND($W$79 = TRUE, $S$79 = FALSE))</formula>
    </cfRule>
  </conditionalFormatting>
  <conditionalFormatting sqref="W81">
    <cfRule type="expression" dxfId="2603" priority="3740">
      <formula>AND($R$81,$S$81)</formula>
    </cfRule>
  </conditionalFormatting>
  <conditionalFormatting sqref="W81">
    <cfRule type="expression" dxfId="2602" priority="3739">
      <formula>AND(IF($R$81,$W$81,TRUE),LEN(TRIM($W$81))&gt;0)</formula>
    </cfRule>
  </conditionalFormatting>
  <conditionalFormatting sqref="W81">
    <cfRule type="expression" dxfId="2601" priority="3738">
      <formula>OR($S$81 = FALSE, AND($P$81 = FALSE, ReportType &lt;&gt; "Final"), AND($Q$81 = FALSE, ReportType &lt;&gt; "Rough"))</formula>
    </cfRule>
  </conditionalFormatting>
  <conditionalFormatting sqref="W81">
    <cfRule type="expression" dxfId="2600" priority="3737">
      <formula>OR($T$81 = TRUE, AND($W$81 = TRUE, $S$81 = FALSE))</formula>
    </cfRule>
  </conditionalFormatting>
  <conditionalFormatting sqref="W90">
    <cfRule type="expression" dxfId="2599" priority="3736">
      <formula>AND($R$90,$S$90)</formula>
    </cfRule>
  </conditionalFormatting>
  <conditionalFormatting sqref="W90">
    <cfRule type="expression" dxfId="2598" priority="3735">
      <formula>AND(IF($R$90,$W$90,TRUE),LEN(TRIM($W$90))&gt;0)</formula>
    </cfRule>
  </conditionalFormatting>
  <conditionalFormatting sqref="W90">
    <cfRule type="expression" dxfId="2597" priority="3734">
      <formula>OR($S$90 = FALSE, AND($P$90 = FALSE, ReportType &lt;&gt; "Final"), AND($Q$90 = FALSE, ReportType &lt;&gt; "Rough"))</formula>
    </cfRule>
  </conditionalFormatting>
  <conditionalFormatting sqref="W90">
    <cfRule type="expression" dxfId="2596" priority="3733">
      <formula>OR($T$90 = TRUE, AND($W$90 = TRUE, $S$90 = FALSE))</formula>
    </cfRule>
  </conditionalFormatting>
  <conditionalFormatting sqref="W91">
    <cfRule type="expression" dxfId="2595" priority="3732">
      <formula>AND($R$91,$S$91)</formula>
    </cfRule>
  </conditionalFormatting>
  <conditionalFormatting sqref="W91">
    <cfRule type="expression" dxfId="2594" priority="3731">
      <formula>AND(IF($R$91,$W$91,TRUE),LEN(TRIM($W$91))&gt;0)</formula>
    </cfRule>
  </conditionalFormatting>
  <conditionalFormatting sqref="W91">
    <cfRule type="expression" dxfId="2593" priority="3730">
      <formula>OR($S$91 = FALSE, AND($P$91 = FALSE, ReportType &lt;&gt; "Final"), AND($Q$91 = FALSE, ReportType &lt;&gt; "Rough"))</formula>
    </cfRule>
  </conditionalFormatting>
  <conditionalFormatting sqref="W91">
    <cfRule type="expression" dxfId="2592" priority="3729">
      <formula>OR($T$91 = TRUE, AND($W$91 = TRUE, $S$91 = FALSE))</formula>
    </cfRule>
  </conditionalFormatting>
  <conditionalFormatting sqref="W98">
    <cfRule type="expression" dxfId="2591" priority="3728">
      <formula>AND($R$98,$S$98)</formula>
    </cfRule>
  </conditionalFormatting>
  <conditionalFormatting sqref="W98">
    <cfRule type="expression" dxfId="2590" priority="3727">
      <formula>AND(IF($R$98,$W$98,TRUE),LEN(TRIM($W$98))&gt;0)</formula>
    </cfRule>
  </conditionalFormatting>
  <conditionalFormatting sqref="W98">
    <cfRule type="expression" dxfId="2589" priority="3726">
      <formula>OR($S$98 = FALSE, AND($P$98 = FALSE, ReportType &lt;&gt; "Final"), AND($Q$98 = FALSE, ReportType &lt;&gt; "Rough"))</formula>
    </cfRule>
  </conditionalFormatting>
  <conditionalFormatting sqref="W98">
    <cfRule type="expression" dxfId="2588" priority="3725">
      <formula>OR($T$98 = TRUE, AND($W$98 = TRUE, $S$98 = FALSE))</formula>
    </cfRule>
  </conditionalFormatting>
  <conditionalFormatting sqref="W100">
    <cfRule type="expression" dxfId="2587" priority="3724">
      <formula>AND($R$100,$S$100)</formula>
    </cfRule>
  </conditionalFormatting>
  <conditionalFormatting sqref="W100">
    <cfRule type="expression" dxfId="2586" priority="3723">
      <formula>AND(IF($R$100,$W$100,TRUE),LEN(TRIM($W$100))&gt;0)</formula>
    </cfRule>
  </conditionalFormatting>
  <conditionalFormatting sqref="W100">
    <cfRule type="expression" dxfId="2585" priority="3722">
      <formula>OR($S$100 = FALSE, AND($P$100 = FALSE, ReportType &lt;&gt; "Final"), AND($Q$100 = FALSE, ReportType &lt;&gt; "Rough"))</formula>
    </cfRule>
  </conditionalFormatting>
  <conditionalFormatting sqref="W100">
    <cfRule type="expression" dxfId="2584" priority="3721">
      <formula>OR($T$100 = TRUE, AND($W$100 = TRUE, $S$100 = FALSE))</formula>
    </cfRule>
  </conditionalFormatting>
  <conditionalFormatting sqref="W104">
    <cfRule type="expression" dxfId="2583" priority="3720">
      <formula>AND($R$104,$S$104)</formula>
    </cfRule>
  </conditionalFormatting>
  <conditionalFormatting sqref="W104">
    <cfRule type="expression" dxfId="2582" priority="3719">
      <formula>AND(IF($R$104,$W$104,TRUE),LEN(TRIM($W$104))&gt;0)</formula>
    </cfRule>
  </conditionalFormatting>
  <conditionalFormatting sqref="W104">
    <cfRule type="expression" dxfId="2581" priority="3718">
      <formula>OR($S$104 = FALSE, AND($P$104 = FALSE, ReportType &lt;&gt; "Final"), AND($Q$104 = FALSE, ReportType &lt;&gt; "Rough"))</formula>
    </cfRule>
  </conditionalFormatting>
  <conditionalFormatting sqref="W104">
    <cfRule type="expression" dxfId="2580" priority="3717">
      <formula>OR($T$104 = TRUE, AND($W$104 = TRUE, $S$104 = FALSE))</formula>
    </cfRule>
  </conditionalFormatting>
  <conditionalFormatting sqref="W108">
    <cfRule type="expression" dxfId="2579" priority="3716">
      <formula>AND($R$108,$S$108)</formula>
    </cfRule>
  </conditionalFormatting>
  <conditionalFormatting sqref="W108">
    <cfRule type="expression" dxfId="2578" priority="3715">
      <formula>AND(IF($R$108,$W$108,TRUE),LEN(TRIM($W$108))&gt;0)</formula>
    </cfRule>
  </conditionalFormatting>
  <conditionalFormatting sqref="W108">
    <cfRule type="expression" dxfId="2577" priority="3714">
      <formula>OR($S$108 = FALSE, AND($P$108 = FALSE, ReportType &lt;&gt; "Final"), AND($Q$108 = FALSE, ReportType &lt;&gt; "Rough"))</formula>
    </cfRule>
  </conditionalFormatting>
  <conditionalFormatting sqref="W108">
    <cfRule type="expression" dxfId="2576" priority="3713">
      <formula>OR($T$108 = TRUE, AND($W$108 = TRUE, $S$108 = FALSE))</formula>
    </cfRule>
  </conditionalFormatting>
  <conditionalFormatting sqref="W109">
    <cfRule type="expression" dxfId="2575" priority="3712">
      <formula>AND($R$109,$S$109)</formula>
    </cfRule>
  </conditionalFormatting>
  <conditionalFormatting sqref="W109">
    <cfRule type="expression" dxfId="2574" priority="3711">
      <formula>AND(IF($R$109,$W$109,TRUE),LEN(TRIM($W$109))&gt;0)</formula>
    </cfRule>
  </conditionalFormatting>
  <conditionalFormatting sqref="W109">
    <cfRule type="expression" dxfId="2573" priority="3710">
      <formula>OR($S$109 = FALSE, AND($P$109 = FALSE, ReportType &lt;&gt; "Final"), AND($Q$109 = FALSE, ReportType &lt;&gt; "Rough"))</formula>
    </cfRule>
  </conditionalFormatting>
  <conditionalFormatting sqref="W109">
    <cfRule type="expression" dxfId="2572" priority="3709">
      <formula>OR($T$109 = TRUE, AND($W$109 = TRUE, $S$109 = FALSE))</formula>
    </cfRule>
  </conditionalFormatting>
  <conditionalFormatting sqref="W111">
    <cfRule type="expression" dxfId="2571" priority="3708">
      <formula>AND($R$111,$S$111)</formula>
    </cfRule>
  </conditionalFormatting>
  <conditionalFormatting sqref="W111">
    <cfRule type="expression" dxfId="2570" priority="3707">
      <formula>AND(IF($R$111,$W$111,TRUE),LEN(TRIM($W$111))&gt;0)</formula>
    </cfRule>
  </conditionalFormatting>
  <conditionalFormatting sqref="W111">
    <cfRule type="expression" dxfId="2569" priority="3706">
      <formula>OR($S$111 = FALSE, AND($P$111 = FALSE, ReportType &lt;&gt; "Final"), AND($Q$111 = FALSE, ReportType &lt;&gt; "Rough"))</formula>
    </cfRule>
  </conditionalFormatting>
  <conditionalFormatting sqref="W111">
    <cfRule type="expression" dxfId="2568" priority="3705">
      <formula>OR($T$111 = TRUE, AND($W$111 = TRUE, $S$111 = FALSE))</formula>
    </cfRule>
  </conditionalFormatting>
  <conditionalFormatting sqref="W112">
    <cfRule type="expression" dxfId="2567" priority="3704">
      <formula>AND($R$112,$S$112)</formula>
    </cfRule>
  </conditionalFormatting>
  <conditionalFormatting sqref="W112">
    <cfRule type="expression" dxfId="2566" priority="3703">
      <formula>AND(IF($R$112,$W$112,TRUE),LEN(TRIM($W$112))&gt;0)</formula>
    </cfRule>
  </conditionalFormatting>
  <conditionalFormatting sqref="W112">
    <cfRule type="expression" dxfId="2565" priority="3702">
      <formula>OR($S$112 = FALSE, AND($P$112 = FALSE, ReportType &lt;&gt; "Final"), AND($Q$112 = FALSE, ReportType &lt;&gt; "Rough"))</formula>
    </cfRule>
  </conditionalFormatting>
  <conditionalFormatting sqref="W112">
    <cfRule type="expression" dxfId="2564" priority="3701">
      <formula>OR($T$112 = TRUE, AND($W$112 = TRUE, $S$112 = FALSE))</formula>
    </cfRule>
  </conditionalFormatting>
  <conditionalFormatting sqref="W113">
    <cfRule type="expression" dxfId="2563" priority="3700">
      <formula>AND($R$113,$S$113)</formula>
    </cfRule>
  </conditionalFormatting>
  <conditionalFormatting sqref="W113">
    <cfRule type="expression" dxfId="2562" priority="3699">
      <formula>AND(IF($R$113,$W$113,TRUE),LEN(TRIM($W$113))&gt;0)</formula>
    </cfRule>
  </conditionalFormatting>
  <conditionalFormatting sqref="W113">
    <cfRule type="expression" dxfId="2561" priority="3698">
      <formula>OR($S$113 = FALSE, AND($P$113 = FALSE, ReportType &lt;&gt; "Final"), AND($Q$113 = FALSE, ReportType &lt;&gt; "Rough"))</formula>
    </cfRule>
  </conditionalFormatting>
  <conditionalFormatting sqref="W113">
    <cfRule type="expression" dxfId="2560" priority="3697">
      <formula>OR($T$113 = TRUE, AND($W$113 = TRUE, $S$113 = FALSE))</formula>
    </cfRule>
  </conditionalFormatting>
  <conditionalFormatting sqref="W121">
    <cfRule type="expression" dxfId="2559" priority="3696">
      <formula>AND($R$121,$S$121)</formula>
    </cfRule>
  </conditionalFormatting>
  <conditionalFormatting sqref="W121">
    <cfRule type="expression" dxfId="2558" priority="3695">
      <formula>AND(IF($R$121,$W$121,TRUE),LEN(TRIM($W$121))&gt;0)</formula>
    </cfRule>
  </conditionalFormatting>
  <conditionalFormatting sqref="W121">
    <cfRule type="expression" dxfId="2557" priority="3694">
      <formula>OR($S$121 = FALSE, AND($P$121 = FALSE, ReportType &lt;&gt; "Final"), AND($Q$121 = FALSE, ReportType &lt;&gt; "Rough"))</formula>
    </cfRule>
  </conditionalFormatting>
  <conditionalFormatting sqref="W121">
    <cfRule type="expression" dxfId="2556" priority="3693">
      <formula>OR($T$121 = TRUE, AND($W$121 = TRUE, $S$121 = FALSE))</formula>
    </cfRule>
  </conditionalFormatting>
  <conditionalFormatting sqref="W124">
    <cfRule type="expression" dxfId="2555" priority="3692">
      <formula>AND($R$124,$S$124)</formula>
    </cfRule>
  </conditionalFormatting>
  <conditionalFormatting sqref="W124">
    <cfRule type="expression" dxfId="2554" priority="3691">
      <formula>AND(IF($R$124,$W$124,TRUE),LEN(TRIM($W$124))&gt;0)</formula>
    </cfRule>
  </conditionalFormatting>
  <conditionalFormatting sqref="W124">
    <cfRule type="expression" dxfId="2553" priority="3690">
      <formula>OR($S$124 = FALSE, AND($P$124 = FALSE, ReportType &lt;&gt; "Final"), AND($Q$124 = FALSE, ReportType &lt;&gt; "Rough"))</formula>
    </cfRule>
  </conditionalFormatting>
  <conditionalFormatting sqref="W124">
    <cfRule type="expression" dxfId="2552" priority="3689">
      <formula>OR($T$124 = TRUE, AND($W$124 = TRUE, $S$124 = FALSE))</formula>
    </cfRule>
  </conditionalFormatting>
  <conditionalFormatting sqref="W155">
    <cfRule type="expression" dxfId="2551" priority="3688">
      <formula>AND($R$155,$S$155)</formula>
    </cfRule>
  </conditionalFormatting>
  <conditionalFormatting sqref="W155">
    <cfRule type="expression" dxfId="2550" priority="3687">
      <formula>AND(IF($R$155,$W$155,TRUE),LEN(TRIM($W$155))&gt;0)</formula>
    </cfRule>
  </conditionalFormatting>
  <conditionalFormatting sqref="W155">
    <cfRule type="expression" dxfId="2549" priority="3686">
      <formula>OR($S$155 = FALSE, AND($P$155 = FALSE, ReportType &lt;&gt; "Final"), AND($Q$155 = FALSE, ReportType &lt;&gt; "Rough"))</formula>
    </cfRule>
  </conditionalFormatting>
  <conditionalFormatting sqref="W155">
    <cfRule type="expression" dxfId="2548" priority="3685">
      <formula>OR($T$155 = TRUE, AND($W$155 = TRUE, $S$155 = FALSE))</formula>
    </cfRule>
  </conditionalFormatting>
  <conditionalFormatting sqref="W157">
    <cfRule type="expression" dxfId="2547" priority="3684">
      <formula>AND($R$157,$S$157)</formula>
    </cfRule>
  </conditionalFormatting>
  <conditionalFormatting sqref="W157">
    <cfRule type="expression" dxfId="2546" priority="3683">
      <formula>AND(IF($R$157,$W$157,TRUE),LEN(TRIM($W$157))&gt;0)</formula>
    </cfRule>
  </conditionalFormatting>
  <conditionalFormatting sqref="W157">
    <cfRule type="expression" dxfId="2545" priority="3682">
      <formula>OR($S$157 = FALSE, AND($P$157 = FALSE, ReportType &lt;&gt; "Final"), AND($Q$157 = FALSE, ReportType &lt;&gt; "Rough"))</formula>
    </cfRule>
  </conditionalFormatting>
  <conditionalFormatting sqref="W157">
    <cfRule type="expression" dxfId="2544" priority="3681">
      <formula>OR($T$157 = TRUE, AND($W$157 = TRUE, $S$157 = FALSE))</formula>
    </cfRule>
  </conditionalFormatting>
  <conditionalFormatting sqref="W160">
    <cfRule type="expression" dxfId="2543" priority="3680">
      <formula>AND($R$160,$S$160)</formula>
    </cfRule>
  </conditionalFormatting>
  <conditionalFormatting sqref="W160">
    <cfRule type="expression" dxfId="2542" priority="3679">
      <formula>AND(IF($R$160,$W$160,TRUE),LEN(TRIM($W$160))&gt;0)</formula>
    </cfRule>
  </conditionalFormatting>
  <conditionalFormatting sqref="W160">
    <cfRule type="expression" dxfId="2541" priority="3678">
      <formula>OR($S$160 = FALSE, AND($P$160 = FALSE, ReportType &lt;&gt; "Final"), AND($Q$160 = FALSE, ReportType &lt;&gt; "Rough"))</formula>
    </cfRule>
  </conditionalFormatting>
  <conditionalFormatting sqref="W160">
    <cfRule type="expression" dxfId="2540" priority="3677">
      <formula>OR($T$160 = TRUE, AND($W$160 = TRUE, $S$160 = FALSE))</formula>
    </cfRule>
  </conditionalFormatting>
  <conditionalFormatting sqref="W170">
    <cfRule type="expression" dxfId="2539" priority="3676">
      <formula>AND($R$170,$S$170)</formula>
    </cfRule>
  </conditionalFormatting>
  <conditionalFormatting sqref="W170">
    <cfRule type="expression" dxfId="2538" priority="3675">
      <formula>AND(IF($R$170,$W$170,TRUE),LEN(TRIM($W$170))&gt;0)</formula>
    </cfRule>
  </conditionalFormatting>
  <conditionalFormatting sqref="W170">
    <cfRule type="expression" dxfId="2537" priority="3674">
      <formula>OR($S$170 = FALSE, AND($P$170 = FALSE, ReportType &lt;&gt; "Final"), AND($Q$170 = FALSE, ReportType &lt;&gt; "Rough"))</formula>
    </cfRule>
  </conditionalFormatting>
  <conditionalFormatting sqref="W170">
    <cfRule type="expression" dxfId="2536" priority="3673">
      <formula>OR($T$170 = TRUE, AND($W$170 = TRUE, $S$170 = FALSE))</formula>
    </cfRule>
  </conditionalFormatting>
  <conditionalFormatting sqref="W171">
    <cfRule type="expression" dxfId="2535" priority="3672">
      <formula>AND($R$171,$S$171)</formula>
    </cfRule>
  </conditionalFormatting>
  <conditionalFormatting sqref="W171">
    <cfRule type="expression" dxfId="2534" priority="3671">
      <formula>AND(IF($R$171,$W$171,TRUE),LEN(TRIM($W$171))&gt;0)</formula>
    </cfRule>
  </conditionalFormatting>
  <conditionalFormatting sqref="W171">
    <cfRule type="expression" dxfId="2533" priority="3670">
      <formula>OR($S$171 = FALSE, AND($P$171 = FALSE, ReportType &lt;&gt; "Final"), AND($Q$171 = FALSE, ReportType &lt;&gt; "Rough"))</formula>
    </cfRule>
  </conditionalFormatting>
  <conditionalFormatting sqref="W171">
    <cfRule type="expression" dxfId="2532" priority="3669">
      <formula>OR($T$171 = TRUE, AND($W$171 = TRUE, $S$171 = FALSE))</formula>
    </cfRule>
  </conditionalFormatting>
  <conditionalFormatting sqref="W176">
    <cfRule type="expression" dxfId="2531" priority="3668">
      <formula>AND($R$176,$S$176)</formula>
    </cfRule>
  </conditionalFormatting>
  <conditionalFormatting sqref="W176">
    <cfRule type="expression" dxfId="2530" priority="3667">
      <formula>AND(IF($R$176,$W$176,TRUE),LEN(TRIM($W$176))&gt;0)</formula>
    </cfRule>
  </conditionalFormatting>
  <conditionalFormatting sqref="W176">
    <cfRule type="expression" dxfId="2529" priority="3666">
      <formula>OR($S$176 = FALSE, AND($P$176 = FALSE, ReportType &lt;&gt; "Final"), AND($Q$176 = FALSE, ReportType &lt;&gt; "Rough"))</formula>
    </cfRule>
  </conditionalFormatting>
  <conditionalFormatting sqref="W176">
    <cfRule type="expression" dxfId="2528" priority="3665">
      <formula>OR($T$176 = TRUE, AND($W$176 = TRUE, $S$176 = FALSE))</formula>
    </cfRule>
  </conditionalFormatting>
  <conditionalFormatting sqref="W178">
    <cfRule type="expression" dxfId="2527" priority="3664">
      <formula>AND($R$178,$S$178)</formula>
    </cfRule>
  </conditionalFormatting>
  <conditionalFormatting sqref="W178">
    <cfRule type="expression" dxfId="2526" priority="3663">
      <formula>AND(IF($R$178,$W$178,TRUE),LEN(TRIM($W$178))&gt;0)</formula>
    </cfRule>
  </conditionalFormatting>
  <conditionalFormatting sqref="W178">
    <cfRule type="expression" dxfId="2525" priority="3662">
      <formula>OR($S$178 = FALSE, AND($P$178 = FALSE, ReportType &lt;&gt; "Final"), AND($Q$178 = FALSE, ReportType &lt;&gt; "Rough"))</formula>
    </cfRule>
  </conditionalFormatting>
  <conditionalFormatting sqref="W178">
    <cfRule type="expression" dxfId="2524" priority="3661">
      <formula>OR($T$178 = TRUE, AND($W$178 = TRUE, $S$178 = FALSE))</formula>
    </cfRule>
  </conditionalFormatting>
  <conditionalFormatting sqref="W181">
    <cfRule type="expression" dxfId="2523" priority="3660">
      <formula>AND($R$181,$S$181)</formula>
    </cfRule>
  </conditionalFormatting>
  <conditionalFormatting sqref="W181">
    <cfRule type="expression" dxfId="2522" priority="3659">
      <formula>AND(IF($R$181,$W$181,TRUE),LEN(TRIM($W$181))&gt;0)</formula>
    </cfRule>
  </conditionalFormatting>
  <conditionalFormatting sqref="W181">
    <cfRule type="expression" dxfId="2521" priority="3658">
      <formula>OR($S$181 = FALSE, AND($P$181 = FALSE, ReportType &lt;&gt; "Final"), AND($Q$181 = FALSE, ReportType &lt;&gt; "Rough"))</formula>
    </cfRule>
  </conditionalFormatting>
  <conditionalFormatting sqref="W181">
    <cfRule type="expression" dxfId="2520" priority="3657">
      <formula>OR($T$181 = TRUE, AND($W$181 = TRUE, $S$181 = FALSE))</formula>
    </cfRule>
  </conditionalFormatting>
  <conditionalFormatting sqref="W183">
    <cfRule type="expression" dxfId="2519" priority="3656">
      <formula>AND($R$183,$S$183)</formula>
    </cfRule>
  </conditionalFormatting>
  <conditionalFormatting sqref="W183">
    <cfRule type="expression" dxfId="2518" priority="3655">
      <formula>AND(IF($R$183,$W$183,TRUE),LEN(TRIM($W$183))&gt;0)</formula>
    </cfRule>
  </conditionalFormatting>
  <conditionalFormatting sqref="W183">
    <cfRule type="expression" dxfId="2517" priority="3654">
      <formula>OR($S$183 = FALSE, AND($P$183 = FALSE, ReportType &lt;&gt; "Final"), AND($Q$183 = FALSE, ReportType &lt;&gt; "Rough"))</formula>
    </cfRule>
  </conditionalFormatting>
  <conditionalFormatting sqref="W183">
    <cfRule type="expression" dxfId="2516" priority="3653">
      <formula>OR($T$183 = TRUE, AND($W$183 = TRUE, $S$183 = FALSE))</formula>
    </cfRule>
  </conditionalFormatting>
  <conditionalFormatting sqref="W185">
    <cfRule type="expression" dxfId="2515" priority="3652">
      <formula>AND($R$185,$S$185)</formula>
    </cfRule>
  </conditionalFormatting>
  <conditionalFormatting sqref="W185">
    <cfRule type="expression" dxfId="2514" priority="3651">
      <formula>AND(IF($R$185,$W$185,TRUE),LEN(TRIM($W$185))&gt;0)</formula>
    </cfRule>
  </conditionalFormatting>
  <conditionalFormatting sqref="W185">
    <cfRule type="expression" dxfId="2513" priority="3650">
      <formula>OR($S$185 = FALSE, AND($P$185 = FALSE, ReportType &lt;&gt; "Final"), AND($Q$185 = FALSE, ReportType &lt;&gt; "Rough"))</formula>
    </cfRule>
  </conditionalFormatting>
  <conditionalFormatting sqref="W185">
    <cfRule type="expression" dxfId="2512" priority="3649">
      <formula>OR($T$185 = TRUE, AND($W$185 = TRUE, $S$185 = FALSE))</formula>
    </cfRule>
  </conditionalFormatting>
  <conditionalFormatting sqref="W189">
    <cfRule type="expression" dxfId="2511" priority="3648">
      <formula>AND($R$189,$S$189)</formula>
    </cfRule>
  </conditionalFormatting>
  <conditionalFormatting sqref="W189">
    <cfRule type="expression" dxfId="2510" priority="3647">
      <formula>AND(IF($R$189,$W$189,TRUE),LEN(TRIM($W$189))&gt;0)</formula>
    </cfRule>
  </conditionalFormatting>
  <conditionalFormatting sqref="W189">
    <cfRule type="expression" dxfId="2509" priority="3646">
      <formula>OR($S$189 = FALSE, AND($P$189 = FALSE, ReportType &lt;&gt; "Final"), AND($Q$189 = FALSE, ReportType &lt;&gt; "Rough"))</formula>
    </cfRule>
  </conditionalFormatting>
  <conditionalFormatting sqref="W189">
    <cfRule type="expression" dxfId="2508" priority="3645">
      <formula>OR($T$189 = TRUE, AND($W$189 = TRUE, $S$189 = FALSE))</formula>
    </cfRule>
  </conditionalFormatting>
  <conditionalFormatting sqref="W190">
    <cfRule type="expression" dxfId="2507" priority="3644">
      <formula>AND($R$190,$S$190)</formula>
    </cfRule>
  </conditionalFormatting>
  <conditionalFormatting sqref="W190">
    <cfRule type="expression" dxfId="2506" priority="3643">
      <formula>AND(IF($R$190,$W$190,TRUE),LEN(TRIM($W$190))&gt;0)</formula>
    </cfRule>
  </conditionalFormatting>
  <conditionalFormatting sqref="W190">
    <cfRule type="expression" dxfId="2505" priority="3642">
      <formula>OR($S$190 = FALSE, AND($P$190 = FALSE, ReportType &lt;&gt; "Final"), AND($Q$190 = FALSE, ReportType &lt;&gt; "Rough"))</formula>
    </cfRule>
  </conditionalFormatting>
  <conditionalFormatting sqref="W190">
    <cfRule type="expression" dxfId="2504" priority="3641">
      <formula>OR($T$190 = TRUE, AND($W$190 = TRUE, $S$190 = FALSE))</formula>
    </cfRule>
  </conditionalFormatting>
  <conditionalFormatting sqref="W191">
    <cfRule type="expression" dxfId="2503" priority="3640">
      <formula>AND($R$191,$S$191)</formula>
    </cfRule>
  </conditionalFormatting>
  <conditionalFormatting sqref="W191">
    <cfRule type="expression" dxfId="2502" priority="3639">
      <formula>AND(IF($R$191,$W$191,TRUE),LEN(TRIM($W$191))&gt;0)</formula>
    </cfRule>
  </conditionalFormatting>
  <conditionalFormatting sqref="W191">
    <cfRule type="expression" dxfId="2501" priority="3638">
      <formula>OR($S$191 = FALSE, AND($P$191 = FALSE, ReportType &lt;&gt; "Final"), AND($Q$191 = FALSE, ReportType &lt;&gt; "Rough"))</formula>
    </cfRule>
  </conditionalFormatting>
  <conditionalFormatting sqref="W191">
    <cfRule type="expression" dxfId="2500" priority="3637">
      <formula>OR($T$191 = TRUE, AND($W$191 = TRUE, $S$191 = FALSE))</formula>
    </cfRule>
  </conditionalFormatting>
  <conditionalFormatting sqref="W193">
    <cfRule type="expression" dxfId="2499" priority="3636">
      <formula>AND($R$193,$S$193)</formula>
    </cfRule>
  </conditionalFormatting>
  <conditionalFormatting sqref="W193">
    <cfRule type="expression" dxfId="2498" priority="3635">
      <formula>AND(IF($R$193,$W$193,TRUE),LEN(TRIM($W$193))&gt;0)</formula>
    </cfRule>
  </conditionalFormatting>
  <conditionalFormatting sqref="W193">
    <cfRule type="expression" dxfId="2497" priority="3634">
      <formula>OR($S$193 = FALSE, AND($P$193 = FALSE, ReportType &lt;&gt; "Final"), AND($Q$193 = FALSE, ReportType &lt;&gt; "Rough"))</formula>
    </cfRule>
  </conditionalFormatting>
  <conditionalFormatting sqref="W193">
    <cfRule type="expression" dxfId="2496" priority="3633">
      <formula>OR($T$193 = TRUE, AND($W$193 = TRUE, $S$193 = FALSE))</formula>
    </cfRule>
  </conditionalFormatting>
  <conditionalFormatting sqref="W208">
    <cfRule type="expression" dxfId="2495" priority="3624">
      <formula>AND($R$208,$S$208)</formula>
    </cfRule>
  </conditionalFormatting>
  <conditionalFormatting sqref="W208">
    <cfRule type="expression" dxfId="2494" priority="3623">
      <formula>AND(IF($R$208,$W$208,TRUE),LEN(TRIM($W$208))&gt;0)</formula>
    </cfRule>
  </conditionalFormatting>
  <conditionalFormatting sqref="W208">
    <cfRule type="expression" dxfId="2493" priority="3622">
      <formula>OR($S$208 = FALSE, AND($P$208 = FALSE, ReportType &lt;&gt; "Final"), AND($Q$208 = FALSE, ReportType &lt;&gt; "Rough"))</formula>
    </cfRule>
  </conditionalFormatting>
  <conditionalFormatting sqref="W208">
    <cfRule type="expression" dxfId="2492" priority="3621">
      <formula>OR($T$208 = TRUE, AND($W$208 = TRUE, $S$208 = FALSE))</formula>
    </cfRule>
  </conditionalFormatting>
  <conditionalFormatting sqref="W215">
    <cfRule type="expression" dxfId="2491" priority="3620">
      <formula>AND($R$215,$S$215)</formula>
    </cfRule>
  </conditionalFormatting>
  <conditionalFormatting sqref="W215">
    <cfRule type="expression" dxfId="2490" priority="3619">
      <formula>AND(IF($R$215,$W$215,TRUE),LEN(TRIM($W$215))&gt;0)</formula>
    </cfRule>
  </conditionalFormatting>
  <conditionalFormatting sqref="W215">
    <cfRule type="expression" dxfId="2489" priority="3618">
      <formula>OR($S$215 = FALSE, AND($P$215 = FALSE, ReportType &lt;&gt; "Final"), AND($Q$215 = FALSE, ReportType &lt;&gt; "Rough"))</formula>
    </cfRule>
  </conditionalFormatting>
  <conditionalFormatting sqref="W215">
    <cfRule type="expression" dxfId="2488" priority="3617">
      <formula>OR($T$215 = TRUE, AND($W$215 = TRUE, $S$215 = FALSE))</formula>
    </cfRule>
  </conditionalFormatting>
  <conditionalFormatting sqref="W216">
    <cfRule type="expression" dxfId="2487" priority="3616">
      <formula>AND($R$216,$S$216)</formula>
    </cfRule>
  </conditionalFormatting>
  <conditionalFormatting sqref="W216">
    <cfRule type="expression" dxfId="2486" priority="3615">
      <formula>AND(IF($R$216,$W$216,TRUE),LEN(TRIM($W$216))&gt;0)</formula>
    </cfRule>
  </conditionalFormatting>
  <conditionalFormatting sqref="W216">
    <cfRule type="expression" dxfId="2485" priority="3614">
      <formula>OR($S$216 = FALSE, AND($P$216 = FALSE, ReportType &lt;&gt; "Final"), AND($Q$216 = FALSE, ReportType &lt;&gt; "Rough"))</formula>
    </cfRule>
  </conditionalFormatting>
  <conditionalFormatting sqref="W216">
    <cfRule type="expression" dxfId="2484" priority="3613">
      <formula>OR($T$216 = TRUE, AND($W$216 = TRUE, $S$216 = FALSE))</formula>
    </cfRule>
  </conditionalFormatting>
  <conditionalFormatting sqref="W218">
    <cfRule type="expression" dxfId="2483" priority="3612">
      <formula>AND($R$218,$S$218)</formula>
    </cfRule>
  </conditionalFormatting>
  <conditionalFormatting sqref="W218">
    <cfRule type="expression" dxfId="2482" priority="3611">
      <formula>AND(IF($R$218,$W$218,TRUE),LEN(TRIM($W$218))&gt;0)</formula>
    </cfRule>
  </conditionalFormatting>
  <conditionalFormatting sqref="W218">
    <cfRule type="expression" dxfId="2481" priority="3610">
      <formula>OR($S$218 = FALSE, AND($P$218 = FALSE, ReportType &lt;&gt; "Final"), AND($Q$218 = FALSE, ReportType &lt;&gt; "Rough"))</formula>
    </cfRule>
  </conditionalFormatting>
  <conditionalFormatting sqref="W218">
    <cfRule type="expression" dxfId="2480" priority="3609">
      <formula>OR($T$218 = TRUE, AND($W$218 = TRUE, $S$218 = FALSE))</formula>
    </cfRule>
  </conditionalFormatting>
  <conditionalFormatting sqref="W223">
    <cfRule type="expression" dxfId="2479" priority="3608">
      <formula>AND($R$223,$S$223)</formula>
    </cfRule>
  </conditionalFormatting>
  <conditionalFormatting sqref="W223">
    <cfRule type="expression" dxfId="2478" priority="3607">
      <formula>AND(IF($R$223,$W$223,TRUE),LEN(TRIM($W$223))&gt;0)</formula>
    </cfRule>
  </conditionalFormatting>
  <conditionalFormatting sqref="W223">
    <cfRule type="expression" dxfId="2477" priority="3606">
      <formula>OR($S$223 = FALSE, AND($P$223 = FALSE, ReportType &lt;&gt; "Final"), AND($Q$223 = FALSE, ReportType &lt;&gt; "Rough"))</formula>
    </cfRule>
  </conditionalFormatting>
  <conditionalFormatting sqref="W223">
    <cfRule type="expression" dxfId="2476" priority="3605">
      <formula>OR($T$223 = TRUE, AND($W$223 = TRUE, $S$223 = FALSE))</formula>
    </cfRule>
  </conditionalFormatting>
  <conditionalFormatting sqref="W225">
    <cfRule type="expression" dxfId="2475" priority="3604">
      <formula>AND($R$225,$S$225)</formula>
    </cfRule>
  </conditionalFormatting>
  <conditionalFormatting sqref="W225">
    <cfRule type="expression" dxfId="2474" priority="3603">
      <formula>AND(IF($R$225,$W$225,TRUE),LEN(TRIM($W$225))&gt;0)</formula>
    </cfRule>
  </conditionalFormatting>
  <conditionalFormatting sqref="W225">
    <cfRule type="expression" dxfId="2473" priority="3602">
      <formula>OR($S$225 = FALSE, AND($P$225 = FALSE, ReportType &lt;&gt; "Final"), AND($Q$225 = FALSE, ReportType &lt;&gt; "Rough"))</formula>
    </cfRule>
  </conditionalFormatting>
  <conditionalFormatting sqref="W225">
    <cfRule type="expression" dxfId="2472" priority="3601">
      <formula>OR($T$225 = TRUE, AND($W$225 = TRUE, $S$225 = FALSE))</formula>
    </cfRule>
  </conditionalFormatting>
  <conditionalFormatting sqref="W226">
    <cfRule type="expression" dxfId="2471" priority="3600">
      <formula>AND($R$226,$S$226)</formula>
    </cfRule>
  </conditionalFormatting>
  <conditionalFormatting sqref="W226">
    <cfRule type="expression" dxfId="2470" priority="3599">
      <formula>AND(IF($R$226,$W$226,TRUE),LEN(TRIM($W$226))&gt;0)</formula>
    </cfRule>
  </conditionalFormatting>
  <conditionalFormatting sqref="W226">
    <cfRule type="expression" dxfId="2469" priority="3598">
      <formula>OR($S$226 = FALSE, AND($P$226 = FALSE, ReportType &lt;&gt; "Final"), AND($Q$226 = FALSE, ReportType &lt;&gt; "Rough"))</formula>
    </cfRule>
  </conditionalFormatting>
  <conditionalFormatting sqref="W226">
    <cfRule type="expression" dxfId="2468" priority="3597">
      <formula>OR($T$226 = TRUE, AND($W$226 = TRUE, $S$226 = FALSE))</formula>
    </cfRule>
  </conditionalFormatting>
  <conditionalFormatting sqref="W228">
    <cfRule type="expression" dxfId="2467" priority="3596">
      <formula>AND($R$228,$S$228)</formula>
    </cfRule>
  </conditionalFormatting>
  <conditionalFormatting sqref="W228">
    <cfRule type="expression" dxfId="2466" priority="3595">
      <formula>AND(IF($R$228,$W$228,TRUE),LEN(TRIM($W$228))&gt;0)</formula>
    </cfRule>
  </conditionalFormatting>
  <conditionalFormatting sqref="W228">
    <cfRule type="expression" dxfId="2465" priority="3594">
      <formula>OR($S$228 = FALSE, AND($P$228 = FALSE, ReportType &lt;&gt; "Final"), AND($Q$228 = FALSE, ReportType &lt;&gt; "Rough"))</formula>
    </cfRule>
  </conditionalFormatting>
  <conditionalFormatting sqref="W228">
    <cfRule type="expression" dxfId="2464" priority="3593">
      <formula>OR($T$228 = TRUE, AND($W$228 = TRUE, $S$228 = FALSE))</formula>
    </cfRule>
  </conditionalFormatting>
  <conditionalFormatting sqref="W230">
    <cfRule type="expression" dxfId="2463" priority="3592">
      <formula>AND($R$230,$S$230)</formula>
    </cfRule>
  </conditionalFormatting>
  <conditionalFormatting sqref="W230">
    <cfRule type="expression" dxfId="2462" priority="3591">
      <formula>AND(IF($R$230,$W$230,TRUE),LEN(TRIM($W$230))&gt;0)</formula>
    </cfRule>
  </conditionalFormatting>
  <conditionalFormatting sqref="W230">
    <cfRule type="expression" dxfId="2461" priority="3590">
      <formula>OR($S$230 = FALSE, AND($P$230 = FALSE, ReportType &lt;&gt; "Final"), AND($Q$230 = FALSE, ReportType &lt;&gt; "Rough"))</formula>
    </cfRule>
  </conditionalFormatting>
  <conditionalFormatting sqref="W230">
    <cfRule type="expression" dxfId="2460" priority="3589">
      <formula>OR($T$230 = TRUE, AND($W$230 = TRUE, $S$230 = FALSE))</formula>
    </cfRule>
  </conditionalFormatting>
  <conditionalFormatting sqref="W234">
    <cfRule type="expression" dxfId="2459" priority="3588">
      <formula>AND($R$234,$S$234)</formula>
    </cfRule>
  </conditionalFormatting>
  <conditionalFormatting sqref="W234">
    <cfRule type="expression" dxfId="2458" priority="3587">
      <formula>AND(IF($R$234,$W$234,TRUE),LEN(TRIM($W$234))&gt;0)</formula>
    </cfRule>
  </conditionalFormatting>
  <conditionalFormatting sqref="W234">
    <cfRule type="expression" dxfId="2457" priority="3586">
      <formula>OR($S$234 = FALSE, AND($P$234 = FALSE, ReportType &lt;&gt; "Final"), AND($Q$234 = FALSE, ReportType &lt;&gt; "Rough"))</formula>
    </cfRule>
  </conditionalFormatting>
  <conditionalFormatting sqref="W234">
    <cfRule type="expression" dxfId="2456" priority="3585">
      <formula>OR($T$234 = TRUE, AND($W$234 = TRUE, $S$234 = FALSE))</formula>
    </cfRule>
  </conditionalFormatting>
  <conditionalFormatting sqref="W237">
    <cfRule type="expression" dxfId="2455" priority="3584">
      <formula>AND($R$237,$S$237)</formula>
    </cfRule>
  </conditionalFormatting>
  <conditionalFormatting sqref="W237">
    <cfRule type="expression" dxfId="2454" priority="3583">
      <formula>AND(IF($R$237,$W$237,TRUE),LEN(TRIM($W$237))&gt;0)</formula>
    </cfRule>
  </conditionalFormatting>
  <conditionalFormatting sqref="W237">
    <cfRule type="expression" dxfId="2453" priority="3582">
      <formula>OR($S$237 = FALSE, AND($P$237 = FALSE, ReportType &lt;&gt; "Final"), AND($Q$237 = FALSE, ReportType &lt;&gt; "Rough"))</formula>
    </cfRule>
  </conditionalFormatting>
  <conditionalFormatting sqref="W237">
    <cfRule type="expression" dxfId="2452" priority="3581">
      <formula>OR($T$237 = TRUE, AND($W$237 = TRUE, $S$237 = FALSE))</formula>
    </cfRule>
  </conditionalFormatting>
  <conditionalFormatting sqref="W239">
    <cfRule type="expression" dxfId="2451" priority="3580">
      <formula>AND($R$239,$S$239)</formula>
    </cfRule>
  </conditionalFormatting>
  <conditionalFormatting sqref="W239">
    <cfRule type="expression" dxfId="2450" priority="3579">
      <formula>AND(IF($R$239,$W$239,TRUE),LEN(TRIM($W$239))&gt;0)</formula>
    </cfRule>
  </conditionalFormatting>
  <conditionalFormatting sqref="W239">
    <cfRule type="expression" dxfId="2449" priority="3578">
      <formula>OR($S$239 = FALSE, AND($P$239 = FALSE, ReportType &lt;&gt; "Final"), AND($Q$239 = FALSE, ReportType &lt;&gt; "Rough"))</formula>
    </cfRule>
  </conditionalFormatting>
  <conditionalFormatting sqref="W239">
    <cfRule type="expression" dxfId="2448" priority="3577">
      <formula>OR($T$239 = TRUE, AND($W$239 = TRUE, $S$239 = FALSE))</formula>
    </cfRule>
  </conditionalFormatting>
  <conditionalFormatting sqref="W240">
    <cfRule type="expression" dxfId="2447" priority="3576">
      <formula>AND($R$240,$S$240)</formula>
    </cfRule>
  </conditionalFormatting>
  <conditionalFormatting sqref="W240">
    <cfRule type="expression" dxfId="2446" priority="3575">
      <formula>AND(IF($R$240,$W$240,TRUE),LEN(TRIM($W$240))&gt;0)</formula>
    </cfRule>
  </conditionalFormatting>
  <conditionalFormatting sqref="W240">
    <cfRule type="expression" dxfId="2445" priority="3574">
      <formula>OR($S$240 = FALSE, AND($P$240 = FALSE, ReportType &lt;&gt; "Final"), AND($Q$240 = FALSE, ReportType &lt;&gt; "Rough"))</formula>
    </cfRule>
  </conditionalFormatting>
  <conditionalFormatting sqref="W240">
    <cfRule type="expression" dxfId="2444" priority="3573">
      <formula>OR($T$240 = TRUE, AND($W$240 = TRUE, $S$240 = FALSE))</formula>
    </cfRule>
  </conditionalFormatting>
  <conditionalFormatting sqref="W241">
    <cfRule type="expression" dxfId="2443" priority="3572">
      <formula>AND($R$241,$S$241)</formula>
    </cfRule>
  </conditionalFormatting>
  <conditionalFormatting sqref="W241">
    <cfRule type="expression" dxfId="2442" priority="3571">
      <formula>AND(IF($R$241,$W$241,TRUE),LEN(TRIM($W$241))&gt;0)</formula>
    </cfRule>
  </conditionalFormatting>
  <conditionalFormatting sqref="W241">
    <cfRule type="expression" dxfId="2441" priority="3570">
      <formula>OR($S$241 = FALSE, AND($P$241 = FALSE, ReportType &lt;&gt; "Final"), AND($Q$241 = FALSE, ReportType &lt;&gt; "Rough"))</formula>
    </cfRule>
  </conditionalFormatting>
  <conditionalFormatting sqref="W241">
    <cfRule type="expression" dxfId="2440" priority="3569">
      <formula>OR($T$241 = TRUE, AND($W$241 = TRUE, $S$241 = FALSE))</formula>
    </cfRule>
  </conditionalFormatting>
  <conditionalFormatting sqref="W242">
    <cfRule type="expression" dxfId="2439" priority="3568">
      <formula>AND($R$242,$S$242)</formula>
    </cfRule>
  </conditionalFormatting>
  <conditionalFormatting sqref="W242">
    <cfRule type="expression" dxfId="2438" priority="3567">
      <formula>AND(IF($R$242,$W$242,TRUE),LEN(TRIM($W$242))&gt;0)</formula>
    </cfRule>
  </conditionalFormatting>
  <conditionalFormatting sqref="W242">
    <cfRule type="expression" dxfId="2437" priority="3566">
      <formula>OR($S$242 = FALSE, AND($P$242 = FALSE, ReportType &lt;&gt; "Final"), AND($Q$242 = FALSE, ReportType &lt;&gt; "Rough"))</formula>
    </cfRule>
  </conditionalFormatting>
  <conditionalFormatting sqref="W242">
    <cfRule type="expression" dxfId="2436" priority="3565">
      <formula>OR($T$242 = TRUE, AND($W$242 = TRUE, $S$242 = FALSE))</formula>
    </cfRule>
  </conditionalFormatting>
  <conditionalFormatting sqref="W243">
    <cfRule type="expression" dxfId="2435" priority="3564">
      <formula>AND($R$243,$S$243)</formula>
    </cfRule>
  </conditionalFormatting>
  <conditionalFormatting sqref="W243">
    <cfRule type="expression" dxfId="2434" priority="3563">
      <formula>AND(IF($R$243,$W$243,TRUE),LEN(TRIM($W$243))&gt;0)</formula>
    </cfRule>
  </conditionalFormatting>
  <conditionalFormatting sqref="W243">
    <cfRule type="expression" dxfId="2433" priority="3562">
      <formula>OR($S$243 = FALSE, AND($P$243 = FALSE, ReportType &lt;&gt; "Final"), AND($Q$243 = FALSE, ReportType &lt;&gt; "Rough"))</formula>
    </cfRule>
  </conditionalFormatting>
  <conditionalFormatting sqref="W243">
    <cfRule type="expression" dxfId="2432" priority="3561">
      <formula>OR($T$243 = TRUE, AND($W$243 = TRUE, $S$243 = FALSE))</formula>
    </cfRule>
  </conditionalFormatting>
  <conditionalFormatting sqref="W244">
    <cfRule type="expression" dxfId="2431" priority="3560">
      <formula>AND($R$244,$S$244)</formula>
    </cfRule>
  </conditionalFormatting>
  <conditionalFormatting sqref="W244">
    <cfRule type="expression" dxfId="2430" priority="3559">
      <formula>AND(IF($R$244,$W$244,TRUE),LEN(TRIM($W$244))&gt;0)</formula>
    </cfRule>
  </conditionalFormatting>
  <conditionalFormatting sqref="W244">
    <cfRule type="expression" dxfId="2429" priority="3558">
      <formula>OR($S$244 = FALSE, AND($P$244 = FALSE, ReportType &lt;&gt; "Final"), AND($Q$244 = FALSE, ReportType &lt;&gt; "Rough"))</formula>
    </cfRule>
  </conditionalFormatting>
  <conditionalFormatting sqref="W244">
    <cfRule type="expression" dxfId="2428" priority="3557">
      <formula>OR($T$244 = TRUE, AND($W$244 = TRUE, $S$244 = FALSE))</formula>
    </cfRule>
  </conditionalFormatting>
  <conditionalFormatting sqref="W246">
    <cfRule type="expression" dxfId="2427" priority="3556">
      <formula>AND($R$246,$S$246)</formula>
    </cfRule>
  </conditionalFormatting>
  <conditionalFormatting sqref="W246">
    <cfRule type="expression" dxfId="2426" priority="3555">
      <formula>AND(IF($R$246,$W$246,TRUE),LEN(TRIM($W$246))&gt;0)</formula>
    </cfRule>
  </conditionalFormatting>
  <conditionalFormatting sqref="W246">
    <cfRule type="expression" dxfId="2425" priority="3554">
      <formula>OR($S$246 = FALSE, AND($P$246 = FALSE, ReportType &lt;&gt; "Final"), AND($Q$246 = FALSE, ReportType &lt;&gt; "Rough"))</formula>
    </cfRule>
  </conditionalFormatting>
  <conditionalFormatting sqref="W246">
    <cfRule type="expression" dxfId="2424" priority="3553">
      <formula>OR($T$246 = TRUE, AND($W$246 = TRUE, $S$246 = FALSE))</formula>
    </cfRule>
  </conditionalFormatting>
  <conditionalFormatting sqref="W253">
    <cfRule type="expression" dxfId="2423" priority="3552">
      <formula>AND($R$253,$S$253)</formula>
    </cfRule>
  </conditionalFormatting>
  <conditionalFormatting sqref="W253">
    <cfRule type="expression" dxfId="2422" priority="3551">
      <formula>AND(IF($R$253,$W$253,TRUE),LEN(TRIM($W$253))&gt;0)</formula>
    </cfRule>
  </conditionalFormatting>
  <conditionalFormatting sqref="W253">
    <cfRule type="expression" dxfId="2421" priority="3550">
      <formula>OR($S$253 = FALSE, AND($P$253 = FALSE, ReportType &lt;&gt; "Final"), AND($Q$253 = FALSE, ReportType &lt;&gt; "Rough"))</formula>
    </cfRule>
  </conditionalFormatting>
  <conditionalFormatting sqref="W253">
    <cfRule type="expression" dxfId="2420" priority="3549">
      <formula>OR($T$253 = TRUE, AND($W$253 = TRUE, $S$253 = FALSE))</formula>
    </cfRule>
  </conditionalFormatting>
  <conditionalFormatting sqref="W255">
    <cfRule type="expression" dxfId="2419" priority="3548">
      <formula>AND($R$255,$S$255)</formula>
    </cfRule>
  </conditionalFormatting>
  <conditionalFormatting sqref="W255">
    <cfRule type="expression" dxfId="2418" priority="3547">
      <formula>AND(IF($R$255,$W$255,TRUE),LEN(TRIM($W$255))&gt;0)</formula>
    </cfRule>
  </conditionalFormatting>
  <conditionalFormatting sqref="W255">
    <cfRule type="expression" dxfId="2417" priority="3546">
      <formula>OR($S$255 = FALSE, AND($P$255 = FALSE, ReportType &lt;&gt; "Final"), AND($Q$255 = FALSE, ReportType &lt;&gt; "Rough"))</formula>
    </cfRule>
  </conditionalFormatting>
  <conditionalFormatting sqref="W255">
    <cfRule type="expression" dxfId="2416" priority="3545">
      <formula>OR($T$255 = TRUE, AND($W$255 = TRUE, $S$255 = FALSE))</formula>
    </cfRule>
  </conditionalFormatting>
  <conditionalFormatting sqref="W264">
    <cfRule type="expression" dxfId="2415" priority="3544">
      <formula>AND($R$264,$S$264)</formula>
    </cfRule>
  </conditionalFormatting>
  <conditionalFormatting sqref="W264">
    <cfRule type="expression" dxfId="2414" priority="3543">
      <formula>AND(IF($R$264,$W$264,TRUE),LEN(TRIM($W$264))&gt;0)</formula>
    </cfRule>
  </conditionalFormatting>
  <conditionalFormatting sqref="W264">
    <cfRule type="expression" dxfId="2413" priority="3542">
      <formula>OR($S$264 = FALSE, AND($P$264 = FALSE, ReportType &lt;&gt; "Final"), AND($Q$264 = FALSE, ReportType &lt;&gt; "Rough"))</formula>
    </cfRule>
  </conditionalFormatting>
  <conditionalFormatting sqref="W264">
    <cfRule type="expression" dxfId="2412" priority="3541">
      <formula>OR($T$264 = TRUE, AND($W$264 = TRUE, $S$264 = FALSE))</formula>
    </cfRule>
  </conditionalFormatting>
  <conditionalFormatting sqref="W267">
    <cfRule type="expression" dxfId="2411" priority="3540">
      <formula>AND($R$267,$S$267)</formula>
    </cfRule>
  </conditionalFormatting>
  <conditionalFormatting sqref="W267">
    <cfRule type="expression" dxfId="2410" priority="3539">
      <formula>AND(IF($R$267,$W$267,TRUE),LEN(TRIM($W$267))&gt;0)</formula>
    </cfRule>
  </conditionalFormatting>
  <conditionalFormatting sqref="W267">
    <cfRule type="expression" dxfId="2409" priority="3538">
      <formula>OR($S$267 = FALSE, AND($P$267 = FALSE, ReportType &lt;&gt; "Final"), AND($Q$267 = FALSE, ReportType &lt;&gt; "Rough"))</formula>
    </cfRule>
  </conditionalFormatting>
  <conditionalFormatting sqref="W267">
    <cfRule type="expression" dxfId="2408" priority="3537">
      <formula>OR($T$267 = TRUE, AND($W$267 = TRUE, $S$267 = FALSE))</formula>
    </cfRule>
  </conditionalFormatting>
  <conditionalFormatting sqref="W271">
    <cfRule type="expression" dxfId="2407" priority="3536">
      <formula>AND($R$271,$S$271)</formula>
    </cfRule>
  </conditionalFormatting>
  <conditionalFormatting sqref="W271">
    <cfRule type="expression" dxfId="2406" priority="3535">
      <formula>AND(IF($R$271,$W$271,TRUE),LEN(TRIM($W$271))&gt;0)</formula>
    </cfRule>
  </conditionalFormatting>
  <conditionalFormatting sqref="W271">
    <cfRule type="expression" dxfId="2405" priority="3534">
      <formula>OR($S$271 = FALSE, AND($P$271 = FALSE, ReportType &lt;&gt; "Final"), AND($Q$271 = FALSE, ReportType &lt;&gt; "Rough"))</formula>
    </cfRule>
  </conditionalFormatting>
  <conditionalFormatting sqref="W271">
    <cfRule type="expression" dxfId="2404" priority="3533">
      <formula>OR($T$271 = TRUE, AND($W$271 = TRUE, $S$271 = FALSE))</formula>
    </cfRule>
  </conditionalFormatting>
  <conditionalFormatting sqref="W272">
    <cfRule type="expression" dxfId="2403" priority="3532">
      <formula>AND($R$272,$S$272)</formula>
    </cfRule>
  </conditionalFormatting>
  <conditionalFormatting sqref="W272">
    <cfRule type="expression" dxfId="2402" priority="3531">
      <formula>AND(IF($R$272,$W$272,TRUE),LEN(TRIM($W$272))&gt;0)</formula>
    </cfRule>
  </conditionalFormatting>
  <conditionalFormatting sqref="W272">
    <cfRule type="expression" dxfId="2401" priority="3530">
      <formula>OR($S$272 = FALSE, AND($P$272 = FALSE, ReportType &lt;&gt; "Final"), AND($Q$272 = FALSE, ReportType &lt;&gt; "Rough"))</formula>
    </cfRule>
  </conditionalFormatting>
  <conditionalFormatting sqref="W272">
    <cfRule type="expression" dxfId="2400" priority="3529">
      <formula>OR($T$272 = TRUE, AND($W$272 = TRUE, $S$272 = FALSE))</formula>
    </cfRule>
  </conditionalFormatting>
  <conditionalFormatting sqref="W282">
    <cfRule type="expression" dxfId="2399" priority="3528">
      <formula>AND($R$282,$S$282)</formula>
    </cfRule>
  </conditionalFormatting>
  <conditionalFormatting sqref="W282">
    <cfRule type="expression" dxfId="2398" priority="3527">
      <formula>AND(IF($R$282,$W$282,TRUE),LEN(TRIM($W$282))&gt;0)</formula>
    </cfRule>
  </conditionalFormatting>
  <conditionalFormatting sqref="W282">
    <cfRule type="expression" dxfId="2397" priority="3526">
      <formula>OR($S$282 = FALSE, AND($P$282 = FALSE, ReportType &lt;&gt; "Final"), AND($Q$282 = FALSE, ReportType &lt;&gt; "Rough"))</formula>
    </cfRule>
  </conditionalFormatting>
  <conditionalFormatting sqref="W282">
    <cfRule type="expression" dxfId="2396" priority="3525">
      <formula>OR($T$282 = TRUE, AND($W$282 = TRUE, $S$282 = FALSE))</formula>
    </cfRule>
  </conditionalFormatting>
  <conditionalFormatting sqref="W349">
    <cfRule type="expression" dxfId="2395" priority="3516">
      <formula>AND($R$349,$S$349)</formula>
    </cfRule>
  </conditionalFormatting>
  <conditionalFormatting sqref="W349">
    <cfRule type="expression" dxfId="2394" priority="3515">
      <formula>AND(IF($R$349,$W$349,TRUE),LEN(TRIM($W$349))&gt;0)</formula>
    </cfRule>
  </conditionalFormatting>
  <conditionalFormatting sqref="W349">
    <cfRule type="expression" dxfId="2393" priority="3514">
      <formula>OR($S$349 = FALSE, AND($P$349 = FALSE, ReportType &lt;&gt; "Final"), AND($Q$349 = FALSE, ReportType &lt;&gt; "Rough"))</formula>
    </cfRule>
  </conditionalFormatting>
  <conditionalFormatting sqref="W349">
    <cfRule type="expression" dxfId="2392" priority="3513">
      <formula>OR($T$349 = TRUE, AND($W$349 = TRUE, $S$349 = FALSE))</formula>
    </cfRule>
  </conditionalFormatting>
  <conditionalFormatting sqref="W352">
    <cfRule type="expression" dxfId="2391" priority="3512">
      <formula>AND($R$352,$S$352)</formula>
    </cfRule>
  </conditionalFormatting>
  <conditionalFormatting sqref="W352">
    <cfRule type="expression" dxfId="2390" priority="3511">
      <formula>AND(IF($R$352,$W$352,TRUE),LEN(TRIM($W$352))&gt;0)</formula>
    </cfRule>
  </conditionalFormatting>
  <conditionalFormatting sqref="W352">
    <cfRule type="expression" dxfId="2389" priority="3510">
      <formula>OR($S$352 = FALSE, AND($P$352 = FALSE, ReportType &lt;&gt; "Final"), AND($Q$352 = FALSE, ReportType &lt;&gt; "Rough"))</formula>
    </cfRule>
  </conditionalFormatting>
  <conditionalFormatting sqref="W352">
    <cfRule type="expression" dxfId="2388" priority="3509">
      <formula>OR($T$352 = TRUE, AND($W$352 = TRUE, $S$352 = FALSE))</formula>
    </cfRule>
  </conditionalFormatting>
  <conditionalFormatting sqref="W355">
    <cfRule type="expression" dxfId="2387" priority="3508">
      <formula>AND($R$355,$S$355)</formula>
    </cfRule>
  </conditionalFormatting>
  <conditionalFormatting sqref="W355">
    <cfRule type="expression" dxfId="2386" priority="3507">
      <formula>AND(IF($R$355,$W$355,TRUE),LEN(TRIM($W$355))&gt;0)</formula>
    </cfRule>
  </conditionalFormatting>
  <conditionalFormatting sqref="W355">
    <cfRule type="expression" dxfId="2385" priority="3506">
      <formula>OR($S$355 = FALSE, AND($P$355 = FALSE, ReportType &lt;&gt; "Final"), AND($Q$355 = FALSE, ReportType &lt;&gt; "Rough"))</formula>
    </cfRule>
  </conditionalFormatting>
  <conditionalFormatting sqref="W355">
    <cfRule type="expression" dxfId="2384" priority="3505">
      <formula>OR($T$355 = TRUE, AND($W$355 = TRUE, $S$355 = FALSE))</formula>
    </cfRule>
  </conditionalFormatting>
  <conditionalFormatting sqref="W359">
    <cfRule type="expression" dxfId="2383" priority="3504">
      <formula>AND($R$359,$S$359)</formula>
    </cfRule>
  </conditionalFormatting>
  <conditionalFormatting sqref="W359">
    <cfRule type="expression" dxfId="2382" priority="3503">
      <formula>AND(IF($R$359,$W$359,TRUE),LEN(TRIM($W$359))&gt;0)</formula>
    </cfRule>
  </conditionalFormatting>
  <conditionalFormatting sqref="W359">
    <cfRule type="expression" dxfId="2381" priority="3502">
      <formula>OR($S$359 = FALSE, AND($P$359 = FALSE, ReportType &lt;&gt; "Final"), AND($Q$359 = FALSE, ReportType &lt;&gt; "Rough"))</formula>
    </cfRule>
  </conditionalFormatting>
  <conditionalFormatting sqref="W359">
    <cfRule type="expression" dxfId="2380" priority="3501">
      <formula>OR($T$359 = TRUE, AND($W$359 = TRUE, $S$359 = FALSE))</formula>
    </cfRule>
  </conditionalFormatting>
  <conditionalFormatting sqref="W360">
    <cfRule type="expression" dxfId="2379" priority="3500">
      <formula>AND($R$360,$S$360)</formula>
    </cfRule>
  </conditionalFormatting>
  <conditionalFormatting sqref="W360">
    <cfRule type="expression" dxfId="2378" priority="3499">
      <formula>AND(IF($R$360,$W$360,TRUE),LEN(TRIM($W$360))&gt;0)</formula>
    </cfRule>
  </conditionalFormatting>
  <conditionalFormatting sqref="W360">
    <cfRule type="expression" dxfId="2377" priority="3498">
      <formula>OR($S$360 = FALSE, AND($P$360 = FALSE, ReportType &lt;&gt; "Final"), AND($Q$360 = FALSE, ReportType &lt;&gt; "Rough"))</formula>
    </cfRule>
  </conditionalFormatting>
  <conditionalFormatting sqref="W360">
    <cfRule type="expression" dxfId="2376" priority="3497">
      <formula>OR($T$360 = TRUE, AND($W$360 = TRUE, $S$360 = FALSE))</formula>
    </cfRule>
  </conditionalFormatting>
  <conditionalFormatting sqref="W361">
    <cfRule type="expression" dxfId="2375" priority="3496">
      <formula>AND($R$361,$S$361)</formula>
    </cfRule>
  </conditionalFormatting>
  <conditionalFormatting sqref="W361">
    <cfRule type="expression" dxfId="2374" priority="3495">
      <formula>AND(IF($R$361,$W$361,TRUE),LEN(TRIM($W$361))&gt;0)</formula>
    </cfRule>
  </conditionalFormatting>
  <conditionalFormatting sqref="W361">
    <cfRule type="expression" dxfId="2373" priority="3494">
      <formula>OR($S$361 = FALSE, AND($P$361 = FALSE, ReportType &lt;&gt; "Final"), AND($Q$361 = FALSE, ReportType &lt;&gt; "Rough"))</formula>
    </cfRule>
  </conditionalFormatting>
  <conditionalFormatting sqref="W361">
    <cfRule type="expression" dxfId="2372" priority="3493">
      <formula>OR($T$361 = TRUE, AND($W$361 = TRUE, $S$361 = FALSE))</formula>
    </cfRule>
  </conditionalFormatting>
  <conditionalFormatting sqref="W362">
    <cfRule type="expression" dxfId="2371" priority="3492">
      <formula>AND($R$362,$S$362)</formula>
    </cfRule>
  </conditionalFormatting>
  <conditionalFormatting sqref="W362">
    <cfRule type="expression" dxfId="2370" priority="3491">
      <formula>AND(IF($R$362,$W$362,TRUE),LEN(TRIM($W$362))&gt;0)</formula>
    </cfRule>
  </conditionalFormatting>
  <conditionalFormatting sqref="W362">
    <cfRule type="expression" dxfId="2369" priority="3490">
      <formula>OR($S$362 = FALSE, AND($P$362 = FALSE, ReportType &lt;&gt; "Final"), AND($Q$362 = FALSE, ReportType &lt;&gt; "Rough"))</formula>
    </cfRule>
  </conditionalFormatting>
  <conditionalFormatting sqref="W362">
    <cfRule type="expression" dxfId="2368" priority="3489">
      <formula>OR($T$362 = TRUE, AND($W$362 = TRUE, $S$362 = FALSE))</formula>
    </cfRule>
  </conditionalFormatting>
  <conditionalFormatting sqref="W363">
    <cfRule type="expression" dxfId="2367" priority="3488">
      <formula>AND($R$363,$S$363)</formula>
    </cfRule>
  </conditionalFormatting>
  <conditionalFormatting sqref="W363">
    <cfRule type="expression" dxfId="2366" priority="3487">
      <formula>AND(IF($R$363,$W$363,TRUE),LEN(TRIM($W$363))&gt;0)</formula>
    </cfRule>
  </conditionalFormatting>
  <conditionalFormatting sqref="W363">
    <cfRule type="expression" dxfId="2365" priority="3486">
      <formula>OR($S$363 = FALSE, AND($P$363 = FALSE, ReportType &lt;&gt; "Final"), AND($Q$363 = FALSE, ReportType &lt;&gt; "Rough"))</formula>
    </cfRule>
  </conditionalFormatting>
  <conditionalFormatting sqref="W363">
    <cfRule type="expression" dxfId="2364" priority="3485">
      <formula>OR($T$363 = TRUE, AND($W$363 = TRUE, $S$363 = FALSE))</formula>
    </cfRule>
  </conditionalFormatting>
  <conditionalFormatting sqref="W364">
    <cfRule type="expression" dxfId="2363" priority="3484">
      <formula>AND($R$364,$S$364)</formula>
    </cfRule>
  </conditionalFormatting>
  <conditionalFormatting sqref="W364">
    <cfRule type="expression" dxfId="2362" priority="3483">
      <formula>AND(IF($R$364,$W$364,TRUE),LEN(TRIM($W$364))&gt;0)</formula>
    </cfRule>
  </conditionalFormatting>
  <conditionalFormatting sqref="W364">
    <cfRule type="expression" dxfId="2361" priority="3482">
      <formula>OR($S$364 = FALSE, AND($P$364 = FALSE, ReportType &lt;&gt; "Final"), AND($Q$364 = FALSE, ReportType &lt;&gt; "Rough"))</formula>
    </cfRule>
  </conditionalFormatting>
  <conditionalFormatting sqref="W364">
    <cfRule type="expression" dxfId="2360" priority="3481">
      <formula>OR($T$364 = TRUE, AND($W$364 = TRUE, $S$364 = FALSE))</formula>
    </cfRule>
  </conditionalFormatting>
  <conditionalFormatting sqref="W370">
    <cfRule type="expression" dxfId="2359" priority="3480">
      <formula>AND($R$370,$S$370)</formula>
    </cfRule>
  </conditionalFormatting>
  <conditionalFormatting sqref="W370">
    <cfRule type="expression" dxfId="2358" priority="3479">
      <formula>AND(IF($R$370,$W$370,TRUE),LEN(TRIM($W$370))&gt;0)</formula>
    </cfRule>
  </conditionalFormatting>
  <conditionalFormatting sqref="W370">
    <cfRule type="expression" dxfId="2357" priority="3478">
      <formula>OR($S$370 = FALSE, AND($P$370 = FALSE, ReportType &lt;&gt; "Final"), AND($Q$370 = FALSE, ReportType &lt;&gt; "Rough"))</formula>
    </cfRule>
  </conditionalFormatting>
  <conditionalFormatting sqref="W370">
    <cfRule type="expression" dxfId="2356" priority="3477">
      <formula>OR($T$370 = TRUE, AND($W$370 = TRUE, $S$370 = FALSE))</formula>
    </cfRule>
  </conditionalFormatting>
  <conditionalFormatting sqref="W371">
    <cfRule type="expression" dxfId="2355" priority="3476">
      <formula>AND($R$371,$S$371)</formula>
    </cfRule>
  </conditionalFormatting>
  <conditionalFormatting sqref="W371">
    <cfRule type="expression" dxfId="2354" priority="3475">
      <formula>AND(IF($R$371,$W$371,TRUE),LEN(TRIM($W$371))&gt;0)</formula>
    </cfRule>
  </conditionalFormatting>
  <conditionalFormatting sqref="W371">
    <cfRule type="expression" dxfId="2353" priority="3474">
      <formula>OR($S$371 = FALSE, AND($P$371 = FALSE, ReportType &lt;&gt; "Final"), AND($Q$371 = FALSE, ReportType &lt;&gt; "Rough"))</formula>
    </cfRule>
  </conditionalFormatting>
  <conditionalFormatting sqref="W371">
    <cfRule type="expression" dxfId="2352" priority="3473">
      <formula>OR($T$371 = TRUE, AND($W$371 = TRUE, $S$371 = FALSE))</formula>
    </cfRule>
  </conditionalFormatting>
  <conditionalFormatting sqref="W372">
    <cfRule type="expression" dxfId="2351" priority="3472">
      <formula>AND($R$372,$S$372)</formula>
    </cfRule>
  </conditionalFormatting>
  <conditionalFormatting sqref="W372">
    <cfRule type="expression" dxfId="2350" priority="3471">
      <formula>AND(IF($R$372,$W$372,TRUE),LEN(TRIM($W$372))&gt;0)</formula>
    </cfRule>
  </conditionalFormatting>
  <conditionalFormatting sqref="W372">
    <cfRule type="expression" dxfId="2349" priority="3470">
      <formula>OR($S$372 = FALSE, AND($P$372 = FALSE, ReportType &lt;&gt; "Final"), AND($Q$372 = FALSE, ReportType &lt;&gt; "Rough"))</formula>
    </cfRule>
  </conditionalFormatting>
  <conditionalFormatting sqref="W372">
    <cfRule type="expression" dxfId="2348" priority="3469">
      <formula>OR($T$372 = TRUE, AND($W$372 = TRUE, $S$372 = FALSE))</formula>
    </cfRule>
  </conditionalFormatting>
  <conditionalFormatting sqref="W373">
    <cfRule type="expression" dxfId="2347" priority="3468">
      <formula>AND($R$373,$S$373)</formula>
    </cfRule>
  </conditionalFormatting>
  <conditionalFormatting sqref="W373">
    <cfRule type="expression" dxfId="2346" priority="3467">
      <formula>AND(IF($R$373,$W$373,TRUE),LEN(TRIM($W$373))&gt;0)</formula>
    </cfRule>
  </conditionalFormatting>
  <conditionalFormatting sqref="W373">
    <cfRule type="expression" dxfId="2345" priority="3466">
      <formula>OR($S$373 = FALSE, AND($P$373 = FALSE, ReportType &lt;&gt; "Final"), AND($Q$373 = FALSE, ReportType &lt;&gt; "Rough"))</formula>
    </cfRule>
  </conditionalFormatting>
  <conditionalFormatting sqref="W373">
    <cfRule type="expression" dxfId="2344" priority="3465">
      <formula>OR($T$373 = TRUE, AND($W$373 = TRUE, $S$373 = FALSE))</formula>
    </cfRule>
  </conditionalFormatting>
  <conditionalFormatting sqref="W374">
    <cfRule type="expression" dxfId="2343" priority="3464">
      <formula>AND($R$374,$S$374)</formula>
    </cfRule>
  </conditionalFormatting>
  <conditionalFormatting sqref="W374">
    <cfRule type="expression" dxfId="2342" priority="3463">
      <formula>AND(IF($R$374,$W$374,TRUE),LEN(TRIM($W$374))&gt;0)</formula>
    </cfRule>
  </conditionalFormatting>
  <conditionalFormatting sqref="W374">
    <cfRule type="expression" dxfId="2341" priority="3462">
      <formula>OR($S$374 = FALSE, AND($P$374 = FALSE, ReportType &lt;&gt; "Final"), AND($Q$374 = FALSE, ReportType &lt;&gt; "Rough"))</formula>
    </cfRule>
  </conditionalFormatting>
  <conditionalFormatting sqref="W374">
    <cfRule type="expression" dxfId="2340" priority="3461">
      <formula>OR($T$374 = TRUE, AND($W$374 = TRUE, $S$374 = FALSE))</formula>
    </cfRule>
  </conditionalFormatting>
  <conditionalFormatting sqref="W398">
    <cfRule type="expression" dxfId="2339" priority="3460">
      <formula>AND($R$398,$S$398)</formula>
    </cfRule>
  </conditionalFormatting>
  <conditionalFormatting sqref="W398">
    <cfRule type="expression" dxfId="2338" priority="3459">
      <formula>AND(IF($R$398,$W$398,TRUE),LEN(TRIM($W$398))&gt;0)</formula>
    </cfRule>
  </conditionalFormatting>
  <conditionalFormatting sqref="W398">
    <cfRule type="expression" dxfId="2337" priority="3458">
      <formula>OR($S$398 = FALSE, AND($P$398 = FALSE, ReportType &lt;&gt; "Final"), AND($Q$398 = FALSE, ReportType &lt;&gt; "Rough"))</formula>
    </cfRule>
  </conditionalFormatting>
  <conditionalFormatting sqref="W398">
    <cfRule type="expression" dxfId="2336" priority="3457">
      <formula>OR($T$398 = TRUE, AND($W$398 = TRUE, $S$398 = FALSE))</formula>
    </cfRule>
  </conditionalFormatting>
  <conditionalFormatting sqref="W414">
    <cfRule type="expression" dxfId="2335" priority="3448">
      <formula>AND($R$414,$S$414)</formula>
    </cfRule>
  </conditionalFormatting>
  <conditionalFormatting sqref="W414">
    <cfRule type="expression" dxfId="2334" priority="3447">
      <formula>AND(IF($R$414,$W$414,TRUE),LEN(TRIM($W$414))&gt;0)</formula>
    </cfRule>
  </conditionalFormatting>
  <conditionalFormatting sqref="W414">
    <cfRule type="expression" dxfId="2333" priority="3446">
      <formula>OR($S$414 = FALSE, AND($P$414 = FALSE, ReportType &lt;&gt; "Final"), AND($Q$414 = FALSE, ReportType &lt;&gt; "Rough"))</formula>
    </cfRule>
  </conditionalFormatting>
  <conditionalFormatting sqref="W414">
    <cfRule type="expression" dxfId="2332" priority="3445">
      <formula>OR($T$414 = TRUE, AND($W$414 = TRUE, $S$414 = FALSE))</formula>
    </cfRule>
  </conditionalFormatting>
  <conditionalFormatting sqref="W418">
    <cfRule type="expression" dxfId="2331" priority="3444">
      <formula>AND($R$418,$S$418)</formula>
    </cfRule>
  </conditionalFormatting>
  <conditionalFormatting sqref="W418">
    <cfRule type="expression" dxfId="2330" priority="3443">
      <formula>AND(IF($R$418,$W$418,TRUE),LEN(TRIM($W$418))&gt;0)</formula>
    </cfRule>
  </conditionalFormatting>
  <conditionalFormatting sqref="W418">
    <cfRule type="expression" dxfId="2329" priority="3442">
      <formula>OR($S$418 = FALSE, AND($P$418 = FALSE, ReportType &lt;&gt; "Final"), AND($Q$418 = FALSE, ReportType &lt;&gt; "Rough"))</formula>
    </cfRule>
  </conditionalFormatting>
  <conditionalFormatting sqref="W418">
    <cfRule type="expression" dxfId="2328" priority="3441">
      <formula>OR($T$418 = TRUE, AND($W$418 = TRUE, $S$418 = FALSE))</formula>
    </cfRule>
  </conditionalFormatting>
  <conditionalFormatting sqref="W419">
    <cfRule type="expression" dxfId="2327" priority="3440">
      <formula>AND($R$419,$S$419)</formula>
    </cfRule>
  </conditionalFormatting>
  <conditionalFormatting sqref="W419">
    <cfRule type="expression" dxfId="2326" priority="3439">
      <formula>AND(IF($R$419,$W$419,TRUE),LEN(TRIM($W$419))&gt;0)</formula>
    </cfRule>
  </conditionalFormatting>
  <conditionalFormatting sqref="W419">
    <cfRule type="expression" dxfId="2325" priority="3438">
      <formula>OR($S$419 = FALSE, AND($P$419 = FALSE, ReportType &lt;&gt; "Final"), AND($Q$419 = FALSE, ReportType &lt;&gt; "Rough"))</formula>
    </cfRule>
  </conditionalFormatting>
  <conditionalFormatting sqref="W419">
    <cfRule type="expression" dxfId="2324" priority="3437">
      <formula>OR($T$419 = TRUE, AND($W$419 = TRUE, $S$419 = FALSE))</formula>
    </cfRule>
  </conditionalFormatting>
  <conditionalFormatting sqref="W421">
    <cfRule type="expression" dxfId="2323" priority="3436">
      <formula>AND($R$421,$S$421)</formula>
    </cfRule>
  </conditionalFormatting>
  <conditionalFormatting sqref="W421">
    <cfRule type="expression" dxfId="2322" priority="3435">
      <formula>AND(IF($R$421,$W$421,TRUE),LEN(TRIM($W$421))&gt;0)</formula>
    </cfRule>
  </conditionalFormatting>
  <conditionalFormatting sqref="W421">
    <cfRule type="expression" dxfId="2321" priority="3434">
      <formula>OR($S$421 = FALSE, AND($P$421 = FALSE, ReportType &lt;&gt; "Final"), AND($Q$421 = FALSE, ReportType &lt;&gt; "Rough"))</formula>
    </cfRule>
  </conditionalFormatting>
  <conditionalFormatting sqref="W421">
    <cfRule type="expression" dxfId="2320" priority="3433">
      <formula>OR($T$421 = TRUE, AND($W$421 = TRUE, $S$421 = FALSE))</formula>
    </cfRule>
  </conditionalFormatting>
  <conditionalFormatting sqref="W423">
    <cfRule type="expression" dxfId="2319" priority="3432">
      <formula>AND($R$423,$S$423)</formula>
    </cfRule>
  </conditionalFormatting>
  <conditionalFormatting sqref="W423">
    <cfRule type="expression" dxfId="2318" priority="3431">
      <formula>AND(IF($R$423,$W$423,TRUE),LEN(TRIM($W$423))&gt;0)</formula>
    </cfRule>
  </conditionalFormatting>
  <conditionalFormatting sqref="W423">
    <cfRule type="expression" dxfId="2317" priority="3430">
      <formula>OR($S$423 = FALSE, AND($P$423 = FALSE, ReportType &lt;&gt; "Final"), AND($Q$423 = FALSE, ReportType &lt;&gt; "Rough"))</formula>
    </cfRule>
  </conditionalFormatting>
  <conditionalFormatting sqref="W423">
    <cfRule type="expression" dxfId="2316" priority="3429">
      <formula>OR($T$423 = TRUE, AND($W$423 = TRUE, $S$423 = FALSE))</formula>
    </cfRule>
  </conditionalFormatting>
  <conditionalFormatting sqref="W429">
    <cfRule type="expression" dxfId="2315" priority="3428">
      <formula>AND($R$429,$S$429)</formula>
    </cfRule>
  </conditionalFormatting>
  <conditionalFormatting sqref="W429">
    <cfRule type="expression" dxfId="2314" priority="3427">
      <formula>AND(IF($R$429,$W$429,TRUE),LEN(TRIM($W$429))&gt;0)</formula>
    </cfRule>
  </conditionalFormatting>
  <conditionalFormatting sqref="W429">
    <cfRule type="expression" dxfId="2313" priority="3426">
      <formula>OR($S$429 = FALSE, AND($P$429 = FALSE, ReportType &lt;&gt; "Final"), AND($Q$429 = FALSE, ReportType &lt;&gt; "Rough"))</formula>
    </cfRule>
  </conditionalFormatting>
  <conditionalFormatting sqref="W429">
    <cfRule type="expression" dxfId="2312" priority="3425">
      <formula>OR($T$429 = TRUE, AND($W$429 = TRUE, $S$429 = FALSE))</formula>
    </cfRule>
  </conditionalFormatting>
  <conditionalFormatting sqref="W435">
    <cfRule type="expression" dxfId="2311" priority="3424">
      <formula>AND($R$435,$S$435)</formula>
    </cfRule>
  </conditionalFormatting>
  <conditionalFormatting sqref="W435">
    <cfRule type="expression" dxfId="2310" priority="3423">
      <formula>AND(IF($R$435,$W$435,TRUE),LEN(TRIM($W$435))&gt;0)</formula>
    </cfRule>
  </conditionalFormatting>
  <conditionalFormatting sqref="W435">
    <cfRule type="expression" dxfId="2309" priority="3422">
      <formula>OR($S$435 = FALSE, AND($P$435 = FALSE, ReportType &lt;&gt; "Final"), AND($Q$435 = FALSE, ReportType &lt;&gt; "Rough"))</formula>
    </cfRule>
  </conditionalFormatting>
  <conditionalFormatting sqref="W435">
    <cfRule type="expression" dxfId="2308" priority="3421">
      <formula>OR($T$435 = TRUE, AND($W$435 = TRUE, $S$435 = FALSE))</formula>
    </cfRule>
  </conditionalFormatting>
  <conditionalFormatting sqref="W441">
    <cfRule type="expression" dxfId="2307" priority="3420">
      <formula>AND($R$441,$S$441)</formula>
    </cfRule>
  </conditionalFormatting>
  <conditionalFormatting sqref="W441">
    <cfRule type="expression" dxfId="2306" priority="3419">
      <formula>AND(IF($R$441,$W$441,TRUE),LEN(TRIM($W$441))&gt;0)</formula>
    </cfRule>
  </conditionalFormatting>
  <conditionalFormatting sqref="W441">
    <cfRule type="expression" dxfId="2305" priority="3418">
      <formula>OR($S$441 = FALSE, AND($P$441 = FALSE, ReportType &lt;&gt; "Final"), AND($Q$441 = FALSE, ReportType &lt;&gt; "Rough"))</formula>
    </cfRule>
  </conditionalFormatting>
  <conditionalFormatting sqref="W441">
    <cfRule type="expression" dxfId="2304" priority="3417">
      <formula>OR($T$441 = TRUE, AND($W$441 = TRUE, $S$441 = FALSE))</formula>
    </cfRule>
  </conditionalFormatting>
  <conditionalFormatting sqref="W443">
    <cfRule type="expression" dxfId="2303" priority="3416">
      <formula>AND($R$443,$S$443)</formula>
    </cfRule>
  </conditionalFormatting>
  <conditionalFormatting sqref="W443">
    <cfRule type="expression" dxfId="2302" priority="3415">
      <formula>AND(IF($R$443,$W$443,TRUE),LEN(TRIM($W$443))&gt;0)</formula>
    </cfRule>
  </conditionalFormatting>
  <conditionalFormatting sqref="W443">
    <cfRule type="expression" dxfId="2301" priority="3414">
      <formula>OR($S$443 = FALSE, AND($P$443 = FALSE, ReportType &lt;&gt; "Final"), AND($Q$443 = FALSE, ReportType &lt;&gt; "Rough"))</formula>
    </cfRule>
  </conditionalFormatting>
  <conditionalFormatting sqref="W443">
    <cfRule type="expression" dxfId="2300" priority="3413">
      <formula>OR($T$443 = TRUE, AND($W$443 = TRUE, $S$443 = FALSE))</formula>
    </cfRule>
  </conditionalFormatting>
  <conditionalFormatting sqref="W449">
    <cfRule type="expression" dxfId="2299" priority="3412">
      <formula>AND($R$449,$S$449)</formula>
    </cfRule>
  </conditionalFormatting>
  <conditionalFormatting sqref="W449">
    <cfRule type="expression" dxfId="2298" priority="3411">
      <formula>AND(IF($R$449,$W$449,TRUE),LEN(TRIM($W$449))&gt;0)</formula>
    </cfRule>
  </conditionalFormatting>
  <conditionalFormatting sqref="W449">
    <cfRule type="expression" dxfId="2297" priority="3410">
      <formula>OR($S$449 = FALSE, AND($P$449 = FALSE, ReportType &lt;&gt; "Final"), AND($Q$449 = FALSE, ReportType &lt;&gt; "Rough"))</formula>
    </cfRule>
  </conditionalFormatting>
  <conditionalFormatting sqref="W449">
    <cfRule type="expression" dxfId="2296" priority="3409">
      <formula>OR($T$449 = TRUE, AND($W$449 = TRUE, $S$449 = FALSE))</formula>
    </cfRule>
  </conditionalFormatting>
  <conditionalFormatting sqref="W453">
    <cfRule type="expression" dxfId="2295" priority="3408">
      <formula>AND($R$453,$S$453)</formula>
    </cfRule>
  </conditionalFormatting>
  <conditionalFormatting sqref="W453">
    <cfRule type="expression" dxfId="2294" priority="3407">
      <formula>AND(IF($R$453,$W$453,TRUE),LEN(TRIM($W$453))&gt;0)</formula>
    </cfRule>
  </conditionalFormatting>
  <conditionalFormatting sqref="W453">
    <cfRule type="expression" dxfId="2293" priority="3406">
      <formula>OR($S$453 = FALSE, AND($P$453 = FALSE, ReportType &lt;&gt; "Final"), AND($Q$453 = FALSE, ReportType &lt;&gt; "Rough"))</formula>
    </cfRule>
  </conditionalFormatting>
  <conditionalFormatting sqref="W453">
    <cfRule type="expression" dxfId="2292" priority="3405">
      <formula>OR($T$453 = TRUE, AND($W$453 = TRUE, $S$453 = FALSE))</formula>
    </cfRule>
  </conditionalFormatting>
  <conditionalFormatting sqref="W457">
    <cfRule type="expression" dxfId="2291" priority="3404">
      <formula>AND($R$457,$S$457)</formula>
    </cfRule>
  </conditionalFormatting>
  <conditionalFormatting sqref="W457">
    <cfRule type="expression" dxfId="2290" priority="3403">
      <formula>AND(IF($R$457,$W$457,TRUE),LEN(TRIM($W$457))&gt;0)</formula>
    </cfRule>
  </conditionalFormatting>
  <conditionalFormatting sqref="W457">
    <cfRule type="expression" dxfId="2289" priority="3402">
      <formula>OR($S$457 = FALSE, AND($P$457 = FALSE, ReportType &lt;&gt; "Final"), AND($Q$457 = FALSE, ReportType &lt;&gt; "Rough"))</formula>
    </cfRule>
  </conditionalFormatting>
  <conditionalFormatting sqref="W457">
    <cfRule type="expression" dxfId="2288" priority="3401">
      <formula>OR($T$457 = TRUE, AND($W$457 = TRUE, $S$457 = FALSE))</formula>
    </cfRule>
  </conditionalFormatting>
  <conditionalFormatting sqref="W462">
    <cfRule type="expression" dxfId="2287" priority="3400">
      <formula>AND($R$462,$S$462)</formula>
    </cfRule>
  </conditionalFormatting>
  <conditionalFormatting sqref="W462">
    <cfRule type="expression" dxfId="2286" priority="3399">
      <formula>AND(IF($R$462,$W$462,TRUE),LEN(TRIM($W$462))&gt;0)</formula>
    </cfRule>
  </conditionalFormatting>
  <conditionalFormatting sqref="W462">
    <cfRule type="expression" dxfId="2285" priority="3398">
      <formula>OR($S$462 = FALSE, AND($P$462 = FALSE, ReportType &lt;&gt; "Final"), AND($Q$462 = FALSE, ReportType &lt;&gt; "Rough"))</formula>
    </cfRule>
  </conditionalFormatting>
  <conditionalFormatting sqref="W462">
    <cfRule type="expression" dxfId="2284" priority="3397">
      <formula>OR($T$462 = TRUE, AND($W$462 = TRUE, $S$462 = FALSE))</formula>
    </cfRule>
  </conditionalFormatting>
  <conditionalFormatting sqref="W467">
    <cfRule type="expression" dxfId="2283" priority="3396">
      <formula>AND($R$467,$S$467)</formula>
    </cfRule>
  </conditionalFormatting>
  <conditionalFormatting sqref="W467">
    <cfRule type="expression" dxfId="2282" priority="3395">
      <formula>AND(IF($R$467,$W$467,TRUE),LEN(TRIM($W$467))&gt;0)</formula>
    </cfRule>
  </conditionalFormatting>
  <conditionalFormatting sqref="W467">
    <cfRule type="expression" dxfId="2281" priority="3394">
      <formula>OR($S$467 = FALSE, AND($P$467 = FALSE, ReportType &lt;&gt; "Final"), AND($Q$467 = FALSE, ReportType &lt;&gt; "Rough"))</formula>
    </cfRule>
  </conditionalFormatting>
  <conditionalFormatting sqref="W467">
    <cfRule type="expression" dxfId="2280" priority="3393">
      <formula>OR($T$467 = TRUE, AND($W$467 = TRUE, $S$467 = FALSE))</formula>
    </cfRule>
  </conditionalFormatting>
  <conditionalFormatting sqref="W469">
    <cfRule type="expression" dxfId="2279" priority="3392">
      <formula>AND($R$469,$S$469)</formula>
    </cfRule>
  </conditionalFormatting>
  <conditionalFormatting sqref="W469">
    <cfRule type="expression" dxfId="2278" priority="3391">
      <formula>AND(IF($R$469,$W$469,TRUE),LEN(TRIM($W$469))&gt;0)</formula>
    </cfRule>
  </conditionalFormatting>
  <conditionalFormatting sqref="W469">
    <cfRule type="expression" dxfId="2277" priority="3390">
      <formula>OR($S$469 = FALSE, AND($P$469 = FALSE, ReportType &lt;&gt; "Final"), AND($Q$469 = FALSE, ReportType &lt;&gt; "Rough"))</formula>
    </cfRule>
  </conditionalFormatting>
  <conditionalFormatting sqref="W469">
    <cfRule type="expression" dxfId="2276" priority="3389">
      <formula>OR($T$469 = TRUE, AND($W$469 = TRUE, $S$469 = FALSE))</formula>
    </cfRule>
  </conditionalFormatting>
  <conditionalFormatting sqref="W471">
    <cfRule type="expression" dxfId="2275" priority="3388">
      <formula>AND($R$471,$S$471)</formula>
    </cfRule>
  </conditionalFormatting>
  <conditionalFormatting sqref="W471">
    <cfRule type="expression" dxfId="2274" priority="3387">
      <formula>AND(IF($R$471,$W$471,TRUE),LEN(TRIM($W$471))&gt;0)</formula>
    </cfRule>
  </conditionalFormatting>
  <conditionalFormatting sqref="W471">
    <cfRule type="expression" dxfId="2273" priority="3386">
      <formula>OR($S$471 = FALSE, AND($P$471 = FALSE, ReportType &lt;&gt; "Final"), AND($Q$471 = FALSE, ReportType &lt;&gt; "Rough"))</formula>
    </cfRule>
  </conditionalFormatting>
  <conditionalFormatting sqref="W471">
    <cfRule type="expression" dxfId="2272" priority="3385">
      <formula>OR($T$471 = TRUE, AND($W$471 = TRUE, $S$471 = FALSE))</formula>
    </cfRule>
  </conditionalFormatting>
  <conditionalFormatting sqref="W483">
    <cfRule type="expression" dxfId="2271" priority="3384">
      <formula>AND($R$483,$S$483)</formula>
    </cfRule>
  </conditionalFormatting>
  <conditionalFormatting sqref="W483">
    <cfRule type="expression" dxfId="2270" priority="3383">
      <formula>AND(IF($R$483,$W$483,TRUE),LEN(TRIM($W$483))&gt;0)</formula>
    </cfRule>
  </conditionalFormatting>
  <conditionalFormatting sqref="W483">
    <cfRule type="expression" dxfId="2269" priority="3382">
      <formula>OR($S$483 = FALSE, AND($P$483 = FALSE, ReportType &lt;&gt; "Final"), AND($Q$483 = FALSE, ReportType &lt;&gt; "Rough"))</formula>
    </cfRule>
  </conditionalFormatting>
  <conditionalFormatting sqref="W483">
    <cfRule type="expression" dxfId="2268" priority="3381">
      <formula>OR($T$483 = TRUE, AND($W$483 = TRUE, $S$483 = FALSE))</formula>
    </cfRule>
  </conditionalFormatting>
  <conditionalFormatting sqref="W493">
    <cfRule type="expression" dxfId="2267" priority="3380">
      <formula>AND($R$493,$S$493)</formula>
    </cfRule>
  </conditionalFormatting>
  <conditionalFormatting sqref="W493">
    <cfRule type="expression" dxfId="2266" priority="3379">
      <formula>AND(IF($R$493,$W$493,TRUE),LEN(TRIM($W$493))&gt;0)</formula>
    </cfRule>
  </conditionalFormatting>
  <conditionalFormatting sqref="W493">
    <cfRule type="expression" dxfId="2265" priority="3378">
      <formula>OR($S$493 = FALSE, AND($P$493 = FALSE, ReportType &lt;&gt; "Final"), AND($Q$493 = FALSE, ReportType &lt;&gt; "Rough"))</formula>
    </cfRule>
  </conditionalFormatting>
  <conditionalFormatting sqref="W493">
    <cfRule type="expression" dxfId="2264" priority="3377">
      <formula>OR($T$493 = TRUE, AND($W$493 = TRUE, $S$493 = FALSE))</formula>
    </cfRule>
  </conditionalFormatting>
  <conditionalFormatting sqref="W496">
    <cfRule type="expression" dxfId="2263" priority="3376">
      <formula>AND($R$496,$S$496)</formula>
    </cfRule>
  </conditionalFormatting>
  <conditionalFormatting sqref="W496">
    <cfRule type="expression" dxfId="2262" priority="3375">
      <formula>AND(IF($R$496,$W$496,TRUE),LEN(TRIM($W$496))&gt;0)</formula>
    </cfRule>
  </conditionalFormatting>
  <conditionalFormatting sqref="W496">
    <cfRule type="expression" dxfId="2261" priority="3374">
      <formula>OR($S$496 = FALSE, AND($P$496 = FALSE, ReportType &lt;&gt; "Final"), AND($Q$496 = FALSE, ReportType &lt;&gt; "Rough"))</formula>
    </cfRule>
  </conditionalFormatting>
  <conditionalFormatting sqref="W496">
    <cfRule type="expression" dxfId="2260" priority="3373">
      <formula>OR($T$496 = TRUE, AND($W$496 = TRUE, $S$496 = FALSE))</formula>
    </cfRule>
  </conditionalFormatting>
  <conditionalFormatting sqref="W497">
    <cfRule type="expression" dxfId="2259" priority="3372">
      <formula>AND($R$497,$S$497)</formula>
    </cfRule>
  </conditionalFormatting>
  <conditionalFormatting sqref="W497">
    <cfRule type="expression" dxfId="2258" priority="3371">
      <formula>AND(IF($R$497,$W$497,TRUE),LEN(TRIM($W$497))&gt;0)</formula>
    </cfRule>
  </conditionalFormatting>
  <conditionalFormatting sqref="W497">
    <cfRule type="expression" dxfId="2257" priority="3370">
      <formula>OR($S$497 = FALSE, AND($P$497 = FALSE, ReportType &lt;&gt; "Final"), AND($Q$497 = FALSE, ReportType &lt;&gt; "Rough"))</formula>
    </cfRule>
  </conditionalFormatting>
  <conditionalFormatting sqref="W497">
    <cfRule type="expression" dxfId="2256" priority="3369">
      <formula>OR($T$497 = TRUE, AND($W$497 = TRUE, $S$497 = FALSE))</formula>
    </cfRule>
  </conditionalFormatting>
  <conditionalFormatting sqref="W507">
    <cfRule type="expression" dxfId="2255" priority="3368">
      <formula>AND($R$507,$S$507)</formula>
    </cfRule>
  </conditionalFormatting>
  <conditionalFormatting sqref="W507">
    <cfRule type="expression" dxfId="2254" priority="3367">
      <formula>AND(IF($R$507,$W$507,TRUE),LEN(TRIM($W$507))&gt;0)</formula>
    </cfRule>
  </conditionalFormatting>
  <conditionalFormatting sqref="W507">
    <cfRule type="expression" dxfId="2253" priority="3366">
      <formula>OR($S$507 = FALSE, AND($P$507 = FALSE, ReportType &lt;&gt; "Final"), AND($Q$507 = FALSE, ReportType &lt;&gt; "Rough"))</formula>
    </cfRule>
  </conditionalFormatting>
  <conditionalFormatting sqref="W507">
    <cfRule type="expression" dxfId="2252" priority="3365">
      <formula>OR($T$507 = TRUE, AND($W$507 = TRUE, $S$507 = FALSE))</formula>
    </cfRule>
  </conditionalFormatting>
  <conditionalFormatting sqref="W509">
    <cfRule type="expression" dxfId="2251" priority="3364">
      <formula>AND($R$509,$S$509)</formula>
    </cfRule>
  </conditionalFormatting>
  <conditionalFormatting sqref="W509">
    <cfRule type="expression" dxfId="2250" priority="3363">
      <formula>AND(IF($R$509,$W$509,TRUE),LEN(TRIM($W$509))&gt;0)</formula>
    </cfRule>
  </conditionalFormatting>
  <conditionalFormatting sqref="W509">
    <cfRule type="expression" dxfId="2249" priority="3362">
      <formula>OR($S$509 = FALSE, AND($P$509 = FALSE, ReportType &lt;&gt; "Final"), AND($Q$509 = FALSE, ReportType &lt;&gt; "Rough"))</formula>
    </cfRule>
  </conditionalFormatting>
  <conditionalFormatting sqref="W509">
    <cfRule type="expression" dxfId="2248" priority="3361">
      <formula>OR($T$509 = TRUE, AND($W$509 = TRUE, $S$509 = FALSE))</formula>
    </cfRule>
  </conditionalFormatting>
  <conditionalFormatting sqref="W525">
    <cfRule type="expression" dxfId="2247" priority="3360">
      <formula>AND($R$525,$S$525)</formula>
    </cfRule>
  </conditionalFormatting>
  <conditionalFormatting sqref="W525">
    <cfRule type="expression" dxfId="2246" priority="3359">
      <formula>AND(IF($R$525,$W$525,TRUE),LEN(TRIM($W$525))&gt;0)</formula>
    </cfRule>
  </conditionalFormatting>
  <conditionalFormatting sqref="W525">
    <cfRule type="expression" dxfId="2245" priority="3358">
      <formula>OR($S$525 = FALSE, AND($P$525 = FALSE, ReportType &lt;&gt; "Final"), AND($Q$525 = FALSE, ReportType &lt;&gt; "Rough"))</formula>
    </cfRule>
  </conditionalFormatting>
  <conditionalFormatting sqref="W525">
    <cfRule type="expression" dxfId="2244" priority="3357">
      <formula>OR($T$525 = TRUE, AND($W$525 = TRUE, $S$525 = FALSE))</formula>
    </cfRule>
  </conditionalFormatting>
  <conditionalFormatting sqref="W536">
    <cfRule type="expression" dxfId="2243" priority="3356">
      <formula>AND($R$536,$S$536)</formula>
    </cfRule>
  </conditionalFormatting>
  <conditionalFormatting sqref="W536">
    <cfRule type="expression" dxfId="2242" priority="3355">
      <formula>AND(IF($R$536,$W$536,TRUE),LEN(TRIM($W$536))&gt;0)</formula>
    </cfRule>
  </conditionalFormatting>
  <conditionalFormatting sqref="W536">
    <cfRule type="expression" dxfId="2241" priority="3354">
      <formula>OR($S$536 = FALSE, AND($P$536 = FALSE, ReportType &lt;&gt; "Final"), AND($Q$536 = FALSE, ReportType &lt;&gt; "Rough"))</formula>
    </cfRule>
  </conditionalFormatting>
  <conditionalFormatting sqref="W536">
    <cfRule type="expression" dxfId="2240" priority="3353">
      <formula>OR($T$536 = TRUE, AND($W$536 = TRUE, $S$536 = FALSE))</formula>
    </cfRule>
  </conditionalFormatting>
  <conditionalFormatting sqref="W537">
    <cfRule type="expression" dxfId="2239" priority="3352">
      <formula>AND($R$537,$S$537)</formula>
    </cfRule>
  </conditionalFormatting>
  <conditionalFormatting sqref="W537">
    <cfRule type="expression" dxfId="2238" priority="3351">
      <formula>AND(IF($R$537,$W$537,TRUE),LEN(TRIM($W$537))&gt;0)</formula>
    </cfRule>
  </conditionalFormatting>
  <conditionalFormatting sqref="W537">
    <cfRule type="expression" dxfId="2237" priority="3350">
      <formula>OR($S$537 = FALSE, AND($P$537 = FALSE, ReportType &lt;&gt; "Final"), AND($Q$537 = FALSE, ReportType &lt;&gt; "Rough"))</formula>
    </cfRule>
  </conditionalFormatting>
  <conditionalFormatting sqref="W537">
    <cfRule type="expression" dxfId="2236" priority="3349">
      <formula>OR($T$537 = TRUE, AND($W$537 = TRUE, $S$537 = FALSE))</formula>
    </cfRule>
  </conditionalFormatting>
  <conditionalFormatting sqref="W545">
    <cfRule type="expression" dxfId="2235" priority="3348">
      <formula>AND($R$545,$S$545)</formula>
    </cfRule>
  </conditionalFormatting>
  <conditionalFormatting sqref="W545">
    <cfRule type="expression" dxfId="2234" priority="3347">
      <formula>AND(IF($R$545,$W$545,TRUE),LEN(TRIM($W$545))&gt;0)</formula>
    </cfRule>
  </conditionalFormatting>
  <conditionalFormatting sqref="W545">
    <cfRule type="expression" dxfId="2233" priority="3346">
      <formula>OR($S$545 = FALSE, AND($P$545 = FALSE, ReportType &lt;&gt; "Final"), AND($Q$545 = FALSE, ReportType &lt;&gt; "Rough"))</formula>
    </cfRule>
  </conditionalFormatting>
  <conditionalFormatting sqref="W545">
    <cfRule type="expression" dxfId="2232" priority="3345">
      <formula>OR($T$545 = TRUE, AND($W$545 = TRUE, $S$545 = FALSE))</formula>
    </cfRule>
  </conditionalFormatting>
  <conditionalFormatting sqref="W547">
    <cfRule type="expression" dxfId="2231" priority="3344">
      <formula>AND($R$547,$S$547)</formula>
    </cfRule>
  </conditionalFormatting>
  <conditionalFormatting sqref="W547">
    <cfRule type="expression" dxfId="2230" priority="3343">
      <formula>AND(IF($R$547,$W$547,TRUE),LEN(TRIM($W$547))&gt;0)</formula>
    </cfRule>
  </conditionalFormatting>
  <conditionalFormatting sqref="W547">
    <cfRule type="expression" dxfId="2229" priority="3342">
      <formula>OR($S$547 = FALSE, AND($P$547 = FALSE, ReportType &lt;&gt; "Final"), AND($Q$547 = FALSE, ReportType &lt;&gt; "Rough"))</formula>
    </cfRule>
  </conditionalFormatting>
  <conditionalFormatting sqref="W547">
    <cfRule type="expression" dxfId="2228" priority="3341">
      <formula>OR($T$547 = TRUE, AND($W$547 = TRUE, $S$547 = FALSE))</formula>
    </cfRule>
  </conditionalFormatting>
  <conditionalFormatting sqref="W548">
    <cfRule type="expression" dxfId="2227" priority="3340">
      <formula>AND($R$548,$S$548)</formula>
    </cfRule>
  </conditionalFormatting>
  <conditionalFormatting sqref="W548">
    <cfRule type="expression" dxfId="2226" priority="3339">
      <formula>AND(IF($R$548,$W$548,TRUE),LEN(TRIM($W$548))&gt;0)</formula>
    </cfRule>
  </conditionalFormatting>
  <conditionalFormatting sqref="W548">
    <cfRule type="expression" dxfId="2225" priority="3338">
      <formula>OR($S$548 = FALSE, AND($P$548 = FALSE, ReportType &lt;&gt; "Final"), AND($Q$548 = FALSE, ReportType &lt;&gt; "Rough"))</formula>
    </cfRule>
  </conditionalFormatting>
  <conditionalFormatting sqref="W548">
    <cfRule type="expression" dxfId="2224" priority="3337">
      <formula>OR($T$548 = TRUE, AND($W$548 = TRUE, $S$548 = FALSE))</formula>
    </cfRule>
  </conditionalFormatting>
  <conditionalFormatting sqref="W551">
    <cfRule type="expression" dxfId="2223" priority="3336">
      <formula>AND($R$551,$S$551)</formula>
    </cfRule>
  </conditionalFormatting>
  <conditionalFormatting sqref="W551">
    <cfRule type="expression" dxfId="2222" priority="3335">
      <formula>AND(IF($R$551,$W$551,TRUE),LEN(TRIM($W$551))&gt;0)</formula>
    </cfRule>
  </conditionalFormatting>
  <conditionalFormatting sqref="W551">
    <cfRule type="expression" dxfId="2221" priority="3334">
      <formula>OR($S$551 = FALSE, AND($P$551 = FALSE, ReportType &lt;&gt; "Final"), AND($Q$551 = FALSE, ReportType &lt;&gt; "Rough"))</formula>
    </cfRule>
  </conditionalFormatting>
  <conditionalFormatting sqref="W551">
    <cfRule type="expression" dxfId="2220" priority="3333">
      <formula>OR($T$551 = TRUE, AND($W$551 = TRUE, $S$551 = FALSE))</formula>
    </cfRule>
  </conditionalFormatting>
  <conditionalFormatting sqref="W555">
    <cfRule type="expression" dxfId="2219" priority="3332">
      <formula>AND($R$555,$S$555)</formula>
    </cfRule>
  </conditionalFormatting>
  <conditionalFormatting sqref="W555">
    <cfRule type="expression" dxfId="2218" priority="3331">
      <formula>AND(IF($R$555,$W$555,TRUE),LEN(TRIM($W$555))&gt;0)</formula>
    </cfRule>
  </conditionalFormatting>
  <conditionalFormatting sqref="W555">
    <cfRule type="expression" dxfId="2217" priority="3330">
      <formula>OR($S$555 = FALSE, AND($P$555 = FALSE, ReportType &lt;&gt; "Final"), AND($Q$555 = FALSE, ReportType &lt;&gt; "Rough"))</formula>
    </cfRule>
  </conditionalFormatting>
  <conditionalFormatting sqref="W555">
    <cfRule type="expression" dxfId="2216" priority="3329">
      <formula>OR($T$555 = TRUE, AND($W$555 = TRUE, $S$555 = FALSE))</formula>
    </cfRule>
  </conditionalFormatting>
  <conditionalFormatting sqref="W560">
    <cfRule type="expression" dxfId="2215" priority="3328">
      <formula>AND($R$560,$S$560)</formula>
    </cfRule>
  </conditionalFormatting>
  <conditionalFormatting sqref="W560">
    <cfRule type="expression" dxfId="2214" priority="3327">
      <formula>AND(IF($R$560,$W$560,TRUE),LEN(TRIM($W$560))&gt;0)</formula>
    </cfRule>
  </conditionalFormatting>
  <conditionalFormatting sqref="W560">
    <cfRule type="expression" dxfId="2213" priority="3326">
      <formula>OR($S$560 = FALSE, AND($P$560 = FALSE, ReportType &lt;&gt; "Final"), AND($Q$560 = FALSE, ReportType &lt;&gt; "Rough"))</formula>
    </cfRule>
  </conditionalFormatting>
  <conditionalFormatting sqref="W560">
    <cfRule type="expression" dxfId="2212" priority="3325">
      <formula>OR($T$560 = TRUE, AND($W$560 = TRUE, $S$560 = FALSE))</formula>
    </cfRule>
  </conditionalFormatting>
  <conditionalFormatting sqref="W562">
    <cfRule type="expression" dxfId="2211" priority="3324">
      <formula>AND($R$562,$S$562)</formula>
    </cfRule>
  </conditionalFormatting>
  <conditionalFormatting sqref="W562">
    <cfRule type="expression" dxfId="2210" priority="3323">
      <formula>AND(IF($R$562,$W$562,TRUE),LEN(TRIM($W$562))&gt;0)</formula>
    </cfRule>
  </conditionalFormatting>
  <conditionalFormatting sqref="W562">
    <cfRule type="expression" dxfId="2209" priority="3322">
      <formula>OR($S$562 = FALSE, AND($P$562 = FALSE, ReportType &lt;&gt; "Final"), AND($Q$562 = FALSE, ReportType &lt;&gt; "Rough"))</formula>
    </cfRule>
  </conditionalFormatting>
  <conditionalFormatting sqref="W562">
    <cfRule type="expression" dxfId="2208" priority="3321">
      <formula>OR($T$562 = TRUE, AND($W$562 = TRUE, $S$562 = FALSE))</formula>
    </cfRule>
  </conditionalFormatting>
  <conditionalFormatting sqref="W579">
    <cfRule type="expression" dxfId="2207" priority="3320">
      <formula>AND($R$579,$S$579)</formula>
    </cfRule>
  </conditionalFormatting>
  <conditionalFormatting sqref="W579">
    <cfRule type="expression" dxfId="2206" priority="3319">
      <formula>AND(IF($R$579,$W$579,TRUE),LEN(TRIM($W$579))&gt;0)</formula>
    </cfRule>
  </conditionalFormatting>
  <conditionalFormatting sqref="W579">
    <cfRule type="expression" dxfId="2205" priority="3318">
      <formula>OR($S$579 = FALSE, AND($P$579 = FALSE, ReportType &lt;&gt; "Final"), AND($Q$579 = FALSE, ReportType &lt;&gt; "Rough"))</formula>
    </cfRule>
  </conditionalFormatting>
  <conditionalFormatting sqref="W579">
    <cfRule type="expression" dxfId="2204" priority="3317">
      <formula>OR($T$579 = TRUE, AND($W$579 = TRUE, $S$579 = FALSE))</formula>
    </cfRule>
  </conditionalFormatting>
  <conditionalFormatting sqref="W596">
    <cfRule type="expression" dxfId="2203" priority="3316">
      <formula>AND($R$596,$S$596)</formula>
    </cfRule>
  </conditionalFormatting>
  <conditionalFormatting sqref="W596">
    <cfRule type="expression" dxfId="2202" priority="3315">
      <formula>AND(IF($R$596,$W$596,TRUE),LEN(TRIM($W$596))&gt;0)</formula>
    </cfRule>
  </conditionalFormatting>
  <conditionalFormatting sqref="W596">
    <cfRule type="expression" dxfId="2201" priority="3314">
      <formula>OR($S$596 = FALSE, AND($P$596 = FALSE, ReportType &lt;&gt; "Final"), AND($Q$596 = FALSE, ReportType &lt;&gt; "Rough"))</formula>
    </cfRule>
  </conditionalFormatting>
  <conditionalFormatting sqref="W596">
    <cfRule type="expression" dxfId="2200" priority="3313">
      <formula>OR($T$596 = TRUE, AND($W$596 = TRUE, $S$596 = FALSE))</formula>
    </cfRule>
  </conditionalFormatting>
  <conditionalFormatting sqref="W609">
    <cfRule type="expression" dxfId="2199" priority="3312">
      <formula>AND($R$609,$S$609)</formula>
    </cfRule>
  </conditionalFormatting>
  <conditionalFormatting sqref="W609">
    <cfRule type="expression" dxfId="2198" priority="3311">
      <formula>AND(IF($R$609,$W$609,TRUE),LEN(TRIM($W$609))&gt;0)</formula>
    </cfRule>
  </conditionalFormatting>
  <conditionalFormatting sqref="W609">
    <cfRule type="expression" dxfId="2197" priority="3310">
      <formula>OR($S$609 = FALSE, AND($P$609 = FALSE, ReportType &lt;&gt; "Final"), AND($Q$609 = FALSE, ReportType &lt;&gt; "Rough"))</formula>
    </cfRule>
  </conditionalFormatting>
  <conditionalFormatting sqref="W609">
    <cfRule type="expression" dxfId="2196" priority="3309">
      <formula>OR($T$609 = TRUE, AND($W$609 = TRUE, $S$609 = FALSE))</formula>
    </cfRule>
  </conditionalFormatting>
  <conditionalFormatting sqref="W611">
    <cfRule type="expression" dxfId="2195" priority="3308">
      <formula>AND($R$611,$S$611)</formula>
    </cfRule>
  </conditionalFormatting>
  <conditionalFormatting sqref="W611">
    <cfRule type="expression" dxfId="2194" priority="3307">
      <formula>AND(IF($R$611,$W$611,TRUE),LEN(TRIM($W$611))&gt;0)</formula>
    </cfRule>
  </conditionalFormatting>
  <conditionalFormatting sqref="W611">
    <cfRule type="expression" dxfId="2193" priority="3306">
      <formula>OR($S$611 = FALSE, AND($P$611 = FALSE, ReportType &lt;&gt; "Final"), AND($Q$611 = FALSE, ReportType &lt;&gt; "Rough"))</formula>
    </cfRule>
  </conditionalFormatting>
  <conditionalFormatting sqref="W611">
    <cfRule type="expression" dxfId="2192" priority="3305">
      <formula>OR($T$611 = TRUE, AND($W$611 = TRUE, $S$611 = FALSE))</formula>
    </cfRule>
  </conditionalFormatting>
  <conditionalFormatting sqref="W624">
    <cfRule type="expression" dxfId="2191" priority="3304">
      <formula>AND($R$624,$S$624)</formula>
    </cfRule>
  </conditionalFormatting>
  <conditionalFormatting sqref="W624">
    <cfRule type="expression" dxfId="2190" priority="3303">
      <formula>AND(IF($R$624,$W$624,TRUE),LEN(TRIM($W$624))&gt;0)</formula>
    </cfRule>
  </conditionalFormatting>
  <conditionalFormatting sqref="W624">
    <cfRule type="expression" dxfId="2189" priority="3302">
      <formula>OR($S$624 = FALSE, AND($P$624 = FALSE, ReportType &lt;&gt; "Final"), AND($Q$624 = FALSE, ReportType &lt;&gt; "Rough"))</formula>
    </cfRule>
  </conditionalFormatting>
  <conditionalFormatting sqref="W624">
    <cfRule type="expression" dxfId="2188" priority="3301">
      <formula>OR($T$624 = TRUE, AND($W$624 = TRUE, $S$624 = FALSE))</formula>
    </cfRule>
  </conditionalFormatting>
  <conditionalFormatting sqref="W625">
    <cfRule type="expression" dxfId="2187" priority="3300">
      <formula>AND($R$625,$S$625)</formula>
    </cfRule>
  </conditionalFormatting>
  <conditionalFormatting sqref="W625">
    <cfRule type="expression" dxfId="2186" priority="3299">
      <formula>AND(IF($R$625,$W$625,TRUE),LEN(TRIM($W$625))&gt;0)</formula>
    </cfRule>
  </conditionalFormatting>
  <conditionalFormatting sqref="W625">
    <cfRule type="expression" dxfId="2185" priority="3298">
      <formula>OR($S$625 = FALSE, AND($P$625 = FALSE, ReportType &lt;&gt; "Final"), AND($Q$625 = FALSE, ReportType &lt;&gt; "Rough"))</formula>
    </cfRule>
  </conditionalFormatting>
  <conditionalFormatting sqref="W625">
    <cfRule type="expression" dxfId="2184" priority="3297">
      <formula>OR($T$625 = TRUE, AND($W$625 = TRUE, $S$625 = FALSE))</formula>
    </cfRule>
  </conditionalFormatting>
  <conditionalFormatting sqref="W626">
    <cfRule type="expression" dxfId="2183" priority="3296">
      <formula>AND($R$626,$S$626)</formula>
    </cfRule>
  </conditionalFormatting>
  <conditionalFormatting sqref="W626">
    <cfRule type="expression" dxfId="2182" priority="3295">
      <formula>AND(IF($R$626,$W$626,TRUE),LEN(TRIM($W$626))&gt;0)</formula>
    </cfRule>
  </conditionalFormatting>
  <conditionalFormatting sqref="W626">
    <cfRule type="expression" dxfId="2181" priority="3294">
      <formula>OR($S$626 = FALSE, AND($P$626 = FALSE, ReportType &lt;&gt; "Final"), AND($Q$626 = FALSE, ReportType &lt;&gt; "Rough"))</formula>
    </cfRule>
  </conditionalFormatting>
  <conditionalFormatting sqref="W626">
    <cfRule type="expression" dxfId="2180" priority="3293">
      <formula>OR($T$626 = TRUE, AND($W$626 = TRUE, $S$626 = FALSE))</formula>
    </cfRule>
  </conditionalFormatting>
  <conditionalFormatting sqref="W627">
    <cfRule type="expression" dxfId="2179" priority="3292">
      <formula>AND($R$627,$S$627)</formula>
    </cfRule>
  </conditionalFormatting>
  <conditionalFormatting sqref="W627">
    <cfRule type="expression" dxfId="2178" priority="3291">
      <formula>AND(IF($R$627,$W$627,TRUE),LEN(TRIM($W$627))&gt;0)</formula>
    </cfRule>
  </conditionalFormatting>
  <conditionalFormatting sqref="W627">
    <cfRule type="expression" dxfId="2177" priority="3290">
      <formula>OR($S$627 = FALSE, AND($P$627 = FALSE, ReportType &lt;&gt; "Final"), AND($Q$627 = FALSE, ReportType &lt;&gt; "Rough"))</formula>
    </cfRule>
  </conditionalFormatting>
  <conditionalFormatting sqref="W627">
    <cfRule type="expression" dxfId="2176" priority="3289">
      <formula>OR($T$627 = TRUE, AND($W$627 = TRUE, $S$627 = FALSE))</formula>
    </cfRule>
  </conditionalFormatting>
  <conditionalFormatting sqref="W628">
    <cfRule type="expression" dxfId="2175" priority="3288">
      <formula>AND($R$628,$S$628)</formula>
    </cfRule>
  </conditionalFormatting>
  <conditionalFormatting sqref="W628">
    <cfRule type="expression" dxfId="2174" priority="3287">
      <formula>AND(IF($R$628,$W$628,TRUE),LEN(TRIM($W$628))&gt;0)</formula>
    </cfRule>
  </conditionalFormatting>
  <conditionalFormatting sqref="W628">
    <cfRule type="expression" dxfId="2173" priority="3286">
      <formula>OR($S$628 = FALSE, AND($P$628 = FALSE, ReportType &lt;&gt; "Final"), AND($Q$628 = FALSE, ReportType &lt;&gt; "Rough"))</formula>
    </cfRule>
  </conditionalFormatting>
  <conditionalFormatting sqref="W628">
    <cfRule type="expression" dxfId="2172" priority="3285">
      <formula>OR($T$628 = TRUE, AND($W$628 = TRUE, $S$628 = FALSE))</formula>
    </cfRule>
  </conditionalFormatting>
  <conditionalFormatting sqref="W629">
    <cfRule type="expression" dxfId="2171" priority="3284">
      <formula>AND($R$629,$S$629)</formula>
    </cfRule>
  </conditionalFormatting>
  <conditionalFormatting sqref="W629">
    <cfRule type="expression" dxfId="2170" priority="3283">
      <formula>AND(IF($R$629,$W$629,TRUE),LEN(TRIM($W$629))&gt;0)</formula>
    </cfRule>
  </conditionalFormatting>
  <conditionalFormatting sqref="W629">
    <cfRule type="expression" dxfId="2169" priority="3282">
      <formula>OR($S$629 = FALSE, AND($P$629 = FALSE, ReportType &lt;&gt; "Final"), AND($Q$629 = FALSE, ReportType &lt;&gt; "Rough"))</formula>
    </cfRule>
  </conditionalFormatting>
  <conditionalFormatting sqref="W629">
    <cfRule type="expression" dxfId="2168" priority="3281">
      <formula>OR($T$629 = TRUE, AND($W$629 = TRUE, $S$629 = FALSE))</formula>
    </cfRule>
  </conditionalFormatting>
  <conditionalFormatting sqref="W630">
    <cfRule type="expression" dxfId="2167" priority="3280">
      <formula>AND($R$630,$S$630)</formula>
    </cfRule>
  </conditionalFormatting>
  <conditionalFormatting sqref="W630">
    <cfRule type="expression" dxfId="2166" priority="3279">
      <formula>AND(IF($R$630,$W$630,TRUE),LEN(TRIM($W$630))&gt;0)</formula>
    </cfRule>
  </conditionalFormatting>
  <conditionalFormatting sqref="W630">
    <cfRule type="expression" dxfId="2165" priority="3278">
      <formula>OR($S$630 = FALSE, AND($P$630 = FALSE, ReportType &lt;&gt; "Final"), AND($Q$630 = FALSE, ReportType &lt;&gt; "Rough"))</formula>
    </cfRule>
  </conditionalFormatting>
  <conditionalFormatting sqref="W630">
    <cfRule type="expression" dxfId="2164" priority="3277">
      <formula>OR($T$630 = TRUE, AND($W$630 = TRUE, $S$630 = FALSE))</formula>
    </cfRule>
  </conditionalFormatting>
  <conditionalFormatting sqref="W631">
    <cfRule type="expression" dxfId="2163" priority="3276">
      <formula>AND($R$631,$S$631)</formula>
    </cfRule>
  </conditionalFormatting>
  <conditionalFormatting sqref="W631">
    <cfRule type="expression" dxfId="2162" priority="3275">
      <formula>AND(IF($R$631,$W$631,TRUE),LEN(TRIM($W$631))&gt;0)</formula>
    </cfRule>
  </conditionalFormatting>
  <conditionalFormatting sqref="W631">
    <cfRule type="expression" dxfId="2161" priority="3274">
      <formula>OR($S$631 = FALSE, AND($P$631 = FALSE, ReportType &lt;&gt; "Final"), AND($Q$631 = FALSE, ReportType &lt;&gt; "Rough"))</formula>
    </cfRule>
  </conditionalFormatting>
  <conditionalFormatting sqref="W631">
    <cfRule type="expression" dxfId="2160" priority="3273">
      <formula>OR($T$631 = TRUE, AND($W$631 = TRUE, $S$631 = FALSE))</formula>
    </cfRule>
  </conditionalFormatting>
  <conditionalFormatting sqref="W632">
    <cfRule type="expression" dxfId="2159" priority="3272">
      <formula>AND($R$632,$S$632)</formula>
    </cfRule>
  </conditionalFormatting>
  <conditionalFormatting sqref="W632">
    <cfRule type="expression" dxfId="2158" priority="3271">
      <formula>AND(IF($R$632,$W$632,TRUE),LEN(TRIM($W$632))&gt;0)</formula>
    </cfRule>
  </conditionalFormatting>
  <conditionalFormatting sqref="W632">
    <cfRule type="expression" dxfId="2157" priority="3270">
      <formula>OR($S$632 = FALSE, AND($P$632 = FALSE, ReportType &lt;&gt; "Final"), AND($Q$632 = FALSE, ReportType &lt;&gt; "Rough"))</formula>
    </cfRule>
  </conditionalFormatting>
  <conditionalFormatting sqref="W632">
    <cfRule type="expression" dxfId="2156" priority="3269">
      <formula>OR($T$632 = TRUE, AND($W$632 = TRUE, $S$632 = FALSE))</formula>
    </cfRule>
  </conditionalFormatting>
  <conditionalFormatting sqref="W683">
    <cfRule type="expression" dxfId="2155" priority="3268">
      <formula>AND($R$683,$S$683)</formula>
    </cfRule>
  </conditionalFormatting>
  <conditionalFormatting sqref="W683">
    <cfRule type="expression" dxfId="2154" priority="3267">
      <formula>AND(IF($R$683,$W$683,TRUE),LEN(TRIM($W$683))&gt;0)</formula>
    </cfRule>
  </conditionalFormatting>
  <conditionalFormatting sqref="W683">
    <cfRule type="expression" dxfId="2153" priority="3266">
      <formula>OR($S$683 = FALSE, AND($P$683 = FALSE, ReportType &lt;&gt; "Final"), AND($Q$683 = FALSE, ReportType &lt;&gt; "Rough"))</formula>
    </cfRule>
  </conditionalFormatting>
  <conditionalFormatting sqref="W683">
    <cfRule type="expression" dxfId="2152" priority="3265">
      <formula>OR($T$683 = TRUE, AND($W$683 = TRUE, $S$683 = FALSE))</formula>
    </cfRule>
  </conditionalFormatting>
  <conditionalFormatting sqref="W688">
    <cfRule type="expression" dxfId="2151" priority="3264">
      <formula>AND($R$688,$S$688)</formula>
    </cfRule>
  </conditionalFormatting>
  <conditionalFormatting sqref="W688">
    <cfRule type="expression" dxfId="2150" priority="3263">
      <formula>AND(IF($R$688,$W$688,TRUE),LEN(TRIM($W$688))&gt;0)</formula>
    </cfRule>
  </conditionalFormatting>
  <conditionalFormatting sqref="W688">
    <cfRule type="expression" dxfId="2149" priority="3262">
      <formula>OR($S$688 = FALSE, AND($P$688 = FALSE, ReportType &lt;&gt; "Final"), AND($Q$688 = FALSE, ReportType &lt;&gt; "Rough"))</formula>
    </cfRule>
  </conditionalFormatting>
  <conditionalFormatting sqref="W688">
    <cfRule type="expression" dxfId="2148" priority="3261">
      <formula>OR($T$688 = TRUE, AND($W$688 = TRUE, $S$688 = FALSE))</formula>
    </cfRule>
  </conditionalFormatting>
  <conditionalFormatting sqref="W694">
    <cfRule type="expression" dxfId="2147" priority="3260">
      <formula>AND($R$694,$S$694)</formula>
    </cfRule>
  </conditionalFormatting>
  <conditionalFormatting sqref="W694">
    <cfRule type="expression" dxfId="2146" priority="3259">
      <formula>AND(IF($R$694,$W$694,TRUE),LEN(TRIM($W$694))&gt;0)</formula>
    </cfRule>
  </conditionalFormatting>
  <conditionalFormatting sqref="W694">
    <cfRule type="expression" dxfId="2145" priority="3258">
      <formula>OR($S$694 = FALSE, AND($P$694 = FALSE, ReportType &lt;&gt; "Final"), AND($Q$694 = FALSE, ReportType &lt;&gt; "Rough"))</formula>
    </cfRule>
  </conditionalFormatting>
  <conditionalFormatting sqref="W694">
    <cfRule type="expression" dxfId="2144" priority="3257">
      <formula>OR($T$694 = TRUE, AND($W$694 = TRUE, $S$694 = FALSE))</formula>
    </cfRule>
  </conditionalFormatting>
  <conditionalFormatting sqref="W727">
    <cfRule type="expression" dxfId="2143" priority="3256">
      <formula>AND($R$727,$S$727)</formula>
    </cfRule>
  </conditionalFormatting>
  <conditionalFormatting sqref="W727">
    <cfRule type="expression" dxfId="2142" priority="3255">
      <formula>AND(IF($R$727,$W$727,TRUE),LEN(TRIM($W$727))&gt;0)</formula>
    </cfRule>
  </conditionalFormatting>
  <conditionalFormatting sqref="W727">
    <cfRule type="expression" dxfId="2141" priority="3254">
      <formula>OR($S$727 = FALSE, AND($P$727 = FALSE, ReportType &lt;&gt; "Final"), AND($Q$727 = FALSE, ReportType &lt;&gt; "Rough"))</formula>
    </cfRule>
  </conditionalFormatting>
  <conditionalFormatting sqref="W727">
    <cfRule type="expression" dxfId="2140" priority="3253">
      <formula>OR($T$727 = TRUE, AND($W$727 = TRUE, $S$727 = FALSE))</formula>
    </cfRule>
  </conditionalFormatting>
  <conditionalFormatting sqref="W736">
    <cfRule type="expression" dxfId="2139" priority="3252">
      <formula>AND($R$736,$S$736)</formula>
    </cfRule>
  </conditionalFormatting>
  <conditionalFormatting sqref="W736">
    <cfRule type="expression" dxfId="2138" priority="3251">
      <formula>AND(IF($R$736,$W$736,TRUE),LEN(TRIM($W$736))&gt;0)</formula>
    </cfRule>
  </conditionalFormatting>
  <conditionalFormatting sqref="W736">
    <cfRule type="expression" dxfId="2137" priority="3250">
      <formula>OR($S$736 = FALSE, AND($P$736 = FALSE, ReportType &lt;&gt; "Final"), AND($Q$736 = FALSE, ReportType &lt;&gt; "Rough"))</formula>
    </cfRule>
  </conditionalFormatting>
  <conditionalFormatting sqref="W736">
    <cfRule type="expression" dxfId="2136" priority="3249">
      <formula>OR($T$736 = TRUE, AND($W$736 = TRUE, $S$736 = FALSE))</formula>
    </cfRule>
  </conditionalFormatting>
  <conditionalFormatting sqref="W744">
    <cfRule type="expression" dxfId="2135" priority="3248">
      <formula>AND($R$744,$S$744)</formula>
    </cfRule>
  </conditionalFormatting>
  <conditionalFormatting sqref="W744">
    <cfRule type="expression" dxfId="2134" priority="3247">
      <formula>AND(IF($R$744,$W$744,TRUE),LEN(TRIM($W$744))&gt;0)</formula>
    </cfRule>
  </conditionalFormatting>
  <conditionalFormatting sqref="W744">
    <cfRule type="expression" dxfId="2133" priority="3246">
      <formula>OR($S$744 = FALSE, AND($P$744 = FALSE, ReportType &lt;&gt; "Final"), AND($Q$744 = FALSE, ReportType &lt;&gt; "Rough"))</formula>
    </cfRule>
  </conditionalFormatting>
  <conditionalFormatting sqref="W744">
    <cfRule type="expression" dxfId="2132" priority="3245">
      <formula>OR($T$744 = TRUE, AND($W$744 = TRUE, $S$744 = FALSE))</formula>
    </cfRule>
  </conditionalFormatting>
  <conditionalFormatting sqref="W824">
    <cfRule type="expression" dxfId="2131" priority="3244">
      <formula>AND($R$824,$S$824)</formula>
    </cfRule>
  </conditionalFormatting>
  <conditionalFormatting sqref="W824">
    <cfRule type="expression" dxfId="2130" priority="3243">
      <formula>AND(IF($R$824,$W$824,TRUE),LEN(TRIM($W$824))&gt;0)</formula>
    </cfRule>
  </conditionalFormatting>
  <conditionalFormatting sqref="W824">
    <cfRule type="expression" dxfId="2129" priority="3242">
      <formula>OR($S$824 = FALSE, AND($P$824 = FALSE, ReportType &lt;&gt; "Final"), AND($Q$824 = FALSE, ReportType &lt;&gt; "Rough"))</formula>
    </cfRule>
  </conditionalFormatting>
  <conditionalFormatting sqref="W824">
    <cfRule type="expression" dxfId="2128" priority="3241">
      <formula>OR($T$824 = TRUE, AND($W$824 = TRUE, $S$824 = FALSE))</formula>
    </cfRule>
  </conditionalFormatting>
  <conditionalFormatting sqref="W825">
    <cfRule type="expression" dxfId="2127" priority="3240">
      <formula>AND($R$825,$S$825)</formula>
    </cfRule>
  </conditionalFormatting>
  <conditionalFormatting sqref="W825">
    <cfRule type="expression" dxfId="2126" priority="3239">
      <formula>AND(IF($R$825,$W$825,TRUE),LEN(TRIM($W$825))&gt;0)</formula>
    </cfRule>
  </conditionalFormatting>
  <conditionalFormatting sqref="W825">
    <cfRule type="expression" dxfId="2125" priority="3238">
      <formula>OR($S$825 = FALSE, AND($P$825 = FALSE, ReportType &lt;&gt; "Final"), AND($Q$825 = FALSE, ReportType &lt;&gt; "Rough"))</formula>
    </cfRule>
  </conditionalFormatting>
  <conditionalFormatting sqref="W825">
    <cfRule type="expression" dxfId="2124" priority="3237">
      <formula>OR($T$825 = TRUE, AND($W$825 = TRUE, $S$825 = FALSE))</formula>
    </cfRule>
  </conditionalFormatting>
  <conditionalFormatting sqref="W829">
    <cfRule type="expression" dxfId="2123" priority="3236">
      <formula>AND($R$829,$S$829)</formula>
    </cfRule>
  </conditionalFormatting>
  <conditionalFormatting sqref="W829">
    <cfRule type="expression" dxfId="2122" priority="3235">
      <formula>AND(IF($R$829,$W$829,TRUE),LEN(TRIM($W$829))&gt;0)</formula>
    </cfRule>
  </conditionalFormatting>
  <conditionalFormatting sqref="W829">
    <cfRule type="expression" dxfId="2121" priority="3234">
      <formula>OR($S$829 = FALSE, AND($P$829 = FALSE, ReportType &lt;&gt; "Final"), AND($Q$829 = FALSE, ReportType &lt;&gt; "Rough"))</formula>
    </cfRule>
  </conditionalFormatting>
  <conditionalFormatting sqref="W829">
    <cfRule type="expression" dxfId="2120" priority="3233">
      <formula>OR($T$829 = TRUE, AND($W$829 = TRUE, $S$829 = FALSE))</formula>
    </cfRule>
  </conditionalFormatting>
  <conditionalFormatting sqref="W827">
    <cfRule type="expression" dxfId="2119" priority="3232">
      <formula>AND($R$827,$S$827)</formula>
    </cfRule>
  </conditionalFormatting>
  <conditionalFormatting sqref="W827">
    <cfRule type="expression" dxfId="2118" priority="3231">
      <formula>AND(IF($R$827,$W$827,TRUE),LEN(TRIM($W$827))&gt;0)</formula>
    </cfRule>
  </conditionalFormatting>
  <conditionalFormatting sqref="W827">
    <cfRule type="expression" dxfId="2117" priority="3230">
      <formula>OR($S$827 = FALSE, AND($P$827 = FALSE, ReportType &lt;&gt; "Final"), AND($Q$827 = FALSE, ReportType &lt;&gt; "Rough"))</formula>
    </cfRule>
  </conditionalFormatting>
  <conditionalFormatting sqref="W827">
    <cfRule type="expression" dxfId="2116" priority="3229">
      <formula>OR($T$827 = TRUE, AND($W$827 = TRUE, $S$827 = FALSE))</formula>
    </cfRule>
  </conditionalFormatting>
  <conditionalFormatting sqref="W831">
    <cfRule type="expression" dxfId="2115" priority="3228">
      <formula>AND($R$831,$S$831)</formula>
    </cfRule>
  </conditionalFormatting>
  <conditionalFormatting sqref="W831">
    <cfRule type="expression" dxfId="2114" priority="3227">
      <formula>AND(IF($R$831,$W$831,TRUE),LEN(TRIM($W$831))&gt;0)</formula>
    </cfRule>
  </conditionalFormatting>
  <conditionalFormatting sqref="W831">
    <cfRule type="expression" dxfId="2113" priority="3226">
      <formula>OR($S$831 = FALSE, AND($P$831 = FALSE, ReportType &lt;&gt; "Final"), AND($Q$831 = FALSE, ReportType &lt;&gt; "Rough"))</formula>
    </cfRule>
  </conditionalFormatting>
  <conditionalFormatting sqref="W831">
    <cfRule type="expression" dxfId="2112" priority="3225">
      <formula>OR($T$831 = TRUE, AND($W$831 = TRUE, $S$831 = FALSE))</formula>
    </cfRule>
  </conditionalFormatting>
  <conditionalFormatting sqref="W833">
    <cfRule type="expression" dxfId="2111" priority="3224">
      <formula>AND($R$833,$S$833)</formula>
    </cfRule>
  </conditionalFormatting>
  <conditionalFormatting sqref="W833">
    <cfRule type="expression" dxfId="2110" priority="3223">
      <formula>AND(IF($R$833,$W$833,TRUE),LEN(TRIM($W$833))&gt;0)</formula>
    </cfRule>
  </conditionalFormatting>
  <conditionalFormatting sqref="W833">
    <cfRule type="expression" dxfId="2109" priority="3222">
      <formula>OR($S$833 = FALSE, AND($P$833 = FALSE, ReportType &lt;&gt; "Final"), AND($Q$833 = FALSE, ReportType &lt;&gt; "Rough"))</formula>
    </cfRule>
  </conditionalFormatting>
  <conditionalFormatting sqref="W833">
    <cfRule type="expression" dxfId="2108" priority="3221">
      <formula>OR($T$833 = TRUE, AND($W$833 = TRUE, $S$833 = FALSE))</formula>
    </cfRule>
  </conditionalFormatting>
  <conditionalFormatting sqref="W835">
    <cfRule type="expression" dxfId="2107" priority="3220">
      <formula>AND($R$835,$S$835)</formula>
    </cfRule>
  </conditionalFormatting>
  <conditionalFormatting sqref="W835">
    <cfRule type="expression" dxfId="2106" priority="3219">
      <formula>AND(IF($R$835,$W$835,TRUE),LEN(TRIM($W$835))&gt;0)</formula>
    </cfRule>
  </conditionalFormatting>
  <conditionalFormatting sqref="W835">
    <cfRule type="expression" dxfId="2105" priority="3218">
      <formula>OR($S$835 = FALSE, AND($P$835 = FALSE, ReportType &lt;&gt; "Final"), AND($Q$835 = FALSE, ReportType &lt;&gt; "Rough"))</formula>
    </cfRule>
  </conditionalFormatting>
  <conditionalFormatting sqref="W835">
    <cfRule type="expression" dxfId="2104" priority="3217">
      <formula>OR($T$835 = TRUE, AND($W$835 = TRUE, $S$835 = FALSE))</formula>
    </cfRule>
  </conditionalFormatting>
  <conditionalFormatting sqref="W839">
    <cfRule type="expression" dxfId="2103" priority="3216">
      <formula>AND($R$839,$S$839)</formula>
    </cfRule>
  </conditionalFormatting>
  <conditionalFormatting sqref="W839">
    <cfRule type="expression" dxfId="2102" priority="3215">
      <formula>AND(IF($R$839,$W$839,TRUE),LEN(TRIM($W$839))&gt;0)</formula>
    </cfRule>
  </conditionalFormatting>
  <conditionalFormatting sqref="W839">
    <cfRule type="expression" dxfId="2101" priority="3214">
      <formula>OR($S$839 = FALSE, AND($P$839 = FALSE, ReportType &lt;&gt; "Final"), AND($Q$839 = FALSE, ReportType &lt;&gt; "Rough"))</formula>
    </cfRule>
  </conditionalFormatting>
  <conditionalFormatting sqref="W839">
    <cfRule type="expression" dxfId="2100" priority="3213">
      <formula>OR($T$839 = TRUE, AND($W$839 = TRUE, $S$839 = FALSE))</formula>
    </cfRule>
  </conditionalFormatting>
  <conditionalFormatting sqref="W844">
    <cfRule type="expression" dxfId="2099" priority="3212">
      <formula>AND($R$844,$S$844)</formula>
    </cfRule>
  </conditionalFormatting>
  <conditionalFormatting sqref="W844">
    <cfRule type="expression" dxfId="2098" priority="3211">
      <formula>AND(IF($R$844,$W$844,TRUE),LEN(TRIM($W$844))&gt;0)</formula>
    </cfRule>
  </conditionalFormatting>
  <conditionalFormatting sqref="W844">
    <cfRule type="expression" dxfId="2097" priority="3210">
      <formula>OR($S$844 = FALSE, AND($P$844 = FALSE, ReportType &lt;&gt; "Final"), AND($Q$844 = FALSE, ReportType &lt;&gt; "Rough"))</formula>
    </cfRule>
  </conditionalFormatting>
  <conditionalFormatting sqref="W844">
    <cfRule type="expression" dxfId="2096" priority="3209">
      <formula>OR($T$844 = TRUE, AND($W$844 = TRUE, $S$844 = FALSE))</formula>
    </cfRule>
  </conditionalFormatting>
  <conditionalFormatting sqref="W848">
    <cfRule type="expression" dxfId="2095" priority="3208">
      <formula>AND($R$848,$S$848)</formula>
    </cfRule>
  </conditionalFormatting>
  <conditionalFormatting sqref="W848">
    <cfRule type="expression" dxfId="2094" priority="3207">
      <formula>AND(IF($R$848,$W$848,TRUE),LEN(TRIM($W$848))&gt;0)</formula>
    </cfRule>
  </conditionalFormatting>
  <conditionalFormatting sqref="W848">
    <cfRule type="expression" dxfId="2093" priority="3206">
      <formula>OR($S$848 = FALSE, AND($P$848 = FALSE, ReportType &lt;&gt; "Final"), AND($Q$848 = FALSE, ReportType &lt;&gt; "Rough"))</formula>
    </cfRule>
  </conditionalFormatting>
  <conditionalFormatting sqref="W848">
    <cfRule type="expression" dxfId="2092" priority="3205">
      <formula>OR($T$848 = TRUE, AND($W$848 = TRUE, $S$848 = FALSE))</formula>
    </cfRule>
  </conditionalFormatting>
  <conditionalFormatting sqref="W850">
    <cfRule type="expression" dxfId="2091" priority="3204">
      <formula>AND($R$850,$S$850)</formula>
    </cfRule>
  </conditionalFormatting>
  <conditionalFormatting sqref="W850">
    <cfRule type="expression" dxfId="2090" priority="3203">
      <formula>AND(IF($R$850,$W$850,TRUE),LEN(TRIM($W$850))&gt;0)</formula>
    </cfRule>
  </conditionalFormatting>
  <conditionalFormatting sqref="W850">
    <cfRule type="expression" dxfId="2089" priority="3202">
      <formula>OR($S$850 = FALSE, AND($P$850 = FALSE, ReportType &lt;&gt; "Final"), AND($Q$850 = FALSE, ReportType &lt;&gt; "Rough"))</formula>
    </cfRule>
  </conditionalFormatting>
  <conditionalFormatting sqref="W850">
    <cfRule type="expression" dxfId="2088" priority="3201">
      <formula>OR($T$850 = TRUE, AND($W$850 = TRUE, $S$850 = FALSE))</formula>
    </cfRule>
  </conditionalFormatting>
  <conditionalFormatting sqref="W852">
    <cfRule type="expression" dxfId="2087" priority="3200">
      <formula>AND($R$852,$S$852)</formula>
    </cfRule>
  </conditionalFormatting>
  <conditionalFormatting sqref="W852">
    <cfRule type="expression" dxfId="2086" priority="3199">
      <formula>AND(IF($R$852,$W$852,TRUE),LEN(TRIM($W$852))&gt;0)</formula>
    </cfRule>
  </conditionalFormatting>
  <conditionalFormatting sqref="W852">
    <cfRule type="expression" dxfId="2085" priority="3198">
      <formula>OR($S$852 = FALSE, AND($P$852 = FALSE, ReportType &lt;&gt; "Final"), AND($Q$852 = FALSE, ReportType &lt;&gt; "Rough"))</formula>
    </cfRule>
  </conditionalFormatting>
  <conditionalFormatting sqref="W852">
    <cfRule type="expression" dxfId="2084" priority="3197">
      <formula>OR($T$852 = TRUE, AND($W$852 = TRUE, $S$852 = FALSE))</formula>
    </cfRule>
  </conditionalFormatting>
  <conditionalFormatting sqref="W853">
    <cfRule type="expression" dxfId="2083" priority="3196">
      <formula>AND($R$853,$S$853)</formula>
    </cfRule>
  </conditionalFormatting>
  <conditionalFormatting sqref="W853">
    <cfRule type="expression" dxfId="2082" priority="3195">
      <formula>AND(IF($R$853,$W$853,TRUE),LEN(TRIM($W$853))&gt;0)</formula>
    </cfRule>
  </conditionalFormatting>
  <conditionalFormatting sqref="W853">
    <cfRule type="expression" dxfId="2081" priority="3194">
      <formula>OR($S$853 = FALSE, AND($P$853 = FALSE, ReportType &lt;&gt; "Final"), AND($Q$853 = FALSE, ReportType &lt;&gt; "Rough"))</formula>
    </cfRule>
  </conditionalFormatting>
  <conditionalFormatting sqref="W853">
    <cfRule type="expression" dxfId="2080" priority="3193">
      <formula>OR($T$853 = TRUE, AND($W$853 = TRUE, $S$853 = FALSE))</formula>
    </cfRule>
  </conditionalFormatting>
  <conditionalFormatting sqref="W854">
    <cfRule type="expression" dxfId="2079" priority="3192">
      <formula>AND($R$854,$S$854)</formula>
    </cfRule>
  </conditionalFormatting>
  <conditionalFormatting sqref="W854">
    <cfRule type="expression" dxfId="2078" priority="3191">
      <formula>AND(IF($R$854,$W$854,TRUE),LEN(TRIM($W$854))&gt;0)</formula>
    </cfRule>
  </conditionalFormatting>
  <conditionalFormatting sqref="W854">
    <cfRule type="expression" dxfId="2077" priority="3190">
      <formula>OR($S$854 = FALSE, AND($P$854 = FALSE, ReportType &lt;&gt; "Final"), AND($Q$854 = FALSE, ReportType &lt;&gt; "Rough"))</formula>
    </cfRule>
  </conditionalFormatting>
  <conditionalFormatting sqref="W854">
    <cfRule type="expression" dxfId="2076" priority="3189">
      <formula>OR($T$854 = TRUE, AND($W$854 = TRUE, $S$854 = FALSE))</formula>
    </cfRule>
  </conditionalFormatting>
  <conditionalFormatting sqref="W858">
    <cfRule type="expression" dxfId="2075" priority="3188">
      <formula>AND($R$858,$S$858)</formula>
    </cfRule>
  </conditionalFormatting>
  <conditionalFormatting sqref="W858">
    <cfRule type="expression" dxfId="2074" priority="3187">
      <formula>AND(IF($R$858,$W$858,TRUE),LEN(TRIM($W$858))&gt;0)</formula>
    </cfRule>
  </conditionalFormatting>
  <conditionalFormatting sqref="W858">
    <cfRule type="expression" dxfId="2073" priority="3186">
      <formula>OR($S$858 = FALSE, AND($P$858 = FALSE, ReportType &lt;&gt; "Final"), AND($Q$858 = FALSE, ReportType &lt;&gt; "Rough"))</formula>
    </cfRule>
  </conditionalFormatting>
  <conditionalFormatting sqref="W858">
    <cfRule type="expression" dxfId="2072" priority="3185">
      <formula>OR($T$858 = TRUE, AND($W$858 = TRUE, $S$858 = FALSE))</formula>
    </cfRule>
  </conditionalFormatting>
  <conditionalFormatting sqref="W1055">
    <cfRule type="expression" dxfId="2071" priority="3128">
      <formula>AND(R1055,S1055)</formula>
    </cfRule>
  </conditionalFormatting>
  <conditionalFormatting sqref="W1055">
    <cfRule type="expression" dxfId="2070" priority="3127">
      <formula>NOT(ISBLANK(W1055))</formula>
    </cfRule>
  </conditionalFormatting>
  <conditionalFormatting sqref="W1055">
    <cfRule type="expression" dxfId="2069" priority="3126">
      <formula>OR(S1055 = FALSE, AND(P1055 = FALSE, ReportType &lt;&gt; "Final"), AND(Q1055 = FALSE, ReportType &lt;&gt; "Rough"))</formula>
    </cfRule>
  </conditionalFormatting>
  <conditionalFormatting sqref="W1055">
    <cfRule type="expression" dxfId="2068" priority="3125">
      <formula>OR(T1055 = TRUE, AND(W1055 = TRUE, S1055 = FALSE))</formula>
    </cfRule>
  </conditionalFormatting>
  <conditionalFormatting sqref="W1092">
    <cfRule type="expression" dxfId="2067" priority="3080">
      <formula>AND(R1092,S1092)</formula>
    </cfRule>
  </conditionalFormatting>
  <conditionalFormatting sqref="W1092">
    <cfRule type="expression" dxfId="2066" priority="3079">
      <formula>NOT(ISBLANK(W1092))</formula>
    </cfRule>
  </conditionalFormatting>
  <conditionalFormatting sqref="W1092">
    <cfRule type="expression" dxfId="2065" priority="3078">
      <formula>OR(S1092 = FALSE, AND(P1092 = FALSE, ReportType &lt;&gt; "Final"), AND(Q1092 = FALSE, ReportType &lt;&gt; "Rough"))</formula>
    </cfRule>
  </conditionalFormatting>
  <conditionalFormatting sqref="W1092">
    <cfRule type="expression" dxfId="2064" priority="3077">
      <formula>OR(T1092 = TRUE, AND(W1092 = TRUE, S1092 = FALSE))</formula>
    </cfRule>
  </conditionalFormatting>
  <conditionalFormatting sqref="W1098">
    <cfRule type="expression" dxfId="2063" priority="3076">
      <formula>AND(R1098,S1098)</formula>
    </cfRule>
  </conditionalFormatting>
  <conditionalFormatting sqref="W1098">
    <cfRule type="expression" dxfId="2062" priority="3075">
      <formula>NOT(ISBLANK(W1098))</formula>
    </cfRule>
  </conditionalFormatting>
  <conditionalFormatting sqref="W1098">
    <cfRule type="expression" dxfId="2061" priority="3074">
      <formula>OR(S1098 = FALSE, AND(P1098 = FALSE, ReportType &lt;&gt; "Final"), AND(Q1098 = FALSE, ReportType &lt;&gt; "Rough"))</formula>
    </cfRule>
  </conditionalFormatting>
  <conditionalFormatting sqref="W1098">
    <cfRule type="expression" dxfId="2060" priority="3073">
      <formula>OR(T1098 = TRUE, AND(W1098 = TRUE, S1098 = FALSE))</formula>
    </cfRule>
  </conditionalFormatting>
  <conditionalFormatting sqref="W1583">
    <cfRule type="expression" dxfId="2059" priority="2996">
      <formula>AND(R1583,S1583)</formula>
    </cfRule>
  </conditionalFormatting>
  <conditionalFormatting sqref="W1583">
    <cfRule type="expression" dxfId="2058" priority="2995">
      <formula>AND(S1583,LEN(TRIM(W1583))&gt;0)</formula>
    </cfRule>
  </conditionalFormatting>
  <conditionalFormatting sqref="W1583">
    <cfRule type="expression" dxfId="2057" priority="2994">
      <formula>OR(S1583 = FALSE, AND(P1583 = FALSE, ReportType &lt;&gt; "Final"), AND(Q1583 = FALSE, ReportType &lt;&gt; "Rough"))</formula>
    </cfRule>
  </conditionalFormatting>
  <conditionalFormatting sqref="W1583">
    <cfRule type="expression" dxfId="2056" priority="2993">
      <formula>OR(T1583 = TRUE, AND(W1583 &gt; 0, S1583 = FALSE))</formula>
    </cfRule>
  </conditionalFormatting>
  <conditionalFormatting sqref="W1417">
    <cfRule type="expression" dxfId="2055" priority="2972">
      <formula>AND(R1417,S1417)</formula>
    </cfRule>
  </conditionalFormatting>
  <conditionalFormatting sqref="W1417">
    <cfRule type="expression" dxfId="2054" priority="2971">
      <formula>AND(IF(S1417,W1417,TRUE),LEN(TRIM(W1417))&gt;0)</formula>
    </cfRule>
  </conditionalFormatting>
  <conditionalFormatting sqref="W1417">
    <cfRule type="expression" dxfId="2053" priority="2970">
      <formula>OR(S1417 = FALSE, AND(P1417 = FALSE, ReportType &lt;&gt; "Final"), AND(Q1417 = FALSE, ReportType &lt;&gt; "Rough"))</formula>
    </cfRule>
  </conditionalFormatting>
  <conditionalFormatting sqref="W1417">
    <cfRule type="expression" dxfId="2052" priority="2969">
      <formula>OR(T1417 = TRUE, AND(W1417 = TRUE, S1417 = FALSE))</formula>
    </cfRule>
  </conditionalFormatting>
  <conditionalFormatting sqref="W1454">
    <cfRule type="expression" dxfId="2051" priority="2822">
      <formula>AND(R1454,S1454)</formula>
    </cfRule>
  </conditionalFormatting>
  <conditionalFormatting sqref="W1454">
    <cfRule type="expression" dxfId="2050" priority="2821">
      <formula>AND(S1454,LEN(TRIM(W1454))&gt;0)</formula>
    </cfRule>
  </conditionalFormatting>
  <conditionalFormatting sqref="W1454">
    <cfRule type="expression" dxfId="2049" priority="2820">
      <formula>OR(S1454 = FALSE, AND(P1454 = FALSE, ReportType &lt;&gt; "Final"), AND(Q1454 = FALSE, ReportType &lt;&gt; "Rough"))</formula>
    </cfRule>
  </conditionalFormatting>
  <conditionalFormatting sqref="W1454">
    <cfRule type="expression" dxfId="2048" priority="2819">
      <formula>OR(T1454 = TRUE, AND(W1454 &gt; 0, S1454 = FALSE))</formula>
    </cfRule>
  </conditionalFormatting>
  <conditionalFormatting sqref="W1301">
    <cfRule type="expression" dxfId="2047" priority="2814">
      <formula>AND(R1301,S1301)</formula>
    </cfRule>
  </conditionalFormatting>
  <conditionalFormatting sqref="W1301">
    <cfRule type="expression" dxfId="2046" priority="2813">
      <formula>AND(R1301,LEN(TRIM(W1301))&gt;0)</formula>
    </cfRule>
  </conditionalFormatting>
  <conditionalFormatting sqref="W1301">
    <cfRule type="expression" dxfId="2045" priority="2812">
      <formula>OR(S1301 = FALSE, AND(P1301 = FALSE, ReportType &lt;&gt; "Final"), AND(Q1301 = FALSE, ReportType &lt;&gt; "Rough"))</formula>
    </cfRule>
  </conditionalFormatting>
  <conditionalFormatting sqref="W1301">
    <cfRule type="expression" dxfId="2044" priority="2811">
      <formula>OR(T1301 = TRUE, AND(W1301 &gt; 0, S1301 = FALSE))</formula>
    </cfRule>
  </conditionalFormatting>
  <conditionalFormatting sqref="W975">
    <cfRule type="expression" dxfId="2043" priority="2766">
      <formula>AND(R975,S975)</formula>
    </cfRule>
  </conditionalFormatting>
  <conditionalFormatting sqref="W975">
    <cfRule type="expression" dxfId="2042" priority="2765">
      <formula>NOT(ISBLANK(W975))</formula>
    </cfRule>
  </conditionalFormatting>
  <conditionalFormatting sqref="W975">
    <cfRule type="expression" dxfId="2041" priority="2764">
      <formula>OR(S975 = FALSE, AND(P975 = FALSE, ReportType &lt;&gt; "Final"), AND(Q975 = FALSE, ReportType &lt;&gt; "Rough"))</formula>
    </cfRule>
  </conditionalFormatting>
  <conditionalFormatting sqref="W975">
    <cfRule type="expression" dxfId="2040" priority="2763">
      <formula>OR(T975 = TRUE, AND(W975 = TRUE, S975 = FALSE))</formula>
    </cfRule>
  </conditionalFormatting>
  <conditionalFormatting sqref="W1493">
    <cfRule type="expression" dxfId="2039" priority="2762">
      <formula>AND(R1493,S1493)</formula>
    </cfRule>
  </conditionalFormatting>
  <conditionalFormatting sqref="W1493">
    <cfRule type="expression" dxfId="2038" priority="2761">
      <formula>NOT(ISBLANK(W1493))</formula>
    </cfRule>
  </conditionalFormatting>
  <conditionalFormatting sqref="W1493">
    <cfRule type="expression" dxfId="2037" priority="2760">
      <formula>OR(S1493 = FALSE, AND(P1493 = FALSE, ReportType &lt;&gt; "Final"), AND(Q1493 = FALSE, ReportType &lt;&gt; "Rough"))</formula>
    </cfRule>
  </conditionalFormatting>
  <conditionalFormatting sqref="W1493">
    <cfRule type="expression" dxfId="2036" priority="2759">
      <formula>OR(T1493 = TRUE, AND(W1493 = TRUE, S1493 = FALSE))</formula>
    </cfRule>
  </conditionalFormatting>
  <conditionalFormatting sqref="W1161">
    <cfRule type="expression" dxfId="2035" priority="2729">
      <formula>AND(R1161,S1161)</formula>
    </cfRule>
  </conditionalFormatting>
  <conditionalFormatting sqref="W1161">
    <cfRule type="expression" dxfId="2034" priority="2728">
      <formula>NOT(ISBLANK(W1161))</formula>
    </cfRule>
  </conditionalFormatting>
  <conditionalFormatting sqref="W1161">
    <cfRule type="expression" dxfId="2033" priority="2727">
      <formula>OR(S1161 = FALSE, AND(P1161 = FALSE, ReportType &lt;&gt; "Final"), AND(Q1161 = FALSE, ReportType &lt;&gt; "Rough"))</formula>
    </cfRule>
  </conditionalFormatting>
  <conditionalFormatting sqref="W1161">
    <cfRule type="expression" dxfId="2032" priority="2726">
      <formula>OR(T1161 = TRUE, AND(W1161 = TRUE, S1161 = FALSE))</formula>
    </cfRule>
  </conditionalFormatting>
  <conditionalFormatting sqref="W1167">
    <cfRule type="expression" dxfId="2031" priority="2725">
      <formula>AND(R1167,S1167)</formula>
    </cfRule>
  </conditionalFormatting>
  <conditionalFormatting sqref="W1167">
    <cfRule type="expression" dxfId="2030" priority="2724">
      <formula>NOT(ISBLANK(W1167))</formula>
    </cfRule>
  </conditionalFormatting>
  <conditionalFormatting sqref="W1167">
    <cfRule type="expression" dxfId="2029" priority="2723">
      <formula>OR(S1167 = FALSE, AND(P1167 = FALSE, ReportType &lt;&gt; "Final"), AND(Q1167 = FALSE, ReportType &lt;&gt; "Rough"))</formula>
    </cfRule>
  </conditionalFormatting>
  <conditionalFormatting sqref="W1167">
    <cfRule type="expression" dxfId="2028" priority="2722">
      <formula>OR(T1167 = TRUE, AND(W1167 = TRUE, S1167 = FALSE))</formula>
    </cfRule>
  </conditionalFormatting>
  <conditionalFormatting sqref="W1170">
    <cfRule type="expression" dxfId="2027" priority="2721">
      <formula>AND(R1170,S1170)</formula>
    </cfRule>
  </conditionalFormatting>
  <conditionalFormatting sqref="W1170">
    <cfRule type="expression" dxfId="2026" priority="2720">
      <formula>NOT(ISBLANK(W1170))</formula>
    </cfRule>
  </conditionalFormatting>
  <conditionalFormatting sqref="W1170">
    <cfRule type="expression" dxfId="2025" priority="2719">
      <formula>OR(S1170 = FALSE, AND(P1170 = FALSE, ReportType &lt;&gt; "Final"), AND(Q1170 = FALSE, ReportType &lt;&gt; "Rough"))</formula>
    </cfRule>
  </conditionalFormatting>
  <conditionalFormatting sqref="W1170">
    <cfRule type="expression" dxfId="2024" priority="2718">
      <formula>OR(T1170 = TRUE, AND(W1170 = TRUE, S1170 = FALSE))</formula>
    </cfRule>
  </conditionalFormatting>
  <conditionalFormatting sqref="W1175">
    <cfRule type="expression" dxfId="2023" priority="2717">
      <formula>AND(R1175,S1175)</formula>
    </cfRule>
  </conditionalFormatting>
  <conditionalFormatting sqref="W1175">
    <cfRule type="expression" dxfId="2022" priority="2716">
      <formula>NOT(ISBLANK(W1175))</formula>
    </cfRule>
  </conditionalFormatting>
  <conditionalFormatting sqref="W1175">
    <cfRule type="expression" dxfId="2021" priority="2715">
      <formula>OR(S1175 = FALSE, AND(P1175 = FALSE, ReportType &lt;&gt; "Final"), AND(Q1175 = FALSE, ReportType &lt;&gt; "Rough"))</formula>
    </cfRule>
  </conditionalFormatting>
  <conditionalFormatting sqref="W1175">
    <cfRule type="expression" dxfId="2020" priority="2714">
      <formula>OR(T1175 = TRUE, AND(W1175 = TRUE, S1175 = FALSE))</formula>
    </cfRule>
  </conditionalFormatting>
  <conditionalFormatting sqref="W1181">
    <cfRule type="expression" dxfId="2019" priority="2713">
      <formula>AND(R1181,S1181)</formula>
    </cfRule>
  </conditionalFormatting>
  <conditionalFormatting sqref="W1181">
    <cfRule type="expression" dxfId="2018" priority="2712">
      <formula>NOT(ISBLANK(W1181))</formula>
    </cfRule>
  </conditionalFormatting>
  <conditionalFormatting sqref="W1181">
    <cfRule type="expression" dxfId="2017" priority="2711">
      <formula>OR(S1181 = FALSE, AND(P1181 = FALSE, ReportType &lt;&gt; "Final"), AND(Q1181 = FALSE, ReportType &lt;&gt; "Rough"))</formula>
    </cfRule>
  </conditionalFormatting>
  <conditionalFormatting sqref="W1181">
    <cfRule type="expression" dxfId="2016" priority="2710">
      <formula>OR(T1181 = TRUE, AND(W1181 = TRUE, S1181 = FALSE))</formula>
    </cfRule>
  </conditionalFormatting>
  <conditionalFormatting sqref="W1188">
    <cfRule type="expression" dxfId="2015" priority="2709">
      <formula>AND(R1188,S1188)</formula>
    </cfRule>
  </conditionalFormatting>
  <conditionalFormatting sqref="W1188">
    <cfRule type="expression" dxfId="2014" priority="2708">
      <formula>NOT(ISBLANK(W1188))</formula>
    </cfRule>
  </conditionalFormatting>
  <conditionalFormatting sqref="W1188">
    <cfRule type="expression" dxfId="2013" priority="2707">
      <formula>OR(S1188 = FALSE, AND(P1188 = FALSE, ReportType &lt;&gt; "Final"), AND(Q1188 = FALSE, ReportType &lt;&gt; "Rough"))</formula>
    </cfRule>
  </conditionalFormatting>
  <conditionalFormatting sqref="W1188">
    <cfRule type="expression" dxfId="2012" priority="2706">
      <formula>OR(T1188 = TRUE, AND(W1188 = TRUE, S1188 = FALSE))</formula>
    </cfRule>
  </conditionalFormatting>
  <conditionalFormatting sqref="W1193">
    <cfRule type="expression" dxfId="2011" priority="2705">
      <formula>AND(R1193,S1193)</formula>
    </cfRule>
  </conditionalFormatting>
  <conditionalFormatting sqref="W1193">
    <cfRule type="expression" dxfId="2010" priority="2704">
      <formula>NOT(ISBLANK(W1193))</formula>
    </cfRule>
  </conditionalFormatting>
  <conditionalFormatting sqref="W1193">
    <cfRule type="expression" dxfId="2009" priority="2703">
      <formula>OR(S1193 = FALSE, AND(P1193 = FALSE, ReportType &lt;&gt; "Final"), AND(Q1193 = FALSE, ReportType &lt;&gt; "Rough"))</formula>
    </cfRule>
  </conditionalFormatting>
  <conditionalFormatting sqref="W1193">
    <cfRule type="expression" dxfId="2008" priority="2702">
      <formula>OR(T1193 = TRUE, AND(W1193 = TRUE, S1193 = FALSE))</formula>
    </cfRule>
  </conditionalFormatting>
  <conditionalFormatting sqref="W1200">
    <cfRule type="expression" dxfId="2007" priority="2701">
      <formula>AND(R1200,S1200)</formula>
    </cfRule>
  </conditionalFormatting>
  <conditionalFormatting sqref="W1200">
    <cfRule type="expression" dxfId="2006" priority="2700">
      <formula>NOT(ISBLANK(W1200))</formula>
    </cfRule>
  </conditionalFormatting>
  <conditionalFormatting sqref="W1200">
    <cfRule type="expression" dxfId="2005" priority="2699">
      <formula>OR(S1200 = FALSE, AND(P1200 = FALSE, ReportType &lt;&gt; "Final"), AND(Q1200 = FALSE, ReportType &lt;&gt; "Rough"))</formula>
    </cfRule>
  </conditionalFormatting>
  <conditionalFormatting sqref="W1200">
    <cfRule type="expression" dxfId="2004" priority="2698">
      <formula>OR(T1200 = TRUE, AND(W1200 = TRUE, S1200 = FALSE))</formula>
    </cfRule>
  </conditionalFormatting>
  <conditionalFormatting sqref="W1206">
    <cfRule type="expression" dxfId="2003" priority="2689">
      <formula>AND(R1206,S1206)</formula>
    </cfRule>
  </conditionalFormatting>
  <conditionalFormatting sqref="W1206">
    <cfRule type="expression" dxfId="2002" priority="2688">
      <formula>NOT(ISBLANK(W1206))</formula>
    </cfRule>
  </conditionalFormatting>
  <conditionalFormatting sqref="W1206">
    <cfRule type="expression" dxfId="2001" priority="2687">
      <formula>OR(S1206 = FALSE, AND(P1206 = FALSE, ReportType &lt;&gt; "Final"), AND(Q1206 = FALSE, ReportType &lt;&gt; "Rough"))</formula>
    </cfRule>
  </conditionalFormatting>
  <conditionalFormatting sqref="W1206">
    <cfRule type="expression" dxfId="2000" priority="2686">
      <formula>OR(T1206 = TRUE, AND(W1206 = TRUE, S1206 = FALSE))</formula>
    </cfRule>
  </conditionalFormatting>
  <conditionalFormatting sqref="W1213">
    <cfRule type="expression" dxfId="1999" priority="2681">
      <formula>AND(R1213,S1213)</formula>
    </cfRule>
  </conditionalFormatting>
  <conditionalFormatting sqref="W1213">
    <cfRule type="expression" dxfId="1998" priority="2680">
      <formula>NOT(ISBLANK(W1213))</formula>
    </cfRule>
  </conditionalFormatting>
  <conditionalFormatting sqref="W1213">
    <cfRule type="expression" dxfId="1997" priority="2679">
      <formula>OR(S1213 = FALSE, AND(P1213 = FALSE, ReportType &lt;&gt; "Final"), AND(Q1213 = FALSE, ReportType &lt;&gt; "Rough"))</formula>
    </cfRule>
  </conditionalFormatting>
  <conditionalFormatting sqref="W1213">
    <cfRule type="expression" dxfId="1996" priority="2678">
      <formula>OR(T1213 = TRUE, AND(W1213 = TRUE, S1213 = FALSE))</formula>
    </cfRule>
  </conditionalFormatting>
  <conditionalFormatting sqref="W882">
    <cfRule type="expression" dxfId="1995" priority="2675">
      <formula>AND($R$882,$S$882)</formula>
    </cfRule>
  </conditionalFormatting>
  <conditionalFormatting sqref="W882">
    <cfRule type="expression" dxfId="1994" priority="2674">
      <formula>AND($W$882&lt;&gt;"Not Met",LEN(TRIM($W$882))&gt;0)</formula>
    </cfRule>
  </conditionalFormatting>
  <conditionalFormatting sqref="W882">
    <cfRule type="expression" dxfId="1993" priority="2673">
      <formula>OR($S$882 = FALSE, AND($P$882 = FALSE, ReportType &lt;&gt; "Final"), AND($Q$882 = FALSE, ReportType &lt;&gt; "Rough"))</formula>
    </cfRule>
  </conditionalFormatting>
  <conditionalFormatting sqref="W882">
    <cfRule type="expression" dxfId="1992" priority="2672">
      <formula>OR($T$882 = TRUE, AND(LEN(TRIM($W$882))&gt;0, $S$882 = FALSE))</formula>
    </cfRule>
  </conditionalFormatting>
  <conditionalFormatting sqref="W898">
    <cfRule type="expression" dxfId="1991" priority="2671">
      <formula>AND($R$898,$S$898)</formula>
    </cfRule>
  </conditionalFormatting>
  <conditionalFormatting sqref="W898">
    <cfRule type="expression" dxfId="1990" priority="2670">
      <formula>AND($W$898&lt;&gt;"Not Met",LEN(TRIM($W$898))&gt;0)</formula>
    </cfRule>
  </conditionalFormatting>
  <conditionalFormatting sqref="W898">
    <cfRule type="expression" dxfId="1989" priority="2669">
      <formula>OR($S$898 = FALSE, AND($P$898 = FALSE, ReportType &lt;&gt; "Final"), AND($Q$898 = FALSE, ReportType &lt;&gt; "Rough"))</formula>
    </cfRule>
  </conditionalFormatting>
  <conditionalFormatting sqref="W898">
    <cfRule type="expression" dxfId="1988" priority="2668">
      <formula>OR($T$898 = TRUE, AND(LEN(TRIM($W$898))&gt;0, $S$898 = FALSE))</formula>
    </cfRule>
  </conditionalFormatting>
  <conditionalFormatting sqref="W933">
    <cfRule type="expression" dxfId="1987" priority="2667">
      <formula>AND($R$933,$S$933)</formula>
    </cfRule>
  </conditionalFormatting>
  <conditionalFormatting sqref="W933">
    <cfRule type="expression" dxfId="1986" priority="2666">
      <formula>AND(IF($R$933,$W$933,TRUE),LEN(TRIM($W$933))&gt;0)</formula>
    </cfRule>
  </conditionalFormatting>
  <conditionalFormatting sqref="W933">
    <cfRule type="expression" dxfId="1985" priority="2665">
      <formula>OR($S$933 = FALSE, AND($P$933 = FALSE, ReportType &lt;&gt; "Final"), AND($Q$933 = FALSE, ReportType &lt;&gt; "Rough"))</formula>
    </cfRule>
  </conditionalFormatting>
  <conditionalFormatting sqref="W933">
    <cfRule type="expression" dxfId="1984" priority="2664">
      <formula>OR($T$933 = TRUE, AND($W$933 = TRUE, $S$933 = FALSE))</formula>
    </cfRule>
  </conditionalFormatting>
  <conditionalFormatting sqref="W938">
    <cfRule type="expression" dxfId="1983" priority="2663">
      <formula>AND($R$938,$S$938)</formula>
    </cfRule>
  </conditionalFormatting>
  <conditionalFormatting sqref="W938">
    <cfRule type="expression" dxfId="1982" priority="2662">
      <formula>AND(IF($R$938,$W$938,TRUE),LEN(TRIM($W$938))&gt;0)</formula>
    </cfRule>
  </conditionalFormatting>
  <conditionalFormatting sqref="W938">
    <cfRule type="expression" dxfId="1981" priority="2661">
      <formula>OR($S$938 = FALSE, AND($P$938 = FALSE, ReportType &lt;&gt; "Final"), AND($Q$938 = FALSE, ReportType &lt;&gt; "Rough"))</formula>
    </cfRule>
  </conditionalFormatting>
  <conditionalFormatting sqref="W938">
    <cfRule type="expression" dxfId="1980" priority="2660">
      <formula>OR($T$938 = TRUE, AND($W$938 = TRUE, $S$938 = FALSE))</formula>
    </cfRule>
  </conditionalFormatting>
  <conditionalFormatting sqref="W941">
    <cfRule type="expression" dxfId="1979" priority="2659">
      <formula>AND($R$941,$S$941)</formula>
    </cfRule>
  </conditionalFormatting>
  <conditionalFormatting sqref="W941">
    <cfRule type="expression" dxfId="1978" priority="2658">
      <formula>AND($W$941&lt;&gt;"Not Met",LEN(TRIM($W$941))&gt;0)</formula>
    </cfRule>
  </conditionalFormatting>
  <conditionalFormatting sqref="W941">
    <cfRule type="expression" dxfId="1977" priority="2657">
      <formula>OR($S$941 = FALSE, AND($P$941 = FALSE, ReportType &lt;&gt; "Final"), AND($Q$941 = FALSE, ReportType &lt;&gt; "Rough"))</formula>
    </cfRule>
  </conditionalFormatting>
  <conditionalFormatting sqref="W941">
    <cfRule type="expression" dxfId="1976" priority="2656">
      <formula>OR($T$941 = TRUE, AND(LEN(TRIM($W$941))&gt;0, $S$941 = FALSE))</formula>
    </cfRule>
  </conditionalFormatting>
  <conditionalFormatting sqref="W947">
    <cfRule type="expression" dxfId="1975" priority="2655">
      <formula>AND($R$947,$S$947)</formula>
    </cfRule>
  </conditionalFormatting>
  <conditionalFormatting sqref="W947">
    <cfRule type="expression" dxfId="1974" priority="2654">
      <formula>AND(IF($R$947,$W$947,TRUE),LEN(TRIM($W$947))&gt;0)</formula>
    </cfRule>
  </conditionalFormatting>
  <conditionalFormatting sqref="W947">
    <cfRule type="expression" dxfId="1973" priority="2653">
      <formula>OR($S$947 = FALSE, AND($P$947 = FALSE, ReportType &lt;&gt; "Final"), AND($Q$947 = FALSE, ReportType &lt;&gt; "Rough"))</formula>
    </cfRule>
  </conditionalFormatting>
  <conditionalFormatting sqref="W947">
    <cfRule type="expression" dxfId="1972" priority="2652">
      <formula>OR($T$947 = TRUE, AND($W$947 = TRUE, $S$947 = FALSE))</formula>
    </cfRule>
  </conditionalFormatting>
  <conditionalFormatting sqref="W950">
    <cfRule type="expression" dxfId="1971" priority="2651">
      <formula>AND($R$950,$S$950)</formula>
    </cfRule>
  </conditionalFormatting>
  <conditionalFormatting sqref="W950">
    <cfRule type="expression" dxfId="1970" priority="2650">
      <formula>AND(IF($R$950,$W$950,TRUE),LEN(TRIM($W$950))&gt;0)</formula>
    </cfRule>
  </conditionalFormatting>
  <conditionalFormatting sqref="W950">
    <cfRule type="expression" dxfId="1969" priority="2649">
      <formula>OR($S$950 = FALSE, AND($P$950 = FALSE, ReportType &lt;&gt; "Final"), AND($Q$950 = FALSE, ReportType &lt;&gt; "Rough"))</formula>
    </cfRule>
  </conditionalFormatting>
  <conditionalFormatting sqref="W950">
    <cfRule type="expression" dxfId="1968" priority="2648">
      <formula>OR($T$950 = TRUE, AND($W$950 = TRUE, $S$950 = FALSE))</formula>
    </cfRule>
  </conditionalFormatting>
  <conditionalFormatting sqref="W951">
    <cfRule type="expression" dxfId="1967" priority="2647">
      <formula>AND($R$951,$S$951)</formula>
    </cfRule>
  </conditionalFormatting>
  <conditionalFormatting sqref="W951">
    <cfRule type="expression" dxfId="1966" priority="2646">
      <formula>AND(IF($R$951,$W$951,TRUE),LEN(TRIM($W$951))&gt;0)</formula>
    </cfRule>
  </conditionalFormatting>
  <conditionalFormatting sqref="W951">
    <cfRule type="expression" dxfId="1965" priority="2645">
      <formula>OR($S$951 = FALSE, AND($P$951 = FALSE, ReportType &lt;&gt; "Final"), AND($Q$951 = FALSE, ReportType &lt;&gt; "Rough"))</formula>
    </cfRule>
  </conditionalFormatting>
  <conditionalFormatting sqref="W951">
    <cfRule type="expression" dxfId="1964" priority="2644">
      <formula>OR($T$951 = TRUE, AND($W$951 = TRUE, $S$951 = FALSE))</formula>
    </cfRule>
  </conditionalFormatting>
  <conditionalFormatting sqref="W955">
    <cfRule type="expression" dxfId="1963" priority="2643">
      <formula>AND($R$955,$S$955)</formula>
    </cfRule>
  </conditionalFormatting>
  <conditionalFormatting sqref="W955">
    <cfRule type="expression" dxfId="1962" priority="2642">
      <formula>AND(IF($R$955,$W$955,TRUE),LEN(TRIM($W$955))&gt;0)</formula>
    </cfRule>
  </conditionalFormatting>
  <conditionalFormatting sqref="W955">
    <cfRule type="expression" dxfId="1961" priority="2641">
      <formula>OR($S$955 = FALSE, AND($P$955 = FALSE, ReportType &lt;&gt; "Final"), AND($Q$955 = FALSE, ReportType &lt;&gt; "Rough"))</formula>
    </cfRule>
  </conditionalFormatting>
  <conditionalFormatting sqref="W955">
    <cfRule type="expression" dxfId="1960" priority="2640">
      <formula>OR($T$955 = TRUE, AND($W$955 = TRUE, $S$955 = FALSE))</formula>
    </cfRule>
  </conditionalFormatting>
  <conditionalFormatting sqref="W991">
    <cfRule type="expression" dxfId="1959" priority="2635">
      <formula>AND($R$991,$S$991)</formula>
    </cfRule>
  </conditionalFormatting>
  <conditionalFormatting sqref="W991">
    <cfRule type="expression" dxfId="1958" priority="2634">
      <formula>AND(IF($R$991,$W$991,TRUE),LEN(TRIM($W$991))&gt;0)</formula>
    </cfRule>
  </conditionalFormatting>
  <conditionalFormatting sqref="W991">
    <cfRule type="expression" dxfId="1957" priority="2633">
      <formula>OR($S$991 = FALSE, AND($P$991 = FALSE, ReportType &lt;&gt; "Final"), AND($Q$991 = FALSE, ReportType &lt;&gt; "Rough"))</formula>
    </cfRule>
  </conditionalFormatting>
  <conditionalFormatting sqref="W991">
    <cfRule type="expression" dxfId="1956" priority="2632">
      <formula>OR($T$991 = TRUE, AND($W$991 = TRUE, $S$991 = FALSE))</formula>
    </cfRule>
  </conditionalFormatting>
  <conditionalFormatting sqref="W994">
    <cfRule type="expression" dxfId="1955" priority="2631">
      <formula>AND($R$994,$S$994)</formula>
    </cfRule>
  </conditionalFormatting>
  <conditionalFormatting sqref="W994">
    <cfRule type="expression" dxfId="1954" priority="2630">
      <formula>AND(IF($R$994,$W$994,TRUE),LEN(TRIM($W$994))&gt;0)</formula>
    </cfRule>
  </conditionalFormatting>
  <conditionalFormatting sqref="W994">
    <cfRule type="expression" dxfId="1953" priority="2629">
      <formula>OR($S$994 = FALSE, AND($P$994 = FALSE, ReportType &lt;&gt; "Final"), AND($Q$994 = FALSE, ReportType &lt;&gt; "Rough"))</formula>
    </cfRule>
  </conditionalFormatting>
  <conditionalFormatting sqref="W994">
    <cfRule type="expression" dxfId="1952" priority="2628">
      <formula>OR($T$994 = TRUE, AND($W$994 = TRUE, $S$994 = FALSE))</formula>
    </cfRule>
  </conditionalFormatting>
  <conditionalFormatting sqref="W1020">
    <cfRule type="expression" dxfId="1951" priority="2627">
      <formula>AND($R$1020,$S$1020)</formula>
    </cfRule>
  </conditionalFormatting>
  <conditionalFormatting sqref="W1020">
    <cfRule type="expression" dxfId="1950" priority="2626">
      <formula>AND(IF($R$1020,$W$1020,TRUE),LEN(TRIM($W$1020))&gt;0)</formula>
    </cfRule>
  </conditionalFormatting>
  <conditionalFormatting sqref="W1020">
    <cfRule type="expression" dxfId="1949" priority="2625">
      <formula>OR($S$1020 = FALSE, AND($P$1020 = FALSE, ReportType &lt;&gt; "Final"), AND($Q$1020 = FALSE, ReportType &lt;&gt; "Rough"))</formula>
    </cfRule>
  </conditionalFormatting>
  <conditionalFormatting sqref="W1020">
    <cfRule type="expression" dxfId="1948" priority="2624">
      <formula>OR($T$1020 = TRUE, AND($W$1020 = TRUE, $S$1020 = FALSE))</formula>
    </cfRule>
  </conditionalFormatting>
  <conditionalFormatting sqref="W1030">
    <cfRule type="expression" dxfId="1947" priority="2623">
      <formula>AND($R$1030,$S$1030)</formula>
    </cfRule>
  </conditionalFormatting>
  <conditionalFormatting sqref="W1030">
    <cfRule type="expression" dxfId="1946" priority="2622">
      <formula>AND($W$1030&lt;&gt;"Not Met",LEN(TRIM($W$1030))&gt;0)</formula>
    </cfRule>
  </conditionalFormatting>
  <conditionalFormatting sqref="W1030">
    <cfRule type="expression" dxfId="1945" priority="2621">
      <formula>OR($S$1030 = FALSE, AND($P$1030 = FALSE, ReportType &lt;&gt; "Final"), AND($Q$1030 = FALSE, ReportType &lt;&gt; "Rough"))</formula>
    </cfRule>
  </conditionalFormatting>
  <conditionalFormatting sqref="W1030">
    <cfRule type="expression" dxfId="1944" priority="2620">
      <formula>OR($T$1030 = TRUE, AND(LEN(TRIM($W$1030))&gt;0, $S$1030 = FALSE))</formula>
    </cfRule>
  </conditionalFormatting>
  <conditionalFormatting sqref="W1040">
    <cfRule type="expression" dxfId="1943" priority="2619">
      <formula>AND($R$1040,$S$1040)</formula>
    </cfRule>
  </conditionalFormatting>
  <conditionalFormatting sqref="W1040">
    <cfRule type="expression" dxfId="1942" priority="2618">
      <formula>AND(IF($R$1040,$W$1040,TRUE),LEN(TRIM($W$1040))&gt;0)</formula>
    </cfRule>
  </conditionalFormatting>
  <conditionalFormatting sqref="W1040">
    <cfRule type="expression" dxfId="1941" priority="2617">
      <formula>OR($S$1040 = FALSE, AND($P$1040 = FALSE, ReportType &lt;&gt; "Final"), AND($Q$1040 = FALSE, ReportType &lt;&gt; "Rough"))</formula>
    </cfRule>
  </conditionalFormatting>
  <conditionalFormatting sqref="W1040">
    <cfRule type="expression" dxfId="1940" priority="2616">
      <formula>OR($T$1040 = TRUE, AND($W$1040 = TRUE, $S$1040 = FALSE))</formula>
    </cfRule>
  </conditionalFormatting>
  <conditionalFormatting sqref="W1042">
    <cfRule type="expression" dxfId="1939" priority="2615">
      <formula>AND($R$1042,$S$1042)</formula>
    </cfRule>
  </conditionalFormatting>
  <conditionalFormatting sqref="W1042">
    <cfRule type="expression" dxfId="1938" priority="2614">
      <formula>AND(IF($R$1042,$W$1042,TRUE),LEN(TRIM($W$1042))&gt;0)</formula>
    </cfRule>
  </conditionalFormatting>
  <conditionalFormatting sqref="W1042">
    <cfRule type="expression" dxfId="1937" priority="2613">
      <formula>OR($S$1042 = FALSE, AND($P$1042 = FALSE, ReportType &lt;&gt; "Final"), AND($Q$1042 = FALSE, ReportType &lt;&gt; "Rough"))</formula>
    </cfRule>
  </conditionalFormatting>
  <conditionalFormatting sqref="W1042">
    <cfRule type="expression" dxfId="1936" priority="2612">
      <formula>OR($T$1042 = TRUE, AND($W$1042 = TRUE, $S$1042 = FALSE))</formula>
    </cfRule>
  </conditionalFormatting>
  <conditionalFormatting sqref="W1043">
    <cfRule type="expression" dxfId="1935" priority="2611">
      <formula>AND($R$1043,$S$1043)</formula>
    </cfRule>
  </conditionalFormatting>
  <conditionalFormatting sqref="W1043">
    <cfRule type="expression" dxfId="1934" priority="2610">
      <formula>AND(IF($R$1043,$W$1043,TRUE),LEN(TRIM($W$1043))&gt;0)</formula>
    </cfRule>
  </conditionalFormatting>
  <conditionalFormatting sqref="W1043">
    <cfRule type="expression" dxfId="1933" priority="2609">
      <formula>OR($S$1043 = FALSE, AND($P$1043 = FALSE, ReportType &lt;&gt; "Final"), AND($Q$1043 = FALSE, ReportType &lt;&gt; "Rough"))</formula>
    </cfRule>
  </conditionalFormatting>
  <conditionalFormatting sqref="W1043">
    <cfRule type="expression" dxfId="1932" priority="2608">
      <formula>OR($T$1043 = TRUE, AND($W$1043 = TRUE, $S$1043 = FALSE))</formula>
    </cfRule>
  </conditionalFormatting>
  <conditionalFormatting sqref="W1049">
    <cfRule type="expression" dxfId="1931" priority="2607">
      <formula>AND($R$1049,$S$1049)</formula>
    </cfRule>
  </conditionalFormatting>
  <conditionalFormatting sqref="W1049">
    <cfRule type="expression" dxfId="1930" priority="2606">
      <formula>AND(IF($R$1049,$W$1049,TRUE),LEN(TRIM($W$1049))&gt;0)</formula>
    </cfRule>
  </conditionalFormatting>
  <conditionalFormatting sqref="W1049">
    <cfRule type="expression" dxfId="1929" priority="2605">
      <formula>OR($S$1049 = FALSE, AND($P$1049 = FALSE, ReportType &lt;&gt; "Final"), AND($Q$1049 = FALSE, ReportType &lt;&gt; "Rough"))</formula>
    </cfRule>
  </conditionalFormatting>
  <conditionalFormatting sqref="W1049">
    <cfRule type="expression" dxfId="1928" priority="2604">
      <formula>OR($T$1049 = TRUE, AND($W$1049 = TRUE, $S$1049 = FALSE))</formula>
    </cfRule>
  </conditionalFormatting>
  <conditionalFormatting sqref="W1066">
    <cfRule type="expression" dxfId="1927" priority="2603">
      <formula>AND($R$1066,$S$1066)</formula>
    </cfRule>
  </conditionalFormatting>
  <conditionalFormatting sqref="W1066">
    <cfRule type="expression" dxfId="1926" priority="2602">
      <formula>AND(IF($R$1066,$W$1066,TRUE),LEN(TRIM($W$1066))&gt;0)</formula>
    </cfRule>
  </conditionalFormatting>
  <conditionalFormatting sqref="W1066">
    <cfRule type="expression" dxfId="1925" priority="2601">
      <formula>OR($S$1066 = FALSE, AND($P$1066 = FALSE, ReportType &lt;&gt; "Final"), AND($Q$1066 = FALSE, ReportType &lt;&gt; "Rough"))</formula>
    </cfRule>
  </conditionalFormatting>
  <conditionalFormatting sqref="W1066">
    <cfRule type="expression" dxfId="1924" priority="2600">
      <formula>OR($T$1066 = TRUE, AND($W$1066 = TRUE, $S$1066 = FALSE))</formula>
    </cfRule>
  </conditionalFormatting>
  <conditionalFormatting sqref="W1081">
    <cfRule type="expression" dxfId="1923" priority="2599">
      <formula>AND($R$1081,$S$1081)</formula>
    </cfRule>
  </conditionalFormatting>
  <conditionalFormatting sqref="W1081">
    <cfRule type="expression" dxfId="1922" priority="2598">
      <formula>AND(IF($R$1081,$W$1081,TRUE),LEN(TRIM($W$1081))&gt;0)</formula>
    </cfRule>
  </conditionalFormatting>
  <conditionalFormatting sqref="W1081">
    <cfRule type="expression" dxfId="1921" priority="2597">
      <formula>OR($S$1081 = FALSE, AND($P$1081 = FALSE, ReportType &lt;&gt; "Final"), AND($Q$1081 = FALSE, ReportType &lt;&gt; "Rough"))</formula>
    </cfRule>
  </conditionalFormatting>
  <conditionalFormatting sqref="W1081">
    <cfRule type="expression" dxfId="1920" priority="2596">
      <formula>OR($T$1081 = TRUE, AND($W$1081 = TRUE, $S$1081 = FALSE))</formula>
    </cfRule>
  </conditionalFormatting>
  <conditionalFormatting sqref="W1090">
    <cfRule type="expression" dxfId="1919" priority="2591">
      <formula>AND($R$1090,$S$1090)</formula>
    </cfRule>
  </conditionalFormatting>
  <conditionalFormatting sqref="W1090">
    <cfRule type="expression" dxfId="1918" priority="2590">
      <formula>AND(IF($R$1090,$W$1090,TRUE),LEN(TRIM($W$1090))&gt;0)</formula>
    </cfRule>
  </conditionalFormatting>
  <conditionalFormatting sqref="W1090">
    <cfRule type="expression" dxfId="1917" priority="2589">
      <formula>OR($S$1090 = FALSE, AND($P$1090 = FALSE, ReportType &lt;&gt; "Final"), AND($Q$1090 = FALSE, ReportType &lt;&gt; "Rough"))</formula>
    </cfRule>
  </conditionalFormatting>
  <conditionalFormatting sqref="W1090">
    <cfRule type="expression" dxfId="1916" priority="2588">
      <formula>OR($T$1090 = TRUE, AND($W$1090 = TRUE, $S$1090 = FALSE))</formula>
    </cfRule>
  </conditionalFormatting>
  <conditionalFormatting sqref="W1099">
    <cfRule type="expression" dxfId="1915" priority="2587">
      <formula>AND($R$1099,$S$1099)</formula>
    </cfRule>
  </conditionalFormatting>
  <conditionalFormatting sqref="W1099">
    <cfRule type="expression" dxfId="1914" priority="2586">
      <formula>AND(IF($R$1099,$W$1099,TRUE),LEN(TRIM($W$1099))&gt;0)</formula>
    </cfRule>
  </conditionalFormatting>
  <conditionalFormatting sqref="W1099">
    <cfRule type="expression" dxfId="1913" priority="2585">
      <formula>OR($S$1099 = FALSE, AND($P$1099 = FALSE, ReportType &lt;&gt; "Final"), AND($Q$1099 = FALSE, ReportType &lt;&gt; "Rough"))</formula>
    </cfRule>
  </conditionalFormatting>
  <conditionalFormatting sqref="W1099">
    <cfRule type="expression" dxfId="1912" priority="2584">
      <formula>OR($T$1099 = TRUE, AND($W$1099 = TRUE, $S$1099 = FALSE))</formula>
    </cfRule>
  </conditionalFormatting>
  <conditionalFormatting sqref="W1114">
    <cfRule type="expression" dxfId="1911" priority="2579">
      <formula>AND($R$1114,$S$1114)</formula>
    </cfRule>
  </conditionalFormatting>
  <conditionalFormatting sqref="W1114">
    <cfRule type="expression" dxfId="1910" priority="2578">
      <formula>AND($W$1114&lt;&gt;"Not Met",LEN(TRIM($W$1114))&gt;0)</formula>
    </cfRule>
  </conditionalFormatting>
  <conditionalFormatting sqref="W1114">
    <cfRule type="expression" dxfId="1909" priority="2577">
      <formula>OR($S$1114 = FALSE, AND($P$1114 = FALSE, ReportType &lt;&gt; "Final"), AND($Q$1114 = FALSE, ReportType &lt;&gt; "Rough"))</formula>
    </cfRule>
  </conditionalFormatting>
  <conditionalFormatting sqref="W1114">
    <cfRule type="expression" dxfId="1908" priority="2576">
      <formula>OR($T$1114 = TRUE, AND(LEN(TRIM($W$1114))&gt;0, $S$1114 = FALSE))</formula>
    </cfRule>
  </conditionalFormatting>
  <conditionalFormatting sqref="W1122">
    <cfRule type="expression" dxfId="1907" priority="2575">
      <formula>AND($R$1122,$S$1122)</formula>
    </cfRule>
  </conditionalFormatting>
  <conditionalFormatting sqref="W1122">
    <cfRule type="expression" dxfId="1906" priority="2574">
      <formula>AND($W$1122&lt;&gt;"Not Met",LEN(TRIM($W$1122))&gt;0)</formula>
    </cfRule>
  </conditionalFormatting>
  <conditionalFormatting sqref="W1122">
    <cfRule type="expression" dxfId="1905" priority="2573">
      <formula>OR($S$1122 = FALSE, AND($P$1122 = FALSE, ReportType &lt;&gt; "Final"), AND($Q$1122 = FALSE, ReportType &lt;&gt; "Rough"))</formula>
    </cfRule>
  </conditionalFormatting>
  <conditionalFormatting sqref="W1122">
    <cfRule type="expression" dxfId="1904" priority="2572">
      <formula>OR($T$1122 = TRUE, AND(LEN(TRIM($W$1122))&gt;0, $S$1122 = FALSE))</formula>
    </cfRule>
  </conditionalFormatting>
  <conditionalFormatting sqref="W1130">
    <cfRule type="expression" dxfId="1903" priority="2571">
      <formula>AND($R$1130,$S$1130)</formula>
    </cfRule>
  </conditionalFormatting>
  <conditionalFormatting sqref="W1130">
    <cfRule type="expression" dxfId="1902" priority="2570">
      <formula>AND($W$1130&lt;&gt;"Not Met",LEN(TRIM($W$1130))&gt;0)</formula>
    </cfRule>
  </conditionalFormatting>
  <conditionalFormatting sqref="W1130">
    <cfRule type="expression" dxfId="1901" priority="2569">
      <formula>OR($S$1130 = FALSE, AND($P$1130 = FALSE, ReportType &lt;&gt; "Final"), AND($Q$1130 = FALSE, ReportType &lt;&gt; "Rough"))</formula>
    </cfRule>
  </conditionalFormatting>
  <conditionalFormatting sqref="W1130">
    <cfRule type="expression" dxfId="1900" priority="2568">
      <formula>OR($T$1130 = TRUE, AND(LEN(TRIM($W$1130))&gt;0, $S$1130 = FALSE))</formula>
    </cfRule>
  </conditionalFormatting>
  <conditionalFormatting sqref="W1141">
    <cfRule type="expression" dxfId="1899" priority="2567">
      <formula>AND($R$1141,$S$1141)</formula>
    </cfRule>
  </conditionalFormatting>
  <conditionalFormatting sqref="W1141">
    <cfRule type="expression" dxfId="1898" priority="2566">
      <formula>AND($W$1141&lt;&gt;"Not Met",LEN(TRIM($W$1141))&gt;0)</formula>
    </cfRule>
  </conditionalFormatting>
  <conditionalFormatting sqref="W1141">
    <cfRule type="expression" dxfId="1897" priority="2565">
      <formula>OR($S$1141 = FALSE, AND($P$1141 = FALSE, ReportType &lt;&gt; "Final"), AND($Q$1141 = FALSE, ReportType &lt;&gt; "Rough"))</formula>
    </cfRule>
  </conditionalFormatting>
  <conditionalFormatting sqref="W1141">
    <cfRule type="expression" dxfId="1896" priority="2564">
      <formula>OR($T$1141 = TRUE, AND(LEN(TRIM($W$1141))&gt;0, $S$1141 = FALSE))</formula>
    </cfRule>
  </conditionalFormatting>
  <conditionalFormatting sqref="W1148">
    <cfRule type="expression" dxfId="1895" priority="2563">
      <formula>AND($R$1148,$S$1148)</formula>
    </cfRule>
  </conditionalFormatting>
  <conditionalFormatting sqref="W1148">
    <cfRule type="expression" dxfId="1894" priority="2562">
      <formula>AND($W$1148&lt;&gt;"Not Met",LEN(TRIM($W$1148))&gt;0)</formula>
    </cfRule>
  </conditionalFormatting>
  <conditionalFormatting sqref="W1148">
    <cfRule type="expression" dxfId="1893" priority="2561">
      <formula>OR($S$1148 = FALSE, AND($P$1148 = FALSE, ReportType &lt;&gt; "Final"), AND($Q$1148 = FALSE, ReportType &lt;&gt; "Rough"))</formula>
    </cfRule>
  </conditionalFormatting>
  <conditionalFormatting sqref="W1148">
    <cfRule type="expression" dxfId="1892" priority="2560">
      <formula>OR($T$1148 = TRUE, AND(LEN(TRIM($W$1148))&gt;0, $S$1148 = FALSE))</formula>
    </cfRule>
  </conditionalFormatting>
  <conditionalFormatting sqref="W1154">
    <cfRule type="expression" dxfId="1891" priority="2559">
      <formula>AND($R$1154,$S$1154)</formula>
    </cfRule>
  </conditionalFormatting>
  <conditionalFormatting sqref="W1154">
    <cfRule type="expression" dxfId="1890" priority="2558">
      <formula>AND(IF($R$1154,$W$1154,TRUE),LEN(TRIM($W$1154))&gt;0)</formula>
    </cfRule>
  </conditionalFormatting>
  <conditionalFormatting sqref="W1154">
    <cfRule type="expression" dxfId="1889" priority="2557">
      <formula>OR($S$1154 = FALSE, AND($P$1154 = FALSE, ReportType &lt;&gt; "Final"), AND($Q$1154 = FALSE, ReportType &lt;&gt; "Rough"))</formula>
    </cfRule>
  </conditionalFormatting>
  <conditionalFormatting sqref="W1154">
    <cfRule type="expression" dxfId="1888" priority="2556">
      <formula>OR($T$1154 = TRUE, AND($W$1154 = TRUE, $S$1154 = FALSE))</formula>
    </cfRule>
  </conditionalFormatting>
  <conditionalFormatting sqref="W1198">
    <cfRule type="expression" dxfId="1887" priority="2555">
      <formula>AND($R$1198,$S$1198)</formula>
    </cfRule>
  </conditionalFormatting>
  <conditionalFormatting sqref="W1198">
    <cfRule type="expression" dxfId="1886" priority="2554">
      <formula>AND(IF($R$1198,$W$1198,TRUE),LEN(TRIM($W$1198))&gt;0)</formula>
    </cfRule>
  </conditionalFormatting>
  <conditionalFormatting sqref="W1198">
    <cfRule type="expression" dxfId="1885" priority="2553">
      <formula>OR($S$1198 = FALSE, AND($P$1198 = FALSE, ReportType &lt;&gt; "Final"), AND($Q$1198 = FALSE, ReportType &lt;&gt; "Rough"))</formula>
    </cfRule>
  </conditionalFormatting>
  <conditionalFormatting sqref="W1198">
    <cfRule type="expression" dxfId="1884" priority="2552">
      <formula>OR($T$1198 = TRUE, AND($W$1198 = TRUE, $S$1198 = FALSE))</formula>
    </cfRule>
  </conditionalFormatting>
  <conditionalFormatting sqref="W1201">
    <cfRule type="expression" dxfId="1883" priority="2551">
      <formula>AND($R$1201,$S$1201)</formula>
    </cfRule>
  </conditionalFormatting>
  <conditionalFormatting sqref="W1201">
    <cfRule type="expression" dxfId="1882" priority="2550">
      <formula>AND(IF($R$1201,$W$1201,TRUE),LEN(TRIM($W$1201))&gt;0)</formula>
    </cfRule>
  </conditionalFormatting>
  <conditionalFormatting sqref="W1201">
    <cfRule type="expression" dxfId="1881" priority="2549">
      <formula>OR($S$1201 = FALSE, AND($P$1201 = FALSE, ReportType &lt;&gt; "Final"), AND($Q$1201 = FALSE, ReportType &lt;&gt; "Rough"))</formula>
    </cfRule>
  </conditionalFormatting>
  <conditionalFormatting sqref="W1201">
    <cfRule type="expression" dxfId="1880" priority="2548">
      <formula>OR($T$1201 = TRUE, AND($W$1201 = TRUE, $S$1201 = FALSE))</formula>
    </cfRule>
  </conditionalFormatting>
  <conditionalFormatting sqref="W1211">
    <cfRule type="expression" dxfId="1879" priority="2547">
      <formula>AND($R$1211,$S$1211)</formula>
    </cfRule>
  </conditionalFormatting>
  <conditionalFormatting sqref="W1211">
    <cfRule type="expression" dxfId="1878" priority="2546">
      <formula>AND(IF($R$1211,$W$1211,TRUE),LEN(TRIM($W$1211))&gt;0)</formula>
    </cfRule>
  </conditionalFormatting>
  <conditionalFormatting sqref="W1211">
    <cfRule type="expression" dxfId="1877" priority="2545">
      <formula>OR($S$1211 = FALSE, AND($P$1211 = FALSE, ReportType &lt;&gt; "Final"), AND($Q$1211 = FALSE, ReportType &lt;&gt; "Rough"))</formula>
    </cfRule>
  </conditionalFormatting>
  <conditionalFormatting sqref="W1211">
    <cfRule type="expression" dxfId="1876" priority="2544">
      <formula>OR($T$1211 = TRUE, AND($W$1211 = TRUE, $S$1211 = FALSE))</formula>
    </cfRule>
  </conditionalFormatting>
  <conditionalFormatting sqref="W1218">
    <cfRule type="expression" dxfId="1875" priority="2543">
      <formula>AND($R$1218,$S$1218)</formula>
    </cfRule>
  </conditionalFormatting>
  <conditionalFormatting sqref="W1218">
    <cfRule type="expression" dxfId="1874" priority="2542">
      <formula>AND(IF($R$1218,$W$1218,TRUE),LEN(TRIM($W$1218))&gt;0)</formula>
    </cfRule>
  </conditionalFormatting>
  <conditionalFormatting sqref="W1218">
    <cfRule type="expression" dxfId="1873" priority="2541">
      <formula>OR($S$1218 = FALSE, AND($P$1218 = FALSE, ReportType &lt;&gt; "Final"), AND($Q$1218 = FALSE, ReportType &lt;&gt; "Rough"))</formula>
    </cfRule>
  </conditionalFormatting>
  <conditionalFormatting sqref="W1218">
    <cfRule type="expression" dxfId="1872" priority="2540">
      <formula>OR($T$1218 = TRUE, AND($W$1218 = TRUE, $S$1218 = FALSE))</formula>
    </cfRule>
  </conditionalFormatting>
  <conditionalFormatting sqref="W1224">
    <cfRule type="expression" dxfId="1871" priority="2539">
      <formula>AND($R$1224,$S$1224)</formula>
    </cfRule>
  </conditionalFormatting>
  <conditionalFormatting sqref="W1224">
    <cfRule type="expression" dxfId="1870" priority="2538">
      <formula>AND(IF($R$1224,$W$1224,TRUE),LEN(TRIM($W$1224))&gt;0)</formula>
    </cfRule>
  </conditionalFormatting>
  <conditionalFormatting sqref="W1224">
    <cfRule type="expression" dxfId="1869" priority="2537">
      <formula>OR($S$1224 = FALSE, AND($P$1224 = FALSE, ReportType &lt;&gt; "Final"), AND($Q$1224 = FALSE, ReportType &lt;&gt; "Rough"))</formula>
    </cfRule>
  </conditionalFormatting>
  <conditionalFormatting sqref="W1224">
    <cfRule type="expression" dxfId="1868" priority="2536">
      <formula>OR($T$1224 = TRUE, AND($W$1224 = TRUE, $S$1224 = FALSE))</formula>
    </cfRule>
  </conditionalFormatting>
  <conditionalFormatting sqref="W1226">
    <cfRule type="expression" dxfId="1867" priority="2535">
      <formula>AND($R$1226,$S$1226)</formula>
    </cfRule>
  </conditionalFormatting>
  <conditionalFormatting sqref="W1226">
    <cfRule type="expression" dxfId="1866" priority="2534">
      <formula>AND(IF($R$1226,$W$1226,TRUE),LEN(TRIM($W$1226))&gt;0)</formula>
    </cfRule>
  </conditionalFormatting>
  <conditionalFormatting sqref="W1226">
    <cfRule type="expression" dxfId="1865" priority="2533">
      <formula>OR($S$1226 = FALSE, AND($P$1226 = FALSE, ReportType &lt;&gt; "Final"), AND($Q$1226 = FALSE, ReportType &lt;&gt; "Rough"))</formula>
    </cfRule>
  </conditionalFormatting>
  <conditionalFormatting sqref="W1226">
    <cfRule type="expression" dxfId="1864" priority="2532">
      <formula>OR($T$1226 = TRUE, AND($W$1226 = TRUE, $S$1226 = FALSE))</formula>
    </cfRule>
  </conditionalFormatting>
  <conditionalFormatting sqref="W1229">
    <cfRule type="expression" dxfId="1863" priority="2531">
      <formula>AND($R$1229,$S$1229)</formula>
    </cfRule>
  </conditionalFormatting>
  <conditionalFormatting sqref="W1229">
    <cfRule type="expression" dxfId="1862" priority="2530">
      <formula>AND(IF($R$1229,$W$1229,TRUE),LEN(TRIM($W$1229))&gt;0)</formula>
    </cfRule>
  </conditionalFormatting>
  <conditionalFormatting sqref="W1229">
    <cfRule type="expression" dxfId="1861" priority="2529">
      <formula>OR($S$1229 = FALSE, AND($P$1229 = FALSE, ReportType &lt;&gt; "Final"), AND($Q$1229 = FALSE, ReportType &lt;&gt; "Rough"))</formula>
    </cfRule>
  </conditionalFormatting>
  <conditionalFormatting sqref="W1229">
    <cfRule type="expression" dxfId="1860" priority="2528">
      <formula>OR($T$1229 = TRUE, AND($W$1229 = TRUE, $S$1229 = FALSE))</formula>
    </cfRule>
  </conditionalFormatting>
  <conditionalFormatting sqref="W1230">
    <cfRule type="expression" dxfId="1859" priority="2527">
      <formula>AND($R$1230,$S$1230)</formula>
    </cfRule>
  </conditionalFormatting>
  <conditionalFormatting sqref="W1230">
    <cfRule type="expression" dxfId="1858" priority="2526">
      <formula>AND(IF($R$1230,$W$1230,TRUE),LEN(TRIM($W$1230))&gt;0)</formula>
    </cfRule>
  </conditionalFormatting>
  <conditionalFormatting sqref="W1230">
    <cfRule type="expression" dxfId="1857" priority="2525">
      <formula>OR($S$1230 = FALSE, AND($P$1230 = FALSE, ReportType &lt;&gt; "Final"), AND($Q$1230 = FALSE, ReportType &lt;&gt; "Rough"))</formula>
    </cfRule>
  </conditionalFormatting>
  <conditionalFormatting sqref="W1230">
    <cfRule type="expression" dxfId="1856" priority="2524">
      <formula>OR($T$1230 = TRUE, AND($W$1230 = TRUE, $S$1230 = FALSE))</formula>
    </cfRule>
  </conditionalFormatting>
  <conditionalFormatting sqref="W1232">
    <cfRule type="expression" dxfId="1855" priority="2523">
      <formula>AND($R$1232,$S$1232)</formula>
    </cfRule>
  </conditionalFormatting>
  <conditionalFormatting sqref="W1232">
    <cfRule type="expression" dxfId="1854" priority="2522">
      <formula>AND(IF($R$1232,$W$1232,TRUE),LEN(TRIM($W$1232))&gt;0)</formula>
    </cfRule>
  </conditionalFormatting>
  <conditionalFormatting sqref="W1232">
    <cfRule type="expression" dxfId="1853" priority="2521">
      <formula>OR($S$1232 = FALSE, AND($P$1232 = FALSE, ReportType &lt;&gt; "Final"), AND($Q$1232 = FALSE, ReportType &lt;&gt; "Rough"))</formula>
    </cfRule>
  </conditionalFormatting>
  <conditionalFormatting sqref="W1232">
    <cfRule type="expression" dxfId="1852" priority="2520">
      <formula>OR($T$1232 = TRUE, AND($W$1232 = TRUE, $S$1232 = FALSE))</formula>
    </cfRule>
  </conditionalFormatting>
  <conditionalFormatting sqref="W1234">
    <cfRule type="expression" dxfId="1851" priority="2519">
      <formula>AND($R$1234,$S$1234)</formula>
    </cfRule>
  </conditionalFormatting>
  <conditionalFormatting sqref="W1234">
    <cfRule type="expression" dxfId="1850" priority="2518">
      <formula>AND($W$1234&lt;&gt;"Not Met",LEN(TRIM($W$1234))&gt;0)</formula>
    </cfRule>
  </conditionalFormatting>
  <conditionalFormatting sqref="W1234">
    <cfRule type="expression" dxfId="1849" priority="2517">
      <formula>OR($S$1234 = FALSE, AND($P$1234 = FALSE, ReportType &lt;&gt; "Final"), AND($Q$1234 = FALSE, ReportType &lt;&gt; "Rough"))</formula>
    </cfRule>
  </conditionalFormatting>
  <conditionalFormatting sqref="W1234">
    <cfRule type="expression" dxfId="1848" priority="2516">
      <formula>OR($T$1234 = TRUE, AND(LEN(TRIM($W$1234))&gt;0, $S$1234 = FALSE))</formula>
    </cfRule>
  </conditionalFormatting>
  <conditionalFormatting sqref="W1245">
    <cfRule type="expression" dxfId="1847" priority="2515">
      <formula>AND($R$1245,$S$1245)</formula>
    </cfRule>
  </conditionalFormatting>
  <conditionalFormatting sqref="W1245">
    <cfRule type="expression" dxfId="1846" priority="2514">
      <formula>AND($W$1245&lt;&gt;"Not Met",LEN(TRIM($W$1245))&gt;0)</formula>
    </cfRule>
  </conditionalFormatting>
  <conditionalFormatting sqref="W1245">
    <cfRule type="expression" dxfId="1845" priority="2513">
      <formula>OR($S$1245 = FALSE, AND($P$1245 = FALSE, ReportType &lt;&gt; "Final"), AND($Q$1245 = FALSE, ReportType &lt;&gt; "Rough"))</formula>
    </cfRule>
  </conditionalFormatting>
  <conditionalFormatting sqref="W1245">
    <cfRule type="expression" dxfId="1844" priority="2512">
      <formula>OR($T$1245 = TRUE, AND(LEN(TRIM($W$1245))&gt;0, $S$1245 = FALSE))</formula>
    </cfRule>
  </conditionalFormatting>
  <conditionalFormatting sqref="W1293">
    <cfRule type="expression" dxfId="1843" priority="2511">
      <formula>AND($R$1293,$S$1293)</formula>
    </cfRule>
  </conditionalFormatting>
  <conditionalFormatting sqref="W1293">
    <cfRule type="expression" dxfId="1842" priority="2510">
      <formula>AND(IF($R$1293,$W$1293,TRUE),LEN(TRIM($W$1293))&gt;0)</formula>
    </cfRule>
  </conditionalFormatting>
  <conditionalFormatting sqref="W1293">
    <cfRule type="expression" dxfId="1841" priority="2509">
      <formula>OR($S$1293 = FALSE, AND($P$1293 = FALSE, ReportType &lt;&gt; "Final"), AND($Q$1293 = FALSE, ReportType &lt;&gt; "Rough"))</formula>
    </cfRule>
  </conditionalFormatting>
  <conditionalFormatting sqref="W1293">
    <cfRule type="expression" dxfId="1840" priority="2508">
      <formula>OR($T$1293 = TRUE, AND($W$1293 = TRUE, $S$1293 = FALSE))</formula>
    </cfRule>
  </conditionalFormatting>
  <conditionalFormatting sqref="W1295">
    <cfRule type="expression" dxfId="1839" priority="2507">
      <formula>AND($R$1295,$S$1295)</formula>
    </cfRule>
  </conditionalFormatting>
  <conditionalFormatting sqref="W1295">
    <cfRule type="expression" dxfId="1838" priority="2506">
      <formula>AND(IF($R$1295,$W$1295,TRUE),LEN(TRIM($W$1295))&gt;0)</formula>
    </cfRule>
  </conditionalFormatting>
  <conditionalFormatting sqref="W1295">
    <cfRule type="expression" dxfId="1837" priority="2505">
      <formula>OR($S$1295 = FALSE, AND($P$1295 = FALSE, ReportType &lt;&gt; "Final"), AND($Q$1295 = FALSE, ReportType &lt;&gt; "Rough"))</formula>
    </cfRule>
  </conditionalFormatting>
  <conditionalFormatting sqref="W1295">
    <cfRule type="expression" dxfId="1836" priority="2504">
      <formula>OR($T$1295 = TRUE, AND($W$1295 = TRUE, $S$1295 = FALSE))</formula>
    </cfRule>
  </conditionalFormatting>
  <conditionalFormatting sqref="W1297">
    <cfRule type="expression" dxfId="1835" priority="2503">
      <formula>AND($R$1297,$S$1297)</formula>
    </cfRule>
  </conditionalFormatting>
  <conditionalFormatting sqref="W1297">
    <cfRule type="expression" dxfId="1834" priority="2502">
      <formula>AND(IF($R$1297,$W$1297,TRUE),LEN(TRIM($W$1297))&gt;0)</formula>
    </cfRule>
  </conditionalFormatting>
  <conditionalFormatting sqref="W1297">
    <cfRule type="expression" dxfId="1833" priority="2501">
      <formula>OR($S$1297 = FALSE, AND($P$1297 = FALSE, ReportType &lt;&gt; "Final"), AND($Q$1297 = FALSE, ReportType &lt;&gt; "Rough"))</formula>
    </cfRule>
  </conditionalFormatting>
  <conditionalFormatting sqref="W1297">
    <cfRule type="expression" dxfId="1832" priority="2500">
      <formula>OR($T$1297 = TRUE, AND($W$1297 = TRUE, $S$1297 = FALSE))</formula>
    </cfRule>
  </conditionalFormatting>
  <conditionalFormatting sqref="W1318">
    <cfRule type="expression" dxfId="1831" priority="2499">
      <formula>AND($R$1318,$S$1318)</formula>
    </cfRule>
  </conditionalFormatting>
  <conditionalFormatting sqref="W1318">
    <cfRule type="expression" dxfId="1830" priority="2498">
      <formula>AND(IF($R$1318,$W$1318,TRUE),LEN(TRIM($W$1318))&gt;0)</formula>
    </cfRule>
  </conditionalFormatting>
  <conditionalFormatting sqref="W1318">
    <cfRule type="expression" dxfId="1829" priority="2497">
      <formula>OR($S$1318 = FALSE, AND($P$1318 = FALSE, ReportType &lt;&gt; "Final"), AND($Q$1318 = FALSE, ReportType &lt;&gt; "Rough"))</formula>
    </cfRule>
  </conditionalFormatting>
  <conditionalFormatting sqref="W1318">
    <cfRule type="expression" dxfId="1828" priority="2496">
      <formula>OR($T$1318 = TRUE, AND($W$1318 = TRUE, $S$1318 = FALSE))</formula>
    </cfRule>
  </conditionalFormatting>
  <conditionalFormatting sqref="W1320">
    <cfRule type="expression" dxfId="1827" priority="2495">
      <formula>AND($R$1320,$S$1320)</formula>
    </cfRule>
  </conditionalFormatting>
  <conditionalFormatting sqref="W1320">
    <cfRule type="expression" dxfId="1826" priority="2494">
      <formula>AND(IF($R$1320,$W$1320,TRUE),LEN(TRIM($W$1320))&gt;0)</formula>
    </cfRule>
  </conditionalFormatting>
  <conditionalFormatting sqref="W1320">
    <cfRule type="expression" dxfId="1825" priority="2493">
      <formula>OR($S$1320 = FALSE, AND($P$1320 = FALSE, ReportType &lt;&gt; "Final"), AND($Q$1320 = FALSE, ReportType &lt;&gt; "Rough"))</formula>
    </cfRule>
  </conditionalFormatting>
  <conditionalFormatting sqref="W1320">
    <cfRule type="expression" dxfId="1824" priority="2492">
      <formula>OR($T$1320 = TRUE, AND($W$1320 = TRUE, $S$1320 = FALSE))</formula>
    </cfRule>
  </conditionalFormatting>
  <conditionalFormatting sqref="W1322">
    <cfRule type="expression" dxfId="1823" priority="2491">
      <formula>AND($R$1322,$S$1322)</formula>
    </cfRule>
  </conditionalFormatting>
  <conditionalFormatting sqref="W1322">
    <cfRule type="expression" dxfId="1822" priority="2490">
      <formula>AND(IF($R$1322,$W$1322,TRUE),LEN(TRIM($W$1322))&gt;0)</formula>
    </cfRule>
  </conditionalFormatting>
  <conditionalFormatting sqref="W1322">
    <cfRule type="expression" dxfId="1821" priority="2489">
      <formula>OR($S$1322 = FALSE, AND($P$1322 = FALSE, ReportType &lt;&gt; "Final"), AND($Q$1322 = FALSE, ReportType &lt;&gt; "Rough"))</formula>
    </cfRule>
  </conditionalFormatting>
  <conditionalFormatting sqref="W1322">
    <cfRule type="expression" dxfId="1820" priority="2488">
      <formula>OR($T$1322 = TRUE, AND($W$1322 = TRUE, $S$1322 = FALSE))</formula>
    </cfRule>
  </conditionalFormatting>
  <conditionalFormatting sqref="W1325">
    <cfRule type="expression" dxfId="1819" priority="2487">
      <formula>AND($R$1325,$S$1325)</formula>
    </cfRule>
  </conditionalFormatting>
  <conditionalFormatting sqref="W1325">
    <cfRule type="expression" dxfId="1818" priority="2486">
      <formula>AND(IF($R$1325,$W$1325,TRUE),LEN(TRIM($W$1325))&gt;0)</formula>
    </cfRule>
  </conditionalFormatting>
  <conditionalFormatting sqref="W1325">
    <cfRule type="expression" dxfId="1817" priority="2485">
      <formula>OR($S$1325 = FALSE, AND($P$1325 = FALSE, ReportType &lt;&gt; "Final"), AND($Q$1325 = FALSE, ReportType &lt;&gt; "Rough"))</formula>
    </cfRule>
  </conditionalFormatting>
  <conditionalFormatting sqref="W1325">
    <cfRule type="expression" dxfId="1816" priority="2484">
      <formula>OR($T$1325 = TRUE, AND($W$1325 = TRUE, $S$1325 = FALSE))</formula>
    </cfRule>
  </conditionalFormatting>
  <conditionalFormatting sqref="W1326">
    <cfRule type="expression" dxfId="1815" priority="2483">
      <formula>AND($R$1326,$S$1326)</formula>
    </cfRule>
  </conditionalFormatting>
  <conditionalFormatting sqref="W1326">
    <cfRule type="expression" dxfId="1814" priority="2482">
      <formula>AND(IF($R$1326,$W$1326,TRUE),LEN(TRIM($W$1326))&gt;0)</formula>
    </cfRule>
  </conditionalFormatting>
  <conditionalFormatting sqref="W1326">
    <cfRule type="expression" dxfId="1813" priority="2481">
      <formula>OR($S$1326 = FALSE, AND($P$1326 = FALSE, ReportType &lt;&gt; "Final"), AND($Q$1326 = FALSE, ReportType &lt;&gt; "Rough"))</formula>
    </cfRule>
  </conditionalFormatting>
  <conditionalFormatting sqref="W1326">
    <cfRule type="expression" dxfId="1812" priority="2480">
      <formula>OR($T$1326 = TRUE, AND($W$1326 = TRUE, $S$1326 = FALSE))</formula>
    </cfRule>
  </conditionalFormatting>
  <conditionalFormatting sqref="W1327">
    <cfRule type="expression" dxfId="1811" priority="2479">
      <formula>AND($R$1327,$S$1327)</formula>
    </cfRule>
  </conditionalFormatting>
  <conditionalFormatting sqref="W1327">
    <cfRule type="expression" dxfId="1810" priority="2478">
      <formula>AND(IF($R$1327,$W$1327,TRUE),LEN(TRIM($W$1327))&gt;0)</formula>
    </cfRule>
  </conditionalFormatting>
  <conditionalFormatting sqref="W1327">
    <cfRule type="expression" dxfId="1809" priority="2477">
      <formula>OR($S$1327 = FALSE, AND($P$1327 = FALSE, ReportType &lt;&gt; "Final"), AND($Q$1327 = FALSE, ReportType &lt;&gt; "Rough"))</formula>
    </cfRule>
  </conditionalFormatting>
  <conditionalFormatting sqref="W1327">
    <cfRule type="expression" dxfId="1808" priority="2476">
      <formula>OR($T$1327 = TRUE, AND($W$1327 = TRUE, $S$1327 = FALSE))</formula>
    </cfRule>
  </conditionalFormatting>
  <conditionalFormatting sqref="W1330">
    <cfRule type="expression" dxfId="1807" priority="2475">
      <formula>AND($R$1330,$S$1330)</formula>
    </cfRule>
  </conditionalFormatting>
  <conditionalFormatting sqref="W1330">
    <cfRule type="expression" dxfId="1806" priority="2474">
      <formula>AND(IF($R$1330,$W$1330,TRUE),LEN(TRIM($W$1330))&gt;0)</formula>
    </cfRule>
  </conditionalFormatting>
  <conditionalFormatting sqref="W1330">
    <cfRule type="expression" dxfId="1805" priority="2473">
      <formula>OR($S$1330 = FALSE, AND($P$1330 = FALSE, ReportType &lt;&gt; "Final"), AND($Q$1330 = FALSE, ReportType &lt;&gt; "Rough"))</formula>
    </cfRule>
  </conditionalFormatting>
  <conditionalFormatting sqref="W1330">
    <cfRule type="expression" dxfId="1804" priority="2472">
      <formula>OR($T$1330 = TRUE, AND($W$1330 = TRUE, $S$1330 = FALSE))</formula>
    </cfRule>
  </conditionalFormatting>
  <conditionalFormatting sqref="W1357">
    <cfRule type="expression" dxfId="1803" priority="2471">
      <formula>AND($R$1357,$S$1357)</formula>
    </cfRule>
  </conditionalFormatting>
  <conditionalFormatting sqref="W1357">
    <cfRule type="expression" dxfId="1802" priority="2470">
      <formula>AND(IF($R$1357,$W$1357,TRUE),LEN(TRIM($W$1357))&gt;0)</formula>
    </cfRule>
  </conditionalFormatting>
  <conditionalFormatting sqref="W1357">
    <cfRule type="expression" dxfId="1801" priority="2469">
      <formula>OR($S$1357 = FALSE, AND($P$1357 = FALSE, ReportType &lt;&gt; "Final"), AND($Q$1357 = FALSE, ReportType &lt;&gt; "Rough"))</formula>
    </cfRule>
  </conditionalFormatting>
  <conditionalFormatting sqref="W1357">
    <cfRule type="expression" dxfId="1800" priority="2468">
      <formula>OR($T$1357 = TRUE, AND($W$1357 = TRUE, $S$1357 = FALSE))</formula>
    </cfRule>
  </conditionalFormatting>
  <conditionalFormatting sqref="W1365">
    <cfRule type="expression" dxfId="1799" priority="2467">
      <formula>AND($R$1365,$S$1365)</formula>
    </cfRule>
  </conditionalFormatting>
  <conditionalFormatting sqref="W1365">
    <cfRule type="expression" dxfId="1798" priority="2466">
      <formula>AND(IF($R$1365,$W$1365,TRUE),LEN(TRIM($W$1365))&gt;0)</formula>
    </cfRule>
  </conditionalFormatting>
  <conditionalFormatting sqref="W1365">
    <cfRule type="expression" dxfId="1797" priority="2465">
      <formula>OR($S$1365 = FALSE, AND($P$1365 = FALSE, ReportType &lt;&gt; "Final"), AND($Q$1365 = FALSE, ReportType &lt;&gt; "Rough"))</formula>
    </cfRule>
  </conditionalFormatting>
  <conditionalFormatting sqref="W1365">
    <cfRule type="expression" dxfId="1796" priority="2464">
      <formula>OR($T$1365 = TRUE, AND($W$1365 = TRUE, $S$1365 = FALSE))</formula>
    </cfRule>
  </conditionalFormatting>
  <conditionalFormatting sqref="W1367">
    <cfRule type="expression" dxfId="1795" priority="2463">
      <formula>AND($R$1367,$S$1367)</formula>
    </cfRule>
  </conditionalFormatting>
  <conditionalFormatting sqref="W1367">
    <cfRule type="expression" dxfId="1794" priority="2462">
      <formula>AND(IF($R$1367,$W$1367,TRUE),LEN(TRIM($W$1367))&gt;0)</formula>
    </cfRule>
  </conditionalFormatting>
  <conditionalFormatting sqref="W1367">
    <cfRule type="expression" dxfId="1793" priority="2461">
      <formula>OR($S$1367 = FALSE, AND($P$1367 = FALSE, ReportType &lt;&gt; "Final"), AND($Q$1367 = FALSE, ReportType &lt;&gt; "Rough"))</formula>
    </cfRule>
  </conditionalFormatting>
  <conditionalFormatting sqref="W1367">
    <cfRule type="expression" dxfId="1792" priority="2460">
      <formula>OR($T$1367 = TRUE, AND($W$1367 = TRUE, $S$1367 = FALSE))</formula>
    </cfRule>
  </conditionalFormatting>
  <conditionalFormatting sqref="W1368">
    <cfRule type="expression" dxfId="1791" priority="2459">
      <formula>AND($R$1368,$S$1368)</formula>
    </cfRule>
  </conditionalFormatting>
  <conditionalFormatting sqref="W1368">
    <cfRule type="expression" dxfId="1790" priority="2458">
      <formula>AND(IF($R$1368,$W$1368,TRUE),LEN(TRIM($W$1368))&gt;0)</formula>
    </cfRule>
  </conditionalFormatting>
  <conditionalFormatting sqref="W1368">
    <cfRule type="expression" dxfId="1789" priority="2457">
      <formula>OR($S$1368 = FALSE, AND($P$1368 = FALSE, ReportType &lt;&gt; "Final"), AND($Q$1368 = FALSE, ReportType &lt;&gt; "Rough"))</formula>
    </cfRule>
  </conditionalFormatting>
  <conditionalFormatting sqref="W1368">
    <cfRule type="expression" dxfId="1788" priority="2456">
      <formula>OR($T$1368 = TRUE, AND($W$1368 = TRUE, $S$1368 = FALSE))</formula>
    </cfRule>
  </conditionalFormatting>
  <conditionalFormatting sqref="W1369">
    <cfRule type="expression" dxfId="1787" priority="2455">
      <formula>AND($R$1369,$S$1369)</formula>
    </cfRule>
  </conditionalFormatting>
  <conditionalFormatting sqref="W1369">
    <cfRule type="expression" dxfId="1786" priority="2454">
      <formula>AND(IF($R$1369,$W$1369,TRUE),LEN(TRIM($W$1369))&gt;0)</formula>
    </cfRule>
  </conditionalFormatting>
  <conditionalFormatting sqref="W1369">
    <cfRule type="expression" dxfId="1785" priority="2453">
      <formula>OR($S$1369 = FALSE, AND($P$1369 = FALSE, ReportType &lt;&gt; "Final"), AND($Q$1369 = FALSE, ReportType &lt;&gt; "Rough"))</formula>
    </cfRule>
  </conditionalFormatting>
  <conditionalFormatting sqref="W1369">
    <cfRule type="expression" dxfId="1784" priority="2452">
      <formula>OR($T$1369 = TRUE, AND($W$1369 = TRUE, $S$1369 = FALSE))</formula>
    </cfRule>
  </conditionalFormatting>
  <conditionalFormatting sqref="W1371">
    <cfRule type="expression" dxfId="1783" priority="2451">
      <formula>AND($R$1371,$S$1371)</formula>
    </cfRule>
  </conditionalFormatting>
  <conditionalFormatting sqref="W1371">
    <cfRule type="expression" dxfId="1782" priority="2450">
      <formula>AND(IF($R$1371,$W$1371,TRUE),LEN(TRIM($W$1371))&gt;0)</formula>
    </cfRule>
  </conditionalFormatting>
  <conditionalFormatting sqref="W1371">
    <cfRule type="expression" dxfId="1781" priority="2449">
      <formula>OR($S$1371 = FALSE, AND($P$1371 = FALSE, ReportType &lt;&gt; "Final"), AND($Q$1371 = FALSE, ReportType &lt;&gt; "Rough"))</formula>
    </cfRule>
  </conditionalFormatting>
  <conditionalFormatting sqref="W1371">
    <cfRule type="expression" dxfId="1780" priority="2448">
      <formula>OR($T$1371 = TRUE, AND($W$1371 = TRUE, $S$1371 = FALSE))</formula>
    </cfRule>
  </conditionalFormatting>
  <conditionalFormatting sqref="W1374">
    <cfRule type="expression" dxfId="1779" priority="2447">
      <formula>AND($R$1374,$S$1374)</formula>
    </cfRule>
  </conditionalFormatting>
  <conditionalFormatting sqref="W1374">
    <cfRule type="expression" dxfId="1778" priority="2446">
      <formula>AND(IF($R$1374,$W$1374,TRUE),LEN(TRIM($W$1374))&gt;0)</formula>
    </cfRule>
  </conditionalFormatting>
  <conditionalFormatting sqref="W1374">
    <cfRule type="expression" dxfId="1777" priority="2445">
      <formula>OR($S$1374 = FALSE, AND($P$1374 = FALSE, ReportType &lt;&gt; "Final"), AND($Q$1374 = FALSE, ReportType &lt;&gt; "Rough"))</formula>
    </cfRule>
  </conditionalFormatting>
  <conditionalFormatting sqref="W1374">
    <cfRule type="expression" dxfId="1776" priority="2444">
      <formula>OR($T$1374 = TRUE, AND($W$1374 = TRUE, $S$1374 = FALSE))</formula>
    </cfRule>
  </conditionalFormatting>
  <conditionalFormatting sqref="W1376">
    <cfRule type="expression" dxfId="1775" priority="2443">
      <formula>AND($R$1376,$S$1376)</formula>
    </cfRule>
  </conditionalFormatting>
  <conditionalFormatting sqref="W1376">
    <cfRule type="expression" dxfId="1774" priority="2442">
      <formula>AND(IF($R$1376,$W$1376,TRUE),LEN(TRIM($W$1376))&gt;0)</formula>
    </cfRule>
  </conditionalFormatting>
  <conditionalFormatting sqref="W1376">
    <cfRule type="expression" dxfId="1773" priority="2441">
      <formula>OR($S$1376 = FALSE, AND($P$1376 = FALSE, ReportType &lt;&gt; "Final"), AND($Q$1376 = FALSE, ReportType &lt;&gt; "Rough"))</formula>
    </cfRule>
  </conditionalFormatting>
  <conditionalFormatting sqref="W1376">
    <cfRule type="expression" dxfId="1772" priority="2440">
      <formula>OR($T$1376 = TRUE, AND($W$1376 = TRUE, $S$1376 = FALSE))</formula>
    </cfRule>
  </conditionalFormatting>
  <conditionalFormatting sqref="W1381">
    <cfRule type="expression" dxfId="1771" priority="2439">
      <formula>AND($R$1381,$S$1381)</formula>
    </cfRule>
  </conditionalFormatting>
  <conditionalFormatting sqref="W1381">
    <cfRule type="expression" dxfId="1770" priority="2438">
      <formula>AND(IF($R$1381,$W$1381,TRUE),LEN(TRIM($W$1381))&gt;0)</formula>
    </cfRule>
  </conditionalFormatting>
  <conditionalFormatting sqref="W1381">
    <cfRule type="expression" dxfId="1769" priority="2437">
      <formula>OR($S$1381 = FALSE, AND($P$1381 = FALSE, ReportType &lt;&gt; "Final"), AND($Q$1381 = FALSE, ReportType &lt;&gt; "Rough"))</formula>
    </cfRule>
  </conditionalFormatting>
  <conditionalFormatting sqref="W1381">
    <cfRule type="expression" dxfId="1768" priority="2436">
      <formula>OR($T$1381 = TRUE, AND($W$1381 = TRUE, $S$1381 = FALSE))</formula>
    </cfRule>
  </conditionalFormatting>
  <conditionalFormatting sqref="W1383">
    <cfRule type="expression" dxfId="1767" priority="2435">
      <formula>AND($R$1383,$S$1383)</formula>
    </cfRule>
  </conditionalFormatting>
  <conditionalFormatting sqref="W1383">
    <cfRule type="expression" dxfId="1766" priority="2434">
      <formula>AND(IF($R$1383,$W$1383,TRUE),LEN(TRIM($W$1383))&gt;0)</formula>
    </cfRule>
  </conditionalFormatting>
  <conditionalFormatting sqref="W1383">
    <cfRule type="expression" dxfId="1765" priority="2433">
      <formula>OR($S$1383 = FALSE, AND($P$1383 = FALSE, ReportType &lt;&gt; "Final"), AND($Q$1383 = FALSE, ReportType &lt;&gt; "Rough"))</formula>
    </cfRule>
  </conditionalFormatting>
  <conditionalFormatting sqref="W1383">
    <cfRule type="expression" dxfId="1764" priority="2432">
      <formula>OR($T$1383 = TRUE, AND($W$1383 = TRUE, $S$1383 = FALSE))</formula>
    </cfRule>
  </conditionalFormatting>
  <conditionalFormatting sqref="W1385">
    <cfRule type="expression" dxfId="1763" priority="2431">
      <formula>AND($R$1385,$S$1385)</formula>
    </cfRule>
  </conditionalFormatting>
  <conditionalFormatting sqref="W1385">
    <cfRule type="expression" dxfId="1762" priority="2430">
      <formula>AND(IF($R$1385,$W$1385,TRUE),LEN(TRIM($W$1385))&gt;0)</formula>
    </cfRule>
  </conditionalFormatting>
  <conditionalFormatting sqref="W1385">
    <cfRule type="expression" dxfId="1761" priority="2429">
      <formula>OR($S$1385 = FALSE, AND($P$1385 = FALSE, ReportType &lt;&gt; "Final"), AND($Q$1385 = FALSE, ReportType &lt;&gt; "Rough"))</formula>
    </cfRule>
  </conditionalFormatting>
  <conditionalFormatting sqref="W1385">
    <cfRule type="expression" dxfId="1760" priority="2428">
      <formula>OR($T$1385 = TRUE, AND($W$1385 = TRUE, $S$1385 = FALSE))</formula>
    </cfRule>
  </conditionalFormatting>
  <conditionalFormatting sqref="W1387">
    <cfRule type="expression" dxfId="1759" priority="2427">
      <formula>AND($R$1387,$S$1387)</formula>
    </cfRule>
  </conditionalFormatting>
  <conditionalFormatting sqref="W1387">
    <cfRule type="expression" dxfId="1758" priority="2426">
      <formula>AND(IF($R$1387,$W$1387,TRUE),LEN(TRIM($W$1387))&gt;0)</formula>
    </cfRule>
  </conditionalFormatting>
  <conditionalFormatting sqref="W1387">
    <cfRule type="expression" dxfId="1757" priority="2425">
      <formula>OR($S$1387 = FALSE, AND($P$1387 = FALSE, ReportType &lt;&gt; "Final"), AND($Q$1387 = FALSE, ReportType &lt;&gt; "Rough"))</formula>
    </cfRule>
  </conditionalFormatting>
  <conditionalFormatting sqref="W1387">
    <cfRule type="expression" dxfId="1756" priority="2424">
      <formula>OR($T$1387 = TRUE, AND($W$1387 = TRUE, $S$1387 = FALSE))</formula>
    </cfRule>
  </conditionalFormatting>
  <conditionalFormatting sqref="W1427">
    <cfRule type="expression" dxfId="1755" priority="2423">
      <formula>AND($R$1427,$S$1427)</formula>
    </cfRule>
  </conditionalFormatting>
  <conditionalFormatting sqref="W1427">
    <cfRule type="expression" dxfId="1754" priority="2422">
      <formula>AND($W$1427&lt;&gt;"Not Met",LEN(TRIM($W$1427))&gt;0)</formula>
    </cfRule>
  </conditionalFormatting>
  <conditionalFormatting sqref="W1427">
    <cfRule type="expression" dxfId="1753" priority="2421">
      <formula>OR($S$1427 = FALSE, AND($P$1427 = FALSE, ReportType &lt;&gt; "Final"), AND($Q$1427 = FALSE, ReportType &lt;&gt; "Rough"))</formula>
    </cfRule>
  </conditionalFormatting>
  <conditionalFormatting sqref="W1427">
    <cfRule type="expression" dxfId="1752" priority="2420">
      <formula>OR($T$1427 = TRUE, AND(LEN(TRIM($W$1427))&gt;0, $S$1427 = FALSE))</formula>
    </cfRule>
  </conditionalFormatting>
  <conditionalFormatting sqref="W1434">
    <cfRule type="expression" dxfId="1751" priority="2419">
      <formula>AND($R$1434,$S$1434)</formula>
    </cfRule>
  </conditionalFormatting>
  <conditionalFormatting sqref="W1434">
    <cfRule type="expression" dxfId="1750" priority="2418">
      <formula>AND($W$1434&lt;&gt;"Not Met",LEN(TRIM($W$1434))&gt;0)</formula>
    </cfRule>
  </conditionalFormatting>
  <conditionalFormatting sqref="W1434">
    <cfRule type="expression" dxfId="1749" priority="2417">
      <formula>OR($S$1434 = FALSE, AND($P$1434 = FALSE, ReportType &lt;&gt; "Final"), AND($Q$1434 = FALSE, ReportType &lt;&gt; "Rough"))</formula>
    </cfRule>
  </conditionalFormatting>
  <conditionalFormatting sqref="W1434">
    <cfRule type="expression" dxfId="1748" priority="2416">
      <formula>OR($T$1434 = TRUE, AND(LEN(TRIM($W$1434))&gt;0, $S$1434 = FALSE))</formula>
    </cfRule>
  </conditionalFormatting>
  <conditionalFormatting sqref="W1438">
    <cfRule type="expression" dxfId="1747" priority="2415">
      <formula>AND($R$1438,$S$1438)</formula>
    </cfRule>
  </conditionalFormatting>
  <conditionalFormatting sqref="W1438">
    <cfRule type="expression" dxfId="1746" priority="2414">
      <formula>AND($W$1438&lt;&gt;"Not Met",LEN(TRIM($W$1438))&gt;0)</formula>
    </cfRule>
  </conditionalFormatting>
  <conditionalFormatting sqref="W1438">
    <cfRule type="expression" dxfId="1745" priority="2413">
      <formula>OR($S$1438 = FALSE, AND($P$1438 = FALSE, ReportType &lt;&gt; "Final"), AND($Q$1438 = FALSE, ReportType &lt;&gt; "Rough"))</formula>
    </cfRule>
  </conditionalFormatting>
  <conditionalFormatting sqref="W1438">
    <cfRule type="expression" dxfId="1744" priority="2412">
      <formula>OR($T$1438 = TRUE, AND(LEN(TRIM($W$1438))&gt;0, $S$1438 = FALSE))</formula>
    </cfRule>
  </conditionalFormatting>
  <conditionalFormatting sqref="W1431">
    <cfRule type="expression" dxfId="1743" priority="2407">
      <formula>AND($R$1431,$S$1431)</formula>
    </cfRule>
  </conditionalFormatting>
  <conditionalFormatting sqref="W1431">
    <cfRule type="expression" dxfId="1742" priority="2406">
      <formula>AND(IF($R$1431,$W$1431,TRUE),LEN(TRIM($W$1431))&gt;0)</formula>
    </cfRule>
  </conditionalFormatting>
  <conditionalFormatting sqref="W1431">
    <cfRule type="expression" dxfId="1741" priority="2405">
      <formula>OR($S$1431 = FALSE, AND($P$1431 = FALSE, ReportType &lt;&gt; "Final"), AND($Q$1431 = FALSE, ReportType &lt;&gt; "Rough"))</formula>
    </cfRule>
  </conditionalFormatting>
  <conditionalFormatting sqref="W1431">
    <cfRule type="expression" dxfId="1740" priority="2404">
      <formula>OR($T$1431 = TRUE, AND($W$1431 = TRUE, $S$1431 = FALSE))</formula>
    </cfRule>
  </conditionalFormatting>
  <conditionalFormatting sqref="W1443">
    <cfRule type="expression" dxfId="1739" priority="2403">
      <formula>AND($R$1443,$S$1443)</formula>
    </cfRule>
  </conditionalFormatting>
  <conditionalFormatting sqref="W1443">
    <cfRule type="expression" dxfId="1738" priority="2402">
      <formula>AND($W$1443&lt;&gt;"Not Met",LEN(TRIM($W$1443))&gt;0)</formula>
    </cfRule>
  </conditionalFormatting>
  <conditionalFormatting sqref="W1443">
    <cfRule type="expression" dxfId="1737" priority="2401">
      <formula>OR($S$1443 = FALSE, AND($P$1443 = FALSE, ReportType &lt;&gt; "Final"), AND($Q$1443 = FALSE, ReportType &lt;&gt; "Rough"))</formula>
    </cfRule>
  </conditionalFormatting>
  <conditionalFormatting sqref="W1443">
    <cfRule type="expression" dxfId="1736" priority="2400">
      <formula>OR($T$1443 = TRUE, AND(LEN(TRIM($W$1443))&gt;0, $S$1443 = FALSE))</formula>
    </cfRule>
  </conditionalFormatting>
  <conditionalFormatting sqref="W1448">
    <cfRule type="expression" dxfId="1735" priority="2399">
      <formula>AND($R$1448,$S$1448)</formula>
    </cfRule>
  </conditionalFormatting>
  <conditionalFormatting sqref="W1448">
    <cfRule type="expression" dxfId="1734" priority="2398">
      <formula>AND(IF($R$1448,$W$1448,TRUE),LEN(TRIM($W$1448))&gt;0)</formula>
    </cfRule>
  </conditionalFormatting>
  <conditionalFormatting sqref="W1448">
    <cfRule type="expression" dxfId="1733" priority="2397">
      <formula>OR($S$1448 = FALSE, AND($P$1448 = FALSE, ReportType &lt;&gt; "Final"), AND($Q$1448 = FALSE, ReportType &lt;&gt; "Rough"))</formula>
    </cfRule>
  </conditionalFormatting>
  <conditionalFormatting sqref="W1448">
    <cfRule type="expression" dxfId="1732" priority="2396">
      <formula>OR($T$1448 = TRUE, AND($W$1448 = TRUE, $S$1448 = FALSE))</formula>
    </cfRule>
  </conditionalFormatting>
  <conditionalFormatting sqref="W1451">
    <cfRule type="expression" dxfId="1731" priority="2395">
      <formula>AND($R$1451,$S$1451)</formula>
    </cfRule>
  </conditionalFormatting>
  <conditionalFormatting sqref="W1451">
    <cfRule type="expression" dxfId="1730" priority="2394">
      <formula>AND(IF($R$1451,$W$1451,TRUE),LEN(TRIM($W$1451))&gt;0)</formula>
    </cfRule>
  </conditionalFormatting>
  <conditionalFormatting sqref="W1451">
    <cfRule type="expression" dxfId="1729" priority="2393">
      <formula>OR($S$1451 = FALSE, AND($P$1451 = FALSE, ReportType &lt;&gt; "Final"), AND($Q$1451 = FALSE, ReportType &lt;&gt; "Rough"))</formula>
    </cfRule>
  </conditionalFormatting>
  <conditionalFormatting sqref="W1451">
    <cfRule type="expression" dxfId="1728" priority="2392">
      <formula>OR($T$1451 = TRUE, AND($W$1451 = TRUE, $S$1451 = FALSE))</formula>
    </cfRule>
  </conditionalFormatting>
  <conditionalFormatting sqref="W1456">
    <cfRule type="expression" dxfId="1727" priority="2391">
      <formula>AND($R$1456,$S$1456)</formula>
    </cfRule>
  </conditionalFormatting>
  <conditionalFormatting sqref="W1456">
    <cfRule type="expression" dxfId="1726" priority="2390">
      <formula>AND(IF($R$1456,$W$1456,TRUE),LEN(TRIM($W$1456))&gt;0)</formula>
    </cfRule>
  </conditionalFormatting>
  <conditionalFormatting sqref="W1456">
    <cfRule type="expression" dxfId="1725" priority="2389">
      <formula>OR($S$1456 = FALSE, AND($P$1456 = FALSE, ReportType &lt;&gt; "Final"), AND($Q$1456 = FALSE, ReportType &lt;&gt; "Rough"))</formula>
    </cfRule>
  </conditionalFormatting>
  <conditionalFormatting sqref="W1456">
    <cfRule type="expression" dxfId="1724" priority="2388">
      <formula>OR($T$1456 = TRUE, AND($W$1456 = TRUE, $S$1456 = FALSE))</formula>
    </cfRule>
  </conditionalFormatting>
  <conditionalFormatting sqref="W1457">
    <cfRule type="expression" dxfId="1723" priority="2387">
      <formula>AND($R$1457,$S$1457)</formula>
    </cfRule>
  </conditionalFormatting>
  <conditionalFormatting sqref="W1457">
    <cfRule type="expression" dxfId="1722" priority="2386">
      <formula>AND(IF($R$1457,$W$1457,TRUE),LEN(TRIM($W$1457))&gt;0)</formula>
    </cfRule>
  </conditionalFormatting>
  <conditionalFormatting sqref="W1457">
    <cfRule type="expression" dxfId="1721" priority="2385">
      <formula>OR($S$1457 = FALSE, AND($P$1457 = FALSE, ReportType &lt;&gt; "Final"), AND($Q$1457 = FALSE, ReportType &lt;&gt; "Rough"))</formula>
    </cfRule>
  </conditionalFormatting>
  <conditionalFormatting sqref="W1457">
    <cfRule type="expression" dxfId="1720" priority="2384">
      <formula>OR($T$1457 = TRUE, AND($W$1457 = TRUE, $S$1457 = FALSE))</formula>
    </cfRule>
  </conditionalFormatting>
  <conditionalFormatting sqref="W1467">
    <cfRule type="expression" dxfId="1719" priority="2379">
      <formula>AND($R$1467,$S$1467)</formula>
    </cfRule>
  </conditionalFormatting>
  <conditionalFormatting sqref="W1467">
    <cfRule type="expression" dxfId="1718" priority="2378">
      <formula>AND(IF($R$1467,$W$1467,TRUE),LEN(TRIM($W$1467))&gt;0)</formula>
    </cfRule>
  </conditionalFormatting>
  <conditionalFormatting sqref="W1467">
    <cfRule type="expression" dxfId="1717" priority="2377">
      <formula>OR($S$1467 = FALSE, AND($P$1467 = FALSE, ReportType &lt;&gt; "Final"), AND($Q$1467 = FALSE, ReportType &lt;&gt; "Rough"))</formula>
    </cfRule>
  </conditionalFormatting>
  <conditionalFormatting sqref="W1467">
    <cfRule type="expression" dxfId="1716" priority="2376">
      <formula>OR($T$1467 = TRUE, AND($W$1467 = TRUE, $S$1467 = FALSE))</formula>
    </cfRule>
  </conditionalFormatting>
  <conditionalFormatting sqref="W1496">
    <cfRule type="expression" dxfId="1715" priority="2375">
      <formula>AND($R$1496,$S$1496)</formula>
    </cfRule>
  </conditionalFormatting>
  <conditionalFormatting sqref="W1496">
    <cfRule type="expression" dxfId="1714" priority="2374">
      <formula>AND(IF($R$1496,$W$1496,TRUE),LEN(TRIM($W$1496))&gt;0)</formula>
    </cfRule>
  </conditionalFormatting>
  <conditionalFormatting sqref="W1496">
    <cfRule type="expression" dxfId="1713" priority="2373">
      <formula>OR($S$1496 = FALSE, AND($P$1496 = FALSE, ReportType &lt;&gt; "Final"), AND($Q$1496 = FALSE, ReportType &lt;&gt; "Rough"))</formula>
    </cfRule>
  </conditionalFormatting>
  <conditionalFormatting sqref="W1496">
    <cfRule type="expression" dxfId="1712" priority="2372">
      <formula>OR($T$1496 = TRUE, AND($W$1496 = TRUE, $S$1496 = FALSE))</formula>
    </cfRule>
  </conditionalFormatting>
  <conditionalFormatting sqref="W1507">
    <cfRule type="expression" dxfId="1711" priority="2367">
      <formula>AND($R$1507,$S$1507)</formula>
    </cfRule>
  </conditionalFormatting>
  <conditionalFormatting sqref="W1507">
    <cfRule type="expression" dxfId="1710" priority="2366">
      <formula>AND($W$1507&lt;&gt;"Not Met",LEN(TRIM($W$1507))&gt;0)</formula>
    </cfRule>
  </conditionalFormatting>
  <conditionalFormatting sqref="W1507">
    <cfRule type="expression" dxfId="1709" priority="2365">
      <formula>OR($S$1507 = FALSE, AND($P$1507 = FALSE, ReportType &lt;&gt; "Final"), AND($Q$1507 = FALSE, ReportType &lt;&gt; "Rough"))</formula>
    </cfRule>
  </conditionalFormatting>
  <conditionalFormatting sqref="W1507">
    <cfRule type="expression" dxfId="1708" priority="2364">
      <formula>OR($T$1507 = TRUE, AND(LEN(TRIM($W$1507))&gt;0, $S$1507 = FALSE))</formula>
    </cfRule>
  </conditionalFormatting>
  <conditionalFormatting sqref="W1513">
    <cfRule type="expression" dxfId="1707" priority="2363">
      <formula>AND($R$1513,$S$1513)</formula>
    </cfRule>
  </conditionalFormatting>
  <conditionalFormatting sqref="W1513">
    <cfRule type="expression" dxfId="1706" priority="2362">
      <formula>AND(IF($R$1513,$W$1513,TRUE),LEN(TRIM($W$1513))&gt;0)</formula>
    </cfRule>
  </conditionalFormatting>
  <conditionalFormatting sqref="W1513">
    <cfRule type="expression" dxfId="1705" priority="2361">
      <formula>OR($S$1513 = FALSE, AND($P$1513 = FALSE, ReportType &lt;&gt; "Final"), AND($Q$1513 = FALSE, ReportType &lt;&gt; "Rough"))</formula>
    </cfRule>
  </conditionalFormatting>
  <conditionalFormatting sqref="W1513">
    <cfRule type="expression" dxfId="1704" priority="2360">
      <formula>OR($T$1513 = TRUE, AND($W$1513 = TRUE, $S$1513 = FALSE))</formula>
    </cfRule>
  </conditionalFormatting>
  <conditionalFormatting sqref="W1525">
    <cfRule type="expression" dxfId="1703" priority="2359">
      <formula>AND($R$1525,$S$1525)</formula>
    </cfRule>
  </conditionalFormatting>
  <conditionalFormatting sqref="W1525">
    <cfRule type="expression" dxfId="1702" priority="2358">
      <formula>AND(IF($R$1525,$W$1525,TRUE),LEN(TRIM($W$1525))&gt;0)</formula>
    </cfRule>
  </conditionalFormatting>
  <conditionalFormatting sqref="W1525">
    <cfRule type="expression" dxfId="1701" priority="2357">
      <formula>OR($S$1525 = FALSE, AND($P$1525 = FALSE, ReportType &lt;&gt; "Final"), AND($Q$1525 = FALSE, ReportType &lt;&gt; "Rough"))</formula>
    </cfRule>
  </conditionalFormatting>
  <conditionalFormatting sqref="W1525">
    <cfRule type="expression" dxfId="1700" priority="2356">
      <formula>OR($T$1525 = TRUE, AND($W$1525 = TRUE, $S$1525 = FALSE))</formula>
    </cfRule>
  </conditionalFormatting>
  <conditionalFormatting sqref="W1527">
    <cfRule type="expression" dxfId="1699" priority="2355">
      <formula>AND($R$1527,$S$1527)</formula>
    </cfRule>
  </conditionalFormatting>
  <conditionalFormatting sqref="W1527">
    <cfRule type="expression" dxfId="1698" priority="2354">
      <formula>AND(IF($R$1527,$W$1527,TRUE),LEN(TRIM($W$1527))&gt;0)</formula>
    </cfRule>
  </conditionalFormatting>
  <conditionalFormatting sqref="W1527">
    <cfRule type="expression" dxfId="1697" priority="2353">
      <formula>OR($S$1527 = FALSE, AND($P$1527 = FALSE, ReportType &lt;&gt; "Final"), AND($Q$1527 = FALSE, ReportType &lt;&gt; "Rough"))</formula>
    </cfRule>
  </conditionalFormatting>
  <conditionalFormatting sqref="W1527">
    <cfRule type="expression" dxfId="1696" priority="2352">
      <formula>OR($T$1527 = TRUE, AND($W$1527 = TRUE, $S$1527 = FALSE))</formula>
    </cfRule>
  </conditionalFormatting>
  <conditionalFormatting sqref="W1529">
    <cfRule type="expression" dxfId="1695" priority="2351">
      <formula>AND($R$1529,$S$1529)</formula>
    </cfRule>
  </conditionalFormatting>
  <conditionalFormatting sqref="W1529">
    <cfRule type="expression" dxfId="1694" priority="2350">
      <formula>AND(IF($R$1529,$W$1529,TRUE),LEN(TRIM($W$1529))&gt;0)</formula>
    </cfRule>
  </conditionalFormatting>
  <conditionalFormatting sqref="W1529">
    <cfRule type="expression" dxfId="1693" priority="2349">
      <formula>OR($S$1529 = FALSE, AND($P$1529 = FALSE, ReportType &lt;&gt; "Final"), AND($Q$1529 = FALSE, ReportType &lt;&gt; "Rough"))</formula>
    </cfRule>
  </conditionalFormatting>
  <conditionalFormatting sqref="W1529">
    <cfRule type="expression" dxfId="1692" priority="2348">
      <formula>OR($T$1529 = TRUE, AND($W$1529 = TRUE, $S$1529 = FALSE))</formula>
    </cfRule>
  </conditionalFormatting>
  <conditionalFormatting sqref="W1536">
    <cfRule type="expression" dxfId="1691" priority="2347">
      <formula>AND($R$1536,$S$1536)</formula>
    </cfRule>
  </conditionalFormatting>
  <conditionalFormatting sqref="W1536">
    <cfRule type="expression" dxfId="1690" priority="2346">
      <formula>AND(IF($R$1536,$W$1536,TRUE),LEN(TRIM($W$1536))&gt;0)</formula>
    </cfRule>
  </conditionalFormatting>
  <conditionalFormatting sqref="W1536">
    <cfRule type="expression" dxfId="1689" priority="2345">
      <formula>OR($S$1536 = FALSE, AND($P$1536 = FALSE, ReportType &lt;&gt; "Final"), AND($Q$1536 = FALSE, ReportType &lt;&gt; "Rough"))</formula>
    </cfRule>
  </conditionalFormatting>
  <conditionalFormatting sqref="W1536">
    <cfRule type="expression" dxfId="1688" priority="2344">
      <formula>OR($T$1536 = TRUE, AND($W$1536 = TRUE, $S$1536 = FALSE))</formula>
    </cfRule>
  </conditionalFormatting>
  <conditionalFormatting sqref="W1537">
    <cfRule type="expression" dxfId="1687" priority="2343">
      <formula>AND($R$1537,$S$1537)</formula>
    </cfRule>
  </conditionalFormatting>
  <conditionalFormatting sqref="W1537">
    <cfRule type="expression" dxfId="1686" priority="2342">
      <formula>AND(IF($R$1537,$W$1537,TRUE),LEN(TRIM($W$1537))&gt;0)</formula>
    </cfRule>
  </conditionalFormatting>
  <conditionalFormatting sqref="W1537">
    <cfRule type="expression" dxfId="1685" priority="2341">
      <formula>OR($S$1537 = FALSE, AND($P$1537 = FALSE, ReportType &lt;&gt; "Final"), AND($Q$1537 = FALSE, ReportType &lt;&gt; "Rough"))</formula>
    </cfRule>
  </conditionalFormatting>
  <conditionalFormatting sqref="W1537">
    <cfRule type="expression" dxfId="1684" priority="2340">
      <formula>OR($T$1537 = TRUE, AND($W$1537 = TRUE, $S$1537 = FALSE))</formula>
    </cfRule>
  </conditionalFormatting>
  <conditionalFormatting sqref="W1538">
    <cfRule type="expression" dxfId="1683" priority="2339">
      <formula>AND($R$1538,$S$1538)</formula>
    </cfRule>
  </conditionalFormatting>
  <conditionalFormatting sqref="W1538">
    <cfRule type="expression" dxfId="1682" priority="2338">
      <formula>AND(IF($R$1538,$W$1538,TRUE),LEN(TRIM($W$1538))&gt;0)</formula>
    </cfRule>
  </conditionalFormatting>
  <conditionalFormatting sqref="W1538">
    <cfRule type="expression" dxfId="1681" priority="2337">
      <formula>OR($S$1538 = FALSE, AND($P$1538 = FALSE, ReportType &lt;&gt; "Final"), AND($Q$1538 = FALSE, ReportType &lt;&gt; "Rough"))</formula>
    </cfRule>
  </conditionalFormatting>
  <conditionalFormatting sqref="W1538">
    <cfRule type="expression" dxfId="1680" priority="2336">
      <formula>OR($T$1538 = TRUE, AND($W$1538 = TRUE, $S$1538 = FALSE))</formula>
    </cfRule>
  </conditionalFormatting>
  <conditionalFormatting sqref="W1539">
    <cfRule type="expression" dxfId="1679" priority="2335">
      <formula>AND($R$1539,$S$1539)</formula>
    </cfRule>
  </conditionalFormatting>
  <conditionalFormatting sqref="W1539">
    <cfRule type="expression" dxfId="1678" priority="2334">
      <formula>AND(IF($R$1539,$W$1539,TRUE),LEN(TRIM($W$1539))&gt;0)</formula>
    </cfRule>
  </conditionalFormatting>
  <conditionalFormatting sqref="W1539">
    <cfRule type="expression" dxfId="1677" priority="2333">
      <formula>OR($S$1539 = FALSE, AND($P$1539 = FALSE, ReportType &lt;&gt; "Final"), AND($Q$1539 = FALSE, ReportType &lt;&gt; "Rough"))</formula>
    </cfRule>
  </conditionalFormatting>
  <conditionalFormatting sqref="W1539">
    <cfRule type="expression" dxfId="1676" priority="2332">
      <formula>OR($T$1539 = TRUE, AND($W$1539 = TRUE, $S$1539 = FALSE))</formula>
    </cfRule>
  </conditionalFormatting>
  <conditionalFormatting sqref="W1541">
    <cfRule type="expression" dxfId="1675" priority="2331">
      <formula>AND($R$1541,$S$1541)</formula>
    </cfRule>
  </conditionalFormatting>
  <conditionalFormatting sqref="W1541">
    <cfRule type="expression" dxfId="1674" priority="2330">
      <formula>AND(IF($R$1541,$W$1541,TRUE),LEN(TRIM($W$1541))&gt;0)</formula>
    </cfRule>
  </conditionalFormatting>
  <conditionalFormatting sqref="W1541">
    <cfRule type="expression" dxfId="1673" priority="2329">
      <formula>OR($S$1541 = FALSE, AND($P$1541 = FALSE, ReportType &lt;&gt; "Final"), AND($Q$1541 = FALSE, ReportType &lt;&gt; "Rough"))</formula>
    </cfRule>
  </conditionalFormatting>
  <conditionalFormatting sqref="W1541">
    <cfRule type="expression" dxfId="1672" priority="2328">
      <formula>OR($T$1541 = TRUE, AND($W$1541 = TRUE, $S$1541 = FALSE))</formula>
    </cfRule>
  </conditionalFormatting>
  <conditionalFormatting sqref="W1544">
    <cfRule type="expression" dxfId="1671" priority="2327">
      <formula>AND($R$1544,$S$1544)</formula>
    </cfRule>
  </conditionalFormatting>
  <conditionalFormatting sqref="W1544">
    <cfRule type="expression" dxfId="1670" priority="2326">
      <formula>AND(IF($R$1544,$W$1544,TRUE),LEN(TRIM($W$1544))&gt;0)</formula>
    </cfRule>
  </conditionalFormatting>
  <conditionalFormatting sqref="W1544">
    <cfRule type="expression" dxfId="1669" priority="2325">
      <formula>OR($S$1544 = FALSE, AND($P$1544 = FALSE, ReportType &lt;&gt; "Final"), AND($Q$1544 = FALSE, ReportType &lt;&gt; "Rough"))</formula>
    </cfRule>
  </conditionalFormatting>
  <conditionalFormatting sqref="W1544">
    <cfRule type="expression" dxfId="1668" priority="2324">
      <formula>OR($T$1544 = TRUE, AND($W$1544 = TRUE, $S$1544 = FALSE))</formula>
    </cfRule>
  </conditionalFormatting>
  <conditionalFormatting sqref="W1549">
    <cfRule type="expression" dxfId="1667" priority="2323">
      <formula>AND($R$1549,$S$1549)</formula>
    </cfRule>
  </conditionalFormatting>
  <conditionalFormatting sqref="W1549">
    <cfRule type="expression" dxfId="1666" priority="2322">
      <formula>AND($W$1549&lt;&gt;"Not Met",LEN(TRIM($W$1549))&gt;0)</formula>
    </cfRule>
  </conditionalFormatting>
  <conditionalFormatting sqref="W1549">
    <cfRule type="expression" dxfId="1665" priority="2321">
      <formula>OR($S$1549 = FALSE, AND($P$1549 = FALSE, ReportType &lt;&gt; "Final"), AND($Q$1549 = FALSE, ReportType &lt;&gt; "Rough"))</formula>
    </cfRule>
  </conditionalFormatting>
  <conditionalFormatting sqref="W1549">
    <cfRule type="expression" dxfId="1664" priority="2320">
      <formula>OR($T$1549 = TRUE, AND(LEN(TRIM($W$1549))&gt;0, $S$1549 = FALSE))</formula>
    </cfRule>
  </conditionalFormatting>
  <conditionalFormatting sqref="W1564">
    <cfRule type="expression" dxfId="1663" priority="2319">
      <formula>AND($R$1564,$S$1564)</formula>
    </cfRule>
  </conditionalFormatting>
  <conditionalFormatting sqref="W1564">
    <cfRule type="expression" dxfId="1662" priority="2318">
      <formula>AND(IF($R$1564,$W$1564,TRUE),LEN(TRIM($W$1564))&gt;0)</formula>
    </cfRule>
  </conditionalFormatting>
  <conditionalFormatting sqref="W1564">
    <cfRule type="expression" dxfId="1661" priority="2317">
      <formula>OR($S$1564 = FALSE, AND($P$1564 = FALSE, ReportType &lt;&gt; "Final"), AND($Q$1564 = FALSE, ReportType &lt;&gt; "Rough"))</formula>
    </cfRule>
  </conditionalFormatting>
  <conditionalFormatting sqref="W1564">
    <cfRule type="expression" dxfId="1660" priority="2316">
      <formula>OR($T$1564 = TRUE, AND($W$1564 = TRUE, $S$1564 = FALSE))</formula>
    </cfRule>
  </conditionalFormatting>
  <conditionalFormatting sqref="W1565">
    <cfRule type="expression" dxfId="1659" priority="2315">
      <formula>AND($R$1565,$S$1565)</formula>
    </cfRule>
  </conditionalFormatting>
  <conditionalFormatting sqref="W1565">
    <cfRule type="expression" dxfId="1658" priority="2314">
      <formula>AND(IF($R$1565,$W$1565,TRUE),LEN(TRIM($W$1565))&gt;0)</formula>
    </cfRule>
  </conditionalFormatting>
  <conditionalFormatting sqref="W1565">
    <cfRule type="expression" dxfId="1657" priority="2313">
      <formula>OR($S$1565 = FALSE, AND($P$1565 = FALSE, ReportType &lt;&gt; "Final"), AND($Q$1565 = FALSE, ReportType &lt;&gt; "Rough"))</formula>
    </cfRule>
  </conditionalFormatting>
  <conditionalFormatting sqref="W1565">
    <cfRule type="expression" dxfId="1656" priority="2312">
      <formula>OR($T$1565 = TRUE, AND($W$1565 = TRUE, $S$1565 = FALSE))</formula>
    </cfRule>
  </conditionalFormatting>
  <conditionalFormatting sqref="W1566">
    <cfRule type="expression" dxfId="1655" priority="2311">
      <formula>AND($R$1566,$S$1566)</formula>
    </cfRule>
  </conditionalFormatting>
  <conditionalFormatting sqref="W1566">
    <cfRule type="expression" dxfId="1654" priority="2310">
      <formula>AND(IF($R$1566,$W$1566,TRUE),LEN(TRIM($W$1566))&gt;0)</formula>
    </cfRule>
  </conditionalFormatting>
  <conditionalFormatting sqref="W1566">
    <cfRule type="expression" dxfId="1653" priority="2309">
      <formula>OR($S$1566 = FALSE, AND($P$1566 = FALSE, ReportType &lt;&gt; "Final"), AND($Q$1566 = FALSE, ReportType &lt;&gt; "Rough"))</formula>
    </cfRule>
  </conditionalFormatting>
  <conditionalFormatting sqref="W1566">
    <cfRule type="expression" dxfId="1652" priority="2308">
      <formula>OR($T$1566 = TRUE, AND($W$1566 = TRUE, $S$1566 = FALSE))</formula>
    </cfRule>
  </conditionalFormatting>
  <conditionalFormatting sqref="W1567">
    <cfRule type="expression" dxfId="1651" priority="2307">
      <formula>AND($R$1567,$S$1567)</formula>
    </cfRule>
  </conditionalFormatting>
  <conditionalFormatting sqref="W1567">
    <cfRule type="expression" dxfId="1650" priority="2306">
      <formula>AND(IF($R$1567,$W$1567,TRUE),LEN(TRIM($W$1567))&gt;0)</formula>
    </cfRule>
  </conditionalFormatting>
  <conditionalFormatting sqref="W1567">
    <cfRule type="expression" dxfId="1649" priority="2305">
      <formula>OR($S$1567 = FALSE, AND($P$1567 = FALSE, ReportType &lt;&gt; "Final"), AND($Q$1567 = FALSE, ReportType &lt;&gt; "Rough"))</formula>
    </cfRule>
  </conditionalFormatting>
  <conditionalFormatting sqref="W1567">
    <cfRule type="expression" dxfId="1648" priority="2304">
      <formula>OR($T$1567 = TRUE, AND($W$1567 = TRUE, $S$1567 = FALSE))</formula>
    </cfRule>
  </conditionalFormatting>
  <conditionalFormatting sqref="W1568">
    <cfRule type="expression" dxfId="1647" priority="2303">
      <formula>AND($R$1568,$S$1568)</formula>
    </cfRule>
  </conditionalFormatting>
  <conditionalFormatting sqref="W1568">
    <cfRule type="expression" dxfId="1646" priority="2302">
      <formula>AND(IF($R$1568,$W$1568,TRUE),LEN(TRIM($W$1568))&gt;0)</formula>
    </cfRule>
  </conditionalFormatting>
  <conditionalFormatting sqref="W1568">
    <cfRule type="expression" dxfId="1645" priority="2301">
      <formula>OR($S$1568 = FALSE, AND($P$1568 = FALSE, ReportType &lt;&gt; "Final"), AND($Q$1568 = FALSE, ReportType &lt;&gt; "Rough"))</formula>
    </cfRule>
  </conditionalFormatting>
  <conditionalFormatting sqref="W1568">
    <cfRule type="expression" dxfId="1644" priority="2300">
      <formula>OR($T$1568 = TRUE, AND($W$1568 = TRUE, $S$1568 = FALSE))</formula>
    </cfRule>
  </conditionalFormatting>
  <conditionalFormatting sqref="W1569">
    <cfRule type="expression" dxfId="1643" priority="2299">
      <formula>AND($R$1569,$S$1569)</formula>
    </cfRule>
  </conditionalFormatting>
  <conditionalFormatting sqref="W1569">
    <cfRule type="expression" dxfId="1642" priority="2298">
      <formula>AND(IF($R$1569,$W$1569,TRUE),LEN(TRIM($W$1569))&gt;0)</formula>
    </cfRule>
  </conditionalFormatting>
  <conditionalFormatting sqref="W1569">
    <cfRule type="expression" dxfId="1641" priority="2297">
      <formula>OR($S$1569 = FALSE, AND($P$1569 = FALSE, ReportType &lt;&gt; "Final"), AND($Q$1569 = FALSE, ReportType &lt;&gt; "Rough"))</formula>
    </cfRule>
  </conditionalFormatting>
  <conditionalFormatting sqref="W1569">
    <cfRule type="expression" dxfId="1640" priority="2296">
      <formula>OR($T$1569 = TRUE, AND($W$1569 = TRUE, $S$1569 = FALSE))</formula>
    </cfRule>
  </conditionalFormatting>
  <conditionalFormatting sqref="W1570">
    <cfRule type="expression" dxfId="1639" priority="2295">
      <formula>AND($R$1570,$S$1570)</formula>
    </cfRule>
  </conditionalFormatting>
  <conditionalFormatting sqref="W1570">
    <cfRule type="expression" dxfId="1638" priority="2294">
      <formula>AND(IF($R$1570,$W$1570,TRUE),LEN(TRIM($W$1570))&gt;0)</formula>
    </cfRule>
  </conditionalFormatting>
  <conditionalFormatting sqref="W1570">
    <cfRule type="expression" dxfId="1637" priority="2293">
      <formula>OR($S$1570 = FALSE, AND($P$1570 = FALSE, ReportType &lt;&gt; "Final"), AND($Q$1570 = FALSE, ReportType &lt;&gt; "Rough"))</formula>
    </cfRule>
  </conditionalFormatting>
  <conditionalFormatting sqref="W1570">
    <cfRule type="expression" dxfId="1636" priority="2292">
      <formula>OR($T$1570 = TRUE, AND($W$1570 = TRUE, $S$1570 = FALSE))</formula>
    </cfRule>
  </conditionalFormatting>
  <conditionalFormatting sqref="W1571">
    <cfRule type="expression" dxfId="1635" priority="2291">
      <formula>AND($R$1571,$S$1571)</formula>
    </cfRule>
  </conditionalFormatting>
  <conditionalFormatting sqref="W1571">
    <cfRule type="expression" dxfId="1634" priority="2290">
      <formula>AND(IF($R$1571,$W$1571,TRUE),LEN(TRIM($W$1571))&gt;0)</formula>
    </cfRule>
  </conditionalFormatting>
  <conditionalFormatting sqref="W1571">
    <cfRule type="expression" dxfId="1633" priority="2289">
      <formula>OR($S$1571 = FALSE, AND($P$1571 = FALSE, ReportType &lt;&gt; "Final"), AND($Q$1571 = FALSE, ReportType &lt;&gt; "Rough"))</formula>
    </cfRule>
  </conditionalFormatting>
  <conditionalFormatting sqref="W1571">
    <cfRule type="expression" dxfId="1632" priority="2288">
      <formula>OR($T$1571 = TRUE, AND($W$1571 = TRUE, $S$1571 = FALSE))</formula>
    </cfRule>
  </conditionalFormatting>
  <conditionalFormatting sqref="W1574">
    <cfRule type="expression" dxfId="1631" priority="2287">
      <formula>AND($R$1574,$S$1574)</formula>
    </cfRule>
  </conditionalFormatting>
  <conditionalFormatting sqref="W1574">
    <cfRule type="expression" dxfId="1630" priority="2286">
      <formula>AND(IF($R$1574,$W$1574,TRUE),LEN(TRIM($W$1574))&gt;0)</formula>
    </cfRule>
  </conditionalFormatting>
  <conditionalFormatting sqref="W1574">
    <cfRule type="expression" dxfId="1629" priority="2285">
      <formula>OR($S$1574 = FALSE, AND($P$1574 = FALSE, ReportType &lt;&gt; "Final"), AND($Q$1574 = FALSE, ReportType &lt;&gt; "Rough"))</formula>
    </cfRule>
  </conditionalFormatting>
  <conditionalFormatting sqref="W1574">
    <cfRule type="expression" dxfId="1628" priority="2284">
      <formula>OR($T$1574 = TRUE, AND($W$1574 = TRUE, $S$1574 = FALSE))</formula>
    </cfRule>
  </conditionalFormatting>
  <conditionalFormatting sqref="W1576">
    <cfRule type="expression" dxfId="1627" priority="2283">
      <formula>AND($R$1576,$S$1576)</formula>
    </cfRule>
  </conditionalFormatting>
  <conditionalFormatting sqref="W1576">
    <cfRule type="expression" dxfId="1626" priority="2282">
      <formula>AND(IF($R$1576,$W$1576,TRUE),LEN(TRIM($W$1576))&gt;0)</formula>
    </cfRule>
  </conditionalFormatting>
  <conditionalFormatting sqref="W1576">
    <cfRule type="expression" dxfId="1625" priority="2281">
      <formula>OR($S$1576 = FALSE, AND($P$1576 = FALSE, ReportType &lt;&gt; "Final"), AND($Q$1576 = FALSE, ReportType &lt;&gt; "Rough"))</formula>
    </cfRule>
  </conditionalFormatting>
  <conditionalFormatting sqref="W1576">
    <cfRule type="expression" dxfId="1624" priority="2280">
      <formula>OR($T$1576 = TRUE, AND($W$1576 = TRUE, $S$1576 = FALSE))</formula>
    </cfRule>
  </conditionalFormatting>
  <conditionalFormatting sqref="W1578">
    <cfRule type="expression" dxfId="1623" priority="2279">
      <formula>AND($R$1578,$S$1578)</formula>
    </cfRule>
  </conditionalFormatting>
  <conditionalFormatting sqref="W1578">
    <cfRule type="expression" dxfId="1622" priority="2278">
      <formula>AND(IF($R$1578,$W$1578,TRUE),LEN(TRIM($W$1578))&gt;0)</formula>
    </cfRule>
  </conditionalFormatting>
  <conditionalFormatting sqref="W1578">
    <cfRule type="expression" dxfId="1621" priority="2277">
      <formula>OR($S$1578 = FALSE, AND($P$1578 = FALSE, ReportType &lt;&gt; "Final"), AND($Q$1578 = FALSE, ReportType &lt;&gt; "Rough"))</formula>
    </cfRule>
  </conditionalFormatting>
  <conditionalFormatting sqref="W1578">
    <cfRule type="expression" dxfId="1620" priority="2276">
      <formula>OR($T$1578 = TRUE, AND($W$1578 = TRUE, $S$1578 = FALSE))</formula>
    </cfRule>
  </conditionalFormatting>
  <conditionalFormatting sqref="W1595">
    <cfRule type="expression" dxfId="1619" priority="2275">
      <formula>AND($R$1595,$S$1595)</formula>
    </cfRule>
  </conditionalFormatting>
  <conditionalFormatting sqref="W1595">
    <cfRule type="expression" dxfId="1618" priority="2274">
      <formula>AND(IF($R$1595,$W$1595,TRUE),LEN(TRIM($W$1595))&gt;0)</formula>
    </cfRule>
  </conditionalFormatting>
  <conditionalFormatting sqref="W1595">
    <cfRule type="expression" dxfId="1617" priority="2273">
      <formula>OR($S$1595 = FALSE, AND($P$1595 = FALSE, ReportType &lt;&gt; "Final"), AND($Q$1595 = FALSE, ReportType &lt;&gt; "Rough"))</formula>
    </cfRule>
  </conditionalFormatting>
  <conditionalFormatting sqref="W1595">
    <cfRule type="expression" dxfId="1616" priority="2272">
      <formula>OR($T$1595 = TRUE, AND($W$1595 = TRUE, $S$1595 = FALSE))</formula>
    </cfRule>
  </conditionalFormatting>
  <conditionalFormatting sqref="W1599">
    <cfRule type="expression" dxfId="1615" priority="2271">
      <formula>AND($R$1599,$S$1599)</formula>
    </cfRule>
  </conditionalFormatting>
  <conditionalFormatting sqref="W1599">
    <cfRule type="expression" dxfId="1614" priority="2270">
      <formula>AND(IF($R$1599,$W$1599,TRUE),LEN(TRIM($W$1599))&gt;0)</formula>
    </cfRule>
  </conditionalFormatting>
  <conditionalFormatting sqref="W1599">
    <cfRule type="expression" dxfId="1613" priority="2269">
      <formula>OR($S$1599 = FALSE, AND($P$1599 = FALSE, ReportType &lt;&gt; "Final"), AND($Q$1599 = FALSE, ReportType &lt;&gt; "Rough"))</formula>
    </cfRule>
  </conditionalFormatting>
  <conditionalFormatting sqref="W1599">
    <cfRule type="expression" dxfId="1612" priority="2268">
      <formula>OR($T$1599 = TRUE, AND($W$1599 = TRUE, $S$1599 = FALSE))</formula>
    </cfRule>
  </conditionalFormatting>
  <conditionalFormatting sqref="W1600">
    <cfRule type="expression" dxfId="1611" priority="2267">
      <formula>AND($R$1600,$S$1600)</formula>
    </cfRule>
  </conditionalFormatting>
  <conditionalFormatting sqref="W1600">
    <cfRule type="expression" dxfId="1610" priority="2266">
      <formula>AND(IF($R$1600,$W$1600,TRUE),LEN(TRIM($W$1600))&gt;0)</formula>
    </cfRule>
  </conditionalFormatting>
  <conditionalFormatting sqref="W1600">
    <cfRule type="expression" dxfId="1609" priority="2265">
      <formula>OR($S$1600 = FALSE, AND($P$1600 = FALSE, ReportType &lt;&gt; "Final"), AND($Q$1600 = FALSE, ReportType &lt;&gt; "Rough"))</formula>
    </cfRule>
  </conditionalFormatting>
  <conditionalFormatting sqref="W1600">
    <cfRule type="expression" dxfId="1608" priority="2264">
      <formula>OR($T$1600 = TRUE, AND($W$1600 = TRUE, $S$1600 = FALSE))</formula>
    </cfRule>
  </conditionalFormatting>
  <conditionalFormatting sqref="W1603">
    <cfRule type="expression" dxfId="1607" priority="2263">
      <formula>AND($R$1603,$S$1603)</formula>
    </cfRule>
  </conditionalFormatting>
  <conditionalFormatting sqref="W1603">
    <cfRule type="expression" dxfId="1606" priority="2262">
      <formula>AND(IF($R$1603,$W$1603,TRUE),LEN(TRIM($W$1603))&gt;0)</formula>
    </cfRule>
  </conditionalFormatting>
  <conditionalFormatting sqref="W1603">
    <cfRule type="expression" dxfId="1605" priority="2261">
      <formula>OR($S$1603 = FALSE, AND($P$1603 = FALSE, ReportType &lt;&gt; "Final"), AND($Q$1603 = FALSE, ReportType &lt;&gt; "Rough"))</formula>
    </cfRule>
  </conditionalFormatting>
  <conditionalFormatting sqref="W1603">
    <cfRule type="expression" dxfId="1604" priority="2260">
      <formula>OR($T$1603 = TRUE, AND($W$1603 = TRUE, $S$1603 = FALSE))</formula>
    </cfRule>
  </conditionalFormatting>
  <conditionalFormatting sqref="W1611">
    <cfRule type="expression" dxfId="1603" priority="2259">
      <formula>AND($R$1611,$S$1611)</formula>
    </cfRule>
  </conditionalFormatting>
  <conditionalFormatting sqref="W1611">
    <cfRule type="expression" dxfId="1602" priority="2258">
      <formula>AND(IF($R$1611,$W$1611,TRUE),LEN(TRIM($W$1611))&gt;0)</formula>
    </cfRule>
  </conditionalFormatting>
  <conditionalFormatting sqref="W1611">
    <cfRule type="expression" dxfId="1601" priority="2257">
      <formula>OR($S$1611 = FALSE, AND($P$1611 = FALSE, ReportType &lt;&gt; "Final"), AND($Q$1611 = FALSE, ReportType &lt;&gt; "Rough"))</formula>
    </cfRule>
  </conditionalFormatting>
  <conditionalFormatting sqref="W1611">
    <cfRule type="expression" dxfId="1600" priority="2256">
      <formula>OR($T$1611 = TRUE, AND($W$1611 = TRUE, $S$1611 = FALSE))</formula>
    </cfRule>
  </conditionalFormatting>
  <conditionalFormatting sqref="W1850">
    <cfRule type="expression" dxfId="1599" priority="2118">
      <formula>AND(R1850,S1850)</formula>
    </cfRule>
  </conditionalFormatting>
  <conditionalFormatting sqref="W1850">
    <cfRule type="expression" dxfId="1598" priority="2117">
      <formula>AND(R1850,LEN(TRIM(W1850))&gt;0)</formula>
    </cfRule>
  </conditionalFormatting>
  <conditionalFormatting sqref="W1850">
    <cfRule type="expression" dxfId="1597" priority="2116">
      <formula>OR(S1850 = FALSE, AND(P1850 = FALSE, ReportType &lt;&gt; "Final"), AND(Q1850 = FALSE, ReportType &lt;&gt; "Rough"))</formula>
    </cfRule>
  </conditionalFormatting>
  <conditionalFormatting sqref="W1850">
    <cfRule type="expression" dxfId="1596" priority="2115">
      <formula>OR(T1850 = TRUE, AND(W1850 &gt; 0, S1850 = FALSE))</formula>
    </cfRule>
  </conditionalFormatting>
  <conditionalFormatting sqref="W1650">
    <cfRule type="expression" dxfId="1595" priority="2110">
      <formula>AND($R$1650,$S$1650)</formula>
    </cfRule>
  </conditionalFormatting>
  <conditionalFormatting sqref="W1650">
    <cfRule type="expression" dxfId="1594" priority="2109">
      <formula>AND($W$1650&lt;&gt;"Not Met",LEN(TRIM($W$1650))&gt;0)</formula>
    </cfRule>
  </conditionalFormatting>
  <conditionalFormatting sqref="W1650">
    <cfRule type="expression" dxfId="1593" priority="2108">
      <formula>OR($S$1650 = FALSE, AND($P$1650 = FALSE, ReportType &lt;&gt; "Final"), AND($Q$1650 = FALSE, ReportType &lt;&gt; "Rough"))</formula>
    </cfRule>
  </conditionalFormatting>
  <conditionalFormatting sqref="W1650">
    <cfRule type="expression" dxfId="1592" priority="2107">
      <formula>OR($T$1650 = TRUE, AND(LEN(TRIM($W$1650))&gt;0, $S$1650 = FALSE))</formula>
    </cfRule>
  </conditionalFormatting>
  <conditionalFormatting sqref="W1679">
    <cfRule type="expression" dxfId="1591" priority="2106">
      <formula>AND($R$1679,$S$1679)</formula>
    </cfRule>
  </conditionalFormatting>
  <conditionalFormatting sqref="W1679">
    <cfRule type="expression" dxfId="1590" priority="2105">
      <formula>AND(IF($R$1679,$W$1679,TRUE),LEN(TRIM($W$1679))&gt;0)</formula>
    </cfRule>
  </conditionalFormatting>
  <conditionalFormatting sqref="W1679">
    <cfRule type="expression" dxfId="1589" priority="2104">
      <formula>OR($S$1679 = FALSE, AND($P$1679 = FALSE, ReportType &lt;&gt; "Final"), AND($Q$1679 = FALSE, ReportType &lt;&gt; "Rough"))</formula>
    </cfRule>
  </conditionalFormatting>
  <conditionalFormatting sqref="W1679">
    <cfRule type="expression" dxfId="1588" priority="2103">
      <formula>OR($T$1679 = TRUE, AND($W$1679 = TRUE, $S$1679 = FALSE))</formula>
    </cfRule>
  </conditionalFormatting>
  <conditionalFormatting sqref="W1684">
    <cfRule type="expression" dxfId="1587" priority="2102">
      <formula>AND($R$1684,$S$1684)</formula>
    </cfRule>
  </conditionalFormatting>
  <conditionalFormatting sqref="W1684">
    <cfRule type="expression" dxfId="1586" priority="2101">
      <formula>AND(IF($R$1684,$W$1684,TRUE),LEN(TRIM($W$1684))&gt;0)</formula>
    </cfRule>
  </conditionalFormatting>
  <conditionalFormatting sqref="W1684">
    <cfRule type="expression" dxfId="1585" priority="2100">
      <formula>OR($S$1684 = FALSE, AND($P$1684 = FALSE, ReportType &lt;&gt; "Final"), AND($Q$1684 = FALSE, ReportType &lt;&gt; "Rough"))</formula>
    </cfRule>
  </conditionalFormatting>
  <conditionalFormatting sqref="W1684">
    <cfRule type="expression" dxfId="1584" priority="2099">
      <formula>OR($T$1684 = TRUE, AND($W$1684 = TRUE, $S$1684 = FALSE))</formula>
    </cfRule>
  </conditionalFormatting>
  <conditionalFormatting sqref="W1685">
    <cfRule type="expression" dxfId="1583" priority="2098">
      <formula>AND($R$1685,$S$1685)</formula>
    </cfRule>
  </conditionalFormatting>
  <conditionalFormatting sqref="W1685">
    <cfRule type="expression" dxfId="1582" priority="2097">
      <formula>AND($W$1685&lt;&gt;"Not Met",LEN(TRIM($W$1685))&gt;0)</formula>
    </cfRule>
  </conditionalFormatting>
  <conditionalFormatting sqref="W1685">
    <cfRule type="expression" dxfId="1581" priority="2096">
      <formula>OR($S$1685 = FALSE, AND($P$1685 = FALSE, ReportType &lt;&gt; "Final"), AND($Q$1685 = FALSE, ReportType &lt;&gt; "Rough"))</formula>
    </cfRule>
  </conditionalFormatting>
  <conditionalFormatting sqref="W1685">
    <cfRule type="expression" dxfId="1580" priority="2095">
      <formula>OR($T$1685 = TRUE, AND(LEN(TRIM($W$1685))&gt;0, $S$1685 = FALSE))</formula>
    </cfRule>
  </conditionalFormatting>
  <conditionalFormatting sqref="W1709">
    <cfRule type="expression" dxfId="1579" priority="2094">
      <formula>AND($R$1709,$S$1709)</formula>
    </cfRule>
  </conditionalFormatting>
  <conditionalFormatting sqref="W1709">
    <cfRule type="expression" dxfId="1578" priority="2093">
      <formula>AND($W$1709&lt;&gt;"Not Met",LEN(TRIM($W$1709))&gt;0)</formula>
    </cfRule>
  </conditionalFormatting>
  <conditionalFormatting sqref="W1709">
    <cfRule type="expression" dxfId="1577" priority="2092">
      <formula>OR($S$1709 = FALSE, AND($P$1709 = FALSE, ReportType &lt;&gt; "Final"), AND($Q$1709 = FALSE, ReportType &lt;&gt; "Rough"))</formula>
    </cfRule>
  </conditionalFormatting>
  <conditionalFormatting sqref="W1709">
    <cfRule type="expression" dxfId="1576" priority="2091">
      <formula>OR($T$1709 = TRUE, AND(LEN(TRIM($W$1709))&gt;0, $S$1709 = FALSE))</formula>
    </cfRule>
  </conditionalFormatting>
  <conditionalFormatting sqref="W1721">
    <cfRule type="expression" dxfId="1575" priority="2090">
      <formula>AND($R$1721,$S$1721)</formula>
    </cfRule>
  </conditionalFormatting>
  <conditionalFormatting sqref="W1721">
    <cfRule type="expression" dxfId="1574" priority="2089">
      <formula>AND($W$1721&lt;&gt;"Not Met",LEN(TRIM($W$1721))&gt;0)</formula>
    </cfRule>
  </conditionalFormatting>
  <conditionalFormatting sqref="W1721">
    <cfRule type="expression" dxfId="1573" priority="2088">
      <formula>OR($S$1721 = FALSE, AND($P$1721 = FALSE, ReportType &lt;&gt; "Final"), AND($Q$1721 = FALSE, ReportType &lt;&gt; "Rough"))</formula>
    </cfRule>
  </conditionalFormatting>
  <conditionalFormatting sqref="W1721">
    <cfRule type="expression" dxfId="1572" priority="2087">
      <formula>OR($T$1721 = TRUE, AND(LEN(TRIM($W$1721))&gt;0, $S$1721 = FALSE))</formula>
    </cfRule>
  </conditionalFormatting>
  <conditionalFormatting sqref="W1726">
    <cfRule type="expression" dxfId="1571" priority="2086">
      <formula>AND($R$1726,$S$1726)</formula>
    </cfRule>
  </conditionalFormatting>
  <conditionalFormatting sqref="W1726">
    <cfRule type="expression" dxfId="1570" priority="2085">
      <formula>AND($W$1726&lt;&gt;"Not Met",LEN(TRIM($W$1726))&gt;0)</formula>
    </cfRule>
  </conditionalFormatting>
  <conditionalFormatting sqref="W1726">
    <cfRule type="expression" dxfId="1569" priority="2084">
      <formula>OR($S$1726 = FALSE, AND($P$1726 = FALSE, ReportType &lt;&gt; "Final"), AND($Q$1726 = FALSE, ReportType &lt;&gt; "Rough"))</formula>
    </cfRule>
  </conditionalFormatting>
  <conditionalFormatting sqref="W1726">
    <cfRule type="expression" dxfId="1568" priority="2083">
      <formula>OR($T$1726 = TRUE, AND(LEN(TRIM($W$1726))&gt;0, $S$1726 = FALSE))</formula>
    </cfRule>
  </conditionalFormatting>
  <conditionalFormatting sqref="W1746">
    <cfRule type="expression" dxfId="1567" priority="2078">
      <formula>AND($R$1746,$S$1746)</formula>
    </cfRule>
  </conditionalFormatting>
  <conditionalFormatting sqref="W1746">
    <cfRule type="expression" dxfId="1566" priority="2077">
      <formula>AND($W$1746&lt;&gt;"Not Met",LEN(TRIM($W$1746))&gt;0)</formula>
    </cfRule>
  </conditionalFormatting>
  <conditionalFormatting sqref="W1746">
    <cfRule type="expression" dxfId="1565" priority="2076">
      <formula>OR($S$1746 = FALSE, AND($P$1746 = FALSE, ReportType &lt;&gt; "Final"), AND($Q$1746 = FALSE, ReportType &lt;&gt; "Rough"))</formula>
    </cfRule>
  </conditionalFormatting>
  <conditionalFormatting sqref="W1746">
    <cfRule type="expression" dxfId="1564" priority="2075">
      <formula>OR($T$1746 = TRUE, AND(LEN(TRIM($W$1746))&gt;0, $S$1746 = FALSE))</formula>
    </cfRule>
  </conditionalFormatting>
  <conditionalFormatting sqref="W1753">
    <cfRule type="expression" dxfId="1563" priority="2070">
      <formula>AND($R$1753,$S$1753)</formula>
    </cfRule>
  </conditionalFormatting>
  <conditionalFormatting sqref="W1753">
    <cfRule type="expression" dxfId="1562" priority="2069">
      <formula>AND($W$1753&lt;&gt;"Not Met",LEN(TRIM($W$1753))&gt;0)</formula>
    </cfRule>
  </conditionalFormatting>
  <conditionalFormatting sqref="W1753">
    <cfRule type="expression" dxfId="1561" priority="2068">
      <formula>OR($S$1753 = FALSE, AND($P$1753 = FALSE, ReportType &lt;&gt; "Final"), AND($Q$1753 = FALSE, ReportType &lt;&gt; "Rough"))</formula>
    </cfRule>
  </conditionalFormatting>
  <conditionalFormatting sqref="W1753">
    <cfRule type="expression" dxfId="1560" priority="2067">
      <formula>OR($T$1753 = TRUE, AND(LEN(TRIM($W$1753))&gt;0, $S$1753 = FALSE))</formula>
    </cfRule>
  </conditionalFormatting>
  <conditionalFormatting sqref="W1760">
    <cfRule type="expression" dxfId="1559" priority="2066">
      <formula>AND($R$1760,$S$1760)</formula>
    </cfRule>
  </conditionalFormatting>
  <conditionalFormatting sqref="W1760">
    <cfRule type="expression" dxfId="1558" priority="2065">
      <formula>AND(IF($R$1760,$W$1760,TRUE),LEN(TRIM($W$1760))&gt;0)</formula>
    </cfRule>
  </conditionalFormatting>
  <conditionalFormatting sqref="W1760">
    <cfRule type="expression" dxfId="1557" priority="2064">
      <formula>OR($S$1760 = FALSE, AND($P$1760 = FALSE, ReportType &lt;&gt; "Final"), AND($Q$1760 = FALSE, ReportType &lt;&gt; "Rough"))</formula>
    </cfRule>
  </conditionalFormatting>
  <conditionalFormatting sqref="W1760">
    <cfRule type="expression" dxfId="1556" priority="2063">
      <formula>OR($T$1760 = TRUE, AND($W$1760 = TRUE, $S$1760 = FALSE))</formula>
    </cfRule>
  </conditionalFormatting>
  <conditionalFormatting sqref="W1763">
    <cfRule type="expression" dxfId="1555" priority="2062">
      <formula>AND($R$1763,$S$1763)</formula>
    </cfRule>
  </conditionalFormatting>
  <conditionalFormatting sqref="W1763">
    <cfRule type="expression" dxfId="1554" priority="2061">
      <formula>AND($W$1763&lt;&gt;"Not Met",LEN(TRIM($W$1763))&gt;0)</formula>
    </cfRule>
  </conditionalFormatting>
  <conditionalFormatting sqref="W1763">
    <cfRule type="expression" dxfId="1553" priority="2060">
      <formula>OR($S$1763 = FALSE, AND($P$1763 = FALSE, ReportType &lt;&gt; "Final"), AND($Q$1763 = FALSE, ReportType &lt;&gt; "Rough"))</formula>
    </cfRule>
  </conditionalFormatting>
  <conditionalFormatting sqref="W1763">
    <cfRule type="expression" dxfId="1552" priority="2059">
      <formula>OR($T$1763 = TRUE, AND(LEN(TRIM($W$1763))&gt;0, $S$1763 = FALSE))</formula>
    </cfRule>
  </conditionalFormatting>
  <conditionalFormatting sqref="W1767">
    <cfRule type="expression" dxfId="1551" priority="2058">
      <formula>AND($R$1767,$S$1767)</formula>
    </cfRule>
  </conditionalFormatting>
  <conditionalFormatting sqref="W1767">
    <cfRule type="expression" dxfId="1550" priority="2057">
      <formula>AND(IF($R$1767,$W$1767,TRUE),LEN(TRIM($W$1767))&gt;0)</formula>
    </cfRule>
  </conditionalFormatting>
  <conditionalFormatting sqref="W1767">
    <cfRule type="expression" dxfId="1549" priority="2056">
      <formula>OR($S$1767 = FALSE, AND($P$1767 = FALSE, ReportType &lt;&gt; "Final"), AND($Q$1767 = FALSE, ReportType &lt;&gt; "Rough"))</formula>
    </cfRule>
  </conditionalFormatting>
  <conditionalFormatting sqref="W1767">
    <cfRule type="expression" dxfId="1548" priority="2055">
      <formula>OR($T$1767 = TRUE, AND($W$1767 = TRUE, $S$1767 = FALSE))</formula>
    </cfRule>
  </conditionalFormatting>
  <conditionalFormatting sqref="W1769">
    <cfRule type="expression" dxfId="1547" priority="2054">
      <formula>AND($R$1769,$S$1769)</formula>
    </cfRule>
  </conditionalFormatting>
  <conditionalFormatting sqref="W1769">
    <cfRule type="expression" dxfId="1546" priority="2053">
      <formula>AND(IF($R$1769,$W$1769,TRUE),LEN(TRIM($W$1769))&gt;0)</formula>
    </cfRule>
  </conditionalFormatting>
  <conditionalFormatting sqref="W1769">
    <cfRule type="expression" dxfId="1545" priority="2052">
      <formula>OR($S$1769 = FALSE, AND($P$1769 = FALSE, ReportType &lt;&gt; "Final"), AND($Q$1769 = FALSE, ReportType &lt;&gt; "Rough"))</formula>
    </cfRule>
  </conditionalFormatting>
  <conditionalFormatting sqref="W1769">
    <cfRule type="expression" dxfId="1544" priority="2051">
      <formula>OR($T$1769 = TRUE, AND($W$1769 = TRUE, $S$1769 = FALSE))</formula>
    </cfRule>
  </conditionalFormatting>
  <conditionalFormatting sqref="W1778">
    <cfRule type="expression" dxfId="1543" priority="2046">
      <formula>AND($R$1778,$S$1778)</formula>
    </cfRule>
  </conditionalFormatting>
  <conditionalFormatting sqref="W1778">
    <cfRule type="expression" dxfId="1542" priority="2045">
      <formula>AND(IF($R$1778,$W$1778,TRUE),LEN(TRIM($W$1778))&gt;0)</formula>
    </cfRule>
  </conditionalFormatting>
  <conditionalFormatting sqref="W1778">
    <cfRule type="expression" dxfId="1541" priority="2044">
      <formula>OR($S$1778 = FALSE, AND($P$1778 = FALSE, ReportType &lt;&gt; "Final"), AND($Q$1778 = FALSE, ReportType &lt;&gt; "Rough"))</formula>
    </cfRule>
  </conditionalFormatting>
  <conditionalFormatting sqref="W1778">
    <cfRule type="expression" dxfId="1540" priority="2043">
      <formula>OR($T$1778 = TRUE, AND($W$1778 = TRUE, $S$1778 = FALSE))</formula>
    </cfRule>
  </conditionalFormatting>
  <conditionalFormatting sqref="W1779">
    <cfRule type="expression" dxfId="1539" priority="2042">
      <formula>AND($R$1779,$S$1779)</formula>
    </cfRule>
  </conditionalFormatting>
  <conditionalFormatting sqref="W1779">
    <cfRule type="expression" dxfId="1538" priority="2041">
      <formula>AND(IF($R$1779,$W$1779,TRUE),LEN(TRIM($W$1779))&gt;0)</formula>
    </cfRule>
  </conditionalFormatting>
  <conditionalFormatting sqref="W1779">
    <cfRule type="expression" dxfId="1537" priority="2040">
      <formula>OR($S$1779 = FALSE, AND($P$1779 = FALSE, ReportType &lt;&gt; "Final"), AND($Q$1779 = FALSE, ReportType &lt;&gt; "Rough"))</formula>
    </cfRule>
  </conditionalFormatting>
  <conditionalFormatting sqref="W1779">
    <cfRule type="expression" dxfId="1536" priority="2039">
      <formula>OR($T$1779 = TRUE, AND($W$1779 = TRUE, $S$1779 = FALSE))</formula>
    </cfRule>
  </conditionalFormatting>
  <conditionalFormatting sqref="W1780">
    <cfRule type="expression" dxfId="1535" priority="2038">
      <formula>AND($R$1780,$S$1780)</formula>
    </cfRule>
  </conditionalFormatting>
  <conditionalFormatting sqref="W1780">
    <cfRule type="expression" dxfId="1534" priority="2037">
      <formula>AND(IF($R$1780,$W$1780,TRUE),LEN(TRIM($W$1780))&gt;0)</formula>
    </cfRule>
  </conditionalFormatting>
  <conditionalFormatting sqref="W1780">
    <cfRule type="expression" dxfId="1533" priority="2036">
      <formula>OR($S$1780 = FALSE, AND($P$1780 = FALSE, ReportType &lt;&gt; "Final"), AND($Q$1780 = FALSE, ReportType &lt;&gt; "Rough"))</formula>
    </cfRule>
  </conditionalFormatting>
  <conditionalFormatting sqref="W1780">
    <cfRule type="expression" dxfId="1532" priority="2035">
      <formula>OR($T$1780 = TRUE, AND($W$1780 = TRUE, $S$1780 = FALSE))</formula>
    </cfRule>
  </conditionalFormatting>
  <conditionalFormatting sqref="W1785">
    <cfRule type="expression" dxfId="1531" priority="2026">
      <formula>AND($R$1785,$S$1785)</formula>
    </cfRule>
  </conditionalFormatting>
  <conditionalFormatting sqref="W1785">
    <cfRule type="expression" dxfId="1530" priority="2025">
      <formula>AND(IF($R$1785,$W$1785,TRUE),LEN(TRIM($W$1785))&gt;0)</formula>
    </cfRule>
  </conditionalFormatting>
  <conditionalFormatting sqref="W1785">
    <cfRule type="expression" dxfId="1529" priority="2024">
      <formula>OR($S$1785 = FALSE, AND($P$1785 = FALSE, ReportType &lt;&gt; "Final"), AND($Q$1785 = FALSE, ReportType &lt;&gt; "Rough"))</formula>
    </cfRule>
  </conditionalFormatting>
  <conditionalFormatting sqref="W1785">
    <cfRule type="expression" dxfId="1528" priority="2023">
      <formula>OR($T$1785 = TRUE, AND($W$1785 = TRUE, $S$1785 = FALSE))</formula>
    </cfRule>
  </conditionalFormatting>
  <conditionalFormatting sqref="W1787">
    <cfRule type="expression" dxfId="1527" priority="2022">
      <formula>AND($R$1787,$S$1787)</formula>
    </cfRule>
  </conditionalFormatting>
  <conditionalFormatting sqref="W1787">
    <cfRule type="expression" dxfId="1526" priority="2021">
      <formula>AND(IF($R$1787,$W$1787,TRUE),LEN(TRIM($W$1787))&gt;0)</formula>
    </cfRule>
  </conditionalFormatting>
  <conditionalFormatting sqref="W1787">
    <cfRule type="expression" dxfId="1525" priority="2020">
      <formula>OR($S$1787 = FALSE, AND($P$1787 = FALSE, ReportType &lt;&gt; "Final"), AND($Q$1787 = FALSE, ReportType &lt;&gt; "Rough"))</formula>
    </cfRule>
  </conditionalFormatting>
  <conditionalFormatting sqref="W1787">
    <cfRule type="expression" dxfId="1524" priority="2019">
      <formula>OR($T$1787 = TRUE, AND($W$1787 = TRUE, $S$1787 = FALSE))</formula>
    </cfRule>
  </conditionalFormatting>
  <conditionalFormatting sqref="W1804">
    <cfRule type="expression" dxfId="1523" priority="2014">
      <formula>AND($R$1804,$S$1804)</formula>
    </cfRule>
  </conditionalFormatting>
  <conditionalFormatting sqref="W1804">
    <cfRule type="expression" dxfId="1522" priority="2013">
      <formula>AND($W$1804&lt;&gt;"Not Met",LEN(TRIM($W$1804))&gt;0)</formula>
    </cfRule>
  </conditionalFormatting>
  <conditionalFormatting sqref="W1804">
    <cfRule type="expression" dxfId="1521" priority="2012">
      <formula>OR($S$1804 = FALSE, AND($P$1804 = FALSE, ReportType &lt;&gt; "Final"), AND($Q$1804 = FALSE, ReportType &lt;&gt; "Rough"))</formula>
    </cfRule>
  </conditionalFormatting>
  <conditionalFormatting sqref="W1804">
    <cfRule type="expression" dxfId="1520" priority="2011">
      <formula>OR($T$1804 = TRUE, AND(LEN(TRIM($W$1804))&gt;0, $S$1804 = FALSE))</formula>
    </cfRule>
  </conditionalFormatting>
  <conditionalFormatting sqref="W1818">
    <cfRule type="expression" dxfId="1519" priority="2010">
      <formula>AND($R$1818,$S$1818)</formula>
    </cfRule>
  </conditionalFormatting>
  <conditionalFormatting sqref="W1818">
    <cfRule type="expression" dxfId="1518" priority="2009">
      <formula>AND($W$1818&lt;&gt;"Not Met",LEN(TRIM($W$1818))&gt;0)</formula>
    </cfRule>
  </conditionalFormatting>
  <conditionalFormatting sqref="W1818">
    <cfRule type="expression" dxfId="1517" priority="2008">
      <formula>OR($S$1818 = FALSE, AND($P$1818 = FALSE, ReportType &lt;&gt; "Final"), AND($Q$1818 = FALSE, ReportType &lt;&gt; "Rough"))</formula>
    </cfRule>
  </conditionalFormatting>
  <conditionalFormatting sqref="W1818">
    <cfRule type="expression" dxfId="1516" priority="2007">
      <formula>OR($T$1818 = TRUE, AND(LEN(TRIM($W$1818))&gt;0, $S$1818 = FALSE))</formula>
    </cfRule>
  </conditionalFormatting>
  <conditionalFormatting sqref="W1820">
    <cfRule type="expression" dxfId="1515" priority="2006">
      <formula>AND($R$1820,$S$1820)</formula>
    </cfRule>
  </conditionalFormatting>
  <conditionalFormatting sqref="W1820">
    <cfRule type="expression" dxfId="1514" priority="2005">
      <formula>AND(IF($R$1820,$W$1820,TRUE),LEN(TRIM($W$1820))&gt;0)</formula>
    </cfRule>
  </conditionalFormatting>
  <conditionalFormatting sqref="W1820">
    <cfRule type="expression" dxfId="1513" priority="2004">
      <formula>OR($S$1820 = FALSE, AND($P$1820 = FALSE, ReportType &lt;&gt; "Final"), AND($Q$1820 = FALSE, ReportType &lt;&gt; "Rough"))</formula>
    </cfRule>
  </conditionalFormatting>
  <conditionalFormatting sqref="W1820">
    <cfRule type="expression" dxfId="1512" priority="2003">
      <formula>OR($T$1820 = TRUE, AND($W$1820 = TRUE, $S$1820 = FALSE))</formula>
    </cfRule>
  </conditionalFormatting>
  <conditionalFormatting sqref="W1821">
    <cfRule type="expression" dxfId="1511" priority="2002">
      <formula>AND($R$1821,$S$1821)</formula>
    </cfRule>
  </conditionalFormatting>
  <conditionalFormatting sqref="W1821">
    <cfRule type="expression" dxfId="1510" priority="2001">
      <formula>AND(IF($R$1821,$W$1821,TRUE),LEN(TRIM($W$1821))&gt;0)</formula>
    </cfRule>
  </conditionalFormatting>
  <conditionalFormatting sqref="W1821">
    <cfRule type="expression" dxfId="1509" priority="2000">
      <formula>OR($S$1821 = FALSE, AND($P$1821 = FALSE, ReportType &lt;&gt; "Final"), AND($Q$1821 = FALSE, ReportType &lt;&gt; "Rough"))</formula>
    </cfRule>
  </conditionalFormatting>
  <conditionalFormatting sqref="W1821">
    <cfRule type="expression" dxfId="1508" priority="1999">
      <formula>OR($T$1821 = TRUE, AND($W$1821 = TRUE, $S$1821 = FALSE))</formula>
    </cfRule>
  </conditionalFormatting>
  <conditionalFormatting sqref="W1846">
    <cfRule type="expression" dxfId="1507" priority="1998">
      <formula>AND($R$1846,$S$1846)</formula>
    </cfRule>
  </conditionalFormatting>
  <conditionalFormatting sqref="W1846">
    <cfRule type="expression" dxfId="1506" priority="1997">
      <formula>AND($W$1846&lt;&gt;"Not Met",LEN(TRIM($W$1846))&gt;0)</formula>
    </cfRule>
  </conditionalFormatting>
  <conditionalFormatting sqref="W1846">
    <cfRule type="expression" dxfId="1505" priority="1996">
      <formula>OR($S$1846 = FALSE, AND($P$1846 = FALSE, ReportType &lt;&gt; "Final"), AND($Q$1846 = FALSE, ReportType &lt;&gt; "Rough"))</formula>
    </cfRule>
  </conditionalFormatting>
  <conditionalFormatting sqref="W1846">
    <cfRule type="expression" dxfId="1504" priority="1995">
      <formula>OR($T$1846 = TRUE, AND(LEN(TRIM($W$1846))&gt;0, $S$1846 = FALSE))</formula>
    </cfRule>
  </conditionalFormatting>
  <conditionalFormatting sqref="W1848">
    <cfRule type="expression" dxfId="1503" priority="1994">
      <formula>AND($R$1848,$S$1848)</formula>
    </cfRule>
  </conditionalFormatting>
  <conditionalFormatting sqref="W1848">
    <cfRule type="expression" dxfId="1502" priority="1993">
      <formula>AND(IF($R$1848,$W$1848,TRUE),LEN(TRIM($W$1848))&gt;0)</formula>
    </cfRule>
  </conditionalFormatting>
  <conditionalFormatting sqref="W1848">
    <cfRule type="expression" dxfId="1501" priority="1992">
      <formula>OR($S$1848 = FALSE, AND($P$1848 = FALSE, ReportType &lt;&gt; "Final"), AND($Q$1848 = FALSE, ReportType &lt;&gt; "Rough"))</formula>
    </cfRule>
  </conditionalFormatting>
  <conditionalFormatting sqref="W1848">
    <cfRule type="expression" dxfId="1500" priority="1991">
      <formula>OR($T$1848 = TRUE, AND($W$1848 = TRUE, $S$1848 = FALSE))</formula>
    </cfRule>
  </conditionalFormatting>
  <conditionalFormatting sqref="W1857">
    <cfRule type="expression" dxfId="1499" priority="1982">
      <formula>AND($R$1857,$S$1857)</formula>
    </cfRule>
  </conditionalFormatting>
  <conditionalFormatting sqref="W1857">
    <cfRule type="expression" dxfId="1498" priority="1981">
      <formula>AND(IF($R$1857,$W$1857,TRUE),LEN(TRIM($W$1857))&gt;0)</formula>
    </cfRule>
  </conditionalFormatting>
  <conditionalFormatting sqref="W1857">
    <cfRule type="expression" dxfId="1497" priority="1980">
      <formula>OR($S$1857 = FALSE, AND($P$1857 = FALSE, ReportType &lt;&gt; "Final"), AND($Q$1857 = FALSE, ReportType &lt;&gt; "Rough"))</formula>
    </cfRule>
  </conditionalFormatting>
  <conditionalFormatting sqref="W1857">
    <cfRule type="expression" dxfId="1496" priority="1979">
      <formula>OR($T$1857 = TRUE, AND($W$1857 = TRUE, $S$1857 = FALSE))</formula>
    </cfRule>
  </conditionalFormatting>
  <conditionalFormatting sqref="W1860">
    <cfRule type="expression" dxfId="1495" priority="1978">
      <formula>AND($R$1860,$S$1860)</formula>
    </cfRule>
  </conditionalFormatting>
  <conditionalFormatting sqref="W1860">
    <cfRule type="expression" dxfId="1494" priority="1977">
      <formula>AND(IF($R$1860,$W$1860,TRUE),LEN(TRIM($W$1860))&gt;0)</formula>
    </cfRule>
  </conditionalFormatting>
  <conditionalFormatting sqref="W1860">
    <cfRule type="expression" dxfId="1493" priority="1976">
      <formula>OR($S$1860 = FALSE, AND($P$1860 = FALSE, ReportType &lt;&gt; "Final"), AND($Q$1860 = FALSE, ReportType &lt;&gt; "Rough"))</formula>
    </cfRule>
  </conditionalFormatting>
  <conditionalFormatting sqref="W1860">
    <cfRule type="expression" dxfId="1492" priority="1975">
      <formula>OR($T$1860 = TRUE, AND($W$1860 = TRUE, $S$1860 = FALSE))</formula>
    </cfRule>
  </conditionalFormatting>
  <conditionalFormatting sqref="W1862">
    <cfRule type="expression" dxfId="1491" priority="1974">
      <formula>AND($R$1862,$S$1862)</formula>
    </cfRule>
  </conditionalFormatting>
  <conditionalFormatting sqref="W1862">
    <cfRule type="expression" dxfId="1490" priority="1973">
      <formula>AND(IF($R$1862,$W$1862,TRUE),LEN(TRIM($W$1862))&gt;0)</formula>
    </cfRule>
  </conditionalFormatting>
  <conditionalFormatting sqref="W1862">
    <cfRule type="expression" dxfId="1489" priority="1972">
      <formula>OR($S$1862 = FALSE, AND($P$1862 = FALSE, ReportType &lt;&gt; "Final"), AND($Q$1862 = FALSE, ReportType &lt;&gt; "Rough"))</formula>
    </cfRule>
  </conditionalFormatting>
  <conditionalFormatting sqref="W1862">
    <cfRule type="expression" dxfId="1488" priority="1971">
      <formula>OR($T$1862 = TRUE, AND($W$1862 = TRUE, $S$1862 = FALSE))</formula>
    </cfRule>
  </conditionalFormatting>
  <conditionalFormatting sqref="W2060">
    <cfRule type="expression" dxfId="1487" priority="1704">
      <formula>AND(R2060,S2060)</formula>
    </cfRule>
  </conditionalFormatting>
  <conditionalFormatting sqref="W2060">
    <cfRule type="expression" dxfId="1486" priority="1703">
      <formula>AND(IF(R2060,W2060,TRUE),LEN(TRIM(W2060))&gt;0)</formula>
    </cfRule>
  </conditionalFormatting>
  <conditionalFormatting sqref="W2060">
    <cfRule type="expression" dxfId="1485" priority="1702">
      <formula>OR(S2060 = FALSE, AND(P2060 = FALSE, ReportType &lt;&gt; "Final"), AND(Q2060 = FALSE, ReportType &lt;&gt; "Rough"))</formula>
    </cfRule>
  </conditionalFormatting>
  <conditionalFormatting sqref="W2060">
    <cfRule type="expression" dxfId="1484" priority="1701">
      <formula>OR(T2060 = TRUE, AND(W2060 = TRUE, S2060 = FALSE))</formula>
    </cfRule>
  </conditionalFormatting>
  <conditionalFormatting sqref="W2062">
    <cfRule type="expression" dxfId="1483" priority="1700">
      <formula>AND(R2062,S2062)</formula>
    </cfRule>
  </conditionalFormatting>
  <conditionalFormatting sqref="W2062">
    <cfRule type="expression" dxfId="1482" priority="1699">
      <formula>AND(IF(R2062,W2062,TRUE),LEN(TRIM(W2062))&gt;0)</formula>
    </cfRule>
  </conditionalFormatting>
  <conditionalFormatting sqref="W2062">
    <cfRule type="expression" dxfId="1481" priority="1698">
      <formula>OR(S2062 = FALSE, AND(P2062 = FALSE, ReportType &lt;&gt; "Final"), AND(Q2062 = FALSE, ReportType &lt;&gt; "Rough"))</formula>
    </cfRule>
  </conditionalFormatting>
  <conditionalFormatting sqref="W2062">
    <cfRule type="expression" dxfId="1480" priority="1697">
      <formula>OR(T2062 = TRUE, AND(W2062 = TRUE, S2062 = FALSE))</formula>
    </cfRule>
  </conditionalFormatting>
  <conditionalFormatting sqref="W2069">
    <cfRule type="expression" dxfId="1479" priority="1696">
      <formula>AND(R2069,S2069)</formula>
    </cfRule>
  </conditionalFormatting>
  <conditionalFormatting sqref="W2069">
    <cfRule type="expression" dxfId="1478" priority="1695">
      <formula>AND(IF(R2069,W2069,TRUE),LEN(TRIM(W2069))&gt;0)</formula>
    </cfRule>
  </conditionalFormatting>
  <conditionalFormatting sqref="W2069">
    <cfRule type="expression" dxfId="1477" priority="1694">
      <formula>OR(S2069 = FALSE, AND(P2069 = FALSE, ReportType &lt;&gt; "Final"), AND(Q2069 = FALSE, ReportType &lt;&gt; "Rough"))</formula>
    </cfRule>
  </conditionalFormatting>
  <conditionalFormatting sqref="W2069">
    <cfRule type="expression" dxfId="1476" priority="1693">
      <formula>OR(T2069 = TRUE, AND(W2069 = TRUE, S2069 = FALSE))</formula>
    </cfRule>
  </conditionalFormatting>
  <conditionalFormatting sqref="W2071">
    <cfRule type="expression" dxfId="1475" priority="1692">
      <formula>AND(R2071,S2071)</formula>
    </cfRule>
  </conditionalFormatting>
  <conditionalFormatting sqref="W2071">
    <cfRule type="expression" dxfId="1474" priority="1691">
      <formula>AND(IF(R2071,W2071,TRUE),LEN(TRIM(W2071))&gt;0)</formula>
    </cfRule>
  </conditionalFormatting>
  <conditionalFormatting sqref="W2071">
    <cfRule type="expression" dxfId="1473" priority="1690">
      <formula>OR(S2071 = FALSE, AND(P2071 = FALSE, ReportType &lt;&gt; "Final"), AND(Q2071 = FALSE, ReportType &lt;&gt; "Rough"))</formula>
    </cfRule>
  </conditionalFormatting>
  <conditionalFormatting sqref="W2071">
    <cfRule type="expression" dxfId="1472" priority="1689">
      <formula>OR(T2071 = TRUE, AND(W2071 = TRUE, S2071 = FALSE))</formula>
    </cfRule>
  </conditionalFormatting>
  <conditionalFormatting sqref="X1938:X1942">
    <cfRule type="expression" dxfId="1471" priority="1688">
      <formula>W1938="N/A"</formula>
    </cfRule>
  </conditionalFormatting>
  <conditionalFormatting sqref="W1878">
    <cfRule type="expression" dxfId="1470" priority="1683">
      <formula>AND($R$1878,$S$1878)</formula>
    </cfRule>
  </conditionalFormatting>
  <conditionalFormatting sqref="W1878">
    <cfRule type="expression" dxfId="1469" priority="1682">
      <formula>AND(IF($R$1878,$W$1878,TRUE),LEN(TRIM($W$1878))&gt;0)</formula>
    </cfRule>
  </conditionalFormatting>
  <conditionalFormatting sqref="W1878">
    <cfRule type="expression" dxfId="1468" priority="1681">
      <formula>OR($S$1878 = FALSE, AND($P$1878 = FALSE, ReportType &lt;&gt; "Final"), AND($Q$1878 = FALSE, ReportType &lt;&gt; "Rough"))</formula>
    </cfRule>
  </conditionalFormatting>
  <conditionalFormatting sqref="W1878">
    <cfRule type="expression" dxfId="1467" priority="1680">
      <formula>OR($T$1878 = TRUE, AND($W$1878 = TRUE, $S$1878 = FALSE))</formula>
    </cfRule>
  </conditionalFormatting>
  <conditionalFormatting sqref="W1884">
    <cfRule type="expression" dxfId="1466" priority="1679">
      <formula>AND($R$1884,$S$1884)</formula>
    </cfRule>
  </conditionalFormatting>
  <conditionalFormatting sqref="W1884">
    <cfRule type="expression" dxfId="1465" priority="1678">
      <formula>AND(IF($R$1884,$W$1884,TRUE),LEN(TRIM($W$1884))&gt;0)</formula>
    </cfRule>
  </conditionalFormatting>
  <conditionalFormatting sqref="W1884">
    <cfRule type="expression" dxfId="1464" priority="1677">
      <formula>OR($S$1884 = FALSE, AND($P$1884 = FALSE, ReportType &lt;&gt; "Final"), AND($Q$1884 = FALSE, ReportType &lt;&gt; "Rough"))</formula>
    </cfRule>
  </conditionalFormatting>
  <conditionalFormatting sqref="W1884">
    <cfRule type="expression" dxfId="1463" priority="1676">
      <formula>OR($T$1884 = TRUE, AND($W$1884 = TRUE, $S$1884 = FALSE))</formula>
    </cfRule>
  </conditionalFormatting>
  <conditionalFormatting sqref="W1889">
    <cfRule type="expression" dxfId="1462" priority="1675">
      <formula>AND($R$1889,$S$1889)</formula>
    </cfRule>
  </conditionalFormatting>
  <conditionalFormatting sqref="W1889">
    <cfRule type="expression" dxfId="1461" priority="1674">
      <formula>AND($W$1889&lt;&gt;"Not Met",LEN(TRIM($W$1889))&gt;0)</formula>
    </cfRule>
  </conditionalFormatting>
  <conditionalFormatting sqref="W1889">
    <cfRule type="expression" dxfId="1460" priority="1673">
      <formula>OR($S$1889 = FALSE, AND($P$1889 = FALSE, ReportType &lt;&gt; "Final"), AND($Q$1889 = FALSE, ReportType &lt;&gt; "Rough"))</formula>
    </cfRule>
  </conditionalFormatting>
  <conditionalFormatting sqref="W1889">
    <cfRule type="expression" dxfId="1459" priority="1672">
      <formula>OR($T$1889 = TRUE, AND(LEN(TRIM($W$1889))&gt;0, $S$1889 = FALSE))</formula>
    </cfRule>
  </conditionalFormatting>
  <conditionalFormatting sqref="W1892">
    <cfRule type="expression" dxfId="1458" priority="1671">
      <formula>AND($R$1892,$S$1892)</formula>
    </cfRule>
  </conditionalFormatting>
  <conditionalFormatting sqref="W1892">
    <cfRule type="expression" dxfId="1457" priority="1670">
      <formula>AND($W$1892&lt;&gt;"Not Met",LEN(TRIM($W$1892))&gt;0)</formula>
    </cfRule>
  </conditionalFormatting>
  <conditionalFormatting sqref="W1892">
    <cfRule type="expression" dxfId="1456" priority="1669">
      <formula>OR($S$1892 = FALSE, AND($P$1892 = FALSE, ReportType &lt;&gt; "Final"), AND($Q$1892 = FALSE, ReportType &lt;&gt; "Rough"))</formula>
    </cfRule>
  </conditionalFormatting>
  <conditionalFormatting sqref="W1892">
    <cfRule type="expression" dxfId="1455" priority="1668">
      <formula>OR($T$1892 = TRUE, AND(LEN(TRIM($W$1892))&gt;0, $S$1892 = FALSE))</formula>
    </cfRule>
  </conditionalFormatting>
  <conditionalFormatting sqref="W1895">
    <cfRule type="expression" dxfId="1454" priority="1667">
      <formula>AND($R$1895,$S$1895)</formula>
    </cfRule>
  </conditionalFormatting>
  <conditionalFormatting sqref="W1895">
    <cfRule type="expression" dxfId="1453" priority="1666">
      <formula>AND($W$1895&lt;&gt;"Not Met",LEN(TRIM($W$1895))&gt;0)</formula>
    </cfRule>
  </conditionalFormatting>
  <conditionalFormatting sqref="W1895">
    <cfRule type="expression" dxfId="1452" priority="1665">
      <formula>OR($S$1895 = FALSE, AND($P$1895 = FALSE, ReportType &lt;&gt; "Final"), AND($Q$1895 = FALSE, ReportType &lt;&gt; "Rough"))</formula>
    </cfRule>
  </conditionalFormatting>
  <conditionalFormatting sqref="W1895">
    <cfRule type="expression" dxfId="1451" priority="1664">
      <formula>OR($T$1895 = TRUE, AND(LEN(TRIM($W$1895))&gt;0, $S$1895 = FALSE))</formula>
    </cfRule>
  </conditionalFormatting>
  <conditionalFormatting sqref="W1900">
    <cfRule type="expression" dxfId="1450" priority="1663">
      <formula>AND($R$1900,$S$1900)</formula>
    </cfRule>
  </conditionalFormatting>
  <conditionalFormatting sqref="W1900">
    <cfRule type="expression" dxfId="1449" priority="1662">
      <formula>AND(IF($R$1900,$W$1900,TRUE),LEN(TRIM($W$1900))&gt;0)</formula>
    </cfRule>
  </conditionalFormatting>
  <conditionalFormatting sqref="W1900">
    <cfRule type="expression" dxfId="1448" priority="1661">
      <formula>OR($S$1900 = FALSE, AND($P$1900 = FALSE, ReportType &lt;&gt; "Final"), AND($Q$1900 = FALSE, ReportType &lt;&gt; "Rough"))</formula>
    </cfRule>
  </conditionalFormatting>
  <conditionalFormatting sqref="W1900">
    <cfRule type="expression" dxfId="1447" priority="1660">
      <formula>OR($T$1900 = TRUE, AND($W$1900 = TRUE, $S$1900 = FALSE))</formula>
    </cfRule>
  </conditionalFormatting>
  <conditionalFormatting sqref="W1903">
    <cfRule type="expression" dxfId="1446" priority="1659">
      <formula>AND($R$1903,$S$1903)</formula>
    </cfRule>
  </conditionalFormatting>
  <conditionalFormatting sqref="W1903">
    <cfRule type="expression" dxfId="1445" priority="1658">
      <formula>AND($W$1903&lt;&gt;"Not Met",LEN(TRIM($W$1903))&gt;0)</formula>
    </cfRule>
  </conditionalFormatting>
  <conditionalFormatting sqref="W1903">
    <cfRule type="expression" dxfId="1444" priority="1657">
      <formula>OR($S$1903 = FALSE, AND($P$1903 = FALSE, ReportType &lt;&gt; "Final"), AND($Q$1903 = FALSE, ReportType &lt;&gt; "Rough"))</formula>
    </cfRule>
  </conditionalFormatting>
  <conditionalFormatting sqref="W1903">
    <cfRule type="expression" dxfId="1443" priority="1656">
      <formula>OR($T$1903 = TRUE, AND(LEN(TRIM($W$1903))&gt;0, $S$1903 = FALSE))</formula>
    </cfRule>
  </conditionalFormatting>
  <conditionalFormatting sqref="W1909">
    <cfRule type="expression" dxfId="1442" priority="1655">
      <formula>AND($R$1909,$S$1909)</formula>
    </cfRule>
  </conditionalFormatting>
  <conditionalFormatting sqref="W1909">
    <cfRule type="expression" dxfId="1441" priority="1654">
      <formula>AND($W$1909&lt;&gt;"Not Met",LEN(TRIM($W$1909))&gt;0)</formula>
    </cfRule>
  </conditionalFormatting>
  <conditionalFormatting sqref="W1909">
    <cfRule type="expression" dxfId="1440" priority="1653">
      <formula>OR($S$1909 = FALSE, AND($P$1909 = FALSE, ReportType &lt;&gt; "Final"), AND($Q$1909 = FALSE, ReportType &lt;&gt; "Rough"))</formula>
    </cfRule>
  </conditionalFormatting>
  <conditionalFormatting sqref="W1909">
    <cfRule type="expression" dxfId="1439" priority="1652">
      <formula>OR($T$1909 = TRUE, AND(LEN(TRIM($W$1909))&gt;0, $S$1909 = FALSE,W1909&lt;&gt;"N/A"))</formula>
    </cfRule>
  </conditionalFormatting>
  <conditionalFormatting sqref="W1912">
    <cfRule type="expression" dxfId="1438" priority="1651">
      <formula>AND($R$1912,$S$1912)</formula>
    </cfRule>
  </conditionalFormatting>
  <conditionalFormatting sqref="W1912">
    <cfRule type="expression" dxfId="1437" priority="1650">
      <formula>AND($W$1912&lt;&gt;"Not Met",LEN(TRIM($W$1912))&gt;0)</formula>
    </cfRule>
  </conditionalFormatting>
  <conditionalFormatting sqref="W1912">
    <cfRule type="expression" dxfId="1436" priority="1649">
      <formula>OR($S$1912 = FALSE, AND($P$1912 = FALSE, ReportType &lt;&gt; "Final"), AND($Q$1912 = FALSE, ReportType &lt;&gt; "Rough"))</formula>
    </cfRule>
  </conditionalFormatting>
  <conditionalFormatting sqref="W1912">
    <cfRule type="expression" dxfId="1435" priority="1648">
      <formula>OR($T$1912 = TRUE, AND(LEN(TRIM($W$1912))&gt;0, $S$1912 = FALSE,W1912&lt;&gt;"N/A"))</formula>
    </cfRule>
  </conditionalFormatting>
  <conditionalFormatting sqref="W1914">
    <cfRule type="expression" dxfId="1434" priority="1647">
      <formula>AND($R$1914,$S$1914)</formula>
    </cfRule>
  </conditionalFormatting>
  <conditionalFormatting sqref="W1914">
    <cfRule type="expression" dxfId="1433" priority="1646">
      <formula>AND($W$1914&lt;&gt;"Not Met",LEN(TRIM($W$1914))&gt;0)</formula>
    </cfRule>
  </conditionalFormatting>
  <conditionalFormatting sqref="W1914">
    <cfRule type="expression" dxfId="1432" priority="1645">
      <formula>OR($S$1914 = FALSE, AND($P$1914 = FALSE, ReportType &lt;&gt; "Final"), AND($Q$1914 = FALSE, ReportType &lt;&gt; "Rough"))</formula>
    </cfRule>
  </conditionalFormatting>
  <conditionalFormatting sqref="W1914">
    <cfRule type="expression" dxfId="1431" priority="1644">
      <formula>OR($T$1914 = TRUE, AND(LEN(TRIM($W$1914))&gt;0, $S$1914 = FALSE,W1914&lt;&gt;"N/A"))</formula>
    </cfRule>
  </conditionalFormatting>
  <conditionalFormatting sqref="W1917">
    <cfRule type="expression" dxfId="1430" priority="1643">
      <formula>AND($R$1917,$S$1917)</formula>
    </cfRule>
  </conditionalFormatting>
  <conditionalFormatting sqref="W1917">
    <cfRule type="expression" dxfId="1429" priority="1642">
      <formula>AND($W$1917&lt;&gt;"Not Met",LEN(TRIM($W$1917))&gt;0)</formula>
    </cfRule>
  </conditionalFormatting>
  <conditionalFormatting sqref="W1917">
    <cfRule type="expression" dxfId="1428" priority="1641">
      <formula>OR($S$1917 = FALSE, AND($P$1917 = FALSE, ReportType &lt;&gt; "Final"), AND($Q$1917 = FALSE, ReportType &lt;&gt; "Rough"))</formula>
    </cfRule>
  </conditionalFormatting>
  <conditionalFormatting sqref="W1917">
    <cfRule type="expression" dxfId="1427" priority="1640">
      <formula>OR($T$1917 = TRUE, AND(LEN(TRIM($W$1917))&gt;0, $S$1917 = FALSE,W1917&lt;&gt;"N/A"))</formula>
    </cfRule>
  </conditionalFormatting>
  <conditionalFormatting sqref="W1919">
    <cfRule type="expression" dxfId="1426" priority="1639">
      <formula>AND($R$1919,$S$1919)</formula>
    </cfRule>
  </conditionalFormatting>
  <conditionalFormatting sqref="W1919">
    <cfRule type="expression" dxfId="1425" priority="1638">
      <formula>AND($W$1919&lt;&gt;"Not Met",LEN(TRIM($W$1919))&gt;0)</formula>
    </cfRule>
  </conditionalFormatting>
  <conditionalFormatting sqref="W1919">
    <cfRule type="expression" dxfId="1424" priority="1637">
      <formula>OR($S$1919 = FALSE, AND($P$1919 = FALSE, ReportType &lt;&gt; "Final"), AND($Q$1919 = FALSE, ReportType &lt;&gt; "Rough"))</formula>
    </cfRule>
  </conditionalFormatting>
  <conditionalFormatting sqref="W1919">
    <cfRule type="expression" dxfId="1423" priority="1636">
      <formula>OR($T$1919 = TRUE, AND(LEN(TRIM($W$1919))&gt;0, $S$1919 = FALSE,W1919&lt;&gt;"N/A"))</formula>
    </cfRule>
  </conditionalFormatting>
  <conditionalFormatting sqref="W1928">
    <cfRule type="expression" dxfId="1422" priority="1635">
      <formula>AND($R$1928,$S$1928)</formula>
    </cfRule>
  </conditionalFormatting>
  <conditionalFormatting sqref="W1928">
    <cfRule type="expression" dxfId="1421" priority="1634">
      <formula>AND(IF($R$1928,$W$1928,TRUE),LEN(TRIM($W$1928))&gt;0)</formula>
    </cfRule>
  </conditionalFormatting>
  <conditionalFormatting sqref="W1928">
    <cfRule type="expression" dxfId="1420" priority="1633">
      <formula>OR($S$1928 = FALSE, AND($P$1928 = FALSE, ReportType &lt;&gt; "Final"), AND($Q$1928 = FALSE, ReportType &lt;&gt; "Rough"))</formula>
    </cfRule>
  </conditionalFormatting>
  <conditionalFormatting sqref="W1928">
    <cfRule type="expression" dxfId="1419" priority="1632">
      <formula>OR($T$1928 = TRUE, AND($W$1928 = TRUE, $S$1928 = FALSE))</formula>
    </cfRule>
  </conditionalFormatting>
  <conditionalFormatting sqref="W1934">
    <cfRule type="expression" dxfId="1418" priority="1631">
      <formula>AND($R$1934,$S$1934)</formula>
    </cfRule>
  </conditionalFormatting>
  <conditionalFormatting sqref="W1934">
    <cfRule type="expression" dxfId="1417" priority="1630">
      <formula>AND(IF($R$1934,$W$1934,TRUE),LEN(TRIM($W$1934))&gt;0)</formula>
    </cfRule>
  </conditionalFormatting>
  <conditionalFormatting sqref="W1934">
    <cfRule type="expression" dxfId="1416" priority="1629">
      <formula>OR($S$1934 = FALSE, AND($P$1934 = FALSE, ReportType &lt;&gt; "Final"), AND($Q$1934 = FALSE, ReportType &lt;&gt; "Rough"))</formula>
    </cfRule>
  </conditionalFormatting>
  <conditionalFormatting sqref="W1934">
    <cfRule type="expression" dxfId="1415" priority="1628">
      <formula>OR($T$1934 = TRUE, AND($W$1934 = TRUE, $S$1934 = FALSE))</formula>
    </cfRule>
  </conditionalFormatting>
  <conditionalFormatting sqref="W1938">
    <cfRule type="expression" dxfId="1414" priority="1627">
      <formula>AND($R$1938,$S$1938)</formula>
    </cfRule>
  </conditionalFormatting>
  <conditionalFormatting sqref="W1938">
    <cfRule type="expression" dxfId="1413" priority="1626">
      <formula>AND($W$1938&lt;&gt;"Not Met",LEN(TRIM($W$1938))&gt;0)</formula>
    </cfRule>
  </conditionalFormatting>
  <conditionalFormatting sqref="W1938">
    <cfRule type="expression" dxfId="1412" priority="1625">
      <formula>OR($S$1938 = FALSE, AND($P$1938 = FALSE, ReportType &lt;&gt; "Final"), AND($Q$1938 = FALSE, ReportType &lt;&gt; "Rough"))</formula>
    </cfRule>
  </conditionalFormatting>
  <conditionalFormatting sqref="W1938">
    <cfRule type="expression" dxfId="1411" priority="1624">
      <formula>OR($T$1938 = TRUE, AND(LEN(TRIM($W$1938))&gt;0, $S$1938 = FALSE))</formula>
    </cfRule>
  </conditionalFormatting>
  <conditionalFormatting sqref="W1943">
    <cfRule type="expression" dxfId="1410" priority="1623">
      <formula>AND($R$1943,$S$1943)</formula>
    </cfRule>
  </conditionalFormatting>
  <conditionalFormatting sqref="W1943">
    <cfRule type="expression" dxfId="1409" priority="1622">
      <formula>AND($W$1943&lt;&gt;"Not Met",LEN(TRIM($W$1943))&gt;0)</formula>
    </cfRule>
  </conditionalFormatting>
  <conditionalFormatting sqref="W1943">
    <cfRule type="expression" dxfId="1408" priority="1621">
      <formula>OR($S$1943 = FALSE, AND($P$1943 = FALSE, ReportType &lt;&gt; "Final"), AND($Q$1943 = FALSE, ReportType &lt;&gt; "Rough"))</formula>
    </cfRule>
  </conditionalFormatting>
  <conditionalFormatting sqref="W1943">
    <cfRule type="expression" dxfId="1407" priority="1620">
      <formula>OR($T$1943 = TRUE, AND(LEN(TRIM($W$1943))&gt;0, $S$1943 = FALSE))</formula>
    </cfRule>
  </conditionalFormatting>
  <conditionalFormatting sqref="W1944">
    <cfRule type="expression" dxfId="1406" priority="1619">
      <formula>AND($R$1944,$S$1944)</formula>
    </cfRule>
  </conditionalFormatting>
  <conditionalFormatting sqref="W1944">
    <cfRule type="expression" dxfId="1405" priority="1618">
      <formula>AND($W$1944&lt;&gt;"Not Met",LEN(TRIM($W$1944))&gt;0)</formula>
    </cfRule>
  </conditionalFormatting>
  <conditionalFormatting sqref="W1944">
    <cfRule type="expression" dxfId="1404" priority="1617">
      <formula>OR($S$1944 = FALSE, AND($P$1944 = FALSE, ReportType &lt;&gt; "Final"), AND($Q$1944 = FALSE, ReportType &lt;&gt; "Rough"))</formula>
    </cfRule>
  </conditionalFormatting>
  <conditionalFormatting sqref="W1944">
    <cfRule type="expression" dxfId="1403" priority="1616">
      <formula>OR($T$1944 = TRUE, AND(LEN(TRIM($W$1944))&gt;0, $S$1944 = FALSE))</formula>
    </cfRule>
  </conditionalFormatting>
  <conditionalFormatting sqref="W1945">
    <cfRule type="expression" dxfId="1402" priority="1615">
      <formula>AND($R$1945,$S$1945)</formula>
    </cfRule>
  </conditionalFormatting>
  <conditionalFormatting sqref="W1945">
    <cfRule type="expression" dxfId="1401" priority="1614">
      <formula>AND($W$1945&lt;&gt;"Not Met",LEN(TRIM($W$1945))&gt;0)</formula>
    </cfRule>
  </conditionalFormatting>
  <conditionalFormatting sqref="W1945">
    <cfRule type="expression" dxfId="1400" priority="1613">
      <formula>OR($S$1945 = FALSE, AND($P$1945 = FALSE, ReportType &lt;&gt; "Final"), AND($Q$1945 = FALSE, ReportType &lt;&gt; "Rough"))</formula>
    </cfRule>
  </conditionalFormatting>
  <conditionalFormatting sqref="W1945">
    <cfRule type="expression" dxfId="1399" priority="1612">
      <formula>OR($T$1945 = TRUE, AND(LEN(TRIM($W$1945))&gt;0, $S$1945 = FALSE))</formula>
    </cfRule>
  </conditionalFormatting>
  <conditionalFormatting sqref="W1946">
    <cfRule type="expression" dxfId="1398" priority="1611">
      <formula>AND($R$1946,$S$1946)</formula>
    </cfRule>
  </conditionalFormatting>
  <conditionalFormatting sqref="W1946">
    <cfRule type="expression" dxfId="1397" priority="1610">
      <formula>AND($W$1946&lt;&gt;"Not Met",LEN(TRIM($W$1946))&gt;0)</formula>
    </cfRule>
  </conditionalFormatting>
  <conditionalFormatting sqref="W1946">
    <cfRule type="expression" dxfId="1396" priority="1609">
      <formula>OR($S$1946 = FALSE, AND($P$1946 = FALSE, ReportType &lt;&gt; "Final"), AND($Q$1946 = FALSE, ReportType &lt;&gt; "Rough"))</formula>
    </cfRule>
  </conditionalFormatting>
  <conditionalFormatting sqref="W1946">
    <cfRule type="expression" dxfId="1395" priority="1608">
      <formula>OR($T$1946 = TRUE, AND(LEN(TRIM($W$1946))&gt;0, $S$1946 = FALSE))</formula>
    </cfRule>
  </conditionalFormatting>
  <conditionalFormatting sqref="W1957">
    <cfRule type="expression" dxfId="1394" priority="1607">
      <formula>AND($R$1957,$S$1957)</formula>
    </cfRule>
  </conditionalFormatting>
  <conditionalFormatting sqref="W1957">
    <cfRule type="expression" dxfId="1393" priority="1606">
      <formula>AND(IF($R$1957,$W$1957,TRUE),LEN(TRIM($W$1957))&gt;0)</formula>
    </cfRule>
  </conditionalFormatting>
  <conditionalFormatting sqref="W1957">
    <cfRule type="expression" dxfId="1392" priority="1605">
      <formula>OR($S$1957 = FALSE, AND($P$1957 = FALSE, ReportType &lt;&gt; "Final"), AND($Q$1957 = FALSE, ReportType &lt;&gt; "Rough"))</formula>
    </cfRule>
  </conditionalFormatting>
  <conditionalFormatting sqref="W1957">
    <cfRule type="expression" dxfId="1391" priority="1604">
      <formula>OR($T$1957 = TRUE, AND($W$1957 = TRUE, $S$1957 = FALSE))</formula>
    </cfRule>
  </conditionalFormatting>
  <conditionalFormatting sqref="W1959">
    <cfRule type="expression" dxfId="1390" priority="1603">
      <formula>AND($R$1959,$S$1959)</formula>
    </cfRule>
  </conditionalFormatting>
  <conditionalFormatting sqref="W1959">
    <cfRule type="expression" dxfId="1389" priority="1602">
      <formula>AND(IF($R$1959,$W$1959,TRUE),LEN(TRIM($W$1959))&gt;0)</formula>
    </cfRule>
  </conditionalFormatting>
  <conditionalFormatting sqref="W1959">
    <cfRule type="expression" dxfId="1388" priority="1601">
      <formula>OR($S$1959 = FALSE, AND($P$1959 = FALSE, ReportType &lt;&gt; "Final"), AND($Q$1959 = FALSE, ReportType &lt;&gt; "Rough"))</formula>
    </cfRule>
  </conditionalFormatting>
  <conditionalFormatting sqref="W1959">
    <cfRule type="expression" dxfId="1387" priority="1600">
      <formula>OR($T$1959 = TRUE, AND($W$1959 = TRUE, $S$1959 = FALSE))</formula>
    </cfRule>
  </conditionalFormatting>
  <conditionalFormatting sqref="W1962">
    <cfRule type="expression" dxfId="1386" priority="1599">
      <formula>AND($R$1962,$S$1962)</formula>
    </cfRule>
  </conditionalFormatting>
  <conditionalFormatting sqref="W1962">
    <cfRule type="expression" dxfId="1385" priority="1598">
      <formula>AND(IF($R$1962,$W$1962,TRUE),LEN(TRIM($W$1962))&gt;0)</formula>
    </cfRule>
  </conditionalFormatting>
  <conditionalFormatting sqref="W1962">
    <cfRule type="expression" dxfId="1384" priority="1597">
      <formula>OR($S$1962 = FALSE, AND($P$1962 = FALSE, ReportType &lt;&gt; "Final"), AND($Q$1962 = FALSE, ReportType &lt;&gt; "Rough"))</formula>
    </cfRule>
  </conditionalFormatting>
  <conditionalFormatting sqref="W1962">
    <cfRule type="expression" dxfId="1383" priority="1596">
      <formula>OR($T$1962 = TRUE, AND($W$1962 = TRUE, $S$1962 = FALSE))</formula>
    </cfRule>
  </conditionalFormatting>
  <conditionalFormatting sqref="W1985">
    <cfRule type="expression" dxfId="1382" priority="1595">
      <formula>AND($R$1985,$S$1985)</formula>
    </cfRule>
  </conditionalFormatting>
  <conditionalFormatting sqref="W1985">
    <cfRule type="expression" dxfId="1381" priority="1594">
      <formula>AND(IF($R$1985,$W$1985,TRUE),LEN(TRIM($W$1985))&gt;0)</formula>
    </cfRule>
  </conditionalFormatting>
  <conditionalFormatting sqref="W1985">
    <cfRule type="expression" dxfId="1380" priority="1593">
      <formula>OR($S$1985 = FALSE, AND($P$1985 = FALSE, ReportType &lt;&gt; "Final"), AND($Q$1985 = FALSE, ReportType &lt;&gt; "Rough"))</formula>
    </cfRule>
  </conditionalFormatting>
  <conditionalFormatting sqref="W1985">
    <cfRule type="expression" dxfId="1379" priority="1592">
      <formula>OR($T$1985 = TRUE, AND($W$1985 = TRUE, $S$1985 = FALSE))</formula>
    </cfRule>
  </conditionalFormatting>
  <conditionalFormatting sqref="W1996">
    <cfRule type="expression" dxfId="1378" priority="1591">
      <formula>AND($R$1996,$S$1996)</formula>
    </cfRule>
  </conditionalFormatting>
  <conditionalFormatting sqref="W1996">
    <cfRule type="expression" dxfId="1377" priority="1590">
      <formula>AND(IF($R$1996,$W$1996,TRUE),LEN(TRIM($W$1996))&gt;0)</formula>
    </cfRule>
  </conditionalFormatting>
  <conditionalFormatting sqref="W1996">
    <cfRule type="expression" dxfId="1376" priority="1589">
      <formula>OR($S$1996 = FALSE, AND($P$1996 = FALSE, ReportType &lt;&gt; "Final"), AND($Q$1996 = FALSE, ReportType &lt;&gt; "Rough"))</formula>
    </cfRule>
  </conditionalFormatting>
  <conditionalFormatting sqref="W1996">
    <cfRule type="expression" dxfId="1375" priority="1588">
      <formula>OR($T$1996 = TRUE, AND($W$1996 = TRUE, $S$1996 = FALSE))</formula>
    </cfRule>
  </conditionalFormatting>
  <conditionalFormatting sqref="W1998">
    <cfRule type="expression" dxfId="1374" priority="1587">
      <formula>AND($R$1998,$S$1998)</formula>
    </cfRule>
  </conditionalFormatting>
  <conditionalFormatting sqref="W1998">
    <cfRule type="expression" dxfId="1373" priority="1586">
      <formula>AND(IF($R$1998,$W$1998,TRUE),LEN(TRIM($W$1998))&gt;0)</formula>
    </cfRule>
  </conditionalFormatting>
  <conditionalFormatting sqref="W1998">
    <cfRule type="expression" dxfId="1372" priority="1585">
      <formula>OR($S$1998 = FALSE, AND($P$1998 = FALSE, ReportType &lt;&gt; "Final"), AND($Q$1998 = FALSE, ReportType &lt;&gt; "Rough"))</formula>
    </cfRule>
  </conditionalFormatting>
  <conditionalFormatting sqref="W1998">
    <cfRule type="expression" dxfId="1371" priority="1584">
      <formula>OR($T$1998 = TRUE, AND($W$1998 = TRUE, $S$1998 = FALSE))</formula>
    </cfRule>
  </conditionalFormatting>
  <conditionalFormatting sqref="W1999">
    <cfRule type="expression" dxfId="1370" priority="1583">
      <formula>AND($R$1999,$S$1999)</formula>
    </cfRule>
  </conditionalFormatting>
  <conditionalFormatting sqref="W1999">
    <cfRule type="expression" dxfId="1369" priority="1582">
      <formula>AND(IF($R$1999,$W$1999,TRUE),LEN(TRIM($W$1999))&gt;0)</formula>
    </cfRule>
  </conditionalFormatting>
  <conditionalFormatting sqref="W1999">
    <cfRule type="expression" dxfId="1368" priority="1581">
      <formula>OR($S$1999 = FALSE, AND($P$1999 = FALSE, ReportType &lt;&gt; "Final"), AND($Q$1999 = FALSE, ReportType &lt;&gt; "Rough"))</formula>
    </cfRule>
  </conditionalFormatting>
  <conditionalFormatting sqref="W1999">
    <cfRule type="expression" dxfId="1367" priority="1580">
      <formula>OR($T$1999 = TRUE, AND($W$1999 = TRUE, $S$1999 = FALSE))</formula>
    </cfRule>
  </conditionalFormatting>
  <conditionalFormatting sqref="W2001">
    <cfRule type="expression" dxfId="1366" priority="1579">
      <formula>AND($R$2001,$S$2001)</formula>
    </cfRule>
  </conditionalFormatting>
  <conditionalFormatting sqref="W2001">
    <cfRule type="expression" dxfId="1365" priority="1578">
      <formula>AND(IF($R$2001,$W$2001,TRUE),LEN(TRIM($W$2001))&gt;0)</formula>
    </cfRule>
  </conditionalFormatting>
  <conditionalFormatting sqref="W2001">
    <cfRule type="expression" dxfId="1364" priority="1577">
      <formula>OR($S$2001 = FALSE, AND($P$2001 = FALSE, ReportType &lt;&gt; "Final"), AND($Q$2001 = FALSE, ReportType &lt;&gt; "Rough"))</formula>
    </cfRule>
  </conditionalFormatting>
  <conditionalFormatting sqref="W2001">
    <cfRule type="expression" dxfId="1363" priority="1576">
      <formula>OR($T$2001 = TRUE, AND($W$2001 = TRUE, $S$2001 = FALSE))</formula>
    </cfRule>
  </conditionalFormatting>
  <conditionalFormatting sqref="W2006">
    <cfRule type="expression" dxfId="1362" priority="1575">
      <formula>AND($R$2006,$S$2006)</formula>
    </cfRule>
  </conditionalFormatting>
  <conditionalFormatting sqref="W2006">
    <cfRule type="expression" dxfId="1361" priority="1574">
      <formula>AND(IF($R$2006,$W$2006,TRUE),LEN(TRIM($W$2006))&gt;0)</formula>
    </cfRule>
  </conditionalFormatting>
  <conditionalFormatting sqref="W2006">
    <cfRule type="expression" dxfId="1360" priority="1573">
      <formula>OR($S$2006 = FALSE, AND($P$2006 = FALSE, ReportType &lt;&gt; "Final"), AND($Q$2006 = FALSE, ReportType &lt;&gt; "Rough"))</formula>
    </cfRule>
  </conditionalFormatting>
  <conditionalFormatting sqref="W2006">
    <cfRule type="expression" dxfId="1359" priority="1572">
      <formula>OR($T$2006 = TRUE, AND($W$2006 = TRUE, $S$2006 = FALSE))</formula>
    </cfRule>
  </conditionalFormatting>
  <conditionalFormatting sqref="W2015">
    <cfRule type="expression" dxfId="1358" priority="1571">
      <formula>AND($R$2015,$S$2015)</formula>
    </cfRule>
  </conditionalFormatting>
  <conditionalFormatting sqref="W2015">
    <cfRule type="expression" dxfId="1357" priority="1570">
      <formula>AND(IF($R$2015,$W$2015,TRUE),LEN(TRIM($W$2015))&gt;0)</formula>
    </cfRule>
  </conditionalFormatting>
  <conditionalFormatting sqref="W2015">
    <cfRule type="expression" dxfId="1356" priority="1569">
      <formula>OR($S$2015 = FALSE, AND($P$2015 = FALSE, ReportType &lt;&gt; "Final"), AND($Q$2015 = FALSE, ReportType &lt;&gt; "Rough"))</formula>
    </cfRule>
  </conditionalFormatting>
  <conditionalFormatting sqref="W2015">
    <cfRule type="expression" dxfId="1355" priority="1568">
      <formula>OR($T$2015 = TRUE, AND($W$2015 = TRUE, $S$2015 = FALSE))</formula>
    </cfRule>
  </conditionalFormatting>
  <conditionalFormatting sqref="W2020">
    <cfRule type="expression" dxfId="1354" priority="1567">
      <formula>AND($R$2020,$S$2020)</formula>
    </cfRule>
  </conditionalFormatting>
  <conditionalFormatting sqref="W2020">
    <cfRule type="expression" dxfId="1353" priority="1566">
      <formula>AND(IF($R$2020,$W$2020,TRUE),LEN(TRIM($W$2020))&gt;0)</formula>
    </cfRule>
  </conditionalFormatting>
  <conditionalFormatting sqref="W2020">
    <cfRule type="expression" dxfId="1352" priority="1565">
      <formula>OR($S$2020 = FALSE, AND($P$2020 = FALSE, ReportType &lt;&gt; "Final"), AND($Q$2020 = FALSE, ReportType &lt;&gt; "Rough"))</formula>
    </cfRule>
  </conditionalFormatting>
  <conditionalFormatting sqref="W2020">
    <cfRule type="expression" dxfId="1351" priority="1564">
      <formula>OR($T$2020 = TRUE, AND($W$2020 = TRUE, $S$2020 = FALSE))</formula>
    </cfRule>
  </conditionalFormatting>
  <conditionalFormatting sqref="W2021">
    <cfRule type="expression" dxfId="1350" priority="1563">
      <formula>AND($R$2021,$S$2021)</formula>
    </cfRule>
  </conditionalFormatting>
  <conditionalFormatting sqref="W2021">
    <cfRule type="expression" dxfId="1349" priority="1562">
      <formula>AND(IF($R$2021,$W$2021,TRUE),LEN(TRIM($W$2021))&gt;0)</formula>
    </cfRule>
  </conditionalFormatting>
  <conditionalFormatting sqref="W2021">
    <cfRule type="expression" dxfId="1348" priority="1561">
      <formula>OR($S$2021 = FALSE, AND($P$2021 = FALSE, ReportType &lt;&gt; "Final"), AND($Q$2021 = FALSE, ReportType &lt;&gt; "Rough"))</formula>
    </cfRule>
  </conditionalFormatting>
  <conditionalFormatting sqref="W2021">
    <cfRule type="expression" dxfId="1347" priority="1560">
      <formula>OR($T$2021 = TRUE, AND($W$2021 = TRUE, $S$2021 = FALSE))</formula>
    </cfRule>
  </conditionalFormatting>
  <conditionalFormatting sqref="W2025">
    <cfRule type="expression" dxfId="1346" priority="1559">
      <formula>AND($R$2025,$S$2025)</formula>
    </cfRule>
  </conditionalFormatting>
  <conditionalFormatting sqref="W2025">
    <cfRule type="expression" dxfId="1345" priority="1558">
      <formula>AND(IF($R$2025,$W$2025,TRUE),LEN(TRIM($W$2025))&gt;0)</formula>
    </cfRule>
  </conditionalFormatting>
  <conditionalFormatting sqref="W2025">
    <cfRule type="expression" dxfId="1344" priority="1557">
      <formula>OR($S$2025 = FALSE, AND($P$2025 = FALSE, ReportType &lt;&gt; "Final"), AND($Q$2025 = FALSE, ReportType &lt;&gt; "Rough"))</formula>
    </cfRule>
  </conditionalFormatting>
  <conditionalFormatting sqref="W2025">
    <cfRule type="expression" dxfId="1343" priority="1556">
      <formula>OR($T$2025 = TRUE, AND($W$2025 = TRUE, $S$2025 = FALSE))</formula>
    </cfRule>
  </conditionalFormatting>
  <conditionalFormatting sqref="W2034">
    <cfRule type="expression" dxfId="1342" priority="1555">
      <formula>AND($R$2034,$S$2034)</formula>
    </cfRule>
  </conditionalFormatting>
  <conditionalFormatting sqref="W2034">
    <cfRule type="expression" dxfId="1341" priority="1554">
      <formula>AND($W$2034&lt;&gt;"Not Met",LEN(TRIM($W$2034))&gt;0)</formula>
    </cfRule>
  </conditionalFormatting>
  <conditionalFormatting sqref="W2034">
    <cfRule type="expression" dxfId="1340" priority="1553">
      <formula>OR($S$2034 = FALSE, AND($P$2034 = FALSE, ReportType &lt;&gt; "Final"), AND($Q$2034 = FALSE, ReportType &lt;&gt; "Rough"))</formula>
    </cfRule>
  </conditionalFormatting>
  <conditionalFormatting sqref="W2034">
    <cfRule type="expression" dxfId="1339" priority="1552">
      <formula>OR($T$2034 = TRUE, AND(LEN(TRIM($W$2034))&gt;0, $S$2034 = FALSE))</formula>
    </cfRule>
  </conditionalFormatting>
  <conditionalFormatting sqref="W2038">
    <cfRule type="expression" dxfId="1338" priority="1551">
      <formula>AND($R$2038,$S$2038)</formula>
    </cfRule>
  </conditionalFormatting>
  <conditionalFormatting sqref="W2038">
    <cfRule type="expression" dxfId="1337" priority="1550">
      <formula>AND(IF($R$2038,$W$2038,TRUE),LEN(TRIM($W$2038))&gt;0)</formula>
    </cfRule>
  </conditionalFormatting>
  <conditionalFormatting sqref="W2038">
    <cfRule type="expression" dxfId="1336" priority="1549">
      <formula>OR($S$2038 = FALSE, AND($P$2038 = FALSE, ReportType &lt;&gt; "Final"), AND($Q$2038 = FALSE, ReportType &lt;&gt; "Rough"))</formula>
    </cfRule>
  </conditionalFormatting>
  <conditionalFormatting sqref="W2038">
    <cfRule type="expression" dxfId="1335" priority="1548">
      <formula>OR($T$2038 = TRUE, AND($W$2038 = TRUE, $S$2038 = FALSE))</formula>
    </cfRule>
  </conditionalFormatting>
  <conditionalFormatting sqref="W2039">
    <cfRule type="expression" dxfId="1334" priority="1547">
      <formula>AND($R$2039,$S$2039)</formula>
    </cfRule>
  </conditionalFormatting>
  <conditionalFormatting sqref="W2039">
    <cfRule type="expression" dxfId="1333" priority="1546">
      <formula>AND(IF($R$2039,$W$2039,TRUE),LEN(TRIM($W$2039))&gt;0)</formula>
    </cfRule>
  </conditionalFormatting>
  <conditionalFormatting sqref="W2039">
    <cfRule type="expression" dxfId="1332" priority="1545">
      <formula>OR($S$2039 = FALSE, AND($P$2039 = FALSE, ReportType &lt;&gt; "Final"), AND($Q$2039 = FALSE, ReportType &lt;&gt; "Rough"))</formula>
    </cfRule>
  </conditionalFormatting>
  <conditionalFormatting sqref="W2039">
    <cfRule type="expression" dxfId="1331" priority="1544">
      <formula>OR($T$2039 = TRUE, AND($W$2039 = TRUE, $S$2039 = FALSE))</formula>
    </cfRule>
  </conditionalFormatting>
  <conditionalFormatting sqref="W2042">
    <cfRule type="expression" dxfId="1330" priority="1543">
      <formula>AND($R$2042,$S$2042)</formula>
    </cfRule>
  </conditionalFormatting>
  <conditionalFormatting sqref="W2042">
    <cfRule type="expression" dxfId="1329" priority="1542">
      <formula>AND(IF($R$2042,$W$2042,TRUE),LEN(TRIM($W$2042))&gt;0)</formula>
    </cfRule>
  </conditionalFormatting>
  <conditionalFormatting sqref="W2042">
    <cfRule type="expression" dxfId="1328" priority="1541">
      <formula>OR($S$2042 = FALSE, AND($P$2042 = FALSE, ReportType &lt;&gt; "Final"), AND($Q$2042 = FALSE, ReportType &lt;&gt; "Rough"))</formula>
    </cfRule>
  </conditionalFormatting>
  <conditionalFormatting sqref="W2042">
    <cfRule type="expression" dxfId="1327" priority="1540">
      <formula>OR($T$2042 = TRUE, AND($W$2042 = TRUE, $S$2042 = FALSE))</formula>
    </cfRule>
  </conditionalFormatting>
  <conditionalFormatting sqref="W2044">
    <cfRule type="expression" dxfId="1326" priority="1539">
      <formula>AND($R$2044,$S$2044)</formula>
    </cfRule>
  </conditionalFormatting>
  <conditionalFormatting sqref="W2044">
    <cfRule type="expression" dxfId="1325" priority="1538">
      <formula>AND(IF($R$2044,$W$2044,TRUE),LEN(TRIM($W$2044))&gt;0)</formula>
    </cfRule>
  </conditionalFormatting>
  <conditionalFormatting sqref="W2044">
    <cfRule type="expression" dxfId="1324" priority="1537">
      <formula>OR($S$2044 = FALSE, AND($P$2044 = FALSE, ReportType &lt;&gt; "Final"), AND($Q$2044 = FALSE, ReportType &lt;&gt; "Rough"))</formula>
    </cfRule>
  </conditionalFormatting>
  <conditionalFormatting sqref="W2044">
    <cfRule type="expression" dxfId="1323" priority="1536">
      <formula>OR($T$2044 = TRUE, AND($W$2044 = TRUE, $S$2044 = FALSE))</formula>
    </cfRule>
  </conditionalFormatting>
  <conditionalFormatting sqref="W2050">
    <cfRule type="expression" dxfId="1322" priority="1535">
      <formula>AND($R$2050,$S$2050)</formula>
    </cfRule>
  </conditionalFormatting>
  <conditionalFormatting sqref="W2050">
    <cfRule type="expression" dxfId="1321" priority="1534">
      <formula>AND(IF($R$2050,$W$2050,TRUE),LEN(TRIM($W$2050))&gt;0)</formula>
    </cfRule>
  </conditionalFormatting>
  <conditionalFormatting sqref="W2050">
    <cfRule type="expression" dxfId="1320" priority="1533">
      <formula>OR($S$2050 = FALSE, AND($P$2050 = FALSE, ReportType &lt;&gt; "Final"), AND($Q$2050 = FALSE, ReportType &lt;&gt; "Rough"))</formula>
    </cfRule>
  </conditionalFormatting>
  <conditionalFormatting sqref="W2050">
    <cfRule type="expression" dxfId="1319" priority="1532">
      <formula>OR($T$2050 = TRUE, AND($W$2050 = TRUE, $S$2050 = FALSE))</formula>
    </cfRule>
  </conditionalFormatting>
  <conditionalFormatting sqref="W2052">
    <cfRule type="expression" dxfId="1318" priority="1531">
      <formula>AND($R$2052,$S$2052)</formula>
    </cfRule>
  </conditionalFormatting>
  <conditionalFormatting sqref="W2052">
    <cfRule type="expression" dxfId="1317" priority="1530">
      <formula>AND(IF($R$2052,$W$2052,TRUE),LEN(TRIM($W$2052))&gt;0)</formula>
    </cfRule>
  </conditionalFormatting>
  <conditionalFormatting sqref="W2052">
    <cfRule type="expression" dxfId="1316" priority="1529">
      <formula>OR($S$2052 = FALSE, AND($P$2052 = FALSE, ReportType &lt;&gt; "Final"), AND($Q$2052 = FALSE, ReportType &lt;&gt; "Rough"))</formula>
    </cfRule>
  </conditionalFormatting>
  <conditionalFormatting sqref="W2052">
    <cfRule type="expression" dxfId="1315" priority="1528">
      <formula>OR($T$2052 = TRUE, AND($W$2052 = TRUE, $S$2052 = FALSE))</formula>
    </cfRule>
  </conditionalFormatting>
  <conditionalFormatting sqref="W2054">
    <cfRule type="expression" dxfId="1314" priority="1527">
      <formula>AND($R$2054,$S$2054)</formula>
    </cfRule>
  </conditionalFormatting>
  <conditionalFormatting sqref="W2054">
    <cfRule type="expression" dxfId="1313" priority="1526">
      <formula>AND($W$2054&lt;&gt;"Not Met",LEN(TRIM($W$2054))&gt;0)</formula>
    </cfRule>
  </conditionalFormatting>
  <conditionalFormatting sqref="W2054">
    <cfRule type="expression" dxfId="1312" priority="1525">
      <formula>OR($S$2054 = FALSE, AND($P$2054 = FALSE, ReportType &lt;&gt; "Final"), AND($Q$2054 = FALSE, ReportType &lt;&gt; "Rough"))</formula>
    </cfRule>
  </conditionalFormatting>
  <conditionalFormatting sqref="W2054">
    <cfRule type="expression" dxfId="1311" priority="1524">
      <formula>OR($T$2054 = TRUE, AND(LEN(TRIM($W$2054))&gt;0, $S$2054 = FALSE))</formula>
    </cfRule>
  </conditionalFormatting>
  <conditionalFormatting sqref="W2056">
    <cfRule type="expression" dxfId="1310" priority="1523">
      <formula>AND($R$2056,$S$2056)</formula>
    </cfRule>
  </conditionalFormatting>
  <conditionalFormatting sqref="W2056">
    <cfRule type="expression" dxfId="1309" priority="1522">
      <formula>AND(IF($R$2056,$W$2056,TRUE),LEN(TRIM($W$2056))&gt;0)</formula>
    </cfRule>
  </conditionalFormatting>
  <conditionalFormatting sqref="W2056">
    <cfRule type="expression" dxfId="1308" priority="1521">
      <formula>OR($S$2056 = FALSE, AND($P$2056 = FALSE, ReportType &lt;&gt; "Final"), AND($Q$2056 = FALSE, ReportType &lt;&gt; "Rough"))</formula>
    </cfRule>
  </conditionalFormatting>
  <conditionalFormatting sqref="W2056">
    <cfRule type="expression" dxfId="1307" priority="1520">
      <formula>OR($T$2056 = TRUE, AND($W$2056 = TRUE, $S$2056 = FALSE))</formula>
    </cfRule>
  </conditionalFormatting>
  <conditionalFormatting sqref="W2063">
    <cfRule type="expression" dxfId="1306" priority="1519">
      <formula>AND($R$2063,$S$2063)</formula>
    </cfRule>
  </conditionalFormatting>
  <conditionalFormatting sqref="W2063">
    <cfRule type="expression" dxfId="1305" priority="1518">
      <formula>AND(IF($R$2063,$W$2063,TRUE),LEN(TRIM($W$2063))&gt;0)</formula>
    </cfRule>
  </conditionalFormatting>
  <conditionalFormatting sqref="W2063">
    <cfRule type="expression" dxfId="1304" priority="1517">
      <formula>OR($S$2063 = FALSE, AND($P$2063 = FALSE, ReportType &lt;&gt; "Final"), AND($Q$2063 = FALSE, ReportType &lt;&gt; "Rough"))</formula>
    </cfRule>
  </conditionalFormatting>
  <conditionalFormatting sqref="W2063">
    <cfRule type="expression" dxfId="1303" priority="1516">
      <formula>OR($T$2063 = TRUE, AND($W$2063 = TRUE, $S$2063 = FALSE))</formula>
    </cfRule>
  </conditionalFormatting>
  <conditionalFormatting sqref="W2074">
    <cfRule type="expression" dxfId="1302" priority="1515">
      <formula>AND($R$2074,$S$2074)</formula>
    </cfRule>
  </conditionalFormatting>
  <conditionalFormatting sqref="W2074">
    <cfRule type="expression" dxfId="1301" priority="1514">
      <formula>AND(IF($R$2074,$W$2074,TRUE),LEN(TRIM($W$2074))&gt;0)</formula>
    </cfRule>
  </conditionalFormatting>
  <conditionalFormatting sqref="W2074">
    <cfRule type="expression" dxfId="1300" priority="1513">
      <formula>OR($S$2074 = FALSE, AND($P$2074 = FALSE, ReportType &lt;&gt; "Final"), AND($Q$2074 = FALSE, ReportType &lt;&gt; "Rough"))</formula>
    </cfRule>
  </conditionalFormatting>
  <conditionalFormatting sqref="W2074">
    <cfRule type="expression" dxfId="1299" priority="1512">
      <formula>OR($T$2074 = TRUE, AND($W$2074 = TRUE, $S$2074 = FALSE))</formula>
    </cfRule>
  </conditionalFormatting>
  <conditionalFormatting sqref="W2076">
    <cfRule type="expression" dxfId="1298" priority="1511">
      <formula>AND($R$2076,$S$2076)</formula>
    </cfRule>
  </conditionalFormatting>
  <conditionalFormatting sqref="W2076">
    <cfRule type="expression" dxfId="1297" priority="1510">
      <formula>AND(IF($R$2076,$W$2076,TRUE),LEN(TRIM($W$2076))&gt;0)</formula>
    </cfRule>
  </conditionalFormatting>
  <conditionalFormatting sqref="W2076">
    <cfRule type="expression" dxfId="1296" priority="1509">
      <formula>OR($S$2076 = FALSE, AND($P$2076 = FALSE, ReportType &lt;&gt; "Final"), AND($Q$2076 = FALSE, ReportType &lt;&gt; "Rough"))</formula>
    </cfRule>
  </conditionalFormatting>
  <conditionalFormatting sqref="W2076">
    <cfRule type="expression" dxfId="1295" priority="1508">
      <formula>OR($T$2076 = TRUE, AND($W$2076 = TRUE, $S$2076 = FALSE))</formula>
    </cfRule>
  </conditionalFormatting>
  <conditionalFormatting sqref="W2078">
    <cfRule type="expression" dxfId="1294" priority="1507">
      <formula>AND($R$2078,$S$2078)</formula>
    </cfRule>
  </conditionalFormatting>
  <conditionalFormatting sqref="W2078">
    <cfRule type="expression" dxfId="1293" priority="1506">
      <formula>AND(IF($R$2078,$W$2078,TRUE),LEN(TRIM($W$2078))&gt;0)</formula>
    </cfRule>
  </conditionalFormatting>
  <conditionalFormatting sqref="W2078">
    <cfRule type="expression" dxfId="1292" priority="1505">
      <formula>OR($S$2078 = FALSE, AND($P$2078 = FALSE, ReportType &lt;&gt; "Final"), AND($Q$2078 = FALSE, ReportType &lt;&gt; "Rough"))</formula>
    </cfRule>
  </conditionalFormatting>
  <conditionalFormatting sqref="W2078">
    <cfRule type="expression" dxfId="1291" priority="1504">
      <formula>OR($T$2078 = TRUE, AND($W$2078 = TRUE, $S$2078 = FALSE))</formula>
    </cfRule>
  </conditionalFormatting>
  <conditionalFormatting sqref="W2085">
    <cfRule type="expression" dxfId="1290" priority="1503">
      <formula>AND($R$2085,$S$2085)</formula>
    </cfRule>
  </conditionalFormatting>
  <conditionalFormatting sqref="W2085">
    <cfRule type="expression" dxfId="1289" priority="1502">
      <formula>AND($W$2085&lt;&gt;"Not Met",LEN(TRIM($W$2085))&gt;0)</formula>
    </cfRule>
  </conditionalFormatting>
  <conditionalFormatting sqref="W2085">
    <cfRule type="expression" dxfId="1288" priority="1501">
      <formula>OR($S$2085 = FALSE, AND($P$2085 = FALSE, ReportType &lt;&gt; "Final"), AND($Q$2085 = FALSE, ReportType &lt;&gt; "Rough"))</formula>
    </cfRule>
  </conditionalFormatting>
  <conditionalFormatting sqref="W2085">
    <cfRule type="expression" dxfId="1287" priority="1500">
      <formula>OR($T$2085 = TRUE, AND(LEN(TRIM($W$2085))&gt;0, $S$2085 = FALSE))</formula>
    </cfRule>
  </conditionalFormatting>
  <conditionalFormatting sqref="W2096">
    <cfRule type="expression" dxfId="1286" priority="1499">
      <formula>AND($R$2096,$S$2096)</formula>
    </cfRule>
  </conditionalFormatting>
  <conditionalFormatting sqref="W2096">
    <cfRule type="expression" dxfId="1285" priority="1498">
      <formula>AND(IF($R$2096,$W$2096,TRUE),LEN(TRIM($W$2096))&gt;0)</formula>
    </cfRule>
  </conditionalFormatting>
  <conditionalFormatting sqref="W2096">
    <cfRule type="expression" dxfId="1284" priority="1497">
      <formula>OR($S$2096 = FALSE, AND($P$2096 = FALSE, ReportType &lt;&gt; "Final"), AND($Q$2096 = FALSE, ReportType &lt;&gt; "Rough"))</formula>
    </cfRule>
  </conditionalFormatting>
  <conditionalFormatting sqref="W2096">
    <cfRule type="expression" dxfId="1283" priority="1496">
      <formula>OR($T$2096 = TRUE, AND($W$2096 = TRUE, $S$2096 = FALSE))</formula>
    </cfRule>
  </conditionalFormatting>
  <conditionalFormatting sqref="W2098">
    <cfRule type="expression" dxfId="1282" priority="1495">
      <formula>AND($R$2098,$S$2098)</formula>
    </cfRule>
  </conditionalFormatting>
  <conditionalFormatting sqref="W2098">
    <cfRule type="expression" dxfId="1281" priority="1494">
      <formula>AND(IF($R$2098,$W$2098,TRUE),LEN(TRIM($W$2098))&gt;0)</formula>
    </cfRule>
  </conditionalFormatting>
  <conditionalFormatting sqref="W2098">
    <cfRule type="expression" dxfId="1280" priority="1493">
      <formula>OR($S$2098 = FALSE, AND($P$2098 = FALSE, ReportType &lt;&gt; "Final"), AND($Q$2098 = FALSE, ReportType &lt;&gt; "Rough"))</formula>
    </cfRule>
  </conditionalFormatting>
  <conditionalFormatting sqref="W2098">
    <cfRule type="expression" dxfId="1279" priority="1492">
      <formula>OR($T$2098 = TRUE, AND($W$2098 = TRUE, $S$2098 = FALSE))</formula>
    </cfRule>
  </conditionalFormatting>
  <conditionalFormatting sqref="W2101">
    <cfRule type="expression" dxfId="1278" priority="1491">
      <formula>AND($R$2101,$S$2101)</formula>
    </cfRule>
  </conditionalFormatting>
  <conditionalFormatting sqref="W2101">
    <cfRule type="expression" dxfId="1277" priority="1490">
      <formula>AND(IF($R$2101,$W$2101,TRUE),LEN(TRIM($W$2101))&gt;0)</formula>
    </cfRule>
  </conditionalFormatting>
  <conditionalFormatting sqref="W2101">
    <cfRule type="expression" dxfId="1276" priority="1489">
      <formula>OR($S$2101 = FALSE, AND($P$2101 = FALSE, ReportType &lt;&gt; "Final"), AND($Q$2101 = FALSE, ReportType &lt;&gt; "Rough"))</formula>
    </cfRule>
  </conditionalFormatting>
  <conditionalFormatting sqref="W2101">
    <cfRule type="expression" dxfId="1275" priority="1488">
      <formula>OR($T$2101 = TRUE, AND($W$2101 = TRUE, $S$2101 = FALSE))</formula>
    </cfRule>
  </conditionalFormatting>
  <conditionalFormatting sqref="W2180">
    <cfRule type="expression" dxfId="1274" priority="1479">
      <formula>AND($R$2180,$S$2180)</formula>
    </cfRule>
  </conditionalFormatting>
  <conditionalFormatting sqref="W2180">
    <cfRule type="expression" dxfId="1273" priority="1478">
      <formula>AND(IF($R$2180,$W$2180,TRUE),LEN(TRIM($W$2180))&gt;0)</formula>
    </cfRule>
  </conditionalFormatting>
  <conditionalFormatting sqref="W2180">
    <cfRule type="expression" dxfId="1272" priority="1477">
      <formula>OR($S$2180 = FALSE, AND($P$2180 = FALSE, ReportType &lt;&gt; "Final"), AND($Q$2180 = FALSE, ReportType &lt;&gt; "Rough"))</formula>
    </cfRule>
  </conditionalFormatting>
  <conditionalFormatting sqref="W2180">
    <cfRule type="expression" dxfId="1271" priority="1476">
      <formula>OR($T$2180 = TRUE, AND($W$2180 = TRUE, $S$2180 = FALSE))</formula>
    </cfRule>
  </conditionalFormatting>
  <conditionalFormatting sqref="W2182">
    <cfRule type="expression" dxfId="1270" priority="1475">
      <formula>AND($R$2182,$S$2182)</formula>
    </cfRule>
  </conditionalFormatting>
  <conditionalFormatting sqref="W2182">
    <cfRule type="expression" dxfId="1269" priority="1474">
      <formula>AND(IF($R$2182,$W$2182,TRUE),LEN(TRIM($W$2182))&gt;0)</formula>
    </cfRule>
  </conditionalFormatting>
  <conditionalFormatting sqref="W2182">
    <cfRule type="expression" dxfId="1268" priority="1473">
      <formula>OR($S$2182 = FALSE, AND($P$2182 = FALSE, ReportType &lt;&gt; "Final"), AND($Q$2182 = FALSE, ReportType &lt;&gt; "Rough"))</formula>
    </cfRule>
  </conditionalFormatting>
  <conditionalFormatting sqref="W2182">
    <cfRule type="expression" dxfId="1267" priority="1472">
      <formula>OR($T$2182 = TRUE, AND($W$2182 = TRUE, $S$2182 = FALSE))</formula>
    </cfRule>
  </conditionalFormatting>
  <conditionalFormatting sqref="W2188">
    <cfRule type="expression" dxfId="1266" priority="1471">
      <formula>AND($R$2188,$S$2188)</formula>
    </cfRule>
  </conditionalFormatting>
  <conditionalFormatting sqref="W2188">
    <cfRule type="expression" dxfId="1265" priority="1470">
      <formula>AND(IF($R$2188,$W$2188,TRUE),LEN(TRIM($W$2188))&gt;0)</formula>
    </cfRule>
  </conditionalFormatting>
  <conditionalFormatting sqref="W2188">
    <cfRule type="expression" dxfId="1264" priority="1469">
      <formula>OR($S$2188 = FALSE, AND($P$2188 = FALSE, ReportType &lt;&gt; "Final"), AND($Q$2188 = FALSE, ReportType &lt;&gt; "Rough"))</formula>
    </cfRule>
  </conditionalFormatting>
  <conditionalFormatting sqref="W2188">
    <cfRule type="expression" dxfId="1263" priority="1468">
      <formula>OR($T$2188 = TRUE, AND($W$2188 = TRUE, $S$2188 = FALSE))</formula>
    </cfRule>
  </conditionalFormatting>
  <conditionalFormatting sqref="W2190">
    <cfRule type="expression" dxfId="1262" priority="1467">
      <formula>AND($R$2190,$S$2190)</formula>
    </cfRule>
  </conditionalFormatting>
  <conditionalFormatting sqref="W2190">
    <cfRule type="expression" dxfId="1261" priority="1466">
      <formula>AND(IF($R$2190,$W$2190,TRUE),LEN(TRIM($W$2190))&gt;0)</formula>
    </cfRule>
  </conditionalFormatting>
  <conditionalFormatting sqref="W2190">
    <cfRule type="expression" dxfId="1260" priority="1465">
      <formula>OR($S$2190 = FALSE, AND($P$2190 = FALSE, ReportType &lt;&gt; "Final"), AND($Q$2190 = FALSE, ReportType &lt;&gt; "Rough"))</formula>
    </cfRule>
  </conditionalFormatting>
  <conditionalFormatting sqref="W2190">
    <cfRule type="expression" dxfId="1259" priority="1464">
      <formula>OR($T$2190 = TRUE, AND($W$2190 = TRUE, $S$2190 = FALSE))</formula>
    </cfRule>
  </conditionalFormatting>
  <conditionalFormatting sqref="W2194">
    <cfRule type="expression" dxfId="1258" priority="1463">
      <formula>AND($R$2194,$S$2194)</formula>
    </cfRule>
  </conditionalFormatting>
  <conditionalFormatting sqref="W2194">
    <cfRule type="expression" dxfId="1257" priority="1462">
      <formula>AND($W$2194&lt;&gt;"Not Met",LEN(TRIM($W$2194))&gt;0)</formula>
    </cfRule>
  </conditionalFormatting>
  <conditionalFormatting sqref="W2194">
    <cfRule type="expression" dxfId="1256" priority="1461">
      <formula>OR($S$2194 = FALSE, AND($P$2194 = FALSE, ReportType &lt;&gt; "Final"), AND($Q$2194 = FALSE, ReportType &lt;&gt; "Rough"))</formula>
    </cfRule>
  </conditionalFormatting>
  <conditionalFormatting sqref="W2194">
    <cfRule type="expression" dxfId="1255" priority="1460">
      <formula>OR($T$2194 = TRUE, AND(LEN(TRIM($W$2194))&gt;0, $S$2194 = FALSE))</formula>
    </cfRule>
  </conditionalFormatting>
  <conditionalFormatting sqref="W2198">
    <cfRule type="expression" dxfId="1254" priority="1459">
      <formula>AND($R$2198,$S$2198)</formula>
    </cfRule>
  </conditionalFormatting>
  <conditionalFormatting sqref="W2198">
    <cfRule type="expression" dxfId="1253" priority="1458">
      <formula>AND($W$2198&lt;&gt;"Not Met",LEN(TRIM($W$2198))&gt;0)</formula>
    </cfRule>
  </conditionalFormatting>
  <conditionalFormatting sqref="W2198">
    <cfRule type="expression" dxfId="1252" priority="1457">
      <formula>OR($S$2198 = FALSE, AND($P$2198 = FALSE, ReportType &lt;&gt; "Final"), AND($Q$2198 = FALSE, ReportType &lt;&gt; "Rough"))</formula>
    </cfRule>
  </conditionalFormatting>
  <conditionalFormatting sqref="W2198">
    <cfRule type="expression" dxfId="1251" priority="1456">
      <formula>OR($T$2198 = TRUE, AND(LEN(TRIM($W$2198))&gt;0, $S$2198 = FALSE))</formula>
    </cfRule>
  </conditionalFormatting>
  <conditionalFormatting sqref="W2204">
    <cfRule type="expression" dxfId="1250" priority="1455">
      <formula>AND($R$2204,$S$2204)</formula>
    </cfRule>
  </conditionalFormatting>
  <conditionalFormatting sqref="W2204">
    <cfRule type="expression" dxfId="1249" priority="1454">
      <formula>AND(IF($R$2204,$W$2204,TRUE),LEN(TRIM($W$2204))&gt;0)</formula>
    </cfRule>
  </conditionalFormatting>
  <conditionalFormatting sqref="W2204">
    <cfRule type="expression" dxfId="1248" priority="1453">
      <formula>OR($S$2204 = FALSE, AND($P$2204 = FALSE, ReportType &lt;&gt; "Final"), AND($Q$2204 = FALSE, ReportType &lt;&gt; "Rough"))</formula>
    </cfRule>
  </conditionalFormatting>
  <conditionalFormatting sqref="W2204">
    <cfRule type="expression" dxfId="1247" priority="1452">
      <formula>OR($T$2204 = TRUE, AND($W$2204 = TRUE, $S$2204 = FALSE))</formula>
    </cfRule>
  </conditionalFormatting>
  <conditionalFormatting sqref="W2205">
    <cfRule type="expression" dxfId="1246" priority="1451">
      <formula>AND($R$2205,$S$2205)</formula>
    </cfRule>
  </conditionalFormatting>
  <conditionalFormatting sqref="W2205">
    <cfRule type="expression" dxfId="1245" priority="1450">
      <formula>AND(IF($R$2205,$W$2205,TRUE),LEN(TRIM($W$2205))&gt;0)</formula>
    </cfRule>
  </conditionalFormatting>
  <conditionalFormatting sqref="W2205">
    <cfRule type="expression" dxfId="1244" priority="1449">
      <formula>OR($S$2205 = FALSE, AND($P$2205 = FALSE, ReportType &lt;&gt; "Final"), AND($Q$2205 = FALSE, ReportType &lt;&gt; "Rough"))</formula>
    </cfRule>
  </conditionalFormatting>
  <conditionalFormatting sqref="W2205">
    <cfRule type="expression" dxfId="1243" priority="1448">
      <formula>OR($T$2205 = TRUE, AND($W$2205 = TRUE, $S$2205 = FALSE))</formula>
    </cfRule>
  </conditionalFormatting>
  <conditionalFormatting sqref="W2210">
    <cfRule type="expression" dxfId="1242" priority="1447">
      <formula>AND($R$2210,$S$2210)</formula>
    </cfRule>
  </conditionalFormatting>
  <conditionalFormatting sqref="W2210">
    <cfRule type="expression" dxfId="1241" priority="1446">
      <formula>AND(IF($R$2210,$W$2210,TRUE),LEN(TRIM($W$2210))&gt;0)</formula>
    </cfRule>
  </conditionalFormatting>
  <conditionalFormatting sqref="W2210">
    <cfRule type="expression" dxfId="1240" priority="1445">
      <formula>OR($S$2210 = FALSE, AND($P$2210 = FALSE, ReportType &lt;&gt; "Final"), AND($Q$2210 = FALSE, ReportType &lt;&gt; "Rough"))</formula>
    </cfRule>
  </conditionalFormatting>
  <conditionalFormatting sqref="W2210">
    <cfRule type="expression" dxfId="1239" priority="1444">
      <formula>OR($T$2210 = TRUE, AND($W$2210 = TRUE, $S$2210 = FALSE))</formula>
    </cfRule>
  </conditionalFormatting>
  <conditionalFormatting sqref="W2215">
    <cfRule type="expression" dxfId="1238" priority="1443">
      <formula>AND($R$2215,$S$2215)</formula>
    </cfRule>
  </conditionalFormatting>
  <conditionalFormatting sqref="W2215">
    <cfRule type="expression" dxfId="1237" priority="1442">
      <formula>AND(IF($R$2215,$W$2215,TRUE),LEN(TRIM($W$2215))&gt;0)</formula>
    </cfRule>
  </conditionalFormatting>
  <conditionalFormatting sqref="W2215">
    <cfRule type="expression" dxfId="1236" priority="1441">
      <formula>OR($S$2215 = FALSE, AND($P$2215 = FALSE, ReportType &lt;&gt; "Final"), AND($Q$2215 = FALSE, ReportType &lt;&gt; "Rough"))</formula>
    </cfRule>
  </conditionalFormatting>
  <conditionalFormatting sqref="W2215">
    <cfRule type="expression" dxfId="1235" priority="1440">
      <formula>OR($T$2215 = TRUE, AND($W$2215 = TRUE, $S$2215 = FALSE))</formula>
    </cfRule>
  </conditionalFormatting>
  <conditionalFormatting sqref="W2232">
    <cfRule type="expression" dxfId="1234" priority="1439">
      <formula>AND($R$2232,$S$2232)</formula>
    </cfRule>
  </conditionalFormatting>
  <conditionalFormatting sqref="W2232">
    <cfRule type="expression" dxfId="1233" priority="1438">
      <formula>AND(IF($R$2232,$W$2232,TRUE),LEN(TRIM($W$2232))&gt;0)</formula>
    </cfRule>
  </conditionalFormatting>
  <conditionalFormatting sqref="W2232">
    <cfRule type="expression" dxfId="1232" priority="1437">
      <formula>OR($S$2232 = FALSE, AND($P$2232 = FALSE, ReportType &lt;&gt; "Final"), AND($Q$2232 = FALSE, ReportType &lt;&gt; "Rough"))</formula>
    </cfRule>
  </conditionalFormatting>
  <conditionalFormatting sqref="W2232">
    <cfRule type="expression" dxfId="1231" priority="1436">
      <formula>OR($T$2232 = TRUE, AND($W$2232 = TRUE, $S$2232 = FALSE))</formula>
    </cfRule>
  </conditionalFormatting>
  <conditionalFormatting sqref="W2237">
    <cfRule type="expression" dxfId="1230" priority="1435">
      <formula>AND($R$2237,$S$2237)</formula>
    </cfRule>
  </conditionalFormatting>
  <conditionalFormatting sqref="W2237">
    <cfRule type="expression" dxfId="1229" priority="1434">
      <formula>AND(IF($R$2237,$W$2237,TRUE),LEN(TRIM($W$2237))&gt;0)</formula>
    </cfRule>
  </conditionalFormatting>
  <conditionalFormatting sqref="W2237">
    <cfRule type="expression" dxfId="1228" priority="1433">
      <formula>OR($S$2237 = FALSE, AND($P$2237 = FALSE, ReportType &lt;&gt; "Final"), AND($Q$2237 = FALSE, ReportType &lt;&gt; "Rough"))</formula>
    </cfRule>
  </conditionalFormatting>
  <conditionalFormatting sqref="W2237">
    <cfRule type="expression" dxfId="1227" priority="1432">
      <formula>OR($T$2237 = TRUE, AND($W$2237 = TRUE, $S$2237 = FALSE))</formula>
    </cfRule>
  </conditionalFormatting>
  <conditionalFormatting sqref="W2258">
    <cfRule type="expression" dxfId="1226" priority="1188">
      <formula>AND($R$2258,$S$2258)</formula>
    </cfRule>
  </conditionalFormatting>
  <conditionalFormatting sqref="W2258">
    <cfRule type="expression" dxfId="1225" priority="1187">
      <formula>AND(IF($R$2258,$W$2258,TRUE),LEN(TRIM($W$2258))&gt;0)</formula>
    </cfRule>
  </conditionalFormatting>
  <conditionalFormatting sqref="W2258">
    <cfRule type="expression" dxfId="1224" priority="1186">
      <formula>OR($S$2258 = FALSE, AND($P$2258 = FALSE, ReportType &lt;&gt; "Final"), AND($Q$2258 = FALSE, ReportType &lt;&gt; "Rough"))</formula>
    </cfRule>
  </conditionalFormatting>
  <conditionalFormatting sqref="W2258">
    <cfRule type="expression" dxfId="1223" priority="1185">
      <formula>OR($T$2258 = TRUE, AND($W$2258 = TRUE, $S$2258 = FALSE))</formula>
    </cfRule>
  </conditionalFormatting>
  <conditionalFormatting sqref="W2259">
    <cfRule type="expression" dxfId="1222" priority="1184">
      <formula>AND($R$2259,$S$2259)</formula>
    </cfRule>
  </conditionalFormatting>
  <conditionalFormatting sqref="W2259">
    <cfRule type="expression" dxfId="1221" priority="1183">
      <formula>AND(IF($R$2259,$W$2259,TRUE),LEN(TRIM($W$2259))&gt;0)</formula>
    </cfRule>
  </conditionalFormatting>
  <conditionalFormatting sqref="W2259">
    <cfRule type="expression" dxfId="1220" priority="1182">
      <formula>OR($S$2259 = FALSE, AND($P$2259 = FALSE, ReportType &lt;&gt; "Final"), AND($Q$2259 = FALSE, ReportType &lt;&gt; "Rough"))</formula>
    </cfRule>
  </conditionalFormatting>
  <conditionalFormatting sqref="W2259">
    <cfRule type="expression" dxfId="1219" priority="1181">
      <formula>OR($T$2259 = TRUE, AND($W$2259 = TRUE, $S$2259 = FALSE))</formula>
    </cfRule>
  </conditionalFormatting>
  <conditionalFormatting sqref="W2260">
    <cfRule type="expression" dxfId="1218" priority="1180">
      <formula>AND($R$2260,$S$2260)</formula>
    </cfRule>
  </conditionalFormatting>
  <conditionalFormatting sqref="W2260">
    <cfRule type="expression" dxfId="1217" priority="1179">
      <formula>AND(IF($R$2260,$W$2260,TRUE),LEN(TRIM($W$2260))&gt;0)</formula>
    </cfRule>
  </conditionalFormatting>
  <conditionalFormatting sqref="W2260">
    <cfRule type="expression" dxfId="1216" priority="1178">
      <formula>OR($S$2260 = FALSE, AND($P$2260 = FALSE, ReportType &lt;&gt; "Final"), AND($Q$2260 = FALSE, ReportType &lt;&gt; "Rough"))</formula>
    </cfRule>
  </conditionalFormatting>
  <conditionalFormatting sqref="W2260">
    <cfRule type="expression" dxfId="1215" priority="1177">
      <formula>OR($T$2260 = TRUE, AND($W$2260 = TRUE, $S$2260 = FALSE))</formula>
    </cfRule>
  </conditionalFormatting>
  <conditionalFormatting sqref="W2264">
    <cfRule type="expression" dxfId="1214" priority="1176">
      <formula>AND($R$2264,$S$2264)</formula>
    </cfRule>
  </conditionalFormatting>
  <conditionalFormatting sqref="W2264">
    <cfRule type="expression" dxfId="1213" priority="1175">
      <formula>AND(IF($R$2264,$W$2264,TRUE),LEN(TRIM($W$2264))&gt;0)</formula>
    </cfRule>
  </conditionalFormatting>
  <conditionalFormatting sqref="W2264">
    <cfRule type="expression" dxfId="1212" priority="1174">
      <formula>OR($S$2264 = FALSE, AND($P$2264 = FALSE, ReportType &lt;&gt; "Final"), AND($Q$2264 = FALSE, ReportType &lt;&gt; "Rough"))</formula>
    </cfRule>
  </conditionalFormatting>
  <conditionalFormatting sqref="W2264">
    <cfRule type="expression" dxfId="1211" priority="1173">
      <formula>OR($T$2264 = TRUE, AND($W$2264 = TRUE, $S$2264 = FALSE))</formula>
    </cfRule>
  </conditionalFormatting>
  <conditionalFormatting sqref="W2265">
    <cfRule type="expression" dxfId="1210" priority="1172">
      <formula>AND($R$2265,$S$2265)</formula>
    </cfRule>
  </conditionalFormatting>
  <conditionalFormatting sqref="W2265">
    <cfRule type="expression" dxfId="1209" priority="1171">
      <formula>AND(IF($R$2265,$W$2265,TRUE),LEN(TRIM($W$2265))&gt;0)</formula>
    </cfRule>
  </conditionalFormatting>
  <conditionalFormatting sqref="W2265">
    <cfRule type="expression" dxfId="1208" priority="1170">
      <formula>OR($S$2265 = FALSE, AND($P$2265 = FALSE, ReportType &lt;&gt; "Final"), AND($Q$2265 = FALSE, ReportType &lt;&gt; "Rough"))</formula>
    </cfRule>
  </conditionalFormatting>
  <conditionalFormatting sqref="W2265">
    <cfRule type="expression" dxfId="1207" priority="1169">
      <formula>OR($T$2265 = TRUE, AND($W$2265 = TRUE, $S$2265 = FALSE))</formula>
    </cfRule>
  </conditionalFormatting>
  <conditionalFormatting sqref="W2266">
    <cfRule type="expression" dxfId="1206" priority="1168">
      <formula>AND($R$2266,$S$2266)</formula>
    </cfRule>
  </conditionalFormatting>
  <conditionalFormatting sqref="W2266">
    <cfRule type="expression" dxfId="1205" priority="1167">
      <formula>AND(IF($R$2266,$W$2266,TRUE),LEN(TRIM($W$2266))&gt;0)</formula>
    </cfRule>
  </conditionalFormatting>
  <conditionalFormatting sqref="W2266">
    <cfRule type="expression" dxfId="1204" priority="1166">
      <formula>OR($S$2266 = FALSE, AND($P$2266 = FALSE, ReportType &lt;&gt; "Final"), AND($Q$2266 = FALSE, ReportType &lt;&gt; "Rough"))</formula>
    </cfRule>
  </conditionalFormatting>
  <conditionalFormatting sqref="W2266">
    <cfRule type="expression" dxfId="1203" priority="1165">
      <formula>OR($T$2266 = TRUE, AND($W$2266 = TRUE, $S$2266 = FALSE))</formula>
    </cfRule>
  </conditionalFormatting>
  <conditionalFormatting sqref="W2268">
    <cfRule type="expression" dxfId="1202" priority="1164">
      <formula>AND($R$2268,$S$2268)</formula>
    </cfRule>
  </conditionalFormatting>
  <conditionalFormatting sqref="W2268">
    <cfRule type="expression" dxfId="1201" priority="1163">
      <formula>AND(IF($R$2268,$W$2268,TRUE),LEN(TRIM($W$2268))&gt;0)</formula>
    </cfRule>
  </conditionalFormatting>
  <conditionalFormatting sqref="W2268">
    <cfRule type="expression" dxfId="1200" priority="1162">
      <formula>OR($S$2268 = FALSE, AND($P$2268 = FALSE, ReportType &lt;&gt; "Final"), AND($Q$2268 = FALSE, ReportType &lt;&gt; "Rough"))</formula>
    </cfRule>
  </conditionalFormatting>
  <conditionalFormatting sqref="W2268">
    <cfRule type="expression" dxfId="1199" priority="1161">
      <formula>OR($T$2268 = TRUE, AND($W$2268 = TRUE, $S$2268 = FALSE))</formula>
    </cfRule>
  </conditionalFormatting>
  <conditionalFormatting sqref="W2270">
    <cfRule type="expression" dxfId="1198" priority="1160">
      <formula>AND($R$2270,$S$2270)</formula>
    </cfRule>
  </conditionalFormatting>
  <conditionalFormatting sqref="W2270">
    <cfRule type="expression" dxfId="1197" priority="1159">
      <formula>AND(IF($R$2270,$W$2270,TRUE),LEN(TRIM($W$2270))&gt;0)</formula>
    </cfRule>
  </conditionalFormatting>
  <conditionalFormatting sqref="W2270">
    <cfRule type="expression" dxfId="1196" priority="1158">
      <formula>OR($S$2270 = FALSE, AND($P$2270 = FALSE, ReportType &lt;&gt; "Final"), AND($Q$2270 = FALSE, ReportType &lt;&gt; "Rough"))</formula>
    </cfRule>
  </conditionalFormatting>
  <conditionalFormatting sqref="W2270">
    <cfRule type="expression" dxfId="1195" priority="1157">
      <formula>OR($T$2270 = TRUE, AND($W$2270 = TRUE, $S$2270 = FALSE))</formula>
    </cfRule>
  </conditionalFormatting>
  <conditionalFormatting sqref="W2271">
    <cfRule type="expression" dxfId="1194" priority="1156">
      <formula>AND($R$2271,$S$2271)</formula>
    </cfRule>
  </conditionalFormatting>
  <conditionalFormatting sqref="W2271">
    <cfRule type="expression" dxfId="1193" priority="1155">
      <formula>AND(IF($R$2271,$W$2271,TRUE),LEN(TRIM($W$2271))&gt;0)</formula>
    </cfRule>
  </conditionalFormatting>
  <conditionalFormatting sqref="W2271">
    <cfRule type="expression" dxfId="1192" priority="1154">
      <formula>OR($S$2271 = FALSE, AND($P$2271 = FALSE, ReportType &lt;&gt; "Final"), AND($Q$2271 = FALSE, ReportType &lt;&gt; "Rough"))</formula>
    </cfRule>
  </conditionalFormatting>
  <conditionalFormatting sqref="W2271">
    <cfRule type="expression" dxfId="1191" priority="1153">
      <formula>OR($T$2271 = TRUE, AND($W$2271 = TRUE, $S$2271 = FALSE))</formula>
    </cfRule>
  </conditionalFormatting>
  <conditionalFormatting sqref="W2273">
    <cfRule type="expression" dxfId="1190" priority="1152">
      <formula>AND($R$2273,$S$2273)</formula>
    </cfRule>
  </conditionalFormatting>
  <conditionalFormatting sqref="W2273">
    <cfRule type="expression" dxfId="1189" priority="1151">
      <formula>AND(IF($R$2273,$W$2273,TRUE),LEN(TRIM($W$2273))&gt;0)</formula>
    </cfRule>
  </conditionalFormatting>
  <conditionalFormatting sqref="W2273">
    <cfRule type="expression" dxfId="1188" priority="1150">
      <formula>OR($S$2273 = FALSE, AND($P$2273 = FALSE, ReportType &lt;&gt; "Final"), AND($Q$2273 = FALSE, ReportType &lt;&gt; "Rough"))</formula>
    </cfRule>
  </conditionalFormatting>
  <conditionalFormatting sqref="W2273">
    <cfRule type="expression" dxfId="1187" priority="1149">
      <formula>OR($T$2273 = TRUE, AND($W$2273 = TRUE, $S$2273 = FALSE))</formula>
    </cfRule>
  </conditionalFormatting>
  <conditionalFormatting sqref="W2274">
    <cfRule type="expression" dxfId="1186" priority="1148">
      <formula>AND($R$2274,$S$2274)</formula>
    </cfRule>
  </conditionalFormatting>
  <conditionalFormatting sqref="W2274">
    <cfRule type="expression" dxfId="1185" priority="1147">
      <formula>AND(IF($R$2274,$W$2274,TRUE),LEN(TRIM($W$2274))&gt;0)</formula>
    </cfRule>
  </conditionalFormatting>
  <conditionalFormatting sqref="W2274">
    <cfRule type="expression" dxfId="1184" priority="1146">
      <formula>OR($S$2274 = FALSE, AND($P$2274 = FALSE, ReportType &lt;&gt; "Final"), AND($Q$2274 = FALSE, ReportType &lt;&gt; "Rough"))</formula>
    </cfRule>
  </conditionalFormatting>
  <conditionalFormatting sqref="W2274">
    <cfRule type="expression" dxfId="1183" priority="1145">
      <formula>OR($T$2274 = TRUE, AND($W$2274 = TRUE, $S$2274 = FALSE))</formula>
    </cfRule>
  </conditionalFormatting>
  <conditionalFormatting sqref="W2275">
    <cfRule type="expression" dxfId="1182" priority="1144">
      <formula>AND($R$2275,$S$2275)</formula>
    </cfRule>
  </conditionalFormatting>
  <conditionalFormatting sqref="W2275">
    <cfRule type="expression" dxfId="1181" priority="1143">
      <formula>AND(IF($R$2275,$W$2275,TRUE),LEN(TRIM($W$2275))&gt;0)</formula>
    </cfRule>
  </conditionalFormatting>
  <conditionalFormatting sqref="W2275">
    <cfRule type="expression" dxfId="1180" priority="1142">
      <formula>OR($S$2275 = FALSE, AND($P$2275 = FALSE, ReportType &lt;&gt; "Final"), AND($Q$2275 = FALSE, ReportType &lt;&gt; "Rough"))</formula>
    </cfRule>
  </conditionalFormatting>
  <conditionalFormatting sqref="W2275">
    <cfRule type="expression" dxfId="1179" priority="1141">
      <formula>OR($T$2275 = TRUE, AND($W$2275 = TRUE, $S$2275 = FALSE))</formula>
    </cfRule>
  </conditionalFormatting>
  <conditionalFormatting sqref="W2281">
    <cfRule type="expression" dxfId="1178" priority="1140">
      <formula>AND($R$2281,$S$2281)</formula>
    </cfRule>
  </conditionalFormatting>
  <conditionalFormatting sqref="W2281">
    <cfRule type="expression" dxfId="1177" priority="1139">
      <formula>AND(IF($R$2281,$W$2281,TRUE),LEN(TRIM($W$2281))&gt;0)</formula>
    </cfRule>
  </conditionalFormatting>
  <conditionalFormatting sqref="W2281">
    <cfRule type="expression" dxfId="1176" priority="1138">
      <formula>OR($S$2281 = FALSE, AND($P$2281 = FALSE, ReportType &lt;&gt; "Final"), AND($Q$2281 = FALSE, ReportType &lt;&gt; "Rough"))</formula>
    </cfRule>
  </conditionalFormatting>
  <conditionalFormatting sqref="W2281">
    <cfRule type="expression" dxfId="1175" priority="1137">
      <formula>OR($T$2281 = TRUE, AND($W$2281 = TRUE, $S$2281 = FALSE))</formula>
    </cfRule>
  </conditionalFormatting>
  <conditionalFormatting sqref="W2285">
    <cfRule type="expression" dxfId="1174" priority="1136">
      <formula>AND($R$2285,$S$2285)</formula>
    </cfRule>
  </conditionalFormatting>
  <conditionalFormatting sqref="W2285">
    <cfRule type="expression" dxfId="1173" priority="1135">
      <formula>AND(IF($R$2285,$W$2285,TRUE),LEN(TRIM($W$2285))&gt;0)</formula>
    </cfRule>
  </conditionalFormatting>
  <conditionalFormatting sqref="W2285">
    <cfRule type="expression" dxfId="1172" priority="1134">
      <formula>OR($S$2285 = FALSE, AND($P$2285 = FALSE, ReportType &lt;&gt; "Final"), AND($Q$2285 = FALSE, ReportType &lt;&gt; "Rough"))</formula>
    </cfRule>
  </conditionalFormatting>
  <conditionalFormatting sqref="W2285">
    <cfRule type="expression" dxfId="1171" priority="1133">
      <formula>OR($T$2285 = TRUE, AND($W$2285 = TRUE, $S$2285 = FALSE))</formula>
    </cfRule>
  </conditionalFormatting>
  <conditionalFormatting sqref="W2287">
    <cfRule type="expression" dxfId="1170" priority="1132">
      <formula>AND($R$2287,$S$2287)</formula>
    </cfRule>
  </conditionalFormatting>
  <conditionalFormatting sqref="W2287">
    <cfRule type="expression" dxfId="1169" priority="1131">
      <formula>AND(IF($R$2287,$W$2287,TRUE),LEN(TRIM($W$2287))&gt;0)</formula>
    </cfRule>
  </conditionalFormatting>
  <conditionalFormatting sqref="W2287">
    <cfRule type="expression" dxfId="1168" priority="1130">
      <formula>OR($S$2287 = FALSE, AND($P$2287 = FALSE, ReportType &lt;&gt; "Final"), AND($Q$2287 = FALSE, ReportType &lt;&gt; "Rough"))</formula>
    </cfRule>
  </conditionalFormatting>
  <conditionalFormatting sqref="W2287">
    <cfRule type="expression" dxfId="1167" priority="1129">
      <formula>OR($T$2287 = TRUE, AND($W$2287 = TRUE, $S$2287 = FALSE))</formula>
    </cfRule>
  </conditionalFormatting>
  <conditionalFormatting sqref="W2289">
    <cfRule type="expression" dxfId="1166" priority="1128">
      <formula>AND($R$2289,$S$2289)</formula>
    </cfRule>
  </conditionalFormatting>
  <conditionalFormatting sqref="W2289">
    <cfRule type="expression" dxfId="1165" priority="1127">
      <formula>AND(IF($R$2289,$W$2289,TRUE),LEN(TRIM($W$2289))&gt;0)</formula>
    </cfRule>
  </conditionalFormatting>
  <conditionalFormatting sqref="W2289">
    <cfRule type="expression" dxfId="1164" priority="1126">
      <formula>OR($S$2289 = FALSE, AND($P$2289 = FALSE, ReportType &lt;&gt; "Final"), AND($Q$2289 = FALSE, ReportType &lt;&gt; "Rough"))</formula>
    </cfRule>
  </conditionalFormatting>
  <conditionalFormatting sqref="W2289">
    <cfRule type="expression" dxfId="1163" priority="1125">
      <formula>OR($T$2289 = TRUE, AND($W$2289 = TRUE, $S$2289 = FALSE))</formula>
    </cfRule>
  </conditionalFormatting>
  <conditionalFormatting sqref="W2290">
    <cfRule type="expression" dxfId="1162" priority="1124">
      <formula>AND($R$2290,$S$2290)</formula>
    </cfRule>
  </conditionalFormatting>
  <conditionalFormatting sqref="W2290">
    <cfRule type="expression" dxfId="1161" priority="1123">
      <formula>AND(IF($R$2290,$W$2290,TRUE),LEN(TRIM($W$2290))&gt;0)</formula>
    </cfRule>
  </conditionalFormatting>
  <conditionalFormatting sqref="W2290">
    <cfRule type="expression" dxfId="1160" priority="1122">
      <formula>OR($S$2290 = FALSE, AND($P$2290 = FALSE, ReportType &lt;&gt; "Final"), AND($Q$2290 = FALSE, ReportType &lt;&gt; "Rough"))</formula>
    </cfRule>
  </conditionalFormatting>
  <conditionalFormatting sqref="W2290">
    <cfRule type="expression" dxfId="1159" priority="1121">
      <formula>OR($T$2290 = TRUE, AND($W$2290 = TRUE, $S$2290 = FALSE))</formula>
    </cfRule>
  </conditionalFormatting>
  <conditionalFormatting sqref="W2292">
    <cfRule type="expression" dxfId="1158" priority="1120">
      <formula>AND($R$2292,$S$2292)</formula>
    </cfRule>
  </conditionalFormatting>
  <conditionalFormatting sqref="W2292">
    <cfRule type="expression" dxfId="1157" priority="1119">
      <formula>AND(IF($R$2292,$W$2292,TRUE),LEN(TRIM($W$2292))&gt;0)</formula>
    </cfRule>
  </conditionalFormatting>
  <conditionalFormatting sqref="W2292">
    <cfRule type="expression" dxfId="1156" priority="1118">
      <formula>OR($S$2292 = FALSE, AND($P$2292 = FALSE, ReportType &lt;&gt; "Final"), AND($Q$2292 = FALSE, ReportType &lt;&gt; "Rough"))</formula>
    </cfRule>
  </conditionalFormatting>
  <conditionalFormatting sqref="W2292">
    <cfRule type="expression" dxfId="1155" priority="1117">
      <formula>OR($T$2292 = TRUE, AND($W$2292 = TRUE, $S$2292 = FALSE))</formula>
    </cfRule>
  </conditionalFormatting>
  <conditionalFormatting sqref="W2294">
    <cfRule type="expression" dxfId="1154" priority="1116">
      <formula>AND($R$2294,$S$2294)</formula>
    </cfRule>
  </conditionalFormatting>
  <conditionalFormatting sqref="W2294">
    <cfRule type="expression" dxfId="1153" priority="1115">
      <formula>AND(IF($R$2294,$W$2294,TRUE),LEN(TRIM($W$2294))&gt;0)</formula>
    </cfRule>
  </conditionalFormatting>
  <conditionalFormatting sqref="W2294">
    <cfRule type="expression" dxfId="1152" priority="1114">
      <formula>OR($S$2294 = FALSE, AND($P$2294 = FALSE, ReportType &lt;&gt; "Final"), AND($Q$2294 = FALSE, ReportType &lt;&gt; "Rough"))</formula>
    </cfRule>
  </conditionalFormatting>
  <conditionalFormatting sqref="W2294">
    <cfRule type="expression" dxfId="1151" priority="1113">
      <formula>OR($T$2294 = TRUE, AND($W$2294 = TRUE, $S$2294 = FALSE))</formula>
    </cfRule>
  </conditionalFormatting>
  <conditionalFormatting sqref="W2295">
    <cfRule type="expression" dxfId="1150" priority="1112">
      <formula>AND($R$2295,$S$2295)</formula>
    </cfRule>
  </conditionalFormatting>
  <conditionalFormatting sqref="W2295">
    <cfRule type="expression" dxfId="1149" priority="1111">
      <formula>AND(IF($R$2295,$W$2295,TRUE),LEN(TRIM($W$2295))&gt;0)</formula>
    </cfRule>
  </conditionalFormatting>
  <conditionalFormatting sqref="W2295">
    <cfRule type="expression" dxfId="1148" priority="1110">
      <formula>OR($S$2295 = FALSE, AND($P$2295 = FALSE, ReportType &lt;&gt; "Final"), AND($Q$2295 = FALSE, ReportType &lt;&gt; "Rough"))</formula>
    </cfRule>
  </conditionalFormatting>
  <conditionalFormatting sqref="W2295">
    <cfRule type="expression" dxfId="1147" priority="1109">
      <formula>OR($T$2295 = TRUE, AND($W$2295 = TRUE, $S$2295 = FALSE))</formula>
    </cfRule>
  </conditionalFormatting>
  <conditionalFormatting sqref="W2297">
    <cfRule type="expression" dxfId="1146" priority="1108">
      <formula>AND($R$2297,$S$2297)</formula>
    </cfRule>
  </conditionalFormatting>
  <conditionalFormatting sqref="W2297">
    <cfRule type="expression" dxfId="1145" priority="1107">
      <formula>AND(IF($R$2297,$W$2297,TRUE),LEN(TRIM($W$2297))&gt;0)</formula>
    </cfRule>
  </conditionalFormatting>
  <conditionalFormatting sqref="W2297">
    <cfRule type="expression" dxfId="1144" priority="1106">
      <formula>OR($S$2297 = FALSE, AND($P$2297 = FALSE, ReportType &lt;&gt; "Final"), AND($Q$2297 = FALSE, ReportType &lt;&gt; "Rough"))</formula>
    </cfRule>
  </conditionalFormatting>
  <conditionalFormatting sqref="W2297">
    <cfRule type="expression" dxfId="1143" priority="1105">
      <formula>OR($T$2297 = TRUE, AND($W$2297 = TRUE, $S$2297 = FALSE))</formula>
    </cfRule>
  </conditionalFormatting>
  <conditionalFormatting sqref="W2299">
    <cfRule type="expression" dxfId="1142" priority="1104">
      <formula>AND($R$2299,$S$2299)</formula>
    </cfRule>
  </conditionalFormatting>
  <conditionalFormatting sqref="W2299">
    <cfRule type="expression" dxfId="1141" priority="1103">
      <formula>AND(IF($R$2299,$W$2299,TRUE),LEN(TRIM($W$2299))&gt;0)</formula>
    </cfRule>
  </conditionalFormatting>
  <conditionalFormatting sqref="W2299">
    <cfRule type="expression" dxfId="1140" priority="1102">
      <formula>OR($S$2299 = FALSE, AND($P$2299 = FALSE, ReportType &lt;&gt; "Final"), AND($Q$2299 = FALSE, ReportType &lt;&gt; "Rough"))</formula>
    </cfRule>
  </conditionalFormatting>
  <conditionalFormatting sqref="W2299">
    <cfRule type="expression" dxfId="1139" priority="1101">
      <formula>OR($T$2299 = TRUE, AND($W$2299 = TRUE, $S$2299 = FALSE))</formula>
    </cfRule>
  </conditionalFormatting>
  <conditionalFormatting sqref="W2301">
    <cfRule type="expression" dxfId="1138" priority="1100">
      <formula>AND($R$2301,$S$2301)</formula>
    </cfRule>
  </conditionalFormatting>
  <conditionalFormatting sqref="W2301">
    <cfRule type="expression" dxfId="1137" priority="1099">
      <formula>AND(IF($R$2301,$W$2301,TRUE),LEN(TRIM($W$2301))&gt;0)</formula>
    </cfRule>
  </conditionalFormatting>
  <conditionalFormatting sqref="W2301">
    <cfRule type="expression" dxfId="1136" priority="1098">
      <formula>OR($S$2301 = FALSE, AND($P$2301 = FALSE, ReportType &lt;&gt; "Final"), AND($Q$2301 = FALSE, ReportType &lt;&gt; "Rough"))</formula>
    </cfRule>
  </conditionalFormatting>
  <conditionalFormatting sqref="W2301">
    <cfRule type="expression" dxfId="1135" priority="1097">
      <formula>OR($T$2301 = TRUE, AND($W$2301 = TRUE, $S$2301 = FALSE))</formula>
    </cfRule>
  </conditionalFormatting>
  <conditionalFormatting sqref="W2302">
    <cfRule type="expression" dxfId="1134" priority="1096">
      <formula>AND($R$2302,$S$2302)</formula>
    </cfRule>
  </conditionalFormatting>
  <conditionalFormatting sqref="W2302">
    <cfRule type="expression" dxfId="1133" priority="1095">
      <formula>AND(IF($R$2302,$W$2302,TRUE),LEN(TRIM($W$2302))&gt;0)</formula>
    </cfRule>
  </conditionalFormatting>
  <conditionalFormatting sqref="W2302">
    <cfRule type="expression" dxfId="1132" priority="1094">
      <formula>OR($S$2302 = FALSE, AND($P$2302 = FALSE, ReportType &lt;&gt; "Final"), AND($Q$2302 = FALSE, ReportType &lt;&gt; "Rough"))</formula>
    </cfRule>
  </conditionalFormatting>
  <conditionalFormatting sqref="W2302">
    <cfRule type="expression" dxfId="1131" priority="1093">
      <formula>OR($T$2302 = TRUE, AND($W$2302 = TRUE, $S$2302 = FALSE))</formula>
    </cfRule>
  </conditionalFormatting>
  <conditionalFormatting sqref="W2303">
    <cfRule type="expression" dxfId="1130" priority="1092">
      <formula>AND($R$2303,$S$2303)</formula>
    </cfRule>
  </conditionalFormatting>
  <conditionalFormatting sqref="W2303">
    <cfRule type="expression" dxfId="1129" priority="1091">
      <formula>AND(IF($R$2303,$W$2303,TRUE),LEN(TRIM($W$2303))&gt;0)</formula>
    </cfRule>
  </conditionalFormatting>
  <conditionalFormatting sqref="W2303">
    <cfRule type="expression" dxfId="1128" priority="1090">
      <formula>OR($S$2303 = FALSE, AND($P$2303 = FALSE, ReportType &lt;&gt; "Final"), AND($Q$2303 = FALSE, ReportType &lt;&gt; "Rough"))</formula>
    </cfRule>
  </conditionalFormatting>
  <conditionalFormatting sqref="W2303">
    <cfRule type="expression" dxfId="1127" priority="1089">
      <formula>OR($T$2303 = TRUE, AND($W$2303 = TRUE, $S$2303 = FALSE))</formula>
    </cfRule>
  </conditionalFormatting>
  <conditionalFormatting sqref="W2325">
    <cfRule type="expression" dxfId="1126" priority="1088">
      <formula>AND($R$2325,$S$2325)</formula>
    </cfRule>
  </conditionalFormatting>
  <conditionalFormatting sqref="W2325">
    <cfRule type="expression" dxfId="1125" priority="1087">
      <formula>AND(IF($R$2325,$W$2325,TRUE),LEN(TRIM($W$2325))&gt;0)</formula>
    </cfRule>
  </conditionalFormatting>
  <conditionalFormatting sqref="W2325">
    <cfRule type="expression" dxfId="1124" priority="1086">
      <formula>OR($S$2325 = FALSE, AND($P$2325 = FALSE, ReportType &lt;&gt; "Final"), AND($Q$2325 = FALSE, ReportType &lt;&gt; "Rough"))</formula>
    </cfRule>
  </conditionalFormatting>
  <conditionalFormatting sqref="W2325">
    <cfRule type="expression" dxfId="1123" priority="1085">
      <formula>OR($T$2325 = TRUE, AND($W$2325 = TRUE, $S$2325 = FALSE))</formula>
    </cfRule>
  </conditionalFormatting>
  <conditionalFormatting sqref="W2328">
    <cfRule type="expression" dxfId="1122" priority="1084">
      <formula>AND($R$2328,$S$2328)</formula>
    </cfRule>
  </conditionalFormatting>
  <conditionalFormatting sqref="W2328">
    <cfRule type="expression" dxfId="1121" priority="1083">
      <formula>AND(IF($R$2328,$W$2328,TRUE),LEN(TRIM($W$2328))&gt;0)</formula>
    </cfRule>
  </conditionalFormatting>
  <conditionalFormatting sqref="W2328">
    <cfRule type="expression" dxfId="1120" priority="1082">
      <formula>OR($S$2328 = FALSE, AND($P$2328 = FALSE, ReportType &lt;&gt; "Final"), AND($Q$2328 = FALSE, ReportType &lt;&gt; "Rough"))</formula>
    </cfRule>
  </conditionalFormatting>
  <conditionalFormatting sqref="W2328">
    <cfRule type="expression" dxfId="1119" priority="1081">
      <formula>OR($T$2328 = TRUE, AND($W$2328 = TRUE, $S$2328 = FALSE))</formula>
    </cfRule>
  </conditionalFormatting>
  <conditionalFormatting sqref="W2331">
    <cfRule type="expression" dxfId="1118" priority="1080">
      <formula>AND($R$2331,$S$2331)</formula>
    </cfRule>
  </conditionalFormatting>
  <conditionalFormatting sqref="W2331">
    <cfRule type="expression" dxfId="1117" priority="1079">
      <formula>AND(IF($R$2331,$W$2331,TRUE),LEN(TRIM($W$2331))&gt;0)</formula>
    </cfRule>
  </conditionalFormatting>
  <conditionalFormatting sqref="W2331">
    <cfRule type="expression" dxfId="1116" priority="1078">
      <formula>OR($S$2331 = FALSE, AND($P$2331 = FALSE, ReportType &lt;&gt; "Final"), AND($Q$2331 = FALSE, ReportType &lt;&gt; "Rough"))</formula>
    </cfRule>
  </conditionalFormatting>
  <conditionalFormatting sqref="W2331">
    <cfRule type="expression" dxfId="1115" priority="1077">
      <formula>OR($T$2331 = TRUE, AND($W$2331 = TRUE, $S$2331 = FALSE))</formula>
    </cfRule>
  </conditionalFormatting>
  <conditionalFormatting sqref="W2333">
    <cfRule type="expression" dxfId="1114" priority="1076">
      <formula>AND($R$2333,$S$2333)</formula>
    </cfRule>
  </conditionalFormatting>
  <conditionalFormatting sqref="W2333">
    <cfRule type="expression" dxfId="1113" priority="1075">
      <formula>AND(IF($R$2333,$W$2333,TRUE),LEN(TRIM($W$2333))&gt;0)</formula>
    </cfRule>
  </conditionalFormatting>
  <conditionalFormatting sqref="W2333">
    <cfRule type="expression" dxfId="1112" priority="1074">
      <formula>OR($S$2333 = FALSE, AND($P$2333 = FALSE, ReportType &lt;&gt; "Final"), AND($Q$2333 = FALSE, ReportType &lt;&gt; "Rough"))</formula>
    </cfRule>
  </conditionalFormatting>
  <conditionalFormatting sqref="W2333">
    <cfRule type="expression" dxfId="1111" priority="1073">
      <formula>OR($T$2333 = TRUE, AND($W$2333 = TRUE, $S$2333 = FALSE))</formula>
    </cfRule>
  </conditionalFormatting>
  <conditionalFormatting sqref="W2334">
    <cfRule type="expression" dxfId="1110" priority="1072">
      <formula>AND($R$2334,$S$2334)</formula>
    </cfRule>
  </conditionalFormatting>
  <conditionalFormatting sqref="W2334">
    <cfRule type="expression" dxfId="1109" priority="1071">
      <formula>AND(IF($R$2334,$W$2334,TRUE),LEN(TRIM($W$2334))&gt;0)</formula>
    </cfRule>
  </conditionalFormatting>
  <conditionalFormatting sqref="W2334">
    <cfRule type="expression" dxfId="1108" priority="1070">
      <formula>OR($S$2334 = FALSE, AND($P$2334 = FALSE, ReportType &lt;&gt; "Final"), AND($Q$2334 = FALSE, ReportType &lt;&gt; "Rough"))</formula>
    </cfRule>
  </conditionalFormatting>
  <conditionalFormatting sqref="W2334">
    <cfRule type="expression" dxfId="1107" priority="1069">
      <formula>OR($T$2334 = TRUE, AND($W$2334 = TRUE, $S$2334 = FALSE))</formula>
    </cfRule>
  </conditionalFormatting>
  <conditionalFormatting sqref="W2336">
    <cfRule type="expression" dxfId="1106" priority="1068">
      <formula>AND($R$2336,$S$2336)</formula>
    </cfRule>
  </conditionalFormatting>
  <conditionalFormatting sqref="W2336">
    <cfRule type="expression" dxfId="1105" priority="1067">
      <formula>AND(IF($R$2336,$W$2336,TRUE),LEN(TRIM($W$2336))&gt;0)</formula>
    </cfRule>
  </conditionalFormatting>
  <conditionalFormatting sqref="W2336">
    <cfRule type="expression" dxfId="1104" priority="1066">
      <formula>OR($S$2336 = FALSE, AND($P$2336 = FALSE, ReportType &lt;&gt; "Final"), AND($Q$2336 = FALSE, ReportType &lt;&gt; "Rough"))</formula>
    </cfRule>
  </conditionalFormatting>
  <conditionalFormatting sqref="W2336">
    <cfRule type="expression" dxfId="1103" priority="1065">
      <formula>OR($T$2336 = TRUE, AND($W$2336 = TRUE, $S$2336 = FALSE))</formula>
    </cfRule>
  </conditionalFormatting>
  <conditionalFormatting sqref="W2337">
    <cfRule type="expression" dxfId="1102" priority="1064">
      <formula>AND($R$2337,$S$2337)</formula>
    </cfRule>
  </conditionalFormatting>
  <conditionalFormatting sqref="W2337">
    <cfRule type="expression" dxfId="1101" priority="1063">
      <formula>AND(IF($R$2337,$W$2337,TRUE),LEN(TRIM($W$2337))&gt;0)</formula>
    </cfRule>
  </conditionalFormatting>
  <conditionalFormatting sqref="W2337">
    <cfRule type="expression" dxfId="1100" priority="1062">
      <formula>OR($S$2337 = FALSE, AND($P$2337 = FALSE, ReportType &lt;&gt; "Final"), AND($Q$2337 = FALSE, ReportType &lt;&gt; "Rough"))</formula>
    </cfRule>
  </conditionalFormatting>
  <conditionalFormatting sqref="W2337">
    <cfRule type="expression" dxfId="1099" priority="1061">
      <formula>OR($T$2337 = TRUE, AND($W$2337 = TRUE, $S$2337 = FALSE))</formula>
    </cfRule>
  </conditionalFormatting>
  <conditionalFormatting sqref="W2338">
    <cfRule type="expression" dxfId="1098" priority="1060">
      <formula>AND($R$2338,$S$2338)</formula>
    </cfRule>
  </conditionalFormatting>
  <conditionalFormatting sqref="W2338">
    <cfRule type="expression" dxfId="1097" priority="1059">
      <formula>AND(IF($R$2338,$W$2338,TRUE),LEN(TRIM($W$2338))&gt;0)</formula>
    </cfRule>
  </conditionalFormatting>
  <conditionalFormatting sqref="W2338">
    <cfRule type="expression" dxfId="1096" priority="1058">
      <formula>OR($S$2338 = FALSE, AND($P$2338 = FALSE, ReportType &lt;&gt; "Final"), AND($Q$2338 = FALSE, ReportType &lt;&gt; "Rough"))</formula>
    </cfRule>
  </conditionalFormatting>
  <conditionalFormatting sqref="W2338">
    <cfRule type="expression" dxfId="1095" priority="1057">
      <formula>OR($T$2338 = TRUE, AND($W$2338 = TRUE, $S$2338 = FALSE))</formula>
    </cfRule>
  </conditionalFormatting>
  <conditionalFormatting sqref="W2344">
    <cfRule type="expression" dxfId="1094" priority="1056">
      <formula>AND($R$2344,$S$2344)</formula>
    </cfRule>
  </conditionalFormatting>
  <conditionalFormatting sqref="W2344">
    <cfRule type="expression" dxfId="1093" priority="1055">
      <formula>AND(IF($R$2344,$W$2344,TRUE),LEN(TRIM($W$2344))&gt;0)</formula>
    </cfRule>
  </conditionalFormatting>
  <conditionalFormatting sqref="W2344">
    <cfRule type="expression" dxfId="1092" priority="1054">
      <formula>OR($S$2344 = FALSE, AND($P$2344 = FALSE, ReportType &lt;&gt; "Final"), AND($Q$2344 = FALSE, ReportType &lt;&gt; "Rough"))</formula>
    </cfRule>
  </conditionalFormatting>
  <conditionalFormatting sqref="W2344">
    <cfRule type="expression" dxfId="1091" priority="1053">
      <formula>OR($T$2344 = TRUE, AND($W$2344 = TRUE, $S$2344 = FALSE))</formula>
    </cfRule>
  </conditionalFormatting>
  <conditionalFormatting sqref="W2346">
    <cfRule type="expression" dxfId="1090" priority="1052">
      <formula>AND($R$2346,$S$2346)</formula>
    </cfRule>
  </conditionalFormatting>
  <conditionalFormatting sqref="W2346">
    <cfRule type="expression" dxfId="1089" priority="1051">
      <formula>AND(IF($R$2346,$W$2346,TRUE),LEN(TRIM($W$2346))&gt;0)</formula>
    </cfRule>
  </conditionalFormatting>
  <conditionalFormatting sqref="W2346">
    <cfRule type="expression" dxfId="1088" priority="1050">
      <formula>OR($S$2346 = FALSE, AND($P$2346 = FALSE, ReportType &lt;&gt; "Final"), AND($Q$2346 = FALSE, ReportType &lt;&gt; "Rough"))</formula>
    </cfRule>
  </conditionalFormatting>
  <conditionalFormatting sqref="W2346">
    <cfRule type="expression" dxfId="1087" priority="1049">
      <formula>OR($T$2346 = TRUE, AND($W$2346 = TRUE, $S$2346 = FALSE))</formula>
    </cfRule>
  </conditionalFormatting>
  <conditionalFormatting sqref="W2349">
    <cfRule type="expression" dxfId="1086" priority="1048">
      <formula>AND($R$2349,$S$2349)</formula>
    </cfRule>
  </conditionalFormatting>
  <conditionalFormatting sqref="W2349">
    <cfRule type="expression" dxfId="1085" priority="1047">
      <formula>AND(IF($R$2349,$W$2349,TRUE),LEN(TRIM($W$2349))&gt;0)</formula>
    </cfRule>
  </conditionalFormatting>
  <conditionalFormatting sqref="W2349">
    <cfRule type="expression" dxfId="1084" priority="1046">
      <formula>OR($S$2349 = FALSE, AND($P$2349 = FALSE, ReportType &lt;&gt; "Final"), AND($Q$2349 = FALSE, ReportType &lt;&gt; "Rough"))</formula>
    </cfRule>
  </conditionalFormatting>
  <conditionalFormatting sqref="W2349">
    <cfRule type="expression" dxfId="1083" priority="1045">
      <formula>OR($T$2349 = TRUE, AND($W$2349 = TRUE, $S$2349 = FALSE))</formula>
    </cfRule>
  </conditionalFormatting>
  <conditionalFormatting sqref="W2351">
    <cfRule type="expression" dxfId="1082" priority="1044">
      <formula>AND($R$2351,$S$2351)</formula>
    </cfRule>
  </conditionalFormatting>
  <conditionalFormatting sqref="W2351">
    <cfRule type="expression" dxfId="1081" priority="1043">
      <formula>AND(IF($R$2351,$W$2351,TRUE),LEN(TRIM($W$2351))&gt;0)</formula>
    </cfRule>
  </conditionalFormatting>
  <conditionalFormatting sqref="W2351">
    <cfRule type="expression" dxfId="1080" priority="1042">
      <formula>OR($S$2351 = FALSE, AND($P$2351 = FALSE, ReportType &lt;&gt; "Final"), AND($Q$2351 = FALSE, ReportType &lt;&gt; "Rough"))</formula>
    </cfRule>
  </conditionalFormatting>
  <conditionalFormatting sqref="W2351">
    <cfRule type="expression" dxfId="1079" priority="1041">
      <formula>OR($T$2351 = TRUE, AND($W$2351 = TRUE, $S$2351 = FALSE))</formula>
    </cfRule>
  </conditionalFormatting>
  <conditionalFormatting sqref="W2354">
    <cfRule type="expression" dxfId="1078" priority="1040">
      <formula>AND($R$2354,$S$2354)</formula>
    </cfRule>
  </conditionalFormatting>
  <conditionalFormatting sqref="W2354">
    <cfRule type="expression" dxfId="1077" priority="1039">
      <formula>AND(IF($R$2354,$W$2354,TRUE),LEN(TRIM($W$2354))&gt;0)</formula>
    </cfRule>
  </conditionalFormatting>
  <conditionalFormatting sqref="W2354">
    <cfRule type="expression" dxfId="1076" priority="1038">
      <formula>OR($S$2354 = FALSE, AND($P$2354 = FALSE, ReportType &lt;&gt; "Final"), AND($Q$2354 = FALSE, ReportType &lt;&gt; "Rough"))</formula>
    </cfRule>
  </conditionalFormatting>
  <conditionalFormatting sqref="W2354">
    <cfRule type="expression" dxfId="1075" priority="1037">
      <formula>OR($T$2354 = TRUE, AND($W$2354 = TRUE, $S$2354 = FALSE))</formula>
    </cfRule>
  </conditionalFormatting>
  <conditionalFormatting sqref="W2356">
    <cfRule type="expression" dxfId="1074" priority="1036">
      <formula>AND($R$2356,$S$2356)</formula>
    </cfRule>
  </conditionalFormatting>
  <conditionalFormatting sqref="W2356">
    <cfRule type="expression" dxfId="1073" priority="1035">
      <formula>AND(IF($R$2356,$W$2356,TRUE),LEN(TRIM($W$2356))&gt;0)</formula>
    </cfRule>
  </conditionalFormatting>
  <conditionalFormatting sqref="W2356">
    <cfRule type="expression" dxfId="1072" priority="1034">
      <formula>OR($S$2356 = FALSE, AND($P$2356 = FALSE, ReportType &lt;&gt; "Final"), AND($Q$2356 = FALSE, ReportType &lt;&gt; "Rough"))</formula>
    </cfRule>
  </conditionalFormatting>
  <conditionalFormatting sqref="W2356">
    <cfRule type="expression" dxfId="1071" priority="1033">
      <formula>OR($T$2356 = TRUE, AND($W$2356 = TRUE, $S$2356 = FALSE))</formula>
    </cfRule>
  </conditionalFormatting>
  <conditionalFormatting sqref="W2357">
    <cfRule type="expression" dxfId="1070" priority="1032">
      <formula>AND($R$2357,$S$2357)</formula>
    </cfRule>
  </conditionalFormatting>
  <conditionalFormatting sqref="W2357">
    <cfRule type="expression" dxfId="1069" priority="1031">
      <formula>AND(IF($R$2357,$W$2357,TRUE),LEN(TRIM($W$2357))&gt;0)</formula>
    </cfRule>
  </conditionalFormatting>
  <conditionalFormatting sqref="W2357">
    <cfRule type="expression" dxfId="1068" priority="1030">
      <formula>OR($S$2357 = FALSE, AND($P$2357 = FALSE, ReportType &lt;&gt; "Final"), AND($Q$2357 = FALSE, ReportType &lt;&gt; "Rough"))</formula>
    </cfRule>
  </conditionalFormatting>
  <conditionalFormatting sqref="W2357">
    <cfRule type="expression" dxfId="1067" priority="1029">
      <formula>OR($T$2357 = TRUE, AND($W$2357 = TRUE, $S$2357 = FALSE))</formula>
    </cfRule>
  </conditionalFormatting>
  <conditionalFormatting sqref="W2359">
    <cfRule type="expression" dxfId="1066" priority="1028">
      <formula>AND($R$2359,$S$2359)</formula>
    </cfRule>
  </conditionalFormatting>
  <conditionalFormatting sqref="W2359">
    <cfRule type="expression" dxfId="1065" priority="1027">
      <formula>AND(IF($R$2359,$W$2359,TRUE),LEN(TRIM($W$2359))&gt;0)</formula>
    </cfRule>
  </conditionalFormatting>
  <conditionalFormatting sqref="W2359">
    <cfRule type="expression" dxfId="1064" priority="1026">
      <formula>OR($S$2359 = FALSE, AND($P$2359 = FALSE, ReportType &lt;&gt; "Final"), AND($Q$2359 = FALSE, ReportType &lt;&gt; "Rough"))</formula>
    </cfRule>
  </conditionalFormatting>
  <conditionalFormatting sqref="W2359">
    <cfRule type="expression" dxfId="1063" priority="1025">
      <formula>OR($T$2359 = TRUE, AND($W$2359 = TRUE, $S$2359 = FALSE))</formula>
    </cfRule>
  </conditionalFormatting>
  <conditionalFormatting sqref="W2361">
    <cfRule type="expression" dxfId="1062" priority="1024">
      <formula>AND($R$2361,$S$2361)</formula>
    </cfRule>
  </conditionalFormatting>
  <conditionalFormatting sqref="W2361">
    <cfRule type="expression" dxfId="1061" priority="1023">
      <formula>AND(IF($R$2361,$W$2361,TRUE),LEN(TRIM($W$2361))&gt;0)</formula>
    </cfRule>
  </conditionalFormatting>
  <conditionalFormatting sqref="W2361">
    <cfRule type="expression" dxfId="1060" priority="1022">
      <formula>OR($S$2361 = FALSE, AND($P$2361 = FALSE, ReportType &lt;&gt; "Final"), AND($Q$2361 = FALSE, ReportType &lt;&gt; "Rough"))</formula>
    </cfRule>
  </conditionalFormatting>
  <conditionalFormatting sqref="W2361">
    <cfRule type="expression" dxfId="1059" priority="1021">
      <formula>OR($T$2361 = TRUE, AND($W$2361 = TRUE, $S$2361 = FALSE))</formula>
    </cfRule>
  </conditionalFormatting>
  <conditionalFormatting sqref="W2362">
    <cfRule type="expression" dxfId="1058" priority="1020">
      <formula>AND($R$2362,$S$2362)</formula>
    </cfRule>
  </conditionalFormatting>
  <conditionalFormatting sqref="W2362">
    <cfRule type="expression" dxfId="1057" priority="1019">
      <formula>AND(IF($R$2362,$W$2362,TRUE),LEN(TRIM($W$2362))&gt;0)</formula>
    </cfRule>
  </conditionalFormatting>
  <conditionalFormatting sqref="W2362">
    <cfRule type="expression" dxfId="1056" priority="1018">
      <formula>OR($S$2362 = FALSE, AND($P$2362 = FALSE, ReportType &lt;&gt; "Final"), AND($Q$2362 = FALSE, ReportType &lt;&gt; "Rough"))</formula>
    </cfRule>
  </conditionalFormatting>
  <conditionalFormatting sqref="W2362">
    <cfRule type="expression" dxfId="1055" priority="1017">
      <formula>OR($T$2362 = TRUE, AND($W$2362 = TRUE, $S$2362 = FALSE))</formula>
    </cfRule>
  </conditionalFormatting>
  <conditionalFormatting sqref="W2365">
    <cfRule type="expression" dxfId="1054" priority="1016">
      <formula>AND($R$2365,$S$2365)</formula>
    </cfRule>
  </conditionalFormatting>
  <conditionalFormatting sqref="W2365">
    <cfRule type="expression" dxfId="1053" priority="1015">
      <formula>AND(IF($R$2365,$W$2365,TRUE),LEN(TRIM($W$2365))&gt;0)</formula>
    </cfRule>
  </conditionalFormatting>
  <conditionalFormatting sqref="W2365">
    <cfRule type="expression" dxfId="1052" priority="1014">
      <formula>OR($S$2365 = FALSE, AND($P$2365 = FALSE, ReportType &lt;&gt; "Final"), AND($Q$2365 = FALSE, ReportType &lt;&gt; "Rough"))</formula>
    </cfRule>
  </conditionalFormatting>
  <conditionalFormatting sqref="W2365">
    <cfRule type="expression" dxfId="1051" priority="1013">
      <formula>OR($T$2365 = TRUE, AND($W$2365 = TRUE, $S$2365 = FALSE))</formula>
    </cfRule>
  </conditionalFormatting>
  <conditionalFormatting sqref="W2371">
    <cfRule type="expression" dxfId="1050" priority="1012">
      <formula>AND($R$2371,$S$2371)</formula>
    </cfRule>
  </conditionalFormatting>
  <conditionalFormatting sqref="W2371">
    <cfRule type="expression" dxfId="1049" priority="1011">
      <formula>AND(IF($R$2371,$W$2371,TRUE),LEN(TRIM($W$2371))&gt;0)</formula>
    </cfRule>
  </conditionalFormatting>
  <conditionalFormatting sqref="W2371">
    <cfRule type="expression" dxfId="1048" priority="1010">
      <formula>OR($S$2371 = FALSE, AND($P$2371 = FALSE, ReportType &lt;&gt; "Final"), AND($Q$2371 = FALSE, ReportType &lt;&gt; "Rough"))</formula>
    </cfRule>
  </conditionalFormatting>
  <conditionalFormatting sqref="W2371">
    <cfRule type="expression" dxfId="1047" priority="1009">
      <formula>OR($T$2371 = TRUE, AND($W$2371 = TRUE, $S$2371 = FALSE))</formula>
    </cfRule>
  </conditionalFormatting>
  <conditionalFormatting sqref="W2373">
    <cfRule type="expression" dxfId="1046" priority="1008">
      <formula>AND($R$2373,$S$2373)</formula>
    </cfRule>
  </conditionalFormatting>
  <conditionalFormatting sqref="W2373">
    <cfRule type="expression" dxfId="1045" priority="1007">
      <formula>AND(IF($R$2373,$W$2373,TRUE),LEN(TRIM($W$2373))&gt;0)</formula>
    </cfRule>
  </conditionalFormatting>
  <conditionalFormatting sqref="W2373">
    <cfRule type="expression" dxfId="1044" priority="1006">
      <formula>OR($S$2373 = FALSE, AND($P$2373 = FALSE, ReportType &lt;&gt; "Final"), AND($Q$2373 = FALSE, ReportType &lt;&gt; "Rough"))</formula>
    </cfRule>
  </conditionalFormatting>
  <conditionalFormatting sqref="W2373">
    <cfRule type="expression" dxfId="1043" priority="1005">
      <formula>OR($T$2373 = TRUE, AND($W$2373 = TRUE, $S$2373 = FALSE))</formula>
    </cfRule>
  </conditionalFormatting>
  <conditionalFormatting sqref="W2377">
    <cfRule type="expression" dxfId="1042" priority="1004">
      <formula>AND($R$2377,$S$2377)</formula>
    </cfRule>
  </conditionalFormatting>
  <conditionalFormatting sqref="W2377">
    <cfRule type="expression" dxfId="1041" priority="1003">
      <formula>AND(IF($R$2377,$W$2377,TRUE),LEN(TRIM($W$2377))&gt;0)</formula>
    </cfRule>
  </conditionalFormatting>
  <conditionalFormatting sqref="W2377">
    <cfRule type="expression" dxfId="1040" priority="1002">
      <formula>OR($S$2377 = FALSE, AND($P$2377 = FALSE, ReportType &lt;&gt; "Final"), AND($Q$2377 = FALSE, ReportType &lt;&gt; "Rough"))</formula>
    </cfRule>
  </conditionalFormatting>
  <conditionalFormatting sqref="W2377">
    <cfRule type="expression" dxfId="1039" priority="1001">
      <formula>OR($T$2377 = TRUE, AND($W$2377 = TRUE, $S$2377 = FALSE))</formula>
    </cfRule>
  </conditionalFormatting>
  <conditionalFormatting sqref="W2384">
    <cfRule type="expression" dxfId="1038" priority="1000">
      <formula>AND($R$2384,$S$2384)</formula>
    </cfRule>
  </conditionalFormatting>
  <conditionalFormatting sqref="W2384">
    <cfRule type="expression" dxfId="1037" priority="999">
      <formula>AND(IF($R$2384,$W$2384,TRUE),LEN(TRIM($W$2384))&gt;0)</formula>
    </cfRule>
  </conditionalFormatting>
  <conditionalFormatting sqref="W2384">
    <cfRule type="expression" dxfId="1036" priority="998">
      <formula>OR($S$2384 = FALSE, AND($P$2384 = FALSE, ReportType &lt;&gt; "Final"), AND($Q$2384 = FALSE, ReportType &lt;&gt; "Rough"))</formula>
    </cfRule>
  </conditionalFormatting>
  <conditionalFormatting sqref="W2384">
    <cfRule type="expression" dxfId="1035" priority="997">
      <formula>OR($T$2384 = TRUE, AND($W$2384 = TRUE, $S$2384 = FALSE))</formula>
    </cfRule>
  </conditionalFormatting>
  <conditionalFormatting sqref="W2386">
    <cfRule type="expression" dxfId="1034" priority="996">
      <formula>AND($R$2386,$S$2386)</formula>
    </cfRule>
  </conditionalFormatting>
  <conditionalFormatting sqref="W2386">
    <cfRule type="expression" dxfId="1033" priority="995">
      <formula>AND(IF($R$2386,$W$2386,TRUE),LEN(TRIM($W$2386))&gt;0)</formula>
    </cfRule>
  </conditionalFormatting>
  <conditionalFormatting sqref="W2386">
    <cfRule type="expression" dxfId="1032" priority="994">
      <formula>OR($S$2386 = FALSE, AND($P$2386 = FALSE, ReportType &lt;&gt; "Final"), AND($Q$2386 = FALSE, ReportType &lt;&gt; "Rough"))</formula>
    </cfRule>
  </conditionalFormatting>
  <conditionalFormatting sqref="W2386">
    <cfRule type="expression" dxfId="1031" priority="993">
      <formula>OR($T$2386 = TRUE, AND($W$2386 = TRUE, $S$2386 = FALSE))</formula>
    </cfRule>
  </conditionalFormatting>
  <conditionalFormatting sqref="W2387">
    <cfRule type="expression" dxfId="1030" priority="992">
      <formula>AND($R$2387,$S$2387)</formula>
    </cfRule>
  </conditionalFormatting>
  <conditionalFormatting sqref="W2387">
    <cfRule type="expression" dxfId="1029" priority="991">
      <formula>AND(IF($R$2387,$W$2387,TRUE),LEN(TRIM($W$2387))&gt;0)</formula>
    </cfRule>
  </conditionalFormatting>
  <conditionalFormatting sqref="W2387">
    <cfRule type="expression" dxfId="1028" priority="990">
      <formula>OR($S$2387 = FALSE, AND($P$2387 = FALSE, ReportType &lt;&gt; "Final"), AND($Q$2387 = FALSE, ReportType &lt;&gt; "Rough"))</formula>
    </cfRule>
  </conditionalFormatting>
  <conditionalFormatting sqref="W2387">
    <cfRule type="expression" dxfId="1027" priority="989">
      <formula>OR($T$2387 = TRUE, AND($W$2387 = TRUE, $S$2387 = FALSE))</formula>
    </cfRule>
  </conditionalFormatting>
  <conditionalFormatting sqref="W2389">
    <cfRule type="expression" dxfId="1026" priority="988">
      <formula>AND($R$2389,$S$2389)</formula>
    </cfRule>
  </conditionalFormatting>
  <conditionalFormatting sqref="W2389">
    <cfRule type="expression" dxfId="1025" priority="987">
      <formula>AND(IF($R$2389,$W$2389,TRUE),LEN(TRIM($W$2389))&gt;0)</formula>
    </cfRule>
  </conditionalFormatting>
  <conditionalFormatting sqref="W2389">
    <cfRule type="expression" dxfId="1024" priority="986">
      <formula>OR($S$2389 = FALSE, AND($P$2389 = FALSE, ReportType &lt;&gt; "Final"), AND($Q$2389 = FALSE, ReportType &lt;&gt; "Rough"))</formula>
    </cfRule>
  </conditionalFormatting>
  <conditionalFormatting sqref="W2389">
    <cfRule type="expression" dxfId="1023" priority="985">
      <formula>OR($T$2389 = TRUE, AND($W$2389 = TRUE, $S$2389 = FALSE))</formula>
    </cfRule>
  </conditionalFormatting>
  <conditionalFormatting sqref="W2390">
    <cfRule type="expression" dxfId="1022" priority="984">
      <formula>AND($R$2390,$S$2390)</formula>
    </cfRule>
  </conditionalFormatting>
  <conditionalFormatting sqref="W2390">
    <cfRule type="expression" dxfId="1021" priority="983">
      <formula>AND(IF($R$2390,$W$2390,TRUE),LEN(TRIM($W$2390))&gt;0)</formula>
    </cfRule>
  </conditionalFormatting>
  <conditionalFormatting sqref="W2390">
    <cfRule type="expression" dxfId="1020" priority="982">
      <formula>OR($S$2390 = FALSE, AND($P$2390 = FALSE, ReportType &lt;&gt; "Final"), AND($Q$2390 = FALSE, ReportType &lt;&gt; "Rough"))</formula>
    </cfRule>
  </conditionalFormatting>
  <conditionalFormatting sqref="W2390">
    <cfRule type="expression" dxfId="1019" priority="981">
      <formula>OR($T$2390 = TRUE, AND($W$2390 = TRUE, $S$2390 = FALSE))</formula>
    </cfRule>
  </conditionalFormatting>
  <conditionalFormatting sqref="W2391">
    <cfRule type="expression" dxfId="1018" priority="980">
      <formula>AND($R$2391,$S$2391)</formula>
    </cfRule>
  </conditionalFormatting>
  <conditionalFormatting sqref="W2391">
    <cfRule type="expression" dxfId="1017" priority="979">
      <formula>AND(IF($R$2391,$W$2391,TRUE),LEN(TRIM($W$2391))&gt;0)</formula>
    </cfRule>
  </conditionalFormatting>
  <conditionalFormatting sqref="W2391">
    <cfRule type="expression" dxfId="1016" priority="978">
      <formula>OR($S$2391 = FALSE, AND($P$2391 = FALSE, ReportType &lt;&gt; "Final"), AND($Q$2391 = FALSE, ReportType &lt;&gt; "Rough"))</formula>
    </cfRule>
  </conditionalFormatting>
  <conditionalFormatting sqref="W2391">
    <cfRule type="expression" dxfId="1015" priority="977">
      <formula>OR($T$2391 = TRUE, AND($W$2391 = TRUE, $S$2391 = FALSE))</formula>
    </cfRule>
  </conditionalFormatting>
  <conditionalFormatting sqref="W2392">
    <cfRule type="expression" dxfId="1014" priority="976">
      <formula>AND($R$2392,$S$2392)</formula>
    </cfRule>
  </conditionalFormatting>
  <conditionalFormatting sqref="W2392">
    <cfRule type="expression" dxfId="1013" priority="975">
      <formula>AND(IF($R$2392,$W$2392,TRUE),LEN(TRIM($W$2392))&gt;0)</formula>
    </cfRule>
  </conditionalFormatting>
  <conditionalFormatting sqref="W2392">
    <cfRule type="expression" dxfId="1012" priority="974">
      <formula>OR($S$2392 = FALSE, AND($P$2392 = FALSE, ReportType &lt;&gt; "Final"), AND($Q$2392 = FALSE, ReportType &lt;&gt; "Rough"))</formula>
    </cfRule>
  </conditionalFormatting>
  <conditionalFormatting sqref="W2392">
    <cfRule type="expression" dxfId="1011" priority="973">
      <formula>OR($T$2392 = TRUE, AND($W$2392 = TRUE, $S$2392 = FALSE))</formula>
    </cfRule>
  </conditionalFormatting>
  <conditionalFormatting sqref="W2395">
    <cfRule type="expression" dxfId="1010" priority="972">
      <formula>AND($R$2395,$S$2395)</formula>
    </cfRule>
  </conditionalFormatting>
  <conditionalFormatting sqref="W2395">
    <cfRule type="expression" dxfId="1009" priority="971">
      <formula>AND(IF($R$2395,$W$2395,TRUE),LEN(TRIM($W$2395))&gt;0)</formula>
    </cfRule>
  </conditionalFormatting>
  <conditionalFormatting sqref="W2395">
    <cfRule type="expression" dxfId="1008" priority="970">
      <formula>OR($S$2395 = FALSE, AND($P$2395 = FALSE, ReportType &lt;&gt; "Final"), AND($Q$2395 = FALSE, ReportType &lt;&gt; "Rough"))</formula>
    </cfRule>
  </conditionalFormatting>
  <conditionalFormatting sqref="W2395">
    <cfRule type="expression" dxfId="1007" priority="969">
      <formula>OR($T$2395 = TRUE, AND($W$2395 = TRUE, $S$2395 = FALSE))</formula>
    </cfRule>
  </conditionalFormatting>
  <conditionalFormatting sqref="W2436">
    <cfRule type="expression" dxfId="1006" priority="968">
      <formula>AND($R$2436,$S$2436)</formula>
    </cfRule>
  </conditionalFormatting>
  <conditionalFormatting sqref="W2436">
    <cfRule type="expression" dxfId="1005" priority="967">
      <formula>AND(IF($R$2436,$W$2436,TRUE),LEN(TRIM($W$2436))&gt;0)</formula>
    </cfRule>
  </conditionalFormatting>
  <conditionalFormatting sqref="W2436">
    <cfRule type="expression" dxfId="1004" priority="966">
      <formula>OR($S$2436 = FALSE, AND($P$2436 = FALSE, ReportType &lt;&gt; "Final"), AND($Q$2436 = FALSE, ReportType &lt;&gt; "Rough"))</formula>
    </cfRule>
  </conditionalFormatting>
  <conditionalFormatting sqref="W2436">
    <cfRule type="expression" dxfId="1003" priority="965">
      <formula>OR($T$2436 = TRUE, AND($W$2436 = TRUE, $S$2436 = FALSE))</formula>
    </cfRule>
  </conditionalFormatting>
  <conditionalFormatting sqref="W2438">
    <cfRule type="expression" dxfId="1002" priority="964">
      <formula>AND($R$2438,$S$2438)</formula>
    </cfRule>
  </conditionalFormatting>
  <conditionalFormatting sqref="W2438">
    <cfRule type="expression" dxfId="1001" priority="963">
      <formula>AND(IF($R$2438,$W$2438,TRUE),LEN(TRIM($W$2438))&gt;0)</formula>
    </cfRule>
  </conditionalFormatting>
  <conditionalFormatting sqref="W2438">
    <cfRule type="expression" dxfId="1000" priority="962">
      <formula>OR($S$2438 = FALSE, AND($P$2438 = FALSE, ReportType &lt;&gt; "Final"), AND($Q$2438 = FALSE, ReportType &lt;&gt; "Rough"))</formula>
    </cfRule>
  </conditionalFormatting>
  <conditionalFormatting sqref="W2438">
    <cfRule type="expression" dxfId="999" priority="961">
      <formula>OR($T$2438 = TRUE, AND($W$2438 = TRUE, $S$2438 = FALSE))</formula>
    </cfRule>
  </conditionalFormatting>
  <conditionalFormatting sqref="W2441">
    <cfRule type="expression" dxfId="998" priority="960">
      <formula>AND($R$2441,$S$2441)</formula>
    </cfRule>
  </conditionalFormatting>
  <conditionalFormatting sqref="W2441">
    <cfRule type="expression" dxfId="997" priority="959">
      <formula>AND(IF($R$2441,$W$2441,TRUE),LEN(TRIM($W$2441))&gt;0)</formula>
    </cfRule>
  </conditionalFormatting>
  <conditionalFormatting sqref="W2441">
    <cfRule type="expression" dxfId="996" priority="958">
      <formula>OR($S$2441 = FALSE, AND($P$2441 = FALSE, ReportType &lt;&gt; "Final"), AND($Q$2441 = FALSE, ReportType &lt;&gt; "Rough"))</formula>
    </cfRule>
  </conditionalFormatting>
  <conditionalFormatting sqref="W2441">
    <cfRule type="expression" dxfId="995" priority="957">
      <formula>OR($T$2441 = TRUE, AND($W$2441 = TRUE, $S$2441 = FALSE))</formula>
    </cfRule>
  </conditionalFormatting>
  <conditionalFormatting sqref="W2454">
    <cfRule type="expression" dxfId="994" priority="956">
      <formula>AND($R$2454,$S$2454)</formula>
    </cfRule>
  </conditionalFormatting>
  <conditionalFormatting sqref="W2454">
    <cfRule type="expression" dxfId="993" priority="955">
      <formula>AND(IF($R$2454,$W$2454,TRUE),LEN(TRIM($W$2454))&gt;0)</formula>
    </cfRule>
  </conditionalFormatting>
  <conditionalFormatting sqref="W2454">
    <cfRule type="expression" dxfId="992" priority="954">
      <formula>OR($S$2454 = FALSE, AND($P$2454 = FALSE, ReportType &lt;&gt; "Final"), AND($Q$2454 = FALSE, ReportType &lt;&gt; "Rough"))</formula>
    </cfRule>
  </conditionalFormatting>
  <conditionalFormatting sqref="W2454">
    <cfRule type="expression" dxfId="991" priority="953">
      <formula>OR($T$2454 = TRUE, AND($W$2454 = TRUE, $S$2454 = FALSE))</formula>
    </cfRule>
  </conditionalFormatting>
  <conditionalFormatting sqref="W2456">
    <cfRule type="expression" dxfId="990" priority="952">
      <formula>AND($R$2456,$S$2456)</formula>
    </cfRule>
  </conditionalFormatting>
  <conditionalFormatting sqref="W2456">
    <cfRule type="expression" dxfId="989" priority="951">
      <formula>AND(IF($R$2456,$W$2456,TRUE),LEN(TRIM($W$2456))&gt;0)</formula>
    </cfRule>
  </conditionalFormatting>
  <conditionalFormatting sqref="W2456">
    <cfRule type="expression" dxfId="988" priority="950">
      <formula>OR($S$2456 = FALSE, AND($P$2456 = FALSE, ReportType &lt;&gt; "Final"), AND($Q$2456 = FALSE, ReportType &lt;&gt; "Rough"))</formula>
    </cfRule>
  </conditionalFormatting>
  <conditionalFormatting sqref="W2456">
    <cfRule type="expression" dxfId="987" priority="949">
      <formula>OR($T$2456 = TRUE, AND($W$2456 = TRUE, $S$2456 = FALSE))</formula>
    </cfRule>
  </conditionalFormatting>
  <conditionalFormatting sqref="W1971">
    <cfRule type="expression" dxfId="986" priority="948">
      <formula>AND(R1971,S1971)</formula>
    </cfRule>
  </conditionalFormatting>
  <conditionalFormatting sqref="W1971">
    <cfRule type="expression" dxfId="985" priority="947">
      <formula>NOT(ISBLANK(W1971))</formula>
    </cfRule>
  </conditionalFormatting>
  <conditionalFormatting sqref="W1971">
    <cfRule type="expression" dxfId="984" priority="946">
      <formula>OR(S1971 = FALSE, AND(P1971 = FALSE, ReportType &lt;&gt; "Final"), AND(Q1971 = FALSE, ReportType &lt;&gt; "Rough"))</formula>
    </cfRule>
  </conditionalFormatting>
  <conditionalFormatting sqref="W1971">
    <cfRule type="expression" dxfId="983" priority="945">
      <formula>OR(T1971 = TRUE, AND(W1971 = TRUE, S1971 = FALSE))</formula>
    </cfRule>
  </conditionalFormatting>
  <conditionalFormatting sqref="W1981">
    <cfRule type="expression" dxfId="982" priority="944">
      <formula>AND(R1981,S1981)</formula>
    </cfRule>
  </conditionalFormatting>
  <conditionalFormatting sqref="W1981">
    <cfRule type="expression" dxfId="981" priority="943">
      <formula>NOT(ISBLANK(W1981))</formula>
    </cfRule>
  </conditionalFormatting>
  <conditionalFormatting sqref="W1981">
    <cfRule type="expression" dxfId="980" priority="942">
      <formula>OR(S1981 = FALSE, AND(P1981 = FALSE, ReportType &lt;&gt; "Final"), AND(Q1981 = FALSE, ReportType &lt;&gt; "Rough"))</formula>
    </cfRule>
  </conditionalFormatting>
  <conditionalFormatting sqref="W1981">
    <cfRule type="expression" dxfId="979" priority="941">
      <formula>OR(T1981 = TRUE, AND(W1981 = TRUE, S1981 = FALSE))</formula>
    </cfRule>
  </conditionalFormatting>
  <conditionalFormatting sqref="W1982">
    <cfRule type="expression" dxfId="978" priority="940">
      <formula>AND(R1982,S1982)</formula>
    </cfRule>
  </conditionalFormatting>
  <conditionalFormatting sqref="W1982">
    <cfRule type="expression" dxfId="977" priority="939">
      <formula>NOT(ISBLANK(W1982))</formula>
    </cfRule>
  </conditionalFormatting>
  <conditionalFormatting sqref="W1982">
    <cfRule type="expression" dxfId="976" priority="938">
      <formula>OR(S1982 = FALSE, AND(P1982 = FALSE, ReportType &lt;&gt; "Final"), AND(Q1982 = FALSE, ReportType &lt;&gt; "Rough"))</formula>
    </cfRule>
  </conditionalFormatting>
  <conditionalFormatting sqref="W1982">
    <cfRule type="expression" dxfId="975" priority="937">
      <formula>OR(T1982 = TRUE, AND(W1982 = TRUE, S1982 = FALSE))</formula>
    </cfRule>
  </conditionalFormatting>
  <conditionalFormatting sqref="W1924">
    <cfRule type="expression" dxfId="974" priority="932">
      <formula>AND($R$1924,$S$1924)</formula>
    </cfRule>
  </conditionalFormatting>
  <conditionalFormatting sqref="W1924">
    <cfRule type="expression" dxfId="973" priority="931">
      <formula>AND($W$1924&lt;&gt;"Not Met",LEN(TRIM($W$1924))&gt;0)</formula>
    </cfRule>
  </conditionalFormatting>
  <conditionalFormatting sqref="W1924">
    <cfRule type="expression" dxfId="972" priority="930">
      <formula>OR($S$1924 = FALSE, AND($P$1924 = FALSE, ReportType &lt;&gt; "Final"), AND($Q$1924 = FALSE, ReportType &lt;&gt; "Rough"))</formula>
    </cfRule>
  </conditionalFormatting>
  <conditionalFormatting sqref="W1924">
    <cfRule type="expression" dxfId="971" priority="929">
      <formula>OR($T$1924 = TRUE, AND($W$1924="Met", $S$1924 = FALSE))</formula>
    </cfRule>
  </conditionalFormatting>
  <conditionalFormatting sqref="W1926">
    <cfRule type="expression" dxfId="970" priority="928">
      <formula>AND($R$1926,$S$1926)</formula>
    </cfRule>
  </conditionalFormatting>
  <conditionalFormatting sqref="W1926">
    <cfRule type="expression" dxfId="969" priority="927">
      <formula>AND($W$1926&lt;&gt;"Not Met",LEN(TRIM($W$1926))&gt;0)</formula>
    </cfRule>
  </conditionalFormatting>
  <conditionalFormatting sqref="W1926">
    <cfRule type="expression" dxfId="968" priority="926">
      <formula>OR($S$1926 = FALSE, AND($P$1926 = FALSE, ReportType &lt;&gt; "Final"), AND($Q$1926 = FALSE, ReportType &lt;&gt; "Rough"))</formula>
    </cfRule>
  </conditionalFormatting>
  <conditionalFormatting sqref="W1926">
    <cfRule type="expression" dxfId="967" priority="925">
      <formula>OR($T$1926 = TRUE, AND($W$1926="Met", $S$1926 = FALSE))</formula>
    </cfRule>
  </conditionalFormatting>
  <conditionalFormatting sqref="X1">
    <cfRule type="expression" dxfId="966" priority="5620">
      <formula>verStartError</formula>
    </cfRule>
  </conditionalFormatting>
  <conditionalFormatting sqref="W1921">
    <cfRule type="expression" dxfId="965" priority="924">
      <formula>AND($R$1921,$S$1921)</formula>
    </cfRule>
  </conditionalFormatting>
  <conditionalFormatting sqref="W1921">
    <cfRule type="expression" dxfId="964" priority="923">
      <formula>AND(IF($R$1921,$W$1921,TRUE),LEN(TRIM($W$1921))&gt;0)</formula>
    </cfRule>
  </conditionalFormatting>
  <conditionalFormatting sqref="W1921">
    <cfRule type="expression" dxfId="963" priority="922">
      <formula>OR($S$1921 = FALSE, AND($P$1921 = FALSE, ReportType &lt;&gt; "Final"), AND($Q$1921 = FALSE, ReportType &lt;&gt; "Rough"))</formula>
    </cfRule>
  </conditionalFormatting>
  <conditionalFormatting sqref="W1921">
    <cfRule type="expression" dxfId="962" priority="921">
      <formula>OR($T$1921 = TRUE, AND($W$1921 = TRUE, $S$1921 = FALSE))</formula>
    </cfRule>
  </conditionalFormatting>
  <conditionalFormatting sqref="W978">
    <cfRule type="expression" dxfId="961" priority="915">
      <formula>AND(R978,S978)</formula>
    </cfRule>
  </conditionalFormatting>
  <conditionalFormatting sqref="W978">
    <cfRule type="expression" dxfId="960" priority="914">
      <formula>NOT(ISBLANK(W978))</formula>
    </cfRule>
  </conditionalFormatting>
  <conditionalFormatting sqref="W978">
    <cfRule type="expression" dxfId="959" priority="913">
      <formula>S978 = FALSE</formula>
    </cfRule>
  </conditionalFormatting>
  <conditionalFormatting sqref="W978">
    <cfRule type="expression" dxfId="958" priority="912">
      <formula>OR(T978 = TRUE, AND(W978 = TRUE, S978 = FALSE))</formula>
    </cfRule>
  </conditionalFormatting>
  <conditionalFormatting sqref="W1515">
    <cfRule type="expression" dxfId="957" priority="911">
      <formula>AND($R$1515,$S$1515)</formula>
    </cfRule>
  </conditionalFormatting>
  <conditionalFormatting sqref="W1515">
    <cfRule type="expression" dxfId="956" priority="910">
      <formula>AND(IF($R$1515,$W$1515,TRUE),LEN(TRIM($W$1515))&gt;0)</formula>
    </cfRule>
  </conditionalFormatting>
  <conditionalFormatting sqref="W1515">
    <cfRule type="expression" dxfId="955" priority="909">
      <formula>OR($S$1515 = FALSE, AND($P$1515 = FALSE, ReportType &lt;&gt; "Final"), AND($Q$1515 = FALSE, ReportType &lt;&gt; "Rough"))</formula>
    </cfRule>
  </conditionalFormatting>
  <conditionalFormatting sqref="W1515">
    <cfRule type="expression" dxfId="954" priority="908">
      <formula>OR($T$1515 = TRUE, AND($W$1515 = TRUE, $S$1515 = FALSE))</formula>
    </cfRule>
  </conditionalFormatting>
  <conditionalFormatting sqref="W796">
    <cfRule type="expression" dxfId="953" priority="11235">
      <formula>OR(S796 = FALSE, AND(P796 = FALSE, ReportType &lt;&gt; "Final"), AND(Q796 = FALSE, ReportType &lt;&gt; "Rough"))</formula>
    </cfRule>
  </conditionalFormatting>
  <conditionalFormatting sqref="W807">
    <cfRule type="expression" dxfId="952" priority="11236">
      <formula>OR(S807 = FALSE, AND($P$807 = FALSE, ReportType &lt;&gt; "Final"), AND($Q$807 = FALSE, ReportType &lt;&gt; "Rough"))</formula>
    </cfRule>
  </conditionalFormatting>
  <conditionalFormatting sqref="W37">
    <cfRule type="expression" dxfId="951" priority="857">
      <formula>AND($R$37,$S$37)</formula>
    </cfRule>
  </conditionalFormatting>
  <conditionalFormatting sqref="W37">
    <cfRule type="expression" dxfId="950" priority="856">
      <formula>AND($W$37&lt;&gt;"Not Met",LEN(TRIM($W$37))&gt;0)</formula>
    </cfRule>
  </conditionalFormatting>
  <conditionalFormatting sqref="W37">
    <cfRule type="expression" dxfId="949" priority="855">
      <formula>OR($S$37 = FALSE, AND($P$37 = FALSE, ReportType &lt;&gt; "Final"), AND($Q$37 = FALSE, ReportType &lt;&gt; "Rough"))</formula>
    </cfRule>
  </conditionalFormatting>
  <conditionalFormatting sqref="W37">
    <cfRule type="expression" dxfId="948" priority="854">
      <formula>OR($T$37 = TRUE, AND(LEN(TRIM($W$37))&gt;0, $S$37 = FALSE))</formula>
    </cfRule>
  </conditionalFormatting>
  <conditionalFormatting sqref="W50">
    <cfRule type="expression" dxfId="947" priority="853">
      <formula>AND($R$50,$S$50)</formula>
    </cfRule>
  </conditionalFormatting>
  <conditionalFormatting sqref="W50">
    <cfRule type="expression" dxfId="946" priority="852">
      <formula>AND(IF($R$50,$W$50,TRUE),LEN(TRIM($W$50))&gt;0)</formula>
    </cfRule>
  </conditionalFormatting>
  <conditionalFormatting sqref="W50">
    <cfRule type="expression" dxfId="945" priority="851">
      <formula>OR($S$50 = FALSE, AND($P$50 = FALSE, ReportType &lt;&gt; "Final"), AND($Q$50 = FALSE, ReportType &lt;&gt; "Rough"))</formula>
    </cfRule>
  </conditionalFormatting>
  <conditionalFormatting sqref="W50">
    <cfRule type="expression" dxfId="944" priority="850">
      <formula>OR($T$50 = TRUE, AND($W$50 = TRUE, $S$50 = FALSE))</formula>
    </cfRule>
  </conditionalFormatting>
  <conditionalFormatting sqref="W52">
    <cfRule type="expression" dxfId="943" priority="849">
      <formula>AND($R$52,$S$52)</formula>
    </cfRule>
  </conditionalFormatting>
  <conditionalFormatting sqref="W52">
    <cfRule type="expression" dxfId="942" priority="848">
      <formula>AND(IF($R$52,$W$52,TRUE),LEN(TRIM($W$52))&gt;0)</formula>
    </cfRule>
  </conditionalFormatting>
  <conditionalFormatting sqref="W52">
    <cfRule type="expression" dxfId="941" priority="847">
      <formula>OR($S$52 = FALSE, AND($P$52 = FALSE, ReportType &lt;&gt; "Final"), AND($Q$52 = FALSE, ReportType &lt;&gt; "Rough"))</formula>
    </cfRule>
  </conditionalFormatting>
  <conditionalFormatting sqref="W52">
    <cfRule type="expression" dxfId="940" priority="846">
      <formula>OR($T$52 = TRUE, AND($W$52 = TRUE, $S$52 = FALSE))</formula>
    </cfRule>
  </conditionalFormatting>
  <conditionalFormatting sqref="W55">
    <cfRule type="expression" dxfId="939" priority="845">
      <formula>AND($R$55,$S$55)</formula>
    </cfRule>
  </conditionalFormatting>
  <conditionalFormatting sqref="W55">
    <cfRule type="expression" dxfId="938" priority="844">
      <formula>AND(IF($R$55,$W$55,TRUE),LEN(TRIM($W$55))&gt;0)</formula>
    </cfRule>
  </conditionalFormatting>
  <conditionalFormatting sqref="W55">
    <cfRule type="expression" dxfId="937" priority="843">
      <formula>OR($S$55 = FALSE, AND($P$55 = FALSE, ReportType &lt;&gt; "Final"), AND($Q$55 = FALSE, ReportType &lt;&gt; "Rough"))</formula>
    </cfRule>
  </conditionalFormatting>
  <conditionalFormatting sqref="W55">
    <cfRule type="expression" dxfId="936" priority="842">
      <formula>OR($T$55 = TRUE, AND($W$55 = TRUE, $S$55 = FALSE))</formula>
    </cfRule>
  </conditionalFormatting>
  <conditionalFormatting sqref="W83">
    <cfRule type="expression" dxfId="935" priority="841">
      <formula>AND($R$83,$S$83)</formula>
    </cfRule>
  </conditionalFormatting>
  <conditionalFormatting sqref="W83">
    <cfRule type="expression" dxfId="934" priority="840">
      <formula>AND(IF($R$83,$W$83,TRUE),LEN(TRIM($W$83))&gt;0)</formula>
    </cfRule>
  </conditionalFormatting>
  <conditionalFormatting sqref="W83">
    <cfRule type="expression" dxfId="933" priority="839">
      <formula>OR($S$83 = FALSE, AND($P$83 = FALSE, ReportType &lt;&gt; "Final"), AND($Q$83 = FALSE, ReportType &lt;&gt; "Rough"))</formula>
    </cfRule>
  </conditionalFormatting>
  <conditionalFormatting sqref="W83">
    <cfRule type="expression" dxfId="932" priority="838">
      <formula>OR($T$83 = TRUE, AND($W$83 = TRUE, $S$83 = FALSE))</formula>
    </cfRule>
  </conditionalFormatting>
  <conditionalFormatting sqref="W140">
    <cfRule type="expression" dxfId="931" priority="837">
      <formula>AND($R$140,$S$140)</formula>
    </cfRule>
  </conditionalFormatting>
  <conditionalFormatting sqref="W140">
    <cfRule type="expression" dxfId="930" priority="836">
      <formula>AND(IF($R$140,$W$140,TRUE),LEN(TRIM($W$140))&gt;0)</formula>
    </cfRule>
  </conditionalFormatting>
  <conditionalFormatting sqref="W140">
    <cfRule type="expression" dxfId="929" priority="835">
      <formula>OR($S$140 = FALSE, AND($P$140 = FALSE, ReportType &lt;&gt; "Final"), AND($Q$140 = FALSE, ReportType &lt;&gt; "Rough"))</formula>
    </cfRule>
  </conditionalFormatting>
  <conditionalFormatting sqref="W140">
    <cfRule type="expression" dxfId="928" priority="834">
      <formula>OR($T$140 = TRUE, AND($W$140 = TRUE, $S$140 = FALSE))</formula>
    </cfRule>
  </conditionalFormatting>
  <conditionalFormatting sqref="W142">
    <cfRule type="expression" dxfId="927" priority="833">
      <formula>AND($R$142,$S$142)</formula>
    </cfRule>
  </conditionalFormatting>
  <conditionalFormatting sqref="W142">
    <cfRule type="expression" dxfId="926" priority="832">
      <formula>AND(IF($R$142,$W$142,TRUE),LEN(TRIM($W$142))&gt;0)</formula>
    </cfRule>
  </conditionalFormatting>
  <conditionalFormatting sqref="W142">
    <cfRule type="expression" dxfId="925" priority="831">
      <formula>OR($S$142 = FALSE, AND($P$142 = FALSE, ReportType &lt;&gt; "Final"), AND($Q$142 = FALSE, ReportType &lt;&gt; "Rough"))</formula>
    </cfRule>
  </conditionalFormatting>
  <conditionalFormatting sqref="W142">
    <cfRule type="expression" dxfId="924" priority="830">
      <formula>OR($T$142 = TRUE, AND($W$142 = TRUE, $S$142 = FALSE))</formula>
    </cfRule>
  </conditionalFormatting>
  <conditionalFormatting sqref="W162">
    <cfRule type="expression" dxfId="923" priority="829">
      <formula>AND($R$162,$S$162)</formula>
    </cfRule>
  </conditionalFormatting>
  <conditionalFormatting sqref="W162">
    <cfRule type="expression" dxfId="922" priority="828">
      <formula>AND(IF($R$162,$W$162,TRUE),LEN(TRIM($W$162))&gt;0)</formula>
    </cfRule>
  </conditionalFormatting>
  <conditionalFormatting sqref="W162">
    <cfRule type="expression" dxfId="921" priority="827">
      <formula>OR($S$162 = FALSE, AND($P$162 = FALSE, ReportType &lt;&gt; "Final"), AND($Q$162 = FALSE, ReportType &lt;&gt; "Rough"))</formula>
    </cfRule>
  </conditionalFormatting>
  <conditionalFormatting sqref="W162">
    <cfRule type="expression" dxfId="920" priority="826">
      <formula>OR($T$162 = TRUE, AND($W$162 = TRUE, $S$162 = FALSE))</formula>
    </cfRule>
  </conditionalFormatting>
  <conditionalFormatting sqref="W288">
    <cfRule type="expression" dxfId="919" priority="825">
      <formula>AND($R$288,$S$288)</formula>
    </cfRule>
  </conditionalFormatting>
  <conditionalFormatting sqref="W288">
    <cfRule type="expression" dxfId="918" priority="824">
      <formula>AND(IF($R$288,$W$288,TRUE),LEN(TRIM($W$288))&gt;0)</formula>
    </cfRule>
  </conditionalFormatting>
  <conditionalFormatting sqref="W288">
    <cfRule type="expression" dxfId="917" priority="823">
      <formula>OR($S$288 = FALSE, AND($P$288 = FALSE, ReportType &lt;&gt; "Final"), AND($Q$288 = FALSE, ReportType &lt;&gt; "Rough"))</formula>
    </cfRule>
  </conditionalFormatting>
  <conditionalFormatting sqref="W288">
    <cfRule type="expression" dxfId="916" priority="822">
      <formula>OR($T$288 = TRUE, AND($W$288 = TRUE, $S$288 = FALSE))</formula>
    </cfRule>
  </conditionalFormatting>
  <conditionalFormatting sqref="W291">
    <cfRule type="expression" dxfId="915" priority="821">
      <formula>AND($R$291,$S$291)</formula>
    </cfRule>
  </conditionalFormatting>
  <conditionalFormatting sqref="W291">
    <cfRule type="expression" dxfId="914" priority="820">
      <formula>AND(IF($R$291,$W$291,TRUE),LEN(TRIM($W$291))&gt;0)</formula>
    </cfRule>
  </conditionalFormatting>
  <conditionalFormatting sqref="W291">
    <cfRule type="expression" dxfId="913" priority="819">
      <formula>OR($S$291 = FALSE, AND($P$291 = FALSE, ReportType &lt;&gt; "Final"), AND($Q$291 = FALSE, ReportType &lt;&gt; "Rough"))</formula>
    </cfRule>
  </conditionalFormatting>
  <conditionalFormatting sqref="W291">
    <cfRule type="expression" dxfId="912" priority="818">
      <formula>OR($T$291 = TRUE, AND($W$291 = TRUE, $S$291 = FALSE))</formula>
    </cfRule>
  </conditionalFormatting>
  <conditionalFormatting sqref="W292">
    <cfRule type="expression" dxfId="911" priority="817">
      <formula>AND($R$292,$S$292)</formula>
    </cfRule>
  </conditionalFormatting>
  <conditionalFormatting sqref="W292">
    <cfRule type="expression" dxfId="910" priority="816">
      <formula>AND(IF($R$292,$W$292,TRUE),LEN(TRIM($W$292))&gt;0)</formula>
    </cfRule>
  </conditionalFormatting>
  <conditionalFormatting sqref="W292">
    <cfRule type="expression" dxfId="909" priority="815">
      <formula>OR($S$292 = FALSE, AND($P$292 = FALSE, ReportType &lt;&gt; "Final"), AND($Q$292 = FALSE, ReportType &lt;&gt; "Rough"))</formula>
    </cfRule>
  </conditionalFormatting>
  <conditionalFormatting sqref="W292">
    <cfRule type="expression" dxfId="908" priority="814">
      <formula>OR($T$292 = TRUE, AND($W$292 = TRUE, $S$292 = FALSE))</formula>
    </cfRule>
  </conditionalFormatting>
  <conditionalFormatting sqref="W305">
    <cfRule type="expression" dxfId="907" priority="813">
      <formula>AND($R$305,$S$305)</formula>
    </cfRule>
  </conditionalFormatting>
  <conditionalFormatting sqref="W305">
    <cfRule type="expression" dxfId="906" priority="812">
      <formula>AND(IF($R$305,$W$305,TRUE),LEN(TRIM($W$305))&gt;0)</formula>
    </cfRule>
  </conditionalFormatting>
  <conditionalFormatting sqref="W305">
    <cfRule type="expression" dxfId="905" priority="811">
      <formula>OR($S$305 = FALSE, AND($P$305 = FALSE, ReportType &lt;&gt; "Final"), AND($Q$305 = FALSE, ReportType &lt;&gt; "Rough"))</formula>
    </cfRule>
  </conditionalFormatting>
  <conditionalFormatting sqref="W305">
    <cfRule type="expression" dxfId="904" priority="810">
      <formula>OR($T$305 = TRUE, AND($W$305 = TRUE, $S$305 = FALSE))</formula>
    </cfRule>
  </conditionalFormatting>
  <conditionalFormatting sqref="W309">
    <cfRule type="expression" dxfId="903" priority="809">
      <formula>AND($R$309,$S$309)</formula>
    </cfRule>
  </conditionalFormatting>
  <conditionalFormatting sqref="W309">
    <cfRule type="expression" dxfId="902" priority="808">
      <formula>AND(IF($R$309,$W$309,TRUE),LEN(TRIM($W$309))&gt;0)</formula>
    </cfRule>
  </conditionalFormatting>
  <conditionalFormatting sqref="W309">
    <cfRule type="expression" dxfId="901" priority="807">
      <formula>OR($S$309 = FALSE, AND($P$309 = FALSE, ReportType &lt;&gt; "Final"), AND($Q$309 = FALSE, ReportType &lt;&gt; "Rough"))</formula>
    </cfRule>
  </conditionalFormatting>
  <conditionalFormatting sqref="W309">
    <cfRule type="expression" dxfId="900" priority="806">
      <formula>OR($T$309 = TRUE, AND($W$309 = TRUE, $S$309 = FALSE))</formula>
    </cfRule>
  </conditionalFormatting>
  <conditionalFormatting sqref="W312">
    <cfRule type="expression" dxfId="899" priority="805">
      <formula>AND($R$312,$S$312)</formula>
    </cfRule>
  </conditionalFormatting>
  <conditionalFormatting sqref="W312">
    <cfRule type="expression" dxfId="898" priority="804">
      <formula>AND(IF($R$312,$W$312,TRUE),LEN(TRIM($W$312))&gt;0)</formula>
    </cfRule>
  </conditionalFormatting>
  <conditionalFormatting sqref="W312">
    <cfRule type="expression" dxfId="897" priority="803">
      <formula>OR($S$312 = FALSE, AND($P$312 = FALSE, ReportType &lt;&gt; "Final"), AND($Q$312 = FALSE, ReportType &lt;&gt; "Rough"))</formula>
    </cfRule>
  </conditionalFormatting>
  <conditionalFormatting sqref="W312">
    <cfRule type="expression" dxfId="896" priority="802">
      <formula>OR($T$312 = TRUE, AND($W$312 = TRUE, $S$312 = FALSE))</formula>
    </cfRule>
  </conditionalFormatting>
  <conditionalFormatting sqref="W315">
    <cfRule type="expression" dxfId="895" priority="801">
      <formula>AND($R$315,$S$315)</formula>
    </cfRule>
  </conditionalFormatting>
  <conditionalFormatting sqref="W315">
    <cfRule type="expression" dxfId="894" priority="800">
      <formula>AND(IF($R$315,$W$315,TRUE),LEN(TRIM($W$315))&gt;0)</formula>
    </cfRule>
  </conditionalFormatting>
  <conditionalFormatting sqref="W315">
    <cfRule type="expression" dxfId="893" priority="799">
      <formula>OR($S$315 = FALSE, AND($P$315 = FALSE, ReportType &lt;&gt; "Final"), AND($Q$315 = FALSE, ReportType &lt;&gt; "Rough"))</formula>
    </cfRule>
  </conditionalFormatting>
  <conditionalFormatting sqref="W315">
    <cfRule type="expression" dxfId="892" priority="798">
      <formula>OR($T$315 = TRUE, AND($W$315 = TRUE, $S$315 = FALSE))</formula>
    </cfRule>
  </conditionalFormatting>
  <conditionalFormatting sqref="W316">
    <cfRule type="expression" dxfId="891" priority="797">
      <formula>AND($R$316,$S$316)</formula>
    </cfRule>
  </conditionalFormatting>
  <conditionalFormatting sqref="W316">
    <cfRule type="expression" dxfId="890" priority="796">
      <formula>AND(IF($R$316,$W$316,TRUE),LEN(TRIM($W$316))&gt;0)</formula>
    </cfRule>
  </conditionalFormatting>
  <conditionalFormatting sqref="W316">
    <cfRule type="expression" dxfId="889" priority="795">
      <formula>OR($S$316 = FALSE, AND($P$316 = FALSE, ReportType &lt;&gt; "Final"), AND($Q$316 = FALSE, ReportType &lt;&gt; "Rough"))</formula>
    </cfRule>
  </conditionalFormatting>
  <conditionalFormatting sqref="W316">
    <cfRule type="expression" dxfId="888" priority="794">
      <formula>OR($T$316 = TRUE, AND($W$316 = TRUE, $S$316 = FALSE))</formula>
    </cfRule>
  </conditionalFormatting>
  <conditionalFormatting sqref="W321">
    <cfRule type="expression" dxfId="887" priority="793">
      <formula>AND($R$321,$S$321)</formula>
    </cfRule>
  </conditionalFormatting>
  <conditionalFormatting sqref="W321">
    <cfRule type="expression" dxfId="886" priority="792">
      <formula>AND(IF($R$321,$W$321,TRUE),LEN(TRIM($W$321))&gt;0)</formula>
    </cfRule>
  </conditionalFormatting>
  <conditionalFormatting sqref="W321">
    <cfRule type="expression" dxfId="885" priority="791">
      <formula>OR($S$321 = FALSE, AND($P$321 = FALSE, ReportType &lt;&gt; "Final"), AND($Q$321 = FALSE, ReportType &lt;&gt; "Rough"))</formula>
    </cfRule>
  </conditionalFormatting>
  <conditionalFormatting sqref="W321">
    <cfRule type="expression" dxfId="884" priority="790">
      <formula>OR($T$321 = TRUE, AND($W$321 = TRUE, $S$321 = FALSE))</formula>
    </cfRule>
  </conditionalFormatting>
  <conditionalFormatting sqref="W323">
    <cfRule type="expression" dxfId="883" priority="789">
      <formula>AND($R$323,$S$323)</formula>
    </cfRule>
  </conditionalFormatting>
  <conditionalFormatting sqref="W323">
    <cfRule type="expression" dxfId="882" priority="788">
      <formula>AND(IF($R$323,$W$323,TRUE),LEN(TRIM($W$323))&gt;0)</formula>
    </cfRule>
  </conditionalFormatting>
  <conditionalFormatting sqref="W323">
    <cfRule type="expression" dxfId="881" priority="787">
      <formula>OR($S$323 = FALSE, AND($P$323 = FALSE, ReportType &lt;&gt; "Final"), AND($Q$323 = FALSE, ReportType &lt;&gt; "Rough"))</formula>
    </cfRule>
  </conditionalFormatting>
  <conditionalFormatting sqref="W323">
    <cfRule type="expression" dxfId="880" priority="786">
      <formula>OR($T$323 = TRUE, AND($W$323 = TRUE, $S$323 = FALSE))</formula>
    </cfRule>
  </conditionalFormatting>
  <conditionalFormatting sqref="W325">
    <cfRule type="expression" dxfId="879" priority="785">
      <formula>AND($R$325,$S$325)</formula>
    </cfRule>
  </conditionalFormatting>
  <conditionalFormatting sqref="W325">
    <cfRule type="expression" dxfId="878" priority="784">
      <formula>AND(IF($R$325,$W$325,TRUE),LEN(TRIM($W$325))&gt;0)</formula>
    </cfRule>
  </conditionalFormatting>
  <conditionalFormatting sqref="W325">
    <cfRule type="expression" dxfId="877" priority="783">
      <formula>OR($S$325 = FALSE, AND($P$325 = FALSE, ReportType &lt;&gt; "Final"), AND($Q$325 = FALSE, ReportType &lt;&gt; "Rough"))</formula>
    </cfRule>
  </conditionalFormatting>
  <conditionalFormatting sqref="W325">
    <cfRule type="expression" dxfId="876" priority="782">
      <formula>OR($T$325 = TRUE, AND($W$325 = TRUE, $S$325 = FALSE))</formula>
    </cfRule>
  </conditionalFormatting>
  <conditionalFormatting sqref="W538">
    <cfRule type="expression" dxfId="875" priority="781">
      <formula>AND($R$538,$S$538)</formula>
    </cfRule>
  </conditionalFormatting>
  <conditionalFormatting sqref="W538">
    <cfRule type="expression" dxfId="874" priority="780">
      <formula>AND(IF($R$538,$W$538,TRUE),LEN(TRIM($W$538))&gt;0)</formula>
    </cfRule>
  </conditionalFormatting>
  <conditionalFormatting sqref="W538">
    <cfRule type="expression" dxfId="873" priority="779">
      <formula>OR($S$538 = FALSE, AND($P$538 = FALSE, ReportType &lt;&gt; "Final"), AND($Q$538 = FALSE, ReportType &lt;&gt; "Rough"))</formula>
    </cfRule>
  </conditionalFormatting>
  <conditionalFormatting sqref="W538">
    <cfRule type="expression" dxfId="872" priority="778">
      <formula>OR($T$538 = TRUE, AND($W$538 = TRUE, $S$538 = FALSE))</formula>
    </cfRule>
  </conditionalFormatting>
  <conditionalFormatting sqref="W593">
    <cfRule type="expression" dxfId="871" priority="777">
      <formula>AND($R$593,$S$593)</formula>
    </cfRule>
  </conditionalFormatting>
  <conditionalFormatting sqref="W593">
    <cfRule type="expression" dxfId="870" priority="776">
      <formula>AND(IF($R$593,$W$593,TRUE),LEN(TRIM($W$593))&gt;0)</formula>
    </cfRule>
  </conditionalFormatting>
  <conditionalFormatting sqref="W593">
    <cfRule type="expression" dxfId="869" priority="775">
      <formula>OR($S$593 = FALSE, AND($P$593 = FALSE, ReportType &lt;&gt; "Final"), AND($Q$593 = FALSE, ReportType &lt;&gt; "Rough"))</formula>
    </cfRule>
  </conditionalFormatting>
  <conditionalFormatting sqref="W593">
    <cfRule type="expression" dxfId="868" priority="774">
      <formula>OR($T$593 = TRUE, AND($W$593 = TRUE, $S$593 = FALSE))</formula>
    </cfRule>
  </conditionalFormatting>
  <conditionalFormatting sqref="W860">
    <cfRule type="expression" dxfId="867" priority="773">
      <formula>AND($R$860,$S$860)</formula>
    </cfRule>
  </conditionalFormatting>
  <conditionalFormatting sqref="W860">
    <cfRule type="expression" dxfId="866" priority="772">
      <formula>AND($W$860&lt;&gt;"Not Met",LEN(TRIM($W$860))&gt;0)</formula>
    </cfRule>
  </conditionalFormatting>
  <conditionalFormatting sqref="W860">
    <cfRule type="expression" dxfId="865" priority="771">
      <formula>OR($S$860 = FALSE, AND($P$860 = FALSE, ReportType &lt;&gt; "Final"), AND($Q$860 = FALSE, ReportType &lt;&gt; "Rough"))</formula>
    </cfRule>
  </conditionalFormatting>
  <conditionalFormatting sqref="W860">
    <cfRule type="expression" dxfId="864" priority="770">
      <formula>OR($T$860 = TRUE, AND(LEN(TRIM($W$860))&gt;0, $S$860 = FALSE))</formula>
    </cfRule>
  </conditionalFormatting>
  <conditionalFormatting sqref="W864">
    <cfRule type="expression" dxfId="863" priority="769">
      <formula>AND($R$864,$S$864)</formula>
    </cfRule>
  </conditionalFormatting>
  <conditionalFormatting sqref="W864">
    <cfRule type="expression" dxfId="862" priority="768">
      <formula>AND($W$864&lt;&gt;"Not Met",LEN(TRIM($W$864))&gt;0)</formula>
    </cfRule>
  </conditionalFormatting>
  <conditionalFormatting sqref="W864">
    <cfRule type="expression" dxfId="861" priority="767">
      <formula>OR($S$864 = FALSE, AND($P$864 = FALSE, ReportType &lt;&gt; "Final"), AND($Q$864 = FALSE, ReportType &lt;&gt; "Rough"))</formula>
    </cfRule>
  </conditionalFormatting>
  <conditionalFormatting sqref="W864">
    <cfRule type="expression" dxfId="860" priority="766">
      <formula>OR($T$864 = TRUE, AND(LEN(TRIM($W$864))&gt;0, $S$864 = FALSE))</formula>
    </cfRule>
  </conditionalFormatting>
  <conditionalFormatting sqref="W914">
    <cfRule type="expression" dxfId="859" priority="764">
      <formula>AND($R$914,$S$914)</formula>
    </cfRule>
  </conditionalFormatting>
  <conditionalFormatting sqref="W914">
    <cfRule type="expression" dxfId="858" priority="763">
      <formula>AND($W$914&lt;&gt;"Not Met",LEN(TRIM($W$914))&gt;0)</formula>
    </cfRule>
  </conditionalFormatting>
  <conditionalFormatting sqref="W914">
    <cfRule type="expression" dxfId="857" priority="762">
      <formula>OR($S$914 = FALSE, AND($P$914 = FALSE, ReportType &lt;&gt; "Final"), AND($Q$914 = FALSE, ReportType &lt;&gt; "Rough"))</formula>
    </cfRule>
  </conditionalFormatting>
  <conditionalFormatting sqref="W914">
    <cfRule type="expression" dxfId="856" priority="761">
      <formula>OR($T$914 = TRUE, AND(LEN(TRIM($W$914))&gt;0, $S$914 = FALSE))</formula>
    </cfRule>
  </conditionalFormatting>
  <conditionalFormatting sqref="W917">
    <cfRule type="expression" dxfId="855" priority="760">
      <formula>AND($R$917,$S$917)</formula>
    </cfRule>
  </conditionalFormatting>
  <conditionalFormatting sqref="W917">
    <cfRule type="expression" dxfId="854" priority="759">
      <formula>AND($W$917&lt;&gt;"Not Met",LEN(TRIM($W$917))&gt;0)</formula>
    </cfRule>
  </conditionalFormatting>
  <conditionalFormatting sqref="W917">
    <cfRule type="expression" dxfId="853" priority="758">
      <formula>OR($S$917 = FALSE, AND($P$917 = FALSE, ReportType &lt;&gt; "Final"), AND($Q$917 = FALSE, ReportType &lt;&gt; "Rough"))</formula>
    </cfRule>
  </conditionalFormatting>
  <conditionalFormatting sqref="W917">
    <cfRule type="expression" dxfId="852" priority="757">
      <formula>OR($T$917 = TRUE, AND(LEN(TRIM($W$917))&gt;0, $S$917 = FALSE))</formula>
    </cfRule>
  </conditionalFormatting>
  <conditionalFormatting sqref="W911">
    <cfRule type="expression" dxfId="851" priority="756">
      <formula>AND($R$911,$S$911)</formula>
    </cfRule>
  </conditionalFormatting>
  <conditionalFormatting sqref="W911">
    <cfRule type="expression" dxfId="850" priority="755">
      <formula>AND(IF($R$911,$W$911,TRUE),LEN(TRIM($W$911))&gt;0)</formula>
    </cfRule>
  </conditionalFormatting>
  <conditionalFormatting sqref="W911">
    <cfRule type="expression" dxfId="849" priority="754">
      <formula>OR($S$911 = FALSE, AND($P$911 = FALSE, ReportType &lt;&gt; "Final"), AND($Q$911 = FALSE, ReportType &lt;&gt; "Rough"))</formula>
    </cfRule>
  </conditionalFormatting>
  <conditionalFormatting sqref="W911">
    <cfRule type="expression" dxfId="848" priority="753">
      <formula>OR($T$911 = TRUE, AND($W$911 = TRUE, $S$911 = FALSE))</formula>
    </cfRule>
  </conditionalFormatting>
  <conditionalFormatting sqref="W912">
    <cfRule type="expression" dxfId="847" priority="752">
      <formula>AND($R$912,$S$912)</formula>
    </cfRule>
  </conditionalFormatting>
  <conditionalFormatting sqref="W912">
    <cfRule type="expression" dxfId="846" priority="751">
      <formula>AND(IF($R$912,$W$912,TRUE),LEN(TRIM($W$912))&gt;0)</formula>
    </cfRule>
  </conditionalFormatting>
  <conditionalFormatting sqref="W912">
    <cfRule type="expression" dxfId="845" priority="750">
      <formula>OR($S$912 = FALSE, AND($P$912 = FALSE, ReportType &lt;&gt; "Final"), AND($Q$912 = FALSE, ReportType &lt;&gt; "Rough"))</formula>
    </cfRule>
  </conditionalFormatting>
  <conditionalFormatting sqref="W912">
    <cfRule type="expression" dxfId="844" priority="749">
      <formula>OR($T$912 = TRUE, AND($W$912 = TRUE, $S$912 = FALSE))</formula>
    </cfRule>
  </conditionalFormatting>
  <conditionalFormatting sqref="W915">
    <cfRule type="expression" dxfId="843" priority="748">
      <formula>AND($R$915,$S$915)</formula>
    </cfRule>
  </conditionalFormatting>
  <conditionalFormatting sqref="W915">
    <cfRule type="expression" dxfId="842" priority="747">
      <formula>AND(IF($R$915,$W$915,TRUE),LEN(TRIM($W$915))&gt;0)</formula>
    </cfRule>
  </conditionalFormatting>
  <conditionalFormatting sqref="W915">
    <cfRule type="expression" dxfId="841" priority="746">
      <formula>OR($S$915 = FALSE, AND($P$915 = FALSE, ReportType &lt;&gt; "Final"), AND($Q$915 = FALSE, ReportType &lt;&gt; "Rough"))</formula>
    </cfRule>
  </conditionalFormatting>
  <conditionalFormatting sqref="W915">
    <cfRule type="expression" dxfId="840" priority="745">
      <formula>OR($T$915 = TRUE, AND($W$915 = TRUE, $S$915 = FALSE))</formula>
    </cfRule>
  </conditionalFormatting>
  <conditionalFormatting sqref="W920">
    <cfRule type="expression" dxfId="839" priority="744">
      <formula>AND($R$920,$S$920)</formula>
    </cfRule>
  </conditionalFormatting>
  <conditionalFormatting sqref="W920">
    <cfRule type="expression" dxfId="838" priority="743">
      <formula>AND(IF($R$920,$W$920,TRUE),LEN(TRIM($W$920))&gt;0)</formula>
    </cfRule>
  </conditionalFormatting>
  <conditionalFormatting sqref="W920">
    <cfRule type="expression" dxfId="837" priority="742">
      <formula>OR($S$920 = FALSE, AND($P$920 = FALSE, ReportType &lt;&gt; "Final"), AND($Q$920 = FALSE, ReportType &lt;&gt; "Rough"))</formula>
    </cfRule>
  </conditionalFormatting>
  <conditionalFormatting sqref="W920">
    <cfRule type="expression" dxfId="836" priority="741">
      <formula>OR($T$920 = TRUE, AND($W$920 = TRUE, $S$920 = FALSE))</formula>
    </cfRule>
  </conditionalFormatting>
  <conditionalFormatting sqref="W921">
    <cfRule type="expression" dxfId="835" priority="740">
      <formula>AND($R$921,$S$921)</formula>
    </cfRule>
  </conditionalFormatting>
  <conditionalFormatting sqref="W921">
    <cfRule type="expression" dxfId="834" priority="739">
      <formula>AND(IF($R$921,$W$921,TRUE),LEN(TRIM($W$921))&gt;0)</formula>
    </cfRule>
  </conditionalFormatting>
  <conditionalFormatting sqref="W921">
    <cfRule type="expression" dxfId="833" priority="738">
      <formula>OR($S$921 = FALSE, AND($P$921 = FALSE, ReportType &lt;&gt; "Final"), AND($Q$921 = FALSE, ReportType &lt;&gt; "Rough"))</formula>
    </cfRule>
  </conditionalFormatting>
  <conditionalFormatting sqref="W921">
    <cfRule type="expression" dxfId="832" priority="737">
      <formula>OR($T$921 = TRUE, AND($W$921 = TRUE, $S$921 = FALSE))</formula>
    </cfRule>
  </conditionalFormatting>
  <conditionalFormatting sqref="W922">
    <cfRule type="expression" dxfId="831" priority="736">
      <formula>AND($R$922,$S$922)</formula>
    </cfRule>
  </conditionalFormatting>
  <conditionalFormatting sqref="W922">
    <cfRule type="expression" dxfId="830" priority="735">
      <formula>AND(IF($R$922,$W$922,TRUE),LEN(TRIM($W$922))&gt;0)</formula>
    </cfRule>
  </conditionalFormatting>
  <conditionalFormatting sqref="W922">
    <cfRule type="expression" dxfId="829" priority="734">
      <formula>OR($S$922 = FALSE, AND($P$922 = FALSE, ReportType &lt;&gt; "Final"), AND($Q$922 = FALSE, ReportType &lt;&gt; "Rough"))</formula>
    </cfRule>
  </conditionalFormatting>
  <conditionalFormatting sqref="W922">
    <cfRule type="expression" dxfId="828" priority="733">
      <formula>OR($T$922 = TRUE, AND($W$922 = TRUE, $S$922 = FALSE))</formula>
    </cfRule>
  </conditionalFormatting>
  <conditionalFormatting sqref="W924">
    <cfRule type="expression" dxfId="827" priority="732">
      <formula>AND($R$924,$S$924)</formula>
    </cfRule>
  </conditionalFormatting>
  <conditionalFormatting sqref="W924">
    <cfRule type="expression" dxfId="826" priority="731">
      <formula>AND(IF($R$924,$W$924,TRUE),LEN(TRIM($W$924))&gt;0)</formula>
    </cfRule>
  </conditionalFormatting>
  <conditionalFormatting sqref="W924">
    <cfRule type="expression" dxfId="825" priority="730">
      <formula>OR($S$924 = FALSE, AND($P$924 = FALSE, ReportType &lt;&gt; "Final"), AND($Q$924 = FALSE, ReportType &lt;&gt; "Rough"))</formula>
    </cfRule>
  </conditionalFormatting>
  <conditionalFormatting sqref="W924">
    <cfRule type="expression" dxfId="824" priority="729">
      <formula>OR($T$924 = TRUE, AND($W$924 = TRUE, $S$924 = FALSE))</formula>
    </cfRule>
  </conditionalFormatting>
  <conditionalFormatting sqref="W925">
    <cfRule type="expression" dxfId="823" priority="728">
      <formula>AND($R$925,$S$925)</formula>
    </cfRule>
  </conditionalFormatting>
  <conditionalFormatting sqref="W925">
    <cfRule type="expression" dxfId="822" priority="727">
      <formula>AND(IF($R$925,$W$925,TRUE),LEN(TRIM($W$925))&gt;0)</formula>
    </cfRule>
  </conditionalFormatting>
  <conditionalFormatting sqref="W925">
    <cfRule type="expression" dxfId="821" priority="726">
      <formula>OR($S$925 = FALSE, AND($P$925 = FALSE, ReportType &lt;&gt; "Final"), AND($Q$925 = FALSE, ReportType &lt;&gt; "Rough"))</formula>
    </cfRule>
  </conditionalFormatting>
  <conditionalFormatting sqref="W925">
    <cfRule type="expression" dxfId="820" priority="725">
      <formula>OR($T$925 = TRUE, AND($W$925 = TRUE, $S$925 = FALSE))</formula>
    </cfRule>
  </conditionalFormatting>
  <conditionalFormatting sqref="W926">
    <cfRule type="expression" dxfId="819" priority="724">
      <formula>AND($R$926,$S$926)</formula>
    </cfRule>
  </conditionalFormatting>
  <conditionalFormatting sqref="W926">
    <cfRule type="expression" dxfId="818" priority="723">
      <formula>AND(IF($R$926,$W$926,TRUE),LEN(TRIM($W$926))&gt;0)</formula>
    </cfRule>
  </conditionalFormatting>
  <conditionalFormatting sqref="W926">
    <cfRule type="expression" dxfId="817" priority="722">
      <formula>OR($S$926 = FALSE, AND($P$926 = FALSE, ReportType &lt;&gt; "Final"), AND($Q$926 = FALSE, ReportType &lt;&gt; "Rough"))</formula>
    </cfRule>
  </conditionalFormatting>
  <conditionalFormatting sqref="W926">
    <cfRule type="expression" dxfId="816" priority="721">
      <formula>OR($T$926 = TRUE, AND($W$926 = TRUE, $S$926 = FALSE))</formula>
    </cfRule>
  </conditionalFormatting>
  <conditionalFormatting sqref="W927">
    <cfRule type="expression" dxfId="815" priority="720">
      <formula>AND($R$927,$S$927)</formula>
    </cfRule>
  </conditionalFormatting>
  <conditionalFormatting sqref="W927">
    <cfRule type="expression" dxfId="814" priority="719">
      <formula>AND(IF($R$927,$W$927,TRUE),LEN(TRIM($W$927))&gt;0)</formula>
    </cfRule>
  </conditionalFormatting>
  <conditionalFormatting sqref="W927">
    <cfRule type="expression" dxfId="813" priority="718">
      <formula>OR($S$927 = FALSE, AND($P$927 = FALSE, ReportType &lt;&gt; "Final"), AND($Q$927 = FALSE, ReportType &lt;&gt; "Rough"))</formula>
    </cfRule>
  </conditionalFormatting>
  <conditionalFormatting sqref="W927">
    <cfRule type="expression" dxfId="812" priority="717">
      <formula>OR($T$927 = TRUE, AND($W$927 = TRUE, $S$927 = FALSE))</formula>
    </cfRule>
  </conditionalFormatting>
  <conditionalFormatting sqref="W929">
    <cfRule type="expression" dxfId="811" priority="716">
      <formula>AND($R$929,$S$929)</formula>
    </cfRule>
  </conditionalFormatting>
  <conditionalFormatting sqref="W929">
    <cfRule type="expression" dxfId="810" priority="715">
      <formula>AND(IF($R$929,$W$929,TRUE),LEN(TRIM($W$929))&gt;0)</formula>
    </cfRule>
  </conditionalFormatting>
  <conditionalFormatting sqref="W929">
    <cfRule type="expression" dxfId="809" priority="714">
      <formula>OR($S$929 = FALSE, AND($P$929 = FALSE, ReportType &lt;&gt; "Final"), AND($Q$929 = FALSE, ReportType &lt;&gt; "Rough"))</formula>
    </cfRule>
  </conditionalFormatting>
  <conditionalFormatting sqref="W929">
    <cfRule type="expression" dxfId="808" priority="713">
      <formula>OR($T$929 = TRUE, AND($W$929 = TRUE, $S$929 = FALSE))</formula>
    </cfRule>
  </conditionalFormatting>
  <conditionalFormatting sqref="W1299">
    <cfRule type="expression" dxfId="807" priority="710">
      <formula>AND($R$1299,$S$1299)</formula>
    </cfRule>
  </conditionalFormatting>
  <conditionalFormatting sqref="W1299">
    <cfRule type="expression" dxfId="806" priority="709">
      <formula>AND($W$1299&lt;&gt;"Not Met",LEN(TRIM($W$1299))&gt;0)</formula>
    </cfRule>
  </conditionalFormatting>
  <conditionalFormatting sqref="W1299">
    <cfRule type="expression" dxfId="805" priority="708">
      <formula>OR($S$1299 = FALSE, AND($P$1299 = FALSE, ReportType &lt;&gt; "Final"), AND($Q$1299 = FALSE, ReportType &lt;&gt; "Rough"))</formula>
    </cfRule>
  </conditionalFormatting>
  <conditionalFormatting sqref="W1299">
    <cfRule type="expression" dxfId="804" priority="707">
      <formula>OR($T$1299 = TRUE, AND(LEN(TRIM($W$1299))&gt;0, $S$1299 = FALSE))</formula>
    </cfRule>
  </conditionalFormatting>
  <conditionalFormatting sqref="W1462">
    <cfRule type="expression" dxfId="803" priority="706">
      <formula>AND($R$1462,$S$1462)</formula>
    </cfRule>
  </conditionalFormatting>
  <conditionalFormatting sqref="W1462">
    <cfRule type="expression" dxfId="802" priority="705">
      <formula>AND(IF($R$1462,$W$1462,TRUE),LEN(TRIM($W$1462))&gt;0)</formula>
    </cfRule>
  </conditionalFormatting>
  <conditionalFormatting sqref="W1462">
    <cfRule type="expression" dxfId="801" priority="704">
      <formula>OR($S$1462 = FALSE, AND($P$1462 = FALSE, ReportType &lt;&gt; "Final"), AND($Q$1462 = FALSE, ReportType &lt;&gt; "Rough"))</formula>
    </cfRule>
  </conditionalFormatting>
  <conditionalFormatting sqref="W1462">
    <cfRule type="expression" dxfId="800" priority="703">
      <formula>OR($T$1462 = TRUE, AND($W$1462 = TRUE, $S$1462 = FALSE))</formula>
    </cfRule>
  </conditionalFormatting>
  <conditionalFormatting sqref="W1465">
    <cfRule type="expression" dxfId="799" priority="702">
      <formula>AND($R$1465,$S$1465)</formula>
    </cfRule>
  </conditionalFormatting>
  <conditionalFormatting sqref="W1465">
    <cfRule type="expression" dxfId="798" priority="701">
      <formula>AND(IF($R$1465,$W$1465,TRUE),LEN(TRIM($W$1465))&gt;0)</formula>
    </cfRule>
  </conditionalFormatting>
  <conditionalFormatting sqref="W1465">
    <cfRule type="expression" dxfId="797" priority="700">
      <formula>OR($S$1465 = FALSE, AND($P$1465 = FALSE, ReportType &lt;&gt; "Final"), AND($Q$1465 = FALSE, ReportType &lt;&gt; "Rough"))</formula>
    </cfRule>
  </conditionalFormatting>
  <conditionalFormatting sqref="W1465">
    <cfRule type="expression" dxfId="796" priority="699">
      <formula>OR($T$1465 = TRUE, AND($W$1465 = TRUE, $S$1465 = FALSE))</formula>
    </cfRule>
  </conditionalFormatting>
  <conditionalFormatting sqref="W1476">
    <cfRule type="expression" dxfId="795" priority="698">
      <formula>AND($R$1476,$S$1476)</formula>
    </cfRule>
  </conditionalFormatting>
  <conditionalFormatting sqref="W1476">
    <cfRule type="expression" dxfId="794" priority="697">
      <formula>AND(IF($R$1476,$W$1476,TRUE),LEN(TRIM($W$1476))&gt;0)</formula>
    </cfRule>
  </conditionalFormatting>
  <conditionalFormatting sqref="W1476">
    <cfRule type="expression" dxfId="793" priority="696">
      <formula>OR($S$1476 = FALSE, AND($P$1476 = FALSE, ReportType &lt;&gt; "Final"), AND($Q$1476 = FALSE, ReportType &lt;&gt; "Rough"))</formula>
    </cfRule>
  </conditionalFormatting>
  <conditionalFormatting sqref="W1476">
    <cfRule type="expression" dxfId="792" priority="695">
      <formula>OR($T$1476 = TRUE, AND($W$1476 = TRUE, $S$1476 = FALSE))</formula>
    </cfRule>
  </conditionalFormatting>
  <conditionalFormatting sqref="W1478">
    <cfRule type="expression" dxfId="791" priority="694">
      <formula>AND($R$1478,$S$1478)</formula>
    </cfRule>
  </conditionalFormatting>
  <conditionalFormatting sqref="W1478">
    <cfRule type="expression" dxfId="790" priority="693">
      <formula>AND(IF($R$1478,$W$1478,TRUE),LEN(TRIM($W$1478))&gt;0)</formula>
    </cfRule>
  </conditionalFormatting>
  <conditionalFormatting sqref="W1478">
    <cfRule type="expression" dxfId="789" priority="692">
      <formula>OR($S$1478 = FALSE, AND($P$1478 = FALSE, ReportType &lt;&gt; "Final"), AND($Q$1478 = FALSE, ReportType &lt;&gt; "Rough"))</formula>
    </cfRule>
  </conditionalFormatting>
  <conditionalFormatting sqref="W1478">
    <cfRule type="expression" dxfId="788" priority="691">
      <formula>OR($T$1478 = TRUE, AND($W$1478 = TRUE, $S$1478 = FALSE))</formula>
    </cfRule>
  </conditionalFormatting>
  <conditionalFormatting sqref="W1502">
    <cfRule type="expression" dxfId="787" priority="690">
      <formula>AND($R$1502,$S$1502)</formula>
    </cfRule>
  </conditionalFormatting>
  <conditionalFormatting sqref="W1502">
    <cfRule type="expression" dxfId="786" priority="689">
      <formula>AND(IF($R$1502,$W$1502,TRUE),LEN(TRIM($W$1502))&gt;0)</formula>
    </cfRule>
  </conditionalFormatting>
  <conditionalFormatting sqref="W1502">
    <cfRule type="expression" dxfId="785" priority="688">
      <formula>OR($S$1502 = FALSE, AND($P$1502 = FALSE, ReportType &lt;&gt; "Final"), AND($Q$1502 = FALSE, ReportType &lt;&gt; "Rough"))</formula>
    </cfRule>
  </conditionalFormatting>
  <conditionalFormatting sqref="W1502">
    <cfRule type="expression" dxfId="784" priority="687">
      <formula>OR($T$1502 = TRUE, AND($W$1502 = TRUE, $S$1502 = FALSE))</formula>
    </cfRule>
  </conditionalFormatting>
  <conditionalFormatting sqref="W1504">
    <cfRule type="expression" dxfId="783" priority="686">
      <formula>AND($R$1504,$S$1504)</formula>
    </cfRule>
  </conditionalFormatting>
  <conditionalFormatting sqref="W1504">
    <cfRule type="expression" dxfId="782" priority="685">
      <formula>AND(IF($R$1504,$W$1504,TRUE),LEN(TRIM($W$1504))&gt;0)</formula>
    </cfRule>
  </conditionalFormatting>
  <conditionalFormatting sqref="W1504">
    <cfRule type="expression" dxfId="781" priority="684">
      <formula>OR($S$1504 = FALSE, AND($P$1504 = FALSE, ReportType &lt;&gt; "Final"), AND($Q$1504 = FALSE, ReportType &lt;&gt; "Rough"))</formula>
    </cfRule>
  </conditionalFormatting>
  <conditionalFormatting sqref="W1504">
    <cfRule type="expression" dxfId="780" priority="683">
      <formula>OR($T$1504 = TRUE, AND($W$1504 = TRUE, $S$1504 = FALSE))</formula>
    </cfRule>
  </conditionalFormatting>
  <conditionalFormatting sqref="W1581">
    <cfRule type="expression" dxfId="779" priority="681">
      <formula>AND($R$1581,$S$1581)</formula>
    </cfRule>
  </conditionalFormatting>
  <conditionalFormatting sqref="W1581">
    <cfRule type="expression" dxfId="778" priority="680">
      <formula>AND(IF($R$1581,$W$1581,TRUE),LEN(TRIM($W$1581))&gt;0)</formula>
    </cfRule>
  </conditionalFormatting>
  <conditionalFormatting sqref="W1581">
    <cfRule type="expression" dxfId="777" priority="679">
      <formula>OR($S$1581 = FALSE, AND($P$1581 = FALSE, ReportType &lt;&gt; "Final"), AND($Q$1581 = FALSE, ReportType &lt;&gt; "Rough"))</formula>
    </cfRule>
  </conditionalFormatting>
  <conditionalFormatting sqref="W1581">
    <cfRule type="expression" dxfId="776" priority="678">
      <formula>OR($T$1581 = TRUE, AND($W$1581 = TRUE, $S$1581 = FALSE))</formula>
    </cfRule>
  </conditionalFormatting>
  <conditionalFormatting sqref="W1606">
    <cfRule type="expression" dxfId="775" priority="677">
      <formula>AND($R$1606,$S$1606)</formula>
    </cfRule>
  </conditionalFormatting>
  <conditionalFormatting sqref="W1606">
    <cfRule type="expression" dxfId="774" priority="676">
      <formula>AND(IF($R$1606,$W$1606,TRUE),LEN(TRIM($W$1606))&gt;0)</formula>
    </cfRule>
  </conditionalFormatting>
  <conditionalFormatting sqref="W1606">
    <cfRule type="expression" dxfId="773" priority="675">
      <formula>OR($S$1606 = FALSE, AND($P$1606 = FALSE, ReportType &lt;&gt; "Final"), AND($Q$1606 = FALSE, ReportType &lt;&gt; "Rough"))</formula>
    </cfRule>
  </conditionalFormatting>
  <conditionalFormatting sqref="W1606">
    <cfRule type="expression" dxfId="772" priority="674">
      <formula>OR($T$1606 = TRUE, AND($W$1606 = TRUE, $S$1606 = FALSE))</formula>
    </cfRule>
  </conditionalFormatting>
  <conditionalFormatting sqref="W1616">
    <cfRule type="expression" dxfId="771" priority="673">
      <formula>AND($R$1616,$S$1616)</formula>
    </cfRule>
  </conditionalFormatting>
  <conditionalFormatting sqref="W1616">
    <cfRule type="expression" dxfId="770" priority="672">
      <formula>AND(IF($R$1616,$W$1616,TRUE),LEN(TRIM($W$1616))&gt;0)</formula>
    </cfRule>
  </conditionalFormatting>
  <conditionalFormatting sqref="W1616">
    <cfRule type="expression" dxfId="769" priority="671">
      <formula>OR($S$1616 = FALSE, AND($P$1616 = FALSE, ReportType &lt;&gt; "Final"), AND($Q$1616 = FALSE, ReportType &lt;&gt; "Rough"))</formula>
    </cfRule>
  </conditionalFormatting>
  <conditionalFormatting sqref="W1616">
    <cfRule type="expression" dxfId="768" priority="670">
      <formula>OR($T$1616 = TRUE, AND($W$1616 = TRUE, $S$1616 = FALSE))</formula>
    </cfRule>
  </conditionalFormatting>
  <conditionalFormatting sqref="W1618">
    <cfRule type="expression" dxfId="767" priority="669">
      <formula>AND($R$1618,$S$1618)</formula>
    </cfRule>
  </conditionalFormatting>
  <conditionalFormatting sqref="W1618">
    <cfRule type="expression" dxfId="766" priority="668">
      <formula>AND(IF($R$1618,$W$1618,TRUE),LEN(TRIM($W$1618))&gt;0)</formula>
    </cfRule>
  </conditionalFormatting>
  <conditionalFormatting sqref="W1618">
    <cfRule type="expression" dxfId="765" priority="667">
      <formula>OR($S$1618 = FALSE, AND($P$1618 = FALSE, ReportType &lt;&gt; "Final"), AND($Q$1618 = FALSE, ReportType &lt;&gt; "Rough"))</formula>
    </cfRule>
  </conditionalFormatting>
  <conditionalFormatting sqref="W1618">
    <cfRule type="expression" dxfId="764" priority="666">
      <formula>OR($T$1618 = TRUE, AND($W$1618 = TRUE, $S$1618 = FALSE))</formula>
    </cfRule>
  </conditionalFormatting>
  <conditionalFormatting sqref="W1622">
    <cfRule type="expression" dxfId="763" priority="665">
      <formula>AND($R$1622,$S$1622)</formula>
    </cfRule>
  </conditionalFormatting>
  <conditionalFormatting sqref="W1622">
    <cfRule type="expression" dxfId="762" priority="664">
      <formula>AND($W$1622&lt;&gt;"Not Met",LEN(TRIM($W$1622))&gt;0)</formula>
    </cfRule>
  </conditionalFormatting>
  <conditionalFormatting sqref="W1622">
    <cfRule type="expression" dxfId="761" priority="663">
      <formula>OR($S$1622 = FALSE, AND($P$1622 = FALSE, ReportType &lt;&gt; "Final"), AND($Q$1622 = FALSE, ReportType &lt;&gt; "Rough"))</formula>
    </cfRule>
  </conditionalFormatting>
  <conditionalFormatting sqref="W1622">
    <cfRule type="expression" dxfId="760" priority="662">
      <formula>OR($T$1622 = TRUE, AND(LEN(TRIM($W$1622))&gt;0, $S$1622 = FALSE))</formula>
    </cfRule>
  </conditionalFormatting>
  <conditionalFormatting sqref="W1627">
    <cfRule type="expression" dxfId="759" priority="661">
      <formula>AND($R$1627,$S$1627)</formula>
    </cfRule>
  </conditionalFormatting>
  <conditionalFormatting sqref="W1627">
    <cfRule type="expression" dxfId="758" priority="660">
      <formula>AND(IF($R$1627,$W$1627,TRUE),LEN(TRIM($W$1627))&gt;0)</formula>
    </cfRule>
  </conditionalFormatting>
  <conditionalFormatting sqref="W1627">
    <cfRule type="expression" dxfId="757" priority="659">
      <formula>OR($S$1627 = FALSE, AND($P$1627 = FALSE, ReportType &lt;&gt; "Final"), AND($Q$1627 = FALSE, ReportType &lt;&gt; "Rough"))</formula>
    </cfRule>
  </conditionalFormatting>
  <conditionalFormatting sqref="W1627">
    <cfRule type="expression" dxfId="756" priority="658">
      <formula>OR($T$1627 = TRUE, AND($W$1627 = TRUE, $S$1627 = FALSE))</formula>
    </cfRule>
  </conditionalFormatting>
  <conditionalFormatting sqref="W1631">
    <cfRule type="expression" dxfId="755" priority="657">
      <formula>AND($R$1631,$S$1631)</formula>
    </cfRule>
  </conditionalFormatting>
  <conditionalFormatting sqref="W1631">
    <cfRule type="expression" dxfId="754" priority="656">
      <formula>AND(IF($R$1631,$W$1631,TRUE),LEN(TRIM($W$1631))&gt;0)</formula>
    </cfRule>
  </conditionalFormatting>
  <conditionalFormatting sqref="W1631">
    <cfRule type="expression" dxfId="753" priority="655">
      <formula>OR($S$1631 = FALSE, AND($P$1631 = FALSE, ReportType &lt;&gt; "Final"), AND($Q$1631 = FALSE, ReportType &lt;&gt; "Rough"))</formula>
    </cfRule>
  </conditionalFormatting>
  <conditionalFormatting sqref="W1631">
    <cfRule type="expression" dxfId="752" priority="654">
      <formula>OR($T$1631 = TRUE, AND($W$1631 = TRUE, $S$1631 = FALSE))</formula>
    </cfRule>
  </conditionalFormatting>
  <conditionalFormatting sqref="W1636">
    <cfRule type="expression" dxfId="751" priority="653">
      <formula>AND($R$1636,$S$1636)</formula>
    </cfRule>
  </conditionalFormatting>
  <conditionalFormatting sqref="W1636">
    <cfRule type="expression" dxfId="750" priority="652">
      <formula>AND(IF($R$1636,$W$1636,TRUE),LEN(TRIM($W$1636))&gt;0)</formula>
    </cfRule>
  </conditionalFormatting>
  <conditionalFormatting sqref="W1636">
    <cfRule type="expression" dxfId="749" priority="651">
      <formula>OR($S$1636 = FALSE, AND($P$1636 = FALSE, ReportType &lt;&gt; "Final"), AND($Q$1636 = FALSE, ReportType &lt;&gt; "Rough"))</formula>
    </cfRule>
  </conditionalFormatting>
  <conditionalFormatting sqref="W1636">
    <cfRule type="expression" dxfId="748" priority="650">
      <formula>OR($T$1636 = TRUE, AND($W$1636 = TRUE, $S$1636 = FALSE))</formula>
    </cfRule>
  </conditionalFormatting>
  <conditionalFormatting sqref="W1637">
    <cfRule type="expression" dxfId="747" priority="649">
      <formula>AND($R$1637,$S$1637)</formula>
    </cfRule>
  </conditionalFormatting>
  <conditionalFormatting sqref="W1637">
    <cfRule type="expression" dxfId="746" priority="648">
      <formula>AND(IF($R$1637,$W$1637,TRUE),LEN(TRIM($W$1637))&gt;0)</formula>
    </cfRule>
  </conditionalFormatting>
  <conditionalFormatting sqref="W1637">
    <cfRule type="expression" dxfId="745" priority="647">
      <formula>OR($S$1637 = FALSE, AND($P$1637 = FALSE, ReportType &lt;&gt; "Final"), AND($Q$1637 = FALSE, ReportType &lt;&gt; "Rough"))</formula>
    </cfRule>
  </conditionalFormatting>
  <conditionalFormatting sqref="W1637">
    <cfRule type="expression" dxfId="744" priority="646">
      <formula>OR($T$1637 = TRUE, AND($W$1637 = TRUE, $S$1637 = FALSE))</formula>
    </cfRule>
  </conditionalFormatting>
  <conditionalFormatting sqref="X933:X935">
    <cfRule type="expression" dxfId="743" priority="643">
      <formula>W933</formula>
    </cfRule>
  </conditionalFormatting>
  <conditionalFormatting sqref="X1496">
    <cfRule type="expression" dxfId="742" priority="642">
      <formula>W1496=TRUE</formula>
    </cfRule>
  </conditionalFormatting>
  <conditionalFormatting sqref="X1140:X1146">
    <cfRule type="expression" dxfId="741" priority="641">
      <formula>W1141=INDEX(INDIRECT(U1141),1)</formula>
    </cfRule>
  </conditionalFormatting>
  <conditionalFormatting sqref="X1147:X1153">
    <cfRule type="expression" dxfId="740" priority="640">
      <formula>W1148=INDEX(INDIRECT(U1148),1)</formula>
    </cfRule>
  </conditionalFormatting>
  <conditionalFormatting sqref="X1504">
    <cfRule type="expression" dxfId="739" priority="639">
      <formula>W1504=TRUE</formula>
    </cfRule>
  </conditionalFormatting>
  <conditionalFormatting sqref="X637:X652">
    <cfRule type="expression" dxfId="738" priority="638">
      <formula>NOT(ISBLANK(W644))</formula>
    </cfRule>
  </conditionalFormatting>
  <conditionalFormatting sqref="X398">
    <cfRule type="expression" dxfId="737" priority="637">
      <formula>W398=TRUE</formula>
    </cfRule>
  </conditionalFormatting>
  <conditionalFormatting sqref="X464:X466">
    <cfRule type="expression" dxfId="736" priority="636">
      <formula>W464="N/A"</formula>
    </cfRule>
  </conditionalFormatting>
  <conditionalFormatting sqref="X475">
    <cfRule type="expression" dxfId="735" priority="635">
      <formula>W475="N/A"</formula>
    </cfRule>
  </conditionalFormatting>
  <conditionalFormatting sqref="X579:X581">
    <cfRule type="expression" dxfId="734" priority="634">
      <formula>W579</formula>
    </cfRule>
  </conditionalFormatting>
  <conditionalFormatting sqref="X566 X572:X578">
    <cfRule type="expression" dxfId="733" priority="633">
      <formula>W566&gt;0</formula>
    </cfRule>
  </conditionalFormatting>
  <conditionalFormatting sqref="X583 X585 X587 X589 X795:X804">
    <cfRule type="expression" dxfId="732" priority="632">
      <formula>W584&gt;0</formula>
    </cfRule>
  </conditionalFormatting>
  <conditionalFormatting sqref="X631">
    <cfRule type="expression" dxfId="731" priority="631">
      <formula>W631</formula>
    </cfRule>
  </conditionalFormatting>
  <conditionalFormatting sqref="X632">
    <cfRule type="expression" dxfId="730" priority="630">
      <formula>W632</formula>
    </cfRule>
  </conditionalFormatting>
  <conditionalFormatting sqref="X668:X669 X671:X672 X710 X708">
    <cfRule type="expression" dxfId="729" priority="629">
      <formula>NOT(ISBLANK(W668))</formula>
    </cfRule>
  </conditionalFormatting>
  <conditionalFormatting sqref="X674:X679">
    <cfRule type="expression" dxfId="728" priority="628">
      <formula>NOT(ISBLANK(W674))</formula>
    </cfRule>
  </conditionalFormatting>
  <conditionalFormatting sqref="X697:X704">
    <cfRule type="expression" dxfId="727" priority="627">
      <formula>NOT(ISBLANK(W697))</formula>
    </cfRule>
  </conditionalFormatting>
  <conditionalFormatting sqref="X764:X770">
    <cfRule type="expression" dxfId="726" priority="626">
      <formula>NOT(ISBLANK(W765))</formula>
    </cfRule>
  </conditionalFormatting>
  <conditionalFormatting sqref="X750:X756">
    <cfRule type="expression" dxfId="725" priority="624">
      <formula>NOT(ISBLANK(W752))</formula>
    </cfRule>
  </conditionalFormatting>
  <conditionalFormatting sqref="X757:X763">
    <cfRule type="expression" dxfId="724" priority="623">
      <formula>NOT(ISBLANK(W759))</formula>
    </cfRule>
  </conditionalFormatting>
  <conditionalFormatting sqref="X771:X776">
    <cfRule type="expression" dxfId="723" priority="621">
      <formula>NOT(ISBLANK(W772))</formula>
    </cfRule>
  </conditionalFormatting>
  <conditionalFormatting sqref="X777:X782">
    <cfRule type="expression" dxfId="722" priority="620">
      <formula>NOT(ISBLANK(W778))</formula>
    </cfRule>
  </conditionalFormatting>
  <conditionalFormatting sqref="X783:X788">
    <cfRule type="expression" dxfId="721" priority="619">
      <formula>NOT(ISBLANK(W784))</formula>
    </cfRule>
  </conditionalFormatting>
  <conditionalFormatting sqref="X813:X820">
    <cfRule type="expression" dxfId="720" priority="618">
      <formula>NOT(ISBLANK(W813))</formula>
    </cfRule>
  </conditionalFormatting>
  <conditionalFormatting sqref="X805:X811">
    <cfRule type="expression" dxfId="719" priority="616">
      <formula>W807&gt;0</formula>
    </cfRule>
  </conditionalFormatting>
  <conditionalFormatting sqref="X238:X245">
    <cfRule type="expression" dxfId="718" priority="613">
      <formula>$W$245=TRUE</formula>
    </cfRule>
  </conditionalFormatting>
  <conditionalFormatting sqref="X52">
    <cfRule type="expression" dxfId="717" priority="612">
      <formula>W52=TRUE</formula>
    </cfRule>
  </conditionalFormatting>
  <conditionalFormatting sqref="X55">
    <cfRule type="expression" dxfId="716" priority="611">
      <formula>W55=TRUE</formula>
    </cfRule>
  </conditionalFormatting>
  <conditionalFormatting sqref="W1642">
    <cfRule type="expression" dxfId="715" priority="606">
      <formula>AND($R$1642,$S$1642)</formula>
    </cfRule>
  </conditionalFormatting>
  <conditionalFormatting sqref="W1642">
    <cfRule type="expression" dxfId="714" priority="605">
      <formula>AND($W$1642&lt;&gt;"Not Met",LEN(TRIM($W$1642))&gt;0)</formula>
    </cfRule>
  </conditionalFormatting>
  <conditionalFormatting sqref="W1642">
    <cfRule type="expression" dxfId="713" priority="604">
      <formula>OR($S$1642 = FALSE, AND($P$1642 = FALSE, ReportType &lt;&gt; "Final"), AND($Q$1642 = FALSE, ReportType &lt;&gt; "Rough"))</formula>
    </cfRule>
  </conditionalFormatting>
  <conditionalFormatting sqref="W1642">
    <cfRule type="expression" dxfId="712" priority="603">
      <formula>OR($T$1642 = TRUE, AND(LEN(TRIM($W$1642))&gt;0, $S$1642 = FALSE))</formula>
    </cfRule>
  </conditionalFormatting>
  <conditionalFormatting sqref="W1729">
    <cfRule type="expression" dxfId="711" priority="601">
      <formula>AND($R$1729,$S$1729)</formula>
    </cfRule>
  </conditionalFormatting>
  <conditionalFormatting sqref="W1729">
    <cfRule type="expression" dxfId="710" priority="600">
      <formula>AND($W$1729&lt;&gt;"Not Met",LEN(TRIM($W$1729))&gt;0)</formula>
    </cfRule>
  </conditionalFormatting>
  <conditionalFormatting sqref="W1729">
    <cfRule type="expression" dxfId="709" priority="599">
      <formula>OR($S$1729 = FALSE, AND($P$1729 = FALSE, ReportType &lt;&gt; "Final"), AND($Q$1729 = FALSE, ReportType &lt;&gt; "Rough"))</formula>
    </cfRule>
  </conditionalFormatting>
  <conditionalFormatting sqref="W1729">
    <cfRule type="expression" dxfId="708" priority="598">
      <formula>OR($T$1729 = TRUE, AND(LEN(TRIM($W$1729))&gt;0, $S$1729 = FALSE))</formula>
    </cfRule>
  </conditionalFormatting>
  <conditionalFormatting sqref="W1731">
    <cfRule type="expression" dxfId="707" priority="597">
      <formula>AND($R$1731,$S$1731)</formula>
    </cfRule>
  </conditionalFormatting>
  <conditionalFormatting sqref="W1731">
    <cfRule type="expression" dxfId="706" priority="596">
      <formula>AND($W$1731&lt;&gt;"Not Met",LEN(TRIM($W$1731))&gt;0)</formula>
    </cfRule>
  </conditionalFormatting>
  <conditionalFormatting sqref="W1731">
    <cfRule type="expression" dxfId="705" priority="595">
      <formula>OR($S$1731 = FALSE, AND($P$1731 = FALSE, ReportType &lt;&gt; "Final"), AND($Q$1731 = FALSE, ReportType &lt;&gt; "Rough"))</formula>
    </cfRule>
  </conditionalFormatting>
  <conditionalFormatting sqref="W1731">
    <cfRule type="expression" dxfId="704" priority="594">
      <formula>OR($T$1731 = TRUE, AND(LEN(TRIM($W$1731))&gt;0, $S$1731 = FALSE))</formula>
    </cfRule>
  </conditionalFormatting>
  <conditionalFormatting sqref="W1741">
    <cfRule type="expression" dxfId="703" priority="593">
      <formula>AND($R$1741,$S$1741)</formula>
    </cfRule>
  </conditionalFormatting>
  <conditionalFormatting sqref="W1741">
    <cfRule type="expression" dxfId="702" priority="592">
      <formula>AND($W$1741&lt;&gt;"Not Met",LEN(TRIM($W$1741))&gt;0)</formula>
    </cfRule>
  </conditionalFormatting>
  <conditionalFormatting sqref="W1741">
    <cfRule type="expression" dxfId="701" priority="591">
      <formula>OR($S$1741 = FALSE, AND($P$1741 = FALSE, ReportType &lt;&gt; "Final"), AND($Q$1741 = FALSE, ReportType &lt;&gt; "Rough"))</formula>
    </cfRule>
  </conditionalFormatting>
  <conditionalFormatting sqref="W1741">
    <cfRule type="expression" dxfId="700" priority="590">
      <formula>OR($T$1741 = TRUE, AND(LEN(TRIM($W$1741))&gt;0, $S$1741 = FALSE))</formula>
    </cfRule>
  </conditionalFormatting>
  <conditionalFormatting sqref="W1772">
    <cfRule type="expression" dxfId="699" priority="589">
      <formula>AND($R$1772,$S$1772)</formula>
    </cfRule>
  </conditionalFormatting>
  <conditionalFormatting sqref="W1772">
    <cfRule type="expression" dxfId="698" priority="588">
      <formula>AND($W$1772&lt;&gt;"Not Met",LEN(TRIM($W$1772))&gt;0)</formula>
    </cfRule>
  </conditionalFormatting>
  <conditionalFormatting sqref="W1772">
    <cfRule type="expression" dxfId="697" priority="587">
      <formula>OR($S$1772 = FALSE, AND($P$1772 = FALSE, ReportType &lt;&gt; "Final"), AND($Q$1772 = FALSE, ReportType &lt;&gt; "Rough"))</formula>
    </cfRule>
  </conditionalFormatting>
  <conditionalFormatting sqref="W1772">
    <cfRule type="expression" dxfId="696" priority="586">
      <formula>OR($T$1772 = TRUE, AND(LEN(TRIM($W$1772))&gt;0, $S$1772 = FALSE))</formula>
    </cfRule>
  </conditionalFormatting>
  <conditionalFormatting sqref="W1774">
    <cfRule type="expression" dxfId="695" priority="585">
      <formula>AND($R$1774,$S$1774)</formula>
    </cfRule>
  </conditionalFormatting>
  <conditionalFormatting sqref="W1774">
    <cfRule type="expression" dxfId="694" priority="584">
      <formula>AND(IF($R$1774,$W$1774,TRUE),LEN(TRIM($W$1774))&gt;0)</formula>
    </cfRule>
  </conditionalFormatting>
  <conditionalFormatting sqref="W1774">
    <cfRule type="expression" dxfId="693" priority="583">
      <formula>OR($S$1774 = FALSE, AND($P$1774 = FALSE, ReportType &lt;&gt; "Final"), AND($Q$1774 = FALSE, ReportType &lt;&gt; "Rough"))</formula>
    </cfRule>
  </conditionalFormatting>
  <conditionalFormatting sqref="W1774">
    <cfRule type="expression" dxfId="692" priority="582">
      <formula>OR($T$1774 = TRUE, AND($W$1774 = TRUE, $S$1774 = FALSE))</formula>
    </cfRule>
  </conditionalFormatting>
  <conditionalFormatting sqref="W1793">
    <cfRule type="expression" dxfId="691" priority="581">
      <formula>AND($R$1793,$S$1793)</formula>
    </cfRule>
  </conditionalFormatting>
  <conditionalFormatting sqref="W1793">
    <cfRule type="expression" dxfId="690" priority="580">
      <formula>AND(IF($R$1793,$W$1793,TRUE),LEN(TRIM($W$1793))&gt;0)</formula>
    </cfRule>
  </conditionalFormatting>
  <conditionalFormatting sqref="W1793">
    <cfRule type="expression" dxfId="689" priority="579">
      <formula>OR($S$1793 = FALSE, AND($P$1793 = FALSE, ReportType &lt;&gt; "Final"), AND($Q$1793 = FALSE, ReportType &lt;&gt; "Rough"))</formula>
    </cfRule>
  </conditionalFormatting>
  <conditionalFormatting sqref="W1793">
    <cfRule type="expression" dxfId="688" priority="578">
      <formula>OR($T$1793 = TRUE, AND($W$1793 = TRUE, $S$1793 = FALSE))</formula>
    </cfRule>
  </conditionalFormatting>
  <conditionalFormatting sqref="W1795">
    <cfRule type="expression" dxfId="687" priority="577">
      <formula>AND($R$1795,$S$1795)</formula>
    </cfRule>
  </conditionalFormatting>
  <conditionalFormatting sqref="W1795">
    <cfRule type="expression" dxfId="686" priority="576">
      <formula>AND(IF($R$1795,$W$1795,TRUE),LEN(TRIM($W$1795))&gt;0)</formula>
    </cfRule>
  </conditionalFormatting>
  <conditionalFormatting sqref="W1795">
    <cfRule type="expression" dxfId="685" priority="575">
      <formula>OR($S$1795 = FALSE, AND($P$1795 = FALSE, ReportType &lt;&gt; "Final"), AND($Q$1795 = FALSE, ReportType &lt;&gt; "Rough"))</formula>
    </cfRule>
  </conditionalFormatting>
  <conditionalFormatting sqref="W1795">
    <cfRule type="expression" dxfId="684" priority="574">
      <formula>OR($T$1795 = TRUE, AND($W$1795 = TRUE, $S$1795 = FALSE))</formula>
    </cfRule>
  </conditionalFormatting>
  <conditionalFormatting sqref="W1797">
    <cfRule type="expression" dxfId="683" priority="573">
      <formula>AND($R$1797,$S$1797)</formula>
    </cfRule>
  </conditionalFormatting>
  <conditionalFormatting sqref="W1797">
    <cfRule type="expression" dxfId="682" priority="572">
      <formula>AND(IF($R$1797,$W$1797,TRUE),LEN(TRIM($W$1797))&gt;0)</formula>
    </cfRule>
  </conditionalFormatting>
  <conditionalFormatting sqref="W1797">
    <cfRule type="expression" dxfId="681" priority="571">
      <formula>OR($S$1797 = FALSE, AND($P$1797 = FALSE, ReportType &lt;&gt; "Final"), AND($Q$1797 = FALSE, ReportType &lt;&gt; "Rough"))</formula>
    </cfRule>
  </conditionalFormatting>
  <conditionalFormatting sqref="W1797">
    <cfRule type="expression" dxfId="680" priority="570">
      <formula>OR($T$1797 = TRUE, AND($W$1797 = TRUE, $S$1797 = FALSE))</formula>
    </cfRule>
  </conditionalFormatting>
  <conditionalFormatting sqref="W1798">
    <cfRule type="expression" dxfId="679" priority="569">
      <formula>AND($R$1798,$S$1798)</formula>
    </cfRule>
  </conditionalFormatting>
  <conditionalFormatting sqref="W1798">
    <cfRule type="expression" dxfId="678" priority="568">
      <formula>AND(IF($R$1798,$W$1798,TRUE),LEN(TRIM($W$1798))&gt;0)</formula>
    </cfRule>
  </conditionalFormatting>
  <conditionalFormatting sqref="W1798">
    <cfRule type="expression" dxfId="677" priority="567">
      <formula>OR($S$1798 = FALSE, AND($P$1798 = FALSE, ReportType &lt;&gt; "Final"), AND($Q$1798 = FALSE, ReportType &lt;&gt; "Rough"))</formula>
    </cfRule>
  </conditionalFormatting>
  <conditionalFormatting sqref="W1798">
    <cfRule type="expression" dxfId="676" priority="566">
      <formula>OR($T$1798 = TRUE, AND($W$1798 = TRUE, $S$1798 = FALSE))</formula>
    </cfRule>
  </conditionalFormatting>
  <conditionalFormatting sqref="W1800">
    <cfRule type="expression" dxfId="675" priority="565">
      <formula>AND($R$1800,$S$1800)</formula>
    </cfRule>
  </conditionalFormatting>
  <conditionalFormatting sqref="W1800">
    <cfRule type="expression" dxfId="674" priority="564">
      <formula>AND(IF($R$1800,$W$1800,TRUE),LEN(TRIM($W$1800))&gt;0)</formula>
    </cfRule>
  </conditionalFormatting>
  <conditionalFormatting sqref="W1800">
    <cfRule type="expression" dxfId="673" priority="563">
      <formula>OR($S$1800 = FALSE, AND($P$1800 = FALSE, ReportType &lt;&gt; "Final"), AND($Q$1800 = FALSE, ReportType &lt;&gt; "Rough"))</formula>
    </cfRule>
  </conditionalFormatting>
  <conditionalFormatting sqref="W1800">
    <cfRule type="expression" dxfId="672" priority="562">
      <formula>OR($T$1800 = TRUE, AND($W$1800 = TRUE, $S$1800 = FALSE))</formula>
    </cfRule>
  </conditionalFormatting>
  <conditionalFormatting sqref="W1824">
    <cfRule type="expression" dxfId="671" priority="561">
      <formula>AND($R$1824,$S$1824)</formula>
    </cfRule>
  </conditionalFormatting>
  <conditionalFormatting sqref="W1824">
    <cfRule type="expression" dxfId="670" priority="560">
      <formula>AND($W$1824&lt;&gt;"Not Met",LEN(TRIM($W$1824))&gt;0)</formula>
    </cfRule>
  </conditionalFormatting>
  <conditionalFormatting sqref="W1824">
    <cfRule type="expression" dxfId="669" priority="559">
      <formula>OR($S$1824 = FALSE, AND($P$1824 = FALSE, ReportType &lt;&gt; "Final"), AND($Q$1824 = FALSE, ReportType &lt;&gt; "Rough"))</formula>
    </cfRule>
  </conditionalFormatting>
  <conditionalFormatting sqref="W1824">
    <cfRule type="expression" dxfId="668" priority="558">
      <formula>OR($T$1824 = TRUE, AND(LEN(TRIM($W$1824))&gt;0, $S$1824 = FALSE))</formula>
    </cfRule>
  </conditionalFormatting>
  <conditionalFormatting sqref="W1832">
    <cfRule type="expression" dxfId="667" priority="557">
      <formula>AND($R$1832,$S$1832)</formula>
    </cfRule>
  </conditionalFormatting>
  <conditionalFormatting sqref="W1832">
    <cfRule type="expression" dxfId="666" priority="556">
      <formula>AND($W$1832&lt;&gt;"Not Met",LEN(TRIM($W$1832))&gt;0)</formula>
    </cfRule>
  </conditionalFormatting>
  <conditionalFormatting sqref="W1832">
    <cfRule type="expression" dxfId="665" priority="555">
      <formula>OR($S$1832 = FALSE, AND($P$1832 = FALSE, ReportType &lt;&gt; "Final"), AND($Q$1832 = FALSE, ReportType &lt;&gt; "Rough"))</formula>
    </cfRule>
  </conditionalFormatting>
  <conditionalFormatting sqref="W1832">
    <cfRule type="expression" dxfId="664" priority="554">
      <formula>OR($T$1832 = TRUE, AND(LEN(TRIM($W$1832))&gt;0, $S$1832 = FALSE))</formula>
    </cfRule>
  </conditionalFormatting>
  <conditionalFormatting sqref="W1840">
    <cfRule type="expression" dxfId="663" priority="553">
      <formula>AND($R$1840,$S$1840)</formula>
    </cfRule>
  </conditionalFormatting>
  <conditionalFormatting sqref="W1840">
    <cfRule type="expression" dxfId="662" priority="552">
      <formula>AND(IF($R$1840,$W$1840,TRUE),LEN(TRIM($W$1840))&gt;0)</formula>
    </cfRule>
  </conditionalFormatting>
  <conditionalFormatting sqref="W1840">
    <cfRule type="expression" dxfId="661" priority="551">
      <formula>OR($S$1840 = FALSE, AND($P$1840 = FALSE, ReportType &lt;&gt; "Final"), AND($Q$1840 = FALSE, ReportType &lt;&gt; "Rough"))</formula>
    </cfRule>
  </conditionalFormatting>
  <conditionalFormatting sqref="W1840">
    <cfRule type="expression" dxfId="660" priority="550">
      <formula>OR($T$1840 = TRUE, AND($W$1840 = TRUE, $S$1840 = FALSE))</formula>
    </cfRule>
  </conditionalFormatting>
  <conditionalFormatting sqref="W2030">
    <cfRule type="expression" dxfId="659" priority="549">
      <formula>AND($R$2030,$S$2030)</formula>
    </cfRule>
  </conditionalFormatting>
  <conditionalFormatting sqref="W2030">
    <cfRule type="expression" dxfId="658" priority="548">
      <formula>AND(IF($R$2030,$W$2030,TRUE),LEN(TRIM($W$2030))&gt;0)</formula>
    </cfRule>
  </conditionalFormatting>
  <conditionalFormatting sqref="W2030">
    <cfRule type="expression" dxfId="657" priority="547">
      <formula>OR($S$2030 = FALSE, AND($P$2030 = FALSE, ReportType &lt;&gt; "Final"), AND($Q$2030 = FALSE, ReportType &lt;&gt; "Rough"))</formula>
    </cfRule>
  </conditionalFormatting>
  <conditionalFormatting sqref="W2030">
    <cfRule type="expression" dxfId="656" priority="546">
      <formula>OR($T$2030 = TRUE, AND($W$2030 = TRUE, $S$2030 = FALSE))</formula>
    </cfRule>
  </conditionalFormatting>
  <conditionalFormatting sqref="W2081">
    <cfRule type="expression" dxfId="655" priority="545">
      <formula>AND($R$2081,$S$2081)</formula>
    </cfRule>
  </conditionalFormatting>
  <conditionalFormatting sqref="W2081">
    <cfRule type="expression" dxfId="654" priority="544">
      <formula>AND(IF($R$2081,$W$2081,TRUE),LEN(TRIM($W$2081))&gt;0)</formula>
    </cfRule>
  </conditionalFormatting>
  <conditionalFormatting sqref="W2081">
    <cfRule type="expression" dxfId="653" priority="543">
      <formula>OR($S$2081 = FALSE, AND($P$2081 = FALSE, ReportType &lt;&gt; "Final"), AND($Q$2081 = FALSE, ReportType &lt;&gt; "Rough"))</formula>
    </cfRule>
  </conditionalFormatting>
  <conditionalFormatting sqref="W2081">
    <cfRule type="expression" dxfId="652" priority="542">
      <formula>OR($T$2081 = TRUE, AND($W$2081 = TRUE, $S$2081 = FALSE))</formula>
    </cfRule>
  </conditionalFormatting>
  <conditionalFormatting sqref="W2104">
    <cfRule type="expression" dxfId="651" priority="541">
      <formula>AND($R$2104,$S$2104)</formula>
    </cfRule>
  </conditionalFormatting>
  <conditionalFormatting sqref="W2104">
    <cfRule type="expression" dxfId="650" priority="540">
      <formula>AND($W$2104&lt;&gt;"Not Met",LEN(TRIM($W$2104))&gt;0)</formula>
    </cfRule>
  </conditionalFormatting>
  <conditionalFormatting sqref="W2104">
    <cfRule type="expression" dxfId="649" priority="539">
      <formula>OR($S$2104 = FALSE, AND($P$2104 = FALSE, ReportType &lt;&gt; "Final"), AND($Q$2104 = FALSE, ReportType &lt;&gt; "Rough"))</formula>
    </cfRule>
  </conditionalFormatting>
  <conditionalFormatting sqref="W2104">
    <cfRule type="expression" dxfId="648" priority="538">
      <formula>OR($T$2104 = TRUE, AND(LEN(TRIM($W$2104))&gt;0, $S$2104 = FALSE))</formula>
    </cfRule>
  </conditionalFormatting>
  <conditionalFormatting sqref="W2152">
    <cfRule type="expression" dxfId="647" priority="521">
      <formula>AND($R$2152,$S$2152)</formula>
    </cfRule>
  </conditionalFormatting>
  <conditionalFormatting sqref="W2152">
    <cfRule type="expression" dxfId="646" priority="520">
      <formula>AND(IF($R$2152,$W$2152,TRUE),LEN(TRIM($W$2152))&gt;0)</formula>
    </cfRule>
  </conditionalFormatting>
  <conditionalFormatting sqref="W2152">
    <cfRule type="expression" dxfId="645" priority="519">
      <formula>OR($S$2152 = FALSE, AND($P$2152 = FALSE, ReportType &lt;&gt; "Final"), AND($Q$2152 = FALSE, ReportType &lt;&gt; "Rough"))</formula>
    </cfRule>
  </conditionalFormatting>
  <conditionalFormatting sqref="W2152">
    <cfRule type="expression" dxfId="644" priority="518">
      <formula>OR($T$2152 = TRUE, AND($W$2152 = TRUE, $S$2152 = FALSE))</formula>
    </cfRule>
  </conditionalFormatting>
  <conditionalFormatting sqref="W2154">
    <cfRule type="expression" dxfId="643" priority="517">
      <formula>AND($R$2154,$S$2154)</formula>
    </cfRule>
  </conditionalFormatting>
  <conditionalFormatting sqref="W2154">
    <cfRule type="expression" dxfId="642" priority="516">
      <formula>AND(IF($R$2154,$W$2154,TRUE),LEN(TRIM($W$2154))&gt;0)</formula>
    </cfRule>
  </conditionalFormatting>
  <conditionalFormatting sqref="W2154">
    <cfRule type="expression" dxfId="641" priority="515">
      <formula>OR($S$2154 = FALSE, AND($P$2154 = FALSE, ReportType &lt;&gt; "Final"), AND($Q$2154 = FALSE, ReportType &lt;&gt; "Rough"))</formula>
    </cfRule>
  </conditionalFormatting>
  <conditionalFormatting sqref="W2154">
    <cfRule type="expression" dxfId="640" priority="514">
      <formula>OR($T$2154 = TRUE, AND($W$2154 = TRUE, $S$2154 = FALSE))</formula>
    </cfRule>
  </conditionalFormatting>
  <conditionalFormatting sqref="W2185">
    <cfRule type="expression" dxfId="639" priority="509">
      <formula>AND($R$2185,$S$2185)</formula>
    </cfRule>
  </conditionalFormatting>
  <conditionalFormatting sqref="W2185">
    <cfRule type="expression" dxfId="638" priority="508">
      <formula>AND(IF($R$2185,$W$2185,TRUE),LEN(TRIM($W$2185))&gt;0)</formula>
    </cfRule>
  </conditionalFormatting>
  <conditionalFormatting sqref="W2185">
    <cfRule type="expression" dxfId="637" priority="507">
      <formula>OR($S$2185 = FALSE, AND($P$2185 = FALSE, ReportType &lt;&gt; "Final"), AND($Q$2185 = FALSE, ReportType &lt;&gt; "Rough"))</formula>
    </cfRule>
  </conditionalFormatting>
  <conditionalFormatting sqref="W2185">
    <cfRule type="expression" dxfId="636" priority="506">
      <formula>OR($T$2185 = TRUE, AND($W$2185 = TRUE, $S$2185 = FALSE))</formula>
    </cfRule>
  </conditionalFormatting>
  <conditionalFormatting sqref="W2220">
    <cfRule type="expression" dxfId="635" priority="505">
      <formula>AND($R$2220,$S$2220)</formula>
    </cfRule>
  </conditionalFormatting>
  <conditionalFormatting sqref="W2220">
    <cfRule type="expression" dxfId="634" priority="504">
      <formula>AND(IF($R$2220,$W$2220,TRUE),LEN(TRIM($W$2220))&gt;0)</formula>
    </cfRule>
  </conditionalFormatting>
  <conditionalFormatting sqref="W2220">
    <cfRule type="expression" dxfId="633" priority="503">
      <formula>OR($S$2220 = FALSE, AND($P$2220 = FALSE, ReportType &lt;&gt; "Final"), AND($Q$2220 = FALSE, ReportType &lt;&gt; "Rough"))</formula>
    </cfRule>
  </conditionalFormatting>
  <conditionalFormatting sqref="W2220">
    <cfRule type="expression" dxfId="632" priority="502">
      <formula>OR($T$2220 = TRUE, AND($W$2220 = TRUE, $S$2220 = FALSE))</formula>
    </cfRule>
  </conditionalFormatting>
  <conditionalFormatting sqref="W2228">
    <cfRule type="expression" dxfId="631" priority="501">
      <formula>AND($R$2228,$S$2228)</formula>
    </cfRule>
  </conditionalFormatting>
  <conditionalFormatting sqref="W2228">
    <cfRule type="expression" dxfId="630" priority="500">
      <formula>AND(IF($R$2228,$W$2228,TRUE),LEN(TRIM($W$2228))&gt;0)</formula>
    </cfRule>
  </conditionalFormatting>
  <conditionalFormatting sqref="W2228">
    <cfRule type="expression" dxfId="629" priority="499">
      <formula>OR($S$2228 = FALSE, AND($P$2228 = FALSE, ReportType &lt;&gt; "Final"), AND($Q$2228 = FALSE, ReportType &lt;&gt; "Rough"))</formula>
    </cfRule>
  </conditionalFormatting>
  <conditionalFormatting sqref="W2228">
    <cfRule type="expression" dxfId="628" priority="498">
      <formula>OR($T$2228 = TRUE, AND($W$2228 = TRUE, $S$2228 = FALSE))</formula>
    </cfRule>
  </conditionalFormatting>
  <conditionalFormatting sqref="W2240">
    <cfRule type="expression" dxfId="627" priority="497">
      <formula>AND($R$2240,$S$2240)</formula>
    </cfRule>
  </conditionalFormatting>
  <conditionalFormatting sqref="W2240">
    <cfRule type="expression" dxfId="626" priority="496">
      <formula>AND(IF($R$2240,$W$2240,TRUE),LEN(TRIM($W$2240))&gt;0)</formula>
    </cfRule>
  </conditionalFormatting>
  <conditionalFormatting sqref="W2240">
    <cfRule type="expression" dxfId="625" priority="495">
      <formula>OR($S$2240 = FALSE, AND($P$2240 = FALSE, ReportType &lt;&gt; "Final"), AND($Q$2240 = FALSE, ReportType &lt;&gt; "Rough"))</formula>
    </cfRule>
  </conditionalFormatting>
  <conditionalFormatting sqref="W2240">
    <cfRule type="expression" dxfId="624" priority="494">
      <formula>OR($T$2240 = TRUE, AND($W$2240 = TRUE, $S$2240 = FALSE))</formula>
    </cfRule>
  </conditionalFormatting>
  <conditionalFormatting sqref="W2241">
    <cfRule type="expression" dxfId="623" priority="493">
      <formula>AND($R$2241,$S$2241)</formula>
    </cfRule>
  </conditionalFormatting>
  <conditionalFormatting sqref="W2241">
    <cfRule type="expression" dxfId="622" priority="492">
      <formula>AND(IF($R$2241,$W$2241,TRUE),LEN(TRIM($W$2241))&gt;0)</formula>
    </cfRule>
  </conditionalFormatting>
  <conditionalFormatting sqref="W2241">
    <cfRule type="expression" dxfId="621" priority="491">
      <formula>OR($S$2241 = FALSE, AND($P$2241 = FALSE, ReportType &lt;&gt; "Final"), AND($Q$2241 = FALSE, ReportType &lt;&gt; "Rough"))</formula>
    </cfRule>
  </conditionalFormatting>
  <conditionalFormatting sqref="W2241">
    <cfRule type="expression" dxfId="620" priority="490">
      <formula>OR($T$2241 = TRUE, AND($W$2241 = TRUE, $S$2241 = FALSE))</formula>
    </cfRule>
  </conditionalFormatting>
  <conditionalFormatting sqref="W2243">
    <cfRule type="expression" dxfId="619" priority="489">
      <formula>AND($R$2243,$S$2243)</formula>
    </cfRule>
  </conditionalFormatting>
  <conditionalFormatting sqref="W2243">
    <cfRule type="expression" dxfId="618" priority="488">
      <formula>AND(IF($R$2243,$W$2243,TRUE),LEN(TRIM($W$2243))&gt;0)</formula>
    </cfRule>
  </conditionalFormatting>
  <conditionalFormatting sqref="W2243">
    <cfRule type="expression" dxfId="617" priority="487">
      <formula>OR($S$2243 = FALSE, AND($P$2243 = FALSE, ReportType &lt;&gt; "Final"), AND($Q$2243 = FALSE, ReportType &lt;&gt; "Rough"))</formula>
    </cfRule>
  </conditionalFormatting>
  <conditionalFormatting sqref="W2243">
    <cfRule type="expression" dxfId="616" priority="486">
      <formula>OR($T$2243 = TRUE, AND($W$2243 = TRUE, $S$2243 = FALSE))</formula>
    </cfRule>
  </conditionalFormatting>
  <conditionalFormatting sqref="W2248">
    <cfRule type="expression" dxfId="615" priority="485">
      <formula>AND($R$2248,$S$2248)</formula>
    </cfRule>
  </conditionalFormatting>
  <conditionalFormatting sqref="W2248">
    <cfRule type="expression" dxfId="614" priority="484">
      <formula>AND(IF($R$2248,$W$2248,TRUE),LEN(TRIM($W$2248))&gt;0)</formula>
    </cfRule>
  </conditionalFormatting>
  <conditionalFormatting sqref="W2248">
    <cfRule type="expression" dxfId="613" priority="483">
      <formula>OR($S$2248 = FALSE, AND($P$2248 = FALSE, ReportType &lt;&gt; "Final"), AND($Q$2248 = FALSE, ReportType &lt;&gt; "Rough"))</formula>
    </cfRule>
  </conditionalFormatting>
  <conditionalFormatting sqref="W2248">
    <cfRule type="expression" dxfId="612" priority="482">
      <formula>OR($T$2248 = TRUE, AND($W$2248 = TRUE, $S$2248 = FALSE))</formula>
    </cfRule>
  </conditionalFormatting>
  <conditionalFormatting sqref="W2393">
    <cfRule type="expression" dxfId="611" priority="481">
      <formula>AND($R$2393,$S$2393)</formula>
    </cfRule>
  </conditionalFormatting>
  <conditionalFormatting sqref="W2393">
    <cfRule type="expression" dxfId="610" priority="480">
      <formula>AND(IF($R$2393,$W$2393,TRUE),LEN(TRIM($W$2393))&gt;0)</formula>
    </cfRule>
  </conditionalFormatting>
  <conditionalFormatting sqref="W2393">
    <cfRule type="expression" dxfId="609" priority="479">
      <formula>OR($S$2393 = FALSE, AND($P$2393 = FALSE, ReportType &lt;&gt; "Final"), AND($Q$2393 = FALSE, ReportType &lt;&gt; "Rough"))</formula>
    </cfRule>
  </conditionalFormatting>
  <conditionalFormatting sqref="W2393">
    <cfRule type="expression" dxfId="608" priority="478">
      <formula>OR($T$2393 = TRUE, AND($W$2393 = TRUE, $S$2393 = FALSE))</formula>
    </cfRule>
  </conditionalFormatting>
  <conditionalFormatting sqref="W2410">
    <cfRule type="expression" dxfId="607" priority="476">
      <formula>AND($R$2410,$S$2410)</formula>
    </cfRule>
  </conditionalFormatting>
  <conditionalFormatting sqref="W2410">
    <cfRule type="expression" dxfId="606" priority="475">
      <formula>AND(IF($R$2410,$W$2410,TRUE),LEN(TRIM($W$2410))&gt;0)</formula>
    </cfRule>
  </conditionalFormatting>
  <conditionalFormatting sqref="W2410">
    <cfRule type="expression" dxfId="605" priority="474">
      <formula>OR($S$2410 = FALSE, AND($P$2410 = FALSE, ReportType &lt;&gt; "Final"), AND($Q$2410 = FALSE, ReportType &lt;&gt; "Rough"))</formula>
    </cfRule>
  </conditionalFormatting>
  <conditionalFormatting sqref="W2410">
    <cfRule type="expression" dxfId="604" priority="473">
      <formula>OR($T$2410 = TRUE, AND($W$2410 = TRUE, $S$2410 = FALSE))</formula>
    </cfRule>
  </conditionalFormatting>
  <conditionalFormatting sqref="W2411">
    <cfRule type="expression" dxfId="603" priority="472">
      <formula>AND($R$2411,$S$2411)</formula>
    </cfRule>
  </conditionalFormatting>
  <conditionalFormatting sqref="W2411">
    <cfRule type="expression" dxfId="602" priority="471">
      <formula>AND(IF($R$2411,$W$2411,TRUE),LEN(TRIM($W$2411))&gt;0)</formula>
    </cfRule>
  </conditionalFormatting>
  <conditionalFormatting sqref="W2411">
    <cfRule type="expression" dxfId="601" priority="470">
      <formula>OR($S$2411 = FALSE, AND($P$2411 = FALSE, ReportType &lt;&gt; "Final"), AND($Q$2411 = FALSE, ReportType &lt;&gt; "Rough"))</formula>
    </cfRule>
  </conditionalFormatting>
  <conditionalFormatting sqref="W2411">
    <cfRule type="expression" dxfId="600" priority="469">
      <formula>OR($T$2411 = TRUE, AND($W$2411 = TRUE, $S$2411 = FALSE))</formula>
    </cfRule>
  </conditionalFormatting>
  <conditionalFormatting sqref="W2412">
    <cfRule type="expression" dxfId="599" priority="468">
      <formula>AND($R$2412,$S$2412)</formula>
    </cfRule>
  </conditionalFormatting>
  <conditionalFormatting sqref="W2412">
    <cfRule type="expression" dxfId="598" priority="467">
      <formula>AND(IF($R$2412,$W$2412,TRUE),LEN(TRIM($W$2412))&gt;0)</formula>
    </cfRule>
  </conditionalFormatting>
  <conditionalFormatting sqref="W2412">
    <cfRule type="expression" dxfId="597" priority="466">
      <formula>OR($S$2412 = FALSE, AND($P$2412 = FALSE, ReportType &lt;&gt; "Final"), AND($Q$2412 = FALSE, ReportType &lt;&gt; "Rough"))</formula>
    </cfRule>
  </conditionalFormatting>
  <conditionalFormatting sqref="W2412">
    <cfRule type="expression" dxfId="596" priority="465">
      <formula>OR($T$2412 = TRUE, AND($W$2412 = TRUE, $S$2412 = FALSE))</formula>
    </cfRule>
  </conditionalFormatting>
  <conditionalFormatting sqref="W2414">
    <cfRule type="expression" dxfId="595" priority="464">
      <formula>AND($R$2414,$S$2414)</formula>
    </cfRule>
  </conditionalFormatting>
  <conditionalFormatting sqref="W2414">
    <cfRule type="expression" dxfId="594" priority="463">
      <formula>AND(IF($R$2414,$W$2414,TRUE),LEN(TRIM($W$2414))&gt;0)</formula>
    </cfRule>
  </conditionalFormatting>
  <conditionalFormatting sqref="W2414">
    <cfRule type="expression" dxfId="593" priority="462">
      <formula>OR($S$2414 = FALSE, AND($P$2414 = FALSE, ReportType &lt;&gt; "Final"), AND($Q$2414 = FALSE, ReportType &lt;&gt; "Rough"))</formula>
    </cfRule>
  </conditionalFormatting>
  <conditionalFormatting sqref="W2414">
    <cfRule type="expression" dxfId="592" priority="461">
      <formula>OR($T$2414 = TRUE, AND($W$2414 = TRUE, $S$2414 = FALSE))</formula>
    </cfRule>
  </conditionalFormatting>
  <conditionalFormatting sqref="W2415">
    <cfRule type="expression" dxfId="591" priority="460">
      <formula>AND($R$2415,$S$2415)</formula>
    </cfRule>
  </conditionalFormatting>
  <conditionalFormatting sqref="W2415">
    <cfRule type="expression" dxfId="590" priority="459">
      <formula>AND(IF($R$2415,$W$2415,TRUE),LEN(TRIM($W$2415))&gt;0)</formula>
    </cfRule>
  </conditionalFormatting>
  <conditionalFormatting sqref="W2415">
    <cfRule type="expression" dxfId="589" priority="458">
      <formula>OR($S$2415 = FALSE, AND($P$2415 = FALSE, ReportType &lt;&gt; "Final"), AND($Q$2415 = FALSE, ReportType &lt;&gt; "Rough"))</formula>
    </cfRule>
  </conditionalFormatting>
  <conditionalFormatting sqref="W2415">
    <cfRule type="expression" dxfId="588" priority="457">
      <formula>OR($T$2415 = TRUE, AND($W$2415 = TRUE, $S$2415 = FALSE))</formula>
    </cfRule>
  </conditionalFormatting>
  <conditionalFormatting sqref="W2416">
    <cfRule type="expression" dxfId="587" priority="456">
      <formula>AND($R$2416,$S$2416)</formula>
    </cfRule>
  </conditionalFormatting>
  <conditionalFormatting sqref="W2416">
    <cfRule type="expression" dxfId="586" priority="455">
      <formula>AND(IF($R$2416,$W$2416,TRUE),LEN(TRIM($W$2416))&gt;0)</formula>
    </cfRule>
  </conditionalFormatting>
  <conditionalFormatting sqref="W2416">
    <cfRule type="expression" dxfId="585" priority="454">
      <formula>OR($S$2416 = FALSE, AND($P$2416 = FALSE, ReportType &lt;&gt; "Final"), AND($Q$2416 = FALSE, ReportType &lt;&gt; "Rough"))</formula>
    </cfRule>
  </conditionalFormatting>
  <conditionalFormatting sqref="W2416">
    <cfRule type="expression" dxfId="584" priority="453">
      <formula>OR($T$2416 = TRUE, AND($W$2416 = TRUE, $S$2416 = FALSE))</formula>
    </cfRule>
  </conditionalFormatting>
  <conditionalFormatting sqref="W2417">
    <cfRule type="expression" dxfId="583" priority="452">
      <formula>AND($R$2417,$S$2417)</formula>
    </cfRule>
  </conditionalFormatting>
  <conditionalFormatting sqref="W2417">
    <cfRule type="expression" dxfId="582" priority="451">
      <formula>AND(IF($R$2417,$W$2417,TRUE),LEN(TRIM($W$2417))&gt;0)</formula>
    </cfRule>
  </conditionalFormatting>
  <conditionalFormatting sqref="W2417">
    <cfRule type="expression" dxfId="581" priority="450">
      <formula>OR($S$2417 = FALSE, AND($P$2417 = FALSE, ReportType &lt;&gt; "Final"), AND($Q$2417 = FALSE, ReportType &lt;&gt; "Rough"))</formula>
    </cfRule>
  </conditionalFormatting>
  <conditionalFormatting sqref="W2417">
    <cfRule type="expression" dxfId="580" priority="449">
      <formula>OR($T$2417 = TRUE, AND($W$2417 = TRUE, $S$2417 = FALSE))</formula>
    </cfRule>
  </conditionalFormatting>
  <conditionalFormatting sqref="W2418">
    <cfRule type="expression" dxfId="579" priority="448">
      <formula>AND($R$2418,$S$2418)</formula>
    </cfRule>
  </conditionalFormatting>
  <conditionalFormatting sqref="W2418">
    <cfRule type="expression" dxfId="578" priority="447">
      <formula>AND(IF($R$2418,$W$2418,TRUE),LEN(TRIM($W$2418))&gt;0)</formula>
    </cfRule>
  </conditionalFormatting>
  <conditionalFormatting sqref="W2418">
    <cfRule type="expression" dxfId="577" priority="446">
      <formula>OR($S$2418 = FALSE, AND($P$2418 = FALSE, ReportType &lt;&gt; "Final"), AND($Q$2418 = FALSE, ReportType &lt;&gt; "Rough"))</formula>
    </cfRule>
  </conditionalFormatting>
  <conditionalFormatting sqref="W2418">
    <cfRule type="expression" dxfId="576" priority="445">
      <formula>OR($T$2418 = TRUE, AND($W$2418 = TRUE, $S$2418 = FALSE))</formula>
    </cfRule>
  </conditionalFormatting>
  <conditionalFormatting sqref="W2419">
    <cfRule type="expression" dxfId="575" priority="444">
      <formula>AND($R$2419,$S$2419)</formula>
    </cfRule>
  </conditionalFormatting>
  <conditionalFormatting sqref="W2419">
    <cfRule type="expression" dxfId="574" priority="443">
      <formula>AND(IF($R$2419,$W$2419,TRUE),LEN(TRIM($W$2419))&gt;0)</formula>
    </cfRule>
  </conditionalFormatting>
  <conditionalFormatting sqref="W2419">
    <cfRule type="expression" dxfId="573" priority="442">
      <formula>OR($S$2419 = FALSE, AND($P$2419 = FALSE, ReportType &lt;&gt; "Final"), AND($Q$2419 = FALSE, ReportType &lt;&gt; "Rough"))</formula>
    </cfRule>
  </conditionalFormatting>
  <conditionalFormatting sqref="W2419">
    <cfRule type="expression" dxfId="572" priority="441">
      <formula>OR($T$2419 = TRUE, AND($W$2419 = TRUE, $S$2419 = FALSE))</formula>
    </cfRule>
  </conditionalFormatting>
  <conditionalFormatting sqref="W2424">
    <cfRule type="expression" dxfId="571" priority="440">
      <formula>AND($R$2424,$S$2424)</formula>
    </cfRule>
  </conditionalFormatting>
  <conditionalFormatting sqref="W2424">
    <cfRule type="expression" dxfId="570" priority="439">
      <formula>AND(IF($R$2424,$W$2424,TRUE),LEN(TRIM($W$2424))&gt;0)</formula>
    </cfRule>
  </conditionalFormatting>
  <conditionalFormatting sqref="W2424">
    <cfRule type="expression" dxfId="569" priority="438">
      <formula>OR($S$2424 = FALSE, AND($P$2424 = FALSE, ReportType &lt;&gt; "Final"), AND($Q$2424 = FALSE, ReportType &lt;&gt; "Rough"))</formula>
    </cfRule>
  </conditionalFormatting>
  <conditionalFormatting sqref="W2424">
    <cfRule type="expression" dxfId="568" priority="437">
      <formula>OR($T$2424 = TRUE, AND($W$2424 = TRUE, $S$2424 = FALSE))</formula>
    </cfRule>
  </conditionalFormatting>
  <conditionalFormatting sqref="W2425">
    <cfRule type="expression" dxfId="567" priority="436">
      <formula>AND($R$2425,$S$2425)</formula>
    </cfRule>
  </conditionalFormatting>
  <conditionalFormatting sqref="W2425">
    <cfRule type="expression" dxfId="566" priority="435">
      <formula>AND(IF($R$2425,$W$2425,TRUE),LEN(TRIM($W$2425))&gt;0)</formula>
    </cfRule>
  </conditionalFormatting>
  <conditionalFormatting sqref="W2425">
    <cfRule type="expression" dxfId="565" priority="434">
      <formula>OR($S$2425 = FALSE, AND($P$2425 = FALSE, ReportType &lt;&gt; "Final"), AND($Q$2425 = FALSE, ReportType &lt;&gt; "Rough"))</formula>
    </cfRule>
  </conditionalFormatting>
  <conditionalFormatting sqref="W2425">
    <cfRule type="expression" dxfId="564" priority="433">
      <formula>OR($T$2425 = TRUE, AND($W$2425 = TRUE, $S$2425 = FALSE))</formula>
    </cfRule>
  </conditionalFormatting>
  <conditionalFormatting sqref="W2426">
    <cfRule type="expression" dxfId="563" priority="432">
      <formula>AND($R$2426,$S$2426)</formula>
    </cfRule>
  </conditionalFormatting>
  <conditionalFormatting sqref="W2426">
    <cfRule type="expression" dxfId="562" priority="431">
      <formula>AND(IF($R$2426,$W$2426,TRUE),LEN(TRIM($W$2426))&gt;0)</formula>
    </cfRule>
  </conditionalFormatting>
  <conditionalFormatting sqref="W2426">
    <cfRule type="expression" dxfId="561" priority="430">
      <formula>OR($S$2426 = FALSE, AND($P$2426 = FALSE, ReportType &lt;&gt; "Final"), AND($Q$2426 = FALSE, ReportType &lt;&gt; "Rough"))</formula>
    </cfRule>
  </conditionalFormatting>
  <conditionalFormatting sqref="W2426">
    <cfRule type="expression" dxfId="560" priority="429">
      <formula>OR($T$2426 = TRUE, AND($W$2426 = TRUE, $S$2426 = FALSE))</formula>
    </cfRule>
  </conditionalFormatting>
  <conditionalFormatting sqref="W2427">
    <cfRule type="expression" dxfId="559" priority="428">
      <formula>AND($R$2427,$S$2427)</formula>
    </cfRule>
  </conditionalFormatting>
  <conditionalFormatting sqref="W2427">
    <cfRule type="expression" dxfId="558" priority="427">
      <formula>AND(IF($R$2427,$W$2427,TRUE),LEN(TRIM($W$2427))&gt;0)</formula>
    </cfRule>
  </conditionalFormatting>
  <conditionalFormatting sqref="W2427">
    <cfRule type="expression" dxfId="557" priority="426">
      <formula>OR($S$2427 = FALSE, AND($P$2427 = FALSE, ReportType &lt;&gt; "Final"), AND($Q$2427 = FALSE, ReportType &lt;&gt; "Rough"))</formula>
    </cfRule>
  </conditionalFormatting>
  <conditionalFormatting sqref="W2427">
    <cfRule type="expression" dxfId="556" priority="425">
      <formula>OR($T$2427 = TRUE, AND($W$2427 = TRUE, $S$2427 = FALSE))</formula>
    </cfRule>
  </conditionalFormatting>
  <conditionalFormatting sqref="W2428">
    <cfRule type="expression" dxfId="555" priority="424">
      <formula>AND($R$2428,$S$2428)</formula>
    </cfRule>
  </conditionalFormatting>
  <conditionalFormatting sqref="W2428">
    <cfRule type="expression" dxfId="554" priority="423">
      <formula>AND(IF($R$2428,$W$2428,TRUE),LEN(TRIM($W$2428))&gt;0)</formula>
    </cfRule>
  </conditionalFormatting>
  <conditionalFormatting sqref="W2428">
    <cfRule type="expression" dxfId="553" priority="422">
      <formula>OR($S$2428 = FALSE, AND($P$2428 = FALSE, ReportType &lt;&gt; "Final"), AND($Q$2428 = FALSE, ReportType &lt;&gt; "Rough"))</formula>
    </cfRule>
  </conditionalFormatting>
  <conditionalFormatting sqref="W2428">
    <cfRule type="expression" dxfId="552" priority="421">
      <formula>OR($T$2428 = TRUE, AND($W$2428 = TRUE, $S$2428 = FALSE))</formula>
    </cfRule>
  </conditionalFormatting>
  <conditionalFormatting sqref="W2429">
    <cfRule type="expression" dxfId="551" priority="420">
      <formula>AND($R$2429,$S$2429)</formula>
    </cfRule>
  </conditionalFormatting>
  <conditionalFormatting sqref="W2429">
    <cfRule type="expression" dxfId="550" priority="419">
      <formula>AND(IF($R$2429,$W$2429,TRUE),LEN(TRIM($W$2429))&gt;0)</formula>
    </cfRule>
  </conditionalFormatting>
  <conditionalFormatting sqref="W2429">
    <cfRule type="expression" dxfId="549" priority="418">
      <formula>OR($S$2429 = FALSE, AND($P$2429 = FALSE, ReportType &lt;&gt; "Final"), AND($Q$2429 = FALSE, ReportType &lt;&gt; "Rough"))</formula>
    </cfRule>
  </conditionalFormatting>
  <conditionalFormatting sqref="W2429">
    <cfRule type="expression" dxfId="548" priority="417">
      <formula>OR($T$2429 = TRUE, AND($W$2429 = TRUE, $S$2429 = FALSE))</formula>
    </cfRule>
  </conditionalFormatting>
  <conditionalFormatting sqref="W2430">
    <cfRule type="expression" dxfId="547" priority="416">
      <formula>AND($R$2430,$S$2430)</formula>
    </cfRule>
  </conditionalFormatting>
  <conditionalFormatting sqref="W2430">
    <cfRule type="expression" dxfId="546" priority="415">
      <formula>AND(IF($R$2430,$W$2430,TRUE),LEN(TRIM($W$2430))&gt;0)</formula>
    </cfRule>
  </conditionalFormatting>
  <conditionalFormatting sqref="W2430">
    <cfRule type="expression" dxfId="545" priority="414">
      <formula>OR($S$2430 = FALSE, AND($P$2430 = FALSE, ReportType &lt;&gt; "Final"), AND($Q$2430 = FALSE, ReportType &lt;&gt; "Rough"))</formula>
    </cfRule>
  </conditionalFormatting>
  <conditionalFormatting sqref="W2430">
    <cfRule type="expression" dxfId="544" priority="413">
      <formula>OR($T$2430 = TRUE, AND($W$2430 = TRUE, $S$2430 = FALSE))</formula>
    </cfRule>
  </conditionalFormatting>
  <conditionalFormatting sqref="W2460">
    <cfRule type="expression" dxfId="543" priority="412">
      <formula>AND($R$2460,$S$2460)</formula>
    </cfRule>
  </conditionalFormatting>
  <conditionalFormatting sqref="W2460">
    <cfRule type="expression" dxfId="542" priority="411">
      <formula>AND(IF($R$2460,$W$2460,TRUE),LEN(TRIM($W$2460))&gt;0)</formula>
    </cfRule>
  </conditionalFormatting>
  <conditionalFormatting sqref="W2460">
    <cfRule type="expression" dxfId="541" priority="410">
      <formula>OR($S$2460 = FALSE, AND($P$2460 = FALSE, ReportType &lt;&gt; "Final"), AND($Q$2460 = FALSE, ReportType &lt;&gt; "Rough"))</formula>
    </cfRule>
  </conditionalFormatting>
  <conditionalFormatting sqref="W2460">
    <cfRule type="expression" dxfId="540" priority="409">
      <formula>OR($T$2460 = TRUE, AND($W$2460 = TRUE, $S$2460 = FALSE))</formula>
    </cfRule>
  </conditionalFormatting>
  <conditionalFormatting sqref="W2463">
    <cfRule type="expression" dxfId="539" priority="408">
      <formula>AND($R$2463,$S$2463)</formula>
    </cfRule>
  </conditionalFormatting>
  <conditionalFormatting sqref="W2463">
    <cfRule type="expression" dxfId="538" priority="407">
      <formula>AND(IF($R$2463,$W$2463,TRUE),LEN(TRIM($W$2463))&gt;0)</formula>
    </cfRule>
  </conditionalFormatting>
  <conditionalFormatting sqref="W2463">
    <cfRule type="expression" dxfId="537" priority="406">
      <formula>OR($S$2463 = FALSE, AND($P$2463 = FALSE, ReportType &lt;&gt; "Final"), AND($Q$2463 = FALSE, ReportType &lt;&gt; "Rough"))</formula>
    </cfRule>
  </conditionalFormatting>
  <conditionalFormatting sqref="W2463">
    <cfRule type="expression" dxfId="536" priority="405">
      <formula>OR($T$2463 = TRUE, AND($W$2463 = TRUE, $S$2463 = FALSE))</formula>
    </cfRule>
  </conditionalFormatting>
  <conditionalFormatting sqref="M887:M888">
    <cfRule type="expression" dxfId="535" priority="402">
      <formula>NOT(AE887)</formula>
    </cfRule>
  </conditionalFormatting>
  <conditionalFormatting sqref="M931">
    <cfRule type="expression" dxfId="534" priority="403">
      <formula>OR(S883=1,S883=3)</formula>
    </cfRule>
  </conditionalFormatting>
  <conditionalFormatting sqref="M1751:M1752">
    <cfRule type="expression" dxfId="533" priority="401">
      <formula>NOT(O1760&gt;0)</formula>
    </cfRule>
  </conditionalFormatting>
  <conditionalFormatting sqref="O2367:O2370">
    <cfRule type="cellIs" dxfId="532" priority="400" operator="greaterThan">
      <formula>0</formula>
    </cfRule>
  </conditionalFormatting>
  <conditionalFormatting sqref="O2340:O2343">
    <cfRule type="cellIs" dxfId="531" priority="399" operator="greaterThan">
      <formula>0</formula>
    </cfRule>
  </conditionalFormatting>
  <conditionalFormatting sqref="O2322:O2324">
    <cfRule type="cellIs" dxfId="530" priority="398" operator="greaterThan">
      <formula>0</formula>
    </cfRule>
  </conditionalFormatting>
  <conditionalFormatting sqref="W286">
    <cfRule type="expression" dxfId="529" priority="376">
      <formula>AND(R286,S286)</formula>
    </cfRule>
  </conditionalFormatting>
  <conditionalFormatting sqref="W286">
    <cfRule type="expression" dxfId="528" priority="375">
      <formula>AND(IF(R286,W286,TRUE),LEN(TRIM(W286))&gt;0)</formula>
    </cfRule>
  </conditionalFormatting>
  <conditionalFormatting sqref="W286">
    <cfRule type="expression" dxfId="527" priority="374">
      <formula>OR(T286 = TRUE, AND(W286 = TRUE, S286 = FALSE))</formula>
    </cfRule>
  </conditionalFormatting>
  <conditionalFormatting sqref="W286">
    <cfRule type="expression" dxfId="526" priority="377">
      <formula>OR(S286 = FALSE, AND(P286 = FALSE, ReportType &lt;&gt; "Final"), AND(Q286 = FALSE, ReportType &lt;&gt; "Rough"))</formula>
    </cfRule>
  </conditionalFormatting>
  <conditionalFormatting sqref="W294">
    <cfRule type="expression" dxfId="525" priority="372">
      <formula>AND(R294,S294)</formula>
    </cfRule>
  </conditionalFormatting>
  <conditionalFormatting sqref="W294">
    <cfRule type="expression" dxfId="524" priority="371">
      <formula>AND(IF(R294,W294,TRUE),LEN(TRIM(W294))&gt;0)</formula>
    </cfRule>
  </conditionalFormatting>
  <conditionalFormatting sqref="W294">
    <cfRule type="expression" dxfId="523" priority="370">
      <formula>OR(T294 = TRUE, AND(W294 = TRUE, S294 = FALSE))</formula>
    </cfRule>
  </conditionalFormatting>
  <conditionalFormatting sqref="W294">
    <cfRule type="expression" dxfId="522" priority="373">
      <formula>OR(S294 = FALSE, AND(P294 = FALSE, ReportType &lt;&gt; "Final"), AND(Q294 = FALSE, ReportType &lt;&gt; "Rough"))</formula>
    </cfRule>
  </conditionalFormatting>
  <conditionalFormatting sqref="W1585">
    <cfRule type="expression" dxfId="521" priority="368">
      <formula>AND(R1585,S1585)</formula>
    </cfRule>
  </conditionalFormatting>
  <conditionalFormatting sqref="W1585">
    <cfRule type="expression" dxfId="520" priority="367">
      <formula>AND(IF(R1585,W1585,TRUE),LEN(TRIM(W1585))&gt;0)</formula>
    </cfRule>
  </conditionalFormatting>
  <conditionalFormatting sqref="W1585">
    <cfRule type="expression" dxfId="519" priority="366">
      <formula>OR(T1585 = TRUE, AND(W1585 = TRUE, S1585 = FALSE))</formula>
    </cfRule>
  </conditionalFormatting>
  <conditionalFormatting sqref="W1585">
    <cfRule type="expression" dxfId="518" priority="369">
      <formula>OR(S1585 = FALSE, AND(P1585 = FALSE, ReportType &lt;&gt; "Final"), AND(Q1585 = FALSE, ReportType &lt;&gt; "Rough"))</formula>
    </cfRule>
  </conditionalFormatting>
  <conditionalFormatting sqref="W1693">
    <cfRule type="expression" dxfId="517" priority="364">
      <formula>AND(R1693,S1693)</formula>
    </cfRule>
  </conditionalFormatting>
  <conditionalFormatting sqref="W1693">
    <cfRule type="expression" dxfId="516" priority="363">
      <formula>AND(IF(R1693,W1693,TRUE),LEN(TRIM(W1693))&gt;0)</formula>
    </cfRule>
  </conditionalFormatting>
  <conditionalFormatting sqref="W1693">
    <cfRule type="expression" dxfId="515" priority="362">
      <formula>OR(T1693 = TRUE, AND(W1693 = TRUE, S1693 = FALSE))</formula>
    </cfRule>
  </conditionalFormatting>
  <conditionalFormatting sqref="W1693">
    <cfRule type="expression" dxfId="514" priority="365">
      <formula>OR(S1693 = FALSE, AND(P1693 = FALSE, ReportType &lt;&gt; "Final"), AND(Q1693 = FALSE, ReportType &lt;&gt; "Rough"))</formula>
    </cfRule>
  </conditionalFormatting>
  <conditionalFormatting sqref="W1695">
    <cfRule type="expression" dxfId="513" priority="360">
      <formula>AND(R1695,S1695)</formula>
    </cfRule>
  </conditionalFormatting>
  <conditionalFormatting sqref="W1695">
    <cfRule type="expression" dxfId="512" priority="359">
      <formula>AND(IF(R1695,W1695,TRUE),LEN(TRIM(W1695))&gt;0)</formula>
    </cfRule>
  </conditionalFormatting>
  <conditionalFormatting sqref="W1695">
    <cfRule type="expression" dxfId="511" priority="358">
      <formula>OR(T1695 = TRUE, AND(W1695 = TRUE, S1695 = FALSE))</formula>
    </cfRule>
  </conditionalFormatting>
  <conditionalFormatting sqref="W1695">
    <cfRule type="expression" dxfId="510" priority="361">
      <formula>OR(S1695 = FALSE, AND(P1695 = FALSE, ReportType &lt;&gt; "Final"), AND(Q1695 = FALSE, ReportType &lt;&gt; "Rough"))</formula>
    </cfRule>
  </conditionalFormatting>
  <conditionalFormatting sqref="W1702">
    <cfRule type="expression" dxfId="509" priority="356">
      <formula>AND(R1702,S1702)</formula>
    </cfRule>
  </conditionalFormatting>
  <conditionalFormatting sqref="W1702">
    <cfRule type="expression" dxfId="508" priority="355">
      <formula>AND(IF(R1702,W1702,TRUE),LEN(TRIM(W1702))&gt;0)</formula>
    </cfRule>
  </conditionalFormatting>
  <conditionalFormatting sqref="W1702">
    <cfRule type="expression" dxfId="507" priority="354">
      <formula>OR(T1702 = TRUE, AND(W1702 = TRUE, S1702 = FALSE))</formula>
    </cfRule>
  </conditionalFormatting>
  <conditionalFormatting sqref="W1702">
    <cfRule type="expression" dxfId="506" priority="357">
      <formula>OR(S1702 = FALSE, AND(P1702 = FALSE, ReportType &lt;&gt; "Final"), AND(Q1702 = FALSE, ReportType &lt;&gt; "Rough"))</formula>
    </cfRule>
  </conditionalFormatting>
  <conditionalFormatting sqref="W1704">
    <cfRule type="expression" dxfId="505" priority="352">
      <formula>AND(R1704,S1704)</formula>
    </cfRule>
  </conditionalFormatting>
  <conditionalFormatting sqref="W1704">
    <cfRule type="expression" dxfId="504" priority="351">
      <formula>AND(IF(R1704,W1704,TRUE),LEN(TRIM(W1704))&gt;0)</formula>
    </cfRule>
  </conditionalFormatting>
  <conditionalFormatting sqref="W1704">
    <cfRule type="expression" dxfId="503" priority="350">
      <formula>OR(T1704 = TRUE, AND(W1704 = TRUE, S1704 = FALSE))</formula>
    </cfRule>
  </conditionalFormatting>
  <conditionalFormatting sqref="W1704">
    <cfRule type="expression" dxfId="502" priority="353">
      <formula>OR(S1704 = FALSE, AND(P1704 = FALSE, ReportType &lt;&gt; "Final"), AND(Q1704 = FALSE, ReportType &lt;&gt; "Rough"))</formula>
    </cfRule>
  </conditionalFormatting>
  <conditionalFormatting sqref="M1700:M1701">
    <cfRule type="expression" dxfId="501" priority="349">
      <formula>R1699</formula>
    </cfRule>
  </conditionalFormatting>
  <conditionalFormatting sqref="W1495">
    <cfRule type="expression" dxfId="500" priority="348">
      <formula>AND(R1495,S1495)</formula>
    </cfRule>
  </conditionalFormatting>
  <conditionalFormatting sqref="W1495">
    <cfRule type="expression" dxfId="499" priority="347">
      <formula>NOT(ISBLANK(W1495))</formula>
    </cfRule>
  </conditionalFormatting>
  <conditionalFormatting sqref="W1495">
    <cfRule type="expression" dxfId="498" priority="346">
      <formula>S1495 = FALSE</formula>
    </cfRule>
  </conditionalFormatting>
  <conditionalFormatting sqref="W1495">
    <cfRule type="expression" dxfId="497" priority="345">
      <formula>OR(T1495 = TRUE, AND(W1495 = TRUE, S1495 = FALSE))</formula>
    </cfRule>
  </conditionalFormatting>
  <conditionalFormatting sqref="W1253">
    <cfRule type="expression" dxfId="496" priority="344">
      <formula>AND(R1253,S1253)</formula>
    </cfRule>
  </conditionalFormatting>
  <conditionalFormatting sqref="W1253">
    <cfRule type="expression" dxfId="495" priority="343">
      <formula>AND(S1253,LEN(TRIM(W1253))&gt;0)</formula>
    </cfRule>
  </conditionalFormatting>
  <conditionalFormatting sqref="W1253">
    <cfRule type="expression" dxfId="494" priority="342">
      <formula>OR(S1253 = FALSE, AND(P1253 = FALSE, ReportType &lt;&gt; "Final"), AND(Q1253 = FALSE, ReportType &lt;&gt; "Rough"))</formula>
    </cfRule>
  </conditionalFormatting>
  <conditionalFormatting sqref="W1253">
    <cfRule type="expression" dxfId="493" priority="341">
      <formula>OR(T1253 = TRUE, AND(W1253 &gt; 0, S1253 = FALSE))</formula>
    </cfRule>
  </conditionalFormatting>
  <conditionalFormatting sqref="W1272">
    <cfRule type="expression" dxfId="492" priority="340">
      <formula>AND(R1272,S1272)</formula>
    </cfRule>
  </conditionalFormatting>
  <conditionalFormatting sqref="W1272">
    <cfRule type="expression" dxfId="491" priority="339">
      <formula>AND(S1272,LEN(TRIM(W1272))&gt;0)</formula>
    </cfRule>
  </conditionalFormatting>
  <conditionalFormatting sqref="W1272">
    <cfRule type="expression" dxfId="490" priority="338">
      <formula>OR(S1272 = FALSE, AND(P1272 = FALSE, ReportType &lt;&gt; "Final"), AND(Q1272 = FALSE, ReportType &lt;&gt; "Rough"))</formula>
    </cfRule>
  </conditionalFormatting>
  <conditionalFormatting sqref="W1272">
    <cfRule type="expression" dxfId="489" priority="337">
      <formula>OR(T1272 = TRUE, AND(W1272 &gt; 0, S1272 = FALSE))</formula>
    </cfRule>
  </conditionalFormatting>
  <conditionalFormatting sqref="W1292">
    <cfRule type="expression" dxfId="488" priority="336">
      <formula>AND(R1292,S1292)</formula>
    </cfRule>
  </conditionalFormatting>
  <conditionalFormatting sqref="W1292">
    <cfRule type="expression" dxfId="487" priority="335">
      <formula>AND(S1292,LEN(TRIM(W1292))&gt;0)</formula>
    </cfRule>
  </conditionalFormatting>
  <conditionalFormatting sqref="W1292">
    <cfRule type="expression" dxfId="486" priority="334">
      <formula>OR(S1292 = FALSE, AND(P1292 = FALSE, ReportType &lt;&gt; "Final"), AND(Q1292 = FALSE, ReportType &lt;&gt; "Rough"))</formula>
    </cfRule>
  </conditionalFormatting>
  <conditionalFormatting sqref="W1292">
    <cfRule type="expression" dxfId="485" priority="333">
      <formula>OR(T1292 = TRUE, AND(W1292 &gt; 0, S1292 = FALSE))</formula>
    </cfRule>
  </conditionalFormatting>
  <conditionalFormatting sqref="W1251">
    <cfRule type="expression" dxfId="484" priority="332">
      <formula>AND($R$1251,$S$1251)</formula>
    </cfRule>
  </conditionalFormatting>
  <conditionalFormatting sqref="W1251">
    <cfRule type="expression" dxfId="483" priority="331">
      <formula>AND($W$1251&lt;&gt;"Not Met",LEN(TRIM($W$1251))&gt;0)</formula>
    </cfRule>
  </conditionalFormatting>
  <conditionalFormatting sqref="W1251">
    <cfRule type="expression" dxfId="482" priority="330">
      <formula>OR($S$1251 = FALSE, AND($P$1251 = FALSE, ReportType &lt;&gt; "Final"), AND($Q$1251 = FALSE, ReportType &lt;&gt; "Rough"))</formula>
    </cfRule>
  </conditionalFormatting>
  <conditionalFormatting sqref="W1251">
    <cfRule type="expression" dxfId="481" priority="329">
      <formula>OR($T$1251 = TRUE, AND(LEN(TRIM($W$1251))&gt;0, $S$1251 = FALSE))</formula>
    </cfRule>
  </conditionalFormatting>
  <conditionalFormatting sqref="W1270">
    <cfRule type="expression" dxfId="480" priority="328">
      <formula>AND($R$1270,$S$1270)</formula>
    </cfRule>
  </conditionalFormatting>
  <conditionalFormatting sqref="W1270">
    <cfRule type="expression" dxfId="479" priority="327">
      <formula>AND($W$1270&lt;&gt;"Not Met",LEN(TRIM($W$1270))&gt;0)</formula>
    </cfRule>
  </conditionalFormatting>
  <conditionalFormatting sqref="W1270">
    <cfRule type="expression" dxfId="478" priority="326">
      <formula>OR($S$1270 = FALSE, AND($P$1270 = FALSE, ReportType &lt;&gt; "Final"), AND($Q$1270 = FALSE, ReportType &lt;&gt; "Rough"))</formula>
    </cfRule>
  </conditionalFormatting>
  <conditionalFormatting sqref="W1270">
    <cfRule type="expression" dxfId="477" priority="325">
      <formula>OR($T$1270 = TRUE, AND(LEN(TRIM($W$1270))&gt;0, $S$1270 = FALSE))</formula>
    </cfRule>
  </conditionalFormatting>
  <conditionalFormatting sqref="L343:L344">
    <cfRule type="expression" dxfId="476" priority="11934">
      <formula>AY344&gt;4099</formula>
    </cfRule>
  </conditionalFormatting>
  <conditionalFormatting sqref="W958">
    <cfRule type="expression" dxfId="475" priority="324">
      <formula>AND($R$958,$S$958)</formula>
    </cfRule>
  </conditionalFormatting>
  <conditionalFormatting sqref="W958">
    <cfRule type="expression" dxfId="474" priority="323">
      <formula>AND($W$958&lt;&gt;"Not Met",LEN(TRIM($W$958))&gt;0)</formula>
    </cfRule>
  </conditionalFormatting>
  <conditionalFormatting sqref="W958">
    <cfRule type="expression" dxfId="473" priority="322">
      <formula>OR($S$958 = FALSE, AND($P$958 = FALSE, ReportType &lt;&gt; "Final"), AND($Q$958 = FALSE, ReportType &lt;&gt; "Rough"))</formula>
    </cfRule>
  </conditionalFormatting>
  <conditionalFormatting sqref="W958">
    <cfRule type="expression" dxfId="472" priority="321">
      <formula>OR($T$958 = TRUE, AND(LEN(TRIM($W$958))&gt;0, $S$958 = FALSE))</formula>
    </cfRule>
  </conditionalFormatting>
  <conditionalFormatting sqref="W959">
    <cfRule type="expression" dxfId="471" priority="320">
      <formula>AND($R$959,$S$959)</formula>
    </cfRule>
  </conditionalFormatting>
  <conditionalFormatting sqref="W959">
    <cfRule type="expression" dxfId="470" priority="319">
      <formula>AND($W$959&lt;&gt;"Not Met",LEN(TRIM($W$959))&gt;0)</formula>
    </cfRule>
  </conditionalFormatting>
  <conditionalFormatting sqref="W959">
    <cfRule type="expression" dxfId="469" priority="318">
      <formula>OR($S$959 = FALSE, AND($P$959 = FALSE, ReportType &lt;&gt; "Final"), AND($Q$959 = FALSE, ReportType &lt;&gt; "Rough"))</formula>
    </cfRule>
  </conditionalFormatting>
  <conditionalFormatting sqref="W959">
    <cfRule type="expression" dxfId="468" priority="317">
      <formula>OR($T$959 = TRUE, AND(LEN(TRIM($W$959))&gt;0, $S$959 = FALSE))</formula>
    </cfRule>
  </conditionalFormatting>
  <conditionalFormatting sqref="W960">
    <cfRule type="expression" dxfId="467" priority="316">
      <formula>AND($R$960,$S$960)</formula>
    </cfRule>
  </conditionalFormatting>
  <conditionalFormatting sqref="W960">
    <cfRule type="expression" dxfId="466" priority="315">
      <formula>AND($W$960&lt;&gt;"Not Met",LEN(TRIM($W$960))&gt;0)</formula>
    </cfRule>
  </conditionalFormatting>
  <conditionalFormatting sqref="W960">
    <cfRule type="expression" dxfId="465" priority="314">
      <formula>OR($S$960 = FALSE, AND($P$960 = FALSE, ReportType &lt;&gt; "Final"), AND($Q$960 = FALSE, ReportType &lt;&gt; "Rough"))</formula>
    </cfRule>
  </conditionalFormatting>
  <conditionalFormatting sqref="W960">
    <cfRule type="expression" dxfId="464" priority="313">
      <formula>OR($T$960 = TRUE, AND(LEN(TRIM($W$960))&gt;0, $S$960 = FALSE))</formula>
    </cfRule>
  </conditionalFormatting>
  <conditionalFormatting sqref="W961">
    <cfRule type="expression" dxfId="463" priority="312">
      <formula>AND($R$961,$S$961)</formula>
    </cfRule>
  </conditionalFormatting>
  <conditionalFormatting sqref="W961">
    <cfRule type="expression" dxfId="462" priority="311">
      <formula>AND($W$961&lt;&gt;"Not Met",LEN(TRIM($W$961))&gt;0)</formula>
    </cfRule>
  </conditionalFormatting>
  <conditionalFormatting sqref="W961">
    <cfRule type="expression" dxfId="461" priority="310">
      <formula>OR($S$961 = FALSE, AND($P$961 = FALSE, ReportType &lt;&gt; "Final"), AND($Q$961 = FALSE, ReportType &lt;&gt; "Rough"))</formula>
    </cfRule>
  </conditionalFormatting>
  <conditionalFormatting sqref="W961">
    <cfRule type="expression" dxfId="460" priority="309">
      <formula>OR($T$961 = TRUE, AND(LEN(TRIM($W$961))&gt;0, $S$961 = FALSE))</formula>
    </cfRule>
  </conditionalFormatting>
  <conditionalFormatting sqref="W962">
    <cfRule type="expression" dxfId="459" priority="308">
      <formula>AND($R$962,$S$962)</formula>
    </cfRule>
  </conditionalFormatting>
  <conditionalFormatting sqref="W962">
    <cfRule type="expression" dxfId="458" priority="307">
      <formula>AND($W$962&lt;&gt;"Not Met",LEN(TRIM($W$962))&gt;0)</formula>
    </cfRule>
  </conditionalFormatting>
  <conditionalFormatting sqref="W962">
    <cfRule type="expression" dxfId="457" priority="306">
      <formula>OR($S$962 = FALSE, AND($P$962 = FALSE, ReportType &lt;&gt; "Final"), AND($Q$962 = FALSE, ReportType &lt;&gt; "Rough"))</formula>
    </cfRule>
  </conditionalFormatting>
  <conditionalFormatting sqref="W962">
    <cfRule type="expression" dxfId="456" priority="305">
      <formula>OR($T$962 = TRUE, AND(LEN(TRIM($W$962))&gt;0, $S$962 = FALSE))</formula>
    </cfRule>
  </conditionalFormatting>
  <conditionalFormatting sqref="W963">
    <cfRule type="expression" dxfId="455" priority="304">
      <formula>AND($R$963,$S$963)</formula>
    </cfRule>
  </conditionalFormatting>
  <conditionalFormatting sqref="W963">
    <cfRule type="expression" dxfId="454" priority="303">
      <formula>AND($W$963&lt;&gt;"Not Met",LEN(TRIM($W$963))&gt;0)</formula>
    </cfRule>
  </conditionalFormatting>
  <conditionalFormatting sqref="W963">
    <cfRule type="expression" dxfId="453" priority="302">
      <formula>OR($S$963 = FALSE, AND($P$963 = FALSE, ReportType &lt;&gt; "Final"), AND($Q$963 = FALSE, ReportType &lt;&gt; "Rough"))</formula>
    </cfRule>
  </conditionalFormatting>
  <conditionalFormatting sqref="W963">
    <cfRule type="expression" dxfId="452" priority="301">
      <formula>OR($T$963 = TRUE, AND(LEN(TRIM($W$963))&gt;0, $S$963 = FALSE))</formula>
    </cfRule>
  </conditionalFormatting>
  <conditionalFormatting sqref="W964">
    <cfRule type="expression" dxfId="451" priority="300">
      <formula>AND($R$964,$S$964)</formula>
    </cfRule>
  </conditionalFormatting>
  <conditionalFormatting sqref="W964">
    <cfRule type="expression" dxfId="450" priority="299">
      <formula>AND($W$964&lt;&gt;"Not Met",LEN(TRIM($W$964))&gt;0)</formula>
    </cfRule>
  </conditionalFormatting>
  <conditionalFormatting sqref="W964">
    <cfRule type="expression" dxfId="449" priority="298">
      <formula>OR($S$964 = FALSE, AND($P$964 = FALSE, ReportType &lt;&gt; "Final"), AND($Q$964 = FALSE, ReportType &lt;&gt; "Rough"))</formula>
    </cfRule>
  </conditionalFormatting>
  <conditionalFormatting sqref="W964">
    <cfRule type="expression" dxfId="448" priority="297">
      <formula>OR($T$964 = TRUE, AND(LEN(TRIM($W$964))&gt;0, $S$964 = FALSE))</formula>
    </cfRule>
  </conditionalFormatting>
  <conditionalFormatting sqref="W965">
    <cfRule type="expression" dxfId="447" priority="296">
      <formula>AND($R$965,$S$965)</formula>
    </cfRule>
  </conditionalFormatting>
  <conditionalFormatting sqref="W965">
    <cfRule type="expression" dxfId="446" priority="295">
      <formula>AND($W$965&lt;&gt;"Not Met",LEN(TRIM($W$965))&gt;0)</formula>
    </cfRule>
  </conditionalFormatting>
  <conditionalFormatting sqref="W965">
    <cfRule type="expression" dxfId="445" priority="294">
      <formula>OR($S$965 = FALSE, AND($P$965 = FALSE, ReportType &lt;&gt; "Final"), AND($Q$965 = FALSE, ReportType &lt;&gt; "Rough"))</formula>
    </cfRule>
  </conditionalFormatting>
  <conditionalFormatting sqref="W965">
    <cfRule type="expression" dxfId="444" priority="293">
      <formula>OR($T$965 = TRUE, AND(LEN(TRIM($W$965))&gt;0, $S$965 = FALSE))</formula>
    </cfRule>
  </conditionalFormatting>
  <conditionalFormatting sqref="W966">
    <cfRule type="expression" dxfId="443" priority="292">
      <formula>AND($R$966,$S$966)</formula>
    </cfRule>
  </conditionalFormatting>
  <conditionalFormatting sqref="W966">
    <cfRule type="expression" dxfId="442" priority="291">
      <formula>AND($W$966&lt;&gt;"Not Met",LEN(TRIM($W$966))&gt;0)</formula>
    </cfRule>
  </conditionalFormatting>
  <conditionalFormatting sqref="W966">
    <cfRule type="expression" dxfId="441" priority="290">
      <formula>OR($S$966 = FALSE, AND($P$966 = FALSE, ReportType &lt;&gt; "Final"), AND($Q$966 = FALSE, ReportType &lt;&gt; "Rough"))</formula>
    </cfRule>
  </conditionalFormatting>
  <conditionalFormatting sqref="W966">
    <cfRule type="expression" dxfId="440" priority="289">
      <formula>OR($T$966 = TRUE, AND(LEN(TRIM($W$966))&gt;0, $S$966 = FALSE))</formula>
    </cfRule>
  </conditionalFormatting>
  <conditionalFormatting sqref="W967">
    <cfRule type="expression" dxfId="439" priority="288">
      <formula>AND($R$967,$S$967)</formula>
    </cfRule>
  </conditionalFormatting>
  <conditionalFormatting sqref="W967">
    <cfRule type="expression" dxfId="438" priority="287">
      <formula>AND($W$967&lt;&gt;"Not Met",LEN(TRIM($W$967))&gt;0)</formula>
    </cfRule>
  </conditionalFormatting>
  <conditionalFormatting sqref="W967">
    <cfRule type="expression" dxfId="437" priority="286">
      <formula>OR($S$967 = FALSE, AND($P$967 = FALSE, ReportType &lt;&gt; "Final"), AND($Q$967 = FALSE, ReportType &lt;&gt; "Rough"))</formula>
    </cfRule>
  </conditionalFormatting>
  <conditionalFormatting sqref="W967">
    <cfRule type="expression" dxfId="436" priority="285">
      <formula>OR($T$967 = TRUE, AND(LEN(TRIM($W$967))&gt;0, $S$967 = FALSE))</formula>
    </cfRule>
  </conditionalFormatting>
  <conditionalFormatting sqref="W968">
    <cfRule type="expression" dxfId="435" priority="284">
      <formula>AND($R$968,$S$968)</formula>
    </cfRule>
  </conditionalFormatting>
  <conditionalFormatting sqref="W968">
    <cfRule type="expression" dxfId="434" priority="283">
      <formula>AND($W$968&lt;&gt;"Not Met",LEN(TRIM($W$968))&gt;0)</formula>
    </cfRule>
  </conditionalFormatting>
  <conditionalFormatting sqref="W968">
    <cfRule type="expression" dxfId="433" priority="282">
      <formula>OR($S$968 = FALSE, AND($P$968 = FALSE, ReportType &lt;&gt; "Final"), AND($Q$968 = FALSE, ReportType &lt;&gt; "Rough"))</formula>
    </cfRule>
  </conditionalFormatting>
  <conditionalFormatting sqref="W968">
    <cfRule type="expression" dxfId="432" priority="281">
      <formula>OR($T$968 = TRUE, AND(LEN(TRIM($W$968))&gt;0, $S$968 = FALSE))</formula>
    </cfRule>
  </conditionalFormatting>
  <conditionalFormatting sqref="W969">
    <cfRule type="expression" dxfId="431" priority="280">
      <formula>AND($R$969,$S$969)</formula>
    </cfRule>
  </conditionalFormatting>
  <conditionalFormatting sqref="W969">
    <cfRule type="expression" dxfId="430" priority="279">
      <formula>AND($W$969&lt;&gt;"Not Met",LEN(TRIM($W$969))&gt;0)</formula>
    </cfRule>
  </conditionalFormatting>
  <conditionalFormatting sqref="W969">
    <cfRule type="expression" dxfId="429" priority="278">
      <formula>OR($S$969 = FALSE, AND($P$969 = FALSE, ReportType &lt;&gt; "Final"), AND($Q$969 = FALSE, ReportType &lt;&gt; "Rough"))</formula>
    </cfRule>
  </conditionalFormatting>
  <conditionalFormatting sqref="W969">
    <cfRule type="expression" dxfId="428" priority="277">
      <formula>OR($T$969 = TRUE, AND(LEN(TRIM($W$969))&gt;0, $S$969 = FALSE))</formula>
    </cfRule>
  </conditionalFormatting>
  <conditionalFormatting sqref="W970">
    <cfRule type="expression" dxfId="427" priority="276">
      <formula>AND($R$970,$S$970)</formula>
    </cfRule>
  </conditionalFormatting>
  <conditionalFormatting sqref="W970">
    <cfRule type="expression" dxfId="426" priority="275">
      <formula>AND($W$970&lt;&gt;"Not Met",LEN(TRIM($W$970))&gt;0)</formula>
    </cfRule>
  </conditionalFormatting>
  <conditionalFormatting sqref="W970">
    <cfRule type="expression" dxfId="425" priority="274">
      <formula>OR($S$970 = FALSE, AND($P$970 = FALSE, ReportType &lt;&gt; "Final"), AND($Q$970 = FALSE, ReportType &lt;&gt; "Rough"))</formula>
    </cfRule>
  </conditionalFormatting>
  <conditionalFormatting sqref="W970">
    <cfRule type="expression" dxfId="424" priority="273">
      <formula>OR($T$970 = TRUE, AND(LEN(TRIM($W$970))&gt;0, $S$970 = FALSE))</formula>
    </cfRule>
  </conditionalFormatting>
  <conditionalFormatting sqref="W1186">
    <cfRule type="expression" dxfId="423" priority="272">
      <formula>AND(R1186,S1186)</formula>
    </cfRule>
  </conditionalFormatting>
  <conditionalFormatting sqref="W1186">
    <cfRule type="expression" dxfId="422" priority="271">
      <formula>NOT(ISBLANK(W1186))</formula>
    </cfRule>
  </conditionalFormatting>
  <conditionalFormatting sqref="W1186">
    <cfRule type="expression" dxfId="421" priority="270">
      <formula>OR(S1186 = FALSE, AND(P1186 = FALSE, ReportType &lt;&gt; "Final"), AND(Q1186 = FALSE, ReportType &lt;&gt; "Rough"))</formula>
    </cfRule>
  </conditionalFormatting>
  <conditionalFormatting sqref="W1186">
    <cfRule type="expression" dxfId="420" priority="269">
      <formula>OR(T1186 = TRUE, AND(W1186 = TRUE, S1186 = FALSE))</formula>
    </cfRule>
  </conditionalFormatting>
  <conditionalFormatting sqref="W1852">
    <cfRule type="expression" dxfId="419" priority="268">
      <formula>AND($R$1852,$S$1852)</formula>
    </cfRule>
  </conditionalFormatting>
  <conditionalFormatting sqref="W1852">
    <cfRule type="expression" dxfId="418" priority="267">
      <formula>AND($W$1852&lt;&gt;"Not Met",LEN(TRIM($W$1852))&gt;0)</formula>
    </cfRule>
  </conditionalFormatting>
  <conditionalFormatting sqref="W1852">
    <cfRule type="expression" dxfId="417" priority="266">
      <formula>OR($S$1852 = FALSE, AND($P$1852 = FALSE, ReportType &lt;&gt; "Final"), AND($Q$1852 = FALSE, ReportType &lt;&gt; "Rough"))</formula>
    </cfRule>
  </conditionalFormatting>
  <conditionalFormatting sqref="W1852">
    <cfRule type="expression" dxfId="416" priority="265">
      <formula>OR($T$1852 = TRUE, AND(LEN(TRIM($W$1852))&gt;0, $S$1852 = FALSE))</formula>
    </cfRule>
  </conditionalFormatting>
  <conditionalFormatting sqref="X718:X724">
    <cfRule type="expression" dxfId="415" priority="260">
      <formula>R718</formula>
    </cfRule>
  </conditionalFormatting>
  <conditionalFormatting sqref="X27">
    <cfRule type="expression" dxfId="414" priority="259">
      <formula>W27=TRUE</formula>
    </cfRule>
  </conditionalFormatting>
  <conditionalFormatting sqref="W1106">
    <cfRule type="expression" dxfId="413" priority="258">
      <formula>AND($R$1106,$S$1106)</formula>
    </cfRule>
  </conditionalFormatting>
  <conditionalFormatting sqref="W1106">
    <cfRule type="expression" dxfId="412" priority="257">
      <formula>AND($W$1106&lt;&gt;"Not Met",LEN(TRIM($W$1106))&gt;0)</formula>
    </cfRule>
  </conditionalFormatting>
  <conditionalFormatting sqref="W1106">
    <cfRule type="expression" dxfId="411" priority="256">
      <formula>OR($S$1106 = FALSE, AND($P$1106 = FALSE, ReportType &lt;&gt; "Final"), AND($Q$1106 = FALSE, ReportType &lt;&gt; "Rough"))</formula>
    </cfRule>
  </conditionalFormatting>
  <conditionalFormatting sqref="W1106">
    <cfRule type="expression" dxfId="410" priority="255">
      <formula>OR($T$1106 = TRUE, AND(LEN(TRIM($W$1106))&gt;0, $S$1106 = FALSE))</formula>
    </cfRule>
  </conditionalFormatting>
  <conditionalFormatting sqref="W1837">
    <cfRule type="expression" dxfId="409" priority="247">
      <formula>AND($R$1837,$S$1837)</formula>
    </cfRule>
  </conditionalFormatting>
  <conditionalFormatting sqref="W1837">
    <cfRule type="expression" dxfId="408" priority="246">
      <formula>AND($W$1837&lt;&gt;"Not Met",LEN(TRIM($W$1837))&gt;0)</formula>
    </cfRule>
  </conditionalFormatting>
  <conditionalFormatting sqref="W1837">
    <cfRule type="expression" dxfId="407" priority="245">
      <formula>OR($S$1837 = FALSE, AND($P$1837 = FALSE, ReportType &lt;&gt; "Final"), AND($Q$1837 = FALSE, ReportType &lt;&gt; "Rough"))</formula>
    </cfRule>
  </conditionalFormatting>
  <conditionalFormatting sqref="W1837">
    <cfRule type="expression" dxfId="406" priority="244">
      <formula>OR($T$1837 = TRUE, AND(LEN(TRIM($W$1837))&gt;0, $S$1837 = FALSE))</formula>
    </cfRule>
  </conditionalFormatting>
  <conditionalFormatting sqref="W1419">
    <cfRule type="expression" dxfId="405" priority="243">
      <formula>AND(R1419,S1419)</formula>
    </cfRule>
  </conditionalFormatting>
  <conditionalFormatting sqref="W1419">
    <cfRule type="expression" dxfId="404" priority="242">
      <formula>AND(IF(S1419,W1419,TRUE),LEN(TRIM(W1419))&gt;0)</formula>
    </cfRule>
  </conditionalFormatting>
  <conditionalFormatting sqref="W1419">
    <cfRule type="expression" dxfId="403" priority="241">
      <formula>OR(S1419 = FALSE, AND(P1419 = FALSE, ReportType &lt;&gt; "Final"), AND(Q1419 = FALSE, ReportType &lt;&gt; "Rough"))</formula>
    </cfRule>
  </conditionalFormatting>
  <conditionalFormatting sqref="W1419">
    <cfRule type="expression" dxfId="402" priority="240">
      <formula>OR(T1419 = TRUE, AND(W1419 = TRUE, S1419 = FALSE))</formula>
    </cfRule>
  </conditionalFormatting>
  <conditionalFormatting sqref="M1866">
    <cfRule type="expression" dxfId="401" priority="232">
      <formula>M1866="Gold"</formula>
    </cfRule>
    <cfRule type="expression" dxfId="400" priority="233">
      <formula>M1866="Silver"</formula>
    </cfRule>
    <cfRule type="expression" dxfId="399" priority="234">
      <formula>M1866="Bronze"</formula>
    </cfRule>
    <cfRule type="expression" dxfId="398" priority="235">
      <formula>M1866="Emerald"</formula>
    </cfRule>
  </conditionalFormatting>
  <conditionalFormatting sqref="M343:M344">
    <cfRule type="expression" dxfId="397" priority="13914">
      <formula>$AY$26&gt;4099</formula>
    </cfRule>
  </conditionalFormatting>
  <conditionalFormatting sqref="W884">
    <cfRule type="expression" dxfId="396" priority="231">
      <formula>AND($R$884,$S$884)</formula>
    </cfRule>
  </conditionalFormatting>
  <conditionalFormatting sqref="W884">
    <cfRule type="expression" dxfId="395" priority="230">
      <formula>AND($W$884&lt;&gt;"Not Met",LEN(TRIM($W$884))&gt;0)</formula>
    </cfRule>
  </conditionalFormatting>
  <conditionalFormatting sqref="W884">
    <cfRule type="expression" dxfId="394" priority="229">
      <formula>OR($S$884 = FALSE, AND($P$884 = FALSE, ReportType &lt;&gt; "Final"), AND($Q$884 = FALSE, ReportType &lt;&gt; "Rough"))</formula>
    </cfRule>
  </conditionalFormatting>
  <conditionalFormatting sqref="W884">
    <cfRule type="expression" dxfId="393" priority="228">
      <formula>OR($T$884 = TRUE, AND(LEN(TRIM($W$884))&gt;0, $S$884 = FALSE))</formula>
    </cfRule>
  </conditionalFormatting>
  <conditionalFormatting sqref="W1868">
    <cfRule type="expression" dxfId="392" priority="227">
      <formula>AND(R1868,S1868)</formula>
    </cfRule>
  </conditionalFormatting>
  <conditionalFormatting sqref="W1868">
    <cfRule type="expression" dxfId="391" priority="226">
      <formula>AND(R1868,LEN(TRIM(W1868))&gt;0)</formula>
    </cfRule>
  </conditionalFormatting>
  <conditionalFormatting sqref="W1868">
    <cfRule type="expression" dxfId="390" priority="225">
      <formula>OR(S1868 = FALSE, AND(P1868 = FALSE, ReportType &lt;&gt; "Final"), AND(Q1868 = FALSE, ReportType &lt;&gt; "Rough"))</formula>
    </cfRule>
  </conditionalFormatting>
  <conditionalFormatting sqref="W1868">
    <cfRule type="expression" dxfId="389" priority="224">
      <formula>OR(T1868 = TRUE, AND(W1868 &gt; 0, S1868 = FALSE))</formula>
    </cfRule>
  </conditionalFormatting>
  <conditionalFormatting sqref="X884:X886">
    <cfRule type="expression" dxfId="388" priority="223">
      <formula>R884</formula>
    </cfRule>
  </conditionalFormatting>
  <conditionalFormatting sqref="W194">
    <cfRule type="expression" dxfId="387" priority="222">
      <formula>AND($R$194,$S$194)</formula>
    </cfRule>
  </conditionalFormatting>
  <conditionalFormatting sqref="W194">
    <cfRule type="expression" dxfId="386" priority="221">
      <formula>AND($W$194&lt;&gt;"Not Met",LEN(TRIM($W$194))&gt;0)</formula>
    </cfRule>
  </conditionalFormatting>
  <conditionalFormatting sqref="W194">
    <cfRule type="expression" dxfId="385" priority="220">
      <formula>OR($S$194 = FALSE, AND($P$194 = FALSE, ReportType &lt;&gt; "Final"), AND($Q$194 = FALSE, ReportType &lt;&gt; "Rough"))</formula>
    </cfRule>
  </conditionalFormatting>
  <conditionalFormatting sqref="W194">
    <cfRule type="expression" dxfId="384" priority="219">
      <formula>OR($T$194 = TRUE, AND(LEN(TRIM($W$194))&gt;0, $S$194 = FALSE))</formula>
    </cfRule>
  </conditionalFormatting>
  <conditionalFormatting sqref="BD195:BD198">
    <cfRule type="expression" dxfId="383" priority="13925">
      <formula>OR(AND(ReportType="Rough",P195=TRUE,R195=TRUE,W195=FALSE),AND(ReportType="Final",Q195=TRUE,R195=TRUE,W195=FALSE))</formula>
    </cfRule>
  </conditionalFormatting>
  <conditionalFormatting sqref="X538:X539">
    <cfRule type="expression" dxfId="382" priority="218">
      <formula>W538</formula>
    </cfRule>
  </conditionalFormatting>
  <conditionalFormatting sqref="W2156">
    <cfRule type="expression" dxfId="381" priority="217">
      <formula>AND(R2156,S2156)</formula>
    </cfRule>
  </conditionalFormatting>
  <conditionalFormatting sqref="W2156">
    <cfRule type="expression" dxfId="380" priority="216">
      <formula>AND(IF(R2156,W2156,TRUE),LEN(TRIM(W2156))&gt;0)</formula>
    </cfRule>
  </conditionalFormatting>
  <conditionalFormatting sqref="W2156">
    <cfRule type="expression" dxfId="379" priority="215">
      <formula>OR(S2156 = FALSE, AND(P2156 = FALSE, ReportType &lt;&gt; "Final"), AND(Q2156 = FALSE, ReportType &lt;&gt; "Rough"))</formula>
    </cfRule>
  </conditionalFormatting>
  <conditionalFormatting sqref="W2156">
    <cfRule type="expression" dxfId="378" priority="214">
      <formula>OR(T2156 = TRUE, AND(W2156 = TRUE, S2156 = FALSE))</formula>
    </cfRule>
  </conditionalFormatting>
  <conditionalFormatting sqref="AA15">
    <cfRule type="notContainsBlanks" dxfId="377" priority="213">
      <formula>LEN(TRIM(AA15))&gt;0</formula>
    </cfRule>
  </conditionalFormatting>
  <conditionalFormatting sqref="AA25">
    <cfRule type="notContainsBlanks" dxfId="376" priority="90">
      <formula>LEN(TRIM(AA25))&gt;0</formula>
    </cfRule>
  </conditionalFormatting>
  <conditionalFormatting sqref="AA89">
    <cfRule type="notContainsBlanks" dxfId="375" priority="89">
      <formula>LEN(TRIM(AA89))&gt;0</formula>
    </cfRule>
  </conditionalFormatting>
  <conditionalFormatting sqref="AA98">
    <cfRule type="notContainsBlanks" dxfId="374" priority="88">
      <formula>LEN(TRIM(AA98))&gt;0</formula>
    </cfRule>
  </conditionalFormatting>
  <conditionalFormatting sqref="AA142">
    <cfRule type="notContainsBlanks" dxfId="373" priority="87">
      <formula>LEN(TRIM(AA142))&gt;0</formula>
    </cfRule>
  </conditionalFormatting>
  <conditionalFormatting sqref="AA155">
    <cfRule type="notContainsBlanks" dxfId="372" priority="86">
      <formula>LEN(TRIM(AA155))&gt;0</formula>
    </cfRule>
  </conditionalFormatting>
  <conditionalFormatting sqref="AA157">
    <cfRule type="notContainsBlanks" dxfId="371" priority="85">
      <formula>LEN(TRIM(AA157))&gt;0</formula>
    </cfRule>
  </conditionalFormatting>
  <conditionalFormatting sqref="AA160">
    <cfRule type="notContainsBlanks" dxfId="370" priority="84">
      <formula>LEN(TRIM(AA160))&gt;0</formula>
    </cfRule>
  </conditionalFormatting>
  <conditionalFormatting sqref="AA162">
    <cfRule type="notContainsBlanks" dxfId="369" priority="83">
      <formula>LEN(TRIM(AA162))&gt;0</formula>
    </cfRule>
  </conditionalFormatting>
  <conditionalFormatting sqref="AA165">
    <cfRule type="notContainsBlanks" dxfId="368" priority="82">
      <formula>LEN(TRIM(AA165))&gt;0</formula>
    </cfRule>
  </conditionalFormatting>
  <conditionalFormatting sqref="AA170">
    <cfRule type="notContainsBlanks" dxfId="367" priority="81">
      <formula>LEN(TRIM(AA170))&gt;0</formula>
    </cfRule>
  </conditionalFormatting>
  <conditionalFormatting sqref="AA171">
    <cfRule type="notContainsBlanks" dxfId="366" priority="80">
      <formula>LEN(TRIM(AA171))&gt;0</formula>
    </cfRule>
  </conditionalFormatting>
  <conditionalFormatting sqref="AA176">
    <cfRule type="notContainsBlanks" dxfId="365" priority="79">
      <formula>LEN(TRIM(AA176))&gt;0</formula>
    </cfRule>
  </conditionalFormatting>
  <conditionalFormatting sqref="AA178">
    <cfRule type="notContainsBlanks" dxfId="364" priority="78">
      <formula>LEN(TRIM(AA178))&gt;0</formula>
    </cfRule>
  </conditionalFormatting>
  <conditionalFormatting sqref="AA187">
    <cfRule type="notContainsBlanks" dxfId="363" priority="77">
      <formula>LEN(TRIM(AA187))&gt;0</formula>
    </cfRule>
  </conditionalFormatting>
  <conditionalFormatting sqref="AA194">
    <cfRule type="notContainsBlanks" dxfId="362" priority="76">
      <formula>LEN(TRIM(AA194))&gt;0</formula>
    </cfRule>
  </conditionalFormatting>
  <conditionalFormatting sqref="AA214">
    <cfRule type="notContainsBlanks" dxfId="361" priority="75">
      <formula>LEN(TRIM(AA214))&gt;0</formula>
    </cfRule>
  </conditionalFormatting>
  <conditionalFormatting sqref="AA223">
    <cfRule type="notContainsBlanks" dxfId="360" priority="74">
      <formula>LEN(TRIM(AA223))&gt;0</formula>
    </cfRule>
  </conditionalFormatting>
  <conditionalFormatting sqref="AA225">
    <cfRule type="notContainsBlanks" dxfId="359" priority="73">
      <formula>LEN(TRIM(AA225))&gt;0</formula>
    </cfRule>
  </conditionalFormatting>
  <conditionalFormatting sqref="AA226">
    <cfRule type="notContainsBlanks" dxfId="358" priority="72">
      <formula>LEN(TRIM(AA226))&gt;0</formula>
    </cfRule>
  </conditionalFormatting>
  <conditionalFormatting sqref="AA228">
    <cfRule type="notContainsBlanks" dxfId="357" priority="71">
      <formula>LEN(TRIM(AA228))&gt;0</formula>
    </cfRule>
  </conditionalFormatting>
  <conditionalFormatting sqref="AA253">
    <cfRule type="notContainsBlanks" dxfId="356" priority="70">
      <formula>LEN(TRIM(AA253))&gt;0</formula>
    </cfRule>
  </conditionalFormatting>
  <conditionalFormatting sqref="AA257">
    <cfRule type="notContainsBlanks" dxfId="355" priority="69">
      <formula>LEN(TRIM(AA257))&gt;0</formula>
    </cfRule>
  </conditionalFormatting>
  <conditionalFormatting sqref="AA264">
    <cfRule type="notContainsBlanks" dxfId="354" priority="68">
      <formula>LEN(TRIM(AA264))&gt;0</formula>
    </cfRule>
  </conditionalFormatting>
  <conditionalFormatting sqref="AA267">
    <cfRule type="notContainsBlanks" dxfId="353" priority="67">
      <formula>LEN(TRIM(AA267))&gt;0</formula>
    </cfRule>
  </conditionalFormatting>
  <conditionalFormatting sqref="AA272">
    <cfRule type="notContainsBlanks" dxfId="352" priority="66">
      <formula>LEN(TRIM(AA272))&gt;0</formula>
    </cfRule>
  </conditionalFormatting>
  <conditionalFormatting sqref="AA275">
    <cfRule type="notContainsBlanks" dxfId="351" priority="65">
      <formula>LEN(TRIM(AA275))&gt;0</formula>
    </cfRule>
  </conditionalFormatting>
  <conditionalFormatting sqref="AA281">
    <cfRule type="notContainsBlanks" dxfId="350" priority="64">
      <formula>LEN(TRIM(AA281))&gt;0</formula>
    </cfRule>
  </conditionalFormatting>
  <conditionalFormatting sqref="AA331">
    <cfRule type="notContainsBlanks" dxfId="349" priority="63">
      <formula>LEN(TRIM(AA331))&gt;0</formula>
    </cfRule>
  </conditionalFormatting>
  <conditionalFormatting sqref="AA375">
    <cfRule type="notContainsBlanks" dxfId="348" priority="62">
      <formula>LEN(TRIM(AA375))&gt;0</formula>
    </cfRule>
  </conditionalFormatting>
  <conditionalFormatting sqref="AA475">
    <cfRule type="notContainsBlanks" dxfId="347" priority="61">
      <formula>LEN(TRIM(AA475))&gt;0</formula>
    </cfRule>
  </conditionalFormatting>
  <conditionalFormatting sqref="AA478">
    <cfRule type="notContainsBlanks" dxfId="346" priority="60">
      <formula>LEN(TRIM(AA478))&gt;0</formula>
    </cfRule>
  </conditionalFormatting>
  <conditionalFormatting sqref="AA510">
    <cfRule type="notContainsBlanks" dxfId="345" priority="59">
      <formula>LEN(TRIM(AA510))&gt;0</formula>
    </cfRule>
  </conditionalFormatting>
  <conditionalFormatting sqref="AA525">
    <cfRule type="notContainsBlanks" dxfId="344" priority="58">
      <formula>LEN(TRIM(AA525))&gt;0</formula>
    </cfRule>
  </conditionalFormatting>
  <conditionalFormatting sqref="AA532">
    <cfRule type="notContainsBlanks" dxfId="343" priority="57">
      <formula>LEN(TRIM(AA532))&gt;0</formula>
    </cfRule>
  </conditionalFormatting>
  <conditionalFormatting sqref="AA547">
    <cfRule type="notContainsBlanks" dxfId="342" priority="56">
      <formula>LEN(TRIM(AA547))&gt;0</formula>
    </cfRule>
  </conditionalFormatting>
  <conditionalFormatting sqref="AA552">
    <cfRule type="notContainsBlanks" dxfId="341" priority="55">
      <formula>LEN(TRIM(AA552))&gt;0</formula>
    </cfRule>
  </conditionalFormatting>
  <conditionalFormatting sqref="AA555">
    <cfRule type="notContainsBlanks" dxfId="340" priority="54">
      <formula>LEN(TRIM(AA555))&gt;0</formula>
    </cfRule>
  </conditionalFormatting>
  <conditionalFormatting sqref="AA560">
    <cfRule type="notContainsBlanks" dxfId="339" priority="53">
      <formula>LEN(TRIM(AA560))&gt;0</formula>
    </cfRule>
  </conditionalFormatting>
  <conditionalFormatting sqref="AA562">
    <cfRule type="notContainsBlanks" dxfId="338" priority="52">
      <formula>LEN(TRIM(AA562))&gt;0</formula>
    </cfRule>
  </conditionalFormatting>
  <conditionalFormatting sqref="AA839">
    <cfRule type="notContainsBlanks" dxfId="337" priority="51">
      <formula>LEN(TRIM(AA839))&gt;0</formula>
    </cfRule>
  </conditionalFormatting>
  <conditionalFormatting sqref="AA1357">
    <cfRule type="notContainsBlanks" dxfId="336" priority="50">
      <formula>LEN(TRIM(AA1357))&gt;0</formula>
    </cfRule>
  </conditionalFormatting>
  <conditionalFormatting sqref="AA1363">
    <cfRule type="notContainsBlanks" dxfId="335" priority="49">
      <formula>LEN(TRIM(AA1363))&gt;0</formula>
    </cfRule>
  </conditionalFormatting>
  <conditionalFormatting sqref="AA1371">
    <cfRule type="notContainsBlanks" dxfId="334" priority="48">
      <formula>LEN(TRIM(AA1371))&gt;0</formula>
    </cfRule>
  </conditionalFormatting>
  <conditionalFormatting sqref="AA1431">
    <cfRule type="notContainsBlanks" dxfId="333" priority="47">
      <formula>LEN(TRIM(AA1431))&gt;0</formula>
    </cfRule>
  </conditionalFormatting>
  <conditionalFormatting sqref="AA1583">
    <cfRule type="notContainsBlanks" dxfId="332" priority="46">
      <formula>LEN(TRIM(AA1583))&gt;0</formula>
    </cfRule>
  </conditionalFormatting>
  <conditionalFormatting sqref="AA1595">
    <cfRule type="notContainsBlanks" dxfId="331" priority="45">
      <formula>LEN(TRIM(AA1595))&gt;0</formula>
    </cfRule>
  </conditionalFormatting>
  <conditionalFormatting sqref="AA1907">
    <cfRule type="notContainsBlanks" dxfId="330" priority="44">
      <formula>LEN(TRIM(AA1907))&gt;0</formula>
    </cfRule>
  </conditionalFormatting>
  <conditionalFormatting sqref="AA1921">
    <cfRule type="notContainsBlanks" dxfId="329" priority="43">
      <formula>LEN(TRIM(AA1921))&gt;0</formula>
    </cfRule>
  </conditionalFormatting>
  <conditionalFormatting sqref="AA1922">
    <cfRule type="notContainsBlanks" dxfId="328" priority="42">
      <formula>LEN(TRIM(AA1922))&gt;0</formula>
    </cfRule>
  </conditionalFormatting>
  <conditionalFormatting sqref="AA1934">
    <cfRule type="notContainsBlanks" dxfId="327" priority="41">
      <formula>LEN(TRIM(AA1934))&gt;0</formula>
    </cfRule>
  </conditionalFormatting>
  <conditionalFormatting sqref="AA2038">
    <cfRule type="notContainsBlanks" dxfId="326" priority="40">
      <formula>LEN(TRIM(AA2038))&gt;0</formula>
    </cfRule>
  </conditionalFormatting>
  <conditionalFormatting sqref="W900">
    <cfRule type="expression" dxfId="325" priority="31">
      <formula>AND($R$900,$S$900)</formula>
    </cfRule>
  </conditionalFormatting>
  <conditionalFormatting sqref="W900">
    <cfRule type="expression" dxfId="324" priority="30">
      <formula>AND($W$900&lt;&gt;"Not Met",LEN(TRIM($W$900))&gt;0)</formula>
    </cfRule>
  </conditionalFormatting>
  <conditionalFormatting sqref="W900">
    <cfRule type="expression" dxfId="323" priority="29">
      <formula>OR($S$900 = FALSE, AND($P$900 = FALSE, ReportType &lt;&gt; "Final"), AND($Q$900 = FALSE, ReportType &lt;&gt; "Rough"))</formula>
    </cfRule>
  </conditionalFormatting>
  <conditionalFormatting sqref="W900">
    <cfRule type="expression" dxfId="322" priority="28">
      <formula>OR($T$900 = TRUE, AND(LEN(TRIM($W$900))&gt;0, $S$900 = FALSE))</formula>
    </cfRule>
  </conditionalFormatting>
  <conditionalFormatting sqref="W1086">
    <cfRule type="expression" dxfId="321" priority="25">
      <formula>AND(R1086,S1086)</formula>
    </cfRule>
  </conditionalFormatting>
  <conditionalFormatting sqref="W1086">
    <cfRule type="expression" dxfId="320" priority="24">
      <formula>NOT(ISBLANK(W1086))</formula>
    </cfRule>
  </conditionalFormatting>
  <conditionalFormatting sqref="W1086">
    <cfRule type="expression" dxfId="319" priority="23">
      <formula>OR(S1086 = FALSE, AND(P1086 = FALSE, ReportType &lt;&gt; "Final"), AND(Q1086 = FALSE, ReportType &lt;&gt; "Rough"))</formula>
    </cfRule>
  </conditionalFormatting>
  <conditionalFormatting sqref="W1086">
    <cfRule type="expression" dxfId="318" priority="22">
      <formula>OR(T1086 = TRUE, AND(W1086 = TRUE, S1086 = FALSE))</formula>
    </cfRule>
  </conditionalFormatting>
  <conditionalFormatting sqref="W1088">
    <cfRule type="expression" dxfId="317" priority="21">
      <formula>AND(R1088,S1088)</formula>
    </cfRule>
  </conditionalFormatting>
  <conditionalFormatting sqref="W1088">
    <cfRule type="expression" dxfId="316" priority="20">
      <formula>NOT(ISBLANK(W1088))</formula>
    </cfRule>
  </conditionalFormatting>
  <conditionalFormatting sqref="W1088">
    <cfRule type="expression" dxfId="315" priority="19">
      <formula>OR(S1088 = FALSE, AND(P1088 = FALSE, ReportType &lt;&gt; "Final"), AND(Q1088 = FALSE, ReportType &lt;&gt; "Rough"))</formula>
    </cfRule>
  </conditionalFormatting>
  <conditionalFormatting sqref="W1088">
    <cfRule type="expression" dxfId="314" priority="18">
      <formula>OR(T1088 = TRUE, AND(W1088 = TRUE, S1088 = FALSE))</formula>
    </cfRule>
  </conditionalFormatting>
  <conditionalFormatting sqref="W411">
    <cfRule type="expression" dxfId="313" priority="17">
      <formula>AND($R$411,$S$411)</formula>
    </cfRule>
  </conditionalFormatting>
  <conditionalFormatting sqref="W411">
    <cfRule type="expression" dxfId="312" priority="16">
      <formula>AND($W$411&lt;&gt;"Not Met",LEN(TRIM($W$411))&gt;0)</formula>
    </cfRule>
  </conditionalFormatting>
  <conditionalFormatting sqref="W411">
    <cfRule type="expression" dxfId="311" priority="15">
      <formula>OR($S$411 = FALSE, AND($P$411 = FALSE, ReportType &lt;&gt; "Final"), AND($Q$411 = FALSE, ReportType &lt;&gt; "Rough"))</formula>
    </cfRule>
  </conditionalFormatting>
  <conditionalFormatting sqref="W411">
    <cfRule type="expression" dxfId="310" priority="14">
      <formula>OR($T$411 = TRUE, AND(LEN(TRIM($W$411))&gt;0, $S$411 = FALSE))</formula>
    </cfRule>
  </conditionalFormatting>
  <conditionalFormatting sqref="X411:X413">
    <cfRule type="expression" dxfId="309" priority="13">
      <formula>W411="N/A"</formula>
    </cfRule>
  </conditionalFormatting>
  <conditionalFormatting sqref="W1084">
    <cfRule type="expression" dxfId="308" priority="12">
      <formula>AND($R$1084,$S$1084)</formula>
    </cfRule>
  </conditionalFormatting>
  <conditionalFormatting sqref="W1084">
    <cfRule type="expression" dxfId="307" priority="11">
      <formula>AND($W$1084&lt;&gt;"Not Met",LEN(TRIM($W$1084))&gt;0)</formula>
    </cfRule>
  </conditionalFormatting>
  <conditionalFormatting sqref="W1084">
    <cfRule type="expression" dxfId="306" priority="10">
      <formula>OR($S$1084 = FALSE, AND($P$1084 = FALSE, ReportType &lt;&gt; "Final"), AND($Q$1084 = FALSE, ReportType &lt;&gt; "Rough"))</formula>
    </cfRule>
  </conditionalFormatting>
  <conditionalFormatting sqref="W1084">
    <cfRule type="expression" dxfId="305" priority="9">
      <formula>OR($T$1084 = TRUE, AND(LEN(TRIM($W$1084))&gt;0, $S$1084 = FALSE))</formula>
    </cfRule>
  </conditionalFormatting>
  <conditionalFormatting sqref="W275">
    <cfRule type="expression" dxfId="304" priority="4">
      <formula>AND($R$275,$S$275)</formula>
    </cfRule>
  </conditionalFormatting>
  <conditionalFormatting sqref="W275">
    <cfRule type="expression" dxfId="303" priority="3">
      <formula>AND($W$275&lt;&gt;"Not Met",LEN(TRIM($W$275))&gt;0)</formula>
    </cfRule>
  </conditionalFormatting>
  <conditionalFormatting sqref="W275">
    <cfRule type="expression" dxfId="302" priority="2">
      <formula>OR($S$275 = FALSE, AND($P$275 = FALSE, ReportType &lt;&gt; "Final"), AND($Q$275 = FALSE, ReportType &lt;&gt; "Rough"))</formula>
    </cfRule>
  </conditionalFormatting>
  <conditionalFormatting sqref="W275">
    <cfRule type="expression" dxfId="301" priority="1">
      <formula>OR($T$275 = TRUE, AND(LEN(TRIM($W$275))&gt;0, $S$275 = FALSE))</formula>
    </cfRule>
  </conditionalFormatting>
  <dataValidations count="168">
    <dataValidation type="list" allowBlank="1" showInputMessage="1" showErrorMessage="1" sqref="L5" xr:uid="{00000000-0002-0000-0F00-000000000000}">
      <formula1>"Rough, Final"</formula1>
    </dataValidation>
    <dataValidation type="decimal" allowBlank="1" showDropDown="1" showInputMessage="1" showErrorMessage="1" error="Enter Percentage" prompt="Enter Percentage" sqref="W89" xr:uid="{00000000-0002-0000-0F00-000001000000}">
      <formula1>0</formula1>
      <formula2>1</formula2>
    </dataValidation>
    <dataValidation type="whole" allowBlank="1" showDropDown="1" showInputMessage="1" showErrorMessage="1" error="Enter a whole number" prompt="Enter number of products" sqref="W807 W796" xr:uid="{00000000-0002-0000-0F00-000002000000}">
      <formula1>0</formula1>
      <formula2>20</formula2>
    </dataValidation>
    <dataValidation type="decimal" allowBlank="1" showDropDown="1" showInputMessage="1" showErrorMessage="1" error="Enter a percentage" prompt="Enter a percentage" sqref="W572 W584 W586 W588 W590 W1055 W1092 W294 W1971 W1981:W1982" xr:uid="{00000000-0002-0000-0F00-000003000000}">
      <formula1>0</formula1>
      <formula2>1</formula2>
    </dataValidation>
    <dataValidation type="whole" allowBlank="1" showDropDown="1" showInputMessage="1" showErrorMessage="1" error="Enter a number" prompt="Enter number of square feet" sqref="W566" xr:uid="{00000000-0002-0000-0F00-000004000000}">
      <formula1>0</formula1>
      <formula2>10000</formula2>
    </dataValidation>
    <dataValidation type="list" allowBlank="1" showInputMessage="1" showErrorMessage="1" error="Please use the dropdown." sqref="W45" xr:uid="{00000000-0002-0000-0F00-000005000000}">
      <formula1>INDIRECT($U$45)</formula1>
    </dataValidation>
    <dataValidation type="list" allowBlank="1" showInputMessage="1" showErrorMessage="1" error="Please use the dropdown." sqref="W93" xr:uid="{00000000-0002-0000-0F00-000006000000}">
      <formula1>INDIRECT($U$93)</formula1>
    </dataValidation>
    <dataValidation type="list" allowBlank="1" showInputMessage="1" showErrorMessage="1" error="Please use the dropdown." sqref="W128" xr:uid="{00000000-0002-0000-0F00-000007000000}">
      <formula1>INDIRECT($U$128)</formula1>
    </dataValidation>
    <dataValidation type="list" allowBlank="1" showInputMessage="1" showErrorMessage="1" error="Please use the dropdown." sqref="W135" xr:uid="{00000000-0002-0000-0F00-000008000000}">
      <formula1>INDIRECT($U$135)</formula1>
    </dataValidation>
    <dataValidation type="list" allowBlank="1" showInputMessage="1" showErrorMessage="1" error="Please use the dropdown." sqref="W147" xr:uid="{00000000-0002-0000-0F00-000009000000}">
      <formula1>INDIRECT($U$147)</formula1>
    </dataValidation>
    <dataValidation type="list" allowBlank="1" showInputMessage="1" showErrorMessage="1" error="Please use the dropdown." sqref="W149" xr:uid="{00000000-0002-0000-0F00-00000A000000}">
      <formula1>INDIRECT($U$149)</formula1>
    </dataValidation>
    <dataValidation type="list" allowBlank="1" showInputMessage="1" showErrorMessage="1" error="Please use the dropdown." sqref="W165" xr:uid="{00000000-0002-0000-0F00-00000B000000}">
      <formula1>INDIRECT($U$165)</formula1>
    </dataValidation>
    <dataValidation type="list" allowBlank="1" showInputMessage="1" showErrorMessage="1" error="Please use the dropdown." sqref="W201" xr:uid="{00000000-0002-0000-0F00-00000C000000}">
      <formula1>INDIRECT($U$201)</formula1>
    </dataValidation>
    <dataValidation type="list" allowBlank="1" showInputMessage="1" showErrorMessage="1" error="Please use the dropdown." sqref="W257" xr:uid="{00000000-0002-0000-0F00-00000D000000}">
      <formula1>INDIRECT($U$257)</formula1>
    </dataValidation>
    <dataValidation type="list" allowBlank="1" showInputMessage="1" showErrorMessage="1" error="Please use the dropdown." sqref="W383" xr:uid="{00000000-0002-0000-0F00-000011000000}">
      <formula1>INDIRECT($U$383)</formula1>
    </dataValidation>
    <dataValidation type="list" allowBlank="1" showInputMessage="1" showErrorMessage="1" error="Please use the dropdown." sqref="W384" xr:uid="{00000000-0002-0000-0F00-000012000000}">
      <formula1>INDIRECT($U$384)</formula1>
    </dataValidation>
    <dataValidation type="list" allowBlank="1" showInputMessage="1" showErrorMessage="1" error="Please use the dropdown." sqref="W385" xr:uid="{00000000-0002-0000-0F00-000013000000}">
      <formula1>INDIRECT($U$385)</formula1>
    </dataValidation>
    <dataValidation type="list" allowBlank="1" showInputMessage="1" showErrorMessage="1" error="Please use the dropdown." sqref="W389" xr:uid="{00000000-0002-0000-0F00-000014000000}">
      <formula1>INDIRECT($U$389)</formula1>
    </dataValidation>
    <dataValidation type="list" allowBlank="1" showInputMessage="1" showErrorMessage="1" error="Please use the dropdown." sqref="W391" xr:uid="{00000000-0002-0000-0F00-000015000000}">
      <formula1>INDIRECT($U$391)</formula1>
    </dataValidation>
    <dataValidation type="list" allowBlank="1" showInputMessage="1" showErrorMessage="1" error="Please use the dropdown." sqref="W440" xr:uid="{00000000-0002-0000-0F00-000016000000}">
      <formula1>INDIRECT($U$440)</formula1>
    </dataValidation>
    <dataValidation type="list" allowBlank="1" showInputMessage="1" showErrorMessage="1" error="Please use the dropdown." sqref="W501" xr:uid="{00000000-0002-0000-0F00-000017000000}">
      <formula1>INDIRECT($U$501)</formula1>
    </dataValidation>
    <dataValidation type="list" allowBlank="1" showInputMessage="1" showErrorMessage="1" error="Please use the dropdown." sqref="W511" xr:uid="{00000000-0002-0000-0F00-000018000000}">
      <formula1>INDIRECT($U$511)</formula1>
    </dataValidation>
    <dataValidation type="list" allowBlank="1" showInputMessage="1" showErrorMessage="1" error="Please use the dropdown." sqref="W637" xr:uid="{00000000-0002-0000-0F00-000019000000}">
      <formula1>INDIRECT($U$637)</formula1>
    </dataValidation>
    <dataValidation type="list" allowBlank="1" showInputMessage="1" showErrorMessage="1" error="Please use the dropdown." sqref="W638" xr:uid="{00000000-0002-0000-0F00-00001A000000}">
      <formula1>INDIRECT($U$638)</formula1>
    </dataValidation>
    <dataValidation type="list" allowBlank="1" showInputMessage="1" showErrorMessage="1" error="Please use the dropdown." sqref="W639" xr:uid="{00000000-0002-0000-0F00-00001B000000}">
      <formula1>INDIRECT($U$639)</formula1>
    </dataValidation>
    <dataValidation type="list" allowBlank="1" showInputMessage="1" showErrorMessage="1" error="Please use the dropdown." sqref="W640" xr:uid="{00000000-0002-0000-0F00-00001C000000}">
      <formula1>INDIRECT($U$640)</formula1>
    </dataValidation>
    <dataValidation type="list" allowBlank="1" showInputMessage="1" showErrorMessage="1" error="Please use the dropdown." sqref="W641" xr:uid="{00000000-0002-0000-0F00-00001D000000}">
      <formula1>INDIRECT($U$641)</formula1>
    </dataValidation>
    <dataValidation type="list" allowBlank="1" showInputMessage="1" showErrorMessage="1" error="Please use the dropdown." sqref="W642" xr:uid="{00000000-0002-0000-0F00-00001E000000}">
      <formula1>INDIRECT($U$642)</formula1>
    </dataValidation>
    <dataValidation type="list" allowBlank="1" showInputMessage="1" showErrorMessage="1" error="Please use the dropdown." sqref="W643" xr:uid="{00000000-0002-0000-0F00-00001F000000}">
      <formula1>INDIRECT($U$643)</formula1>
    </dataValidation>
    <dataValidation type="list" allowBlank="1" showInputMessage="1" showErrorMessage="1" error="Please use the dropdown." sqref="W644" xr:uid="{00000000-0002-0000-0F00-000020000000}">
      <formula1>INDIRECT($U$644)</formula1>
    </dataValidation>
    <dataValidation type="list" allowBlank="1" showInputMessage="1" showErrorMessage="1" error="Please use the dropdown." sqref="W668" xr:uid="{00000000-0002-0000-0F00-000021000000}">
      <formula1>INDIRECT($U$668)</formula1>
    </dataValidation>
    <dataValidation type="list" allowBlank="1" showInputMessage="1" showErrorMessage="1" error="Please use the dropdown." sqref="W669" xr:uid="{00000000-0002-0000-0F00-000022000000}">
      <formula1>INDIRECT($U$669)</formula1>
    </dataValidation>
    <dataValidation type="list" allowBlank="1" showInputMessage="1" showErrorMessage="1" error="Please use the dropdown." sqref="W671" xr:uid="{00000000-0002-0000-0F00-000023000000}">
      <formula1>INDIRECT($U$671)</formula1>
    </dataValidation>
    <dataValidation type="list" allowBlank="1" showInputMessage="1" showErrorMessage="1" error="Please use the dropdown." sqref="W672" xr:uid="{00000000-0002-0000-0F00-000024000000}">
      <formula1>INDIRECT($U$672)</formula1>
    </dataValidation>
    <dataValidation type="list" allowBlank="1" showInputMessage="1" showErrorMessage="1" error="Please use the dropdown." sqref="W674" xr:uid="{00000000-0002-0000-0F00-000025000000}">
      <formula1>INDIRECT($U$674)</formula1>
    </dataValidation>
    <dataValidation type="list" allowBlank="1" showInputMessage="1" showErrorMessage="1" error="Please use the dropdown." sqref="W697" xr:uid="{00000000-0002-0000-0F00-000026000000}">
      <formula1>INDIRECT($U$697)</formula1>
    </dataValidation>
    <dataValidation type="list" allowBlank="1" showInputMessage="1" showErrorMessage="1" error="Please use the dropdown." sqref="W708" xr:uid="{00000000-0002-0000-0F00-000027000000}">
      <formula1>INDIRECT($U$708)</formula1>
    </dataValidation>
    <dataValidation type="list" allowBlank="1" showInputMessage="1" showErrorMessage="1" error="Please use the dropdown." sqref="W710" xr:uid="{00000000-0002-0000-0F00-000028000000}">
      <formula1>INDIRECT($U$710)</formula1>
    </dataValidation>
    <dataValidation type="list" allowBlank="1" showInputMessage="1" showErrorMessage="1" error="Please use the dropdown." sqref="W752" xr:uid="{00000000-0002-0000-0F00-000029000000}">
      <formula1>INDIRECT($U$752)</formula1>
    </dataValidation>
    <dataValidation type="list" allowBlank="1" showInputMessage="1" showErrorMessage="1" error="Please use the dropdown." sqref="W759" xr:uid="{00000000-0002-0000-0F00-00002A000000}">
      <formula1>INDIRECT($U$759)</formula1>
    </dataValidation>
    <dataValidation type="list" allowBlank="1" showInputMessage="1" showErrorMessage="1" error="Please use the dropdown." sqref="W765" xr:uid="{00000000-0002-0000-0F00-00002B000000}">
      <formula1>INDIRECT($U$765)</formula1>
    </dataValidation>
    <dataValidation type="list" allowBlank="1" showInputMessage="1" showErrorMessage="1" error="Please use the dropdown." sqref="W772" xr:uid="{00000000-0002-0000-0F00-00002C000000}">
      <formula1>INDIRECT($U$772)</formula1>
    </dataValidation>
    <dataValidation type="list" allowBlank="1" showInputMessage="1" showErrorMessage="1" error="Please use the dropdown." sqref="W778" xr:uid="{00000000-0002-0000-0F00-00002D000000}">
      <formula1>INDIRECT($U$778)</formula1>
    </dataValidation>
    <dataValidation type="list" allowBlank="1" showInputMessage="1" showErrorMessage="1" error="Please use the dropdown." sqref="W784" xr:uid="{00000000-0002-0000-0F00-00002E000000}">
      <formula1>INDIRECT($U$784)</formula1>
    </dataValidation>
    <dataValidation type="list" allowBlank="1" showInputMessage="1" showErrorMessage="1" error="Please use the dropdown." sqref="W813" xr:uid="{00000000-0002-0000-0F00-00002F000000}">
      <formula1>INDIRECT($U$813)</formula1>
    </dataValidation>
    <dataValidation type="list" allowBlank="1" showInputMessage="1" showErrorMessage="1" error="Please use the dropdown." sqref="W431" xr:uid="{00000000-0002-0000-0F00-000030000000}">
      <formula1>INDIRECT($U$431)</formula1>
    </dataValidation>
    <dataValidation type="list" allowBlank="1" showInputMessage="1" showErrorMessage="1" error="Please use the dropdown." sqref="W437" xr:uid="{00000000-0002-0000-0F00-000031000000}">
      <formula1>INDIRECT($U$437)</formula1>
    </dataValidation>
    <dataValidation type="list" allowBlank="1" showInputMessage="1" showErrorMessage="1" error="Please use the dropdown." sqref="W464" xr:uid="{00000000-0002-0000-0F00-000032000000}">
      <formula1>INDIRECT($U$464)</formula1>
    </dataValidation>
    <dataValidation type="list" allowBlank="1" showInputMessage="1" showErrorMessage="1" error="Please use the dropdown." sqref="W475" xr:uid="{00000000-0002-0000-0F00-000033000000}">
      <formula1>INDIRECT($U$475)</formula1>
    </dataValidation>
    <dataValidation type="list" allowBlank="1" showInputMessage="1" showErrorMessage="1" error="Please use the dropdown." sqref="W523" xr:uid="{00000000-0002-0000-0F00-000034000000}">
      <formula1>INDIRECT($U$523)</formula1>
    </dataValidation>
    <dataValidation type="list" allowBlank="1" showInputMessage="1" showErrorMessage="1" error="Please use the dropdown." sqref="W528" xr:uid="{00000000-0002-0000-0F00-000035000000}">
      <formula1>INDIRECT($U$528)</formula1>
    </dataValidation>
    <dataValidation type="list" allowBlank="1" showInputMessage="1" showErrorMessage="1" error="Please use the dropdown." sqref="W534" xr:uid="{00000000-0002-0000-0F00-000036000000}">
      <formula1>INDIRECT($U$534)</formula1>
    </dataValidation>
    <dataValidation type="list" allowBlank="1" showDropDown="1" showInputMessage="1" showErrorMessage="1" error="Use Checkbox" prompt="Use Checkbox" sqref="W835 W858 W852:W854 W850 W848 W844 W839 W694 W744 W736 W727 W683 W624:W632 W611 W609 W596 W579 W562 W560 W555 W551 W547:W548 W545 W157 W525 W509 W507 W496:W497 W493 W483 W471 W469 W467 W462 W457 W453 W449 W443 W441 W435 W429 W423 W421 W418:W419 W414 W1616 W398 W370:W374 W359:W364 W355 W352 W349 W282 W824:W825 W271:W272 W267 W264 W79 W253 W246 W239:W244 W237 W234 W230 W228 W225:W226 W223 W218 W215:W216 W208 W69 W77 W193 W189:W191 W185 W183 W181 W178 W176 W170:W171 W160 W1515 W155 W124 W121 W111:W113 W108:W109 W104 W100 W98 W90:W91 W81 W16:W18 W73 W71 W58 W42 W27 W25 W23 W21 W1606 W933 W2456 W2454 W2441 W2438 W2436 W688 W2386:W2387 W2384 W2377 W2373 W2371 W2365 W2361:W2362 W2359 W2356:W2357 W2354 W2351 W2349 W2346 W2344 W2336:W2338 W2333:W2334 W2331 W2328 W2325 W2301:W2303 W2299 W2297 W2294:W2295 W2292 W2289:W2290 W2287 W2285 W2281 W1921 W2268 W2264:W2266 W2258:W2260 W2237 W2232 W2215 W2210 W2204:W2205 W2190 W2188 W2182 W2180 W1787 W2101 W2098 W2096 W2078 W2076 W2074 W2063 W2056 W2052 W2050 W2044 W2042 W2038:W2039 W2025 W2020:W2021 W2015 W2006 W2001 W1998:W1999 W1996 W1985 W1962 W1959 W1957 W1934 W1928 W1900 W1884 W1878 W1862 W1860 W1581 W1848 W1820:W1821 W827 W1769 W2273:W2275 W1778:W1780 W829 W831 W1767 W1760 W1376 W1684 W1679 W1611 W1603 W1599:W1600 W1595 W1578 W1576 W1574 W1564:W1571 W1544 W1541 W1536:W1539 W1529 W1527 W1525 W1513 W833 W1496 W1467 W1374 W1456:W1457 W1451 W1448 W1431 W1387 W1385 W1383 W1381 W1042:W1043 W1371 W1367:W1369 W1365 W1357 W1330 W1325:W1327 W1322 W1320 W1318 W1297 W1295 W1293 W1232 W1229:W1230 W1226 W1224 W1218 W1211 W1201 W1198 W1154 W255 W1099 W1090 W14 W1081 W1066 W1049 W1785 W1040 W1020 W994 W991 W1857 W955 W950:W951 W947 W938 W2270:W2271 W2395 W2463 W2460 W2424:W2430 W2414:W2419 W2410:W2412 W2389:W2393 W2248 W2243 W2240:W2241 W2228 W2220 W2185 W75 W2154 W2152 W50 W929 W924:W927 W920:W922 W915 W911:W912 W593 W536:W538 W325 W323 W321 W315:W316 W312 W309 W305 W291:W292 W288 W162 W142 W140 W83 W55 W52 W1504 W1502 W1478 W1476 W1465 W1462 W2081 W2030 W1840 W1800 W1797:W1798 W1795 W1793 W1774 W1636:W1637 W1631 W1627 W1618" xr:uid="{00000000-0002-0000-0F00-000037000000}">
      <formula1>TorF</formula1>
    </dataValidation>
    <dataValidation type="whole" allowBlank="1" showDropDown="1" showInputMessage="1" showErrorMessage="1" prompt="Enter number of fans" sqref="W1213" xr:uid="{00000000-0002-0000-0F00-000038000000}">
      <formula1>0</formula1>
      <formula2>100</formula2>
    </dataValidation>
    <dataValidation type="decimal" allowBlank="1" showDropDown="1" showInputMessage="1" showErrorMessage="1" prompt="Enter the EER" sqref="W1206" xr:uid="{00000000-0002-0000-0F00-000039000000}">
      <formula1>0</formula1>
      <formula2>100</formula2>
    </dataValidation>
    <dataValidation type="decimal" allowBlank="1" showDropDown="1" showInputMessage="1" showErrorMessage="1" prompt="Enter the SEER" sqref="W1193" xr:uid="{00000000-0002-0000-0F00-00003A000000}">
      <formula1>0</formula1>
      <formula2>100</formula2>
    </dataValidation>
    <dataValidation type="decimal" allowBlank="1" showDropDown="1" showInputMessage="1" showErrorMessage="1" prompt="Enter the COP" sqref="W1188 W1200" xr:uid="{00000000-0002-0000-0F00-00003B000000}">
      <formula1>0</formula1>
      <formula2>100</formula2>
    </dataValidation>
    <dataValidation type="decimal" allowBlank="1" showDropDown="1" showInputMessage="1" showErrorMessage="1" prompt="Enter the HSPF" sqref="W1181 W1186" xr:uid="{00000000-0002-0000-0F00-00003C000000}">
      <formula1>0</formula1>
      <formula2>100</formula2>
    </dataValidation>
    <dataValidation type="decimal" allowBlank="1" showDropDown="1" showInputMessage="1" showErrorMessage="1" prompt="Enter the AFUE" sqref="W1161 W1167 W1170 W1175" xr:uid="{00000000-0002-0000-0F00-00003D000000}">
      <formula1>0</formula1>
      <formula2>1</formula2>
    </dataValidation>
    <dataValidation type="decimal" allowBlank="1" showDropDown="1" showInputMessage="1" showErrorMessage="1" prompt="Enter the ACH50" sqref="W975 W1493" xr:uid="{00000000-0002-0000-0F00-00003E000000}">
      <formula1>0</formula1>
      <formula2>50</formula2>
    </dataValidation>
    <dataValidation type="decimal" allowBlank="1" showDropDown="1" showInputMessage="1" showErrorMessage="1" error="Enter a number" prompt="Enter Energy Factor or Thermal Efficiency" sqref="W1292 W1253 W1272" xr:uid="{00000000-0002-0000-0F00-00003F000000}">
      <formula1>0</formula1>
      <formula2>3</formula2>
    </dataValidation>
    <dataValidation type="decimal" allowBlank="1" showDropDown="1" showInputMessage="1" showErrorMessage="1" error="Enter a number" prompt="Enter SEF" sqref="W1301" xr:uid="{00000000-0002-0000-0F00-000040000000}">
      <formula1>0</formula1>
      <formula2>5</formula2>
    </dataValidation>
    <dataValidation type="whole" allowBlank="1" showDropDown="1" showInputMessage="1" showErrorMessage="1" error="Enter a whole number" prompt="Enter number of recessed luminaires penetrating the thermal envelope" sqref="W1454" xr:uid="{00000000-0002-0000-0F00-000041000000}">
      <formula1>0</formula1>
      <formula2>100</formula2>
    </dataValidation>
    <dataValidation type="whole" allowBlank="1" showDropDown="1" showInputMessage="1" showErrorMessage="1" error="Enter a whole number" prompt="Enter number of kW" sqref="W1583" xr:uid="{00000000-0002-0000-0F00-000042000000}">
      <formula1>0</formula1>
      <formula2>10000000000</formula2>
    </dataValidation>
    <dataValidation type="decimal" allowBlank="1" showDropDown="1" showInputMessage="1" showErrorMessage="1" error="Enter a nuber of inches" prompt="Enter a number of inches" sqref="W1098" xr:uid="{00000000-0002-0000-0F00-000043000000}">
      <formula1>0</formula1>
      <formula2>36</formula2>
    </dataValidation>
    <dataValidation type="list" allowBlank="1" showInputMessage="1" showErrorMessage="1" error="Please use the dropdown." sqref="W882" xr:uid="{00000000-0002-0000-0F00-000044000000}">
      <formula1>INDIRECT($U$882)</formula1>
    </dataValidation>
    <dataValidation type="list" allowBlank="1" showInputMessage="1" showErrorMessage="1" error="Please use the dropdown." sqref="W898" xr:uid="{00000000-0002-0000-0F00-000045000000}">
      <formula1>INDIRECT($U$898)</formula1>
    </dataValidation>
    <dataValidation type="list" allowBlank="1" showInputMessage="1" showErrorMessage="1" error="Please use the dropdown." sqref="W941" xr:uid="{00000000-0002-0000-0F00-000046000000}">
      <formula1>INDIRECT($U$941)</formula1>
    </dataValidation>
    <dataValidation type="list" allowBlank="1" showInputMessage="1" showErrorMessage="1" error="Please use the dropdown." sqref="W1030" xr:uid="{00000000-0002-0000-0F00-000047000000}">
      <formula1>INDIRECT($U$1030)</formula1>
    </dataValidation>
    <dataValidation type="list" allowBlank="1" showInputMessage="1" showErrorMessage="1" error="Please use the dropdown." sqref="W1114" xr:uid="{00000000-0002-0000-0F00-000048000000}">
      <formula1>INDIRECT($U$1114)</formula1>
    </dataValidation>
    <dataValidation type="list" allowBlank="1" showInputMessage="1" showErrorMessage="1" error="Please use the dropdown." sqref="W1122" xr:uid="{00000000-0002-0000-0F00-000049000000}">
      <formula1>INDIRECT($U$1122)</formula1>
    </dataValidation>
    <dataValidation type="list" allowBlank="1" showInputMessage="1" showErrorMessage="1" error="Please use the dropdown." sqref="W1130" xr:uid="{00000000-0002-0000-0F00-00004A000000}">
      <formula1>INDIRECT($U$1130)</formula1>
    </dataValidation>
    <dataValidation type="list" allowBlank="1" showInputMessage="1" showErrorMessage="1" error="Please use the dropdown." sqref="W1141" xr:uid="{00000000-0002-0000-0F00-00004B000000}">
      <formula1>INDIRECT($U$1141)</formula1>
    </dataValidation>
    <dataValidation type="list" allowBlank="1" showInputMessage="1" showErrorMessage="1" error="Please use the dropdown." sqref="W1148" xr:uid="{00000000-0002-0000-0F00-00004C000000}">
      <formula1>INDIRECT($U$1148)</formula1>
    </dataValidation>
    <dataValidation type="list" allowBlank="1" showInputMessage="1" showErrorMessage="1" error="Please use the dropdown." sqref="W1234" xr:uid="{00000000-0002-0000-0F00-00004D000000}">
      <formula1>INDIRECT($U$1234)</formula1>
    </dataValidation>
    <dataValidation type="list" allowBlank="1" showInputMessage="1" showErrorMessage="1" error="Please use the dropdown." sqref="W1245" xr:uid="{00000000-0002-0000-0F00-00004E000000}">
      <formula1>INDIRECT($U$1245)</formula1>
    </dataValidation>
    <dataValidation type="list" allowBlank="1" showInputMessage="1" showErrorMessage="1" error="Please use the dropdown." sqref="W1427" xr:uid="{00000000-0002-0000-0F00-00004F000000}">
      <formula1>INDIRECT($U$1427)</formula1>
    </dataValidation>
    <dataValidation type="list" allowBlank="1" showInputMessage="1" showErrorMessage="1" error="Please use the dropdown." sqref="W1434" xr:uid="{00000000-0002-0000-0F00-000050000000}">
      <formula1>INDIRECT($U$1434)</formula1>
    </dataValidation>
    <dataValidation type="list" allowBlank="1" showInputMessage="1" showErrorMessage="1" error="Please use the dropdown." sqref="W1438" xr:uid="{00000000-0002-0000-0F00-000051000000}">
      <formula1>INDIRECT($U$1438)</formula1>
    </dataValidation>
    <dataValidation type="list" allowBlank="1" showInputMessage="1" showErrorMessage="1" error="Please use the dropdown." sqref="W1443" xr:uid="{00000000-0002-0000-0F00-000052000000}">
      <formula1>INDIRECT($U$1443)</formula1>
    </dataValidation>
    <dataValidation type="list" allowBlank="1" showInputMessage="1" showErrorMessage="1" error="Please use the dropdown." sqref="W1507" xr:uid="{00000000-0002-0000-0F00-000053000000}">
      <formula1>INDIRECT($U$1507)</formula1>
    </dataValidation>
    <dataValidation type="list" allowBlank="1" showInputMessage="1" showErrorMessage="1" error="Please use the dropdown." sqref="W1549" xr:uid="{00000000-0002-0000-0F00-000054000000}">
      <formula1>INDIRECT($U$1549)</formula1>
    </dataValidation>
    <dataValidation type="whole" allowBlank="1" showDropDown="1" showInputMessage="1" showErrorMessage="1" error="Enter a whole number" prompt="Enter number of systems" sqref="W1850" xr:uid="{00000000-0002-0000-0F00-000055000000}">
      <formula1>0</formula1>
      <formula2>5</formula2>
    </dataValidation>
    <dataValidation type="list" allowBlank="1" showInputMessage="1" showErrorMessage="1" error="Please use the dropdown." sqref="W1650" xr:uid="{00000000-0002-0000-0F00-000056000000}">
      <formula1>INDIRECT($U$1650)</formula1>
    </dataValidation>
    <dataValidation type="list" allowBlank="1" showInputMessage="1" showErrorMessage="1" error="Please use the dropdown." sqref="W1685" xr:uid="{00000000-0002-0000-0F00-000057000000}">
      <formula1>INDIRECT($U$1685)</formula1>
    </dataValidation>
    <dataValidation type="list" allowBlank="1" showInputMessage="1" showErrorMessage="1" error="Please use the dropdown." sqref="W1709" xr:uid="{00000000-0002-0000-0F00-000058000000}">
      <formula1>INDIRECT($U$1709)</formula1>
    </dataValidation>
    <dataValidation type="list" allowBlank="1" showInputMessage="1" showErrorMessage="1" error="Please use the dropdown." sqref="W1721" xr:uid="{00000000-0002-0000-0F00-000059000000}">
      <formula1>INDIRECT($U$1721)</formula1>
    </dataValidation>
    <dataValidation type="list" allowBlank="1" showInputMessage="1" showErrorMessage="1" error="Please use the dropdown." sqref="W1726" xr:uid="{00000000-0002-0000-0F00-00005A000000}">
      <formula1>INDIRECT($U$1726)</formula1>
    </dataValidation>
    <dataValidation type="list" allowBlank="1" showInputMessage="1" showErrorMessage="1" error="Please use the dropdown." sqref="W1746" xr:uid="{00000000-0002-0000-0F00-00005C000000}">
      <formula1>INDIRECT($U$1746)</formula1>
    </dataValidation>
    <dataValidation type="list" allowBlank="1" showInputMessage="1" showErrorMessage="1" error="Please use the dropdown." sqref="W1753" xr:uid="{00000000-0002-0000-0F00-00005D000000}">
      <formula1>INDIRECT($U$1753)</formula1>
    </dataValidation>
    <dataValidation type="list" allowBlank="1" showInputMessage="1" showErrorMessage="1" error="Please use the dropdown." sqref="W1763" xr:uid="{00000000-0002-0000-0F00-00005E000000}">
      <formula1>INDIRECT($U$1763)</formula1>
    </dataValidation>
    <dataValidation type="list" allowBlank="1" showInputMessage="1" showErrorMessage="1" error="Please use the dropdown." sqref="W1804" xr:uid="{00000000-0002-0000-0F00-00005F000000}">
      <formula1>INDIRECT($U$1804)</formula1>
    </dataValidation>
    <dataValidation type="list" allowBlank="1" showInputMessage="1" showErrorMessage="1" error="Please use the dropdown." sqref="W1818" xr:uid="{00000000-0002-0000-0F00-000060000000}">
      <formula1>INDIRECT($U$1818)</formula1>
    </dataValidation>
    <dataValidation type="list" allowBlank="1" showInputMessage="1" showErrorMessage="1" error="Please use the dropdown." sqref="W1846" xr:uid="{00000000-0002-0000-0F00-000061000000}">
      <formula1>INDIRECT($U$1846)</formula1>
    </dataValidation>
    <dataValidation type="whole" allowBlank="1" showDropDown="1" showInputMessage="1" showErrorMessage="1" error="Enter a whole number" prompt="Enter number of humidistats" sqref="W2062" xr:uid="{00000000-0002-0000-0F00-000062000000}">
      <formula1>0</formula1>
      <formula2>10</formula2>
    </dataValidation>
    <dataValidation type="whole" allowBlank="1" showDropDown="1" showInputMessage="1" showErrorMessage="1" error="Enter a whole number" prompt="Enter number of timers" sqref="W2060" xr:uid="{00000000-0002-0000-0F00-000063000000}">
      <formula1>0</formula1>
      <formula2>10</formula2>
    </dataValidation>
    <dataValidation type="list" allowBlank="1" showInputMessage="1" showErrorMessage="1" error="Please use the dropdown." sqref="W1889" xr:uid="{00000000-0002-0000-0F00-000064000000}">
      <formula1>INDIRECT($U$1889)</formula1>
    </dataValidation>
    <dataValidation type="list" allowBlank="1" showInputMessage="1" showErrorMessage="1" error="Please use the dropdown." sqref="W1892" xr:uid="{00000000-0002-0000-0F00-000065000000}">
      <formula1>INDIRECT($U$1892)</formula1>
    </dataValidation>
    <dataValidation type="list" allowBlank="1" showInputMessage="1" showErrorMessage="1" error="Please use the dropdown." sqref="W1895" xr:uid="{00000000-0002-0000-0F00-000066000000}">
      <formula1>INDIRECT($U$1895)</formula1>
    </dataValidation>
    <dataValidation type="list" allowBlank="1" showInputMessage="1" showErrorMessage="1" error="Please use the dropdown." sqref="W1903" xr:uid="{00000000-0002-0000-0F00-000067000000}">
      <formula1>INDIRECT($U$1903)</formula1>
    </dataValidation>
    <dataValidation type="list" allowBlank="1" showInputMessage="1" showErrorMessage="1" error="Please use the dropdown." sqref="W1909" xr:uid="{00000000-0002-0000-0F00-000068000000}">
      <formula1>INDIRECT($U$1909)</formula1>
    </dataValidation>
    <dataValidation type="list" allowBlank="1" showInputMessage="1" showErrorMessage="1" error="Please use the dropdown." sqref="W1912" xr:uid="{00000000-0002-0000-0F00-000069000000}">
      <formula1>INDIRECT($U$1912)</formula1>
    </dataValidation>
    <dataValidation type="list" allowBlank="1" showInputMessage="1" showErrorMessage="1" error="Please use the dropdown." sqref="W1914" xr:uid="{00000000-0002-0000-0F00-00006A000000}">
      <formula1>INDIRECT($U$1914)</formula1>
    </dataValidation>
    <dataValidation type="list" allowBlank="1" showInputMessage="1" showErrorMessage="1" error="Please use the dropdown." sqref="W1917" xr:uid="{00000000-0002-0000-0F00-00006B000000}">
      <formula1>INDIRECT($U$1917)</formula1>
    </dataValidation>
    <dataValidation type="list" allowBlank="1" showInputMessage="1" showErrorMessage="1" error="Please use the dropdown." sqref="W1919" xr:uid="{00000000-0002-0000-0F00-00006C000000}">
      <formula1>INDIRECT($U$1919)</formula1>
    </dataValidation>
    <dataValidation type="list" allowBlank="1" showInputMessage="1" showErrorMessage="1" error="Please use the dropdown." sqref="W1938" xr:uid="{00000000-0002-0000-0F00-00006D000000}">
      <formula1>INDIRECT($U$1938)</formula1>
    </dataValidation>
    <dataValidation type="list" allowBlank="1" showInputMessage="1" showErrorMessage="1" error="Please use the dropdown." sqref="W1943" xr:uid="{00000000-0002-0000-0F00-00006E000000}">
      <formula1>INDIRECT($U$1943)</formula1>
    </dataValidation>
    <dataValidation type="list" allowBlank="1" showInputMessage="1" showErrorMessage="1" error="Please use the dropdown." sqref="W1944" xr:uid="{00000000-0002-0000-0F00-00006F000000}">
      <formula1>INDIRECT($U$1944)</formula1>
    </dataValidation>
    <dataValidation type="list" allowBlank="1" showInputMessage="1" showErrorMessage="1" error="Please use the dropdown." sqref="W1945" xr:uid="{00000000-0002-0000-0F00-000070000000}">
      <formula1>INDIRECT($U$1945)</formula1>
    </dataValidation>
    <dataValidation type="list" allowBlank="1" showInputMessage="1" showErrorMessage="1" error="Please use the dropdown." sqref="W1946" xr:uid="{00000000-0002-0000-0F00-000071000000}">
      <formula1>INDIRECT($U$1946)</formula1>
    </dataValidation>
    <dataValidation type="list" allowBlank="1" showInputMessage="1" showErrorMessage="1" error="Please use the dropdown." sqref="W2034" xr:uid="{00000000-0002-0000-0F00-000072000000}">
      <formula1>INDIRECT($U$2034)</formula1>
    </dataValidation>
    <dataValidation type="list" allowBlank="1" showInputMessage="1" showErrorMessage="1" error="Please use the dropdown." sqref="W2054" xr:uid="{00000000-0002-0000-0F00-000073000000}">
      <formula1>INDIRECT($U$2054)</formula1>
    </dataValidation>
    <dataValidation type="list" allowBlank="1" showInputMessage="1" showErrorMessage="1" error="Please use the dropdown." sqref="W2085" xr:uid="{00000000-0002-0000-0F00-000074000000}">
      <formula1>INDIRECT($U$2085)</formula1>
    </dataValidation>
    <dataValidation type="list" allowBlank="1" showInputMessage="1" showErrorMessage="1" error="Please use the dropdown." sqref="W2194" xr:uid="{00000000-0002-0000-0F00-000076000000}">
      <formula1>INDIRECT($U$2194)</formula1>
    </dataValidation>
    <dataValidation type="list" allowBlank="1" showInputMessage="1" showErrorMessage="1" error="Please use the dropdown." sqref="W2198" xr:uid="{00000000-0002-0000-0F00-000077000000}">
      <formula1>INDIRECT($U$2198)</formula1>
    </dataValidation>
    <dataValidation type="list" allowBlank="1" showInputMessage="1" showErrorMessage="1" error="Please use the dropdown." sqref="W1924" xr:uid="{00000000-0002-0000-0F00-000078000000}">
      <formula1>INDIRECT($U$1924)</formula1>
    </dataValidation>
    <dataValidation type="list" allowBlank="1" showInputMessage="1" showErrorMessage="1" error="Please use the dropdown." sqref="W1926" xr:uid="{00000000-0002-0000-0F00-000079000000}">
      <formula1>INDIRECT($U$1926)</formula1>
    </dataValidation>
    <dataValidation type="whole" allowBlank="1" showDropDown="1" showInputMessage="1" showErrorMessage="1" error="Enter a whole number" prompt="Enter number of fans" sqref="W2069 W2071" xr:uid="{00000000-0002-0000-0F00-00007A000000}">
      <formula1>0</formula1>
      <formula2>10</formula2>
    </dataValidation>
    <dataValidation type="decimal" allowBlank="1" showDropDown="1" showInputMessage="1" showErrorMessage="1" prompt="Enter the ELR50" sqref="W978 W1495" xr:uid="{00000000-0002-0000-0F00-00007C000000}">
      <formula1>0</formula1>
      <formula2>1</formula2>
    </dataValidation>
    <dataValidation type="list" allowBlank="1" showInputMessage="1" showErrorMessage="1" error="Please use the dropdown." sqref="W37" xr:uid="{B1ADB36D-7518-458C-BE36-12D6F1FF481E}">
      <formula1>INDIRECT($U$37)</formula1>
    </dataValidation>
    <dataValidation type="list" allowBlank="1" showInputMessage="1" showErrorMessage="1" error="Please use the dropdown." sqref="W860" xr:uid="{2FF08753-F019-4244-998E-3D0B84FC8348}">
      <formula1>INDIRECT($U$860)</formula1>
    </dataValidation>
    <dataValidation type="list" allowBlank="1" showInputMessage="1" showErrorMessage="1" error="Please use the dropdown." sqref="W864" xr:uid="{879F1525-1ADE-4EB3-890E-00C66368653A}">
      <formula1>INDIRECT($U$864)</formula1>
    </dataValidation>
    <dataValidation type="list" allowBlank="1" showInputMessage="1" showErrorMessage="1" error="Please use the dropdown." sqref="W914" xr:uid="{4071879B-D4E1-488A-8527-60AE93BFFB8B}">
      <formula1>INDIRECT($U$914)</formula1>
    </dataValidation>
    <dataValidation type="list" allowBlank="1" showInputMessage="1" showErrorMessage="1" error="Please use the dropdown." sqref="W917" xr:uid="{0483D202-1E05-45FC-A18D-AE1FE2301643}">
      <formula1>INDIRECT($U$917)</formula1>
    </dataValidation>
    <dataValidation type="list" allowBlank="1" showInputMessage="1" showErrorMessage="1" error="Please use the dropdown." sqref="W1299" xr:uid="{396BA95B-0CBE-48E7-9CC5-C45A54AB9B4E}">
      <formula1>INDIRECT($U$1299)</formula1>
    </dataValidation>
    <dataValidation type="list" allowBlank="1" showInputMessage="1" showErrorMessage="1" error="Please use the dropdown." sqref="W1622" xr:uid="{2589DB5A-C81F-41ED-8747-650C2EF8A698}">
      <formula1>INDIRECT($U$1622)</formula1>
    </dataValidation>
    <dataValidation type="list" allowBlank="1" showInputMessage="1" showErrorMessage="1" error="Please use the dropdown." sqref="W1642" xr:uid="{4D9BFBCE-8491-477C-A850-A5E1346E173B}">
      <formula1>INDIRECT($U$1642)</formula1>
    </dataValidation>
    <dataValidation type="list" allowBlank="1" showInputMessage="1" showErrorMessage="1" error="Please use the dropdown." sqref="W1729" xr:uid="{460107E3-26BB-46E0-96EA-2BB22EBA7DA9}">
      <formula1>INDIRECT($U$1729)</formula1>
    </dataValidation>
    <dataValidation type="list" allowBlank="1" showInputMessage="1" showErrorMessage="1" error="Please use the dropdown." sqref="W1731" xr:uid="{183D8B05-C15D-4428-B0AC-C78105ADDB61}">
      <formula1>INDIRECT($U$1731)</formula1>
    </dataValidation>
    <dataValidation type="list" allowBlank="1" showInputMessage="1" showErrorMessage="1" error="Please use the dropdown." sqref="W1741" xr:uid="{2FC31FDA-3369-48F1-808D-14CF0BBD2B7B}">
      <formula1>INDIRECT($U$1741)</formula1>
    </dataValidation>
    <dataValidation type="list" allowBlank="1" showInputMessage="1" showErrorMessage="1" error="Please use the dropdown." sqref="W1772" xr:uid="{F0065495-061F-4285-924E-9DD1CD277ADD}">
      <formula1>INDIRECT($U$1772)</formula1>
    </dataValidation>
    <dataValidation type="list" allowBlank="1" showInputMessage="1" showErrorMessage="1" error="Please use the dropdown." sqref="W1824" xr:uid="{C4FEF3E1-1311-4267-AC79-4A46DFD24F7C}">
      <formula1>INDIRECT($U$1824)</formula1>
    </dataValidation>
    <dataValidation type="list" allowBlank="1" showInputMessage="1" showErrorMessage="1" error="Please use the dropdown." sqref="W1832" xr:uid="{118162EE-EF2B-4C99-B26C-D96CE7947B47}">
      <formula1>INDIRECT($U$1832)</formula1>
    </dataValidation>
    <dataValidation type="list" allowBlank="1" showInputMessage="1" showErrorMessage="1" error="Please use the dropdown." sqref="W2104" xr:uid="{D1C9CA97-4855-42D1-B637-DC9943DDDA86}">
      <formula1>INDIRECT($U$2104)</formula1>
    </dataValidation>
    <dataValidation type="decimal" allowBlank="1" showDropDown="1" showInputMessage="1" showErrorMessage="1" error="Enter a number" prompt="Enter square feet" sqref="W286" xr:uid="{F8458886-F5D1-4E88-BF9C-5163648566E7}">
      <formula1>0</formula1>
      <formula2>10000</formula2>
    </dataValidation>
    <dataValidation type="whole" allowBlank="1" showDropDown="1" showInputMessage="1" showErrorMessage="1" error="Enter a whole number" prompt="Enter number of kWh" sqref="W1585" xr:uid="{861D8469-52D4-4983-8E16-A23C0F22C4C7}">
      <formula1>0</formula1>
      <formula2>50000</formula2>
    </dataValidation>
    <dataValidation type="whole" allowBlank="1" showDropDown="1" showInputMessage="1" showErrorMessage="1" error="Enter a whole number" prompt="Enter number of meters" sqref="W1693" xr:uid="{55DDC624-A822-4BAE-A171-768E955884DB}">
      <formula1>0</formula1>
      <formula2>10</formula2>
    </dataValidation>
    <dataValidation type="whole" allowBlank="1" showDropDown="1" showInputMessage="1" showErrorMessage="1" error="Enter a whole number" prompt="Enter number of sensor packages" sqref="W1695" xr:uid="{DB6F4C22-1545-43F4-AA0B-20674C7E6178}">
      <formula1>0</formula1>
      <formula2>10</formula2>
    </dataValidation>
    <dataValidation type="whole" allowBlank="1" showDropDown="1" showInputMessage="1" showErrorMessage="1" error="Enter a whole number" prompt="Enter number of meters" sqref="W1702" xr:uid="{E80540BB-49A3-47D8-A5B1-79581F0E3E22}">
      <formula1>0</formula1>
      <formula2>700</formula2>
    </dataValidation>
    <dataValidation type="whole" allowBlank="1" showDropDown="1" showInputMessage="1" showErrorMessage="1" error="Enter a whole number" prompt="Enter number of sensor packages" sqref="W1704" xr:uid="{F5544C8A-D5FF-41C2-9DE4-7D38173A6DF2}">
      <formula1>0</formula1>
      <formula2>700</formula2>
    </dataValidation>
    <dataValidation type="list" allowBlank="1" showInputMessage="1" showErrorMessage="1" error="Please use the dropdown." sqref="W1251" xr:uid="{8E9CA870-C796-4449-92F6-0E9F9E7E9A49}">
      <formula1>INDIRECT($U$1251)</formula1>
    </dataValidation>
    <dataValidation type="list" allowBlank="1" showInputMessage="1" showErrorMessage="1" error="Please use the dropdown." sqref="W1270" xr:uid="{CD168FC3-24E8-4D04-8182-69780B829F23}">
      <formula1>INDIRECT($U$1270)</formula1>
    </dataValidation>
    <dataValidation type="list" allowBlank="1" showInputMessage="1" showErrorMessage="1" error="Please use the dropdown." sqref="W958" xr:uid="{7D00BFC5-6D0C-4349-9FA9-7D995F43C9A1}">
      <formula1>INDIRECT($U$958)</formula1>
    </dataValidation>
    <dataValidation type="list" allowBlank="1" showInputMessage="1" showErrorMessage="1" error="Please use the dropdown." sqref="W959" xr:uid="{7A4C83D0-6248-4BD5-AD67-9825DE086E78}">
      <formula1>INDIRECT($U$959)</formula1>
    </dataValidation>
    <dataValidation type="list" allowBlank="1" showInputMessage="1" showErrorMessage="1" error="Please use the dropdown." sqref="W960" xr:uid="{A6FD961D-603E-4DE1-A125-5D8A9CA8801A}">
      <formula1>INDIRECT($U$960)</formula1>
    </dataValidation>
    <dataValidation type="list" allowBlank="1" showInputMessage="1" showErrorMessage="1" error="Please use the dropdown." sqref="W961" xr:uid="{5818A06B-B437-42C5-955E-54B8CC8BAED0}">
      <formula1>INDIRECT($U$961)</formula1>
    </dataValidation>
    <dataValidation type="list" allowBlank="1" showInputMessage="1" showErrorMessage="1" error="Please use the dropdown." sqref="W962" xr:uid="{BE0FC360-20B4-4ED4-9826-E802FE0BD01B}">
      <formula1>INDIRECT($U$962)</formula1>
    </dataValidation>
    <dataValidation type="list" allowBlank="1" showInputMessage="1" showErrorMessage="1" error="Please use the dropdown." sqref="W963" xr:uid="{F381110C-F629-46E5-ADC1-4CC7C589440A}">
      <formula1>INDIRECT($U$963)</formula1>
    </dataValidation>
    <dataValidation type="list" allowBlank="1" showInputMessage="1" showErrorMessage="1" error="Please use the dropdown." sqref="W964" xr:uid="{A9B7CF64-D594-4A04-8A03-C0DF9735AB8C}">
      <formula1>INDIRECT($U$964)</formula1>
    </dataValidation>
    <dataValidation type="list" allowBlank="1" showInputMessage="1" showErrorMessage="1" error="Please use the dropdown." sqref="W965" xr:uid="{85EB017C-D387-45E0-BD92-ACD418FDDB2C}">
      <formula1>INDIRECT($U$965)</formula1>
    </dataValidation>
    <dataValidation type="list" allowBlank="1" showInputMessage="1" showErrorMessage="1" error="Please use the dropdown." sqref="W966" xr:uid="{8E404B89-05A9-411C-94CA-127E8B8ECC73}">
      <formula1>INDIRECT($U$966)</formula1>
    </dataValidation>
    <dataValidation type="list" allowBlank="1" showInputMessage="1" showErrorMessage="1" error="Please use the dropdown." sqref="W967" xr:uid="{51220F04-F941-4A30-B639-99706E3BAC84}">
      <formula1>INDIRECT($U$967)</formula1>
    </dataValidation>
    <dataValidation type="list" allowBlank="1" showInputMessage="1" showErrorMessage="1" error="Please use the dropdown." sqref="W968" xr:uid="{E699BD4B-BCF6-4D21-A330-6AA716A586E7}">
      <formula1>INDIRECT($U$968)</formula1>
    </dataValidation>
    <dataValidation type="list" allowBlank="1" showInputMessage="1" showErrorMessage="1" error="Please use the dropdown." sqref="W969" xr:uid="{809229D1-B989-4AC1-9F89-C03CBFC7ACA3}">
      <formula1>INDIRECT($U$969)</formula1>
    </dataValidation>
    <dataValidation type="list" allowBlank="1" showInputMessage="1" showErrorMessage="1" error="Please use the dropdown." sqref="W970" xr:uid="{4D2DE1D1-1118-4408-A6B0-4EE14211F17E}">
      <formula1>INDIRECT($U$970)</formula1>
    </dataValidation>
    <dataValidation type="list" allowBlank="1" showInputMessage="1" showErrorMessage="1" error="Please use the dropdown." sqref="W1852" xr:uid="{BA40C508-756F-4495-AE1D-8D7624658656}">
      <formula1>INDIRECT($U$1852)</formula1>
    </dataValidation>
    <dataValidation type="list" allowBlank="1" showInputMessage="1" showErrorMessage="1" error="Please use the dropdown." sqref="W1106" xr:uid="{7CC09B39-1A8D-4ACA-9F0D-72169D26CA93}">
      <formula1>INDIRECT($U$1106)</formula1>
    </dataValidation>
    <dataValidation type="list" allowBlank="1" showInputMessage="1" showErrorMessage="1" error="Please use the dropdown." sqref="W1837" xr:uid="{1C385F51-140D-41F7-8D68-05B0E69F2D8E}">
      <formula1>INDIRECT($U$1837)</formula1>
    </dataValidation>
    <dataValidation type="whole" allowBlank="1" showDropDown="1" showInputMessage="1" showErrorMessage="1" error="Enter a percentage" prompt="Enter a number" sqref="W1417 W1419" xr:uid="{036D906A-FFD0-4A2B-BF65-683A383FB5E6}">
      <formula1>0</formula1>
      <formula2>100</formula2>
    </dataValidation>
    <dataValidation type="list" allowBlank="1" showInputMessage="1" showErrorMessage="1" error="Please use the dropdown." sqref="W884" xr:uid="{1B71306B-6340-4AF7-9396-29AFA2E3E039}">
      <formula1>INDIRECT($U$884)</formula1>
    </dataValidation>
    <dataValidation type="whole" allowBlank="1" showDropDown="1" showInputMessage="1" showErrorMessage="1" error="Enter a whole number" prompt="Enter WRI Score" sqref="W1868" xr:uid="{35567343-E74B-4889-9DCC-EF8549BA920E}">
      <formula1>0</formula1>
      <formula2>100</formula2>
    </dataValidation>
    <dataValidation type="list" allowBlank="1" showInputMessage="1" showErrorMessage="1" error="Please use the dropdown." sqref="W194" xr:uid="{EBCBC0C3-85D2-40CB-8018-E14823C8C705}">
      <formula1>INDIRECT($U$194)</formula1>
    </dataValidation>
    <dataValidation type="decimal" allowBlank="1" showDropDown="1" showInputMessage="1" showErrorMessage="1" error="Enter a number" prompt="Enter Test Results" sqref="W2156" xr:uid="{2BB0F442-7CA0-400C-AEB3-DAB5546D8D2F}">
      <formula1>0</formula1>
      <formula2>10</formula2>
    </dataValidation>
    <dataValidation type="list" allowBlank="1" showInputMessage="1" showErrorMessage="1" error="Please use the dropdown." sqref="W900" xr:uid="{6DE2156F-CB39-46C8-9D43-7EECA72FD7B7}">
      <formula1>INDIRECT($U$900)</formula1>
    </dataValidation>
    <dataValidation type="decimal" allowBlank="1" showDropDown="1" showInputMessage="1" showErrorMessage="1" error="Enter a percentage up to 10" prompt="Enter CFM25/CFA in Percent" sqref="W1086 W1088" xr:uid="{FC43B5E1-A184-4E4A-8646-C452DFDEBB4B}">
      <formula1>0</formula1>
      <formula2>0.1</formula2>
    </dataValidation>
    <dataValidation type="list" allowBlank="1" showInputMessage="1" showErrorMessage="1" error="Please use the dropdown." sqref="W411" xr:uid="{E80400BA-938E-4550-B90C-5B605F64B02A}">
      <formula1>INDIRECT($U$411)</formula1>
    </dataValidation>
    <dataValidation type="list" allowBlank="1" showInputMessage="1" showErrorMessage="1" error="Please use the dropdown." sqref="W1084" xr:uid="{32B0162F-99B1-477F-B734-C3DEBC4EB023}">
      <formula1>INDIRECT($U$1084)</formula1>
    </dataValidation>
    <dataValidation type="list" allowBlank="1" showInputMessage="1" showErrorMessage="1" error="Please use the dropdown." sqref="W275" xr:uid="{E3C9472A-71A2-4206-B369-74A38550D680}">
      <formula1>INDIRECT($U$275)</formula1>
    </dataValidation>
  </dataValidations>
  <hyperlinks>
    <hyperlink ref="L448" location="'Figure 6(3)'!A1" display="See Figure 6(3)" xr:uid="{00000000-0004-0000-0F00-000000000000}"/>
    <hyperlink ref="L440" location="'Figure 6(3)'!A1" display="See Figure 6(3)" xr:uid="{00000000-0004-0000-0F00-000001000000}"/>
    <hyperlink ref="L586" location="'Table 604.1'!A1" display="See Table 604.1" xr:uid="{00000000-0004-0000-0F00-000003000000}"/>
    <hyperlink ref="L993" location="'Table 701.4.3.2(2)'!A1" display="See Table 701.4.3.2(2)" xr:uid="{00000000-0004-0000-0F00-000006000000}"/>
    <hyperlink ref="L1096" location="'Table 703.2.1(a)'!A1" display="See Table 703.2.1(a)" xr:uid="{00000000-0004-0000-0F00-000007000000}"/>
    <hyperlink ref="L1349" location="'Table 703.7.1(7)'!A1" display="See Table 703.7.1(7)" xr:uid="{00000000-0004-0000-0F00-000009000000}"/>
    <hyperlink ref="L1113" location="'Table 703.2.5.1'!A1" display="See Table 703.2.5.1" xr:uid="{00000000-0004-0000-0F00-00000C000000}"/>
    <hyperlink ref="L1661" location="'Table 801.1(1)'!A1" display="See Table 801.1(1)" xr:uid="{00000000-0004-0000-0F00-00000E000000}"/>
    <hyperlink ref="L1662" location="'Table 801.1(2)'!A1" display="See Table 801.1(2)" xr:uid="{00000000-0004-0000-0F00-00000F000000}"/>
    <hyperlink ref="L2000" location="'Table 901.9.1'!A1" display="See Table 901.9.1" xr:uid="{00000000-0004-0000-0F00-000010000000}"/>
    <hyperlink ref="L2005" location="'Table 901.9.2'!A1" display="See Table 901.9.2" xr:uid="{00000000-0004-0000-0F00-000011000000}"/>
    <hyperlink ref="L2024" location="'Table 901.10(3)'!A1" display="See Table 901.10(3)" xr:uid="{00000000-0004-0000-0F00-000012000000}"/>
    <hyperlink ref="L527" location="'Table 602.1.12'!A1" display="See Table 602.1.12" xr:uid="{D9583874-3286-4005-BA13-2F285F6C716F}"/>
    <hyperlink ref="M750:M763" location="'Table 610.1.2.1'!A1" display="per Table 610.1.2.1           10 Max" xr:uid="{0A081033-F871-4E27-9DD3-9EE3797D5747}"/>
    <hyperlink ref="M764:M788" location="'Table 610.1.2.2'!A1" display="'Table 610.1.2.2'!A1" xr:uid="{E0A61856-83E7-463D-96EE-935B60182DD3}"/>
    <hyperlink ref="M1090:M1095" location="'Table 703.2.1(b)'!A1" display="Per Table 703.2.1(b)" xr:uid="{9F0A388B-8CEF-4BEC-A918-13448731B516}"/>
    <hyperlink ref="M1097:M1098" location="'Table 703.2.2'!A1" display="Per Table 703.2.2" xr:uid="{7BB222CC-7157-42AF-B5D6-D4FB58B2D54D}"/>
    <hyperlink ref="M1102:M1104" location="'Table 703.2.4'!A1" display="Per Table 703.2.4" xr:uid="{A9522030-3005-4333-AC3E-36BC31828F9F}"/>
    <hyperlink ref="M1122:M1126" location="'Tables 703.2.5.2(a), (b) &amp; (c)'!A1" display="'Tables 703.2.5.2(a), (b) &amp; (c)'!A1" xr:uid="{099EE965-AB93-435F-9892-A88422E2B417}"/>
  </hyperlinks>
  <pageMargins left="0.7" right="0.7" top="0.75" bottom="0.75" header="0.3" footer="0.3"/>
  <pageSetup scale="43" fitToHeight="0" orientation="portrait" r:id="rId1"/>
  <rowBreaks count="5" manualBreakCount="5">
    <brk id="326" max="16383" man="1"/>
    <brk id="878" max="16383" man="1"/>
    <brk id="1637" max="16383" man="1"/>
    <brk id="1874" max="16383" man="1"/>
    <brk id="2251" max="16383" man="1"/>
  </rowBreaks>
  <ignoredErrors>
    <ignoredError sqref="AQ2258:AQ2260 AQ2273:AQ2275 AQ2281 AQ2285 AQ2287 AQ2289:AQ2290 AQ2292 AQ2294:AQ2295 AQ2297 AQ2299 AQ2301:AQ2303 AQ2264:AQ2266 AQ2268 AQ2270:AQ2271 AQ2325 AQ2328 AQ2331 AQ2333:AQ2334 AQ2336:AQ2338 AQ2344 AQ2361:AQ2362 AQ2365 AQ2346 AQ2349 AQ2351 AQ2354 AQ2356:AQ2357 AQ2359 AQ2371 AQ2392:AQ2393 AQ2373 AQ2377 AQ2384 AQ2386:AQ2387 AQ2389:AQ2391 AQ2395 AQ2410:AQ2412 AQ2414:AQ2419 AQ2424:AQ2430 AQ2436 AQ2438 AQ2441 AQ2454 AQ2456 AQ2460 AQ2463 AQ14 AQ16:AQ18 AQ21 AQ23 AQ25 AQ27 AQ37 AQ42 AQ45 AQ50 AQ52 AQ55 AQ58 AQ69 AQ71 AQ73 AQ75 AQ77 AQ79 AQ81 AQ83 AQ89:AQ91 AQ93 AQ98 AQ100 AQ104 AQ108:AQ109 AQ111:AQ113 AQ121 AQ124 AQ128 AQ135 AQ140 AQ142 AQ147 AQ149 AQ178 AQ181 AQ183 AQ185 AQ155 AQ157 AQ160 AQ162 AQ165 AQ170:AQ171 AQ176 AQ189:AQ191 AQ193 AQ201 AQ208 AQ215:AQ216 AQ218 AQ223 AQ225:AQ226 AQ228 AQ230 AQ234 AQ237 AQ239:AQ244 AQ246 AQ253 AQ255 AQ257 AQ321 AQ323 AQ325 AQ264 AQ267 AQ271:AQ272 AQ276 AQ282 AQ286 AQ288 AQ291:AQ292 AQ294 AQ305 AQ309 AQ312 AQ315:AQ316 AQ349 AQ352 AQ355 AQ359:AQ364 AQ370:AQ374 AQ383:AQ385 AQ389 AQ391 AQ398 AQ411 AQ414 AQ511 AQ523 AQ525 AQ528 AQ534 AQ536:AQ538 AQ418:AQ419 AQ421 AQ423 AQ429 AQ431 AQ435 AQ437 AQ440:AQ441 AQ443 AQ449 AQ453 AQ457 AQ462 AQ464 AQ467 AQ469 AQ471 AQ475 AQ483 AQ493 AQ496:AQ497 AQ501 AQ507 AQ509 AQ545 AQ547:AQ548 AQ551 AQ555 AQ560 AQ562 AQ566 AQ572 AQ579 AQ584 AQ586 AQ588 AQ590 AQ593 AQ596 AQ609 AQ611 AQ624:AQ632 AQ637:AQ644 AQ668:AQ669 AQ671:AQ672 AQ674 AQ683 AQ688 AQ694 AQ697 AQ708 AQ710 AQ727 AQ736 AQ744 AQ752 AQ759 AQ784 AQ765 AQ772 AQ778 AQ796 AQ807 AQ813 AQ824:AQ825 AQ827 AQ829 AQ831 AQ833 AQ835 AQ839 AQ844 AQ848 AQ850 AQ852:AQ854 AQ858 AQ860 AQ864 AQ882 AQ898 AQ911:AQ912 AQ914:AQ915 AQ917 AQ920:AQ922 AQ924:AQ927 AQ929 AQ933 AQ947 AQ938 AQ941 AQ950:AQ951 AQ955 AQ958:AQ970 AQ994 AQ975 AQ991 AQ978 AQ1020 AQ1030 AQ1040 AQ1042:AQ1043 AQ1049 AQ1055 AQ1066 AQ1081 AQ1084 AQ1090 AQ1092 AQ1098:AQ1099 AQ1106 AQ1114 AQ1122 AQ1130 AQ1141 AQ1148 AQ1154 AQ1161 AQ1167 AQ1170 AQ1175 AQ1181 AQ1186 AQ1188 AQ1193 AQ1198 AQ1200:AQ1201 AQ1206 AQ1211 AQ1213 AQ1218 AQ1224 AQ1226 AQ1229:AQ1230 AQ1232 AQ1234 AQ1245 AQ1251 AQ1253 AQ1270 AQ1272 AQ1292:AQ1293 AQ1295 AQ1297 AQ1299 AQ1301 AQ1318 AQ1320 AQ1322 AQ1325:AQ1327 AQ1330 AQ1357 AQ1365 AQ1367:AQ1369 AQ1371 AQ1374 AQ1376 AQ1381 AQ1383 AQ1385 AQ1387 AQ1427 AQ1431 AQ1434 AQ1438 AQ1443 AQ1448 AQ1451 AQ1454 AQ1456:AQ1457 AQ1462 AQ1465 AQ1467 AQ1493 AQ1495:AQ1496 AQ1502 AQ1504 AQ1507 AQ1513 AQ1515 AQ1525 AQ1527 AQ1529 AQ1536:AQ1539 AQ1541 AQ1611 AQ1616 AQ1618 AQ1622 AQ1627 AQ1631 AQ1636:AQ1637 AQ1544 AQ1549 AQ1564:AQ1571 AQ1574 AQ1576 AQ1578 AQ1581 AQ1583 AQ1585 AQ1595 AQ1599:AQ1600 AQ1603 AQ1606 AQ1642 AQ1650 AQ1679 AQ1840 AQ1684:AQ1685 AQ1693 AQ1695 AQ1702 AQ1704 AQ1709 AQ1721 AQ1726 AQ1729 AQ1731 AQ1741 AQ1746 AQ1753 AQ1760 AQ1763 AQ1767 AQ1769 AQ1772 AQ1774 AQ1778:AQ1780 AQ1785 AQ1787 AQ1793 AQ1795 AQ1797:AQ1798 AQ1800 AQ1804 AQ1818 AQ1820:AQ1821 AQ1824 AQ1832 AQ1846 AQ1848 AQ1850 AQ1852 AQ1857 AQ1860 AQ1862 AQ1878 AQ1884 AQ1889 AQ1892 AQ1895 AQ1900 AQ1903 AQ2015 AQ2020:AQ2021 AQ2025 AQ2030 AQ2034 AQ2038:AQ2039 AQ2042 AQ2044 AQ1909 AQ1912 AQ1914 AQ1917 AQ1919 AQ1921 AQ1924 AQ1926 AQ1928 AQ1934 AQ1938 AQ1943:AQ1946 AQ1957 AQ1959 AQ1962 AQ1971 AQ1981:AQ1982 AQ1985 AQ1996 AQ1998:AQ1999 AQ2001 AQ2006 AQ2050 AQ2052 AQ2054 AQ2060 AQ2062:AQ2063 AQ2056 AQ2069 AQ2071 AQ2074 AQ2076 AQ2078 AQ2081 AQ2085 AQ2096 AQ2098 AQ2101 AQ2104 AQ2152 AQ2154 AQ2180 AQ2182 AQ2185 AQ2188 AQ2190 AQ2194 AQ2198 AQ2204:AQ2205 AQ2210 AQ2215 AQ2220 AQ2228 AQ2232 AQ2237 AQ2240:AQ2241 AQ2243 AQ2248 AS2258:AS2260 AS2273:AS2275 AS2281 AS2285 AS2287 AS2289:AS2290 AS2292 AS2294:AS2295 AS2297 AS2299 AS2301:AS2303 AS2264:AS2266 AS2268 AS2270:AS2271 AS2325 AS2328 AS2331 AS2333:AS2334 AS2336:AS2338 AS2344 AS2361:AS2362 AS2365 AS2346 AS2349 AS2351 AS2354 AS2356:AS2357 AS2359 AS2371 AS2392:AS2393 AS2373 AS2377 AS2384 AS2386:AS2387 AS2389:AS2391 AS2395 AS2410:AS2412 AS2414:AS2419 AS2424:AS2430 AS2436 AS2438 AS2441 AS2454 AS2456 AS2460 AS2463 AS13 AS19 AS21 AS23 AS25 AS27 AS37 AS42 AS45 AS50 AS52 AS55 AS58 AS63 AS68 AS88 AS101 AS114 AS121 AS124 AS128 AS135 AS140 AS142 AS145 AS149 AS178 AS181 AS183 AS185 AS155 AS157 AS160 AS162 AS165 AS170:AS171 AS176 AS187 AS194 AS200 AS208 AS213 AS220 AS223 AS225:AS226 AS228 AS230 AS234 AS237:AS238 AS246 AS253 AS255 AS257 AS321 AS323 AS325 AS262 AS272 AS275 AS282 AS286 AS288 AS291:AS293 AS305 AS309 AS312 AS315:AS316 AS331 AS349 AS352 AS355 AS359:AS364 AS370:AS375 AS380 AS398 AS411 AS414 AS511 AS523 AS525 AS528 AS534 AS536:AS538 AS416 AS421 AS423 AS429 AS431 AS435 AS437 AS440 AS449 AS462 AS464 AS467 AS469 AS471 AS475 AS483 AS493 AS496:AS497 AS501 AS507 AS509 AS545 AS547:AS548 AS551 AS555 AS560 AS562 AS566 AS572 AS579 AS583 AS585 AS587 AS589 AS593 AS596 AS611 AS624 AS631:AS632 AS637 AS668:AS669 AS671:AS672 AS674 AS683 AS688 AS694 AS697 AS708 AS710 AS718 AS727 AS736 AS744 AS750 AS757 AS783 AS764 AS771 AS777 AS795 AS805 AS813 AS824:AS825 AS827 AS829 AS831 AS833 AS835 AS839 AS844 AS848 AS850 AS852:AS854 AS858 AS860 AS864 AS887 AS890 AS894 AS897 AS911:AS912 AS914:AS915 AS917 AS920:AS922 AS924:AS927 AS929 AS933 AS947 AS938 AS941 AS950:AS951 AS954 AS958:AS970 AS975 AS998:AS999 AS1003 AS1005 AS1008 AS1010:AS1012 AS1015 AS980:AS981 AS983:AS984 AS986:AS989 AS991 AS978 AS1017 AS1020 AS1030 AS1040 AS1042:AS1043 AS1049 AS1053 AS1059 AS1062 AS1066 AS1081 AS1084 AS1090 AS1097 AS1099 AS1102 AS1106 AS1114 AS1122 AS1130 AS1140 AS1147 AS1154 AS1160 AS1166 AS1169 AS1174 AS1180 AS1186 AS1188 AS1192 AS1198 AS1200:AS1201 AS1205 AS1211 AS1218 AS1224 AS1226 AS1229:AS1230 AS1232 AS1234 AS1244 AS1293 AS1295 AS1297:AS1298 AS1318 AS1320 AS1322 AS1325:AS1327 AS1332 AS1334 AS1336 AS1338 AS1340 AS1343:AS1345 AS1347 AS1350:AS1352 AS1357 AS1365 AS1367:AS1369 AS1371 AS1374 AS1376 AS1381 AS1383 AS1385 AS1390 AS1394 AS1397 AS1405 AS1408 AS1411 AS1427 AS1431 AS1434 AS1438 AS1443 AS1448 AS1451 AS1453 AS1456:AS1457 AS1462 AS1465 AS1467 AS1469:AS1474 AS1476 AS1478 AS1480 AS1493 AS1496 AS1502 AS1504 AS1507 AS1516:AS1522 AS1525 AS1527 AS1529 AS1536:AS1539 AS1541 AS1611 AS1616 AS1618 AS1622 AS1627 AS1631 AS1636:AS1637 AS1544 AS1549 AS1556 AS1564:AS1571 AS1574 AS1576 AS1578 AS1580 AS1595 AS1599:AS1600 AS1603 AS1606 AS1642 AS1663 AS1674 AS1679 AS1840 AS1684:AS1685 AS1693 AS1695 AS1702 AS1704 AS1709 AS1721 AS1726 AS1729 AS1741 AS1746 AS1751 AS1753 AS1760 AS1763 AS1767 AS1769 AS1772 AS1774 AS1778:AS1780 AS1785 AS1787 AS1793 AS1795 AS1797:AS1798 AS1800 AS1804 AS1818 AS1820:AS1821 AS1824 AS1832 AS1846 AS1848:AS1849 AS1852 AS1857 AS1860 AS1862 AS1878 AS1884 AS1889 AS1892 AS1895 AS1900 AS1903 AS2015 AS2020:AS2021 AS2025 AS2030 AS2034 AS2036 AS2042 AS2044 AS1909 AS1912 AS1914 AS1917 AS1919 AS1921 AS1924 AS1926 AS1928 AS1934 AS1938 AS1943 AS1957 AS1959 AS1962 AS1971 AS1981 AS1985 AS1991 AS1996 AS1998:AS1999 AS2001 AS2006 AS2050 AS2052 AS2054 AS2059 AS2056 AS2063 AS2067 AS2074 AS2076 AS2078 AS2081 AS2085 AS2096 AS2098 AS2101 AS2104 AS2113 AS2154 AS2176 AS2180 AS2182 AS2185 AS2188 AS2190 AS2194 AS2198 AS2202 AS2210 AS2215 AS2220 AS2228 AS2232 AS2237 AS2240:AS2241 AS2243 AS2248"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5560" r:id="rId4" name="Check Box 200">
              <controlPr locked="0" defaultSize="0" autoFill="0" autoLine="0" autoPict="0">
                <anchor moveWithCells="1" sizeWithCells="1">
                  <from>
                    <xdr:col>22</xdr:col>
                    <xdr:colOff>0</xdr:colOff>
                    <xdr:row>13</xdr:row>
                    <xdr:rowOff>0</xdr:rowOff>
                  </from>
                  <to>
                    <xdr:col>22</xdr:col>
                    <xdr:colOff>184150</xdr:colOff>
                    <xdr:row>13</xdr:row>
                    <xdr:rowOff>184150</xdr:rowOff>
                  </to>
                </anchor>
              </controlPr>
            </control>
          </mc:Choice>
        </mc:AlternateContent>
        <mc:AlternateContent xmlns:mc="http://schemas.openxmlformats.org/markup-compatibility/2006">
          <mc:Choice Requires="x14">
            <control shapeId="15561" r:id="rId5" name="Check Box 201">
              <controlPr locked="0" defaultSize="0" autoFill="0" autoLine="0" autoPict="0">
                <anchor moveWithCells="1" sizeWithCells="1">
                  <from>
                    <xdr:col>22</xdr:col>
                    <xdr:colOff>0</xdr:colOff>
                    <xdr:row>15</xdr:row>
                    <xdr:rowOff>0</xdr:rowOff>
                  </from>
                  <to>
                    <xdr:col>22</xdr:col>
                    <xdr:colOff>184150</xdr:colOff>
                    <xdr:row>15</xdr:row>
                    <xdr:rowOff>184150</xdr:rowOff>
                  </to>
                </anchor>
              </controlPr>
            </control>
          </mc:Choice>
        </mc:AlternateContent>
        <mc:AlternateContent xmlns:mc="http://schemas.openxmlformats.org/markup-compatibility/2006">
          <mc:Choice Requires="x14">
            <control shapeId="15562" r:id="rId6" name="Check Box 202">
              <controlPr locked="0" defaultSize="0" autoFill="0" autoLine="0" autoPict="0">
                <anchor moveWithCells="1" sizeWithCells="1">
                  <from>
                    <xdr:col>22</xdr:col>
                    <xdr:colOff>0</xdr:colOff>
                    <xdr:row>16</xdr:row>
                    <xdr:rowOff>0</xdr:rowOff>
                  </from>
                  <to>
                    <xdr:col>22</xdr:col>
                    <xdr:colOff>184150</xdr:colOff>
                    <xdr:row>16</xdr:row>
                    <xdr:rowOff>184150</xdr:rowOff>
                  </to>
                </anchor>
              </controlPr>
            </control>
          </mc:Choice>
        </mc:AlternateContent>
        <mc:AlternateContent xmlns:mc="http://schemas.openxmlformats.org/markup-compatibility/2006">
          <mc:Choice Requires="x14">
            <control shapeId="15563" r:id="rId7" name="Check Box 203">
              <controlPr locked="0" defaultSize="0" autoFill="0" autoLine="0" autoPict="0">
                <anchor moveWithCells="1" sizeWithCells="1">
                  <from>
                    <xdr:col>22</xdr:col>
                    <xdr:colOff>0</xdr:colOff>
                    <xdr:row>17</xdr:row>
                    <xdr:rowOff>0</xdr:rowOff>
                  </from>
                  <to>
                    <xdr:col>22</xdr:col>
                    <xdr:colOff>184150</xdr:colOff>
                    <xdr:row>17</xdr:row>
                    <xdr:rowOff>184150</xdr:rowOff>
                  </to>
                </anchor>
              </controlPr>
            </control>
          </mc:Choice>
        </mc:AlternateContent>
        <mc:AlternateContent xmlns:mc="http://schemas.openxmlformats.org/markup-compatibility/2006">
          <mc:Choice Requires="x14">
            <control shapeId="15564" r:id="rId8" name="Check Box 204">
              <controlPr locked="0" defaultSize="0" autoFill="0" autoLine="0" autoPict="0">
                <anchor moveWithCells="1" sizeWithCells="1">
                  <from>
                    <xdr:col>22</xdr:col>
                    <xdr:colOff>0</xdr:colOff>
                    <xdr:row>20</xdr:row>
                    <xdr:rowOff>0</xdr:rowOff>
                  </from>
                  <to>
                    <xdr:col>22</xdr:col>
                    <xdr:colOff>184150</xdr:colOff>
                    <xdr:row>20</xdr:row>
                    <xdr:rowOff>184150</xdr:rowOff>
                  </to>
                </anchor>
              </controlPr>
            </control>
          </mc:Choice>
        </mc:AlternateContent>
        <mc:AlternateContent xmlns:mc="http://schemas.openxmlformats.org/markup-compatibility/2006">
          <mc:Choice Requires="x14">
            <control shapeId="15565" r:id="rId9" name="Check Box 205">
              <controlPr locked="0" defaultSize="0" autoFill="0" autoLine="0" autoPict="0">
                <anchor moveWithCells="1" sizeWithCells="1">
                  <from>
                    <xdr:col>22</xdr:col>
                    <xdr:colOff>0</xdr:colOff>
                    <xdr:row>22</xdr:row>
                    <xdr:rowOff>0</xdr:rowOff>
                  </from>
                  <to>
                    <xdr:col>22</xdr:col>
                    <xdr:colOff>184150</xdr:colOff>
                    <xdr:row>22</xdr:row>
                    <xdr:rowOff>184150</xdr:rowOff>
                  </to>
                </anchor>
              </controlPr>
            </control>
          </mc:Choice>
        </mc:AlternateContent>
        <mc:AlternateContent xmlns:mc="http://schemas.openxmlformats.org/markup-compatibility/2006">
          <mc:Choice Requires="x14">
            <control shapeId="15566" r:id="rId10" name="Check Box 206">
              <controlPr locked="0" defaultSize="0" autoFill="0" autoLine="0" autoPict="0">
                <anchor moveWithCells="1" sizeWithCells="1">
                  <from>
                    <xdr:col>22</xdr:col>
                    <xdr:colOff>0</xdr:colOff>
                    <xdr:row>24</xdr:row>
                    <xdr:rowOff>0</xdr:rowOff>
                  </from>
                  <to>
                    <xdr:col>22</xdr:col>
                    <xdr:colOff>184150</xdr:colOff>
                    <xdr:row>24</xdr:row>
                    <xdr:rowOff>184150</xdr:rowOff>
                  </to>
                </anchor>
              </controlPr>
            </control>
          </mc:Choice>
        </mc:AlternateContent>
        <mc:AlternateContent xmlns:mc="http://schemas.openxmlformats.org/markup-compatibility/2006">
          <mc:Choice Requires="x14">
            <control shapeId="15567" r:id="rId11" name="Check Box 207">
              <controlPr locked="0" defaultSize="0" autoFill="0" autoLine="0" autoPict="0">
                <anchor moveWithCells="1" sizeWithCells="1">
                  <from>
                    <xdr:col>22</xdr:col>
                    <xdr:colOff>0</xdr:colOff>
                    <xdr:row>26</xdr:row>
                    <xdr:rowOff>0</xdr:rowOff>
                  </from>
                  <to>
                    <xdr:col>22</xdr:col>
                    <xdr:colOff>184150</xdr:colOff>
                    <xdr:row>26</xdr:row>
                    <xdr:rowOff>184150</xdr:rowOff>
                  </to>
                </anchor>
              </controlPr>
            </control>
          </mc:Choice>
        </mc:AlternateContent>
        <mc:AlternateContent xmlns:mc="http://schemas.openxmlformats.org/markup-compatibility/2006">
          <mc:Choice Requires="x14">
            <control shapeId="15568" r:id="rId12" name="Check Box 208">
              <controlPr locked="0" defaultSize="0" autoFill="0" autoLine="0" autoPict="0">
                <anchor moveWithCells="1" sizeWithCells="1">
                  <from>
                    <xdr:col>22</xdr:col>
                    <xdr:colOff>0</xdr:colOff>
                    <xdr:row>41</xdr:row>
                    <xdr:rowOff>0</xdr:rowOff>
                  </from>
                  <to>
                    <xdr:col>22</xdr:col>
                    <xdr:colOff>184150</xdr:colOff>
                    <xdr:row>41</xdr:row>
                    <xdr:rowOff>184150</xdr:rowOff>
                  </to>
                </anchor>
              </controlPr>
            </control>
          </mc:Choice>
        </mc:AlternateContent>
        <mc:AlternateContent xmlns:mc="http://schemas.openxmlformats.org/markup-compatibility/2006">
          <mc:Choice Requires="x14">
            <control shapeId="15569" r:id="rId13" name="Check Box 209">
              <controlPr locked="0" defaultSize="0" autoFill="0" autoLine="0" autoPict="0">
                <anchor moveWithCells="1" sizeWithCells="1">
                  <from>
                    <xdr:col>22</xdr:col>
                    <xdr:colOff>0</xdr:colOff>
                    <xdr:row>57</xdr:row>
                    <xdr:rowOff>0</xdr:rowOff>
                  </from>
                  <to>
                    <xdr:col>22</xdr:col>
                    <xdr:colOff>184150</xdr:colOff>
                    <xdr:row>57</xdr:row>
                    <xdr:rowOff>184150</xdr:rowOff>
                  </to>
                </anchor>
              </controlPr>
            </control>
          </mc:Choice>
        </mc:AlternateContent>
        <mc:AlternateContent xmlns:mc="http://schemas.openxmlformats.org/markup-compatibility/2006">
          <mc:Choice Requires="x14">
            <control shapeId="15570" r:id="rId14" name="Check Box 210">
              <controlPr locked="0" defaultSize="0" autoFill="0" autoLine="0" autoPict="0">
                <anchor moveWithCells="1" sizeWithCells="1">
                  <from>
                    <xdr:col>22</xdr:col>
                    <xdr:colOff>0</xdr:colOff>
                    <xdr:row>68</xdr:row>
                    <xdr:rowOff>0</xdr:rowOff>
                  </from>
                  <to>
                    <xdr:col>22</xdr:col>
                    <xdr:colOff>184150</xdr:colOff>
                    <xdr:row>68</xdr:row>
                    <xdr:rowOff>184150</xdr:rowOff>
                  </to>
                </anchor>
              </controlPr>
            </control>
          </mc:Choice>
        </mc:AlternateContent>
        <mc:AlternateContent xmlns:mc="http://schemas.openxmlformats.org/markup-compatibility/2006">
          <mc:Choice Requires="x14">
            <control shapeId="15571" r:id="rId15" name="Check Box 211">
              <controlPr locked="0" defaultSize="0" autoFill="0" autoLine="0" autoPict="0">
                <anchor moveWithCells="1" sizeWithCells="1">
                  <from>
                    <xdr:col>22</xdr:col>
                    <xdr:colOff>0</xdr:colOff>
                    <xdr:row>70</xdr:row>
                    <xdr:rowOff>0</xdr:rowOff>
                  </from>
                  <to>
                    <xdr:col>22</xdr:col>
                    <xdr:colOff>184150</xdr:colOff>
                    <xdr:row>70</xdr:row>
                    <xdr:rowOff>184150</xdr:rowOff>
                  </to>
                </anchor>
              </controlPr>
            </control>
          </mc:Choice>
        </mc:AlternateContent>
        <mc:AlternateContent xmlns:mc="http://schemas.openxmlformats.org/markup-compatibility/2006">
          <mc:Choice Requires="x14">
            <control shapeId="15572" r:id="rId16" name="Check Box 212">
              <controlPr locked="0" defaultSize="0" autoFill="0" autoLine="0" autoPict="0">
                <anchor moveWithCells="1" sizeWithCells="1">
                  <from>
                    <xdr:col>22</xdr:col>
                    <xdr:colOff>0</xdr:colOff>
                    <xdr:row>72</xdr:row>
                    <xdr:rowOff>0</xdr:rowOff>
                  </from>
                  <to>
                    <xdr:col>22</xdr:col>
                    <xdr:colOff>184150</xdr:colOff>
                    <xdr:row>72</xdr:row>
                    <xdr:rowOff>184150</xdr:rowOff>
                  </to>
                </anchor>
              </controlPr>
            </control>
          </mc:Choice>
        </mc:AlternateContent>
        <mc:AlternateContent xmlns:mc="http://schemas.openxmlformats.org/markup-compatibility/2006">
          <mc:Choice Requires="x14">
            <control shapeId="15573" r:id="rId17" name="Check Box 213">
              <controlPr locked="0" defaultSize="0" autoFill="0" autoLine="0" autoPict="0">
                <anchor moveWithCells="1" sizeWithCells="1">
                  <from>
                    <xdr:col>22</xdr:col>
                    <xdr:colOff>0</xdr:colOff>
                    <xdr:row>74</xdr:row>
                    <xdr:rowOff>0</xdr:rowOff>
                  </from>
                  <to>
                    <xdr:col>22</xdr:col>
                    <xdr:colOff>184150</xdr:colOff>
                    <xdr:row>74</xdr:row>
                    <xdr:rowOff>184150</xdr:rowOff>
                  </to>
                </anchor>
              </controlPr>
            </control>
          </mc:Choice>
        </mc:AlternateContent>
        <mc:AlternateContent xmlns:mc="http://schemas.openxmlformats.org/markup-compatibility/2006">
          <mc:Choice Requires="x14">
            <control shapeId="15574" r:id="rId18" name="Check Box 214">
              <controlPr locked="0" defaultSize="0" autoFill="0" autoLine="0" autoPict="0">
                <anchor moveWithCells="1" sizeWithCells="1">
                  <from>
                    <xdr:col>22</xdr:col>
                    <xdr:colOff>0</xdr:colOff>
                    <xdr:row>76</xdr:row>
                    <xdr:rowOff>0</xdr:rowOff>
                  </from>
                  <to>
                    <xdr:col>22</xdr:col>
                    <xdr:colOff>184150</xdr:colOff>
                    <xdr:row>76</xdr:row>
                    <xdr:rowOff>184150</xdr:rowOff>
                  </to>
                </anchor>
              </controlPr>
            </control>
          </mc:Choice>
        </mc:AlternateContent>
        <mc:AlternateContent xmlns:mc="http://schemas.openxmlformats.org/markup-compatibility/2006">
          <mc:Choice Requires="x14">
            <control shapeId="15575" r:id="rId19" name="Check Box 215">
              <controlPr locked="0" defaultSize="0" autoFill="0" autoLine="0" autoPict="0">
                <anchor moveWithCells="1" sizeWithCells="1">
                  <from>
                    <xdr:col>22</xdr:col>
                    <xdr:colOff>0</xdr:colOff>
                    <xdr:row>78</xdr:row>
                    <xdr:rowOff>0</xdr:rowOff>
                  </from>
                  <to>
                    <xdr:col>22</xdr:col>
                    <xdr:colOff>184150</xdr:colOff>
                    <xdr:row>78</xdr:row>
                    <xdr:rowOff>184150</xdr:rowOff>
                  </to>
                </anchor>
              </controlPr>
            </control>
          </mc:Choice>
        </mc:AlternateContent>
        <mc:AlternateContent xmlns:mc="http://schemas.openxmlformats.org/markup-compatibility/2006">
          <mc:Choice Requires="x14">
            <control shapeId="15576" r:id="rId20" name="Check Box 216">
              <controlPr locked="0" defaultSize="0" autoFill="0" autoLine="0" autoPict="0">
                <anchor moveWithCells="1" sizeWithCells="1">
                  <from>
                    <xdr:col>22</xdr:col>
                    <xdr:colOff>0</xdr:colOff>
                    <xdr:row>80</xdr:row>
                    <xdr:rowOff>0</xdr:rowOff>
                  </from>
                  <to>
                    <xdr:col>22</xdr:col>
                    <xdr:colOff>184150</xdr:colOff>
                    <xdr:row>80</xdr:row>
                    <xdr:rowOff>184150</xdr:rowOff>
                  </to>
                </anchor>
              </controlPr>
            </control>
          </mc:Choice>
        </mc:AlternateContent>
        <mc:AlternateContent xmlns:mc="http://schemas.openxmlformats.org/markup-compatibility/2006">
          <mc:Choice Requires="x14">
            <control shapeId="15577" r:id="rId21" name="Check Box 217">
              <controlPr locked="0" defaultSize="0" autoFill="0" autoLine="0" autoPict="0">
                <anchor moveWithCells="1" sizeWithCells="1">
                  <from>
                    <xdr:col>22</xdr:col>
                    <xdr:colOff>0</xdr:colOff>
                    <xdr:row>89</xdr:row>
                    <xdr:rowOff>0</xdr:rowOff>
                  </from>
                  <to>
                    <xdr:col>22</xdr:col>
                    <xdr:colOff>184150</xdr:colOff>
                    <xdr:row>89</xdr:row>
                    <xdr:rowOff>184150</xdr:rowOff>
                  </to>
                </anchor>
              </controlPr>
            </control>
          </mc:Choice>
        </mc:AlternateContent>
        <mc:AlternateContent xmlns:mc="http://schemas.openxmlformats.org/markup-compatibility/2006">
          <mc:Choice Requires="x14">
            <control shapeId="15578" r:id="rId22" name="Check Box 218">
              <controlPr locked="0" defaultSize="0" autoFill="0" autoLine="0" autoPict="0">
                <anchor moveWithCells="1" sizeWithCells="1">
                  <from>
                    <xdr:col>22</xdr:col>
                    <xdr:colOff>0</xdr:colOff>
                    <xdr:row>90</xdr:row>
                    <xdr:rowOff>0</xdr:rowOff>
                  </from>
                  <to>
                    <xdr:col>22</xdr:col>
                    <xdr:colOff>184150</xdr:colOff>
                    <xdr:row>90</xdr:row>
                    <xdr:rowOff>184150</xdr:rowOff>
                  </to>
                </anchor>
              </controlPr>
            </control>
          </mc:Choice>
        </mc:AlternateContent>
        <mc:AlternateContent xmlns:mc="http://schemas.openxmlformats.org/markup-compatibility/2006">
          <mc:Choice Requires="x14">
            <control shapeId="15579" r:id="rId23" name="Check Box 219">
              <controlPr locked="0" defaultSize="0" autoFill="0" autoLine="0" autoPict="0">
                <anchor moveWithCells="1" sizeWithCells="1">
                  <from>
                    <xdr:col>22</xdr:col>
                    <xdr:colOff>0</xdr:colOff>
                    <xdr:row>97</xdr:row>
                    <xdr:rowOff>0</xdr:rowOff>
                  </from>
                  <to>
                    <xdr:col>22</xdr:col>
                    <xdr:colOff>184150</xdr:colOff>
                    <xdr:row>97</xdr:row>
                    <xdr:rowOff>184150</xdr:rowOff>
                  </to>
                </anchor>
              </controlPr>
            </control>
          </mc:Choice>
        </mc:AlternateContent>
        <mc:AlternateContent xmlns:mc="http://schemas.openxmlformats.org/markup-compatibility/2006">
          <mc:Choice Requires="x14">
            <control shapeId="15580" r:id="rId24" name="Check Box 220">
              <controlPr locked="0" defaultSize="0" autoFill="0" autoLine="0" autoPict="0">
                <anchor moveWithCells="1" sizeWithCells="1">
                  <from>
                    <xdr:col>22</xdr:col>
                    <xdr:colOff>0</xdr:colOff>
                    <xdr:row>99</xdr:row>
                    <xdr:rowOff>0</xdr:rowOff>
                  </from>
                  <to>
                    <xdr:col>22</xdr:col>
                    <xdr:colOff>184150</xdr:colOff>
                    <xdr:row>99</xdr:row>
                    <xdr:rowOff>184150</xdr:rowOff>
                  </to>
                </anchor>
              </controlPr>
            </control>
          </mc:Choice>
        </mc:AlternateContent>
        <mc:AlternateContent xmlns:mc="http://schemas.openxmlformats.org/markup-compatibility/2006">
          <mc:Choice Requires="x14">
            <control shapeId="15581" r:id="rId25" name="Check Box 221">
              <controlPr locked="0" defaultSize="0" autoFill="0" autoLine="0" autoPict="0">
                <anchor moveWithCells="1" sizeWithCells="1">
                  <from>
                    <xdr:col>22</xdr:col>
                    <xdr:colOff>0</xdr:colOff>
                    <xdr:row>103</xdr:row>
                    <xdr:rowOff>0</xdr:rowOff>
                  </from>
                  <to>
                    <xdr:col>22</xdr:col>
                    <xdr:colOff>184150</xdr:colOff>
                    <xdr:row>103</xdr:row>
                    <xdr:rowOff>184150</xdr:rowOff>
                  </to>
                </anchor>
              </controlPr>
            </control>
          </mc:Choice>
        </mc:AlternateContent>
        <mc:AlternateContent xmlns:mc="http://schemas.openxmlformats.org/markup-compatibility/2006">
          <mc:Choice Requires="x14">
            <control shapeId="15582" r:id="rId26" name="Check Box 222">
              <controlPr locked="0" defaultSize="0" autoFill="0" autoLine="0" autoPict="0">
                <anchor moveWithCells="1" sizeWithCells="1">
                  <from>
                    <xdr:col>22</xdr:col>
                    <xdr:colOff>0</xdr:colOff>
                    <xdr:row>107</xdr:row>
                    <xdr:rowOff>0</xdr:rowOff>
                  </from>
                  <to>
                    <xdr:col>22</xdr:col>
                    <xdr:colOff>184150</xdr:colOff>
                    <xdr:row>107</xdr:row>
                    <xdr:rowOff>184150</xdr:rowOff>
                  </to>
                </anchor>
              </controlPr>
            </control>
          </mc:Choice>
        </mc:AlternateContent>
        <mc:AlternateContent xmlns:mc="http://schemas.openxmlformats.org/markup-compatibility/2006">
          <mc:Choice Requires="x14">
            <control shapeId="15583" r:id="rId27" name="Check Box 223">
              <controlPr locked="0" defaultSize="0" autoFill="0" autoLine="0" autoPict="0">
                <anchor moveWithCells="1" sizeWithCells="1">
                  <from>
                    <xdr:col>22</xdr:col>
                    <xdr:colOff>0</xdr:colOff>
                    <xdr:row>108</xdr:row>
                    <xdr:rowOff>0</xdr:rowOff>
                  </from>
                  <to>
                    <xdr:col>22</xdr:col>
                    <xdr:colOff>184150</xdr:colOff>
                    <xdr:row>108</xdr:row>
                    <xdr:rowOff>184150</xdr:rowOff>
                  </to>
                </anchor>
              </controlPr>
            </control>
          </mc:Choice>
        </mc:AlternateContent>
        <mc:AlternateContent xmlns:mc="http://schemas.openxmlformats.org/markup-compatibility/2006">
          <mc:Choice Requires="x14">
            <control shapeId="15584" r:id="rId28" name="Check Box 224">
              <controlPr locked="0" defaultSize="0" autoFill="0" autoLine="0" autoPict="0">
                <anchor moveWithCells="1" sizeWithCells="1">
                  <from>
                    <xdr:col>22</xdr:col>
                    <xdr:colOff>0</xdr:colOff>
                    <xdr:row>110</xdr:row>
                    <xdr:rowOff>0</xdr:rowOff>
                  </from>
                  <to>
                    <xdr:col>22</xdr:col>
                    <xdr:colOff>184150</xdr:colOff>
                    <xdr:row>110</xdr:row>
                    <xdr:rowOff>184150</xdr:rowOff>
                  </to>
                </anchor>
              </controlPr>
            </control>
          </mc:Choice>
        </mc:AlternateContent>
        <mc:AlternateContent xmlns:mc="http://schemas.openxmlformats.org/markup-compatibility/2006">
          <mc:Choice Requires="x14">
            <control shapeId="15585" r:id="rId29" name="Check Box 225">
              <controlPr locked="0" defaultSize="0" autoFill="0" autoLine="0" autoPict="0">
                <anchor moveWithCells="1" sizeWithCells="1">
                  <from>
                    <xdr:col>22</xdr:col>
                    <xdr:colOff>0</xdr:colOff>
                    <xdr:row>111</xdr:row>
                    <xdr:rowOff>0</xdr:rowOff>
                  </from>
                  <to>
                    <xdr:col>22</xdr:col>
                    <xdr:colOff>184150</xdr:colOff>
                    <xdr:row>111</xdr:row>
                    <xdr:rowOff>184150</xdr:rowOff>
                  </to>
                </anchor>
              </controlPr>
            </control>
          </mc:Choice>
        </mc:AlternateContent>
        <mc:AlternateContent xmlns:mc="http://schemas.openxmlformats.org/markup-compatibility/2006">
          <mc:Choice Requires="x14">
            <control shapeId="15586" r:id="rId30" name="Check Box 226">
              <controlPr locked="0" defaultSize="0" autoFill="0" autoLine="0" autoPict="0">
                <anchor moveWithCells="1" sizeWithCells="1">
                  <from>
                    <xdr:col>22</xdr:col>
                    <xdr:colOff>0</xdr:colOff>
                    <xdr:row>112</xdr:row>
                    <xdr:rowOff>0</xdr:rowOff>
                  </from>
                  <to>
                    <xdr:col>22</xdr:col>
                    <xdr:colOff>184150</xdr:colOff>
                    <xdr:row>112</xdr:row>
                    <xdr:rowOff>184150</xdr:rowOff>
                  </to>
                </anchor>
              </controlPr>
            </control>
          </mc:Choice>
        </mc:AlternateContent>
        <mc:AlternateContent xmlns:mc="http://schemas.openxmlformats.org/markup-compatibility/2006">
          <mc:Choice Requires="x14">
            <control shapeId="15587" r:id="rId31" name="Check Box 227">
              <controlPr locked="0" defaultSize="0" autoFill="0" autoLine="0" autoPict="0">
                <anchor moveWithCells="1" sizeWithCells="1">
                  <from>
                    <xdr:col>22</xdr:col>
                    <xdr:colOff>0</xdr:colOff>
                    <xdr:row>120</xdr:row>
                    <xdr:rowOff>0</xdr:rowOff>
                  </from>
                  <to>
                    <xdr:col>22</xdr:col>
                    <xdr:colOff>184150</xdr:colOff>
                    <xdr:row>120</xdr:row>
                    <xdr:rowOff>184150</xdr:rowOff>
                  </to>
                </anchor>
              </controlPr>
            </control>
          </mc:Choice>
        </mc:AlternateContent>
        <mc:AlternateContent xmlns:mc="http://schemas.openxmlformats.org/markup-compatibility/2006">
          <mc:Choice Requires="x14">
            <control shapeId="15588" r:id="rId32" name="Check Box 228">
              <controlPr locked="0" defaultSize="0" autoFill="0" autoLine="0" autoPict="0">
                <anchor moveWithCells="1" sizeWithCells="1">
                  <from>
                    <xdr:col>22</xdr:col>
                    <xdr:colOff>0</xdr:colOff>
                    <xdr:row>123</xdr:row>
                    <xdr:rowOff>0</xdr:rowOff>
                  </from>
                  <to>
                    <xdr:col>22</xdr:col>
                    <xdr:colOff>184150</xdr:colOff>
                    <xdr:row>123</xdr:row>
                    <xdr:rowOff>184150</xdr:rowOff>
                  </to>
                </anchor>
              </controlPr>
            </control>
          </mc:Choice>
        </mc:AlternateContent>
        <mc:AlternateContent xmlns:mc="http://schemas.openxmlformats.org/markup-compatibility/2006">
          <mc:Choice Requires="x14">
            <control shapeId="15589" r:id="rId33" name="Check Box 229">
              <controlPr locked="0" defaultSize="0" autoFill="0" autoLine="0" autoPict="0">
                <anchor moveWithCells="1" sizeWithCells="1">
                  <from>
                    <xdr:col>22</xdr:col>
                    <xdr:colOff>0</xdr:colOff>
                    <xdr:row>154</xdr:row>
                    <xdr:rowOff>0</xdr:rowOff>
                  </from>
                  <to>
                    <xdr:col>22</xdr:col>
                    <xdr:colOff>184150</xdr:colOff>
                    <xdr:row>154</xdr:row>
                    <xdr:rowOff>184150</xdr:rowOff>
                  </to>
                </anchor>
              </controlPr>
            </control>
          </mc:Choice>
        </mc:AlternateContent>
        <mc:AlternateContent xmlns:mc="http://schemas.openxmlformats.org/markup-compatibility/2006">
          <mc:Choice Requires="x14">
            <control shapeId="15590" r:id="rId34" name="Check Box 230">
              <controlPr locked="0" defaultSize="0" autoFill="0" autoLine="0" autoPict="0">
                <anchor moveWithCells="1" sizeWithCells="1">
                  <from>
                    <xdr:col>22</xdr:col>
                    <xdr:colOff>0</xdr:colOff>
                    <xdr:row>156</xdr:row>
                    <xdr:rowOff>0</xdr:rowOff>
                  </from>
                  <to>
                    <xdr:col>22</xdr:col>
                    <xdr:colOff>184150</xdr:colOff>
                    <xdr:row>156</xdr:row>
                    <xdr:rowOff>184150</xdr:rowOff>
                  </to>
                </anchor>
              </controlPr>
            </control>
          </mc:Choice>
        </mc:AlternateContent>
        <mc:AlternateContent xmlns:mc="http://schemas.openxmlformats.org/markup-compatibility/2006">
          <mc:Choice Requires="x14">
            <control shapeId="15591" r:id="rId35" name="Check Box 231">
              <controlPr locked="0" defaultSize="0" autoFill="0" autoLine="0" autoPict="0">
                <anchor moveWithCells="1" sizeWithCells="1">
                  <from>
                    <xdr:col>22</xdr:col>
                    <xdr:colOff>0</xdr:colOff>
                    <xdr:row>159</xdr:row>
                    <xdr:rowOff>0</xdr:rowOff>
                  </from>
                  <to>
                    <xdr:col>22</xdr:col>
                    <xdr:colOff>184150</xdr:colOff>
                    <xdr:row>159</xdr:row>
                    <xdr:rowOff>184150</xdr:rowOff>
                  </to>
                </anchor>
              </controlPr>
            </control>
          </mc:Choice>
        </mc:AlternateContent>
        <mc:AlternateContent xmlns:mc="http://schemas.openxmlformats.org/markup-compatibility/2006">
          <mc:Choice Requires="x14">
            <control shapeId="15592" r:id="rId36" name="Check Box 232">
              <controlPr locked="0" defaultSize="0" autoFill="0" autoLine="0" autoPict="0">
                <anchor moveWithCells="1" sizeWithCells="1">
                  <from>
                    <xdr:col>22</xdr:col>
                    <xdr:colOff>0</xdr:colOff>
                    <xdr:row>169</xdr:row>
                    <xdr:rowOff>0</xdr:rowOff>
                  </from>
                  <to>
                    <xdr:col>22</xdr:col>
                    <xdr:colOff>184150</xdr:colOff>
                    <xdr:row>169</xdr:row>
                    <xdr:rowOff>184150</xdr:rowOff>
                  </to>
                </anchor>
              </controlPr>
            </control>
          </mc:Choice>
        </mc:AlternateContent>
        <mc:AlternateContent xmlns:mc="http://schemas.openxmlformats.org/markup-compatibility/2006">
          <mc:Choice Requires="x14">
            <control shapeId="15593" r:id="rId37" name="Check Box 233">
              <controlPr locked="0" defaultSize="0" autoFill="0" autoLine="0" autoPict="0">
                <anchor moveWithCells="1" sizeWithCells="1">
                  <from>
                    <xdr:col>22</xdr:col>
                    <xdr:colOff>0</xdr:colOff>
                    <xdr:row>170</xdr:row>
                    <xdr:rowOff>0</xdr:rowOff>
                  </from>
                  <to>
                    <xdr:col>22</xdr:col>
                    <xdr:colOff>184150</xdr:colOff>
                    <xdr:row>170</xdr:row>
                    <xdr:rowOff>184150</xdr:rowOff>
                  </to>
                </anchor>
              </controlPr>
            </control>
          </mc:Choice>
        </mc:AlternateContent>
        <mc:AlternateContent xmlns:mc="http://schemas.openxmlformats.org/markup-compatibility/2006">
          <mc:Choice Requires="x14">
            <control shapeId="15594" r:id="rId38" name="Check Box 234">
              <controlPr locked="0" defaultSize="0" autoFill="0" autoLine="0" autoPict="0">
                <anchor moveWithCells="1" sizeWithCells="1">
                  <from>
                    <xdr:col>22</xdr:col>
                    <xdr:colOff>0</xdr:colOff>
                    <xdr:row>175</xdr:row>
                    <xdr:rowOff>0</xdr:rowOff>
                  </from>
                  <to>
                    <xdr:col>22</xdr:col>
                    <xdr:colOff>184150</xdr:colOff>
                    <xdr:row>175</xdr:row>
                    <xdr:rowOff>184150</xdr:rowOff>
                  </to>
                </anchor>
              </controlPr>
            </control>
          </mc:Choice>
        </mc:AlternateContent>
        <mc:AlternateContent xmlns:mc="http://schemas.openxmlformats.org/markup-compatibility/2006">
          <mc:Choice Requires="x14">
            <control shapeId="15595" r:id="rId39" name="Check Box 235">
              <controlPr locked="0" defaultSize="0" autoFill="0" autoLine="0" autoPict="0">
                <anchor moveWithCells="1" sizeWithCells="1">
                  <from>
                    <xdr:col>22</xdr:col>
                    <xdr:colOff>0</xdr:colOff>
                    <xdr:row>177</xdr:row>
                    <xdr:rowOff>0</xdr:rowOff>
                  </from>
                  <to>
                    <xdr:col>22</xdr:col>
                    <xdr:colOff>184150</xdr:colOff>
                    <xdr:row>177</xdr:row>
                    <xdr:rowOff>184150</xdr:rowOff>
                  </to>
                </anchor>
              </controlPr>
            </control>
          </mc:Choice>
        </mc:AlternateContent>
        <mc:AlternateContent xmlns:mc="http://schemas.openxmlformats.org/markup-compatibility/2006">
          <mc:Choice Requires="x14">
            <control shapeId="15596" r:id="rId40" name="Check Box 236">
              <controlPr locked="0" defaultSize="0" autoFill="0" autoLine="0" autoPict="0">
                <anchor moveWithCells="1" sizeWithCells="1">
                  <from>
                    <xdr:col>22</xdr:col>
                    <xdr:colOff>0</xdr:colOff>
                    <xdr:row>180</xdr:row>
                    <xdr:rowOff>0</xdr:rowOff>
                  </from>
                  <to>
                    <xdr:col>22</xdr:col>
                    <xdr:colOff>184150</xdr:colOff>
                    <xdr:row>180</xdr:row>
                    <xdr:rowOff>184150</xdr:rowOff>
                  </to>
                </anchor>
              </controlPr>
            </control>
          </mc:Choice>
        </mc:AlternateContent>
        <mc:AlternateContent xmlns:mc="http://schemas.openxmlformats.org/markup-compatibility/2006">
          <mc:Choice Requires="x14">
            <control shapeId="15597" r:id="rId41" name="Check Box 237">
              <controlPr locked="0" defaultSize="0" autoFill="0" autoLine="0" autoPict="0">
                <anchor moveWithCells="1" sizeWithCells="1">
                  <from>
                    <xdr:col>22</xdr:col>
                    <xdr:colOff>0</xdr:colOff>
                    <xdr:row>182</xdr:row>
                    <xdr:rowOff>0</xdr:rowOff>
                  </from>
                  <to>
                    <xdr:col>22</xdr:col>
                    <xdr:colOff>184150</xdr:colOff>
                    <xdr:row>182</xdr:row>
                    <xdr:rowOff>184150</xdr:rowOff>
                  </to>
                </anchor>
              </controlPr>
            </control>
          </mc:Choice>
        </mc:AlternateContent>
        <mc:AlternateContent xmlns:mc="http://schemas.openxmlformats.org/markup-compatibility/2006">
          <mc:Choice Requires="x14">
            <control shapeId="15598" r:id="rId42" name="Check Box 238">
              <controlPr locked="0" defaultSize="0" autoFill="0" autoLine="0" autoPict="0">
                <anchor moveWithCells="1" sizeWithCells="1">
                  <from>
                    <xdr:col>22</xdr:col>
                    <xdr:colOff>0</xdr:colOff>
                    <xdr:row>184</xdr:row>
                    <xdr:rowOff>0</xdr:rowOff>
                  </from>
                  <to>
                    <xdr:col>22</xdr:col>
                    <xdr:colOff>184150</xdr:colOff>
                    <xdr:row>184</xdr:row>
                    <xdr:rowOff>184150</xdr:rowOff>
                  </to>
                </anchor>
              </controlPr>
            </control>
          </mc:Choice>
        </mc:AlternateContent>
        <mc:AlternateContent xmlns:mc="http://schemas.openxmlformats.org/markup-compatibility/2006">
          <mc:Choice Requires="x14">
            <control shapeId="15599" r:id="rId43" name="Check Box 239">
              <controlPr locked="0" defaultSize="0" autoFill="0" autoLine="0" autoPict="0">
                <anchor moveWithCells="1" sizeWithCells="1">
                  <from>
                    <xdr:col>22</xdr:col>
                    <xdr:colOff>0</xdr:colOff>
                    <xdr:row>188</xdr:row>
                    <xdr:rowOff>0</xdr:rowOff>
                  </from>
                  <to>
                    <xdr:col>22</xdr:col>
                    <xdr:colOff>184150</xdr:colOff>
                    <xdr:row>188</xdr:row>
                    <xdr:rowOff>184150</xdr:rowOff>
                  </to>
                </anchor>
              </controlPr>
            </control>
          </mc:Choice>
        </mc:AlternateContent>
        <mc:AlternateContent xmlns:mc="http://schemas.openxmlformats.org/markup-compatibility/2006">
          <mc:Choice Requires="x14">
            <control shapeId="15600" r:id="rId44" name="Check Box 240">
              <controlPr locked="0" defaultSize="0" autoFill="0" autoLine="0" autoPict="0">
                <anchor moveWithCells="1" sizeWithCells="1">
                  <from>
                    <xdr:col>22</xdr:col>
                    <xdr:colOff>0</xdr:colOff>
                    <xdr:row>189</xdr:row>
                    <xdr:rowOff>0</xdr:rowOff>
                  </from>
                  <to>
                    <xdr:col>22</xdr:col>
                    <xdr:colOff>184150</xdr:colOff>
                    <xdr:row>189</xdr:row>
                    <xdr:rowOff>184150</xdr:rowOff>
                  </to>
                </anchor>
              </controlPr>
            </control>
          </mc:Choice>
        </mc:AlternateContent>
        <mc:AlternateContent xmlns:mc="http://schemas.openxmlformats.org/markup-compatibility/2006">
          <mc:Choice Requires="x14">
            <control shapeId="15601" r:id="rId45" name="Check Box 241">
              <controlPr locked="0" defaultSize="0" autoFill="0" autoLine="0" autoPict="0">
                <anchor moveWithCells="1" sizeWithCells="1">
                  <from>
                    <xdr:col>22</xdr:col>
                    <xdr:colOff>0</xdr:colOff>
                    <xdr:row>190</xdr:row>
                    <xdr:rowOff>0</xdr:rowOff>
                  </from>
                  <to>
                    <xdr:col>22</xdr:col>
                    <xdr:colOff>184150</xdr:colOff>
                    <xdr:row>190</xdr:row>
                    <xdr:rowOff>184150</xdr:rowOff>
                  </to>
                </anchor>
              </controlPr>
            </control>
          </mc:Choice>
        </mc:AlternateContent>
        <mc:AlternateContent xmlns:mc="http://schemas.openxmlformats.org/markup-compatibility/2006">
          <mc:Choice Requires="x14">
            <control shapeId="15602" r:id="rId46" name="Check Box 242">
              <controlPr locked="0" defaultSize="0" autoFill="0" autoLine="0" autoPict="0">
                <anchor moveWithCells="1" sizeWithCells="1">
                  <from>
                    <xdr:col>22</xdr:col>
                    <xdr:colOff>0</xdr:colOff>
                    <xdr:row>192</xdr:row>
                    <xdr:rowOff>0</xdr:rowOff>
                  </from>
                  <to>
                    <xdr:col>22</xdr:col>
                    <xdr:colOff>184150</xdr:colOff>
                    <xdr:row>192</xdr:row>
                    <xdr:rowOff>184150</xdr:rowOff>
                  </to>
                </anchor>
              </controlPr>
            </control>
          </mc:Choice>
        </mc:AlternateContent>
        <mc:AlternateContent xmlns:mc="http://schemas.openxmlformats.org/markup-compatibility/2006">
          <mc:Choice Requires="x14">
            <control shapeId="15605" r:id="rId47" name="Check Box 245">
              <controlPr locked="0" defaultSize="0" autoFill="0" autoLine="0" autoPict="0">
                <anchor moveWithCells="1" sizeWithCells="1">
                  <from>
                    <xdr:col>22</xdr:col>
                    <xdr:colOff>0</xdr:colOff>
                    <xdr:row>207</xdr:row>
                    <xdr:rowOff>0</xdr:rowOff>
                  </from>
                  <to>
                    <xdr:col>22</xdr:col>
                    <xdr:colOff>184150</xdr:colOff>
                    <xdr:row>207</xdr:row>
                    <xdr:rowOff>184150</xdr:rowOff>
                  </to>
                </anchor>
              </controlPr>
            </control>
          </mc:Choice>
        </mc:AlternateContent>
        <mc:AlternateContent xmlns:mc="http://schemas.openxmlformats.org/markup-compatibility/2006">
          <mc:Choice Requires="x14">
            <control shapeId="15606" r:id="rId48" name="Check Box 246">
              <controlPr locked="0" defaultSize="0" autoFill="0" autoLine="0" autoPict="0">
                <anchor moveWithCells="1" sizeWithCells="1">
                  <from>
                    <xdr:col>22</xdr:col>
                    <xdr:colOff>0</xdr:colOff>
                    <xdr:row>214</xdr:row>
                    <xdr:rowOff>0</xdr:rowOff>
                  </from>
                  <to>
                    <xdr:col>22</xdr:col>
                    <xdr:colOff>184150</xdr:colOff>
                    <xdr:row>214</xdr:row>
                    <xdr:rowOff>184150</xdr:rowOff>
                  </to>
                </anchor>
              </controlPr>
            </control>
          </mc:Choice>
        </mc:AlternateContent>
        <mc:AlternateContent xmlns:mc="http://schemas.openxmlformats.org/markup-compatibility/2006">
          <mc:Choice Requires="x14">
            <control shapeId="15607" r:id="rId49" name="Check Box 247">
              <controlPr locked="0" defaultSize="0" autoFill="0" autoLine="0" autoPict="0">
                <anchor moveWithCells="1" sizeWithCells="1">
                  <from>
                    <xdr:col>22</xdr:col>
                    <xdr:colOff>0</xdr:colOff>
                    <xdr:row>215</xdr:row>
                    <xdr:rowOff>0</xdr:rowOff>
                  </from>
                  <to>
                    <xdr:col>22</xdr:col>
                    <xdr:colOff>184150</xdr:colOff>
                    <xdr:row>215</xdr:row>
                    <xdr:rowOff>184150</xdr:rowOff>
                  </to>
                </anchor>
              </controlPr>
            </control>
          </mc:Choice>
        </mc:AlternateContent>
        <mc:AlternateContent xmlns:mc="http://schemas.openxmlformats.org/markup-compatibility/2006">
          <mc:Choice Requires="x14">
            <control shapeId="15608" r:id="rId50" name="Check Box 248">
              <controlPr locked="0" defaultSize="0" autoFill="0" autoLine="0" autoPict="0">
                <anchor moveWithCells="1" sizeWithCells="1">
                  <from>
                    <xdr:col>22</xdr:col>
                    <xdr:colOff>0</xdr:colOff>
                    <xdr:row>217</xdr:row>
                    <xdr:rowOff>0</xdr:rowOff>
                  </from>
                  <to>
                    <xdr:col>22</xdr:col>
                    <xdr:colOff>184150</xdr:colOff>
                    <xdr:row>217</xdr:row>
                    <xdr:rowOff>184150</xdr:rowOff>
                  </to>
                </anchor>
              </controlPr>
            </control>
          </mc:Choice>
        </mc:AlternateContent>
        <mc:AlternateContent xmlns:mc="http://schemas.openxmlformats.org/markup-compatibility/2006">
          <mc:Choice Requires="x14">
            <control shapeId="15609" r:id="rId51" name="Check Box 249">
              <controlPr locked="0" defaultSize="0" autoFill="0" autoLine="0" autoPict="0">
                <anchor moveWithCells="1" sizeWithCells="1">
                  <from>
                    <xdr:col>22</xdr:col>
                    <xdr:colOff>0</xdr:colOff>
                    <xdr:row>222</xdr:row>
                    <xdr:rowOff>0</xdr:rowOff>
                  </from>
                  <to>
                    <xdr:col>22</xdr:col>
                    <xdr:colOff>184150</xdr:colOff>
                    <xdr:row>222</xdr:row>
                    <xdr:rowOff>184150</xdr:rowOff>
                  </to>
                </anchor>
              </controlPr>
            </control>
          </mc:Choice>
        </mc:AlternateContent>
        <mc:AlternateContent xmlns:mc="http://schemas.openxmlformats.org/markup-compatibility/2006">
          <mc:Choice Requires="x14">
            <control shapeId="15610" r:id="rId52" name="Check Box 250">
              <controlPr locked="0" defaultSize="0" autoFill="0" autoLine="0" autoPict="0">
                <anchor moveWithCells="1" sizeWithCells="1">
                  <from>
                    <xdr:col>22</xdr:col>
                    <xdr:colOff>0</xdr:colOff>
                    <xdr:row>224</xdr:row>
                    <xdr:rowOff>0</xdr:rowOff>
                  </from>
                  <to>
                    <xdr:col>22</xdr:col>
                    <xdr:colOff>184150</xdr:colOff>
                    <xdr:row>224</xdr:row>
                    <xdr:rowOff>184150</xdr:rowOff>
                  </to>
                </anchor>
              </controlPr>
            </control>
          </mc:Choice>
        </mc:AlternateContent>
        <mc:AlternateContent xmlns:mc="http://schemas.openxmlformats.org/markup-compatibility/2006">
          <mc:Choice Requires="x14">
            <control shapeId="15611" r:id="rId53" name="Check Box 251">
              <controlPr locked="0" defaultSize="0" autoFill="0" autoLine="0" autoPict="0">
                <anchor moveWithCells="1" sizeWithCells="1">
                  <from>
                    <xdr:col>22</xdr:col>
                    <xdr:colOff>0</xdr:colOff>
                    <xdr:row>225</xdr:row>
                    <xdr:rowOff>0</xdr:rowOff>
                  </from>
                  <to>
                    <xdr:col>22</xdr:col>
                    <xdr:colOff>184150</xdr:colOff>
                    <xdr:row>225</xdr:row>
                    <xdr:rowOff>184150</xdr:rowOff>
                  </to>
                </anchor>
              </controlPr>
            </control>
          </mc:Choice>
        </mc:AlternateContent>
        <mc:AlternateContent xmlns:mc="http://schemas.openxmlformats.org/markup-compatibility/2006">
          <mc:Choice Requires="x14">
            <control shapeId="15612" r:id="rId54" name="Check Box 252">
              <controlPr locked="0" defaultSize="0" autoFill="0" autoLine="0" autoPict="0">
                <anchor moveWithCells="1" sizeWithCells="1">
                  <from>
                    <xdr:col>22</xdr:col>
                    <xdr:colOff>0</xdr:colOff>
                    <xdr:row>227</xdr:row>
                    <xdr:rowOff>0</xdr:rowOff>
                  </from>
                  <to>
                    <xdr:col>22</xdr:col>
                    <xdr:colOff>184150</xdr:colOff>
                    <xdr:row>227</xdr:row>
                    <xdr:rowOff>184150</xdr:rowOff>
                  </to>
                </anchor>
              </controlPr>
            </control>
          </mc:Choice>
        </mc:AlternateContent>
        <mc:AlternateContent xmlns:mc="http://schemas.openxmlformats.org/markup-compatibility/2006">
          <mc:Choice Requires="x14">
            <control shapeId="15613" r:id="rId55" name="Check Box 253">
              <controlPr locked="0" defaultSize="0" autoFill="0" autoLine="0" autoPict="0">
                <anchor moveWithCells="1" sizeWithCells="1">
                  <from>
                    <xdr:col>22</xdr:col>
                    <xdr:colOff>0</xdr:colOff>
                    <xdr:row>229</xdr:row>
                    <xdr:rowOff>0</xdr:rowOff>
                  </from>
                  <to>
                    <xdr:col>22</xdr:col>
                    <xdr:colOff>184150</xdr:colOff>
                    <xdr:row>229</xdr:row>
                    <xdr:rowOff>184150</xdr:rowOff>
                  </to>
                </anchor>
              </controlPr>
            </control>
          </mc:Choice>
        </mc:AlternateContent>
        <mc:AlternateContent xmlns:mc="http://schemas.openxmlformats.org/markup-compatibility/2006">
          <mc:Choice Requires="x14">
            <control shapeId="15614" r:id="rId56" name="Check Box 254">
              <controlPr locked="0" defaultSize="0" autoFill="0" autoLine="0" autoPict="0">
                <anchor moveWithCells="1" sizeWithCells="1">
                  <from>
                    <xdr:col>22</xdr:col>
                    <xdr:colOff>0</xdr:colOff>
                    <xdr:row>233</xdr:row>
                    <xdr:rowOff>0</xdr:rowOff>
                  </from>
                  <to>
                    <xdr:col>22</xdr:col>
                    <xdr:colOff>184150</xdr:colOff>
                    <xdr:row>233</xdr:row>
                    <xdr:rowOff>184150</xdr:rowOff>
                  </to>
                </anchor>
              </controlPr>
            </control>
          </mc:Choice>
        </mc:AlternateContent>
        <mc:AlternateContent xmlns:mc="http://schemas.openxmlformats.org/markup-compatibility/2006">
          <mc:Choice Requires="x14">
            <control shapeId="15615" r:id="rId57" name="Check Box 255">
              <controlPr locked="0" defaultSize="0" autoFill="0" autoLine="0" autoPict="0">
                <anchor moveWithCells="1" sizeWithCells="1">
                  <from>
                    <xdr:col>22</xdr:col>
                    <xdr:colOff>0</xdr:colOff>
                    <xdr:row>236</xdr:row>
                    <xdr:rowOff>0</xdr:rowOff>
                  </from>
                  <to>
                    <xdr:col>22</xdr:col>
                    <xdr:colOff>184150</xdr:colOff>
                    <xdr:row>236</xdr:row>
                    <xdr:rowOff>184150</xdr:rowOff>
                  </to>
                </anchor>
              </controlPr>
            </control>
          </mc:Choice>
        </mc:AlternateContent>
        <mc:AlternateContent xmlns:mc="http://schemas.openxmlformats.org/markup-compatibility/2006">
          <mc:Choice Requires="x14">
            <control shapeId="15616" r:id="rId58" name="Check Box 256">
              <controlPr locked="0" defaultSize="0" autoFill="0" autoLine="0" autoPict="0">
                <anchor moveWithCells="1" sizeWithCells="1">
                  <from>
                    <xdr:col>22</xdr:col>
                    <xdr:colOff>0</xdr:colOff>
                    <xdr:row>238</xdr:row>
                    <xdr:rowOff>0</xdr:rowOff>
                  </from>
                  <to>
                    <xdr:col>22</xdr:col>
                    <xdr:colOff>184150</xdr:colOff>
                    <xdr:row>238</xdr:row>
                    <xdr:rowOff>184150</xdr:rowOff>
                  </to>
                </anchor>
              </controlPr>
            </control>
          </mc:Choice>
        </mc:AlternateContent>
        <mc:AlternateContent xmlns:mc="http://schemas.openxmlformats.org/markup-compatibility/2006">
          <mc:Choice Requires="x14">
            <control shapeId="15617" r:id="rId59" name="Check Box 257">
              <controlPr locked="0" defaultSize="0" autoFill="0" autoLine="0" autoPict="0">
                <anchor moveWithCells="1" sizeWithCells="1">
                  <from>
                    <xdr:col>22</xdr:col>
                    <xdr:colOff>0</xdr:colOff>
                    <xdr:row>239</xdr:row>
                    <xdr:rowOff>0</xdr:rowOff>
                  </from>
                  <to>
                    <xdr:col>22</xdr:col>
                    <xdr:colOff>184150</xdr:colOff>
                    <xdr:row>239</xdr:row>
                    <xdr:rowOff>184150</xdr:rowOff>
                  </to>
                </anchor>
              </controlPr>
            </control>
          </mc:Choice>
        </mc:AlternateContent>
        <mc:AlternateContent xmlns:mc="http://schemas.openxmlformats.org/markup-compatibility/2006">
          <mc:Choice Requires="x14">
            <control shapeId="15618" r:id="rId60" name="Check Box 258">
              <controlPr locked="0" defaultSize="0" autoFill="0" autoLine="0" autoPict="0">
                <anchor moveWithCells="1" sizeWithCells="1">
                  <from>
                    <xdr:col>22</xdr:col>
                    <xdr:colOff>0</xdr:colOff>
                    <xdr:row>240</xdr:row>
                    <xdr:rowOff>0</xdr:rowOff>
                  </from>
                  <to>
                    <xdr:col>22</xdr:col>
                    <xdr:colOff>184150</xdr:colOff>
                    <xdr:row>240</xdr:row>
                    <xdr:rowOff>184150</xdr:rowOff>
                  </to>
                </anchor>
              </controlPr>
            </control>
          </mc:Choice>
        </mc:AlternateContent>
        <mc:AlternateContent xmlns:mc="http://schemas.openxmlformats.org/markup-compatibility/2006">
          <mc:Choice Requires="x14">
            <control shapeId="15619" r:id="rId61" name="Check Box 259">
              <controlPr locked="0" defaultSize="0" autoFill="0" autoLine="0" autoPict="0">
                <anchor moveWithCells="1" sizeWithCells="1">
                  <from>
                    <xdr:col>22</xdr:col>
                    <xdr:colOff>0</xdr:colOff>
                    <xdr:row>241</xdr:row>
                    <xdr:rowOff>0</xdr:rowOff>
                  </from>
                  <to>
                    <xdr:col>22</xdr:col>
                    <xdr:colOff>184150</xdr:colOff>
                    <xdr:row>241</xdr:row>
                    <xdr:rowOff>184150</xdr:rowOff>
                  </to>
                </anchor>
              </controlPr>
            </control>
          </mc:Choice>
        </mc:AlternateContent>
        <mc:AlternateContent xmlns:mc="http://schemas.openxmlformats.org/markup-compatibility/2006">
          <mc:Choice Requires="x14">
            <control shapeId="15620" r:id="rId62" name="Check Box 260">
              <controlPr locked="0" defaultSize="0" autoFill="0" autoLine="0" autoPict="0">
                <anchor moveWithCells="1" sizeWithCells="1">
                  <from>
                    <xdr:col>22</xdr:col>
                    <xdr:colOff>0</xdr:colOff>
                    <xdr:row>242</xdr:row>
                    <xdr:rowOff>0</xdr:rowOff>
                  </from>
                  <to>
                    <xdr:col>22</xdr:col>
                    <xdr:colOff>184150</xdr:colOff>
                    <xdr:row>242</xdr:row>
                    <xdr:rowOff>184150</xdr:rowOff>
                  </to>
                </anchor>
              </controlPr>
            </control>
          </mc:Choice>
        </mc:AlternateContent>
        <mc:AlternateContent xmlns:mc="http://schemas.openxmlformats.org/markup-compatibility/2006">
          <mc:Choice Requires="x14">
            <control shapeId="15621" r:id="rId63" name="Check Box 261">
              <controlPr locked="0" defaultSize="0" autoFill="0" autoLine="0" autoPict="0">
                <anchor moveWithCells="1" sizeWithCells="1">
                  <from>
                    <xdr:col>22</xdr:col>
                    <xdr:colOff>0</xdr:colOff>
                    <xdr:row>243</xdr:row>
                    <xdr:rowOff>0</xdr:rowOff>
                  </from>
                  <to>
                    <xdr:col>22</xdr:col>
                    <xdr:colOff>184150</xdr:colOff>
                    <xdr:row>243</xdr:row>
                    <xdr:rowOff>184150</xdr:rowOff>
                  </to>
                </anchor>
              </controlPr>
            </control>
          </mc:Choice>
        </mc:AlternateContent>
        <mc:AlternateContent xmlns:mc="http://schemas.openxmlformats.org/markup-compatibility/2006">
          <mc:Choice Requires="x14">
            <control shapeId="15622" r:id="rId64" name="Check Box 262">
              <controlPr locked="0" defaultSize="0" autoFill="0" autoLine="0" autoPict="0">
                <anchor moveWithCells="1" sizeWithCells="1">
                  <from>
                    <xdr:col>22</xdr:col>
                    <xdr:colOff>0</xdr:colOff>
                    <xdr:row>245</xdr:row>
                    <xdr:rowOff>0</xdr:rowOff>
                  </from>
                  <to>
                    <xdr:col>22</xdr:col>
                    <xdr:colOff>184150</xdr:colOff>
                    <xdr:row>245</xdr:row>
                    <xdr:rowOff>184150</xdr:rowOff>
                  </to>
                </anchor>
              </controlPr>
            </control>
          </mc:Choice>
        </mc:AlternateContent>
        <mc:AlternateContent xmlns:mc="http://schemas.openxmlformats.org/markup-compatibility/2006">
          <mc:Choice Requires="x14">
            <control shapeId="15623" r:id="rId65" name="Check Box 263">
              <controlPr locked="0" defaultSize="0" autoFill="0" autoLine="0" autoPict="0">
                <anchor moveWithCells="1" sizeWithCells="1">
                  <from>
                    <xdr:col>22</xdr:col>
                    <xdr:colOff>0</xdr:colOff>
                    <xdr:row>252</xdr:row>
                    <xdr:rowOff>0</xdr:rowOff>
                  </from>
                  <to>
                    <xdr:col>22</xdr:col>
                    <xdr:colOff>184150</xdr:colOff>
                    <xdr:row>252</xdr:row>
                    <xdr:rowOff>184150</xdr:rowOff>
                  </to>
                </anchor>
              </controlPr>
            </control>
          </mc:Choice>
        </mc:AlternateContent>
        <mc:AlternateContent xmlns:mc="http://schemas.openxmlformats.org/markup-compatibility/2006">
          <mc:Choice Requires="x14">
            <control shapeId="15624" r:id="rId66" name="Check Box 264">
              <controlPr locked="0" defaultSize="0" autoFill="0" autoLine="0" autoPict="0">
                <anchor moveWithCells="1" sizeWithCells="1">
                  <from>
                    <xdr:col>22</xdr:col>
                    <xdr:colOff>0</xdr:colOff>
                    <xdr:row>254</xdr:row>
                    <xdr:rowOff>0</xdr:rowOff>
                  </from>
                  <to>
                    <xdr:col>22</xdr:col>
                    <xdr:colOff>184150</xdr:colOff>
                    <xdr:row>254</xdr:row>
                    <xdr:rowOff>184150</xdr:rowOff>
                  </to>
                </anchor>
              </controlPr>
            </control>
          </mc:Choice>
        </mc:AlternateContent>
        <mc:AlternateContent xmlns:mc="http://schemas.openxmlformats.org/markup-compatibility/2006">
          <mc:Choice Requires="x14">
            <control shapeId="15625" r:id="rId67" name="Check Box 265">
              <controlPr locked="0" defaultSize="0" autoFill="0" autoLine="0" autoPict="0">
                <anchor moveWithCells="1" sizeWithCells="1">
                  <from>
                    <xdr:col>22</xdr:col>
                    <xdr:colOff>0</xdr:colOff>
                    <xdr:row>263</xdr:row>
                    <xdr:rowOff>0</xdr:rowOff>
                  </from>
                  <to>
                    <xdr:col>22</xdr:col>
                    <xdr:colOff>184150</xdr:colOff>
                    <xdr:row>263</xdr:row>
                    <xdr:rowOff>184150</xdr:rowOff>
                  </to>
                </anchor>
              </controlPr>
            </control>
          </mc:Choice>
        </mc:AlternateContent>
        <mc:AlternateContent xmlns:mc="http://schemas.openxmlformats.org/markup-compatibility/2006">
          <mc:Choice Requires="x14">
            <control shapeId="15626" r:id="rId68" name="Check Box 266">
              <controlPr locked="0" defaultSize="0" autoFill="0" autoLine="0" autoPict="0">
                <anchor moveWithCells="1" sizeWithCells="1">
                  <from>
                    <xdr:col>22</xdr:col>
                    <xdr:colOff>0</xdr:colOff>
                    <xdr:row>266</xdr:row>
                    <xdr:rowOff>0</xdr:rowOff>
                  </from>
                  <to>
                    <xdr:col>22</xdr:col>
                    <xdr:colOff>184150</xdr:colOff>
                    <xdr:row>266</xdr:row>
                    <xdr:rowOff>184150</xdr:rowOff>
                  </to>
                </anchor>
              </controlPr>
            </control>
          </mc:Choice>
        </mc:AlternateContent>
        <mc:AlternateContent xmlns:mc="http://schemas.openxmlformats.org/markup-compatibility/2006">
          <mc:Choice Requires="x14">
            <control shapeId="15627" r:id="rId69" name="Check Box 267">
              <controlPr locked="0" defaultSize="0" autoFill="0" autoLine="0" autoPict="0">
                <anchor moveWithCells="1" sizeWithCells="1">
                  <from>
                    <xdr:col>22</xdr:col>
                    <xdr:colOff>0</xdr:colOff>
                    <xdr:row>270</xdr:row>
                    <xdr:rowOff>0</xdr:rowOff>
                  </from>
                  <to>
                    <xdr:col>22</xdr:col>
                    <xdr:colOff>184150</xdr:colOff>
                    <xdr:row>270</xdr:row>
                    <xdr:rowOff>184150</xdr:rowOff>
                  </to>
                </anchor>
              </controlPr>
            </control>
          </mc:Choice>
        </mc:AlternateContent>
        <mc:AlternateContent xmlns:mc="http://schemas.openxmlformats.org/markup-compatibility/2006">
          <mc:Choice Requires="x14">
            <control shapeId="15628" r:id="rId70" name="Check Box 268">
              <controlPr locked="0" defaultSize="0" autoFill="0" autoLine="0" autoPict="0">
                <anchor moveWithCells="1" sizeWithCells="1">
                  <from>
                    <xdr:col>22</xdr:col>
                    <xdr:colOff>0</xdr:colOff>
                    <xdr:row>271</xdr:row>
                    <xdr:rowOff>0</xdr:rowOff>
                  </from>
                  <to>
                    <xdr:col>22</xdr:col>
                    <xdr:colOff>184150</xdr:colOff>
                    <xdr:row>271</xdr:row>
                    <xdr:rowOff>184150</xdr:rowOff>
                  </to>
                </anchor>
              </controlPr>
            </control>
          </mc:Choice>
        </mc:AlternateContent>
        <mc:AlternateContent xmlns:mc="http://schemas.openxmlformats.org/markup-compatibility/2006">
          <mc:Choice Requires="x14">
            <control shapeId="15629" r:id="rId71" name="Check Box 269">
              <controlPr locked="0" defaultSize="0" autoFill="0" autoLine="0" autoPict="0">
                <anchor moveWithCells="1" sizeWithCells="1">
                  <from>
                    <xdr:col>22</xdr:col>
                    <xdr:colOff>0</xdr:colOff>
                    <xdr:row>281</xdr:row>
                    <xdr:rowOff>0</xdr:rowOff>
                  </from>
                  <to>
                    <xdr:col>22</xdr:col>
                    <xdr:colOff>184150</xdr:colOff>
                    <xdr:row>281</xdr:row>
                    <xdr:rowOff>184150</xdr:rowOff>
                  </to>
                </anchor>
              </controlPr>
            </control>
          </mc:Choice>
        </mc:AlternateContent>
        <mc:AlternateContent xmlns:mc="http://schemas.openxmlformats.org/markup-compatibility/2006">
          <mc:Choice Requires="x14">
            <control shapeId="15632" r:id="rId72" name="Check Box 272">
              <controlPr locked="0" defaultSize="0" autoFill="0" autoLine="0" autoPict="0">
                <anchor moveWithCells="1" sizeWithCells="1">
                  <from>
                    <xdr:col>22</xdr:col>
                    <xdr:colOff>0</xdr:colOff>
                    <xdr:row>348</xdr:row>
                    <xdr:rowOff>0</xdr:rowOff>
                  </from>
                  <to>
                    <xdr:col>22</xdr:col>
                    <xdr:colOff>184150</xdr:colOff>
                    <xdr:row>348</xdr:row>
                    <xdr:rowOff>184150</xdr:rowOff>
                  </to>
                </anchor>
              </controlPr>
            </control>
          </mc:Choice>
        </mc:AlternateContent>
        <mc:AlternateContent xmlns:mc="http://schemas.openxmlformats.org/markup-compatibility/2006">
          <mc:Choice Requires="x14">
            <control shapeId="15633" r:id="rId73" name="Check Box 273">
              <controlPr locked="0" defaultSize="0" autoFill="0" autoLine="0" autoPict="0">
                <anchor moveWithCells="1" sizeWithCells="1">
                  <from>
                    <xdr:col>22</xdr:col>
                    <xdr:colOff>0</xdr:colOff>
                    <xdr:row>351</xdr:row>
                    <xdr:rowOff>0</xdr:rowOff>
                  </from>
                  <to>
                    <xdr:col>22</xdr:col>
                    <xdr:colOff>184150</xdr:colOff>
                    <xdr:row>351</xdr:row>
                    <xdr:rowOff>184150</xdr:rowOff>
                  </to>
                </anchor>
              </controlPr>
            </control>
          </mc:Choice>
        </mc:AlternateContent>
        <mc:AlternateContent xmlns:mc="http://schemas.openxmlformats.org/markup-compatibility/2006">
          <mc:Choice Requires="x14">
            <control shapeId="15634" r:id="rId74" name="Check Box 274">
              <controlPr locked="0" defaultSize="0" autoFill="0" autoLine="0" autoPict="0">
                <anchor moveWithCells="1" sizeWithCells="1">
                  <from>
                    <xdr:col>22</xdr:col>
                    <xdr:colOff>0</xdr:colOff>
                    <xdr:row>354</xdr:row>
                    <xdr:rowOff>0</xdr:rowOff>
                  </from>
                  <to>
                    <xdr:col>22</xdr:col>
                    <xdr:colOff>184150</xdr:colOff>
                    <xdr:row>354</xdr:row>
                    <xdr:rowOff>184150</xdr:rowOff>
                  </to>
                </anchor>
              </controlPr>
            </control>
          </mc:Choice>
        </mc:AlternateContent>
        <mc:AlternateContent xmlns:mc="http://schemas.openxmlformats.org/markup-compatibility/2006">
          <mc:Choice Requires="x14">
            <control shapeId="15635" r:id="rId75" name="Check Box 275">
              <controlPr locked="0" defaultSize="0" autoFill="0" autoLine="0" autoPict="0">
                <anchor moveWithCells="1" sizeWithCells="1">
                  <from>
                    <xdr:col>22</xdr:col>
                    <xdr:colOff>0</xdr:colOff>
                    <xdr:row>358</xdr:row>
                    <xdr:rowOff>0</xdr:rowOff>
                  </from>
                  <to>
                    <xdr:col>22</xdr:col>
                    <xdr:colOff>184150</xdr:colOff>
                    <xdr:row>358</xdr:row>
                    <xdr:rowOff>184150</xdr:rowOff>
                  </to>
                </anchor>
              </controlPr>
            </control>
          </mc:Choice>
        </mc:AlternateContent>
        <mc:AlternateContent xmlns:mc="http://schemas.openxmlformats.org/markup-compatibility/2006">
          <mc:Choice Requires="x14">
            <control shapeId="15636" r:id="rId76" name="Check Box 276">
              <controlPr locked="0" defaultSize="0" autoFill="0" autoLine="0" autoPict="0">
                <anchor moveWithCells="1" sizeWithCells="1">
                  <from>
                    <xdr:col>22</xdr:col>
                    <xdr:colOff>0</xdr:colOff>
                    <xdr:row>359</xdr:row>
                    <xdr:rowOff>0</xdr:rowOff>
                  </from>
                  <to>
                    <xdr:col>22</xdr:col>
                    <xdr:colOff>184150</xdr:colOff>
                    <xdr:row>359</xdr:row>
                    <xdr:rowOff>184150</xdr:rowOff>
                  </to>
                </anchor>
              </controlPr>
            </control>
          </mc:Choice>
        </mc:AlternateContent>
        <mc:AlternateContent xmlns:mc="http://schemas.openxmlformats.org/markup-compatibility/2006">
          <mc:Choice Requires="x14">
            <control shapeId="15637" r:id="rId77" name="Check Box 277">
              <controlPr locked="0" defaultSize="0" autoFill="0" autoLine="0" autoPict="0">
                <anchor moveWithCells="1" sizeWithCells="1">
                  <from>
                    <xdr:col>22</xdr:col>
                    <xdr:colOff>0</xdr:colOff>
                    <xdr:row>360</xdr:row>
                    <xdr:rowOff>0</xdr:rowOff>
                  </from>
                  <to>
                    <xdr:col>22</xdr:col>
                    <xdr:colOff>184150</xdr:colOff>
                    <xdr:row>360</xdr:row>
                    <xdr:rowOff>184150</xdr:rowOff>
                  </to>
                </anchor>
              </controlPr>
            </control>
          </mc:Choice>
        </mc:AlternateContent>
        <mc:AlternateContent xmlns:mc="http://schemas.openxmlformats.org/markup-compatibility/2006">
          <mc:Choice Requires="x14">
            <control shapeId="15638" r:id="rId78" name="Check Box 278">
              <controlPr locked="0" defaultSize="0" autoFill="0" autoLine="0" autoPict="0">
                <anchor moveWithCells="1" sizeWithCells="1">
                  <from>
                    <xdr:col>22</xdr:col>
                    <xdr:colOff>0</xdr:colOff>
                    <xdr:row>361</xdr:row>
                    <xdr:rowOff>0</xdr:rowOff>
                  </from>
                  <to>
                    <xdr:col>22</xdr:col>
                    <xdr:colOff>184150</xdr:colOff>
                    <xdr:row>361</xdr:row>
                    <xdr:rowOff>184150</xdr:rowOff>
                  </to>
                </anchor>
              </controlPr>
            </control>
          </mc:Choice>
        </mc:AlternateContent>
        <mc:AlternateContent xmlns:mc="http://schemas.openxmlformats.org/markup-compatibility/2006">
          <mc:Choice Requires="x14">
            <control shapeId="15639" r:id="rId79" name="Check Box 279">
              <controlPr locked="0" defaultSize="0" autoFill="0" autoLine="0" autoPict="0">
                <anchor moveWithCells="1" sizeWithCells="1">
                  <from>
                    <xdr:col>22</xdr:col>
                    <xdr:colOff>0</xdr:colOff>
                    <xdr:row>362</xdr:row>
                    <xdr:rowOff>0</xdr:rowOff>
                  </from>
                  <to>
                    <xdr:col>22</xdr:col>
                    <xdr:colOff>184150</xdr:colOff>
                    <xdr:row>362</xdr:row>
                    <xdr:rowOff>184150</xdr:rowOff>
                  </to>
                </anchor>
              </controlPr>
            </control>
          </mc:Choice>
        </mc:AlternateContent>
        <mc:AlternateContent xmlns:mc="http://schemas.openxmlformats.org/markup-compatibility/2006">
          <mc:Choice Requires="x14">
            <control shapeId="15640" r:id="rId80" name="Check Box 280">
              <controlPr locked="0" defaultSize="0" autoFill="0" autoLine="0" autoPict="0">
                <anchor moveWithCells="1" sizeWithCells="1">
                  <from>
                    <xdr:col>22</xdr:col>
                    <xdr:colOff>0</xdr:colOff>
                    <xdr:row>363</xdr:row>
                    <xdr:rowOff>0</xdr:rowOff>
                  </from>
                  <to>
                    <xdr:col>22</xdr:col>
                    <xdr:colOff>184150</xdr:colOff>
                    <xdr:row>363</xdr:row>
                    <xdr:rowOff>184150</xdr:rowOff>
                  </to>
                </anchor>
              </controlPr>
            </control>
          </mc:Choice>
        </mc:AlternateContent>
        <mc:AlternateContent xmlns:mc="http://schemas.openxmlformats.org/markup-compatibility/2006">
          <mc:Choice Requires="x14">
            <control shapeId="15641" r:id="rId81" name="Check Box 281">
              <controlPr locked="0" defaultSize="0" autoFill="0" autoLine="0" autoPict="0">
                <anchor moveWithCells="1" sizeWithCells="1">
                  <from>
                    <xdr:col>22</xdr:col>
                    <xdr:colOff>0</xdr:colOff>
                    <xdr:row>369</xdr:row>
                    <xdr:rowOff>0</xdr:rowOff>
                  </from>
                  <to>
                    <xdr:col>22</xdr:col>
                    <xdr:colOff>184150</xdr:colOff>
                    <xdr:row>369</xdr:row>
                    <xdr:rowOff>184150</xdr:rowOff>
                  </to>
                </anchor>
              </controlPr>
            </control>
          </mc:Choice>
        </mc:AlternateContent>
        <mc:AlternateContent xmlns:mc="http://schemas.openxmlformats.org/markup-compatibility/2006">
          <mc:Choice Requires="x14">
            <control shapeId="15642" r:id="rId82" name="Check Box 282">
              <controlPr locked="0" defaultSize="0" autoFill="0" autoLine="0" autoPict="0">
                <anchor moveWithCells="1" sizeWithCells="1">
                  <from>
                    <xdr:col>22</xdr:col>
                    <xdr:colOff>0</xdr:colOff>
                    <xdr:row>370</xdr:row>
                    <xdr:rowOff>0</xdr:rowOff>
                  </from>
                  <to>
                    <xdr:col>22</xdr:col>
                    <xdr:colOff>184150</xdr:colOff>
                    <xdr:row>370</xdr:row>
                    <xdr:rowOff>184150</xdr:rowOff>
                  </to>
                </anchor>
              </controlPr>
            </control>
          </mc:Choice>
        </mc:AlternateContent>
        <mc:AlternateContent xmlns:mc="http://schemas.openxmlformats.org/markup-compatibility/2006">
          <mc:Choice Requires="x14">
            <control shapeId="15643" r:id="rId83" name="Check Box 283">
              <controlPr locked="0" defaultSize="0" autoFill="0" autoLine="0" autoPict="0">
                <anchor moveWithCells="1" sizeWithCells="1">
                  <from>
                    <xdr:col>22</xdr:col>
                    <xdr:colOff>0</xdr:colOff>
                    <xdr:row>371</xdr:row>
                    <xdr:rowOff>0</xdr:rowOff>
                  </from>
                  <to>
                    <xdr:col>22</xdr:col>
                    <xdr:colOff>184150</xdr:colOff>
                    <xdr:row>371</xdr:row>
                    <xdr:rowOff>184150</xdr:rowOff>
                  </to>
                </anchor>
              </controlPr>
            </control>
          </mc:Choice>
        </mc:AlternateContent>
        <mc:AlternateContent xmlns:mc="http://schemas.openxmlformats.org/markup-compatibility/2006">
          <mc:Choice Requires="x14">
            <control shapeId="15644" r:id="rId84" name="Check Box 284">
              <controlPr locked="0" defaultSize="0" autoFill="0" autoLine="0" autoPict="0">
                <anchor moveWithCells="1" sizeWithCells="1">
                  <from>
                    <xdr:col>22</xdr:col>
                    <xdr:colOff>0</xdr:colOff>
                    <xdr:row>372</xdr:row>
                    <xdr:rowOff>0</xdr:rowOff>
                  </from>
                  <to>
                    <xdr:col>22</xdr:col>
                    <xdr:colOff>184150</xdr:colOff>
                    <xdr:row>372</xdr:row>
                    <xdr:rowOff>184150</xdr:rowOff>
                  </to>
                </anchor>
              </controlPr>
            </control>
          </mc:Choice>
        </mc:AlternateContent>
        <mc:AlternateContent xmlns:mc="http://schemas.openxmlformats.org/markup-compatibility/2006">
          <mc:Choice Requires="x14">
            <control shapeId="15645" r:id="rId85" name="Check Box 285">
              <controlPr locked="0" defaultSize="0" autoFill="0" autoLine="0" autoPict="0">
                <anchor moveWithCells="1" sizeWithCells="1">
                  <from>
                    <xdr:col>22</xdr:col>
                    <xdr:colOff>0</xdr:colOff>
                    <xdr:row>373</xdr:row>
                    <xdr:rowOff>0</xdr:rowOff>
                  </from>
                  <to>
                    <xdr:col>22</xdr:col>
                    <xdr:colOff>184150</xdr:colOff>
                    <xdr:row>373</xdr:row>
                    <xdr:rowOff>184150</xdr:rowOff>
                  </to>
                </anchor>
              </controlPr>
            </control>
          </mc:Choice>
        </mc:AlternateContent>
        <mc:AlternateContent xmlns:mc="http://schemas.openxmlformats.org/markup-compatibility/2006">
          <mc:Choice Requires="x14">
            <control shapeId="15646" r:id="rId86" name="Check Box 286">
              <controlPr locked="0" defaultSize="0" autoFill="0" autoLine="0" autoPict="0">
                <anchor moveWithCells="1" sizeWithCells="1">
                  <from>
                    <xdr:col>22</xdr:col>
                    <xdr:colOff>0</xdr:colOff>
                    <xdr:row>397</xdr:row>
                    <xdr:rowOff>0</xdr:rowOff>
                  </from>
                  <to>
                    <xdr:col>22</xdr:col>
                    <xdr:colOff>184150</xdr:colOff>
                    <xdr:row>397</xdr:row>
                    <xdr:rowOff>184150</xdr:rowOff>
                  </to>
                </anchor>
              </controlPr>
            </control>
          </mc:Choice>
        </mc:AlternateContent>
        <mc:AlternateContent xmlns:mc="http://schemas.openxmlformats.org/markup-compatibility/2006">
          <mc:Choice Requires="x14">
            <control shapeId="15649" r:id="rId87" name="Check Box 289">
              <controlPr locked="0" defaultSize="0" autoFill="0" autoLine="0" autoPict="0">
                <anchor moveWithCells="1" sizeWithCells="1">
                  <from>
                    <xdr:col>22</xdr:col>
                    <xdr:colOff>0</xdr:colOff>
                    <xdr:row>413</xdr:row>
                    <xdr:rowOff>0</xdr:rowOff>
                  </from>
                  <to>
                    <xdr:col>22</xdr:col>
                    <xdr:colOff>184150</xdr:colOff>
                    <xdr:row>413</xdr:row>
                    <xdr:rowOff>184150</xdr:rowOff>
                  </to>
                </anchor>
              </controlPr>
            </control>
          </mc:Choice>
        </mc:AlternateContent>
        <mc:AlternateContent xmlns:mc="http://schemas.openxmlformats.org/markup-compatibility/2006">
          <mc:Choice Requires="x14">
            <control shapeId="15650" r:id="rId88" name="Check Box 290">
              <controlPr locked="0" defaultSize="0" autoFill="0" autoLine="0" autoPict="0">
                <anchor moveWithCells="1" sizeWithCells="1">
                  <from>
                    <xdr:col>22</xdr:col>
                    <xdr:colOff>0</xdr:colOff>
                    <xdr:row>417</xdr:row>
                    <xdr:rowOff>0</xdr:rowOff>
                  </from>
                  <to>
                    <xdr:col>22</xdr:col>
                    <xdr:colOff>184150</xdr:colOff>
                    <xdr:row>417</xdr:row>
                    <xdr:rowOff>184150</xdr:rowOff>
                  </to>
                </anchor>
              </controlPr>
            </control>
          </mc:Choice>
        </mc:AlternateContent>
        <mc:AlternateContent xmlns:mc="http://schemas.openxmlformats.org/markup-compatibility/2006">
          <mc:Choice Requires="x14">
            <control shapeId="15651" r:id="rId89" name="Check Box 291">
              <controlPr locked="0" defaultSize="0" autoFill="0" autoLine="0" autoPict="0">
                <anchor moveWithCells="1" sizeWithCells="1">
                  <from>
                    <xdr:col>22</xdr:col>
                    <xdr:colOff>0</xdr:colOff>
                    <xdr:row>418</xdr:row>
                    <xdr:rowOff>0</xdr:rowOff>
                  </from>
                  <to>
                    <xdr:col>22</xdr:col>
                    <xdr:colOff>184150</xdr:colOff>
                    <xdr:row>418</xdr:row>
                    <xdr:rowOff>184150</xdr:rowOff>
                  </to>
                </anchor>
              </controlPr>
            </control>
          </mc:Choice>
        </mc:AlternateContent>
        <mc:AlternateContent xmlns:mc="http://schemas.openxmlformats.org/markup-compatibility/2006">
          <mc:Choice Requires="x14">
            <control shapeId="15652" r:id="rId90" name="Check Box 292">
              <controlPr locked="0" defaultSize="0" autoFill="0" autoLine="0" autoPict="0">
                <anchor moveWithCells="1" sizeWithCells="1">
                  <from>
                    <xdr:col>22</xdr:col>
                    <xdr:colOff>0</xdr:colOff>
                    <xdr:row>420</xdr:row>
                    <xdr:rowOff>0</xdr:rowOff>
                  </from>
                  <to>
                    <xdr:col>22</xdr:col>
                    <xdr:colOff>184150</xdr:colOff>
                    <xdr:row>420</xdr:row>
                    <xdr:rowOff>184150</xdr:rowOff>
                  </to>
                </anchor>
              </controlPr>
            </control>
          </mc:Choice>
        </mc:AlternateContent>
        <mc:AlternateContent xmlns:mc="http://schemas.openxmlformats.org/markup-compatibility/2006">
          <mc:Choice Requires="x14">
            <control shapeId="15653" r:id="rId91" name="Check Box 293">
              <controlPr locked="0" defaultSize="0" autoFill="0" autoLine="0" autoPict="0">
                <anchor moveWithCells="1" sizeWithCells="1">
                  <from>
                    <xdr:col>22</xdr:col>
                    <xdr:colOff>0</xdr:colOff>
                    <xdr:row>422</xdr:row>
                    <xdr:rowOff>0</xdr:rowOff>
                  </from>
                  <to>
                    <xdr:col>22</xdr:col>
                    <xdr:colOff>184150</xdr:colOff>
                    <xdr:row>422</xdr:row>
                    <xdr:rowOff>184150</xdr:rowOff>
                  </to>
                </anchor>
              </controlPr>
            </control>
          </mc:Choice>
        </mc:AlternateContent>
        <mc:AlternateContent xmlns:mc="http://schemas.openxmlformats.org/markup-compatibility/2006">
          <mc:Choice Requires="x14">
            <control shapeId="15654" r:id="rId92" name="Check Box 294">
              <controlPr locked="0" defaultSize="0" autoFill="0" autoLine="0" autoPict="0">
                <anchor moveWithCells="1" sizeWithCells="1">
                  <from>
                    <xdr:col>22</xdr:col>
                    <xdr:colOff>0</xdr:colOff>
                    <xdr:row>428</xdr:row>
                    <xdr:rowOff>0</xdr:rowOff>
                  </from>
                  <to>
                    <xdr:col>22</xdr:col>
                    <xdr:colOff>184150</xdr:colOff>
                    <xdr:row>428</xdr:row>
                    <xdr:rowOff>184150</xdr:rowOff>
                  </to>
                </anchor>
              </controlPr>
            </control>
          </mc:Choice>
        </mc:AlternateContent>
        <mc:AlternateContent xmlns:mc="http://schemas.openxmlformats.org/markup-compatibility/2006">
          <mc:Choice Requires="x14">
            <control shapeId="15655" r:id="rId93" name="Check Box 295">
              <controlPr locked="0" defaultSize="0" autoFill="0" autoLine="0" autoPict="0">
                <anchor moveWithCells="1" sizeWithCells="1">
                  <from>
                    <xdr:col>22</xdr:col>
                    <xdr:colOff>0</xdr:colOff>
                    <xdr:row>434</xdr:row>
                    <xdr:rowOff>0</xdr:rowOff>
                  </from>
                  <to>
                    <xdr:col>22</xdr:col>
                    <xdr:colOff>184150</xdr:colOff>
                    <xdr:row>434</xdr:row>
                    <xdr:rowOff>184150</xdr:rowOff>
                  </to>
                </anchor>
              </controlPr>
            </control>
          </mc:Choice>
        </mc:AlternateContent>
        <mc:AlternateContent xmlns:mc="http://schemas.openxmlformats.org/markup-compatibility/2006">
          <mc:Choice Requires="x14">
            <control shapeId="15656" r:id="rId94" name="Check Box 296">
              <controlPr locked="0" defaultSize="0" autoFill="0" autoLine="0" autoPict="0">
                <anchor moveWithCells="1" sizeWithCells="1">
                  <from>
                    <xdr:col>22</xdr:col>
                    <xdr:colOff>0</xdr:colOff>
                    <xdr:row>440</xdr:row>
                    <xdr:rowOff>0</xdr:rowOff>
                  </from>
                  <to>
                    <xdr:col>22</xdr:col>
                    <xdr:colOff>184150</xdr:colOff>
                    <xdr:row>440</xdr:row>
                    <xdr:rowOff>184150</xdr:rowOff>
                  </to>
                </anchor>
              </controlPr>
            </control>
          </mc:Choice>
        </mc:AlternateContent>
        <mc:AlternateContent xmlns:mc="http://schemas.openxmlformats.org/markup-compatibility/2006">
          <mc:Choice Requires="x14">
            <control shapeId="15657" r:id="rId95" name="Check Box 297">
              <controlPr locked="0" defaultSize="0" autoFill="0" autoLine="0" autoPict="0">
                <anchor moveWithCells="1" sizeWithCells="1">
                  <from>
                    <xdr:col>22</xdr:col>
                    <xdr:colOff>0</xdr:colOff>
                    <xdr:row>442</xdr:row>
                    <xdr:rowOff>0</xdr:rowOff>
                  </from>
                  <to>
                    <xdr:col>22</xdr:col>
                    <xdr:colOff>184150</xdr:colOff>
                    <xdr:row>442</xdr:row>
                    <xdr:rowOff>184150</xdr:rowOff>
                  </to>
                </anchor>
              </controlPr>
            </control>
          </mc:Choice>
        </mc:AlternateContent>
        <mc:AlternateContent xmlns:mc="http://schemas.openxmlformats.org/markup-compatibility/2006">
          <mc:Choice Requires="x14">
            <control shapeId="15658" r:id="rId96" name="Check Box 298">
              <controlPr locked="0" defaultSize="0" autoFill="0" autoLine="0" autoPict="0">
                <anchor moveWithCells="1" sizeWithCells="1">
                  <from>
                    <xdr:col>22</xdr:col>
                    <xdr:colOff>0</xdr:colOff>
                    <xdr:row>448</xdr:row>
                    <xdr:rowOff>0</xdr:rowOff>
                  </from>
                  <to>
                    <xdr:col>22</xdr:col>
                    <xdr:colOff>184150</xdr:colOff>
                    <xdr:row>448</xdr:row>
                    <xdr:rowOff>184150</xdr:rowOff>
                  </to>
                </anchor>
              </controlPr>
            </control>
          </mc:Choice>
        </mc:AlternateContent>
        <mc:AlternateContent xmlns:mc="http://schemas.openxmlformats.org/markup-compatibility/2006">
          <mc:Choice Requires="x14">
            <control shapeId="15659" r:id="rId97" name="Check Box 299">
              <controlPr locked="0" defaultSize="0" autoFill="0" autoLine="0" autoPict="0">
                <anchor moveWithCells="1" sizeWithCells="1">
                  <from>
                    <xdr:col>22</xdr:col>
                    <xdr:colOff>0</xdr:colOff>
                    <xdr:row>452</xdr:row>
                    <xdr:rowOff>0</xdr:rowOff>
                  </from>
                  <to>
                    <xdr:col>22</xdr:col>
                    <xdr:colOff>184150</xdr:colOff>
                    <xdr:row>452</xdr:row>
                    <xdr:rowOff>184150</xdr:rowOff>
                  </to>
                </anchor>
              </controlPr>
            </control>
          </mc:Choice>
        </mc:AlternateContent>
        <mc:AlternateContent xmlns:mc="http://schemas.openxmlformats.org/markup-compatibility/2006">
          <mc:Choice Requires="x14">
            <control shapeId="15660" r:id="rId98" name="Check Box 300">
              <controlPr locked="0" defaultSize="0" autoFill="0" autoLine="0" autoPict="0">
                <anchor moveWithCells="1" sizeWithCells="1">
                  <from>
                    <xdr:col>22</xdr:col>
                    <xdr:colOff>0</xdr:colOff>
                    <xdr:row>456</xdr:row>
                    <xdr:rowOff>0</xdr:rowOff>
                  </from>
                  <to>
                    <xdr:col>22</xdr:col>
                    <xdr:colOff>184150</xdr:colOff>
                    <xdr:row>456</xdr:row>
                    <xdr:rowOff>184150</xdr:rowOff>
                  </to>
                </anchor>
              </controlPr>
            </control>
          </mc:Choice>
        </mc:AlternateContent>
        <mc:AlternateContent xmlns:mc="http://schemas.openxmlformats.org/markup-compatibility/2006">
          <mc:Choice Requires="x14">
            <control shapeId="15661" r:id="rId99" name="Check Box 301">
              <controlPr locked="0" defaultSize="0" autoFill="0" autoLine="0" autoPict="0">
                <anchor moveWithCells="1" sizeWithCells="1">
                  <from>
                    <xdr:col>22</xdr:col>
                    <xdr:colOff>0</xdr:colOff>
                    <xdr:row>461</xdr:row>
                    <xdr:rowOff>0</xdr:rowOff>
                  </from>
                  <to>
                    <xdr:col>22</xdr:col>
                    <xdr:colOff>184150</xdr:colOff>
                    <xdr:row>461</xdr:row>
                    <xdr:rowOff>184150</xdr:rowOff>
                  </to>
                </anchor>
              </controlPr>
            </control>
          </mc:Choice>
        </mc:AlternateContent>
        <mc:AlternateContent xmlns:mc="http://schemas.openxmlformats.org/markup-compatibility/2006">
          <mc:Choice Requires="x14">
            <control shapeId="15662" r:id="rId100" name="Check Box 302">
              <controlPr locked="0" defaultSize="0" autoFill="0" autoLine="0" autoPict="0">
                <anchor moveWithCells="1" sizeWithCells="1">
                  <from>
                    <xdr:col>22</xdr:col>
                    <xdr:colOff>0</xdr:colOff>
                    <xdr:row>466</xdr:row>
                    <xdr:rowOff>0</xdr:rowOff>
                  </from>
                  <to>
                    <xdr:col>22</xdr:col>
                    <xdr:colOff>184150</xdr:colOff>
                    <xdr:row>466</xdr:row>
                    <xdr:rowOff>184150</xdr:rowOff>
                  </to>
                </anchor>
              </controlPr>
            </control>
          </mc:Choice>
        </mc:AlternateContent>
        <mc:AlternateContent xmlns:mc="http://schemas.openxmlformats.org/markup-compatibility/2006">
          <mc:Choice Requires="x14">
            <control shapeId="15663" r:id="rId101" name="Check Box 303">
              <controlPr locked="0" defaultSize="0" autoFill="0" autoLine="0" autoPict="0">
                <anchor moveWithCells="1" sizeWithCells="1">
                  <from>
                    <xdr:col>22</xdr:col>
                    <xdr:colOff>0</xdr:colOff>
                    <xdr:row>468</xdr:row>
                    <xdr:rowOff>0</xdr:rowOff>
                  </from>
                  <to>
                    <xdr:col>22</xdr:col>
                    <xdr:colOff>184150</xdr:colOff>
                    <xdr:row>468</xdr:row>
                    <xdr:rowOff>184150</xdr:rowOff>
                  </to>
                </anchor>
              </controlPr>
            </control>
          </mc:Choice>
        </mc:AlternateContent>
        <mc:AlternateContent xmlns:mc="http://schemas.openxmlformats.org/markup-compatibility/2006">
          <mc:Choice Requires="x14">
            <control shapeId="15664" r:id="rId102" name="Check Box 304">
              <controlPr locked="0" defaultSize="0" autoFill="0" autoLine="0" autoPict="0">
                <anchor moveWithCells="1" sizeWithCells="1">
                  <from>
                    <xdr:col>22</xdr:col>
                    <xdr:colOff>0</xdr:colOff>
                    <xdr:row>470</xdr:row>
                    <xdr:rowOff>0</xdr:rowOff>
                  </from>
                  <to>
                    <xdr:col>22</xdr:col>
                    <xdr:colOff>184150</xdr:colOff>
                    <xdr:row>470</xdr:row>
                    <xdr:rowOff>184150</xdr:rowOff>
                  </to>
                </anchor>
              </controlPr>
            </control>
          </mc:Choice>
        </mc:AlternateContent>
        <mc:AlternateContent xmlns:mc="http://schemas.openxmlformats.org/markup-compatibility/2006">
          <mc:Choice Requires="x14">
            <control shapeId="15665" r:id="rId103" name="Check Box 305">
              <controlPr locked="0" defaultSize="0" autoFill="0" autoLine="0" autoPict="0">
                <anchor moveWithCells="1" sizeWithCells="1">
                  <from>
                    <xdr:col>22</xdr:col>
                    <xdr:colOff>0</xdr:colOff>
                    <xdr:row>482</xdr:row>
                    <xdr:rowOff>0</xdr:rowOff>
                  </from>
                  <to>
                    <xdr:col>22</xdr:col>
                    <xdr:colOff>184150</xdr:colOff>
                    <xdr:row>482</xdr:row>
                    <xdr:rowOff>184150</xdr:rowOff>
                  </to>
                </anchor>
              </controlPr>
            </control>
          </mc:Choice>
        </mc:AlternateContent>
        <mc:AlternateContent xmlns:mc="http://schemas.openxmlformats.org/markup-compatibility/2006">
          <mc:Choice Requires="x14">
            <control shapeId="15666" r:id="rId104" name="Check Box 306">
              <controlPr locked="0" defaultSize="0" autoFill="0" autoLine="0" autoPict="0">
                <anchor moveWithCells="1" sizeWithCells="1">
                  <from>
                    <xdr:col>22</xdr:col>
                    <xdr:colOff>0</xdr:colOff>
                    <xdr:row>492</xdr:row>
                    <xdr:rowOff>0</xdr:rowOff>
                  </from>
                  <to>
                    <xdr:col>22</xdr:col>
                    <xdr:colOff>184150</xdr:colOff>
                    <xdr:row>492</xdr:row>
                    <xdr:rowOff>184150</xdr:rowOff>
                  </to>
                </anchor>
              </controlPr>
            </control>
          </mc:Choice>
        </mc:AlternateContent>
        <mc:AlternateContent xmlns:mc="http://schemas.openxmlformats.org/markup-compatibility/2006">
          <mc:Choice Requires="x14">
            <control shapeId="15667" r:id="rId105" name="Check Box 307">
              <controlPr locked="0" defaultSize="0" autoFill="0" autoLine="0" autoPict="0">
                <anchor moveWithCells="1" sizeWithCells="1">
                  <from>
                    <xdr:col>22</xdr:col>
                    <xdr:colOff>0</xdr:colOff>
                    <xdr:row>495</xdr:row>
                    <xdr:rowOff>0</xdr:rowOff>
                  </from>
                  <to>
                    <xdr:col>22</xdr:col>
                    <xdr:colOff>184150</xdr:colOff>
                    <xdr:row>495</xdr:row>
                    <xdr:rowOff>184150</xdr:rowOff>
                  </to>
                </anchor>
              </controlPr>
            </control>
          </mc:Choice>
        </mc:AlternateContent>
        <mc:AlternateContent xmlns:mc="http://schemas.openxmlformats.org/markup-compatibility/2006">
          <mc:Choice Requires="x14">
            <control shapeId="15668" r:id="rId106" name="Check Box 308">
              <controlPr locked="0" defaultSize="0" autoFill="0" autoLine="0" autoPict="0">
                <anchor moveWithCells="1" sizeWithCells="1">
                  <from>
                    <xdr:col>22</xdr:col>
                    <xdr:colOff>0</xdr:colOff>
                    <xdr:row>496</xdr:row>
                    <xdr:rowOff>0</xdr:rowOff>
                  </from>
                  <to>
                    <xdr:col>22</xdr:col>
                    <xdr:colOff>184150</xdr:colOff>
                    <xdr:row>496</xdr:row>
                    <xdr:rowOff>184150</xdr:rowOff>
                  </to>
                </anchor>
              </controlPr>
            </control>
          </mc:Choice>
        </mc:AlternateContent>
        <mc:AlternateContent xmlns:mc="http://schemas.openxmlformats.org/markup-compatibility/2006">
          <mc:Choice Requires="x14">
            <control shapeId="15669" r:id="rId107" name="Check Box 309">
              <controlPr locked="0" defaultSize="0" autoFill="0" autoLine="0" autoPict="0">
                <anchor moveWithCells="1" sizeWithCells="1">
                  <from>
                    <xdr:col>22</xdr:col>
                    <xdr:colOff>0</xdr:colOff>
                    <xdr:row>506</xdr:row>
                    <xdr:rowOff>0</xdr:rowOff>
                  </from>
                  <to>
                    <xdr:col>22</xdr:col>
                    <xdr:colOff>184150</xdr:colOff>
                    <xdr:row>506</xdr:row>
                    <xdr:rowOff>184150</xdr:rowOff>
                  </to>
                </anchor>
              </controlPr>
            </control>
          </mc:Choice>
        </mc:AlternateContent>
        <mc:AlternateContent xmlns:mc="http://schemas.openxmlformats.org/markup-compatibility/2006">
          <mc:Choice Requires="x14">
            <control shapeId="15670" r:id="rId108" name="Check Box 310">
              <controlPr locked="0" defaultSize="0" autoFill="0" autoLine="0" autoPict="0">
                <anchor moveWithCells="1" sizeWithCells="1">
                  <from>
                    <xdr:col>22</xdr:col>
                    <xdr:colOff>0</xdr:colOff>
                    <xdr:row>508</xdr:row>
                    <xdr:rowOff>0</xdr:rowOff>
                  </from>
                  <to>
                    <xdr:col>22</xdr:col>
                    <xdr:colOff>184150</xdr:colOff>
                    <xdr:row>508</xdr:row>
                    <xdr:rowOff>184150</xdr:rowOff>
                  </to>
                </anchor>
              </controlPr>
            </control>
          </mc:Choice>
        </mc:AlternateContent>
        <mc:AlternateContent xmlns:mc="http://schemas.openxmlformats.org/markup-compatibility/2006">
          <mc:Choice Requires="x14">
            <control shapeId="15671" r:id="rId109" name="Check Box 311">
              <controlPr locked="0" defaultSize="0" autoFill="0" autoLine="0" autoPict="0">
                <anchor moveWithCells="1" sizeWithCells="1">
                  <from>
                    <xdr:col>22</xdr:col>
                    <xdr:colOff>0</xdr:colOff>
                    <xdr:row>524</xdr:row>
                    <xdr:rowOff>0</xdr:rowOff>
                  </from>
                  <to>
                    <xdr:col>22</xdr:col>
                    <xdr:colOff>184150</xdr:colOff>
                    <xdr:row>524</xdr:row>
                    <xdr:rowOff>184150</xdr:rowOff>
                  </to>
                </anchor>
              </controlPr>
            </control>
          </mc:Choice>
        </mc:AlternateContent>
        <mc:AlternateContent xmlns:mc="http://schemas.openxmlformats.org/markup-compatibility/2006">
          <mc:Choice Requires="x14">
            <control shapeId="15672" r:id="rId110" name="Check Box 312">
              <controlPr locked="0" defaultSize="0" autoFill="0" autoLine="0" autoPict="0">
                <anchor moveWithCells="1" sizeWithCells="1">
                  <from>
                    <xdr:col>22</xdr:col>
                    <xdr:colOff>0</xdr:colOff>
                    <xdr:row>535</xdr:row>
                    <xdr:rowOff>0</xdr:rowOff>
                  </from>
                  <to>
                    <xdr:col>22</xdr:col>
                    <xdr:colOff>184150</xdr:colOff>
                    <xdr:row>535</xdr:row>
                    <xdr:rowOff>184150</xdr:rowOff>
                  </to>
                </anchor>
              </controlPr>
            </control>
          </mc:Choice>
        </mc:AlternateContent>
        <mc:AlternateContent xmlns:mc="http://schemas.openxmlformats.org/markup-compatibility/2006">
          <mc:Choice Requires="x14">
            <control shapeId="15673" r:id="rId111" name="Check Box 313">
              <controlPr locked="0" defaultSize="0" autoFill="0" autoLine="0" autoPict="0">
                <anchor moveWithCells="1" sizeWithCells="1">
                  <from>
                    <xdr:col>22</xdr:col>
                    <xdr:colOff>0</xdr:colOff>
                    <xdr:row>536</xdr:row>
                    <xdr:rowOff>0</xdr:rowOff>
                  </from>
                  <to>
                    <xdr:col>22</xdr:col>
                    <xdr:colOff>184150</xdr:colOff>
                    <xdr:row>536</xdr:row>
                    <xdr:rowOff>184150</xdr:rowOff>
                  </to>
                </anchor>
              </controlPr>
            </control>
          </mc:Choice>
        </mc:AlternateContent>
        <mc:AlternateContent xmlns:mc="http://schemas.openxmlformats.org/markup-compatibility/2006">
          <mc:Choice Requires="x14">
            <control shapeId="15674" r:id="rId112" name="Check Box 314">
              <controlPr locked="0" defaultSize="0" autoFill="0" autoLine="0" autoPict="0">
                <anchor moveWithCells="1" sizeWithCells="1">
                  <from>
                    <xdr:col>22</xdr:col>
                    <xdr:colOff>0</xdr:colOff>
                    <xdr:row>544</xdr:row>
                    <xdr:rowOff>0</xdr:rowOff>
                  </from>
                  <to>
                    <xdr:col>22</xdr:col>
                    <xdr:colOff>184150</xdr:colOff>
                    <xdr:row>544</xdr:row>
                    <xdr:rowOff>184150</xdr:rowOff>
                  </to>
                </anchor>
              </controlPr>
            </control>
          </mc:Choice>
        </mc:AlternateContent>
        <mc:AlternateContent xmlns:mc="http://schemas.openxmlformats.org/markup-compatibility/2006">
          <mc:Choice Requires="x14">
            <control shapeId="15675" r:id="rId113" name="Check Box 315">
              <controlPr locked="0" defaultSize="0" autoFill="0" autoLine="0" autoPict="0">
                <anchor moveWithCells="1" sizeWithCells="1">
                  <from>
                    <xdr:col>22</xdr:col>
                    <xdr:colOff>0</xdr:colOff>
                    <xdr:row>546</xdr:row>
                    <xdr:rowOff>0</xdr:rowOff>
                  </from>
                  <to>
                    <xdr:col>22</xdr:col>
                    <xdr:colOff>184150</xdr:colOff>
                    <xdr:row>546</xdr:row>
                    <xdr:rowOff>184150</xdr:rowOff>
                  </to>
                </anchor>
              </controlPr>
            </control>
          </mc:Choice>
        </mc:AlternateContent>
        <mc:AlternateContent xmlns:mc="http://schemas.openxmlformats.org/markup-compatibility/2006">
          <mc:Choice Requires="x14">
            <control shapeId="15676" r:id="rId114" name="Check Box 316">
              <controlPr locked="0" defaultSize="0" autoFill="0" autoLine="0" autoPict="0">
                <anchor moveWithCells="1" sizeWithCells="1">
                  <from>
                    <xdr:col>22</xdr:col>
                    <xdr:colOff>0</xdr:colOff>
                    <xdr:row>547</xdr:row>
                    <xdr:rowOff>0</xdr:rowOff>
                  </from>
                  <to>
                    <xdr:col>22</xdr:col>
                    <xdr:colOff>184150</xdr:colOff>
                    <xdr:row>547</xdr:row>
                    <xdr:rowOff>184150</xdr:rowOff>
                  </to>
                </anchor>
              </controlPr>
            </control>
          </mc:Choice>
        </mc:AlternateContent>
        <mc:AlternateContent xmlns:mc="http://schemas.openxmlformats.org/markup-compatibility/2006">
          <mc:Choice Requires="x14">
            <control shapeId="15677" r:id="rId115" name="Check Box 317">
              <controlPr locked="0" defaultSize="0" autoFill="0" autoLine="0" autoPict="0">
                <anchor moveWithCells="1" sizeWithCells="1">
                  <from>
                    <xdr:col>22</xdr:col>
                    <xdr:colOff>0</xdr:colOff>
                    <xdr:row>550</xdr:row>
                    <xdr:rowOff>0</xdr:rowOff>
                  </from>
                  <to>
                    <xdr:col>22</xdr:col>
                    <xdr:colOff>184150</xdr:colOff>
                    <xdr:row>550</xdr:row>
                    <xdr:rowOff>184150</xdr:rowOff>
                  </to>
                </anchor>
              </controlPr>
            </control>
          </mc:Choice>
        </mc:AlternateContent>
        <mc:AlternateContent xmlns:mc="http://schemas.openxmlformats.org/markup-compatibility/2006">
          <mc:Choice Requires="x14">
            <control shapeId="15678" r:id="rId116" name="Check Box 318">
              <controlPr locked="0" defaultSize="0" autoFill="0" autoLine="0" autoPict="0">
                <anchor moveWithCells="1" sizeWithCells="1">
                  <from>
                    <xdr:col>22</xdr:col>
                    <xdr:colOff>0</xdr:colOff>
                    <xdr:row>554</xdr:row>
                    <xdr:rowOff>0</xdr:rowOff>
                  </from>
                  <to>
                    <xdr:col>22</xdr:col>
                    <xdr:colOff>184150</xdr:colOff>
                    <xdr:row>554</xdr:row>
                    <xdr:rowOff>184150</xdr:rowOff>
                  </to>
                </anchor>
              </controlPr>
            </control>
          </mc:Choice>
        </mc:AlternateContent>
        <mc:AlternateContent xmlns:mc="http://schemas.openxmlformats.org/markup-compatibility/2006">
          <mc:Choice Requires="x14">
            <control shapeId="15679" r:id="rId117" name="Check Box 319">
              <controlPr locked="0" defaultSize="0" autoFill="0" autoLine="0" autoPict="0">
                <anchor moveWithCells="1" sizeWithCells="1">
                  <from>
                    <xdr:col>22</xdr:col>
                    <xdr:colOff>0</xdr:colOff>
                    <xdr:row>559</xdr:row>
                    <xdr:rowOff>0</xdr:rowOff>
                  </from>
                  <to>
                    <xdr:col>22</xdr:col>
                    <xdr:colOff>184150</xdr:colOff>
                    <xdr:row>559</xdr:row>
                    <xdr:rowOff>184150</xdr:rowOff>
                  </to>
                </anchor>
              </controlPr>
            </control>
          </mc:Choice>
        </mc:AlternateContent>
        <mc:AlternateContent xmlns:mc="http://schemas.openxmlformats.org/markup-compatibility/2006">
          <mc:Choice Requires="x14">
            <control shapeId="15680" r:id="rId118" name="Check Box 320">
              <controlPr locked="0" defaultSize="0" autoFill="0" autoLine="0" autoPict="0">
                <anchor moveWithCells="1" sizeWithCells="1">
                  <from>
                    <xdr:col>22</xdr:col>
                    <xdr:colOff>0</xdr:colOff>
                    <xdr:row>561</xdr:row>
                    <xdr:rowOff>0</xdr:rowOff>
                  </from>
                  <to>
                    <xdr:col>22</xdr:col>
                    <xdr:colOff>184150</xdr:colOff>
                    <xdr:row>561</xdr:row>
                    <xdr:rowOff>184150</xdr:rowOff>
                  </to>
                </anchor>
              </controlPr>
            </control>
          </mc:Choice>
        </mc:AlternateContent>
        <mc:AlternateContent xmlns:mc="http://schemas.openxmlformats.org/markup-compatibility/2006">
          <mc:Choice Requires="x14">
            <control shapeId="15681" r:id="rId119" name="Check Box 321">
              <controlPr locked="0" defaultSize="0" autoFill="0" autoLine="0" autoPict="0">
                <anchor moveWithCells="1" sizeWithCells="1">
                  <from>
                    <xdr:col>22</xdr:col>
                    <xdr:colOff>0</xdr:colOff>
                    <xdr:row>578</xdr:row>
                    <xdr:rowOff>0</xdr:rowOff>
                  </from>
                  <to>
                    <xdr:col>22</xdr:col>
                    <xdr:colOff>184150</xdr:colOff>
                    <xdr:row>578</xdr:row>
                    <xdr:rowOff>184150</xdr:rowOff>
                  </to>
                </anchor>
              </controlPr>
            </control>
          </mc:Choice>
        </mc:AlternateContent>
        <mc:AlternateContent xmlns:mc="http://schemas.openxmlformats.org/markup-compatibility/2006">
          <mc:Choice Requires="x14">
            <control shapeId="15682" r:id="rId120" name="Check Box 322">
              <controlPr locked="0" defaultSize="0" autoFill="0" autoLine="0" autoPict="0">
                <anchor moveWithCells="1" sizeWithCells="1">
                  <from>
                    <xdr:col>22</xdr:col>
                    <xdr:colOff>0</xdr:colOff>
                    <xdr:row>595</xdr:row>
                    <xdr:rowOff>0</xdr:rowOff>
                  </from>
                  <to>
                    <xdr:col>22</xdr:col>
                    <xdr:colOff>184150</xdr:colOff>
                    <xdr:row>595</xdr:row>
                    <xdr:rowOff>184150</xdr:rowOff>
                  </to>
                </anchor>
              </controlPr>
            </control>
          </mc:Choice>
        </mc:AlternateContent>
        <mc:AlternateContent xmlns:mc="http://schemas.openxmlformats.org/markup-compatibility/2006">
          <mc:Choice Requires="x14">
            <control shapeId="15683" r:id="rId121" name="Check Box 323">
              <controlPr locked="0" defaultSize="0" autoFill="0" autoLine="0" autoPict="0">
                <anchor moveWithCells="1" sizeWithCells="1">
                  <from>
                    <xdr:col>22</xdr:col>
                    <xdr:colOff>0</xdr:colOff>
                    <xdr:row>608</xdr:row>
                    <xdr:rowOff>0</xdr:rowOff>
                  </from>
                  <to>
                    <xdr:col>22</xdr:col>
                    <xdr:colOff>184150</xdr:colOff>
                    <xdr:row>608</xdr:row>
                    <xdr:rowOff>184150</xdr:rowOff>
                  </to>
                </anchor>
              </controlPr>
            </control>
          </mc:Choice>
        </mc:AlternateContent>
        <mc:AlternateContent xmlns:mc="http://schemas.openxmlformats.org/markup-compatibility/2006">
          <mc:Choice Requires="x14">
            <control shapeId="15684" r:id="rId122" name="Check Box 324">
              <controlPr locked="0" defaultSize="0" autoFill="0" autoLine="0" autoPict="0">
                <anchor moveWithCells="1" sizeWithCells="1">
                  <from>
                    <xdr:col>22</xdr:col>
                    <xdr:colOff>0</xdr:colOff>
                    <xdr:row>610</xdr:row>
                    <xdr:rowOff>0</xdr:rowOff>
                  </from>
                  <to>
                    <xdr:col>22</xdr:col>
                    <xdr:colOff>184150</xdr:colOff>
                    <xdr:row>610</xdr:row>
                    <xdr:rowOff>184150</xdr:rowOff>
                  </to>
                </anchor>
              </controlPr>
            </control>
          </mc:Choice>
        </mc:AlternateContent>
        <mc:AlternateContent xmlns:mc="http://schemas.openxmlformats.org/markup-compatibility/2006">
          <mc:Choice Requires="x14">
            <control shapeId="15685" r:id="rId123" name="Check Box 325">
              <controlPr locked="0" defaultSize="0" autoFill="0" autoLine="0" autoPict="0">
                <anchor moveWithCells="1" sizeWithCells="1">
                  <from>
                    <xdr:col>22</xdr:col>
                    <xdr:colOff>0</xdr:colOff>
                    <xdr:row>623</xdr:row>
                    <xdr:rowOff>0</xdr:rowOff>
                  </from>
                  <to>
                    <xdr:col>22</xdr:col>
                    <xdr:colOff>184150</xdr:colOff>
                    <xdr:row>623</xdr:row>
                    <xdr:rowOff>184150</xdr:rowOff>
                  </to>
                </anchor>
              </controlPr>
            </control>
          </mc:Choice>
        </mc:AlternateContent>
        <mc:AlternateContent xmlns:mc="http://schemas.openxmlformats.org/markup-compatibility/2006">
          <mc:Choice Requires="x14">
            <control shapeId="15686" r:id="rId124" name="Check Box 326">
              <controlPr locked="0" defaultSize="0" autoFill="0" autoLine="0" autoPict="0">
                <anchor moveWithCells="1" sizeWithCells="1">
                  <from>
                    <xdr:col>22</xdr:col>
                    <xdr:colOff>0</xdr:colOff>
                    <xdr:row>624</xdr:row>
                    <xdr:rowOff>0</xdr:rowOff>
                  </from>
                  <to>
                    <xdr:col>22</xdr:col>
                    <xdr:colOff>184150</xdr:colOff>
                    <xdr:row>624</xdr:row>
                    <xdr:rowOff>184150</xdr:rowOff>
                  </to>
                </anchor>
              </controlPr>
            </control>
          </mc:Choice>
        </mc:AlternateContent>
        <mc:AlternateContent xmlns:mc="http://schemas.openxmlformats.org/markup-compatibility/2006">
          <mc:Choice Requires="x14">
            <control shapeId="15687" r:id="rId125" name="Check Box 327">
              <controlPr locked="0" defaultSize="0" autoFill="0" autoLine="0" autoPict="0">
                <anchor moveWithCells="1" sizeWithCells="1">
                  <from>
                    <xdr:col>22</xdr:col>
                    <xdr:colOff>0</xdr:colOff>
                    <xdr:row>625</xdr:row>
                    <xdr:rowOff>0</xdr:rowOff>
                  </from>
                  <to>
                    <xdr:col>22</xdr:col>
                    <xdr:colOff>184150</xdr:colOff>
                    <xdr:row>625</xdr:row>
                    <xdr:rowOff>184150</xdr:rowOff>
                  </to>
                </anchor>
              </controlPr>
            </control>
          </mc:Choice>
        </mc:AlternateContent>
        <mc:AlternateContent xmlns:mc="http://schemas.openxmlformats.org/markup-compatibility/2006">
          <mc:Choice Requires="x14">
            <control shapeId="15688" r:id="rId126" name="Check Box 328">
              <controlPr locked="0" defaultSize="0" autoFill="0" autoLine="0" autoPict="0">
                <anchor moveWithCells="1" sizeWithCells="1">
                  <from>
                    <xdr:col>22</xdr:col>
                    <xdr:colOff>0</xdr:colOff>
                    <xdr:row>626</xdr:row>
                    <xdr:rowOff>0</xdr:rowOff>
                  </from>
                  <to>
                    <xdr:col>22</xdr:col>
                    <xdr:colOff>184150</xdr:colOff>
                    <xdr:row>626</xdr:row>
                    <xdr:rowOff>184150</xdr:rowOff>
                  </to>
                </anchor>
              </controlPr>
            </control>
          </mc:Choice>
        </mc:AlternateContent>
        <mc:AlternateContent xmlns:mc="http://schemas.openxmlformats.org/markup-compatibility/2006">
          <mc:Choice Requires="x14">
            <control shapeId="15689" r:id="rId127" name="Check Box 329">
              <controlPr locked="0" defaultSize="0" autoFill="0" autoLine="0" autoPict="0">
                <anchor moveWithCells="1" sizeWithCells="1">
                  <from>
                    <xdr:col>22</xdr:col>
                    <xdr:colOff>0</xdr:colOff>
                    <xdr:row>627</xdr:row>
                    <xdr:rowOff>0</xdr:rowOff>
                  </from>
                  <to>
                    <xdr:col>22</xdr:col>
                    <xdr:colOff>184150</xdr:colOff>
                    <xdr:row>627</xdr:row>
                    <xdr:rowOff>184150</xdr:rowOff>
                  </to>
                </anchor>
              </controlPr>
            </control>
          </mc:Choice>
        </mc:AlternateContent>
        <mc:AlternateContent xmlns:mc="http://schemas.openxmlformats.org/markup-compatibility/2006">
          <mc:Choice Requires="x14">
            <control shapeId="15690" r:id="rId128" name="Check Box 330">
              <controlPr locked="0" defaultSize="0" autoFill="0" autoLine="0" autoPict="0">
                <anchor moveWithCells="1" sizeWithCells="1">
                  <from>
                    <xdr:col>22</xdr:col>
                    <xdr:colOff>0</xdr:colOff>
                    <xdr:row>628</xdr:row>
                    <xdr:rowOff>0</xdr:rowOff>
                  </from>
                  <to>
                    <xdr:col>22</xdr:col>
                    <xdr:colOff>184150</xdr:colOff>
                    <xdr:row>628</xdr:row>
                    <xdr:rowOff>184150</xdr:rowOff>
                  </to>
                </anchor>
              </controlPr>
            </control>
          </mc:Choice>
        </mc:AlternateContent>
        <mc:AlternateContent xmlns:mc="http://schemas.openxmlformats.org/markup-compatibility/2006">
          <mc:Choice Requires="x14">
            <control shapeId="15691" r:id="rId129" name="Check Box 331">
              <controlPr locked="0" defaultSize="0" autoFill="0" autoLine="0" autoPict="0">
                <anchor moveWithCells="1" sizeWithCells="1">
                  <from>
                    <xdr:col>22</xdr:col>
                    <xdr:colOff>0</xdr:colOff>
                    <xdr:row>629</xdr:row>
                    <xdr:rowOff>0</xdr:rowOff>
                  </from>
                  <to>
                    <xdr:col>22</xdr:col>
                    <xdr:colOff>184150</xdr:colOff>
                    <xdr:row>629</xdr:row>
                    <xdr:rowOff>184150</xdr:rowOff>
                  </to>
                </anchor>
              </controlPr>
            </control>
          </mc:Choice>
        </mc:AlternateContent>
        <mc:AlternateContent xmlns:mc="http://schemas.openxmlformats.org/markup-compatibility/2006">
          <mc:Choice Requires="x14">
            <control shapeId="15692" r:id="rId130" name="Check Box 332">
              <controlPr locked="0" defaultSize="0" autoFill="0" autoLine="0" autoPict="0">
                <anchor moveWithCells="1" sizeWithCells="1">
                  <from>
                    <xdr:col>22</xdr:col>
                    <xdr:colOff>0</xdr:colOff>
                    <xdr:row>630</xdr:row>
                    <xdr:rowOff>0</xdr:rowOff>
                  </from>
                  <to>
                    <xdr:col>22</xdr:col>
                    <xdr:colOff>184150</xdr:colOff>
                    <xdr:row>630</xdr:row>
                    <xdr:rowOff>184150</xdr:rowOff>
                  </to>
                </anchor>
              </controlPr>
            </control>
          </mc:Choice>
        </mc:AlternateContent>
        <mc:AlternateContent xmlns:mc="http://schemas.openxmlformats.org/markup-compatibility/2006">
          <mc:Choice Requires="x14">
            <control shapeId="15693" r:id="rId131" name="Check Box 333">
              <controlPr locked="0" defaultSize="0" autoFill="0" autoLine="0" autoPict="0">
                <anchor moveWithCells="1" sizeWithCells="1">
                  <from>
                    <xdr:col>22</xdr:col>
                    <xdr:colOff>0</xdr:colOff>
                    <xdr:row>631</xdr:row>
                    <xdr:rowOff>0</xdr:rowOff>
                  </from>
                  <to>
                    <xdr:col>22</xdr:col>
                    <xdr:colOff>184150</xdr:colOff>
                    <xdr:row>631</xdr:row>
                    <xdr:rowOff>184150</xdr:rowOff>
                  </to>
                </anchor>
              </controlPr>
            </control>
          </mc:Choice>
        </mc:AlternateContent>
        <mc:AlternateContent xmlns:mc="http://schemas.openxmlformats.org/markup-compatibility/2006">
          <mc:Choice Requires="x14">
            <control shapeId="15694" r:id="rId132" name="Check Box 334">
              <controlPr locked="0" defaultSize="0" autoFill="0" autoLine="0" autoPict="0">
                <anchor moveWithCells="1" sizeWithCells="1">
                  <from>
                    <xdr:col>22</xdr:col>
                    <xdr:colOff>0</xdr:colOff>
                    <xdr:row>682</xdr:row>
                    <xdr:rowOff>0</xdr:rowOff>
                  </from>
                  <to>
                    <xdr:col>22</xdr:col>
                    <xdr:colOff>184150</xdr:colOff>
                    <xdr:row>682</xdr:row>
                    <xdr:rowOff>184150</xdr:rowOff>
                  </to>
                </anchor>
              </controlPr>
            </control>
          </mc:Choice>
        </mc:AlternateContent>
        <mc:AlternateContent xmlns:mc="http://schemas.openxmlformats.org/markup-compatibility/2006">
          <mc:Choice Requires="x14">
            <control shapeId="15695" r:id="rId133" name="Check Box 335">
              <controlPr locked="0" defaultSize="0" autoFill="0" autoLine="0" autoPict="0">
                <anchor moveWithCells="1" sizeWithCells="1">
                  <from>
                    <xdr:col>22</xdr:col>
                    <xdr:colOff>0</xdr:colOff>
                    <xdr:row>687</xdr:row>
                    <xdr:rowOff>0</xdr:rowOff>
                  </from>
                  <to>
                    <xdr:col>22</xdr:col>
                    <xdr:colOff>184150</xdr:colOff>
                    <xdr:row>687</xdr:row>
                    <xdr:rowOff>184150</xdr:rowOff>
                  </to>
                </anchor>
              </controlPr>
            </control>
          </mc:Choice>
        </mc:AlternateContent>
        <mc:AlternateContent xmlns:mc="http://schemas.openxmlformats.org/markup-compatibility/2006">
          <mc:Choice Requires="x14">
            <control shapeId="15696" r:id="rId134" name="Check Box 336">
              <controlPr locked="0" defaultSize="0" autoFill="0" autoLine="0" autoPict="0">
                <anchor moveWithCells="1" sizeWithCells="1">
                  <from>
                    <xdr:col>22</xdr:col>
                    <xdr:colOff>0</xdr:colOff>
                    <xdr:row>693</xdr:row>
                    <xdr:rowOff>0</xdr:rowOff>
                  </from>
                  <to>
                    <xdr:col>22</xdr:col>
                    <xdr:colOff>184150</xdr:colOff>
                    <xdr:row>693</xdr:row>
                    <xdr:rowOff>184150</xdr:rowOff>
                  </to>
                </anchor>
              </controlPr>
            </control>
          </mc:Choice>
        </mc:AlternateContent>
        <mc:AlternateContent xmlns:mc="http://schemas.openxmlformats.org/markup-compatibility/2006">
          <mc:Choice Requires="x14">
            <control shapeId="15697" r:id="rId135" name="Check Box 337">
              <controlPr locked="0" defaultSize="0" autoFill="0" autoLine="0" autoPict="0">
                <anchor moveWithCells="1" sizeWithCells="1">
                  <from>
                    <xdr:col>22</xdr:col>
                    <xdr:colOff>0</xdr:colOff>
                    <xdr:row>726</xdr:row>
                    <xdr:rowOff>0</xdr:rowOff>
                  </from>
                  <to>
                    <xdr:col>22</xdr:col>
                    <xdr:colOff>184150</xdr:colOff>
                    <xdr:row>726</xdr:row>
                    <xdr:rowOff>184150</xdr:rowOff>
                  </to>
                </anchor>
              </controlPr>
            </control>
          </mc:Choice>
        </mc:AlternateContent>
        <mc:AlternateContent xmlns:mc="http://schemas.openxmlformats.org/markup-compatibility/2006">
          <mc:Choice Requires="x14">
            <control shapeId="15698" r:id="rId136" name="Check Box 338">
              <controlPr locked="0" defaultSize="0" autoFill="0" autoLine="0" autoPict="0">
                <anchor moveWithCells="1" sizeWithCells="1">
                  <from>
                    <xdr:col>22</xdr:col>
                    <xdr:colOff>0</xdr:colOff>
                    <xdr:row>735</xdr:row>
                    <xdr:rowOff>0</xdr:rowOff>
                  </from>
                  <to>
                    <xdr:col>22</xdr:col>
                    <xdr:colOff>184150</xdr:colOff>
                    <xdr:row>735</xdr:row>
                    <xdr:rowOff>184150</xdr:rowOff>
                  </to>
                </anchor>
              </controlPr>
            </control>
          </mc:Choice>
        </mc:AlternateContent>
        <mc:AlternateContent xmlns:mc="http://schemas.openxmlformats.org/markup-compatibility/2006">
          <mc:Choice Requires="x14">
            <control shapeId="15699" r:id="rId137" name="Check Box 339">
              <controlPr locked="0" defaultSize="0" autoFill="0" autoLine="0" autoPict="0">
                <anchor moveWithCells="1" sizeWithCells="1">
                  <from>
                    <xdr:col>22</xdr:col>
                    <xdr:colOff>0</xdr:colOff>
                    <xdr:row>743</xdr:row>
                    <xdr:rowOff>0</xdr:rowOff>
                  </from>
                  <to>
                    <xdr:col>22</xdr:col>
                    <xdr:colOff>184150</xdr:colOff>
                    <xdr:row>743</xdr:row>
                    <xdr:rowOff>184150</xdr:rowOff>
                  </to>
                </anchor>
              </controlPr>
            </control>
          </mc:Choice>
        </mc:AlternateContent>
        <mc:AlternateContent xmlns:mc="http://schemas.openxmlformats.org/markup-compatibility/2006">
          <mc:Choice Requires="x14">
            <control shapeId="15700" r:id="rId138" name="Check Box 340">
              <controlPr locked="0" defaultSize="0" autoFill="0" autoLine="0" autoPict="0">
                <anchor moveWithCells="1" sizeWithCells="1">
                  <from>
                    <xdr:col>22</xdr:col>
                    <xdr:colOff>0</xdr:colOff>
                    <xdr:row>823</xdr:row>
                    <xdr:rowOff>0</xdr:rowOff>
                  </from>
                  <to>
                    <xdr:col>22</xdr:col>
                    <xdr:colOff>184150</xdr:colOff>
                    <xdr:row>823</xdr:row>
                    <xdr:rowOff>184150</xdr:rowOff>
                  </to>
                </anchor>
              </controlPr>
            </control>
          </mc:Choice>
        </mc:AlternateContent>
        <mc:AlternateContent xmlns:mc="http://schemas.openxmlformats.org/markup-compatibility/2006">
          <mc:Choice Requires="x14">
            <control shapeId="15701" r:id="rId139" name="Check Box 341">
              <controlPr locked="0" defaultSize="0" autoFill="0" autoLine="0" autoPict="0">
                <anchor moveWithCells="1" sizeWithCells="1">
                  <from>
                    <xdr:col>22</xdr:col>
                    <xdr:colOff>0</xdr:colOff>
                    <xdr:row>824</xdr:row>
                    <xdr:rowOff>0</xdr:rowOff>
                  </from>
                  <to>
                    <xdr:col>22</xdr:col>
                    <xdr:colOff>184150</xdr:colOff>
                    <xdr:row>824</xdr:row>
                    <xdr:rowOff>184150</xdr:rowOff>
                  </to>
                </anchor>
              </controlPr>
            </control>
          </mc:Choice>
        </mc:AlternateContent>
        <mc:AlternateContent xmlns:mc="http://schemas.openxmlformats.org/markup-compatibility/2006">
          <mc:Choice Requires="x14">
            <control shapeId="15702" r:id="rId140" name="Check Box 342">
              <controlPr locked="0" defaultSize="0" autoFill="0" autoLine="0" autoPict="0">
                <anchor moveWithCells="1" sizeWithCells="1">
                  <from>
                    <xdr:col>22</xdr:col>
                    <xdr:colOff>0</xdr:colOff>
                    <xdr:row>828</xdr:row>
                    <xdr:rowOff>0</xdr:rowOff>
                  </from>
                  <to>
                    <xdr:col>22</xdr:col>
                    <xdr:colOff>184150</xdr:colOff>
                    <xdr:row>828</xdr:row>
                    <xdr:rowOff>184150</xdr:rowOff>
                  </to>
                </anchor>
              </controlPr>
            </control>
          </mc:Choice>
        </mc:AlternateContent>
        <mc:AlternateContent xmlns:mc="http://schemas.openxmlformats.org/markup-compatibility/2006">
          <mc:Choice Requires="x14">
            <control shapeId="15703" r:id="rId141" name="Check Box 343">
              <controlPr locked="0" defaultSize="0" autoFill="0" autoLine="0" autoPict="0">
                <anchor moveWithCells="1" sizeWithCells="1">
                  <from>
                    <xdr:col>22</xdr:col>
                    <xdr:colOff>0</xdr:colOff>
                    <xdr:row>826</xdr:row>
                    <xdr:rowOff>0</xdr:rowOff>
                  </from>
                  <to>
                    <xdr:col>22</xdr:col>
                    <xdr:colOff>184150</xdr:colOff>
                    <xdr:row>826</xdr:row>
                    <xdr:rowOff>184150</xdr:rowOff>
                  </to>
                </anchor>
              </controlPr>
            </control>
          </mc:Choice>
        </mc:AlternateContent>
        <mc:AlternateContent xmlns:mc="http://schemas.openxmlformats.org/markup-compatibility/2006">
          <mc:Choice Requires="x14">
            <control shapeId="15704" r:id="rId142" name="Check Box 344">
              <controlPr locked="0" defaultSize="0" autoFill="0" autoLine="0" autoPict="0">
                <anchor moveWithCells="1" sizeWithCells="1">
                  <from>
                    <xdr:col>22</xdr:col>
                    <xdr:colOff>0</xdr:colOff>
                    <xdr:row>830</xdr:row>
                    <xdr:rowOff>0</xdr:rowOff>
                  </from>
                  <to>
                    <xdr:col>22</xdr:col>
                    <xdr:colOff>184150</xdr:colOff>
                    <xdr:row>830</xdr:row>
                    <xdr:rowOff>184150</xdr:rowOff>
                  </to>
                </anchor>
              </controlPr>
            </control>
          </mc:Choice>
        </mc:AlternateContent>
        <mc:AlternateContent xmlns:mc="http://schemas.openxmlformats.org/markup-compatibility/2006">
          <mc:Choice Requires="x14">
            <control shapeId="15705" r:id="rId143" name="Check Box 345">
              <controlPr locked="0" defaultSize="0" autoFill="0" autoLine="0" autoPict="0">
                <anchor moveWithCells="1" sizeWithCells="1">
                  <from>
                    <xdr:col>22</xdr:col>
                    <xdr:colOff>0</xdr:colOff>
                    <xdr:row>832</xdr:row>
                    <xdr:rowOff>0</xdr:rowOff>
                  </from>
                  <to>
                    <xdr:col>22</xdr:col>
                    <xdr:colOff>184150</xdr:colOff>
                    <xdr:row>832</xdr:row>
                    <xdr:rowOff>184150</xdr:rowOff>
                  </to>
                </anchor>
              </controlPr>
            </control>
          </mc:Choice>
        </mc:AlternateContent>
        <mc:AlternateContent xmlns:mc="http://schemas.openxmlformats.org/markup-compatibility/2006">
          <mc:Choice Requires="x14">
            <control shapeId="15706" r:id="rId144" name="Check Box 346">
              <controlPr locked="0" defaultSize="0" autoFill="0" autoLine="0" autoPict="0">
                <anchor moveWithCells="1" sizeWithCells="1">
                  <from>
                    <xdr:col>22</xdr:col>
                    <xdr:colOff>0</xdr:colOff>
                    <xdr:row>834</xdr:row>
                    <xdr:rowOff>0</xdr:rowOff>
                  </from>
                  <to>
                    <xdr:col>22</xdr:col>
                    <xdr:colOff>184150</xdr:colOff>
                    <xdr:row>834</xdr:row>
                    <xdr:rowOff>184150</xdr:rowOff>
                  </to>
                </anchor>
              </controlPr>
            </control>
          </mc:Choice>
        </mc:AlternateContent>
        <mc:AlternateContent xmlns:mc="http://schemas.openxmlformats.org/markup-compatibility/2006">
          <mc:Choice Requires="x14">
            <control shapeId="15707" r:id="rId145" name="Check Box 347">
              <controlPr locked="0" defaultSize="0" autoFill="0" autoLine="0" autoPict="0">
                <anchor moveWithCells="1" sizeWithCells="1">
                  <from>
                    <xdr:col>22</xdr:col>
                    <xdr:colOff>0</xdr:colOff>
                    <xdr:row>838</xdr:row>
                    <xdr:rowOff>0</xdr:rowOff>
                  </from>
                  <to>
                    <xdr:col>22</xdr:col>
                    <xdr:colOff>184150</xdr:colOff>
                    <xdr:row>838</xdr:row>
                    <xdr:rowOff>184150</xdr:rowOff>
                  </to>
                </anchor>
              </controlPr>
            </control>
          </mc:Choice>
        </mc:AlternateContent>
        <mc:AlternateContent xmlns:mc="http://schemas.openxmlformats.org/markup-compatibility/2006">
          <mc:Choice Requires="x14">
            <control shapeId="15708" r:id="rId146" name="Check Box 348">
              <controlPr locked="0" defaultSize="0" autoFill="0" autoLine="0" autoPict="0">
                <anchor moveWithCells="1" sizeWithCells="1">
                  <from>
                    <xdr:col>22</xdr:col>
                    <xdr:colOff>0</xdr:colOff>
                    <xdr:row>843</xdr:row>
                    <xdr:rowOff>0</xdr:rowOff>
                  </from>
                  <to>
                    <xdr:col>22</xdr:col>
                    <xdr:colOff>184150</xdr:colOff>
                    <xdr:row>843</xdr:row>
                    <xdr:rowOff>184150</xdr:rowOff>
                  </to>
                </anchor>
              </controlPr>
            </control>
          </mc:Choice>
        </mc:AlternateContent>
        <mc:AlternateContent xmlns:mc="http://schemas.openxmlformats.org/markup-compatibility/2006">
          <mc:Choice Requires="x14">
            <control shapeId="15709" r:id="rId147" name="Check Box 349">
              <controlPr locked="0" defaultSize="0" autoFill="0" autoLine="0" autoPict="0">
                <anchor moveWithCells="1" sizeWithCells="1">
                  <from>
                    <xdr:col>22</xdr:col>
                    <xdr:colOff>0</xdr:colOff>
                    <xdr:row>847</xdr:row>
                    <xdr:rowOff>0</xdr:rowOff>
                  </from>
                  <to>
                    <xdr:col>22</xdr:col>
                    <xdr:colOff>184150</xdr:colOff>
                    <xdr:row>847</xdr:row>
                    <xdr:rowOff>184150</xdr:rowOff>
                  </to>
                </anchor>
              </controlPr>
            </control>
          </mc:Choice>
        </mc:AlternateContent>
        <mc:AlternateContent xmlns:mc="http://schemas.openxmlformats.org/markup-compatibility/2006">
          <mc:Choice Requires="x14">
            <control shapeId="15710" r:id="rId148" name="Check Box 350">
              <controlPr locked="0" defaultSize="0" autoFill="0" autoLine="0" autoPict="0">
                <anchor moveWithCells="1" sizeWithCells="1">
                  <from>
                    <xdr:col>22</xdr:col>
                    <xdr:colOff>0</xdr:colOff>
                    <xdr:row>849</xdr:row>
                    <xdr:rowOff>0</xdr:rowOff>
                  </from>
                  <to>
                    <xdr:col>22</xdr:col>
                    <xdr:colOff>184150</xdr:colOff>
                    <xdr:row>849</xdr:row>
                    <xdr:rowOff>184150</xdr:rowOff>
                  </to>
                </anchor>
              </controlPr>
            </control>
          </mc:Choice>
        </mc:AlternateContent>
        <mc:AlternateContent xmlns:mc="http://schemas.openxmlformats.org/markup-compatibility/2006">
          <mc:Choice Requires="x14">
            <control shapeId="15711" r:id="rId149" name="Check Box 351">
              <controlPr locked="0" defaultSize="0" autoFill="0" autoLine="0" autoPict="0">
                <anchor moveWithCells="1" sizeWithCells="1">
                  <from>
                    <xdr:col>22</xdr:col>
                    <xdr:colOff>0</xdr:colOff>
                    <xdr:row>851</xdr:row>
                    <xdr:rowOff>0</xdr:rowOff>
                  </from>
                  <to>
                    <xdr:col>22</xdr:col>
                    <xdr:colOff>184150</xdr:colOff>
                    <xdr:row>851</xdr:row>
                    <xdr:rowOff>184150</xdr:rowOff>
                  </to>
                </anchor>
              </controlPr>
            </control>
          </mc:Choice>
        </mc:AlternateContent>
        <mc:AlternateContent xmlns:mc="http://schemas.openxmlformats.org/markup-compatibility/2006">
          <mc:Choice Requires="x14">
            <control shapeId="15712" r:id="rId150" name="Check Box 352">
              <controlPr locked="0" defaultSize="0" autoFill="0" autoLine="0" autoPict="0">
                <anchor moveWithCells="1" sizeWithCells="1">
                  <from>
                    <xdr:col>22</xdr:col>
                    <xdr:colOff>0</xdr:colOff>
                    <xdr:row>852</xdr:row>
                    <xdr:rowOff>0</xdr:rowOff>
                  </from>
                  <to>
                    <xdr:col>22</xdr:col>
                    <xdr:colOff>184150</xdr:colOff>
                    <xdr:row>852</xdr:row>
                    <xdr:rowOff>184150</xdr:rowOff>
                  </to>
                </anchor>
              </controlPr>
            </control>
          </mc:Choice>
        </mc:AlternateContent>
        <mc:AlternateContent xmlns:mc="http://schemas.openxmlformats.org/markup-compatibility/2006">
          <mc:Choice Requires="x14">
            <control shapeId="15713" r:id="rId151" name="Check Box 353">
              <controlPr locked="0" defaultSize="0" autoFill="0" autoLine="0" autoPict="0">
                <anchor moveWithCells="1" sizeWithCells="1">
                  <from>
                    <xdr:col>22</xdr:col>
                    <xdr:colOff>0</xdr:colOff>
                    <xdr:row>853</xdr:row>
                    <xdr:rowOff>0</xdr:rowOff>
                  </from>
                  <to>
                    <xdr:col>22</xdr:col>
                    <xdr:colOff>184150</xdr:colOff>
                    <xdr:row>853</xdr:row>
                    <xdr:rowOff>184150</xdr:rowOff>
                  </to>
                </anchor>
              </controlPr>
            </control>
          </mc:Choice>
        </mc:AlternateContent>
        <mc:AlternateContent xmlns:mc="http://schemas.openxmlformats.org/markup-compatibility/2006">
          <mc:Choice Requires="x14">
            <control shapeId="15714" r:id="rId152" name="Check Box 354">
              <controlPr locked="0" defaultSize="0" autoFill="0" autoLine="0" autoPict="0">
                <anchor moveWithCells="1" sizeWithCells="1">
                  <from>
                    <xdr:col>22</xdr:col>
                    <xdr:colOff>0</xdr:colOff>
                    <xdr:row>857</xdr:row>
                    <xdr:rowOff>0</xdr:rowOff>
                  </from>
                  <to>
                    <xdr:col>22</xdr:col>
                    <xdr:colOff>184150</xdr:colOff>
                    <xdr:row>857</xdr:row>
                    <xdr:rowOff>184150</xdr:rowOff>
                  </to>
                </anchor>
              </controlPr>
            </control>
          </mc:Choice>
        </mc:AlternateContent>
        <mc:AlternateContent xmlns:mc="http://schemas.openxmlformats.org/markup-compatibility/2006">
          <mc:Choice Requires="x14">
            <control shapeId="15804" r:id="rId153" name="Check Box 444">
              <controlPr locked="0" defaultSize="0" autoFill="0" autoLine="0" autoPict="0">
                <anchor moveWithCells="1" sizeWithCells="1">
                  <from>
                    <xdr:col>22</xdr:col>
                    <xdr:colOff>0</xdr:colOff>
                    <xdr:row>932</xdr:row>
                    <xdr:rowOff>0</xdr:rowOff>
                  </from>
                  <to>
                    <xdr:col>22</xdr:col>
                    <xdr:colOff>184150</xdr:colOff>
                    <xdr:row>932</xdr:row>
                    <xdr:rowOff>184150</xdr:rowOff>
                  </to>
                </anchor>
              </controlPr>
            </control>
          </mc:Choice>
        </mc:AlternateContent>
        <mc:AlternateContent xmlns:mc="http://schemas.openxmlformats.org/markup-compatibility/2006">
          <mc:Choice Requires="x14">
            <control shapeId="15805" r:id="rId154" name="Check Box 445">
              <controlPr locked="0" defaultSize="0" autoFill="0" autoLine="0" autoPict="0">
                <anchor moveWithCells="1" sizeWithCells="1">
                  <from>
                    <xdr:col>22</xdr:col>
                    <xdr:colOff>0</xdr:colOff>
                    <xdr:row>937</xdr:row>
                    <xdr:rowOff>0</xdr:rowOff>
                  </from>
                  <to>
                    <xdr:col>22</xdr:col>
                    <xdr:colOff>184150</xdr:colOff>
                    <xdr:row>937</xdr:row>
                    <xdr:rowOff>184150</xdr:rowOff>
                  </to>
                </anchor>
              </controlPr>
            </control>
          </mc:Choice>
        </mc:AlternateContent>
        <mc:AlternateContent xmlns:mc="http://schemas.openxmlformats.org/markup-compatibility/2006">
          <mc:Choice Requires="x14">
            <control shapeId="15806" r:id="rId155" name="Check Box 446">
              <controlPr locked="0" defaultSize="0" autoFill="0" autoLine="0" autoPict="0">
                <anchor moveWithCells="1" sizeWithCells="1">
                  <from>
                    <xdr:col>22</xdr:col>
                    <xdr:colOff>0</xdr:colOff>
                    <xdr:row>946</xdr:row>
                    <xdr:rowOff>0</xdr:rowOff>
                  </from>
                  <to>
                    <xdr:col>22</xdr:col>
                    <xdr:colOff>184150</xdr:colOff>
                    <xdr:row>946</xdr:row>
                    <xdr:rowOff>184150</xdr:rowOff>
                  </to>
                </anchor>
              </controlPr>
            </control>
          </mc:Choice>
        </mc:AlternateContent>
        <mc:AlternateContent xmlns:mc="http://schemas.openxmlformats.org/markup-compatibility/2006">
          <mc:Choice Requires="x14">
            <control shapeId="15807" r:id="rId156" name="Check Box 447">
              <controlPr locked="0" defaultSize="0" autoFill="0" autoLine="0" autoPict="0">
                <anchor moveWithCells="1" sizeWithCells="1">
                  <from>
                    <xdr:col>22</xdr:col>
                    <xdr:colOff>0</xdr:colOff>
                    <xdr:row>949</xdr:row>
                    <xdr:rowOff>0</xdr:rowOff>
                  </from>
                  <to>
                    <xdr:col>22</xdr:col>
                    <xdr:colOff>184150</xdr:colOff>
                    <xdr:row>949</xdr:row>
                    <xdr:rowOff>184150</xdr:rowOff>
                  </to>
                </anchor>
              </controlPr>
            </control>
          </mc:Choice>
        </mc:AlternateContent>
        <mc:AlternateContent xmlns:mc="http://schemas.openxmlformats.org/markup-compatibility/2006">
          <mc:Choice Requires="x14">
            <control shapeId="15808" r:id="rId157" name="Check Box 448">
              <controlPr locked="0" defaultSize="0" autoFill="0" autoLine="0" autoPict="0">
                <anchor moveWithCells="1" sizeWithCells="1">
                  <from>
                    <xdr:col>22</xdr:col>
                    <xdr:colOff>0</xdr:colOff>
                    <xdr:row>950</xdr:row>
                    <xdr:rowOff>0</xdr:rowOff>
                  </from>
                  <to>
                    <xdr:col>22</xdr:col>
                    <xdr:colOff>184150</xdr:colOff>
                    <xdr:row>950</xdr:row>
                    <xdr:rowOff>184150</xdr:rowOff>
                  </to>
                </anchor>
              </controlPr>
            </control>
          </mc:Choice>
        </mc:AlternateContent>
        <mc:AlternateContent xmlns:mc="http://schemas.openxmlformats.org/markup-compatibility/2006">
          <mc:Choice Requires="x14">
            <control shapeId="15809" r:id="rId158" name="Check Box 449">
              <controlPr locked="0" defaultSize="0" autoFill="0" autoLine="0" autoPict="0">
                <anchor moveWithCells="1" sizeWithCells="1">
                  <from>
                    <xdr:col>22</xdr:col>
                    <xdr:colOff>0</xdr:colOff>
                    <xdr:row>954</xdr:row>
                    <xdr:rowOff>0</xdr:rowOff>
                  </from>
                  <to>
                    <xdr:col>22</xdr:col>
                    <xdr:colOff>184150</xdr:colOff>
                    <xdr:row>954</xdr:row>
                    <xdr:rowOff>184150</xdr:rowOff>
                  </to>
                </anchor>
              </controlPr>
            </control>
          </mc:Choice>
        </mc:AlternateContent>
        <mc:AlternateContent xmlns:mc="http://schemas.openxmlformats.org/markup-compatibility/2006">
          <mc:Choice Requires="x14">
            <control shapeId="15811" r:id="rId159" name="Check Box 451">
              <controlPr locked="0" defaultSize="0" autoFill="0" autoLine="0" autoPict="0">
                <anchor moveWithCells="1" sizeWithCells="1">
                  <from>
                    <xdr:col>22</xdr:col>
                    <xdr:colOff>0</xdr:colOff>
                    <xdr:row>990</xdr:row>
                    <xdr:rowOff>0</xdr:rowOff>
                  </from>
                  <to>
                    <xdr:col>22</xdr:col>
                    <xdr:colOff>184150</xdr:colOff>
                    <xdr:row>990</xdr:row>
                    <xdr:rowOff>184150</xdr:rowOff>
                  </to>
                </anchor>
              </controlPr>
            </control>
          </mc:Choice>
        </mc:AlternateContent>
        <mc:AlternateContent xmlns:mc="http://schemas.openxmlformats.org/markup-compatibility/2006">
          <mc:Choice Requires="x14">
            <control shapeId="15812" r:id="rId160" name="Check Box 452">
              <controlPr locked="0" defaultSize="0" autoFill="0" autoLine="0" autoPict="0">
                <anchor moveWithCells="1" sizeWithCells="1">
                  <from>
                    <xdr:col>22</xdr:col>
                    <xdr:colOff>0</xdr:colOff>
                    <xdr:row>993</xdr:row>
                    <xdr:rowOff>0</xdr:rowOff>
                  </from>
                  <to>
                    <xdr:col>22</xdr:col>
                    <xdr:colOff>184150</xdr:colOff>
                    <xdr:row>993</xdr:row>
                    <xdr:rowOff>184150</xdr:rowOff>
                  </to>
                </anchor>
              </controlPr>
            </control>
          </mc:Choice>
        </mc:AlternateContent>
        <mc:AlternateContent xmlns:mc="http://schemas.openxmlformats.org/markup-compatibility/2006">
          <mc:Choice Requires="x14">
            <control shapeId="15813" r:id="rId161" name="Check Box 453">
              <controlPr locked="0" defaultSize="0" autoFill="0" autoLine="0" autoPict="0">
                <anchor moveWithCells="1" sizeWithCells="1">
                  <from>
                    <xdr:col>22</xdr:col>
                    <xdr:colOff>0</xdr:colOff>
                    <xdr:row>1019</xdr:row>
                    <xdr:rowOff>0</xdr:rowOff>
                  </from>
                  <to>
                    <xdr:col>22</xdr:col>
                    <xdr:colOff>184150</xdr:colOff>
                    <xdr:row>1019</xdr:row>
                    <xdr:rowOff>184150</xdr:rowOff>
                  </to>
                </anchor>
              </controlPr>
            </control>
          </mc:Choice>
        </mc:AlternateContent>
        <mc:AlternateContent xmlns:mc="http://schemas.openxmlformats.org/markup-compatibility/2006">
          <mc:Choice Requires="x14">
            <control shapeId="15814" r:id="rId162" name="Check Box 454">
              <controlPr locked="0" defaultSize="0" autoFill="0" autoLine="0" autoPict="0">
                <anchor moveWithCells="1" sizeWithCells="1">
                  <from>
                    <xdr:col>22</xdr:col>
                    <xdr:colOff>0</xdr:colOff>
                    <xdr:row>1039</xdr:row>
                    <xdr:rowOff>0</xdr:rowOff>
                  </from>
                  <to>
                    <xdr:col>22</xdr:col>
                    <xdr:colOff>184150</xdr:colOff>
                    <xdr:row>1039</xdr:row>
                    <xdr:rowOff>184150</xdr:rowOff>
                  </to>
                </anchor>
              </controlPr>
            </control>
          </mc:Choice>
        </mc:AlternateContent>
        <mc:AlternateContent xmlns:mc="http://schemas.openxmlformats.org/markup-compatibility/2006">
          <mc:Choice Requires="x14">
            <control shapeId="15815" r:id="rId163" name="Check Box 455">
              <controlPr locked="0" defaultSize="0" autoFill="0" autoLine="0" autoPict="0">
                <anchor moveWithCells="1" sizeWithCells="1">
                  <from>
                    <xdr:col>22</xdr:col>
                    <xdr:colOff>0</xdr:colOff>
                    <xdr:row>1041</xdr:row>
                    <xdr:rowOff>0</xdr:rowOff>
                  </from>
                  <to>
                    <xdr:col>22</xdr:col>
                    <xdr:colOff>184150</xdr:colOff>
                    <xdr:row>1041</xdr:row>
                    <xdr:rowOff>184150</xdr:rowOff>
                  </to>
                </anchor>
              </controlPr>
            </control>
          </mc:Choice>
        </mc:AlternateContent>
        <mc:AlternateContent xmlns:mc="http://schemas.openxmlformats.org/markup-compatibility/2006">
          <mc:Choice Requires="x14">
            <control shapeId="15816" r:id="rId164" name="Check Box 456">
              <controlPr locked="0" defaultSize="0" autoFill="0" autoLine="0" autoPict="0">
                <anchor moveWithCells="1" sizeWithCells="1">
                  <from>
                    <xdr:col>22</xdr:col>
                    <xdr:colOff>0</xdr:colOff>
                    <xdr:row>1042</xdr:row>
                    <xdr:rowOff>0</xdr:rowOff>
                  </from>
                  <to>
                    <xdr:col>22</xdr:col>
                    <xdr:colOff>184150</xdr:colOff>
                    <xdr:row>1042</xdr:row>
                    <xdr:rowOff>184150</xdr:rowOff>
                  </to>
                </anchor>
              </controlPr>
            </control>
          </mc:Choice>
        </mc:AlternateContent>
        <mc:AlternateContent xmlns:mc="http://schemas.openxmlformats.org/markup-compatibility/2006">
          <mc:Choice Requires="x14">
            <control shapeId="15817" r:id="rId165" name="Check Box 457">
              <controlPr locked="0" defaultSize="0" autoFill="0" autoLine="0" autoPict="0">
                <anchor moveWithCells="1" sizeWithCells="1">
                  <from>
                    <xdr:col>22</xdr:col>
                    <xdr:colOff>0</xdr:colOff>
                    <xdr:row>1048</xdr:row>
                    <xdr:rowOff>0</xdr:rowOff>
                  </from>
                  <to>
                    <xdr:col>22</xdr:col>
                    <xdr:colOff>184150</xdr:colOff>
                    <xdr:row>1048</xdr:row>
                    <xdr:rowOff>184150</xdr:rowOff>
                  </to>
                </anchor>
              </controlPr>
            </control>
          </mc:Choice>
        </mc:AlternateContent>
        <mc:AlternateContent xmlns:mc="http://schemas.openxmlformats.org/markup-compatibility/2006">
          <mc:Choice Requires="x14">
            <control shapeId="15818" r:id="rId166" name="Check Box 458">
              <controlPr locked="0" defaultSize="0" autoFill="0" autoLine="0" autoPict="0">
                <anchor moveWithCells="1" sizeWithCells="1">
                  <from>
                    <xdr:col>22</xdr:col>
                    <xdr:colOff>0</xdr:colOff>
                    <xdr:row>1065</xdr:row>
                    <xdr:rowOff>0</xdr:rowOff>
                  </from>
                  <to>
                    <xdr:col>22</xdr:col>
                    <xdr:colOff>184150</xdr:colOff>
                    <xdr:row>1065</xdr:row>
                    <xdr:rowOff>184150</xdr:rowOff>
                  </to>
                </anchor>
              </controlPr>
            </control>
          </mc:Choice>
        </mc:AlternateContent>
        <mc:AlternateContent xmlns:mc="http://schemas.openxmlformats.org/markup-compatibility/2006">
          <mc:Choice Requires="x14">
            <control shapeId="15819" r:id="rId167" name="Check Box 459">
              <controlPr locked="0" defaultSize="0" autoFill="0" autoLine="0" autoPict="0">
                <anchor moveWithCells="1" sizeWithCells="1">
                  <from>
                    <xdr:col>22</xdr:col>
                    <xdr:colOff>0</xdr:colOff>
                    <xdr:row>1080</xdr:row>
                    <xdr:rowOff>0</xdr:rowOff>
                  </from>
                  <to>
                    <xdr:col>22</xdr:col>
                    <xdr:colOff>184150</xdr:colOff>
                    <xdr:row>1080</xdr:row>
                    <xdr:rowOff>184150</xdr:rowOff>
                  </to>
                </anchor>
              </controlPr>
            </control>
          </mc:Choice>
        </mc:AlternateContent>
        <mc:AlternateContent xmlns:mc="http://schemas.openxmlformats.org/markup-compatibility/2006">
          <mc:Choice Requires="x14">
            <control shapeId="15821" r:id="rId168" name="Check Box 461">
              <controlPr locked="0" defaultSize="0" autoFill="0" autoLine="0" autoPict="0">
                <anchor moveWithCells="1" sizeWithCells="1">
                  <from>
                    <xdr:col>22</xdr:col>
                    <xdr:colOff>0</xdr:colOff>
                    <xdr:row>1089</xdr:row>
                    <xdr:rowOff>0</xdr:rowOff>
                  </from>
                  <to>
                    <xdr:col>22</xdr:col>
                    <xdr:colOff>184150</xdr:colOff>
                    <xdr:row>1089</xdr:row>
                    <xdr:rowOff>184150</xdr:rowOff>
                  </to>
                </anchor>
              </controlPr>
            </control>
          </mc:Choice>
        </mc:AlternateContent>
        <mc:AlternateContent xmlns:mc="http://schemas.openxmlformats.org/markup-compatibility/2006">
          <mc:Choice Requires="x14">
            <control shapeId="15822" r:id="rId169" name="Check Box 462">
              <controlPr locked="0" defaultSize="0" autoFill="0" autoLine="0" autoPict="0">
                <anchor moveWithCells="1" sizeWithCells="1">
                  <from>
                    <xdr:col>22</xdr:col>
                    <xdr:colOff>0</xdr:colOff>
                    <xdr:row>1098</xdr:row>
                    <xdr:rowOff>0</xdr:rowOff>
                  </from>
                  <to>
                    <xdr:col>22</xdr:col>
                    <xdr:colOff>184150</xdr:colOff>
                    <xdr:row>1098</xdr:row>
                    <xdr:rowOff>184150</xdr:rowOff>
                  </to>
                </anchor>
              </controlPr>
            </control>
          </mc:Choice>
        </mc:AlternateContent>
        <mc:AlternateContent xmlns:mc="http://schemas.openxmlformats.org/markup-compatibility/2006">
          <mc:Choice Requires="x14">
            <control shapeId="15824" r:id="rId170" name="Check Box 464">
              <controlPr locked="0" defaultSize="0" autoFill="0" autoLine="0" autoPict="0">
                <anchor moveWithCells="1" sizeWithCells="1">
                  <from>
                    <xdr:col>22</xdr:col>
                    <xdr:colOff>0</xdr:colOff>
                    <xdr:row>1153</xdr:row>
                    <xdr:rowOff>0</xdr:rowOff>
                  </from>
                  <to>
                    <xdr:col>22</xdr:col>
                    <xdr:colOff>184150</xdr:colOff>
                    <xdr:row>1153</xdr:row>
                    <xdr:rowOff>184150</xdr:rowOff>
                  </to>
                </anchor>
              </controlPr>
            </control>
          </mc:Choice>
        </mc:AlternateContent>
        <mc:AlternateContent xmlns:mc="http://schemas.openxmlformats.org/markup-compatibility/2006">
          <mc:Choice Requires="x14">
            <control shapeId="15825" r:id="rId171" name="Check Box 465">
              <controlPr locked="0" defaultSize="0" autoFill="0" autoLine="0" autoPict="0">
                <anchor moveWithCells="1" sizeWithCells="1">
                  <from>
                    <xdr:col>22</xdr:col>
                    <xdr:colOff>0</xdr:colOff>
                    <xdr:row>1197</xdr:row>
                    <xdr:rowOff>0</xdr:rowOff>
                  </from>
                  <to>
                    <xdr:col>22</xdr:col>
                    <xdr:colOff>184150</xdr:colOff>
                    <xdr:row>1197</xdr:row>
                    <xdr:rowOff>184150</xdr:rowOff>
                  </to>
                </anchor>
              </controlPr>
            </control>
          </mc:Choice>
        </mc:AlternateContent>
        <mc:AlternateContent xmlns:mc="http://schemas.openxmlformats.org/markup-compatibility/2006">
          <mc:Choice Requires="x14">
            <control shapeId="15826" r:id="rId172" name="Check Box 466">
              <controlPr locked="0" defaultSize="0" autoFill="0" autoLine="0" autoPict="0">
                <anchor moveWithCells="1" sizeWithCells="1">
                  <from>
                    <xdr:col>22</xdr:col>
                    <xdr:colOff>0</xdr:colOff>
                    <xdr:row>1200</xdr:row>
                    <xdr:rowOff>0</xdr:rowOff>
                  </from>
                  <to>
                    <xdr:col>22</xdr:col>
                    <xdr:colOff>184150</xdr:colOff>
                    <xdr:row>1200</xdr:row>
                    <xdr:rowOff>184150</xdr:rowOff>
                  </to>
                </anchor>
              </controlPr>
            </control>
          </mc:Choice>
        </mc:AlternateContent>
        <mc:AlternateContent xmlns:mc="http://schemas.openxmlformats.org/markup-compatibility/2006">
          <mc:Choice Requires="x14">
            <control shapeId="15827" r:id="rId173" name="Check Box 467">
              <controlPr locked="0" defaultSize="0" autoFill="0" autoLine="0" autoPict="0">
                <anchor moveWithCells="1" sizeWithCells="1">
                  <from>
                    <xdr:col>22</xdr:col>
                    <xdr:colOff>0</xdr:colOff>
                    <xdr:row>1210</xdr:row>
                    <xdr:rowOff>0</xdr:rowOff>
                  </from>
                  <to>
                    <xdr:col>22</xdr:col>
                    <xdr:colOff>184150</xdr:colOff>
                    <xdr:row>1210</xdr:row>
                    <xdr:rowOff>184150</xdr:rowOff>
                  </to>
                </anchor>
              </controlPr>
            </control>
          </mc:Choice>
        </mc:AlternateContent>
        <mc:AlternateContent xmlns:mc="http://schemas.openxmlformats.org/markup-compatibility/2006">
          <mc:Choice Requires="x14">
            <control shapeId="15828" r:id="rId174" name="Check Box 468">
              <controlPr locked="0" defaultSize="0" autoFill="0" autoLine="0" autoPict="0">
                <anchor moveWithCells="1" sizeWithCells="1">
                  <from>
                    <xdr:col>22</xdr:col>
                    <xdr:colOff>0</xdr:colOff>
                    <xdr:row>1217</xdr:row>
                    <xdr:rowOff>0</xdr:rowOff>
                  </from>
                  <to>
                    <xdr:col>22</xdr:col>
                    <xdr:colOff>184150</xdr:colOff>
                    <xdr:row>1217</xdr:row>
                    <xdr:rowOff>184150</xdr:rowOff>
                  </to>
                </anchor>
              </controlPr>
            </control>
          </mc:Choice>
        </mc:AlternateContent>
        <mc:AlternateContent xmlns:mc="http://schemas.openxmlformats.org/markup-compatibility/2006">
          <mc:Choice Requires="x14">
            <control shapeId="15829" r:id="rId175" name="Check Box 469">
              <controlPr locked="0" defaultSize="0" autoFill="0" autoLine="0" autoPict="0">
                <anchor moveWithCells="1" sizeWithCells="1">
                  <from>
                    <xdr:col>22</xdr:col>
                    <xdr:colOff>0</xdr:colOff>
                    <xdr:row>1223</xdr:row>
                    <xdr:rowOff>0</xdr:rowOff>
                  </from>
                  <to>
                    <xdr:col>22</xdr:col>
                    <xdr:colOff>184150</xdr:colOff>
                    <xdr:row>1223</xdr:row>
                    <xdr:rowOff>184150</xdr:rowOff>
                  </to>
                </anchor>
              </controlPr>
            </control>
          </mc:Choice>
        </mc:AlternateContent>
        <mc:AlternateContent xmlns:mc="http://schemas.openxmlformats.org/markup-compatibility/2006">
          <mc:Choice Requires="x14">
            <control shapeId="15830" r:id="rId176" name="Check Box 470">
              <controlPr locked="0" defaultSize="0" autoFill="0" autoLine="0" autoPict="0">
                <anchor moveWithCells="1" sizeWithCells="1">
                  <from>
                    <xdr:col>22</xdr:col>
                    <xdr:colOff>0</xdr:colOff>
                    <xdr:row>1225</xdr:row>
                    <xdr:rowOff>0</xdr:rowOff>
                  </from>
                  <to>
                    <xdr:col>22</xdr:col>
                    <xdr:colOff>184150</xdr:colOff>
                    <xdr:row>1225</xdr:row>
                    <xdr:rowOff>184150</xdr:rowOff>
                  </to>
                </anchor>
              </controlPr>
            </control>
          </mc:Choice>
        </mc:AlternateContent>
        <mc:AlternateContent xmlns:mc="http://schemas.openxmlformats.org/markup-compatibility/2006">
          <mc:Choice Requires="x14">
            <control shapeId="15831" r:id="rId177" name="Check Box 471">
              <controlPr locked="0" defaultSize="0" autoFill="0" autoLine="0" autoPict="0">
                <anchor moveWithCells="1" sizeWithCells="1">
                  <from>
                    <xdr:col>22</xdr:col>
                    <xdr:colOff>0</xdr:colOff>
                    <xdr:row>1228</xdr:row>
                    <xdr:rowOff>0</xdr:rowOff>
                  </from>
                  <to>
                    <xdr:col>22</xdr:col>
                    <xdr:colOff>184150</xdr:colOff>
                    <xdr:row>1228</xdr:row>
                    <xdr:rowOff>184150</xdr:rowOff>
                  </to>
                </anchor>
              </controlPr>
            </control>
          </mc:Choice>
        </mc:AlternateContent>
        <mc:AlternateContent xmlns:mc="http://schemas.openxmlformats.org/markup-compatibility/2006">
          <mc:Choice Requires="x14">
            <control shapeId="15832" r:id="rId178" name="Check Box 472">
              <controlPr locked="0" defaultSize="0" autoFill="0" autoLine="0" autoPict="0">
                <anchor moveWithCells="1" sizeWithCells="1">
                  <from>
                    <xdr:col>22</xdr:col>
                    <xdr:colOff>0</xdr:colOff>
                    <xdr:row>1229</xdr:row>
                    <xdr:rowOff>0</xdr:rowOff>
                  </from>
                  <to>
                    <xdr:col>22</xdr:col>
                    <xdr:colOff>184150</xdr:colOff>
                    <xdr:row>1229</xdr:row>
                    <xdr:rowOff>184150</xdr:rowOff>
                  </to>
                </anchor>
              </controlPr>
            </control>
          </mc:Choice>
        </mc:AlternateContent>
        <mc:AlternateContent xmlns:mc="http://schemas.openxmlformats.org/markup-compatibility/2006">
          <mc:Choice Requires="x14">
            <control shapeId="15833" r:id="rId179" name="Check Box 473">
              <controlPr locked="0" defaultSize="0" autoFill="0" autoLine="0" autoPict="0">
                <anchor moveWithCells="1" sizeWithCells="1">
                  <from>
                    <xdr:col>22</xdr:col>
                    <xdr:colOff>0</xdr:colOff>
                    <xdr:row>1231</xdr:row>
                    <xdr:rowOff>0</xdr:rowOff>
                  </from>
                  <to>
                    <xdr:col>22</xdr:col>
                    <xdr:colOff>184150</xdr:colOff>
                    <xdr:row>1231</xdr:row>
                    <xdr:rowOff>184150</xdr:rowOff>
                  </to>
                </anchor>
              </controlPr>
            </control>
          </mc:Choice>
        </mc:AlternateContent>
        <mc:AlternateContent xmlns:mc="http://schemas.openxmlformats.org/markup-compatibility/2006">
          <mc:Choice Requires="x14">
            <control shapeId="15834" r:id="rId180" name="Check Box 474">
              <controlPr locked="0" defaultSize="0" autoFill="0" autoLine="0" autoPict="0">
                <anchor moveWithCells="1" sizeWithCells="1">
                  <from>
                    <xdr:col>22</xdr:col>
                    <xdr:colOff>0</xdr:colOff>
                    <xdr:row>1292</xdr:row>
                    <xdr:rowOff>0</xdr:rowOff>
                  </from>
                  <to>
                    <xdr:col>22</xdr:col>
                    <xdr:colOff>184150</xdr:colOff>
                    <xdr:row>1292</xdr:row>
                    <xdr:rowOff>184150</xdr:rowOff>
                  </to>
                </anchor>
              </controlPr>
            </control>
          </mc:Choice>
        </mc:AlternateContent>
        <mc:AlternateContent xmlns:mc="http://schemas.openxmlformats.org/markup-compatibility/2006">
          <mc:Choice Requires="x14">
            <control shapeId="15835" r:id="rId181" name="Check Box 475">
              <controlPr locked="0" defaultSize="0" autoFill="0" autoLine="0" autoPict="0">
                <anchor moveWithCells="1" sizeWithCells="1">
                  <from>
                    <xdr:col>22</xdr:col>
                    <xdr:colOff>0</xdr:colOff>
                    <xdr:row>1294</xdr:row>
                    <xdr:rowOff>0</xdr:rowOff>
                  </from>
                  <to>
                    <xdr:col>22</xdr:col>
                    <xdr:colOff>184150</xdr:colOff>
                    <xdr:row>1294</xdr:row>
                    <xdr:rowOff>184150</xdr:rowOff>
                  </to>
                </anchor>
              </controlPr>
            </control>
          </mc:Choice>
        </mc:AlternateContent>
        <mc:AlternateContent xmlns:mc="http://schemas.openxmlformats.org/markup-compatibility/2006">
          <mc:Choice Requires="x14">
            <control shapeId="15836" r:id="rId182" name="Check Box 476">
              <controlPr locked="0" defaultSize="0" autoFill="0" autoLine="0" autoPict="0">
                <anchor moveWithCells="1" sizeWithCells="1">
                  <from>
                    <xdr:col>22</xdr:col>
                    <xdr:colOff>0</xdr:colOff>
                    <xdr:row>1296</xdr:row>
                    <xdr:rowOff>0</xdr:rowOff>
                  </from>
                  <to>
                    <xdr:col>22</xdr:col>
                    <xdr:colOff>184150</xdr:colOff>
                    <xdr:row>1296</xdr:row>
                    <xdr:rowOff>184150</xdr:rowOff>
                  </to>
                </anchor>
              </controlPr>
            </control>
          </mc:Choice>
        </mc:AlternateContent>
        <mc:AlternateContent xmlns:mc="http://schemas.openxmlformats.org/markup-compatibility/2006">
          <mc:Choice Requires="x14">
            <control shapeId="15837" r:id="rId183" name="Check Box 477">
              <controlPr locked="0" defaultSize="0" autoFill="0" autoLine="0" autoPict="0">
                <anchor moveWithCells="1" sizeWithCells="1">
                  <from>
                    <xdr:col>22</xdr:col>
                    <xdr:colOff>0</xdr:colOff>
                    <xdr:row>1317</xdr:row>
                    <xdr:rowOff>0</xdr:rowOff>
                  </from>
                  <to>
                    <xdr:col>22</xdr:col>
                    <xdr:colOff>184150</xdr:colOff>
                    <xdr:row>1317</xdr:row>
                    <xdr:rowOff>184150</xdr:rowOff>
                  </to>
                </anchor>
              </controlPr>
            </control>
          </mc:Choice>
        </mc:AlternateContent>
        <mc:AlternateContent xmlns:mc="http://schemas.openxmlformats.org/markup-compatibility/2006">
          <mc:Choice Requires="x14">
            <control shapeId="15838" r:id="rId184" name="Check Box 478">
              <controlPr locked="0" defaultSize="0" autoFill="0" autoLine="0" autoPict="0">
                <anchor moveWithCells="1" sizeWithCells="1">
                  <from>
                    <xdr:col>22</xdr:col>
                    <xdr:colOff>0</xdr:colOff>
                    <xdr:row>1319</xdr:row>
                    <xdr:rowOff>0</xdr:rowOff>
                  </from>
                  <to>
                    <xdr:col>22</xdr:col>
                    <xdr:colOff>184150</xdr:colOff>
                    <xdr:row>1319</xdr:row>
                    <xdr:rowOff>184150</xdr:rowOff>
                  </to>
                </anchor>
              </controlPr>
            </control>
          </mc:Choice>
        </mc:AlternateContent>
        <mc:AlternateContent xmlns:mc="http://schemas.openxmlformats.org/markup-compatibility/2006">
          <mc:Choice Requires="x14">
            <control shapeId="15839" r:id="rId185" name="Check Box 479">
              <controlPr locked="0" defaultSize="0" autoFill="0" autoLine="0" autoPict="0">
                <anchor moveWithCells="1" sizeWithCells="1">
                  <from>
                    <xdr:col>22</xdr:col>
                    <xdr:colOff>0</xdr:colOff>
                    <xdr:row>1321</xdr:row>
                    <xdr:rowOff>0</xdr:rowOff>
                  </from>
                  <to>
                    <xdr:col>22</xdr:col>
                    <xdr:colOff>184150</xdr:colOff>
                    <xdr:row>1321</xdr:row>
                    <xdr:rowOff>184150</xdr:rowOff>
                  </to>
                </anchor>
              </controlPr>
            </control>
          </mc:Choice>
        </mc:AlternateContent>
        <mc:AlternateContent xmlns:mc="http://schemas.openxmlformats.org/markup-compatibility/2006">
          <mc:Choice Requires="x14">
            <control shapeId="15840" r:id="rId186" name="Check Box 480">
              <controlPr locked="0" defaultSize="0" autoFill="0" autoLine="0" autoPict="0">
                <anchor moveWithCells="1" sizeWithCells="1">
                  <from>
                    <xdr:col>22</xdr:col>
                    <xdr:colOff>0</xdr:colOff>
                    <xdr:row>1324</xdr:row>
                    <xdr:rowOff>0</xdr:rowOff>
                  </from>
                  <to>
                    <xdr:col>22</xdr:col>
                    <xdr:colOff>184150</xdr:colOff>
                    <xdr:row>1324</xdr:row>
                    <xdr:rowOff>184150</xdr:rowOff>
                  </to>
                </anchor>
              </controlPr>
            </control>
          </mc:Choice>
        </mc:AlternateContent>
        <mc:AlternateContent xmlns:mc="http://schemas.openxmlformats.org/markup-compatibility/2006">
          <mc:Choice Requires="x14">
            <control shapeId="15841" r:id="rId187" name="Check Box 481">
              <controlPr locked="0" defaultSize="0" autoFill="0" autoLine="0" autoPict="0">
                <anchor moveWithCells="1" sizeWithCells="1">
                  <from>
                    <xdr:col>22</xdr:col>
                    <xdr:colOff>0</xdr:colOff>
                    <xdr:row>1325</xdr:row>
                    <xdr:rowOff>0</xdr:rowOff>
                  </from>
                  <to>
                    <xdr:col>22</xdr:col>
                    <xdr:colOff>184150</xdr:colOff>
                    <xdr:row>1325</xdr:row>
                    <xdr:rowOff>184150</xdr:rowOff>
                  </to>
                </anchor>
              </controlPr>
            </control>
          </mc:Choice>
        </mc:AlternateContent>
        <mc:AlternateContent xmlns:mc="http://schemas.openxmlformats.org/markup-compatibility/2006">
          <mc:Choice Requires="x14">
            <control shapeId="15842" r:id="rId188" name="Check Box 482">
              <controlPr locked="0" defaultSize="0" autoFill="0" autoLine="0" autoPict="0">
                <anchor moveWithCells="1" sizeWithCells="1">
                  <from>
                    <xdr:col>22</xdr:col>
                    <xdr:colOff>0</xdr:colOff>
                    <xdr:row>1326</xdr:row>
                    <xdr:rowOff>0</xdr:rowOff>
                  </from>
                  <to>
                    <xdr:col>22</xdr:col>
                    <xdr:colOff>184150</xdr:colOff>
                    <xdr:row>1326</xdr:row>
                    <xdr:rowOff>184150</xdr:rowOff>
                  </to>
                </anchor>
              </controlPr>
            </control>
          </mc:Choice>
        </mc:AlternateContent>
        <mc:AlternateContent xmlns:mc="http://schemas.openxmlformats.org/markup-compatibility/2006">
          <mc:Choice Requires="x14">
            <control shapeId="15843" r:id="rId189" name="Check Box 483">
              <controlPr locked="0" defaultSize="0" autoFill="0" autoLine="0" autoPict="0">
                <anchor moveWithCells="1" sizeWithCells="1">
                  <from>
                    <xdr:col>22</xdr:col>
                    <xdr:colOff>0</xdr:colOff>
                    <xdr:row>1329</xdr:row>
                    <xdr:rowOff>0</xdr:rowOff>
                  </from>
                  <to>
                    <xdr:col>22</xdr:col>
                    <xdr:colOff>184150</xdr:colOff>
                    <xdr:row>1329</xdr:row>
                    <xdr:rowOff>184150</xdr:rowOff>
                  </to>
                </anchor>
              </controlPr>
            </control>
          </mc:Choice>
        </mc:AlternateContent>
        <mc:AlternateContent xmlns:mc="http://schemas.openxmlformats.org/markup-compatibility/2006">
          <mc:Choice Requires="x14">
            <control shapeId="15844" r:id="rId190" name="Check Box 484">
              <controlPr locked="0" defaultSize="0" autoFill="0" autoLine="0" autoPict="0">
                <anchor moveWithCells="1" sizeWithCells="1">
                  <from>
                    <xdr:col>22</xdr:col>
                    <xdr:colOff>0</xdr:colOff>
                    <xdr:row>1356</xdr:row>
                    <xdr:rowOff>0</xdr:rowOff>
                  </from>
                  <to>
                    <xdr:col>22</xdr:col>
                    <xdr:colOff>184150</xdr:colOff>
                    <xdr:row>1356</xdr:row>
                    <xdr:rowOff>184150</xdr:rowOff>
                  </to>
                </anchor>
              </controlPr>
            </control>
          </mc:Choice>
        </mc:AlternateContent>
        <mc:AlternateContent xmlns:mc="http://schemas.openxmlformats.org/markup-compatibility/2006">
          <mc:Choice Requires="x14">
            <control shapeId="15845" r:id="rId191" name="Check Box 485">
              <controlPr locked="0" defaultSize="0" autoFill="0" autoLine="0" autoPict="0">
                <anchor moveWithCells="1" sizeWithCells="1">
                  <from>
                    <xdr:col>22</xdr:col>
                    <xdr:colOff>0</xdr:colOff>
                    <xdr:row>1364</xdr:row>
                    <xdr:rowOff>0</xdr:rowOff>
                  </from>
                  <to>
                    <xdr:col>22</xdr:col>
                    <xdr:colOff>184150</xdr:colOff>
                    <xdr:row>1364</xdr:row>
                    <xdr:rowOff>184150</xdr:rowOff>
                  </to>
                </anchor>
              </controlPr>
            </control>
          </mc:Choice>
        </mc:AlternateContent>
        <mc:AlternateContent xmlns:mc="http://schemas.openxmlformats.org/markup-compatibility/2006">
          <mc:Choice Requires="x14">
            <control shapeId="15846" r:id="rId192" name="Check Box 486">
              <controlPr locked="0" defaultSize="0" autoFill="0" autoLine="0" autoPict="0">
                <anchor moveWithCells="1" sizeWithCells="1">
                  <from>
                    <xdr:col>22</xdr:col>
                    <xdr:colOff>0</xdr:colOff>
                    <xdr:row>1366</xdr:row>
                    <xdr:rowOff>0</xdr:rowOff>
                  </from>
                  <to>
                    <xdr:col>22</xdr:col>
                    <xdr:colOff>184150</xdr:colOff>
                    <xdr:row>1366</xdr:row>
                    <xdr:rowOff>184150</xdr:rowOff>
                  </to>
                </anchor>
              </controlPr>
            </control>
          </mc:Choice>
        </mc:AlternateContent>
        <mc:AlternateContent xmlns:mc="http://schemas.openxmlformats.org/markup-compatibility/2006">
          <mc:Choice Requires="x14">
            <control shapeId="15847" r:id="rId193" name="Check Box 487">
              <controlPr locked="0" defaultSize="0" autoFill="0" autoLine="0" autoPict="0">
                <anchor moveWithCells="1" sizeWithCells="1">
                  <from>
                    <xdr:col>22</xdr:col>
                    <xdr:colOff>0</xdr:colOff>
                    <xdr:row>1367</xdr:row>
                    <xdr:rowOff>0</xdr:rowOff>
                  </from>
                  <to>
                    <xdr:col>22</xdr:col>
                    <xdr:colOff>184150</xdr:colOff>
                    <xdr:row>1367</xdr:row>
                    <xdr:rowOff>184150</xdr:rowOff>
                  </to>
                </anchor>
              </controlPr>
            </control>
          </mc:Choice>
        </mc:AlternateContent>
        <mc:AlternateContent xmlns:mc="http://schemas.openxmlformats.org/markup-compatibility/2006">
          <mc:Choice Requires="x14">
            <control shapeId="15848" r:id="rId194" name="Check Box 488">
              <controlPr locked="0" defaultSize="0" autoFill="0" autoLine="0" autoPict="0">
                <anchor moveWithCells="1" sizeWithCells="1">
                  <from>
                    <xdr:col>22</xdr:col>
                    <xdr:colOff>0</xdr:colOff>
                    <xdr:row>1368</xdr:row>
                    <xdr:rowOff>0</xdr:rowOff>
                  </from>
                  <to>
                    <xdr:col>22</xdr:col>
                    <xdr:colOff>184150</xdr:colOff>
                    <xdr:row>1368</xdr:row>
                    <xdr:rowOff>184150</xdr:rowOff>
                  </to>
                </anchor>
              </controlPr>
            </control>
          </mc:Choice>
        </mc:AlternateContent>
        <mc:AlternateContent xmlns:mc="http://schemas.openxmlformats.org/markup-compatibility/2006">
          <mc:Choice Requires="x14">
            <control shapeId="15849" r:id="rId195" name="Check Box 489">
              <controlPr locked="0" defaultSize="0" autoFill="0" autoLine="0" autoPict="0">
                <anchor moveWithCells="1" sizeWithCells="1">
                  <from>
                    <xdr:col>22</xdr:col>
                    <xdr:colOff>0</xdr:colOff>
                    <xdr:row>1370</xdr:row>
                    <xdr:rowOff>0</xdr:rowOff>
                  </from>
                  <to>
                    <xdr:col>22</xdr:col>
                    <xdr:colOff>184150</xdr:colOff>
                    <xdr:row>1370</xdr:row>
                    <xdr:rowOff>184150</xdr:rowOff>
                  </to>
                </anchor>
              </controlPr>
            </control>
          </mc:Choice>
        </mc:AlternateContent>
        <mc:AlternateContent xmlns:mc="http://schemas.openxmlformats.org/markup-compatibility/2006">
          <mc:Choice Requires="x14">
            <control shapeId="15850" r:id="rId196" name="Check Box 490">
              <controlPr locked="0" defaultSize="0" autoFill="0" autoLine="0" autoPict="0">
                <anchor moveWithCells="1" sizeWithCells="1">
                  <from>
                    <xdr:col>22</xdr:col>
                    <xdr:colOff>0</xdr:colOff>
                    <xdr:row>1373</xdr:row>
                    <xdr:rowOff>0</xdr:rowOff>
                  </from>
                  <to>
                    <xdr:col>22</xdr:col>
                    <xdr:colOff>184150</xdr:colOff>
                    <xdr:row>1373</xdr:row>
                    <xdr:rowOff>184150</xdr:rowOff>
                  </to>
                </anchor>
              </controlPr>
            </control>
          </mc:Choice>
        </mc:AlternateContent>
        <mc:AlternateContent xmlns:mc="http://schemas.openxmlformats.org/markup-compatibility/2006">
          <mc:Choice Requires="x14">
            <control shapeId="15851" r:id="rId197" name="Check Box 491">
              <controlPr locked="0" defaultSize="0" autoFill="0" autoLine="0" autoPict="0">
                <anchor moveWithCells="1" sizeWithCells="1">
                  <from>
                    <xdr:col>22</xdr:col>
                    <xdr:colOff>0</xdr:colOff>
                    <xdr:row>1375</xdr:row>
                    <xdr:rowOff>0</xdr:rowOff>
                  </from>
                  <to>
                    <xdr:col>22</xdr:col>
                    <xdr:colOff>184150</xdr:colOff>
                    <xdr:row>1375</xdr:row>
                    <xdr:rowOff>184150</xdr:rowOff>
                  </to>
                </anchor>
              </controlPr>
            </control>
          </mc:Choice>
        </mc:AlternateContent>
        <mc:AlternateContent xmlns:mc="http://schemas.openxmlformats.org/markup-compatibility/2006">
          <mc:Choice Requires="x14">
            <control shapeId="15852" r:id="rId198" name="Check Box 492">
              <controlPr locked="0" defaultSize="0" autoFill="0" autoLine="0" autoPict="0">
                <anchor moveWithCells="1" sizeWithCells="1">
                  <from>
                    <xdr:col>22</xdr:col>
                    <xdr:colOff>0</xdr:colOff>
                    <xdr:row>1380</xdr:row>
                    <xdr:rowOff>0</xdr:rowOff>
                  </from>
                  <to>
                    <xdr:col>22</xdr:col>
                    <xdr:colOff>184150</xdr:colOff>
                    <xdr:row>1380</xdr:row>
                    <xdr:rowOff>184150</xdr:rowOff>
                  </to>
                </anchor>
              </controlPr>
            </control>
          </mc:Choice>
        </mc:AlternateContent>
        <mc:AlternateContent xmlns:mc="http://schemas.openxmlformats.org/markup-compatibility/2006">
          <mc:Choice Requires="x14">
            <control shapeId="15853" r:id="rId199" name="Check Box 493">
              <controlPr locked="0" defaultSize="0" autoFill="0" autoLine="0" autoPict="0">
                <anchor moveWithCells="1" sizeWithCells="1">
                  <from>
                    <xdr:col>22</xdr:col>
                    <xdr:colOff>0</xdr:colOff>
                    <xdr:row>1382</xdr:row>
                    <xdr:rowOff>0</xdr:rowOff>
                  </from>
                  <to>
                    <xdr:col>22</xdr:col>
                    <xdr:colOff>184150</xdr:colOff>
                    <xdr:row>1382</xdr:row>
                    <xdr:rowOff>184150</xdr:rowOff>
                  </to>
                </anchor>
              </controlPr>
            </control>
          </mc:Choice>
        </mc:AlternateContent>
        <mc:AlternateContent xmlns:mc="http://schemas.openxmlformats.org/markup-compatibility/2006">
          <mc:Choice Requires="x14">
            <control shapeId="15854" r:id="rId200" name="Check Box 494">
              <controlPr locked="0" defaultSize="0" autoFill="0" autoLine="0" autoPict="0">
                <anchor moveWithCells="1" sizeWithCells="1">
                  <from>
                    <xdr:col>22</xdr:col>
                    <xdr:colOff>0</xdr:colOff>
                    <xdr:row>1384</xdr:row>
                    <xdr:rowOff>0</xdr:rowOff>
                  </from>
                  <to>
                    <xdr:col>22</xdr:col>
                    <xdr:colOff>184150</xdr:colOff>
                    <xdr:row>1384</xdr:row>
                    <xdr:rowOff>184150</xdr:rowOff>
                  </to>
                </anchor>
              </controlPr>
            </control>
          </mc:Choice>
        </mc:AlternateContent>
        <mc:AlternateContent xmlns:mc="http://schemas.openxmlformats.org/markup-compatibility/2006">
          <mc:Choice Requires="x14">
            <control shapeId="15855" r:id="rId201" name="Check Box 495">
              <controlPr locked="0" defaultSize="0" autoFill="0" autoLine="0" autoPict="0">
                <anchor moveWithCells="1" sizeWithCells="1">
                  <from>
                    <xdr:col>22</xdr:col>
                    <xdr:colOff>0</xdr:colOff>
                    <xdr:row>1386</xdr:row>
                    <xdr:rowOff>0</xdr:rowOff>
                  </from>
                  <to>
                    <xdr:col>22</xdr:col>
                    <xdr:colOff>184150</xdr:colOff>
                    <xdr:row>1386</xdr:row>
                    <xdr:rowOff>184150</xdr:rowOff>
                  </to>
                </anchor>
              </controlPr>
            </control>
          </mc:Choice>
        </mc:AlternateContent>
        <mc:AlternateContent xmlns:mc="http://schemas.openxmlformats.org/markup-compatibility/2006">
          <mc:Choice Requires="x14">
            <control shapeId="15856" r:id="rId202" name="Check Box 496">
              <controlPr locked="0" defaultSize="0" autoFill="0" autoLine="0" autoPict="0">
                <anchor moveWithCells="1" sizeWithCells="1">
                  <from>
                    <xdr:col>22</xdr:col>
                    <xdr:colOff>0</xdr:colOff>
                    <xdr:row>1430</xdr:row>
                    <xdr:rowOff>0</xdr:rowOff>
                  </from>
                  <to>
                    <xdr:col>22</xdr:col>
                    <xdr:colOff>184150</xdr:colOff>
                    <xdr:row>1430</xdr:row>
                    <xdr:rowOff>184150</xdr:rowOff>
                  </to>
                </anchor>
              </controlPr>
            </control>
          </mc:Choice>
        </mc:AlternateContent>
        <mc:AlternateContent xmlns:mc="http://schemas.openxmlformats.org/markup-compatibility/2006">
          <mc:Choice Requires="x14">
            <control shapeId="15857" r:id="rId203" name="Check Box 497">
              <controlPr locked="0" defaultSize="0" autoFill="0" autoLine="0" autoPict="0">
                <anchor moveWithCells="1" sizeWithCells="1">
                  <from>
                    <xdr:col>22</xdr:col>
                    <xdr:colOff>0</xdr:colOff>
                    <xdr:row>1447</xdr:row>
                    <xdr:rowOff>0</xdr:rowOff>
                  </from>
                  <to>
                    <xdr:col>22</xdr:col>
                    <xdr:colOff>184150</xdr:colOff>
                    <xdr:row>1447</xdr:row>
                    <xdr:rowOff>184150</xdr:rowOff>
                  </to>
                </anchor>
              </controlPr>
            </control>
          </mc:Choice>
        </mc:AlternateContent>
        <mc:AlternateContent xmlns:mc="http://schemas.openxmlformats.org/markup-compatibility/2006">
          <mc:Choice Requires="x14">
            <control shapeId="15858" r:id="rId204" name="Check Box 498">
              <controlPr locked="0" defaultSize="0" autoFill="0" autoLine="0" autoPict="0">
                <anchor moveWithCells="1" sizeWithCells="1">
                  <from>
                    <xdr:col>22</xdr:col>
                    <xdr:colOff>0</xdr:colOff>
                    <xdr:row>1450</xdr:row>
                    <xdr:rowOff>0</xdr:rowOff>
                  </from>
                  <to>
                    <xdr:col>22</xdr:col>
                    <xdr:colOff>184150</xdr:colOff>
                    <xdr:row>1450</xdr:row>
                    <xdr:rowOff>184150</xdr:rowOff>
                  </to>
                </anchor>
              </controlPr>
            </control>
          </mc:Choice>
        </mc:AlternateContent>
        <mc:AlternateContent xmlns:mc="http://schemas.openxmlformats.org/markup-compatibility/2006">
          <mc:Choice Requires="x14">
            <control shapeId="15859" r:id="rId205" name="Check Box 499">
              <controlPr locked="0" defaultSize="0" autoFill="0" autoLine="0" autoPict="0">
                <anchor moveWithCells="1" sizeWithCells="1">
                  <from>
                    <xdr:col>22</xdr:col>
                    <xdr:colOff>0</xdr:colOff>
                    <xdr:row>1455</xdr:row>
                    <xdr:rowOff>0</xdr:rowOff>
                  </from>
                  <to>
                    <xdr:col>22</xdr:col>
                    <xdr:colOff>184150</xdr:colOff>
                    <xdr:row>1455</xdr:row>
                    <xdr:rowOff>184150</xdr:rowOff>
                  </to>
                </anchor>
              </controlPr>
            </control>
          </mc:Choice>
        </mc:AlternateContent>
        <mc:AlternateContent xmlns:mc="http://schemas.openxmlformats.org/markup-compatibility/2006">
          <mc:Choice Requires="x14">
            <control shapeId="15860" r:id="rId206" name="Check Box 500">
              <controlPr locked="0" defaultSize="0" autoFill="0" autoLine="0" autoPict="0">
                <anchor moveWithCells="1" sizeWithCells="1">
                  <from>
                    <xdr:col>22</xdr:col>
                    <xdr:colOff>0</xdr:colOff>
                    <xdr:row>1456</xdr:row>
                    <xdr:rowOff>0</xdr:rowOff>
                  </from>
                  <to>
                    <xdr:col>22</xdr:col>
                    <xdr:colOff>184150</xdr:colOff>
                    <xdr:row>1456</xdr:row>
                    <xdr:rowOff>184150</xdr:rowOff>
                  </to>
                </anchor>
              </controlPr>
            </control>
          </mc:Choice>
        </mc:AlternateContent>
        <mc:AlternateContent xmlns:mc="http://schemas.openxmlformats.org/markup-compatibility/2006">
          <mc:Choice Requires="x14">
            <control shapeId="15862" r:id="rId207" name="Check Box 502">
              <controlPr locked="0" defaultSize="0" autoFill="0" autoLine="0" autoPict="0">
                <anchor moveWithCells="1" sizeWithCells="1">
                  <from>
                    <xdr:col>22</xdr:col>
                    <xdr:colOff>0</xdr:colOff>
                    <xdr:row>1466</xdr:row>
                    <xdr:rowOff>0</xdr:rowOff>
                  </from>
                  <to>
                    <xdr:col>22</xdr:col>
                    <xdr:colOff>184150</xdr:colOff>
                    <xdr:row>1466</xdr:row>
                    <xdr:rowOff>184150</xdr:rowOff>
                  </to>
                </anchor>
              </controlPr>
            </control>
          </mc:Choice>
        </mc:AlternateContent>
        <mc:AlternateContent xmlns:mc="http://schemas.openxmlformats.org/markup-compatibility/2006">
          <mc:Choice Requires="x14">
            <control shapeId="15863" r:id="rId208" name="Check Box 503">
              <controlPr locked="0" defaultSize="0" autoFill="0" autoLine="0" autoPict="0">
                <anchor moveWithCells="1" sizeWithCells="1">
                  <from>
                    <xdr:col>22</xdr:col>
                    <xdr:colOff>0</xdr:colOff>
                    <xdr:row>1495</xdr:row>
                    <xdr:rowOff>0</xdr:rowOff>
                  </from>
                  <to>
                    <xdr:col>22</xdr:col>
                    <xdr:colOff>184150</xdr:colOff>
                    <xdr:row>1495</xdr:row>
                    <xdr:rowOff>184150</xdr:rowOff>
                  </to>
                </anchor>
              </controlPr>
            </control>
          </mc:Choice>
        </mc:AlternateContent>
        <mc:AlternateContent xmlns:mc="http://schemas.openxmlformats.org/markup-compatibility/2006">
          <mc:Choice Requires="x14">
            <control shapeId="15865" r:id="rId209" name="Check Box 505">
              <controlPr locked="0" defaultSize="0" autoFill="0" autoLine="0" autoPict="0">
                <anchor moveWithCells="1" sizeWithCells="1">
                  <from>
                    <xdr:col>22</xdr:col>
                    <xdr:colOff>0</xdr:colOff>
                    <xdr:row>1512</xdr:row>
                    <xdr:rowOff>0</xdr:rowOff>
                  </from>
                  <to>
                    <xdr:col>22</xdr:col>
                    <xdr:colOff>184150</xdr:colOff>
                    <xdr:row>1512</xdr:row>
                    <xdr:rowOff>184150</xdr:rowOff>
                  </to>
                </anchor>
              </controlPr>
            </control>
          </mc:Choice>
        </mc:AlternateContent>
        <mc:AlternateContent xmlns:mc="http://schemas.openxmlformats.org/markup-compatibility/2006">
          <mc:Choice Requires="x14">
            <control shapeId="15866" r:id="rId210" name="Check Box 506">
              <controlPr locked="0" defaultSize="0" autoFill="0" autoLine="0" autoPict="0">
                <anchor moveWithCells="1" sizeWithCells="1">
                  <from>
                    <xdr:col>22</xdr:col>
                    <xdr:colOff>0</xdr:colOff>
                    <xdr:row>1524</xdr:row>
                    <xdr:rowOff>0</xdr:rowOff>
                  </from>
                  <to>
                    <xdr:col>22</xdr:col>
                    <xdr:colOff>184150</xdr:colOff>
                    <xdr:row>1524</xdr:row>
                    <xdr:rowOff>184150</xdr:rowOff>
                  </to>
                </anchor>
              </controlPr>
            </control>
          </mc:Choice>
        </mc:AlternateContent>
        <mc:AlternateContent xmlns:mc="http://schemas.openxmlformats.org/markup-compatibility/2006">
          <mc:Choice Requires="x14">
            <control shapeId="15867" r:id="rId211" name="Check Box 507">
              <controlPr locked="0" defaultSize="0" autoFill="0" autoLine="0" autoPict="0">
                <anchor moveWithCells="1" sizeWithCells="1">
                  <from>
                    <xdr:col>22</xdr:col>
                    <xdr:colOff>0</xdr:colOff>
                    <xdr:row>1526</xdr:row>
                    <xdr:rowOff>0</xdr:rowOff>
                  </from>
                  <to>
                    <xdr:col>22</xdr:col>
                    <xdr:colOff>184150</xdr:colOff>
                    <xdr:row>1526</xdr:row>
                    <xdr:rowOff>184150</xdr:rowOff>
                  </to>
                </anchor>
              </controlPr>
            </control>
          </mc:Choice>
        </mc:AlternateContent>
        <mc:AlternateContent xmlns:mc="http://schemas.openxmlformats.org/markup-compatibility/2006">
          <mc:Choice Requires="x14">
            <control shapeId="15868" r:id="rId212" name="Check Box 508">
              <controlPr locked="0" defaultSize="0" autoFill="0" autoLine="0" autoPict="0">
                <anchor moveWithCells="1" sizeWithCells="1">
                  <from>
                    <xdr:col>22</xdr:col>
                    <xdr:colOff>0</xdr:colOff>
                    <xdr:row>1528</xdr:row>
                    <xdr:rowOff>0</xdr:rowOff>
                  </from>
                  <to>
                    <xdr:col>22</xdr:col>
                    <xdr:colOff>184150</xdr:colOff>
                    <xdr:row>1528</xdr:row>
                    <xdr:rowOff>184150</xdr:rowOff>
                  </to>
                </anchor>
              </controlPr>
            </control>
          </mc:Choice>
        </mc:AlternateContent>
        <mc:AlternateContent xmlns:mc="http://schemas.openxmlformats.org/markup-compatibility/2006">
          <mc:Choice Requires="x14">
            <control shapeId="15869" r:id="rId213" name="Check Box 509">
              <controlPr locked="0" defaultSize="0" autoFill="0" autoLine="0" autoPict="0">
                <anchor moveWithCells="1" sizeWithCells="1">
                  <from>
                    <xdr:col>22</xdr:col>
                    <xdr:colOff>0</xdr:colOff>
                    <xdr:row>1535</xdr:row>
                    <xdr:rowOff>0</xdr:rowOff>
                  </from>
                  <to>
                    <xdr:col>22</xdr:col>
                    <xdr:colOff>184150</xdr:colOff>
                    <xdr:row>1535</xdr:row>
                    <xdr:rowOff>184150</xdr:rowOff>
                  </to>
                </anchor>
              </controlPr>
            </control>
          </mc:Choice>
        </mc:AlternateContent>
        <mc:AlternateContent xmlns:mc="http://schemas.openxmlformats.org/markup-compatibility/2006">
          <mc:Choice Requires="x14">
            <control shapeId="15870" r:id="rId214" name="Check Box 510">
              <controlPr locked="0" defaultSize="0" autoFill="0" autoLine="0" autoPict="0">
                <anchor moveWithCells="1" sizeWithCells="1">
                  <from>
                    <xdr:col>22</xdr:col>
                    <xdr:colOff>0</xdr:colOff>
                    <xdr:row>1536</xdr:row>
                    <xdr:rowOff>0</xdr:rowOff>
                  </from>
                  <to>
                    <xdr:col>22</xdr:col>
                    <xdr:colOff>184150</xdr:colOff>
                    <xdr:row>1536</xdr:row>
                    <xdr:rowOff>184150</xdr:rowOff>
                  </to>
                </anchor>
              </controlPr>
            </control>
          </mc:Choice>
        </mc:AlternateContent>
        <mc:AlternateContent xmlns:mc="http://schemas.openxmlformats.org/markup-compatibility/2006">
          <mc:Choice Requires="x14">
            <control shapeId="15871" r:id="rId215" name="Check Box 511">
              <controlPr locked="0" defaultSize="0" autoFill="0" autoLine="0" autoPict="0">
                <anchor moveWithCells="1" sizeWithCells="1">
                  <from>
                    <xdr:col>22</xdr:col>
                    <xdr:colOff>0</xdr:colOff>
                    <xdr:row>1537</xdr:row>
                    <xdr:rowOff>0</xdr:rowOff>
                  </from>
                  <to>
                    <xdr:col>22</xdr:col>
                    <xdr:colOff>184150</xdr:colOff>
                    <xdr:row>1537</xdr:row>
                    <xdr:rowOff>184150</xdr:rowOff>
                  </to>
                </anchor>
              </controlPr>
            </control>
          </mc:Choice>
        </mc:AlternateContent>
        <mc:AlternateContent xmlns:mc="http://schemas.openxmlformats.org/markup-compatibility/2006">
          <mc:Choice Requires="x14">
            <control shapeId="15872" r:id="rId216" name="Check Box 512">
              <controlPr locked="0" defaultSize="0" autoFill="0" autoLine="0" autoPict="0">
                <anchor moveWithCells="1" sizeWithCells="1">
                  <from>
                    <xdr:col>22</xdr:col>
                    <xdr:colOff>0</xdr:colOff>
                    <xdr:row>1538</xdr:row>
                    <xdr:rowOff>0</xdr:rowOff>
                  </from>
                  <to>
                    <xdr:col>22</xdr:col>
                    <xdr:colOff>184150</xdr:colOff>
                    <xdr:row>1538</xdr:row>
                    <xdr:rowOff>184150</xdr:rowOff>
                  </to>
                </anchor>
              </controlPr>
            </control>
          </mc:Choice>
        </mc:AlternateContent>
        <mc:AlternateContent xmlns:mc="http://schemas.openxmlformats.org/markup-compatibility/2006">
          <mc:Choice Requires="x14">
            <control shapeId="15873" r:id="rId217" name="Check Box 513">
              <controlPr locked="0" defaultSize="0" autoFill="0" autoLine="0" autoPict="0">
                <anchor moveWithCells="1" sizeWithCells="1">
                  <from>
                    <xdr:col>22</xdr:col>
                    <xdr:colOff>0</xdr:colOff>
                    <xdr:row>1540</xdr:row>
                    <xdr:rowOff>0</xdr:rowOff>
                  </from>
                  <to>
                    <xdr:col>22</xdr:col>
                    <xdr:colOff>184150</xdr:colOff>
                    <xdr:row>1540</xdr:row>
                    <xdr:rowOff>184150</xdr:rowOff>
                  </to>
                </anchor>
              </controlPr>
            </control>
          </mc:Choice>
        </mc:AlternateContent>
        <mc:AlternateContent xmlns:mc="http://schemas.openxmlformats.org/markup-compatibility/2006">
          <mc:Choice Requires="x14">
            <control shapeId="15874" r:id="rId218" name="Check Box 514">
              <controlPr locked="0" defaultSize="0" autoFill="0" autoLine="0" autoPict="0">
                <anchor moveWithCells="1" sizeWithCells="1">
                  <from>
                    <xdr:col>22</xdr:col>
                    <xdr:colOff>0</xdr:colOff>
                    <xdr:row>1543</xdr:row>
                    <xdr:rowOff>0</xdr:rowOff>
                  </from>
                  <to>
                    <xdr:col>22</xdr:col>
                    <xdr:colOff>184150</xdr:colOff>
                    <xdr:row>1543</xdr:row>
                    <xdr:rowOff>184150</xdr:rowOff>
                  </to>
                </anchor>
              </controlPr>
            </control>
          </mc:Choice>
        </mc:AlternateContent>
        <mc:AlternateContent xmlns:mc="http://schemas.openxmlformats.org/markup-compatibility/2006">
          <mc:Choice Requires="x14">
            <control shapeId="15875" r:id="rId219" name="Check Box 515">
              <controlPr locked="0" defaultSize="0" autoFill="0" autoLine="0" autoPict="0">
                <anchor moveWithCells="1" sizeWithCells="1">
                  <from>
                    <xdr:col>22</xdr:col>
                    <xdr:colOff>0</xdr:colOff>
                    <xdr:row>1563</xdr:row>
                    <xdr:rowOff>0</xdr:rowOff>
                  </from>
                  <to>
                    <xdr:col>22</xdr:col>
                    <xdr:colOff>184150</xdr:colOff>
                    <xdr:row>1563</xdr:row>
                    <xdr:rowOff>184150</xdr:rowOff>
                  </to>
                </anchor>
              </controlPr>
            </control>
          </mc:Choice>
        </mc:AlternateContent>
        <mc:AlternateContent xmlns:mc="http://schemas.openxmlformats.org/markup-compatibility/2006">
          <mc:Choice Requires="x14">
            <control shapeId="15876" r:id="rId220" name="Check Box 516">
              <controlPr locked="0" defaultSize="0" autoFill="0" autoLine="0" autoPict="0">
                <anchor moveWithCells="1" sizeWithCells="1">
                  <from>
                    <xdr:col>22</xdr:col>
                    <xdr:colOff>0</xdr:colOff>
                    <xdr:row>1564</xdr:row>
                    <xdr:rowOff>0</xdr:rowOff>
                  </from>
                  <to>
                    <xdr:col>22</xdr:col>
                    <xdr:colOff>184150</xdr:colOff>
                    <xdr:row>1564</xdr:row>
                    <xdr:rowOff>184150</xdr:rowOff>
                  </to>
                </anchor>
              </controlPr>
            </control>
          </mc:Choice>
        </mc:AlternateContent>
        <mc:AlternateContent xmlns:mc="http://schemas.openxmlformats.org/markup-compatibility/2006">
          <mc:Choice Requires="x14">
            <control shapeId="15877" r:id="rId221" name="Check Box 517">
              <controlPr locked="0" defaultSize="0" autoFill="0" autoLine="0" autoPict="0">
                <anchor moveWithCells="1" sizeWithCells="1">
                  <from>
                    <xdr:col>22</xdr:col>
                    <xdr:colOff>0</xdr:colOff>
                    <xdr:row>1565</xdr:row>
                    <xdr:rowOff>0</xdr:rowOff>
                  </from>
                  <to>
                    <xdr:col>22</xdr:col>
                    <xdr:colOff>184150</xdr:colOff>
                    <xdr:row>1565</xdr:row>
                    <xdr:rowOff>184150</xdr:rowOff>
                  </to>
                </anchor>
              </controlPr>
            </control>
          </mc:Choice>
        </mc:AlternateContent>
        <mc:AlternateContent xmlns:mc="http://schemas.openxmlformats.org/markup-compatibility/2006">
          <mc:Choice Requires="x14">
            <control shapeId="15878" r:id="rId222" name="Check Box 518">
              <controlPr locked="0" defaultSize="0" autoFill="0" autoLine="0" autoPict="0">
                <anchor moveWithCells="1" sizeWithCells="1">
                  <from>
                    <xdr:col>22</xdr:col>
                    <xdr:colOff>0</xdr:colOff>
                    <xdr:row>1566</xdr:row>
                    <xdr:rowOff>0</xdr:rowOff>
                  </from>
                  <to>
                    <xdr:col>22</xdr:col>
                    <xdr:colOff>184150</xdr:colOff>
                    <xdr:row>1566</xdr:row>
                    <xdr:rowOff>184150</xdr:rowOff>
                  </to>
                </anchor>
              </controlPr>
            </control>
          </mc:Choice>
        </mc:AlternateContent>
        <mc:AlternateContent xmlns:mc="http://schemas.openxmlformats.org/markup-compatibility/2006">
          <mc:Choice Requires="x14">
            <control shapeId="15879" r:id="rId223" name="Check Box 519">
              <controlPr locked="0" defaultSize="0" autoFill="0" autoLine="0" autoPict="0">
                <anchor moveWithCells="1" sizeWithCells="1">
                  <from>
                    <xdr:col>22</xdr:col>
                    <xdr:colOff>0</xdr:colOff>
                    <xdr:row>1567</xdr:row>
                    <xdr:rowOff>0</xdr:rowOff>
                  </from>
                  <to>
                    <xdr:col>22</xdr:col>
                    <xdr:colOff>184150</xdr:colOff>
                    <xdr:row>1567</xdr:row>
                    <xdr:rowOff>184150</xdr:rowOff>
                  </to>
                </anchor>
              </controlPr>
            </control>
          </mc:Choice>
        </mc:AlternateContent>
        <mc:AlternateContent xmlns:mc="http://schemas.openxmlformats.org/markup-compatibility/2006">
          <mc:Choice Requires="x14">
            <control shapeId="15880" r:id="rId224" name="Check Box 520">
              <controlPr locked="0" defaultSize="0" autoFill="0" autoLine="0" autoPict="0">
                <anchor moveWithCells="1" sizeWithCells="1">
                  <from>
                    <xdr:col>22</xdr:col>
                    <xdr:colOff>0</xdr:colOff>
                    <xdr:row>1568</xdr:row>
                    <xdr:rowOff>0</xdr:rowOff>
                  </from>
                  <to>
                    <xdr:col>22</xdr:col>
                    <xdr:colOff>184150</xdr:colOff>
                    <xdr:row>1568</xdr:row>
                    <xdr:rowOff>184150</xdr:rowOff>
                  </to>
                </anchor>
              </controlPr>
            </control>
          </mc:Choice>
        </mc:AlternateContent>
        <mc:AlternateContent xmlns:mc="http://schemas.openxmlformats.org/markup-compatibility/2006">
          <mc:Choice Requires="x14">
            <control shapeId="15881" r:id="rId225" name="Check Box 521">
              <controlPr locked="0" defaultSize="0" autoFill="0" autoLine="0" autoPict="0">
                <anchor moveWithCells="1" sizeWithCells="1">
                  <from>
                    <xdr:col>22</xdr:col>
                    <xdr:colOff>0</xdr:colOff>
                    <xdr:row>1569</xdr:row>
                    <xdr:rowOff>0</xdr:rowOff>
                  </from>
                  <to>
                    <xdr:col>22</xdr:col>
                    <xdr:colOff>184150</xdr:colOff>
                    <xdr:row>1569</xdr:row>
                    <xdr:rowOff>184150</xdr:rowOff>
                  </to>
                </anchor>
              </controlPr>
            </control>
          </mc:Choice>
        </mc:AlternateContent>
        <mc:AlternateContent xmlns:mc="http://schemas.openxmlformats.org/markup-compatibility/2006">
          <mc:Choice Requires="x14">
            <control shapeId="15882" r:id="rId226" name="Check Box 522">
              <controlPr locked="0" defaultSize="0" autoFill="0" autoLine="0" autoPict="0">
                <anchor moveWithCells="1" sizeWithCells="1">
                  <from>
                    <xdr:col>22</xdr:col>
                    <xdr:colOff>0</xdr:colOff>
                    <xdr:row>1570</xdr:row>
                    <xdr:rowOff>0</xdr:rowOff>
                  </from>
                  <to>
                    <xdr:col>22</xdr:col>
                    <xdr:colOff>184150</xdr:colOff>
                    <xdr:row>1570</xdr:row>
                    <xdr:rowOff>184150</xdr:rowOff>
                  </to>
                </anchor>
              </controlPr>
            </control>
          </mc:Choice>
        </mc:AlternateContent>
        <mc:AlternateContent xmlns:mc="http://schemas.openxmlformats.org/markup-compatibility/2006">
          <mc:Choice Requires="x14">
            <control shapeId="15883" r:id="rId227" name="Check Box 523">
              <controlPr locked="0" defaultSize="0" autoFill="0" autoLine="0" autoPict="0">
                <anchor moveWithCells="1" sizeWithCells="1">
                  <from>
                    <xdr:col>22</xdr:col>
                    <xdr:colOff>0</xdr:colOff>
                    <xdr:row>1573</xdr:row>
                    <xdr:rowOff>0</xdr:rowOff>
                  </from>
                  <to>
                    <xdr:col>22</xdr:col>
                    <xdr:colOff>184150</xdr:colOff>
                    <xdr:row>1573</xdr:row>
                    <xdr:rowOff>184150</xdr:rowOff>
                  </to>
                </anchor>
              </controlPr>
            </control>
          </mc:Choice>
        </mc:AlternateContent>
        <mc:AlternateContent xmlns:mc="http://schemas.openxmlformats.org/markup-compatibility/2006">
          <mc:Choice Requires="x14">
            <control shapeId="15884" r:id="rId228" name="Check Box 524">
              <controlPr locked="0" defaultSize="0" autoFill="0" autoLine="0" autoPict="0">
                <anchor moveWithCells="1" sizeWithCells="1">
                  <from>
                    <xdr:col>22</xdr:col>
                    <xdr:colOff>0</xdr:colOff>
                    <xdr:row>1575</xdr:row>
                    <xdr:rowOff>0</xdr:rowOff>
                  </from>
                  <to>
                    <xdr:col>22</xdr:col>
                    <xdr:colOff>184150</xdr:colOff>
                    <xdr:row>1575</xdr:row>
                    <xdr:rowOff>184150</xdr:rowOff>
                  </to>
                </anchor>
              </controlPr>
            </control>
          </mc:Choice>
        </mc:AlternateContent>
        <mc:AlternateContent xmlns:mc="http://schemas.openxmlformats.org/markup-compatibility/2006">
          <mc:Choice Requires="x14">
            <control shapeId="15885" r:id="rId229" name="Check Box 525">
              <controlPr locked="0" defaultSize="0" autoFill="0" autoLine="0" autoPict="0">
                <anchor moveWithCells="1" sizeWithCells="1">
                  <from>
                    <xdr:col>22</xdr:col>
                    <xdr:colOff>0</xdr:colOff>
                    <xdr:row>1577</xdr:row>
                    <xdr:rowOff>0</xdr:rowOff>
                  </from>
                  <to>
                    <xdr:col>22</xdr:col>
                    <xdr:colOff>184150</xdr:colOff>
                    <xdr:row>1577</xdr:row>
                    <xdr:rowOff>184150</xdr:rowOff>
                  </to>
                </anchor>
              </controlPr>
            </control>
          </mc:Choice>
        </mc:AlternateContent>
        <mc:AlternateContent xmlns:mc="http://schemas.openxmlformats.org/markup-compatibility/2006">
          <mc:Choice Requires="x14">
            <control shapeId="15886" r:id="rId230" name="Check Box 526">
              <controlPr locked="0" defaultSize="0" autoFill="0" autoLine="0" autoPict="0">
                <anchor moveWithCells="1" sizeWithCells="1">
                  <from>
                    <xdr:col>22</xdr:col>
                    <xdr:colOff>0</xdr:colOff>
                    <xdr:row>1594</xdr:row>
                    <xdr:rowOff>0</xdr:rowOff>
                  </from>
                  <to>
                    <xdr:col>22</xdr:col>
                    <xdr:colOff>184150</xdr:colOff>
                    <xdr:row>1594</xdr:row>
                    <xdr:rowOff>184150</xdr:rowOff>
                  </to>
                </anchor>
              </controlPr>
            </control>
          </mc:Choice>
        </mc:AlternateContent>
        <mc:AlternateContent xmlns:mc="http://schemas.openxmlformats.org/markup-compatibility/2006">
          <mc:Choice Requires="x14">
            <control shapeId="15887" r:id="rId231" name="Check Box 527">
              <controlPr locked="0" defaultSize="0" autoFill="0" autoLine="0" autoPict="0">
                <anchor moveWithCells="1" sizeWithCells="1">
                  <from>
                    <xdr:col>22</xdr:col>
                    <xdr:colOff>0</xdr:colOff>
                    <xdr:row>1598</xdr:row>
                    <xdr:rowOff>0</xdr:rowOff>
                  </from>
                  <to>
                    <xdr:col>22</xdr:col>
                    <xdr:colOff>184150</xdr:colOff>
                    <xdr:row>1598</xdr:row>
                    <xdr:rowOff>184150</xdr:rowOff>
                  </to>
                </anchor>
              </controlPr>
            </control>
          </mc:Choice>
        </mc:AlternateContent>
        <mc:AlternateContent xmlns:mc="http://schemas.openxmlformats.org/markup-compatibility/2006">
          <mc:Choice Requires="x14">
            <control shapeId="15888" r:id="rId232" name="Check Box 528">
              <controlPr locked="0" defaultSize="0" autoFill="0" autoLine="0" autoPict="0">
                <anchor moveWithCells="1" sizeWithCells="1">
                  <from>
                    <xdr:col>22</xdr:col>
                    <xdr:colOff>0</xdr:colOff>
                    <xdr:row>1599</xdr:row>
                    <xdr:rowOff>0</xdr:rowOff>
                  </from>
                  <to>
                    <xdr:col>22</xdr:col>
                    <xdr:colOff>184150</xdr:colOff>
                    <xdr:row>1599</xdr:row>
                    <xdr:rowOff>184150</xdr:rowOff>
                  </to>
                </anchor>
              </controlPr>
            </control>
          </mc:Choice>
        </mc:AlternateContent>
        <mc:AlternateContent xmlns:mc="http://schemas.openxmlformats.org/markup-compatibility/2006">
          <mc:Choice Requires="x14">
            <control shapeId="15889" r:id="rId233" name="Check Box 529">
              <controlPr locked="0" defaultSize="0" autoFill="0" autoLine="0" autoPict="0">
                <anchor moveWithCells="1" sizeWithCells="1">
                  <from>
                    <xdr:col>22</xdr:col>
                    <xdr:colOff>0</xdr:colOff>
                    <xdr:row>1602</xdr:row>
                    <xdr:rowOff>0</xdr:rowOff>
                  </from>
                  <to>
                    <xdr:col>22</xdr:col>
                    <xdr:colOff>184150</xdr:colOff>
                    <xdr:row>1602</xdr:row>
                    <xdr:rowOff>184150</xdr:rowOff>
                  </to>
                </anchor>
              </controlPr>
            </control>
          </mc:Choice>
        </mc:AlternateContent>
        <mc:AlternateContent xmlns:mc="http://schemas.openxmlformats.org/markup-compatibility/2006">
          <mc:Choice Requires="x14">
            <control shapeId="15890" r:id="rId234" name="Check Box 530">
              <controlPr locked="0" defaultSize="0" autoFill="0" autoLine="0" autoPict="0">
                <anchor moveWithCells="1" sizeWithCells="1">
                  <from>
                    <xdr:col>22</xdr:col>
                    <xdr:colOff>0</xdr:colOff>
                    <xdr:row>1610</xdr:row>
                    <xdr:rowOff>0</xdr:rowOff>
                  </from>
                  <to>
                    <xdr:col>22</xdr:col>
                    <xdr:colOff>184150</xdr:colOff>
                    <xdr:row>1610</xdr:row>
                    <xdr:rowOff>184150</xdr:rowOff>
                  </to>
                </anchor>
              </controlPr>
            </control>
          </mc:Choice>
        </mc:AlternateContent>
        <mc:AlternateContent xmlns:mc="http://schemas.openxmlformats.org/markup-compatibility/2006">
          <mc:Choice Requires="x14">
            <control shapeId="15915" r:id="rId235" name="Check Box 555">
              <controlPr locked="0" defaultSize="0" autoFill="0" autoLine="0" autoPict="0">
                <anchor moveWithCells="1" sizeWithCells="1">
                  <from>
                    <xdr:col>22</xdr:col>
                    <xdr:colOff>0</xdr:colOff>
                    <xdr:row>1678</xdr:row>
                    <xdr:rowOff>0</xdr:rowOff>
                  </from>
                  <to>
                    <xdr:col>22</xdr:col>
                    <xdr:colOff>184150</xdr:colOff>
                    <xdr:row>1678</xdr:row>
                    <xdr:rowOff>184150</xdr:rowOff>
                  </to>
                </anchor>
              </controlPr>
            </control>
          </mc:Choice>
        </mc:AlternateContent>
        <mc:AlternateContent xmlns:mc="http://schemas.openxmlformats.org/markup-compatibility/2006">
          <mc:Choice Requires="x14">
            <control shapeId="15916" r:id="rId236" name="Check Box 556">
              <controlPr locked="0" defaultSize="0" autoFill="0" autoLine="0" autoPict="0">
                <anchor moveWithCells="1" sizeWithCells="1">
                  <from>
                    <xdr:col>22</xdr:col>
                    <xdr:colOff>0</xdr:colOff>
                    <xdr:row>1683</xdr:row>
                    <xdr:rowOff>0</xdr:rowOff>
                  </from>
                  <to>
                    <xdr:col>22</xdr:col>
                    <xdr:colOff>184150</xdr:colOff>
                    <xdr:row>1683</xdr:row>
                    <xdr:rowOff>184150</xdr:rowOff>
                  </to>
                </anchor>
              </controlPr>
            </control>
          </mc:Choice>
        </mc:AlternateContent>
        <mc:AlternateContent xmlns:mc="http://schemas.openxmlformats.org/markup-compatibility/2006">
          <mc:Choice Requires="x14">
            <control shapeId="15918" r:id="rId237" name="Check Box 558">
              <controlPr locked="0" defaultSize="0" autoFill="0" autoLine="0" autoPict="0">
                <anchor moveWithCells="1" sizeWithCells="1">
                  <from>
                    <xdr:col>22</xdr:col>
                    <xdr:colOff>0</xdr:colOff>
                    <xdr:row>1759</xdr:row>
                    <xdr:rowOff>0</xdr:rowOff>
                  </from>
                  <to>
                    <xdr:col>22</xdr:col>
                    <xdr:colOff>184150</xdr:colOff>
                    <xdr:row>1759</xdr:row>
                    <xdr:rowOff>184150</xdr:rowOff>
                  </to>
                </anchor>
              </controlPr>
            </control>
          </mc:Choice>
        </mc:AlternateContent>
        <mc:AlternateContent xmlns:mc="http://schemas.openxmlformats.org/markup-compatibility/2006">
          <mc:Choice Requires="x14">
            <control shapeId="15919" r:id="rId238" name="Check Box 559">
              <controlPr locked="0" defaultSize="0" autoFill="0" autoLine="0" autoPict="0">
                <anchor moveWithCells="1" sizeWithCells="1">
                  <from>
                    <xdr:col>22</xdr:col>
                    <xdr:colOff>0</xdr:colOff>
                    <xdr:row>1766</xdr:row>
                    <xdr:rowOff>0</xdr:rowOff>
                  </from>
                  <to>
                    <xdr:col>22</xdr:col>
                    <xdr:colOff>184150</xdr:colOff>
                    <xdr:row>1766</xdr:row>
                    <xdr:rowOff>184150</xdr:rowOff>
                  </to>
                </anchor>
              </controlPr>
            </control>
          </mc:Choice>
        </mc:AlternateContent>
        <mc:AlternateContent xmlns:mc="http://schemas.openxmlformats.org/markup-compatibility/2006">
          <mc:Choice Requires="x14">
            <control shapeId="15920" r:id="rId239" name="Check Box 560">
              <controlPr locked="0" defaultSize="0" autoFill="0" autoLine="0" autoPict="0">
                <anchor moveWithCells="1" sizeWithCells="1">
                  <from>
                    <xdr:col>22</xdr:col>
                    <xdr:colOff>0</xdr:colOff>
                    <xdr:row>1768</xdr:row>
                    <xdr:rowOff>0</xdr:rowOff>
                  </from>
                  <to>
                    <xdr:col>22</xdr:col>
                    <xdr:colOff>184150</xdr:colOff>
                    <xdr:row>1768</xdr:row>
                    <xdr:rowOff>184150</xdr:rowOff>
                  </to>
                </anchor>
              </controlPr>
            </control>
          </mc:Choice>
        </mc:AlternateContent>
        <mc:AlternateContent xmlns:mc="http://schemas.openxmlformats.org/markup-compatibility/2006">
          <mc:Choice Requires="x14">
            <control shapeId="15922" r:id="rId240" name="Check Box 562">
              <controlPr locked="0" defaultSize="0" autoFill="0" autoLine="0" autoPict="0">
                <anchor moveWithCells="1" sizeWithCells="1">
                  <from>
                    <xdr:col>22</xdr:col>
                    <xdr:colOff>0</xdr:colOff>
                    <xdr:row>1777</xdr:row>
                    <xdr:rowOff>0</xdr:rowOff>
                  </from>
                  <to>
                    <xdr:col>22</xdr:col>
                    <xdr:colOff>184150</xdr:colOff>
                    <xdr:row>1777</xdr:row>
                    <xdr:rowOff>184150</xdr:rowOff>
                  </to>
                </anchor>
              </controlPr>
            </control>
          </mc:Choice>
        </mc:AlternateContent>
        <mc:AlternateContent xmlns:mc="http://schemas.openxmlformats.org/markup-compatibility/2006">
          <mc:Choice Requires="x14">
            <control shapeId="15923" r:id="rId241" name="Check Box 563">
              <controlPr locked="0" defaultSize="0" autoFill="0" autoLine="0" autoPict="0">
                <anchor moveWithCells="1" sizeWithCells="1">
                  <from>
                    <xdr:col>22</xdr:col>
                    <xdr:colOff>0</xdr:colOff>
                    <xdr:row>1778</xdr:row>
                    <xdr:rowOff>0</xdr:rowOff>
                  </from>
                  <to>
                    <xdr:col>22</xdr:col>
                    <xdr:colOff>184150</xdr:colOff>
                    <xdr:row>1778</xdr:row>
                    <xdr:rowOff>184150</xdr:rowOff>
                  </to>
                </anchor>
              </controlPr>
            </control>
          </mc:Choice>
        </mc:AlternateContent>
        <mc:AlternateContent xmlns:mc="http://schemas.openxmlformats.org/markup-compatibility/2006">
          <mc:Choice Requires="x14">
            <control shapeId="15924" r:id="rId242" name="Check Box 564">
              <controlPr locked="0" defaultSize="0" autoFill="0" autoLine="0" autoPict="0">
                <anchor moveWithCells="1" sizeWithCells="1">
                  <from>
                    <xdr:col>22</xdr:col>
                    <xdr:colOff>0</xdr:colOff>
                    <xdr:row>1779</xdr:row>
                    <xdr:rowOff>0</xdr:rowOff>
                  </from>
                  <to>
                    <xdr:col>22</xdr:col>
                    <xdr:colOff>184150</xdr:colOff>
                    <xdr:row>1779</xdr:row>
                    <xdr:rowOff>184150</xdr:rowOff>
                  </to>
                </anchor>
              </controlPr>
            </control>
          </mc:Choice>
        </mc:AlternateContent>
        <mc:AlternateContent xmlns:mc="http://schemas.openxmlformats.org/markup-compatibility/2006">
          <mc:Choice Requires="x14">
            <control shapeId="15927" r:id="rId243" name="Check Box 567">
              <controlPr locked="0" defaultSize="0" autoFill="0" autoLine="0" autoPict="0">
                <anchor moveWithCells="1" sizeWithCells="1">
                  <from>
                    <xdr:col>22</xdr:col>
                    <xdr:colOff>0</xdr:colOff>
                    <xdr:row>1784</xdr:row>
                    <xdr:rowOff>0</xdr:rowOff>
                  </from>
                  <to>
                    <xdr:col>22</xdr:col>
                    <xdr:colOff>184150</xdr:colOff>
                    <xdr:row>1784</xdr:row>
                    <xdr:rowOff>184150</xdr:rowOff>
                  </to>
                </anchor>
              </controlPr>
            </control>
          </mc:Choice>
        </mc:AlternateContent>
        <mc:AlternateContent xmlns:mc="http://schemas.openxmlformats.org/markup-compatibility/2006">
          <mc:Choice Requires="x14">
            <control shapeId="15928" r:id="rId244" name="Check Box 568">
              <controlPr locked="0" defaultSize="0" autoFill="0" autoLine="0" autoPict="0">
                <anchor moveWithCells="1" sizeWithCells="1">
                  <from>
                    <xdr:col>22</xdr:col>
                    <xdr:colOff>0</xdr:colOff>
                    <xdr:row>1786</xdr:row>
                    <xdr:rowOff>0</xdr:rowOff>
                  </from>
                  <to>
                    <xdr:col>22</xdr:col>
                    <xdr:colOff>184150</xdr:colOff>
                    <xdr:row>1786</xdr:row>
                    <xdr:rowOff>184150</xdr:rowOff>
                  </to>
                </anchor>
              </controlPr>
            </control>
          </mc:Choice>
        </mc:AlternateContent>
        <mc:AlternateContent xmlns:mc="http://schemas.openxmlformats.org/markup-compatibility/2006">
          <mc:Choice Requires="x14">
            <control shapeId="15930" r:id="rId245" name="Check Box 570">
              <controlPr locked="0" defaultSize="0" autoFill="0" autoLine="0" autoPict="0">
                <anchor moveWithCells="1" sizeWithCells="1">
                  <from>
                    <xdr:col>22</xdr:col>
                    <xdr:colOff>0</xdr:colOff>
                    <xdr:row>1819</xdr:row>
                    <xdr:rowOff>0</xdr:rowOff>
                  </from>
                  <to>
                    <xdr:col>22</xdr:col>
                    <xdr:colOff>184150</xdr:colOff>
                    <xdr:row>1819</xdr:row>
                    <xdr:rowOff>184150</xdr:rowOff>
                  </to>
                </anchor>
              </controlPr>
            </control>
          </mc:Choice>
        </mc:AlternateContent>
        <mc:AlternateContent xmlns:mc="http://schemas.openxmlformats.org/markup-compatibility/2006">
          <mc:Choice Requires="x14">
            <control shapeId="15931" r:id="rId246" name="Check Box 571">
              <controlPr locked="0" defaultSize="0" autoFill="0" autoLine="0" autoPict="0">
                <anchor moveWithCells="1" sizeWithCells="1">
                  <from>
                    <xdr:col>22</xdr:col>
                    <xdr:colOff>0</xdr:colOff>
                    <xdr:row>1820</xdr:row>
                    <xdr:rowOff>0</xdr:rowOff>
                  </from>
                  <to>
                    <xdr:col>22</xdr:col>
                    <xdr:colOff>184150</xdr:colOff>
                    <xdr:row>1820</xdr:row>
                    <xdr:rowOff>184150</xdr:rowOff>
                  </to>
                </anchor>
              </controlPr>
            </control>
          </mc:Choice>
        </mc:AlternateContent>
        <mc:AlternateContent xmlns:mc="http://schemas.openxmlformats.org/markup-compatibility/2006">
          <mc:Choice Requires="x14">
            <control shapeId="15932" r:id="rId247" name="Check Box 572">
              <controlPr locked="0" defaultSize="0" autoFill="0" autoLine="0" autoPict="0">
                <anchor moveWithCells="1" sizeWithCells="1">
                  <from>
                    <xdr:col>22</xdr:col>
                    <xdr:colOff>0</xdr:colOff>
                    <xdr:row>1847</xdr:row>
                    <xdr:rowOff>0</xdr:rowOff>
                  </from>
                  <to>
                    <xdr:col>22</xdr:col>
                    <xdr:colOff>184150</xdr:colOff>
                    <xdr:row>1847</xdr:row>
                    <xdr:rowOff>184150</xdr:rowOff>
                  </to>
                </anchor>
              </controlPr>
            </control>
          </mc:Choice>
        </mc:AlternateContent>
        <mc:AlternateContent xmlns:mc="http://schemas.openxmlformats.org/markup-compatibility/2006">
          <mc:Choice Requires="x14">
            <control shapeId="15935" r:id="rId248" name="Check Box 575">
              <controlPr locked="0" defaultSize="0" autoFill="0" autoLine="0" autoPict="0">
                <anchor moveWithCells="1" sizeWithCells="1">
                  <from>
                    <xdr:col>22</xdr:col>
                    <xdr:colOff>0</xdr:colOff>
                    <xdr:row>1856</xdr:row>
                    <xdr:rowOff>0</xdr:rowOff>
                  </from>
                  <to>
                    <xdr:col>22</xdr:col>
                    <xdr:colOff>184150</xdr:colOff>
                    <xdr:row>1856</xdr:row>
                    <xdr:rowOff>184150</xdr:rowOff>
                  </to>
                </anchor>
              </controlPr>
            </control>
          </mc:Choice>
        </mc:AlternateContent>
        <mc:AlternateContent xmlns:mc="http://schemas.openxmlformats.org/markup-compatibility/2006">
          <mc:Choice Requires="x14">
            <control shapeId="15936" r:id="rId249" name="Check Box 576">
              <controlPr locked="0" defaultSize="0" autoFill="0" autoLine="0" autoPict="0">
                <anchor moveWithCells="1" sizeWithCells="1">
                  <from>
                    <xdr:col>22</xdr:col>
                    <xdr:colOff>0</xdr:colOff>
                    <xdr:row>1859</xdr:row>
                    <xdr:rowOff>0</xdr:rowOff>
                  </from>
                  <to>
                    <xdr:col>22</xdr:col>
                    <xdr:colOff>184150</xdr:colOff>
                    <xdr:row>1859</xdr:row>
                    <xdr:rowOff>184150</xdr:rowOff>
                  </to>
                </anchor>
              </controlPr>
            </control>
          </mc:Choice>
        </mc:AlternateContent>
        <mc:AlternateContent xmlns:mc="http://schemas.openxmlformats.org/markup-compatibility/2006">
          <mc:Choice Requires="x14">
            <control shapeId="15937" r:id="rId250" name="Check Box 577">
              <controlPr locked="0" defaultSize="0" autoFill="0" autoLine="0" autoPict="0">
                <anchor moveWithCells="1" sizeWithCells="1">
                  <from>
                    <xdr:col>22</xdr:col>
                    <xdr:colOff>0</xdr:colOff>
                    <xdr:row>1861</xdr:row>
                    <xdr:rowOff>0</xdr:rowOff>
                  </from>
                  <to>
                    <xdr:col>22</xdr:col>
                    <xdr:colOff>184150</xdr:colOff>
                    <xdr:row>1861</xdr:row>
                    <xdr:rowOff>184150</xdr:rowOff>
                  </to>
                </anchor>
              </controlPr>
            </control>
          </mc:Choice>
        </mc:AlternateContent>
        <mc:AlternateContent xmlns:mc="http://schemas.openxmlformats.org/markup-compatibility/2006">
          <mc:Choice Requires="x14">
            <control shapeId="15982" r:id="rId251" name="Check Box 622">
              <controlPr locked="0" defaultSize="0" autoFill="0" autoLine="0" autoPict="0">
                <anchor moveWithCells="1" sizeWithCells="1">
                  <from>
                    <xdr:col>22</xdr:col>
                    <xdr:colOff>0</xdr:colOff>
                    <xdr:row>1877</xdr:row>
                    <xdr:rowOff>0</xdr:rowOff>
                  </from>
                  <to>
                    <xdr:col>22</xdr:col>
                    <xdr:colOff>184150</xdr:colOff>
                    <xdr:row>1877</xdr:row>
                    <xdr:rowOff>184150</xdr:rowOff>
                  </to>
                </anchor>
              </controlPr>
            </control>
          </mc:Choice>
        </mc:AlternateContent>
        <mc:AlternateContent xmlns:mc="http://schemas.openxmlformats.org/markup-compatibility/2006">
          <mc:Choice Requires="x14">
            <control shapeId="15983" r:id="rId252" name="Check Box 623">
              <controlPr locked="0" defaultSize="0" autoFill="0" autoLine="0" autoPict="0">
                <anchor moveWithCells="1" sizeWithCells="1">
                  <from>
                    <xdr:col>22</xdr:col>
                    <xdr:colOff>0</xdr:colOff>
                    <xdr:row>1883</xdr:row>
                    <xdr:rowOff>0</xdr:rowOff>
                  </from>
                  <to>
                    <xdr:col>22</xdr:col>
                    <xdr:colOff>184150</xdr:colOff>
                    <xdr:row>1883</xdr:row>
                    <xdr:rowOff>184150</xdr:rowOff>
                  </to>
                </anchor>
              </controlPr>
            </control>
          </mc:Choice>
        </mc:AlternateContent>
        <mc:AlternateContent xmlns:mc="http://schemas.openxmlformats.org/markup-compatibility/2006">
          <mc:Choice Requires="x14">
            <control shapeId="15984" r:id="rId253" name="Check Box 624">
              <controlPr locked="0" defaultSize="0" autoFill="0" autoLine="0" autoPict="0">
                <anchor moveWithCells="1" sizeWithCells="1">
                  <from>
                    <xdr:col>22</xdr:col>
                    <xdr:colOff>0</xdr:colOff>
                    <xdr:row>1899</xdr:row>
                    <xdr:rowOff>0</xdr:rowOff>
                  </from>
                  <to>
                    <xdr:col>22</xdr:col>
                    <xdr:colOff>184150</xdr:colOff>
                    <xdr:row>1899</xdr:row>
                    <xdr:rowOff>184150</xdr:rowOff>
                  </to>
                </anchor>
              </controlPr>
            </control>
          </mc:Choice>
        </mc:AlternateContent>
        <mc:AlternateContent xmlns:mc="http://schemas.openxmlformats.org/markup-compatibility/2006">
          <mc:Choice Requires="x14">
            <control shapeId="15985" r:id="rId254" name="Check Box 625">
              <controlPr locked="0" defaultSize="0" autoFill="0" autoLine="0" autoPict="0">
                <anchor moveWithCells="1" sizeWithCells="1">
                  <from>
                    <xdr:col>22</xdr:col>
                    <xdr:colOff>0</xdr:colOff>
                    <xdr:row>1927</xdr:row>
                    <xdr:rowOff>0</xdr:rowOff>
                  </from>
                  <to>
                    <xdr:col>22</xdr:col>
                    <xdr:colOff>184150</xdr:colOff>
                    <xdr:row>1927</xdr:row>
                    <xdr:rowOff>184150</xdr:rowOff>
                  </to>
                </anchor>
              </controlPr>
            </control>
          </mc:Choice>
        </mc:AlternateContent>
        <mc:AlternateContent xmlns:mc="http://schemas.openxmlformats.org/markup-compatibility/2006">
          <mc:Choice Requires="x14">
            <control shapeId="15986" r:id="rId255" name="Check Box 626">
              <controlPr locked="0" defaultSize="0" autoFill="0" autoLine="0" autoPict="0">
                <anchor moveWithCells="1" sizeWithCells="1">
                  <from>
                    <xdr:col>22</xdr:col>
                    <xdr:colOff>0</xdr:colOff>
                    <xdr:row>1933</xdr:row>
                    <xdr:rowOff>0</xdr:rowOff>
                  </from>
                  <to>
                    <xdr:col>22</xdr:col>
                    <xdr:colOff>184150</xdr:colOff>
                    <xdr:row>1933</xdr:row>
                    <xdr:rowOff>184150</xdr:rowOff>
                  </to>
                </anchor>
              </controlPr>
            </control>
          </mc:Choice>
        </mc:AlternateContent>
        <mc:AlternateContent xmlns:mc="http://schemas.openxmlformats.org/markup-compatibility/2006">
          <mc:Choice Requires="x14">
            <control shapeId="15987" r:id="rId256" name="Check Box 627">
              <controlPr locked="0" defaultSize="0" autoFill="0" autoLine="0" autoPict="0">
                <anchor moveWithCells="1" sizeWithCells="1">
                  <from>
                    <xdr:col>22</xdr:col>
                    <xdr:colOff>0</xdr:colOff>
                    <xdr:row>1956</xdr:row>
                    <xdr:rowOff>0</xdr:rowOff>
                  </from>
                  <to>
                    <xdr:col>22</xdr:col>
                    <xdr:colOff>184150</xdr:colOff>
                    <xdr:row>1956</xdr:row>
                    <xdr:rowOff>184150</xdr:rowOff>
                  </to>
                </anchor>
              </controlPr>
            </control>
          </mc:Choice>
        </mc:AlternateContent>
        <mc:AlternateContent xmlns:mc="http://schemas.openxmlformats.org/markup-compatibility/2006">
          <mc:Choice Requires="x14">
            <control shapeId="15988" r:id="rId257" name="Check Box 628">
              <controlPr locked="0" defaultSize="0" autoFill="0" autoLine="0" autoPict="0">
                <anchor moveWithCells="1" sizeWithCells="1">
                  <from>
                    <xdr:col>22</xdr:col>
                    <xdr:colOff>0</xdr:colOff>
                    <xdr:row>1958</xdr:row>
                    <xdr:rowOff>0</xdr:rowOff>
                  </from>
                  <to>
                    <xdr:col>22</xdr:col>
                    <xdr:colOff>184150</xdr:colOff>
                    <xdr:row>1958</xdr:row>
                    <xdr:rowOff>184150</xdr:rowOff>
                  </to>
                </anchor>
              </controlPr>
            </control>
          </mc:Choice>
        </mc:AlternateContent>
        <mc:AlternateContent xmlns:mc="http://schemas.openxmlformats.org/markup-compatibility/2006">
          <mc:Choice Requires="x14">
            <control shapeId="15989" r:id="rId258" name="Check Box 629">
              <controlPr locked="0" defaultSize="0" autoFill="0" autoLine="0" autoPict="0">
                <anchor moveWithCells="1" sizeWithCells="1">
                  <from>
                    <xdr:col>22</xdr:col>
                    <xdr:colOff>0</xdr:colOff>
                    <xdr:row>1961</xdr:row>
                    <xdr:rowOff>0</xdr:rowOff>
                  </from>
                  <to>
                    <xdr:col>22</xdr:col>
                    <xdr:colOff>184150</xdr:colOff>
                    <xdr:row>1961</xdr:row>
                    <xdr:rowOff>184150</xdr:rowOff>
                  </to>
                </anchor>
              </controlPr>
            </control>
          </mc:Choice>
        </mc:AlternateContent>
        <mc:AlternateContent xmlns:mc="http://schemas.openxmlformats.org/markup-compatibility/2006">
          <mc:Choice Requires="x14">
            <control shapeId="15990" r:id="rId259" name="Check Box 630">
              <controlPr locked="0" defaultSize="0" autoFill="0" autoLine="0" autoPict="0">
                <anchor moveWithCells="1" sizeWithCells="1">
                  <from>
                    <xdr:col>22</xdr:col>
                    <xdr:colOff>0</xdr:colOff>
                    <xdr:row>1984</xdr:row>
                    <xdr:rowOff>0</xdr:rowOff>
                  </from>
                  <to>
                    <xdr:col>22</xdr:col>
                    <xdr:colOff>184150</xdr:colOff>
                    <xdr:row>1984</xdr:row>
                    <xdr:rowOff>184150</xdr:rowOff>
                  </to>
                </anchor>
              </controlPr>
            </control>
          </mc:Choice>
        </mc:AlternateContent>
        <mc:AlternateContent xmlns:mc="http://schemas.openxmlformats.org/markup-compatibility/2006">
          <mc:Choice Requires="x14">
            <control shapeId="15991" r:id="rId260" name="Check Box 631">
              <controlPr locked="0" defaultSize="0" autoFill="0" autoLine="0" autoPict="0">
                <anchor moveWithCells="1" sizeWithCells="1">
                  <from>
                    <xdr:col>22</xdr:col>
                    <xdr:colOff>0</xdr:colOff>
                    <xdr:row>1995</xdr:row>
                    <xdr:rowOff>0</xdr:rowOff>
                  </from>
                  <to>
                    <xdr:col>22</xdr:col>
                    <xdr:colOff>184150</xdr:colOff>
                    <xdr:row>1995</xdr:row>
                    <xdr:rowOff>184150</xdr:rowOff>
                  </to>
                </anchor>
              </controlPr>
            </control>
          </mc:Choice>
        </mc:AlternateContent>
        <mc:AlternateContent xmlns:mc="http://schemas.openxmlformats.org/markup-compatibility/2006">
          <mc:Choice Requires="x14">
            <control shapeId="15992" r:id="rId261" name="Check Box 632">
              <controlPr locked="0" defaultSize="0" autoFill="0" autoLine="0" autoPict="0">
                <anchor moveWithCells="1" sizeWithCells="1">
                  <from>
                    <xdr:col>22</xdr:col>
                    <xdr:colOff>0</xdr:colOff>
                    <xdr:row>1997</xdr:row>
                    <xdr:rowOff>0</xdr:rowOff>
                  </from>
                  <to>
                    <xdr:col>22</xdr:col>
                    <xdr:colOff>184150</xdr:colOff>
                    <xdr:row>1997</xdr:row>
                    <xdr:rowOff>184150</xdr:rowOff>
                  </to>
                </anchor>
              </controlPr>
            </control>
          </mc:Choice>
        </mc:AlternateContent>
        <mc:AlternateContent xmlns:mc="http://schemas.openxmlformats.org/markup-compatibility/2006">
          <mc:Choice Requires="x14">
            <control shapeId="15993" r:id="rId262" name="Check Box 633">
              <controlPr locked="0" defaultSize="0" autoFill="0" autoLine="0" autoPict="0">
                <anchor moveWithCells="1" sizeWithCells="1">
                  <from>
                    <xdr:col>22</xdr:col>
                    <xdr:colOff>0</xdr:colOff>
                    <xdr:row>1998</xdr:row>
                    <xdr:rowOff>0</xdr:rowOff>
                  </from>
                  <to>
                    <xdr:col>22</xdr:col>
                    <xdr:colOff>184150</xdr:colOff>
                    <xdr:row>1998</xdr:row>
                    <xdr:rowOff>184150</xdr:rowOff>
                  </to>
                </anchor>
              </controlPr>
            </control>
          </mc:Choice>
        </mc:AlternateContent>
        <mc:AlternateContent xmlns:mc="http://schemas.openxmlformats.org/markup-compatibility/2006">
          <mc:Choice Requires="x14">
            <control shapeId="15994" r:id="rId263" name="Check Box 634">
              <controlPr locked="0" defaultSize="0" autoFill="0" autoLine="0" autoPict="0">
                <anchor moveWithCells="1" sizeWithCells="1">
                  <from>
                    <xdr:col>22</xdr:col>
                    <xdr:colOff>0</xdr:colOff>
                    <xdr:row>2000</xdr:row>
                    <xdr:rowOff>0</xdr:rowOff>
                  </from>
                  <to>
                    <xdr:col>22</xdr:col>
                    <xdr:colOff>184150</xdr:colOff>
                    <xdr:row>2000</xdr:row>
                    <xdr:rowOff>184150</xdr:rowOff>
                  </to>
                </anchor>
              </controlPr>
            </control>
          </mc:Choice>
        </mc:AlternateContent>
        <mc:AlternateContent xmlns:mc="http://schemas.openxmlformats.org/markup-compatibility/2006">
          <mc:Choice Requires="x14">
            <control shapeId="15995" r:id="rId264" name="Check Box 635">
              <controlPr locked="0" defaultSize="0" autoFill="0" autoLine="0" autoPict="0">
                <anchor moveWithCells="1" sizeWithCells="1">
                  <from>
                    <xdr:col>22</xdr:col>
                    <xdr:colOff>0</xdr:colOff>
                    <xdr:row>2005</xdr:row>
                    <xdr:rowOff>0</xdr:rowOff>
                  </from>
                  <to>
                    <xdr:col>22</xdr:col>
                    <xdr:colOff>184150</xdr:colOff>
                    <xdr:row>2005</xdr:row>
                    <xdr:rowOff>184150</xdr:rowOff>
                  </to>
                </anchor>
              </controlPr>
            </control>
          </mc:Choice>
        </mc:AlternateContent>
        <mc:AlternateContent xmlns:mc="http://schemas.openxmlformats.org/markup-compatibility/2006">
          <mc:Choice Requires="x14">
            <control shapeId="15996" r:id="rId265" name="Check Box 636">
              <controlPr locked="0" defaultSize="0" autoFill="0" autoLine="0" autoPict="0">
                <anchor moveWithCells="1" sizeWithCells="1">
                  <from>
                    <xdr:col>22</xdr:col>
                    <xdr:colOff>0</xdr:colOff>
                    <xdr:row>2014</xdr:row>
                    <xdr:rowOff>0</xdr:rowOff>
                  </from>
                  <to>
                    <xdr:col>22</xdr:col>
                    <xdr:colOff>184150</xdr:colOff>
                    <xdr:row>2014</xdr:row>
                    <xdr:rowOff>184150</xdr:rowOff>
                  </to>
                </anchor>
              </controlPr>
            </control>
          </mc:Choice>
        </mc:AlternateContent>
        <mc:AlternateContent xmlns:mc="http://schemas.openxmlformats.org/markup-compatibility/2006">
          <mc:Choice Requires="x14">
            <control shapeId="15997" r:id="rId266" name="Check Box 637">
              <controlPr locked="0" defaultSize="0" autoFill="0" autoLine="0" autoPict="0">
                <anchor moveWithCells="1" sizeWithCells="1">
                  <from>
                    <xdr:col>22</xdr:col>
                    <xdr:colOff>0</xdr:colOff>
                    <xdr:row>2019</xdr:row>
                    <xdr:rowOff>0</xdr:rowOff>
                  </from>
                  <to>
                    <xdr:col>22</xdr:col>
                    <xdr:colOff>184150</xdr:colOff>
                    <xdr:row>2019</xdr:row>
                    <xdr:rowOff>184150</xdr:rowOff>
                  </to>
                </anchor>
              </controlPr>
            </control>
          </mc:Choice>
        </mc:AlternateContent>
        <mc:AlternateContent xmlns:mc="http://schemas.openxmlformats.org/markup-compatibility/2006">
          <mc:Choice Requires="x14">
            <control shapeId="15998" r:id="rId267" name="Check Box 638">
              <controlPr locked="0" defaultSize="0" autoFill="0" autoLine="0" autoPict="0">
                <anchor moveWithCells="1" sizeWithCells="1">
                  <from>
                    <xdr:col>22</xdr:col>
                    <xdr:colOff>0</xdr:colOff>
                    <xdr:row>2020</xdr:row>
                    <xdr:rowOff>0</xdr:rowOff>
                  </from>
                  <to>
                    <xdr:col>22</xdr:col>
                    <xdr:colOff>184150</xdr:colOff>
                    <xdr:row>2020</xdr:row>
                    <xdr:rowOff>184150</xdr:rowOff>
                  </to>
                </anchor>
              </controlPr>
            </control>
          </mc:Choice>
        </mc:AlternateContent>
        <mc:AlternateContent xmlns:mc="http://schemas.openxmlformats.org/markup-compatibility/2006">
          <mc:Choice Requires="x14">
            <control shapeId="15999" r:id="rId268" name="Check Box 639">
              <controlPr locked="0" defaultSize="0" autoFill="0" autoLine="0" autoPict="0">
                <anchor moveWithCells="1" sizeWithCells="1">
                  <from>
                    <xdr:col>22</xdr:col>
                    <xdr:colOff>0</xdr:colOff>
                    <xdr:row>2024</xdr:row>
                    <xdr:rowOff>0</xdr:rowOff>
                  </from>
                  <to>
                    <xdr:col>22</xdr:col>
                    <xdr:colOff>184150</xdr:colOff>
                    <xdr:row>2024</xdr:row>
                    <xdr:rowOff>184150</xdr:rowOff>
                  </to>
                </anchor>
              </controlPr>
            </control>
          </mc:Choice>
        </mc:AlternateContent>
        <mc:AlternateContent xmlns:mc="http://schemas.openxmlformats.org/markup-compatibility/2006">
          <mc:Choice Requires="x14">
            <control shapeId="16000" r:id="rId269" name="Check Box 640">
              <controlPr locked="0" defaultSize="0" autoFill="0" autoLine="0" autoPict="0">
                <anchor moveWithCells="1" sizeWithCells="1">
                  <from>
                    <xdr:col>22</xdr:col>
                    <xdr:colOff>0</xdr:colOff>
                    <xdr:row>2037</xdr:row>
                    <xdr:rowOff>0</xdr:rowOff>
                  </from>
                  <to>
                    <xdr:col>22</xdr:col>
                    <xdr:colOff>184150</xdr:colOff>
                    <xdr:row>2037</xdr:row>
                    <xdr:rowOff>184150</xdr:rowOff>
                  </to>
                </anchor>
              </controlPr>
            </control>
          </mc:Choice>
        </mc:AlternateContent>
        <mc:AlternateContent xmlns:mc="http://schemas.openxmlformats.org/markup-compatibility/2006">
          <mc:Choice Requires="x14">
            <control shapeId="16001" r:id="rId270" name="Check Box 641">
              <controlPr locked="0" defaultSize="0" autoFill="0" autoLine="0" autoPict="0">
                <anchor moveWithCells="1" sizeWithCells="1">
                  <from>
                    <xdr:col>22</xdr:col>
                    <xdr:colOff>0</xdr:colOff>
                    <xdr:row>2038</xdr:row>
                    <xdr:rowOff>0</xdr:rowOff>
                  </from>
                  <to>
                    <xdr:col>22</xdr:col>
                    <xdr:colOff>184150</xdr:colOff>
                    <xdr:row>2038</xdr:row>
                    <xdr:rowOff>184150</xdr:rowOff>
                  </to>
                </anchor>
              </controlPr>
            </control>
          </mc:Choice>
        </mc:AlternateContent>
        <mc:AlternateContent xmlns:mc="http://schemas.openxmlformats.org/markup-compatibility/2006">
          <mc:Choice Requires="x14">
            <control shapeId="16002" r:id="rId271" name="Check Box 642">
              <controlPr locked="0" defaultSize="0" autoFill="0" autoLine="0" autoPict="0">
                <anchor moveWithCells="1" sizeWithCells="1">
                  <from>
                    <xdr:col>22</xdr:col>
                    <xdr:colOff>0</xdr:colOff>
                    <xdr:row>2041</xdr:row>
                    <xdr:rowOff>0</xdr:rowOff>
                  </from>
                  <to>
                    <xdr:col>22</xdr:col>
                    <xdr:colOff>184150</xdr:colOff>
                    <xdr:row>2041</xdr:row>
                    <xdr:rowOff>184150</xdr:rowOff>
                  </to>
                </anchor>
              </controlPr>
            </control>
          </mc:Choice>
        </mc:AlternateContent>
        <mc:AlternateContent xmlns:mc="http://schemas.openxmlformats.org/markup-compatibility/2006">
          <mc:Choice Requires="x14">
            <control shapeId="16003" r:id="rId272" name="Check Box 643">
              <controlPr locked="0" defaultSize="0" autoFill="0" autoLine="0" autoPict="0">
                <anchor moveWithCells="1" sizeWithCells="1">
                  <from>
                    <xdr:col>22</xdr:col>
                    <xdr:colOff>0</xdr:colOff>
                    <xdr:row>2043</xdr:row>
                    <xdr:rowOff>0</xdr:rowOff>
                  </from>
                  <to>
                    <xdr:col>22</xdr:col>
                    <xdr:colOff>184150</xdr:colOff>
                    <xdr:row>2043</xdr:row>
                    <xdr:rowOff>184150</xdr:rowOff>
                  </to>
                </anchor>
              </controlPr>
            </control>
          </mc:Choice>
        </mc:AlternateContent>
        <mc:AlternateContent xmlns:mc="http://schemas.openxmlformats.org/markup-compatibility/2006">
          <mc:Choice Requires="x14">
            <control shapeId="16004" r:id="rId273" name="Check Box 644">
              <controlPr locked="0" defaultSize="0" autoFill="0" autoLine="0" autoPict="0">
                <anchor moveWithCells="1" sizeWithCells="1">
                  <from>
                    <xdr:col>22</xdr:col>
                    <xdr:colOff>0</xdr:colOff>
                    <xdr:row>2049</xdr:row>
                    <xdr:rowOff>0</xdr:rowOff>
                  </from>
                  <to>
                    <xdr:col>22</xdr:col>
                    <xdr:colOff>184150</xdr:colOff>
                    <xdr:row>2049</xdr:row>
                    <xdr:rowOff>184150</xdr:rowOff>
                  </to>
                </anchor>
              </controlPr>
            </control>
          </mc:Choice>
        </mc:AlternateContent>
        <mc:AlternateContent xmlns:mc="http://schemas.openxmlformats.org/markup-compatibility/2006">
          <mc:Choice Requires="x14">
            <control shapeId="16005" r:id="rId274" name="Check Box 645">
              <controlPr locked="0" defaultSize="0" autoFill="0" autoLine="0" autoPict="0">
                <anchor moveWithCells="1" sizeWithCells="1">
                  <from>
                    <xdr:col>22</xdr:col>
                    <xdr:colOff>0</xdr:colOff>
                    <xdr:row>2051</xdr:row>
                    <xdr:rowOff>0</xdr:rowOff>
                  </from>
                  <to>
                    <xdr:col>22</xdr:col>
                    <xdr:colOff>184150</xdr:colOff>
                    <xdr:row>2051</xdr:row>
                    <xdr:rowOff>184150</xdr:rowOff>
                  </to>
                </anchor>
              </controlPr>
            </control>
          </mc:Choice>
        </mc:AlternateContent>
        <mc:AlternateContent xmlns:mc="http://schemas.openxmlformats.org/markup-compatibility/2006">
          <mc:Choice Requires="x14">
            <control shapeId="16006" r:id="rId275" name="Check Box 646">
              <controlPr locked="0" defaultSize="0" autoFill="0" autoLine="0" autoPict="0">
                <anchor moveWithCells="1" sizeWithCells="1">
                  <from>
                    <xdr:col>22</xdr:col>
                    <xdr:colOff>0</xdr:colOff>
                    <xdr:row>2055</xdr:row>
                    <xdr:rowOff>0</xdr:rowOff>
                  </from>
                  <to>
                    <xdr:col>22</xdr:col>
                    <xdr:colOff>184150</xdr:colOff>
                    <xdr:row>2055</xdr:row>
                    <xdr:rowOff>184150</xdr:rowOff>
                  </to>
                </anchor>
              </controlPr>
            </control>
          </mc:Choice>
        </mc:AlternateContent>
        <mc:AlternateContent xmlns:mc="http://schemas.openxmlformats.org/markup-compatibility/2006">
          <mc:Choice Requires="x14">
            <control shapeId="16007" r:id="rId276" name="Check Box 647">
              <controlPr locked="0" defaultSize="0" autoFill="0" autoLine="0" autoPict="0">
                <anchor moveWithCells="1" sizeWithCells="1">
                  <from>
                    <xdr:col>22</xdr:col>
                    <xdr:colOff>0</xdr:colOff>
                    <xdr:row>2062</xdr:row>
                    <xdr:rowOff>0</xdr:rowOff>
                  </from>
                  <to>
                    <xdr:col>22</xdr:col>
                    <xdr:colOff>184150</xdr:colOff>
                    <xdr:row>2062</xdr:row>
                    <xdr:rowOff>184150</xdr:rowOff>
                  </to>
                </anchor>
              </controlPr>
            </control>
          </mc:Choice>
        </mc:AlternateContent>
        <mc:AlternateContent xmlns:mc="http://schemas.openxmlformats.org/markup-compatibility/2006">
          <mc:Choice Requires="x14">
            <control shapeId="16008" r:id="rId277" name="Check Box 648">
              <controlPr locked="0" defaultSize="0" autoFill="0" autoLine="0" autoPict="0">
                <anchor moveWithCells="1" sizeWithCells="1">
                  <from>
                    <xdr:col>22</xdr:col>
                    <xdr:colOff>0</xdr:colOff>
                    <xdr:row>2073</xdr:row>
                    <xdr:rowOff>0</xdr:rowOff>
                  </from>
                  <to>
                    <xdr:col>22</xdr:col>
                    <xdr:colOff>184150</xdr:colOff>
                    <xdr:row>2073</xdr:row>
                    <xdr:rowOff>184150</xdr:rowOff>
                  </to>
                </anchor>
              </controlPr>
            </control>
          </mc:Choice>
        </mc:AlternateContent>
        <mc:AlternateContent xmlns:mc="http://schemas.openxmlformats.org/markup-compatibility/2006">
          <mc:Choice Requires="x14">
            <control shapeId="16009" r:id="rId278" name="Check Box 649">
              <controlPr locked="0" defaultSize="0" autoFill="0" autoLine="0" autoPict="0">
                <anchor moveWithCells="1" sizeWithCells="1">
                  <from>
                    <xdr:col>22</xdr:col>
                    <xdr:colOff>0</xdr:colOff>
                    <xdr:row>2075</xdr:row>
                    <xdr:rowOff>0</xdr:rowOff>
                  </from>
                  <to>
                    <xdr:col>22</xdr:col>
                    <xdr:colOff>184150</xdr:colOff>
                    <xdr:row>2075</xdr:row>
                    <xdr:rowOff>184150</xdr:rowOff>
                  </to>
                </anchor>
              </controlPr>
            </control>
          </mc:Choice>
        </mc:AlternateContent>
        <mc:AlternateContent xmlns:mc="http://schemas.openxmlformats.org/markup-compatibility/2006">
          <mc:Choice Requires="x14">
            <control shapeId="16010" r:id="rId279" name="Check Box 650">
              <controlPr locked="0" defaultSize="0" autoFill="0" autoLine="0" autoPict="0">
                <anchor moveWithCells="1" sizeWithCells="1">
                  <from>
                    <xdr:col>22</xdr:col>
                    <xdr:colOff>0</xdr:colOff>
                    <xdr:row>2077</xdr:row>
                    <xdr:rowOff>0</xdr:rowOff>
                  </from>
                  <to>
                    <xdr:col>22</xdr:col>
                    <xdr:colOff>184150</xdr:colOff>
                    <xdr:row>2077</xdr:row>
                    <xdr:rowOff>184150</xdr:rowOff>
                  </to>
                </anchor>
              </controlPr>
            </control>
          </mc:Choice>
        </mc:AlternateContent>
        <mc:AlternateContent xmlns:mc="http://schemas.openxmlformats.org/markup-compatibility/2006">
          <mc:Choice Requires="x14">
            <control shapeId="16011" r:id="rId280" name="Check Box 651">
              <controlPr locked="0" defaultSize="0" autoFill="0" autoLine="0" autoPict="0">
                <anchor moveWithCells="1" sizeWithCells="1">
                  <from>
                    <xdr:col>22</xdr:col>
                    <xdr:colOff>0</xdr:colOff>
                    <xdr:row>2095</xdr:row>
                    <xdr:rowOff>0</xdr:rowOff>
                  </from>
                  <to>
                    <xdr:col>22</xdr:col>
                    <xdr:colOff>184150</xdr:colOff>
                    <xdr:row>2095</xdr:row>
                    <xdr:rowOff>184150</xdr:rowOff>
                  </to>
                </anchor>
              </controlPr>
            </control>
          </mc:Choice>
        </mc:AlternateContent>
        <mc:AlternateContent xmlns:mc="http://schemas.openxmlformats.org/markup-compatibility/2006">
          <mc:Choice Requires="x14">
            <control shapeId="16012" r:id="rId281" name="Check Box 652">
              <controlPr locked="0" defaultSize="0" autoFill="0" autoLine="0" autoPict="0">
                <anchor moveWithCells="1" sizeWithCells="1">
                  <from>
                    <xdr:col>22</xdr:col>
                    <xdr:colOff>0</xdr:colOff>
                    <xdr:row>2097</xdr:row>
                    <xdr:rowOff>0</xdr:rowOff>
                  </from>
                  <to>
                    <xdr:col>22</xdr:col>
                    <xdr:colOff>184150</xdr:colOff>
                    <xdr:row>2097</xdr:row>
                    <xdr:rowOff>184150</xdr:rowOff>
                  </to>
                </anchor>
              </controlPr>
            </control>
          </mc:Choice>
        </mc:AlternateContent>
        <mc:AlternateContent xmlns:mc="http://schemas.openxmlformats.org/markup-compatibility/2006">
          <mc:Choice Requires="x14">
            <control shapeId="16013" r:id="rId282" name="Check Box 653">
              <controlPr locked="0" defaultSize="0" autoFill="0" autoLine="0" autoPict="0">
                <anchor moveWithCells="1" sizeWithCells="1">
                  <from>
                    <xdr:col>22</xdr:col>
                    <xdr:colOff>0</xdr:colOff>
                    <xdr:row>2100</xdr:row>
                    <xdr:rowOff>0</xdr:rowOff>
                  </from>
                  <to>
                    <xdr:col>22</xdr:col>
                    <xdr:colOff>184150</xdr:colOff>
                    <xdr:row>2100</xdr:row>
                    <xdr:rowOff>184150</xdr:rowOff>
                  </to>
                </anchor>
              </controlPr>
            </control>
          </mc:Choice>
        </mc:AlternateContent>
        <mc:AlternateContent xmlns:mc="http://schemas.openxmlformats.org/markup-compatibility/2006">
          <mc:Choice Requires="x14">
            <control shapeId="16015" r:id="rId283" name="Check Box 655">
              <controlPr locked="0" defaultSize="0" autoFill="0" autoLine="0" autoPict="0">
                <anchor moveWithCells="1" sizeWithCells="1">
                  <from>
                    <xdr:col>22</xdr:col>
                    <xdr:colOff>0</xdr:colOff>
                    <xdr:row>2179</xdr:row>
                    <xdr:rowOff>0</xdr:rowOff>
                  </from>
                  <to>
                    <xdr:col>22</xdr:col>
                    <xdr:colOff>184150</xdr:colOff>
                    <xdr:row>2179</xdr:row>
                    <xdr:rowOff>184150</xdr:rowOff>
                  </to>
                </anchor>
              </controlPr>
            </control>
          </mc:Choice>
        </mc:AlternateContent>
        <mc:AlternateContent xmlns:mc="http://schemas.openxmlformats.org/markup-compatibility/2006">
          <mc:Choice Requires="x14">
            <control shapeId="16016" r:id="rId284" name="Check Box 656">
              <controlPr locked="0" defaultSize="0" autoFill="0" autoLine="0" autoPict="0">
                <anchor moveWithCells="1" sizeWithCells="1">
                  <from>
                    <xdr:col>22</xdr:col>
                    <xdr:colOff>0</xdr:colOff>
                    <xdr:row>2181</xdr:row>
                    <xdr:rowOff>0</xdr:rowOff>
                  </from>
                  <to>
                    <xdr:col>22</xdr:col>
                    <xdr:colOff>184150</xdr:colOff>
                    <xdr:row>2181</xdr:row>
                    <xdr:rowOff>184150</xdr:rowOff>
                  </to>
                </anchor>
              </controlPr>
            </control>
          </mc:Choice>
        </mc:AlternateContent>
        <mc:AlternateContent xmlns:mc="http://schemas.openxmlformats.org/markup-compatibility/2006">
          <mc:Choice Requires="x14">
            <control shapeId="16017" r:id="rId285" name="Check Box 657">
              <controlPr locked="0" defaultSize="0" autoFill="0" autoLine="0" autoPict="0">
                <anchor moveWithCells="1" sizeWithCells="1">
                  <from>
                    <xdr:col>22</xdr:col>
                    <xdr:colOff>0</xdr:colOff>
                    <xdr:row>2187</xdr:row>
                    <xdr:rowOff>0</xdr:rowOff>
                  </from>
                  <to>
                    <xdr:col>22</xdr:col>
                    <xdr:colOff>184150</xdr:colOff>
                    <xdr:row>2187</xdr:row>
                    <xdr:rowOff>184150</xdr:rowOff>
                  </to>
                </anchor>
              </controlPr>
            </control>
          </mc:Choice>
        </mc:AlternateContent>
        <mc:AlternateContent xmlns:mc="http://schemas.openxmlformats.org/markup-compatibility/2006">
          <mc:Choice Requires="x14">
            <control shapeId="16018" r:id="rId286" name="Check Box 658">
              <controlPr locked="0" defaultSize="0" autoFill="0" autoLine="0" autoPict="0">
                <anchor moveWithCells="1" sizeWithCells="1">
                  <from>
                    <xdr:col>22</xdr:col>
                    <xdr:colOff>0</xdr:colOff>
                    <xdr:row>2189</xdr:row>
                    <xdr:rowOff>0</xdr:rowOff>
                  </from>
                  <to>
                    <xdr:col>22</xdr:col>
                    <xdr:colOff>184150</xdr:colOff>
                    <xdr:row>2189</xdr:row>
                    <xdr:rowOff>184150</xdr:rowOff>
                  </to>
                </anchor>
              </controlPr>
            </control>
          </mc:Choice>
        </mc:AlternateContent>
        <mc:AlternateContent xmlns:mc="http://schemas.openxmlformats.org/markup-compatibility/2006">
          <mc:Choice Requires="x14">
            <control shapeId="16019" r:id="rId287" name="Check Box 659">
              <controlPr locked="0" defaultSize="0" autoFill="0" autoLine="0" autoPict="0">
                <anchor moveWithCells="1" sizeWithCells="1">
                  <from>
                    <xdr:col>22</xdr:col>
                    <xdr:colOff>0</xdr:colOff>
                    <xdr:row>2203</xdr:row>
                    <xdr:rowOff>0</xdr:rowOff>
                  </from>
                  <to>
                    <xdr:col>22</xdr:col>
                    <xdr:colOff>184150</xdr:colOff>
                    <xdr:row>2203</xdr:row>
                    <xdr:rowOff>184150</xdr:rowOff>
                  </to>
                </anchor>
              </controlPr>
            </control>
          </mc:Choice>
        </mc:AlternateContent>
        <mc:AlternateContent xmlns:mc="http://schemas.openxmlformats.org/markup-compatibility/2006">
          <mc:Choice Requires="x14">
            <control shapeId="16020" r:id="rId288" name="Check Box 660">
              <controlPr locked="0" defaultSize="0" autoFill="0" autoLine="0" autoPict="0">
                <anchor moveWithCells="1" sizeWithCells="1">
                  <from>
                    <xdr:col>22</xdr:col>
                    <xdr:colOff>0</xdr:colOff>
                    <xdr:row>2204</xdr:row>
                    <xdr:rowOff>0</xdr:rowOff>
                  </from>
                  <to>
                    <xdr:col>22</xdr:col>
                    <xdr:colOff>184150</xdr:colOff>
                    <xdr:row>2204</xdr:row>
                    <xdr:rowOff>184150</xdr:rowOff>
                  </to>
                </anchor>
              </controlPr>
            </control>
          </mc:Choice>
        </mc:AlternateContent>
        <mc:AlternateContent xmlns:mc="http://schemas.openxmlformats.org/markup-compatibility/2006">
          <mc:Choice Requires="x14">
            <control shapeId="16021" r:id="rId289" name="Check Box 661">
              <controlPr locked="0" defaultSize="0" autoFill="0" autoLine="0" autoPict="0">
                <anchor moveWithCells="1" sizeWithCells="1">
                  <from>
                    <xdr:col>22</xdr:col>
                    <xdr:colOff>0</xdr:colOff>
                    <xdr:row>2209</xdr:row>
                    <xdr:rowOff>0</xdr:rowOff>
                  </from>
                  <to>
                    <xdr:col>22</xdr:col>
                    <xdr:colOff>184150</xdr:colOff>
                    <xdr:row>2209</xdr:row>
                    <xdr:rowOff>184150</xdr:rowOff>
                  </to>
                </anchor>
              </controlPr>
            </control>
          </mc:Choice>
        </mc:AlternateContent>
        <mc:AlternateContent xmlns:mc="http://schemas.openxmlformats.org/markup-compatibility/2006">
          <mc:Choice Requires="x14">
            <control shapeId="16022" r:id="rId290" name="Check Box 662">
              <controlPr locked="0" defaultSize="0" autoFill="0" autoLine="0" autoPict="0">
                <anchor moveWithCells="1" sizeWithCells="1">
                  <from>
                    <xdr:col>22</xdr:col>
                    <xdr:colOff>0</xdr:colOff>
                    <xdr:row>2214</xdr:row>
                    <xdr:rowOff>0</xdr:rowOff>
                  </from>
                  <to>
                    <xdr:col>22</xdr:col>
                    <xdr:colOff>184150</xdr:colOff>
                    <xdr:row>2214</xdr:row>
                    <xdr:rowOff>184150</xdr:rowOff>
                  </to>
                </anchor>
              </controlPr>
            </control>
          </mc:Choice>
        </mc:AlternateContent>
        <mc:AlternateContent xmlns:mc="http://schemas.openxmlformats.org/markup-compatibility/2006">
          <mc:Choice Requires="x14">
            <control shapeId="16023" r:id="rId291" name="Check Box 663">
              <controlPr locked="0" defaultSize="0" autoFill="0" autoLine="0" autoPict="0">
                <anchor moveWithCells="1" sizeWithCells="1">
                  <from>
                    <xdr:col>22</xdr:col>
                    <xdr:colOff>0</xdr:colOff>
                    <xdr:row>2231</xdr:row>
                    <xdr:rowOff>0</xdr:rowOff>
                  </from>
                  <to>
                    <xdr:col>22</xdr:col>
                    <xdr:colOff>184150</xdr:colOff>
                    <xdr:row>2231</xdr:row>
                    <xdr:rowOff>184150</xdr:rowOff>
                  </to>
                </anchor>
              </controlPr>
            </control>
          </mc:Choice>
        </mc:AlternateContent>
        <mc:AlternateContent xmlns:mc="http://schemas.openxmlformats.org/markup-compatibility/2006">
          <mc:Choice Requires="x14">
            <control shapeId="16024" r:id="rId292" name="Check Box 664">
              <controlPr locked="0" defaultSize="0" autoFill="0" autoLine="0" autoPict="0">
                <anchor moveWithCells="1" sizeWithCells="1">
                  <from>
                    <xdr:col>22</xdr:col>
                    <xdr:colOff>0</xdr:colOff>
                    <xdr:row>2236</xdr:row>
                    <xdr:rowOff>0</xdr:rowOff>
                  </from>
                  <to>
                    <xdr:col>22</xdr:col>
                    <xdr:colOff>184150</xdr:colOff>
                    <xdr:row>2236</xdr:row>
                    <xdr:rowOff>184150</xdr:rowOff>
                  </to>
                </anchor>
              </controlPr>
            </control>
          </mc:Choice>
        </mc:AlternateContent>
        <mc:AlternateContent xmlns:mc="http://schemas.openxmlformats.org/markup-compatibility/2006">
          <mc:Choice Requires="x14">
            <control shapeId="16086" r:id="rId293" name="Check Box 726">
              <controlPr locked="0" defaultSize="0" autoFill="0" autoLine="0" autoPict="0">
                <anchor moveWithCells="1" sizeWithCells="1">
                  <from>
                    <xdr:col>22</xdr:col>
                    <xdr:colOff>0</xdr:colOff>
                    <xdr:row>2257</xdr:row>
                    <xdr:rowOff>0</xdr:rowOff>
                  </from>
                  <to>
                    <xdr:col>22</xdr:col>
                    <xdr:colOff>184150</xdr:colOff>
                    <xdr:row>2257</xdr:row>
                    <xdr:rowOff>184150</xdr:rowOff>
                  </to>
                </anchor>
              </controlPr>
            </control>
          </mc:Choice>
        </mc:AlternateContent>
        <mc:AlternateContent xmlns:mc="http://schemas.openxmlformats.org/markup-compatibility/2006">
          <mc:Choice Requires="x14">
            <control shapeId="16087" r:id="rId294" name="Check Box 727">
              <controlPr locked="0" defaultSize="0" autoFill="0" autoLine="0" autoPict="0">
                <anchor moveWithCells="1" sizeWithCells="1">
                  <from>
                    <xdr:col>22</xdr:col>
                    <xdr:colOff>0</xdr:colOff>
                    <xdr:row>2258</xdr:row>
                    <xdr:rowOff>0</xdr:rowOff>
                  </from>
                  <to>
                    <xdr:col>22</xdr:col>
                    <xdr:colOff>184150</xdr:colOff>
                    <xdr:row>2258</xdr:row>
                    <xdr:rowOff>184150</xdr:rowOff>
                  </to>
                </anchor>
              </controlPr>
            </control>
          </mc:Choice>
        </mc:AlternateContent>
        <mc:AlternateContent xmlns:mc="http://schemas.openxmlformats.org/markup-compatibility/2006">
          <mc:Choice Requires="x14">
            <control shapeId="16088" r:id="rId295" name="Check Box 728">
              <controlPr locked="0" defaultSize="0" autoFill="0" autoLine="0" autoPict="0">
                <anchor moveWithCells="1" sizeWithCells="1">
                  <from>
                    <xdr:col>22</xdr:col>
                    <xdr:colOff>0</xdr:colOff>
                    <xdr:row>2259</xdr:row>
                    <xdr:rowOff>0</xdr:rowOff>
                  </from>
                  <to>
                    <xdr:col>22</xdr:col>
                    <xdr:colOff>184150</xdr:colOff>
                    <xdr:row>2259</xdr:row>
                    <xdr:rowOff>184150</xdr:rowOff>
                  </to>
                </anchor>
              </controlPr>
            </control>
          </mc:Choice>
        </mc:AlternateContent>
        <mc:AlternateContent xmlns:mc="http://schemas.openxmlformats.org/markup-compatibility/2006">
          <mc:Choice Requires="x14">
            <control shapeId="16089" r:id="rId296" name="Check Box 729">
              <controlPr locked="0" defaultSize="0" autoFill="0" autoLine="0" autoPict="0">
                <anchor moveWithCells="1" sizeWithCells="1">
                  <from>
                    <xdr:col>22</xdr:col>
                    <xdr:colOff>0</xdr:colOff>
                    <xdr:row>2263</xdr:row>
                    <xdr:rowOff>0</xdr:rowOff>
                  </from>
                  <to>
                    <xdr:col>22</xdr:col>
                    <xdr:colOff>184150</xdr:colOff>
                    <xdr:row>2263</xdr:row>
                    <xdr:rowOff>184150</xdr:rowOff>
                  </to>
                </anchor>
              </controlPr>
            </control>
          </mc:Choice>
        </mc:AlternateContent>
        <mc:AlternateContent xmlns:mc="http://schemas.openxmlformats.org/markup-compatibility/2006">
          <mc:Choice Requires="x14">
            <control shapeId="16090" r:id="rId297" name="Check Box 730">
              <controlPr locked="0" defaultSize="0" autoFill="0" autoLine="0" autoPict="0">
                <anchor moveWithCells="1" sizeWithCells="1">
                  <from>
                    <xdr:col>22</xdr:col>
                    <xdr:colOff>0</xdr:colOff>
                    <xdr:row>2264</xdr:row>
                    <xdr:rowOff>0</xdr:rowOff>
                  </from>
                  <to>
                    <xdr:col>22</xdr:col>
                    <xdr:colOff>184150</xdr:colOff>
                    <xdr:row>2264</xdr:row>
                    <xdr:rowOff>184150</xdr:rowOff>
                  </to>
                </anchor>
              </controlPr>
            </control>
          </mc:Choice>
        </mc:AlternateContent>
        <mc:AlternateContent xmlns:mc="http://schemas.openxmlformats.org/markup-compatibility/2006">
          <mc:Choice Requires="x14">
            <control shapeId="16091" r:id="rId298" name="Check Box 731">
              <controlPr locked="0" defaultSize="0" autoFill="0" autoLine="0" autoPict="0">
                <anchor moveWithCells="1" sizeWithCells="1">
                  <from>
                    <xdr:col>22</xdr:col>
                    <xdr:colOff>0</xdr:colOff>
                    <xdr:row>2265</xdr:row>
                    <xdr:rowOff>0</xdr:rowOff>
                  </from>
                  <to>
                    <xdr:col>22</xdr:col>
                    <xdr:colOff>184150</xdr:colOff>
                    <xdr:row>2265</xdr:row>
                    <xdr:rowOff>184150</xdr:rowOff>
                  </to>
                </anchor>
              </controlPr>
            </control>
          </mc:Choice>
        </mc:AlternateContent>
        <mc:AlternateContent xmlns:mc="http://schemas.openxmlformats.org/markup-compatibility/2006">
          <mc:Choice Requires="x14">
            <control shapeId="16092" r:id="rId299" name="Check Box 732">
              <controlPr locked="0" defaultSize="0" autoFill="0" autoLine="0" autoPict="0">
                <anchor moveWithCells="1" sizeWithCells="1">
                  <from>
                    <xdr:col>22</xdr:col>
                    <xdr:colOff>0</xdr:colOff>
                    <xdr:row>2267</xdr:row>
                    <xdr:rowOff>0</xdr:rowOff>
                  </from>
                  <to>
                    <xdr:col>22</xdr:col>
                    <xdr:colOff>184150</xdr:colOff>
                    <xdr:row>2267</xdr:row>
                    <xdr:rowOff>184150</xdr:rowOff>
                  </to>
                </anchor>
              </controlPr>
            </control>
          </mc:Choice>
        </mc:AlternateContent>
        <mc:AlternateContent xmlns:mc="http://schemas.openxmlformats.org/markup-compatibility/2006">
          <mc:Choice Requires="x14">
            <control shapeId="16093" r:id="rId300" name="Check Box 733">
              <controlPr locked="0" defaultSize="0" autoFill="0" autoLine="0" autoPict="0">
                <anchor moveWithCells="1" sizeWithCells="1">
                  <from>
                    <xdr:col>22</xdr:col>
                    <xdr:colOff>0</xdr:colOff>
                    <xdr:row>2269</xdr:row>
                    <xdr:rowOff>0</xdr:rowOff>
                  </from>
                  <to>
                    <xdr:col>22</xdr:col>
                    <xdr:colOff>184150</xdr:colOff>
                    <xdr:row>2269</xdr:row>
                    <xdr:rowOff>184150</xdr:rowOff>
                  </to>
                </anchor>
              </controlPr>
            </control>
          </mc:Choice>
        </mc:AlternateContent>
        <mc:AlternateContent xmlns:mc="http://schemas.openxmlformats.org/markup-compatibility/2006">
          <mc:Choice Requires="x14">
            <control shapeId="16094" r:id="rId301" name="Check Box 734">
              <controlPr locked="0" defaultSize="0" autoFill="0" autoLine="0" autoPict="0">
                <anchor moveWithCells="1" sizeWithCells="1">
                  <from>
                    <xdr:col>22</xdr:col>
                    <xdr:colOff>0</xdr:colOff>
                    <xdr:row>2270</xdr:row>
                    <xdr:rowOff>0</xdr:rowOff>
                  </from>
                  <to>
                    <xdr:col>22</xdr:col>
                    <xdr:colOff>184150</xdr:colOff>
                    <xdr:row>2270</xdr:row>
                    <xdr:rowOff>184150</xdr:rowOff>
                  </to>
                </anchor>
              </controlPr>
            </control>
          </mc:Choice>
        </mc:AlternateContent>
        <mc:AlternateContent xmlns:mc="http://schemas.openxmlformats.org/markup-compatibility/2006">
          <mc:Choice Requires="x14">
            <control shapeId="16095" r:id="rId302" name="Check Box 735">
              <controlPr locked="0" defaultSize="0" autoFill="0" autoLine="0" autoPict="0">
                <anchor moveWithCells="1" sizeWithCells="1">
                  <from>
                    <xdr:col>22</xdr:col>
                    <xdr:colOff>0</xdr:colOff>
                    <xdr:row>2272</xdr:row>
                    <xdr:rowOff>0</xdr:rowOff>
                  </from>
                  <to>
                    <xdr:col>22</xdr:col>
                    <xdr:colOff>184150</xdr:colOff>
                    <xdr:row>2272</xdr:row>
                    <xdr:rowOff>184150</xdr:rowOff>
                  </to>
                </anchor>
              </controlPr>
            </control>
          </mc:Choice>
        </mc:AlternateContent>
        <mc:AlternateContent xmlns:mc="http://schemas.openxmlformats.org/markup-compatibility/2006">
          <mc:Choice Requires="x14">
            <control shapeId="16096" r:id="rId303" name="Check Box 736">
              <controlPr locked="0" defaultSize="0" autoFill="0" autoLine="0" autoPict="0">
                <anchor moveWithCells="1" sizeWithCells="1">
                  <from>
                    <xdr:col>22</xdr:col>
                    <xdr:colOff>0</xdr:colOff>
                    <xdr:row>2273</xdr:row>
                    <xdr:rowOff>0</xdr:rowOff>
                  </from>
                  <to>
                    <xdr:col>22</xdr:col>
                    <xdr:colOff>184150</xdr:colOff>
                    <xdr:row>2273</xdr:row>
                    <xdr:rowOff>184150</xdr:rowOff>
                  </to>
                </anchor>
              </controlPr>
            </control>
          </mc:Choice>
        </mc:AlternateContent>
        <mc:AlternateContent xmlns:mc="http://schemas.openxmlformats.org/markup-compatibility/2006">
          <mc:Choice Requires="x14">
            <control shapeId="16097" r:id="rId304" name="Check Box 737">
              <controlPr locked="0" defaultSize="0" autoFill="0" autoLine="0" autoPict="0">
                <anchor moveWithCells="1" sizeWithCells="1">
                  <from>
                    <xdr:col>22</xdr:col>
                    <xdr:colOff>0</xdr:colOff>
                    <xdr:row>2274</xdr:row>
                    <xdr:rowOff>0</xdr:rowOff>
                  </from>
                  <to>
                    <xdr:col>22</xdr:col>
                    <xdr:colOff>184150</xdr:colOff>
                    <xdr:row>2274</xdr:row>
                    <xdr:rowOff>184150</xdr:rowOff>
                  </to>
                </anchor>
              </controlPr>
            </control>
          </mc:Choice>
        </mc:AlternateContent>
        <mc:AlternateContent xmlns:mc="http://schemas.openxmlformats.org/markup-compatibility/2006">
          <mc:Choice Requires="x14">
            <control shapeId="16098" r:id="rId305" name="Check Box 738">
              <controlPr locked="0" defaultSize="0" autoFill="0" autoLine="0" autoPict="0">
                <anchor moveWithCells="1" sizeWithCells="1">
                  <from>
                    <xdr:col>22</xdr:col>
                    <xdr:colOff>0</xdr:colOff>
                    <xdr:row>2280</xdr:row>
                    <xdr:rowOff>0</xdr:rowOff>
                  </from>
                  <to>
                    <xdr:col>22</xdr:col>
                    <xdr:colOff>184150</xdr:colOff>
                    <xdr:row>2280</xdr:row>
                    <xdr:rowOff>184150</xdr:rowOff>
                  </to>
                </anchor>
              </controlPr>
            </control>
          </mc:Choice>
        </mc:AlternateContent>
        <mc:AlternateContent xmlns:mc="http://schemas.openxmlformats.org/markup-compatibility/2006">
          <mc:Choice Requires="x14">
            <control shapeId="16099" r:id="rId306" name="Check Box 739">
              <controlPr locked="0" defaultSize="0" autoFill="0" autoLine="0" autoPict="0">
                <anchor moveWithCells="1" sizeWithCells="1">
                  <from>
                    <xdr:col>22</xdr:col>
                    <xdr:colOff>0</xdr:colOff>
                    <xdr:row>2284</xdr:row>
                    <xdr:rowOff>0</xdr:rowOff>
                  </from>
                  <to>
                    <xdr:col>22</xdr:col>
                    <xdr:colOff>184150</xdr:colOff>
                    <xdr:row>2284</xdr:row>
                    <xdr:rowOff>184150</xdr:rowOff>
                  </to>
                </anchor>
              </controlPr>
            </control>
          </mc:Choice>
        </mc:AlternateContent>
        <mc:AlternateContent xmlns:mc="http://schemas.openxmlformats.org/markup-compatibility/2006">
          <mc:Choice Requires="x14">
            <control shapeId="16100" r:id="rId307" name="Check Box 740">
              <controlPr locked="0" defaultSize="0" autoFill="0" autoLine="0" autoPict="0">
                <anchor moveWithCells="1" sizeWithCells="1">
                  <from>
                    <xdr:col>22</xdr:col>
                    <xdr:colOff>0</xdr:colOff>
                    <xdr:row>2286</xdr:row>
                    <xdr:rowOff>0</xdr:rowOff>
                  </from>
                  <to>
                    <xdr:col>22</xdr:col>
                    <xdr:colOff>184150</xdr:colOff>
                    <xdr:row>2286</xdr:row>
                    <xdr:rowOff>184150</xdr:rowOff>
                  </to>
                </anchor>
              </controlPr>
            </control>
          </mc:Choice>
        </mc:AlternateContent>
        <mc:AlternateContent xmlns:mc="http://schemas.openxmlformats.org/markup-compatibility/2006">
          <mc:Choice Requires="x14">
            <control shapeId="16101" r:id="rId308" name="Check Box 741">
              <controlPr locked="0" defaultSize="0" autoFill="0" autoLine="0" autoPict="0">
                <anchor moveWithCells="1" sizeWithCells="1">
                  <from>
                    <xdr:col>22</xdr:col>
                    <xdr:colOff>0</xdr:colOff>
                    <xdr:row>2288</xdr:row>
                    <xdr:rowOff>0</xdr:rowOff>
                  </from>
                  <to>
                    <xdr:col>22</xdr:col>
                    <xdr:colOff>184150</xdr:colOff>
                    <xdr:row>2288</xdr:row>
                    <xdr:rowOff>184150</xdr:rowOff>
                  </to>
                </anchor>
              </controlPr>
            </control>
          </mc:Choice>
        </mc:AlternateContent>
        <mc:AlternateContent xmlns:mc="http://schemas.openxmlformats.org/markup-compatibility/2006">
          <mc:Choice Requires="x14">
            <control shapeId="16102" r:id="rId309" name="Check Box 742">
              <controlPr locked="0" defaultSize="0" autoFill="0" autoLine="0" autoPict="0">
                <anchor moveWithCells="1" sizeWithCells="1">
                  <from>
                    <xdr:col>22</xdr:col>
                    <xdr:colOff>0</xdr:colOff>
                    <xdr:row>2289</xdr:row>
                    <xdr:rowOff>0</xdr:rowOff>
                  </from>
                  <to>
                    <xdr:col>22</xdr:col>
                    <xdr:colOff>184150</xdr:colOff>
                    <xdr:row>2289</xdr:row>
                    <xdr:rowOff>184150</xdr:rowOff>
                  </to>
                </anchor>
              </controlPr>
            </control>
          </mc:Choice>
        </mc:AlternateContent>
        <mc:AlternateContent xmlns:mc="http://schemas.openxmlformats.org/markup-compatibility/2006">
          <mc:Choice Requires="x14">
            <control shapeId="16103" r:id="rId310" name="Check Box 743">
              <controlPr locked="0" defaultSize="0" autoFill="0" autoLine="0" autoPict="0">
                <anchor moveWithCells="1" sizeWithCells="1">
                  <from>
                    <xdr:col>22</xdr:col>
                    <xdr:colOff>0</xdr:colOff>
                    <xdr:row>2291</xdr:row>
                    <xdr:rowOff>0</xdr:rowOff>
                  </from>
                  <to>
                    <xdr:col>22</xdr:col>
                    <xdr:colOff>184150</xdr:colOff>
                    <xdr:row>2291</xdr:row>
                    <xdr:rowOff>184150</xdr:rowOff>
                  </to>
                </anchor>
              </controlPr>
            </control>
          </mc:Choice>
        </mc:AlternateContent>
        <mc:AlternateContent xmlns:mc="http://schemas.openxmlformats.org/markup-compatibility/2006">
          <mc:Choice Requires="x14">
            <control shapeId="16104" r:id="rId311" name="Check Box 744">
              <controlPr locked="0" defaultSize="0" autoFill="0" autoLine="0" autoPict="0">
                <anchor moveWithCells="1" sizeWithCells="1">
                  <from>
                    <xdr:col>22</xdr:col>
                    <xdr:colOff>0</xdr:colOff>
                    <xdr:row>2293</xdr:row>
                    <xdr:rowOff>0</xdr:rowOff>
                  </from>
                  <to>
                    <xdr:col>22</xdr:col>
                    <xdr:colOff>184150</xdr:colOff>
                    <xdr:row>2293</xdr:row>
                    <xdr:rowOff>184150</xdr:rowOff>
                  </to>
                </anchor>
              </controlPr>
            </control>
          </mc:Choice>
        </mc:AlternateContent>
        <mc:AlternateContent xmlns:mc="http://schemas.openxmlformats.org/markup-compatibility/2006">
          <mc:Choice Requires="x14">
            <control shapeId="16105" r:id="rId312" name="Check Box 745">
              <controlPr locked="0" defaultSize="0" autoFill="0" autoLine="0" autoPict="0">
                <anchor moveWithCells="1" sizeWithCells="1">
                  <from>
                    <xdr:col>22</xdr:col>
                    <xdr:colOff>0</xdr:colOff>
                    <xdr:row>2294</xdr:row>
                    <xdr:rowOff>0</xdr:rowOff>
                  </from>
                  <to>
                    <xdr:col>22</xdr:col>
                    <xdr:colOff>184150</xdr:colOff>
                    <xdr:row>2294</xdr:row>
                    <xdr:rowOff>184150</xdr:rowOff>
                  </to>
                </anchor>
              </controlPr>
            </control>
          </mc:Choice>
        </mc:AlternateContent>
        <mc:AlternateContent xmlns:mc="http://schemas.openxmlformats.org/markup-compatibility/2006">
          <mc:Choice Requires="x14">
            <control shapeId="16106" r:id="rId313" name="Check Box 746">
              <controlPr locked="0" defaultSize="0" autoFill="0" autoLine="0" autoPict="0">
                <anchor moveWithCells="1" sizeWithCells="1">
                  <from>
                    <xdr:col>22</xdr:col>
                    <xdr:colOff>0</xdr:colOff>
                    <xdr:row>2296</xdr:row>
                    <xdr:rowOff>0</xdr:rowOff>
                  </from>
                  <to>
                    <xdr:col>22</xdr:col>
                    <xdr:colOff>184150</xdr:colOff>
                    <xdr:row>2296</xdr:row>
                    <xdr:rowOff>184150</xdr:rowOff>
                  </to>
                </anchor>
              </controlPr>
            </control>
          </mc:Choice>
        </mc:AlternateContent>
        <mc:AlternateContent xmlns:mc="http://schemas.openxmlformats.org/markup-compatibility/2006">
          <mc:Choice Requires="x14">
            <control shapeId="16107" r:id="rId314" name="Check Box 747">
              <controlPr locked="0" defaultSize="0" autoFill="0" autoLine="0" autoPict="0">
                <anchor moveWithCells="1" sizeWithCells="1">
                  <from>
                    <xdr:col>22</xdr:col>
                    <xdr:colOff>0</xdr:colOff>
                    <xdr:row>2298</xdr:row>
                    <xdr:rowOff>0</xdr:rowOff>
                  </from>
                  <to>
                    <xdr:col>22</xdr:col>
                    <xdr:colOff>184150</xdr:colOff>
                    <xdr:row>2298</xdr:row>
                    <xdr:rowOff>184150</xdr:rowOff>
                  </to>
                </anchor>
              </controlPr>
            </control>
          </mc:Choice>
        </mc:AlternateContent>
        <mc:AlternateContent xmlns:mc="http://schemas.openxmlformats.org/markup-compatibility/2006">
          <mc:Choice Requires="x14">
            <control shapeId="16108" r:id="rId315" name="Check Box 748">
              <controlPr locked="0" defaultSize="0" autoFill="0" autoLine="0" autoPict="0">
                <anchor moveWithCells="1" sizeWithCells="1">
                  <from>
                    <xdr:col>22</xdr:col>
                    <xdr:colOff>0</xdr:colOff>
                    <xdr:row>2300</xdr:row>
                    <xdr:rowOff>0</xdr:rowOff>
                  </from>
                  <to>
                    <xdr:col>22</xdr:col>
                    <xdr:colOff>184150</xdr:colOff>
                    <xdr:row>2300</xdr:row>
                    <xdr:rowOff>184150</xdr:rowOff>
                  </to>
                </anchor>
              </controlPr>
            </control>
          </mc:Choice>
        </mc:AlternateContent>
        <mc:AlternateContent xmlns:mc="http://schemas.openxmlformats.org/markup-compatibility/2006">
          <mc:Choice Requires="x14">
            <control shapeId="16109" r:id="rId316" name="Check Box 749">
              <controlPr locked="0" defaultSize="0" autoFill="0" autoLine="0" autoPict="0">
                <anchor moveWithCells="1" sizeWithCells="1">
                  <from>
                    <xdr:col>22</xdr:col>
                    <xdr:colOff>0</xdr:colOff>
                    <xdr:row>2301</xdr:row>
                    <xdr:rowOff>0</xdr:rowOff>
                  </from>
                  <to>
                    <xdr:col>22</xdr:col>
                    <xdr:colOff>184150</xdr:colOff>
                    <xdr:row>2301</xdr:row>
                    <xdr:rowOff>184150</xdr:rowOff>
                  </to>
                </anchor>
              </controlPr>
            </control>
          </mc:Choice>
        </mc:AlternateContent>
        <mc:AlternateContent xmlns:mc="http://schemas.openxmlformats.org/markup-compatibility/2006">
          <mc:Choice Requires="x14">
            <control shapeId="16110" r:id="rId317" name="Check Box 750">
              <controlPr locked="0" defaultSize="0" autoFill="0" autoLine="0" autoPict="0">
                <anchor moveWithCells="1" sizeWithCells="1">
                  <from>
                    <xdr:col>22</xdr:col>
                    <xdr:colOff>0</xdr:colOff>
                    <xdr:row>2302</xdr:row>
                    <xdr:rowOff>0</xdr:rowOff>
                  </from>
                  <to>
                    <xdr:col>22</xdr:col>
                    <xdr:colOff>184150</xdr:colOff>
                    <xdr:row>2302</xdr:row>
                    <xdr:rowOff>184150</xdr:rowOff>
                  </to>
                </anchor>
              </controlPr>
            </control>
          </mc:Choice>
        </mc:AlternateContent>
        <mc:AlternateContent xmlns:mc="http://schemas.openxmlformats.org/markup-compatibility/2006">
          <mc:Choice Requires="x14">
            <control shapeId="16111" r:id="rId318" name="Check Box 751">
              <controlPr locked="0" defaultSize="0" autoFill="0" autoLine="0" autoPict="0">
                <anchor moveWithCells="1" sizeWithCells="1">
                  <from>
                    <xdr:col>22</xdr:col>
                    <xdr:colOff>0</xdr:colOff>
                    <xdr:row>2324</xdr:row>
                    <xdr:rowOff>0</xdr:rowOff>
                  </from>
                  <to>
                    <xdr:col>22</xdr:col>
                    <xdr:colOff>184150</xdr:colOff>
                    <xdr:row>2324</xdr:row>
                    <xdr:rowOff>184150</xdr:rowOff>
                  </to>
                </anchor>
              </controlPr>
            </control>
          </mc:Choice>
        </mc:AlternateContent>
        <mc:AlternateContent xmlns:mc="http://schemas.openxmlformats.org/markup-compatibility/2006">
          <mc:Choice Requires="x14">
            <control shapeId="16112" r:id="rId319" name="Check Box 752">
              <controlPr locked="0" defaultSize="0" autoFill="0" autoLine="0" autoPict="0">
                <anchor moveWithCells="1" sizeWithCells="1">
                  <from>
                    <xdr:col>22</xdr:col>
                    <xdr:colOff>0</xdr:colOff>
                    <xdr:row>2327</xdr:row>
                    <xdr:rowOff>0</xdr:rowOff>
                  </from>
                  <to>
                    <xdr:col>22</xdr:col>
                    <xdr:colOff>184150</xdr:colOff>
                    <xdr:row>2327</xdr:row>
                    <xdr:rowOff>184150</xdr:rowOff>
                  </to>
                </anchor>
              </controlPr>
            </control>
          </mc:Choice>
        </mc:AlternateContent>
        <mc:AlternateContent xmlns:mc="http://schemas.openxmlformats.org/markup-compatibility/2006">
          <mc:Choice Requires="x14">
            <control shapeId="16113" r:id="rId320" name="Check Box 753">
              <controlPr locked="0" defaultSize="0" autoFill="0" autoLine="0" autoPict="0">
                <anchor moveWithCells="1" sizeWithCells="1">
                  <from>
                    <xdr:col>22</xdr:col>
                    <xdr:colOff>0</xdr:colOff>
                    <xdr:row>2330</xdr:row>
                    <xdr:rowOff>0</xdr:rowOff>
                  </from>
                  <to>
                    <xdr:col>22</xdr:col>
                    <xdr:colOff>184150</xdr:colOff>
                    <xdr:row>2330</xdr:row>
                    <xdr:rowOff>184150</xdr:rowOff>
                  </to>
                </anchor>
              </controlPr>
            </control>
          </mc:Choice>
        </mc:AlternateContent>
        <mc:AlternateContent xmlns:mc="http://schemas.openxmlformats.org/markup-compatibility/2006">
          <mc:Choice Requires="x14">
            <control shapeId="16114" r:id="rId321" name="Check Box 754">
              <controlPr locked="0" defaultSize="0" autoFill="0" autoLine="0" autoPict="0">
                <anchor moveWithCells="1" sizeWithCells="1">
                  <from>
                    <xdr:col>22</xdr:col>
                    <xdr:colOff>0</xdr:colOff>
                    <xdr:row>2332</xdr:row>
                    <xdr:rowOff>0</xdr:rowOff>
                  </from>
                  <to>
                    <xdr:col>22</xdr:col>
                    <xdr:colOff>184150</xdr:colOff>
                    <xdr:row>2332</xdr:row>
                    <xdr:rowOff>184150</xdr:rowOff>
                  </to>
                </anchor>
              </controlPr>
            </control>
          </mc:Choice>
        </mc:AlternateContent>
        <mc:AlternateContent xmlns:mc="http://schemas.openxmlformats.org/markup-compatibility/2006">
          <mc:Choice Requires="x14">
            <control shapeId="16115" r:id="rId322" name="Check Box 755">
              <controlPr locked="0" defaultSize="0" autoFill="0" autoLine="0" autoPict="0">
                <anchor moveWithCells="1" sizeWithCells="1">
                  <from>
                    <xdr:col>22</xdr:col>
                    <xdr:colOff>0</xdr:colOff>
                    <xdr:row>2333</xdr:row>
                    <xdr:rowOff>0</xdr:rowOff>
                  </from>
                  <to>
                    <xdr:col>22</xdr:col>
                    <xdr:colOff>184150</xdr:colOff>
                    <xdr:row>2333</xdr:row>
                    <xdr:rowOff>184150</xdr:rowOff>
                  </to>
                </anchor>
              </controlPr>
            </control>
          </mc:Choice>
        </mc:AlternateContent>
        <mc:AlternateContent xmlns:mc="http://schemas.openxmlformats.org/markup-compatibility/2006">
          <mc:Choice Requires="x14">
            <control shapeId="16116" r:id="rId323" name="Check Box 756">
              <controlPr locked="0" defaultSize="0" autoFill="0" autoLine="0" autoPict="0">
                <anchor moveWithCells="1" sizeWithCells="1">
                  <from>
                    <xdr:col>22</xdr:col>
                    <xdr:colOff>0</xdr:colOff>
                    <xdr:row>2335</xdr:row>
                    <xdr:rowOff>0</xdr:rowOff>
                  </from>
                  <to>
                    <xdr:col>22</xdr:col>
                    <xdr:colOff>184150</xdr:colOff>
                    <xdr:row>2335</xdr:row>
                    <xdr:rowOff>184150</xdr:rowOff>
                  </to>
                </anchor>
              </controlPr>
            </control>
          </mc:Choice>
        </mc:AlternateContent>
        <mc:AlternateContent xmlns:mc="http://schemas.openxmlformats.org/markup-compatibility/2006">
          <mc:Choice Requires="x14">
            <control shapeId="16117" r:id="rId324" name="Check Box 757">
              <controlPr locked="0" defaultSize="0" autoFill="0" autoLine="0" autoPict="0">
                <anchor moveWithCells="1" sizeWithCells="1">
                  <from>
                    <xdr:col>22</xdr:col>
                    <xdr:colOff>0</xdr:colOff>
                    <xdr:row>2336</xdr:row>
                    <xdr:rowOff>0</xdr:rowOff>
                  </from>
                  <to>
                    <xdr:col>22</xdr:col>
                    <xdr:colOff>184150</xdr:colOff>
                    <xdr:row>2336</xdr:row>
                    <xdr:rowOff>184150</xdr:rowOff>
                  </to>
                </anchor>
              </controlPr>
            </control>
          </mc:Choice>
        </mc:AlternateContent>
        <mc:AlternateContent xmlns:mc="http://schemas.openxmlformats.org/markup-compatibility/2006">
          <mc:Choice Requires="x14">
            <control shapeId="16118" r:id="rId325" name="Check Box 758">
              <controlPr locked="0" defaultSize="0" autoFill="0" autoLine="0" autoPict="0">
                <anchor moveWithCells="1" sizeWithCells="1">
                  <from>
                    <xdr:col>22</xdr:col>
                    <xdr:colOff>0</xdr:colOff>
                    <xdr:row>2337</xdr:row>
                    <xdr:rowOff>0</xdr:rowOff>
                  </from>
                  <to>
                    <xdr:col>22</xdr:col>
                    <xdr:colOff>184150</xdr:colOff>
                    <xdr:row>2337</xdr:row>
                    <xdr:rowOff>184150</xdr:rowOff>
                  </to>
                </anchor>
              </controlPr>
            </control>
          </mc:Choice>
        </mc:AlternateContent>
        <mc:AlternateContent xmlns:mc="http://schemas.openxmlformats.org/markup-compatibility/2006">
          <mc:Choice Requires="x14">
            <control shapeId="16119" r:id="rId326" name="Check Box 759">
              <controlPr locked="0" defaultSize="0" autoFill="0" autoLine="0" autoPict="0">
                <anchor moveWithCells="1" sizeWithCells="1">
                  <from>
                    <xdr:col>22</xdr:col>
                    <xdr:colOff>0</xdr:colOff>
                    <xdr:row>2343</xdr:row>
                    <xdr:rowOff>0</xdr:rowOff>
                  </from>
                  <to>
                    <xdr:col>22</xdr:col>
                    <xdr:colOff>184150</xdr:colOff>
                    <xdr:row>2343</xdr:row>
                    <xdr:rowOff>184150</xdr:rowOff>
                  </to>
                </anchor>
              </controlPr>
            </control>
          </mc:Choice>
        </mc:AlternateContent>
        <mc:AlternateContent xmlns:mc="http://schemas.openxmlformats.org/markup-compatibility/2006">
          <mc:Choice Requires="x14">
            <control shapeId="16120" r:id="rId327" name="Check Box 760">
              <controlPr locked="0" defaultSize="0" autoFill="0" autoLine="0" autoPict="0">
                <anchor moveWithCells="1" sizeWithCells="1">
                  <from>
                    <xdr:col>22</xdr:col>
                    <xdr:colOff>0</xdr:colOff>
                    <xdr:row>2345</xdr:row>
                    <xdr:rowOff>0</xdr:rowOff>
                  </from>
                  <to>
                    <xdr:col>22</xdr:col>
                    <xdr:colOff>184150</xdr:colOff>
                    <xdr:row>2345</xdr:row>
                    <xdr:rowOff>184150</xdr:rowOff>
                  </to>
                </anchor>
              </controlPr>
            </control>
          </mc:Choice>
        </mc:AlternateContent>
        <mc:AlternateContent xmlns:mc="http://schemas.openxmlformats.org/markup-compatibility/2006">
          <mc:Choice Requires="x14">
            <control shapeId="16121" r:id="rId328" name="Check Box 761">
              <controlPr locked="0" defaultSize="0" autoFill="0" autoLine="0" autoPict="0">
                <anchor moveWithCells="1" sizeWithCells="1">
                  <from>
                    <xdr:col>22</xdr:col>
                    <xdr:colOff>0</xdr:colOff>
                    <xdr:row>2348</xdr:row>
                    <xdr:rowOff>0</xdr:rowOff>
                  </from>
                  <to>
                    <xdr:col>22</xdr:col>
                    <xdr:colOff>184150</xdr:colOff>
                    <xdr:row>2348</xdr:row>
                    <xdr:rowOff>184150</xdr:rowOff>
                  </to>
                </anchor>
              </controlPr>
            </control>
          </mc:Choice>
        </mc:AlternateContent>
        <mc:AlternateContent xmlns:mc="http://schemas.openxmlformats.org/markup-compatibility/2006">
          <mc:Choice Requires="x14">
            <control shapeId="16122" r:id="rId329" name="Check Box 762">
              <controlPr locked="0" defaultSize="0" autoFill="0" autoLine="0" autoPict="0">
                <anchor moveWithCells="1" sizeWithCells="1">
                  <from>
                    <xdr:col>22</xdr:col>
                    <xdr:colOff>0</xdr:colOff>
                    <xdr:row>2350</xdr:row>
                    <xdr:rowOff>0</xdr:rowOff>
                  </from>
                  <to>
                    <xdr:col>22</xdr:col>
                    <xdr:colOff>184150</xdr:colOff>
                    <xdr:row>2350</xdr:row>
                    <xdr:rowOff>184150</xdr:rowOff>
                  </to>
                </anchor>
              </controlPr>
            </control>
          </mc:Choice>
        </mc:AlternateContent>
        <mc:AlternateContent xmlns:mc="http://schemas.openxmlformats.org/markup-compatibility/2006">
          <mc:Choice Requires="x14">
            <control shapeId="16123" r:id="rId330" name="Check Box 763">
              <controlPr locked="0" defaultSize="0" autoFill="0" autoLine="0" autoPict="0">
                <anchor moveWithCells="1" sizeWithCells="1">
                  <from>
                    <xdr:col>22</xdr:col>
                    <xdr:colOff>0</xdr:colOff>
                    <xdr:row>2353</xdr:row>
                    <xdr:rowOff>0</xdr:rowOff>
                  </from>
                  <to>
                    <xdr:col>22</xdr:col>
                    <xdr:colOff>184150</xdr:colOff>
                    <xdr:row>2353</xdr:row>
                    <xdr:rowOff>184150</xdr:rowOff>
                  </to>
                </anchor>
              </controlPr>
            </control>
          </mc:Choice>
        </mc:AlternateContent>
        <mc:AlternateContent xmlns:mc="http://schemas.openxmlformats.org/markup-compatibility/2006">
          <mc:Choice Requires="x14">
            <control shapeId="16124" r:id="rId331" name="Check Box 764">
              <controlPr locked="0" defaultSize="0" autoFill="0" autoLine="0" autoPict="0">
                <anchor moveWithCells="1" sizeWithCells="1">
                  <from>
                    <xdr:col>22</xdr:col>
                    <xdr:colOff>0</xdr:colOff>
                    <xdr:row>2355</xdr:row>
                    <xdr:rowOff>0</xdr:rowOff>
                  </from>
                  <to>
                    <xdr:col>22</xdr:col>
                    <xdr:colOff>184150</xdr:colOff>
                    <xdr:row>2355</xdr:row>
                    <xdr:rowOff>184150</xdr:rowOff>
                  </to>
                </anchor>
              </controlPr>
            </control>
          </mc:Choice>
        </mc:AlternateContent>
        <mc:AlternateContent xmlns:mc="http://schemas.openxmlformats.org/markup-compatibility/2006">
          <mc:Choice Requires="x14">
            <control shapeId="16125" r:id="rId332" name="Check Box 765">
              <controlPr locked="0" defaultSize="0" autoFill="0" autoLine="0" autoPict="0">
                <anchor moveWithCells="1" sizeWithCells="1">
                  <from>
                    <xdr:col>22</xdr:col>
                    <xdr:colOff>0</xdr:colOff>
                    <xdr:row>2356</xdr:row>
                    <xdr:rowOff>0</xdr:rowOff>
                  </from>
                  <to>
                    <xdr:col>22</xdr:col>
                    <xdr:colOff>184150</xdr:colOff>
                    <xdr:row>2356</xdr:row>
                    <xdr:rowOff>184150</xdr:rowOff>
                  </to>
                </anchor>
              </controlPr>
            </control>
          </mc:Choice>
        </mc:AlternateContent>
        <mc:AlternateContent xmlns:mc="http://schemas.openxmlformats.org/markup-compatibility/2006">
          <mc:Choice Requires="x14">
            <control shapeId="16126" r:id="rId333" name="Check Box 766">
              <controlPr locked="0" defaultSize="0" autoFill="0" autoLine="0" autoPict="0">
                <anchor moveWithCells="1" sizeWithCells="1">
                  <from>
                    <xdr:col>22</xdr:col>
                    <xdr:colOff>0</xdr:colOff>
                    <xdr:row>2358</xdr:row>
                    <xdr:rowOff>0</xdr:rowOff>
                  </from>
                  <to>
                    <xdr:col>22</xdr:col>
                    <xdr:colOff>184150</xdr:colOff>
                    <xdr:row>2358</xdr:row>
                    <xdr:rowOff>184150</xdr:rowOff>
                  </to>
                </anchor>
              </controlPr>
            </control>
          </mc:Choice>
        </mc:AlternateContent>
        <mc:AlternateContent xmlns:mc="http://schemas.openxmlformats.org/markup-compatibility/2006">
          <mc:Choice Requires="x14">
            <control shapeId="16127" r:id="rId334" name="Check Box 767">
              <controlPr locked="0" defaultSize="0" autoFill="0" autoLine="0" autoPict="0">
                <anchor moveWithCells="1" sizeWithCells="1">
                  <from>
                    <xdr:col>22</xdr:col>
                    <xdr:colOff>0</xdr:colOff>
                    <xdr:row>2360</xdr:row>
                    <xdr:rowOff>0</xdr:rowOff>
                  </from>
                  <to>
                    <xdr:col>22</xdr:col>
                    <xdr:colOff>184150</xdr:colOff>
                    <xdr:row>2360</xdr:row>
                    <xdr:rowOff>184150</xdr:rowOff>
                  </to>
                </anchor>
              </controlPr>
            </control>
          </mc:Choice>
        </mc:AlternateContent>
        <mc:AlternateContent xmlns:mc="http://schemas.openxmlformats.org/markup-compatibility/2006">
          <mc:Choice Requires="x14">
            <control shapeId="16128" r:id="rId335" name="Check Box 768">
              <controlPr locked="0" defaultSize="0" autoFill="0" autoLine="0" autoPict="0">
                <anchor moveWithCells="1" sizeWithCells="1">
                  <from>
                    <xdr:col>22</xdr:col>
                    <xdr:colOff>0</xdr:colOff>
                    <xdr:row>2361</xdr:row>
                    <xdr:rowOff>0</xdr:rowOff>
                  </from>
                  <to>
                    <xdr:col>22</xdr:col>
                    <xdr:colOff>184150</xdr:colOff>
                    <xdr:row>2361</xdr:row>
                    <xdr:rowOff>184150</xdr:rowOff>
                  </to>
                </anchor>
              </controlPr>
            </control>
          </mc:Choice>
        </mc:AlternateContent>
        <mc:AlternateContent xmlns:mc="http://schemas.openxmlformats.org/markup-compatibility/2006">
          <mc:Choice Requires="x14">
            <control shapeId="16129" r:id="rId336" name="Check Box 769">
              <controlPr locked="0" defaultSize="0" autoFill="0" autoLine="0" autoPict="0">
                <anchor moveWithCells="1" sizeWithCells="1">
                  <from>
                    <xdr:col>22</xdr:col>
                    <xdr:colOff>0</xdr:colOff>
                    <xdr:row>2364</xdr:row>
                    <xdr:rowOff>0</xdr:rowOff>
                  </from>
                  <to>
                    <xdr:col>22</xdr:col>
                    <xdr:colOff>184150</xdr:colOff>
                    <xdr:row>2364</xdr:row>
                    <xdr:rowOff>184150</xdr:rowOff>
                  </to>
                </anchor>
              </controlPr>
            </control>
          </mc:Choice>
        </mc:AlternateContent>
        <mc:AlternateContent xmlns:mc="http://schemas.openxmlformats.org/markup-compatibility/2006">
          <mc:Choice Requires="x14">
            <control shapeId="16130" r:id="rId337" name="Check Box 770">
              <controlPr locked="0" defaultSize="0" autoFill="0" autoLine="0" autoPict="0">
                <anchor moveWithCells="1" sizeWithCells="1">
                  <from>
                    <xdr:col>22</xdr:col>
                    <xdr:colOff>0</xdr:colOff>
                    <xdr:row>2370</xdr:row>
                    <xdr:rowOff>0</xdr:rowOff>
                  </from>
                  <to>
                    <xdr:col>22</xdr:col>
                    <xdr:colOff>184150</xdr:colOff>
                    <xdr:row>2370</xdr:row>
                    <xdr:rowOff>184150</xdr:rowOff>
                  </to>
                </anchor>
              </controlPr>
            </control>
          </mc:Choice>
        </mc:AlternateContent>
        <mc:AlternateContent xmlns:mc="http://schemas.openxmlformats.org/markup-compatibility/2006">
          <mc:Choice Requires="x14">
            <control shapeId="16131" r:id="rId338" name="Check Box 771">
              <controlPr locked="0" defaultSize="0" autoFill="0" autoLine="0" autoPict="0">
                <anchor moveWithCells="1" sizeWithCells="1">
                  <from>
                    <xdr:col>22</xdr:col>
                    <xdr:colOff>0</xdr:colOff>
                    <xdr:row>2372</xdr:row>
                    <xdr:rowOff>0</xdr:rowOff>
                  </from>
                  <to>
                    <xdr:col>22</xdr:col>
                    <xdr:colOff>184150</xdr:colOff>
                    <xdr:row>2372</xdr:row>
                    <xdr:rowOff>184150</xdr:rowOff>
                  </to>
                </anchor>
              </controlPr>
            </control>
          </mc:Choice>
        </mc:AlternateContent>
        <mc:AlternateContent xmlns:mc="http://schemas.openxmlformats.org/markup-compatibility/2006">
          <mc:Choice Requires="x14">
            <control shapeId="16132" r:id="rId339" name="Check Box 772">
              <controlPr locked="0" defaultSize="0" autoFill="0" autoLine="0" autoPict="0">
                <anchor moveWithCells="1" sizeWithCells="1">
                  <from>
                    <xdr:col>22</xdr:col>
                    <xdr:colOff>0</xdr:colOff>
                    <xdr:row>2376</xdr:row>
                    <xdr:rowOff>0</xdr:rowOff>
                  </from>
                  <to>
                    <xdr:col>22</xdr:col>
                    <xdr:colOff>184150</xdr:colOff>
                    <xdr:row>2376</xdr:row>
                    <xdr:rowOff>184150</xdr:rowOff>
                  </to>
                </anchor>
              </controlPr>
            </control>
          </mc:Choice>
        </mc:AlternateContent>
        <mc:AlternateContent xmlns:mc="http://schemas.openxmlformats.org/markup-compatibility/2006">
          <mc:Choice Requires="x14">
            <control shapeId="16133" r:id="rId340" name="Check Box 773">
              <controlPr locked="0" defaultSize="0" autoFill="0" autoLine="0" autoPict="0">
                <anchor moveWithCells="1" sizeWithCells="1">
                  <from>
                    <xdr:col>22</xdr:col>
                    <xdr:colOff>0</xdr:colOff>
                    <xdr:row>2383</xdr:row>
                    <xdr:rowOff>0</xdr:rowOff>
                  </from>
                  <to>
                    <xdr:col>22</xdr:col>
                    <xdr:colOff>184150</xdr:colOff>
                    <xdr:row>2383</xdr:row>
                    <xdr:rowOff>184150</xdr:rowOff>
                  </to>
                </anchor>
              </controlPr>
            </control>
          </mc:Choice>
        </mc:AlternateContent>
        <mc:AlternateContent xmlns:mc="http://schemas.openxmlformats.org/markup-compatibility/2006">
          <mc:Choice Requires="x14">
            <control shapeId="16134" r:id="rId341" name="Check Box 774">
              <controlPr locked="0" defaultSize="0" autoFill="0" autoLine="0" autoPict="0">
                <anchor moveWithCells="1" sizeWithCells="1">
                  <from>
                    <xdr:col>22</xdr:col>
                    <xdr:colOff>0</xdr:colOff>
                    <xdr:row>2385</xdr:row>
                    <xdr:rowOff>0</xdr:rowOff>
                  </from>
                  <to>
                    <xdr:col>22</xdr:col>
                    <xdr:colOff>184150</xdr:colOff>
                    <xdr:row>2385</xdr:row>
                    <xdr:rowOff>184150</xdr:rowOff>
                  </to>
                </anchor>
              </controlPr>
            </control>
          </mc:Choice>
        </mc:AlternateContent>
        <mc:AlternateContent xmlns:mc="http://schemas.openxmlformats.org/markup-compatibility/2006">
          <mc:Choice Requires="x14">
            <control shapeId="16135" r:id="rId342" name="Check Box 775">
              <controlPr locked="0" defaultSize="0" autoFill="0" autoLine="0" autoPict="0">
                <anchor moveWithCells="1" sizeWithCells="1">
                  <from>
                    <xdr:col>22</xdr:col>
                    <xdr:colOff>0</xdr:colOff>
                    <xdr:row>2386</xdr:row>
                    <xdr:rowOff>0</xdr:rowOff>
                  </from>
                  <to>
                    <xdr:col>22</xdr:col>
                    <xdr:colOff>184150</xdr:colOff>
                    <xdr:row>2386</xdr:row>
                    <xdr:rowOff>184150</xdr:rowOff>
                  </to>
                </anchor>
              </controlPr>
            </control>
          </mc:Choice>
        </mc:AlternateContent>
        <mc:AlternateContent xmlns:mc="http://schemas.openxmlformats.org/markup-compatibility/2006">
          <mc:Choice Requires="x14">
            <control shapeId="16136" r:id="rId343" name="Check Box 776">
              <controlPr locked="0" defaultSize="0" autoFill="0" autoLine="0" autoPict="0">
                <anchor moveWithCells="1" sizeWithCells="1">
                  <from>
                    <xdr:col>22</xdr:col>
                    <xdr:colOff>0</xdr:colOff>
                    <xdr:row>2388</xdr:row>
                    <xdr:rowOff>0</xdr:rowOff>
                  </from>
                  <to>
                    <xdr:col>22</xdr:col>
                    <xdr:colOff>184150</xdr:colOff>
                    <xdr:row>2388</xdr:row>
                    <xdr:rowOff>184150</xdr:rowOff>
                  </to>
                </anchor>
              </controlPr>
            </control>
          </mc:Choice>
        </mc:AlternateContent>
        <mc:AlternateContent xmlns:mc="http://schemas.openxmlformats.org/markup-compatibility/2006">
          <mc:Choice Requires="x14">
            <control shapeId="16137" r:id="rId344" name="Check Box 777">
              <controlPr locked="0" defaultSize="0" autoFill="0" autoLine="0" autoPict="0">
                <anchor moveWithCells="1" sizeWithCells="1">
                  <from>
                    <xdr:col>22</xdr:col>
                    <xdr:colOff>0</xdr:colOff>
                    <xdr:row>2389</xdr:row>
                    <xdr:rowOff>0</xdr:rowOff>
                  </from>
                  <to>
                    <xdr:col>22</xdr:col>
                    <xdr:colOff>184150</xdr:colOff>
                    <xdr:row>2389</xdr:row>
                    <xdr:rowOff>184150</xdr:rowOff>
                  </to>
                </anchor>
              </controlPr>
            </control>
          </mc:Choice>
        </mc:AlternateContent>
        <mc:AlternateContent xmlns:mc="http://schemas.openxmlformats.org/markup-compatibility/2006">
          <mc:Choice Requires="x14">
            <control shapeId="16138" r:id="rId345" name="Check Box 778">
              <controlPr locked="0" defaultSize="0" autoFill="0" autoLine="0" autoPict="0">
                <anchor moveWithCells="1" sizeWithCells="1">
                  <from>
                    <xdr:col>22</xdr:col>
                    <xdr:colOff>0</xdr:colOff>
                    <xdr:row>2390</xdr:row>
                    <xdr:rowOff>0</xdr:rowOff>
                  </from>
                  <to>
                    <xdr:col>22</xdr:col>
                    <xdr:colOff>184150</xdr:colOff>
                    <xdr:row>2390</xdr:row>
                    <xdr:rowOff>184150</xdr:rowOff>
                  </to>
                </anchor>
              </controlPr>
            </control>
          </mc:Choice>
        </mc:AlternateContent>
        <mc:AlternateContent xmlns:mc="http://schemas.openxmlformats.org/markup-compatibility/2006">
          <mc:Choice Requires="x14">
            <control shapeId="16139" r:id="rId346" name="Check Box 779">
              <controlPr locked="0" defaultSize="0" autoFill="0" autoLine="0" autoPict="0">
                <anchor moveWithCells="1" sizeWithCells="1">
                  <from>
                    <xdr:col>22</xdr:col>
                    <xdr:colOff>0</xdr:colOff>
                    <xdr:row>2391</xdr:row>
                    <xdr:rowOff>0</xdr:rowOff>
                  </from>
                  <to>
                    <xdr:col>22</xdr:col>
                    <xdr:colOff>184150</xdr:colOff>
                    <xdr:row>2391</xdr:row>
                    <xdr:rowOff>184150</xdr:rowOff>
                  </to>
                </anchor>
              </controlPr>
            </control>
          </mc:Choice>
        </mc:AlternateContent>
        <mc:AlternateContent xmlns:mc="http://schemas.openxmlformats.org/markup-compatibility/2006">
          <mc:Choice Requires="x14">
            <control shapeId="16140" r:id="rId347" name="Check Box 780">
              <controlPr locked="0" defaultSize="0" autoFill="0" autoLine="0" autoPict="0">
                <anchor moveWithCells="1" sizeWithCells="1">
                  <from>
                    <xdr:col>22</xdr:col>
                    <xdr:colOff>0</xdr:colOff>
                    <xdr:row>2394</xdr:row>
                    <xdr:rowOff>0</xdr:rowOff>
                  </from>
                  <to>
                    <xdr:col>22</xdr:col>
                    <xdr:colOff>184150</xdr:colOff>
                    <xdr:row>2394</xdr:row>
                    <xdr:rowOff>184150</xdr:rowOff>
                  </to>
                </anchor>
              </controlPr>
            </control>
          </mc:Choice>
        </mc:AlternateContent>
        <mc:AlternateContent xmlns:mc="http://schemas.openxmlformats.org/markup-compatibility/2006">
          <mc:Choice Requires="x14">
            <control shapeId="16141" r:id="rId348" name="Check Box 781">
              <controlPr locked="0" defaultSize="0" autoFill="0" autoLine="0" autoPict="0">
                <anchor moveWithCells="1" sizeWithCells="1">
                  <from>
                    <xdr:col>22</xdr:col>
                    <xdr:colOff>0</xdr:colOff>
                    <xdr:row>2435</xdr:row>
                    <xdr:rowOff>0</xdr:rowOff>
                  </from>
                  <to>
                    <xdr:col>22</xdr:col>
                    <xdr:colOff>184150</xdr:colOff>
                    <xdr:row>2435</xdr:row>
                    <xdr:rowOff>184150</xdr:rowOff>
                  </to>
                </anchor>
              </controlPr>
            </control>
          </mc:Choice>
        </mc:AlternateContent>
        <mc:AlternateContent xmlns:mc="http://schemas.openxmlformats.org/markup-compatibility/2006">
          <mc:Choice Requires="x14">
            <control shapeId="16142" r:id="rId349" name="Check Box 782">
              <controlPr locked="0" defaultSize="0" autoFill="0" autoLine="0" autoPict="0">
                <anchor moveWithCells="1" sizeWithCells="1">
                  <from>
                    <xdr:col>22</xdr:col>
                    <xdr:colOff>0</xdr:colOff>
                    <xdr:row>2437</xdr:row>
                    <xdr:rowOff>0</xdr:rowOff>
                  </from>
                  <to>
                    <xdr:col>22</xdr:col>
                    <xdr:colOff>184150</xdr:colOff>
                    <xdr:row>2437</xdr:row>
                    <xdr:rowOff>184150</xdr:rowOff>
                  </to>
                </anchor>
              </controlPr>
            </control>
          </mc:Choice>
        </mc:AlternateContent>
        <mc:AlternateContent xmlns:mc="http://schemas.openxmlformats.org/markup-compatibility/2006">
          <mc:Choice Requires="x14">
            <control shapeId="16143" r:id="rId350" name="Check Box 783">
              <controlPr locked="0" defaultSize="0" autoFill="0" autoLine="0" autoPict="0">
                <anchor moveWithCells="1" sizeWithCells="1">
                  <from>
                    <xdr:col>22</xdr:col>
                    <xdr:colOff>0</xdr:colOff>
                    <xdr:row>2440</xdr:row>
                    <xdr:rowOff>0</xdr:rowOff>
                  </from>
                  <to>
                    <xdr:col>22</xdr:col>
                    <xdr:colOff>184150</xdr:colOff>
                    <xdr:row>2440</xdr:row>
                    <xdr:rowOff>184150</xdr:rowOff>
                  </to>
                </anchor>
              </controlPr>
            </control>
          </mc:Choice>
        </mc:AlternateContent>
        <mc:AlternateContent xmlns:mc="http://schemas.openxmlformats.org/markup-compatibility/2006">
          <mc:Choice Requires="x14">
            <control shapeId="16144" r:id="rId351" name="Check Box 784">
              <controlPr locked="0" defaultSize="0" autoFill="0" autoLine="0" autoPict="0">
                <anchor moveWithCells="1" sizeWithCells="1">
                  <from>
                    <xdr:col>22</xdr:col>
                    <xdr:colOff>0</xdr:colOff>
                    <xdr:row>2453</xdr:row>
                    <xdr:rowOff>0</xdr:rowOff>
                  </from>
                  <to>
                    <xdr:col>22</xdr:col>
                    <xdr:colOff>184150</xdr:colOff>
                    <xdr:row>2453</xdr:row>
                    <xdr:rowOff>184150</xdr:rowOff>
                  </to>
                </anchor>
              </controlPr>
            </control>
          </mc:Choice>
        </mc:AlternateContent>
        <mc:AlternateContent xmlns:mc="http://schemas.openxmlformats.org/markup-compatibility/2006">
          <mc:Choice Requires="x14">
            <control shapeId="16145" r:id="rId352" name="Check Box 785">
              <controlPr locked="0" defaultSize="0" autoFill="0" autoLine="0" autoPict="0">
                <anchor moveWithCells="1" sizeWithCells="1">
                  <from>
                    <xdr:col>22</xdr:col>
                    <xdr:colOff>0</xdr:colOff>
                    <xdr:row>2455</xdr:row>
                    <xdr:rowOff>0</xdr:rowOff>
                  </from>
                  <to>
                    <xdr:col>22</xdr:col>
                    <xdr:colOff>184150</xdr:colOff>
                    <xdr:row>2455</xdr:row>
                    <xdr:rowOff>184150</xdr:rowOff>
                  </to>
                </anchor>
              </controlPr>
            </control>
          </mc:Choice>
        </mc:AlternateContent>
        <mc:AlternateContent xmlns:mc="http://schemas.openxmlformats.org/markup-compatibility/2006">
          <mc:Choice Requires="x14">
            <control shapeId="16148" r:id="rId353" name="Check Box 788">
              <controlPr locked="0" defaultSize="0" autoFill="0" autoLine="0" autoPict="0">
                <anchor moveWithCells="1" sizeWithCells="1">
                  <from>
                    <xdr:col>22</xdr:col>
                    <xdr:colOff>0</xdr:colOff>
                    <xdr:row>1920</xdr:row>
                    <xdr:rowOff>0</xdr:rowOff>
                  </from>
                  <to>
                    <xdr:col>22</xdr:col>
                    <xdr:colOff>184150</xdr:colOff>
                    <xdr:row>1920</xdr:row>
                    <xdr:rowOff>184150</xdr:rowOff>
                  </to>
                </anchor>
              </controlPr>
            </control>
          </mc:Choice>
        </mc:AlternateContent>
        <mc:AlternateContent xmlns:mc="http://schemas.openxmlformats.org/markup-compatibility/2006">
          <mc:Choice Requires="x14">
            <control shapeId="16150" r:id="rId354" name="Check Box 790">
              <controlPr locked="0" defaultSize="0" autoFill="0" autoLine="0" autoPict="0">
                <anchor moveWithCells="1" sizeWithCells="1">
                  <from>
                    <xdr:col>22</xdr:col>
                    <xdr:colOff>0</xdr:colOff>
                    <xdr:row>1514</xdr:row>
                    <xdr:rowOff>0</xdr:rowOff>
                  </from>
                  <to>
                    <xdr:col>22</xdr:col>
                    <xdr:colOff>184150</xdr:colOff>
                    <xdr:row>1514</xdr:row>
                    <xdr:rowOff>184150</xdr:rowOff>
                  </to>
                </anchor>
              </controlPr>
            </control>
          </mc:Choice>
        </mc:AlternateContent>
        <mc:AlternateContent xmlns:mc="http://schemas.openxmlformats.org/markup-compatibility/2006">
          <mc:Choice Requires="x14">
            <control shapeId="16153" r:id="rId355" name="Check Box 793">
              <controlPr locked="0" defaultSize="0" autoFill="0" autoLine="0" autoPict="0">
                <anchor moveWithCells="1" sizeWithCells="1">
                  <from>
                    <xdr:col>22</xdr:col>
                    <xdr:colOff>0</xdr:colOff>
                    <xdr:row>49</xdr:row>
                    <xdr:rowOff>0</xdr:rowOff>
                  </from>
                  <to>
                    <xdr:col>22</xdr:col>
                    <xdr:colOff>184150</xdr:colOff>
                    <xdr:row>49</xdr:row>
                    <xdr:rowOff>184150</xdr:rowOff>
                  </to>
                </anchor>
              </controlPr>
            </control>
          </mc:Choice>
        </mc:AlternateContent>
        <mc:AlternateContent xmlns:mc="http://schemas.openxmlformats.org/markup-compatibility/2006">
          <mc:Choice Requires="x14">
            <control shapeId="16154" r:id="rId356" name="Check Box 794">
              <controlPr locked="0" defaultSize="0" autoFill="0" autoLine="0" autoPict="0">
                <anchor moveWithCells="1" sizeWithCells="1">
                  <from>
                    <xdr:col>22</xdr:col>
                    <xdr:colOff>0</xdr:colOff>
                    <xdr:row>51</xdr:row>
                    <xdr:rowOff>0</xdr:rowOff>
                  </from>
                  <to>
                    <xdr:col>22</xdr:col>
                    <xdr:colOff>184150</xdr:colOff>
                    <xdr:row>51</xdr:row>
                    <xdr:rowOff>184150</xdr:rowOff>
                  </to>
                </anchor>
              </controlPr>
            </control>
          </mc:Choice>
        </mc:AlternateContent>
        <mc:AlternateContent xmlns:mc="http://schemas.openxmlformats.org/markup-compatibility/2006">
          <mc:Choice Requires="x14">
            <control shapeId="16155" r:id="rId357" name="Check Box 795">
              <controlPr locked="0" defaultSize="0" autoFill="0" autoLine="0" autoPict="0">
                <anchor moveWithCells="1" sizeWithCells="1">
                  <from>
                    <xdr:col>22</xdr:col>
                    <xdr:colOff>0</xdr:colOff>
                    <xdr:row>54</xdr:row>
                    <xdr:rowOff>0</xdr:rowOff>
                  </from>
                  <to>
                    <xdr:col>22</xdr:col>
                    <xdr:colOff>184150</xdr:colOff>
                    <xdr:row>54</xdr:row>
                    <xdr:rowOff>184150</xdr:rowOff>
                  </to>
                </anchor>
              </controlPr>
            </control>
          </mc:Choice>
        </mc:AlternateContent>
        <mc:AlternateContent xmlns:mc="http://schemas.openxmlformats.org/markup-compatibility/2006">
          <mc:Choice Requires="x14">
            <control shapeId="16156" r:id="rId358" name="Check Box 796">
              <controlPr locked="0" defaultSize="0" autoFill="0" autoLine="0" autoPict="0">
                <anchor moveWithCells="1" sizeWithCells="1">
                  <from>
                    <xdr:col>22</xdr:col>
                    <xdr:colOff>0</xdr:colOff>
                    <xdr:row>82</xdr:row>
                    <xdr:rowOff>0</xdr:rowOff>
                  </from>
                  <to>
                    <xdr:col>22</xdr:col>
                    <xdr:colOff>184150</xdr:colOff>
                    <xdr:row>82</xdr:row>
                    <xdr:rowOff>184150</xdr:rowOff>
                  </to>
                </anchor>
              </controlPr>
            </control>
          </mc:Choice>
        </mc:AlternateContent>
        <mc:AlternateContent xmlns:mc="http://schemas.openxmlformats.org/markup-compatibility/2006">
          <mc:Choice Requires="x14">
            <control shapeId="16157" r:id="rId359" name="Check Box 797">
              <controlPr locked="0" defaultSize="0" autoFill="0" autoLine="0" autoPict="0">
                <anchor moveWithCells="1" sizeWithCells="1">
                  <from>
                    <xdr:col>22</xdr:col>
                    <xdr:colOff>0</xdr:colOff>
                    <xdr:row>139</xdr:row>
                    <xdr:rowOff>0</xdr:rowOff>
                  </from>
                  <to>
                    <xdr:col>22</xdr:col>
                    <xdr:colOff>184150</xdr:colOff>
                    <xdr:row>139</xdr:row>
                    <xdr:rowOff>184150</xdr:rowOff>
                  </to>
                </anchor>
              </controlPr>
            </control>
          </mc:Choice>
        </mc:AlternateContent>
        <mc:AlternateContent xmlns:mc="http://schemas.openxmlformats.org/markup-compatibility/2006">
          <mc:Choice Requires="x14">
            <control shapeId="16158" r:id="rId360" name="Check Box 798">
              <controlPr locked="0" defaultSize="0" autoFill="0" autoLine="0" autoPict="0">
                <anchor moveWithCells="1" sizeWithCells="1">
                  <from>
                    <xdr:col>22</xdr:col>
                    <xdr:colOff>0</xdr:colOff>
                    <xdr:row>141</xdr:row>
                    <xdr:rowOff>0</xdr:rowOff>
                  </from>
                  <to>
                    <xdr:col>22</xdr:col>
                    <xdr:colOff>184150</xdr:colOff>
                    <xdr:row>141</xdr:row>
                    <xdr:rowOff>184150</xdr:rowOff>
                  </to>
                </anchor>
              </controlPr>
            </control>
          </mc:Choice>
        </mc:AlternateContent>
        <mc:AlternateContent xmlns:mc="http://schemas.openxmlformats.org/markup-compatibility/2006">
          <mc:Choice Requires="x14">
            <control shapeId="16159" r:id="rId361" name="Check Box 799">
              <controlPr locked="0" defaultSize="0" autoFill="0" autoLine="0" autoPict="0">
                <anchor moveWithCells="1" sizeWithCells="1">
                  <from>
                    <xdr:col>22</xdr:col>
                    <xdr:colOff>0</xdr:colOff>
                    <xdr:row>161</xdr:row>
                    <xdr:rowOff>0</xdr:rowOff>
                  </from>
                  <to>
                    <xdr:col>22</xdr:col>
                    <xdr:colOff>184150</xdr:colOff>
                    <xdr:row>161</xdr:row>
                    <xdr:rowOff>184150</xdr:rowOff>
                  </to>
                </anchor>
              </controlPr>
            </control>
          </mc:Choice>
        </mc:AlternateContent>
        <mc:AlternateContent xmlns:mc="http://schemas.openxmlformats.org/markup-compatibility/2006">
          <mc:Choice Requires="x14">
            <control shapeId="16160" r:id="rId362" name="Check Box 800">
              <controlPr locked="0" defaultSize="0" autoFill="0" autoLine="0" autoPict="0">
                <anchor moveWithCells="1" sizeWithCells="1">
                  <from>
                    <xdr:col>22</xdr:col>
                    <xdr:colOff>0</xdr:colOff>
                    <xdr:row>287</xdr:row>
                    <xdr:rowOff>0</xdr:rowOff>
                  </from>
                  <to>
                    <xdr:col>22</xdr:col>
                    <xdr:colOff>184150</xdr:colOff>
                    <xdr:row>287</xdr:row>
                    <xdr:rowOff>184150</xdr:rowOff>
                  </to>
                </anchor>
              </controlPr>
            </control>
          </mc:Choice>
        </mc:AlternateContent>
        <mc:AlternateContent xmlns:mc="http://schemas.openxmlformats.org/markup-compatibility/2006">
          <mc:Choice Requires="x14">
            <control shapeId="16161" r:id="rId363" name="Check Box 801">
              <controlPr locked="0" defaultSize="0" autoFill="0" autoLine="0" autoPict="0">
                <anchor moveWithCells="1" sizeWithCells="1">
                  <from>
                    <xdr:col>22</xdr:col>
                    <xdr:colOff>0</xdr:colOff>
                    <xdr:row>290</xdr:row>
                    <xdr:rowOff>0</xdr:rowOff>
                  </from>
                  <to>
                    <xdr:col>22</xdr:col>
                    <xdr:colOff>184150</xdr:colOff>
                    <xdr:row>290</xdr:row>
                    <xdr:rowOff>184150</xdr:rowOff>
                  </to>
                </anchor>
              </controlPr>
            </control>
          </mc:Choice>
        </mc:AlternateContent>
        <mc:AlternateContent xmlns:mc="http://schemas.openxmlformats.org/markup-compatibility/2006">
          <mc:Choice Requires="x14">
            <control shapeId="16162" r:id="rId364" name="Check Box 802">
              <controlPr locked="0" defaultSize="0" autoFill="0" autoLine="0" autoPict="0">
                <anchor moveWithCells="1" sizeWithCells="1">
                  <from>
                    <xdr:col>22</xdr:col>
                    <xdr:colOff>0</xdr:colOff>
                    <xdr:row>291</xdr:row>
                    <xdr:rowOff>0</xdr:rowOff>
                  </from>
                  <to>
                    <xdr:col>22</xdr:col>
                    <xdr:colOff>184150</xdr:colOff>
                    <xdr:row>291</xdr:row>
                    <xdr:rowOff>184150</xdr:rowOff>
                  </to>
                </anchor>
              </controlPr>
            </control>
          </mc:Choice>
        </mc:AlternateContent>
        <mc:AlternateContent xmlns:mc="http://schemas.openxmlformats.org/markup-compatibility/2006">
          <mc:Choice Requires="x14">
            <control shapeId="16163" r:id="rId365" name="Check Box 803">
              <controlPr locked="0" defaultSize="0" autoFill="0" autoLine="0" autoPict="0">
                <anchor moveWithCells="1" sizeWithCells="1">
                  <from>
                    <xdr:col>22</xdr:col>
                    <xdr:colOff>0</xdr:colOff>
                    <xdr:row>304</xdr:row>
                    <xdr:rowOff>0</xdr:rowOff>
                  </from>
                  <to>
                    <xdr:col>22</xdr:col>
                    <xdr:colOff>184150</xdr:colOff>
                    <xdr:row>304</xdr:row>
                    <xdr:rowOff>184150</xdr:rowOff>
                  </to>
                </anchor>
              </controlPr>
            </control>
          </mc:Choice>
        </mc:AlternateContent>
        <mc:AlternateContent xmlns:mc="http://schemas.openxmlformats.org/markup-compatibility/2006">
          <mc:Choice Requires="x14">
            <control shapeId="16164" r:id="rId366" name="Check Box 804">
              <controlPr locked="0" defaultSize="0" autoFill="0" autoLine="0" autoPict="0">
                <anchor moveWithCells="1" sizeWithCells="1">
                  <from>
                    <xdr:col>22</xdr:col>
                    <xdr:colOff>0</xdr:colOff>
                    <xdr:row>308</xdr:row>
                    <xdr:rowOff>0</xdr:rowOff>
                  </from>
                  <to>
                    <xdr:col>22</xdr:col>
                    <xdr:colOff>184150</xdr:colOff>
                    <xdr:row>308</xdr:row>
                    <xdr:rowOff>184150</xdr:rowOff>
                  </to>
                </anchor>
              </controlPr>
            </control>
          </mc:Choice>
        </mc:AlternateContent>
        <mc:AlternateContent xmlns:mc="http://schemas.openxmlformats.org/markup-compatibility/2006">
          <mc:Choice Requires="x14">
            <control shapeId="16165" r:id="rId367" name="Check Box 805">
              <controlPr locked="0" defaultSize="0" autoFill="0" autoLine="0" autoPict="0">
                <anchor moveWithCells="1" sizeWithCells="1">
                  <from>
                    <xdr:col>22</xdr:col>
                    <xdr:colOff>0</xdr:colOff>
                    <xdr:row>311</xdr:row>
                    <xdr:rowOff>0</xdr:rowOff>
                  </from>
                  <to>
                    <xdr:col>22</xdr:col>
                    <xdr:colOff>184150</xdr:colOff>
                    <xdr:row>311</xdr:row>
                    <xdr:rowOff>184150</xdr:rowOff>
                  </to>
                </anchor>
              </controlPr>
            </control>
          </mc:Choice>
        </mc:AlternateContent>
        <mc:AlternateContent xmlns:mc="http://schemas.openxmlformats.org/markup-compatibility/2006">
          <mc:Choice Requires="x14">
            <control shapeId="16166" r:id="rId368" name="Check Box 806">
              <controlPr locked="0" defaultSize="0" autoFill="0" autoLine="0" autoPict="0">
                <anchor moveWithCells="1" sizeWithCells="1">
                  <from>
                    <xdr:col>22</xdr:col>
                    <xdr:colOff>0</xdr:colOff>
                    <xdr:row>314</xdr:row>
                    <xdr:rowOff>0</xdr:rowOff>
                  </from>
                  <to>
                    <xdr:col>22</xdr:col>
                    <xdr:colOff>184150</xdr:colOff>
                    <xdr:row>314</xdr:row>
                    <xdr:rowOff>184150</xdr:rowOff>
                  </to>
                </anchor>
              </controlPr>
            </control>
          </mc:Choice>
        </mc:AlternateContent>
        <mc:AlternateContent xmlns:mc="http://schemas.openxmlformats.org/markup-compatibility/2006">
          <mc:Choice Requires="x14">
            <control shapeId="16167" r:id="rId369" name="Check Box 807">
              <controlPr locked="0" defaultSize="0" autoFill="0" autoLine="0" autoPict="0">
                <anchor moveWithCells="1" sizeWithCells="1">
                  <from>
                    <xdr:col>22</xdr:col>
                    <xdr:colOff>0</xdr:colOff>
                    <xdr:row>315</xdr:row>
                    <xdr:rowOff>0</xdr:rowOff>
                  </from>
                  <to>
                    <xdr:col>22</xdr:col>
                    <xdr:colOff>184150</xdr:colOff>
                    <xdr:row>315</xdr:row>
                    <xdr:rowOff>184150</xdr:rowOff>
                  </to>
                </anchor>
              </controlPr>
            </control>
          </mc:Choice>
        </mc:AlternateContent>
        <mc:AlternateContent xmlns:mc="http://schemas.openxmlformats.org/markup-compatibility/2006">
          <mc:Choice Requires="x14">
            <control shapeId="16168" r:id="rId370" name="Check Box 808">
              <controlPr locked="0" defaultSize="0" autoFill="0" autoLine="0" autoPict="0">
                <anchor moveWithCells="1" sizeWithCells="1">
                  <from>
                    <xdr:col>22</xdr:col>
                    <xdr:colOff>0</xdr:colOff>
                    <xdr:row>320</xdr:row>
                    <xdr:rowOff>0</xdr:rowOff>
                  </from>
                  <to>
                    <xdr:col>22</xdr:col>
                    <xdr:colOff>184150</xdr:colOff>
                    <xdr:row>320</xdr:row>
                    <xdr:rowOff>184150</xdr:rowOff>
                  </to>
                </anchor>
              </controlPr>
            </control>
          </mc:Choice>
        </mc:AlternateContent>
        <mc:AlternateContent xmlns:mc="http://schemas.openxmlformats.org/markup-compatibility/2006">
          <mc:Choice Requires="x14">
            <control shapeId="16169" r:id="rId371" name="Check Box 809">
              <controlPr locked="0" defaultSize="0" autoFill="0" autoLine="0" autoPict="0">
                <anchor moveWithCells="1" sizeWithCells="1">
                  <from>
                    <xdr:col>22</xdr:col>
                    <xdr:colOff>0</xdr:colOff>
                    <xdr:row>322</xdr:row>
                    <xdr:rowOff>0</xdr:rowOff>
                  </from>
                  <to>
                    <xdr:col>22</xdr:col>
                    <xdr:colOff>184150</xdr:colOff>
                    <xdr:row>322</xdr:row>
                    <xdr:rowOff>184150</xdr:rowOff>
                  </to>
                </anchor>
              </controlPr>
            </control>
          </mc:Choice>
        </mc:AlternateContent>
        <mc:AlternateContent xmlns:mc="http://schemas.openxmlformats.org/markup-compatibility/2006">
          <mc:Choice Requires="x14">
            <control shapeId="16170" r:id="rId372" name="Check Box 810">
              <controlPr locked="0" defaultSize="0" autoFill="0" autoLine="0" autoPict="0">
                <anchor moveWithCells="1" sizeWithCells="1">
                  <from>
                    <xdr:col>22</xdr:col>
                    <xdr:colOff>0</xdr:colOff>
                    <xdr:row>324</xdr:row>
                    <xdr:rowOff>0</xdr:rowOff>
                  </from>
                  <to>
                    <xdr:col>22</xdr:col>
                    <xdr:colOff>184150</xdr:colOff>
                    <xdr:row>324</xdr:row>
                    <xdr:rowOff>184150</xdr:rowOff>
                  </to>
                </anchor>
              </controlPr>
            </control>
          </mc:Choice>
        </mc:AlternateContent>
        <mc:AlternateContent xmlns:mc="http://schemas.openxmlformats.org/markup-compatibility/2006">
          <mc:Choice Requires="x14">
            <control shapeId="16171" r:id="rId373" name="Check Box 811">
              <controlPr locked="0" defaultSize="0" autoFill="0" autoLine="0" autoPict="0">
                <anchor moveWithCells="1" sizeWithCells="1">
                  <from>
                    <xdr:col>22</xdr:col>
                    <xdr:colOff>0</xdr:colOff>
                    <xdr:row>537</xdr:row>
                    <xdr:rowOff>0</xdr:rowOff>
                  </from>
                  <to>
                    <xdr:col>22</xdr:col>
                    <xdr:colOff>184150</xdr:colOff>
                    <xdr:row>537</xdr:row>
                    <xdr:rowOff>184150</xdr:rowOff>
                  </to>
                </anchor>
              </controlPr>
            </control>
          </mc:Choice>
        </mc:AlternateContent>
        <mc:AlternateContent xmlns:mc="http://schemas.openxmlformats.org/markup-compatibility/2006">
          <mc:Choice Requires="x14">
            <control shapeId="16172" r:id="rId374" name="Check Box 812">
              <controlPr locked="0" defaultSize="0" autoFill="0" autoLine="0" autoPict="0">
                <anchor moveWithCells="1" sizeWithCells="1">
                  <from>
                    <xdr:col>22</xdr:col>
                    <xdr:colOff>0</xdr:colOff>
                    <xdr:row>592</xdr:row>
                    <xdr:rowOff>0</xdr:rowOff>
                  </from>
                  <to>
                    <xdr:col>22</xdr:col>
                    <xdr:colOff>184150</xdr:colOff>
                    <xdr:row>592</xdr:row>
                    <xdr:rowOff>184150</xdr:rowOff>
                  </to>
                </anchor>
              </controlPr>
            </control>
          </mc:Choice>
        </mc:AlternateContent>
        <mc:AlternateContent xmlns:mc="http://schemas.openxmlformats.org/markup-compatibility/2006">
          <mc:Choice Requires="x14">
            <control shapeId="16174" r:id="rId375" name="Check Box 814">
              <controlPr locked="0" defaultSize="0" autoFill="0" autoLine="0" autoPict="0">
                <anchor moveWithCells="1" sizeWithCells="1">
                  <from>
                    <xdr:col>22</xdr:col>
                    <xdr:colOff>0</xdr:colOff>
                    <xdr:row>910</xdr:row>
                    <xdr:rowOff>0</xdr:rowOff>
                  </from>
                  <to>
                    <xdr:col>22</xdr:col>
                    <xdr:colOff>184150</xdr:colOff>
                    <xdr:row>910</xdr:row>
                    <xdr:rowOff>184150</xdr:rowOff>
                  </to>
                </anchor>
              </controlPr>
            </control>
          </mc:Choice>
        </mc:AlternateContent>
        <mc:AlternateContent xmlns:mc="http://schemas.openxmlformats.org/markup-compatibility/2006">
          <mc:Choice Requires="x14">
            <control shapeId="16175" r:id="rId376" name="Check Box 815">
              <controlPr locked="0" defaultSize="0" autoFill="0" autoLine="0" autoPict="0">
                <anchor moveWithCells="1" sizeWithCells="1">
                  <from>
                    <xdr:col>22</xdr:col>
                    <xdr:colOff>0</xdr:colOff>
                    <xdr:row>911</xdr:row>
                    <xdr:rowOff>0</xdr:rowOff>
                  </from>
                  <to>
                    <xdr:col>22</xdr:col>
                    <xdr:colOff>184150</xdr:colOff>
                    <xdr:row>911</xdr:row>
                    <xdr:rowOff>184150</xdr:rowOff>
                  </to>
                </anchor>
              </controlPr>
            </control>
          </mc:Choice>
        </mc:AlternateContent>
        <mc:AlternateContent xmlns:mc="http://schemas.openxmlformats.org/markup-compatibility/2006">
          <mc:Choice Requires="x14">
            <control shapeId="16176" r:id="rId377" name="Check Box 816">
              <controlPr locked="0" defaultSize="0" autoFill="0" autoLine="0" autoPict="0">
                <anchor moveWithCells="1" sizeWithCells="1">
                  <from>
                    <xdr:col>22</xdr:col>
                    <xdr:colOff>0</xdr:colOff>
                    <xdr:row>914</xdr:row>
                    <xdr:rowOff>0</xdr:rowOff>
                  </from>
                  <to>
                    <xdr:col>22</xdr:col>
                    <xdr:colOff>184150</xdr:colOff>
                    <xdr:row>914</xdr:row>
                    <xdr:rowOff>184150</xdr:rowOff>
                  </to>
                </anchor>
              </controlPr>
            </control>
          </mc:Choice>
        </mc:AlternateContent>
        <mc:AlternateContent xmlns:mc="http://schemas.openxmlformats.org/markup-compatibility/2006">
          <mc:Choice Requires="x14">
            <control shapeId="16177" r:id="rId378" name="Check Box 817">
              <controlPr locked="0" defaultSize="0" autoFill="0" autoLine="0" autoPict="0">
                <anchor moveWithCells="1" sizeWithCells="1">
                  <from>
                    <xdr:col>22</xdr:col>
                    <xdr:colOff>0</xdr:colOff>
                    <xdr:row>919</xdr:row>
                    <xdr:rowOff>0</xdr:rowOff>
                  </from>
                  <to>
                    <xdr:col>22</xdr:col>
                    <xdr:colOff>184150</xdr:colOff>
                    <xdr:row>919</xdr:row>
                    <xdr:rowOff>184150</xdr:rowOff>
                  </to>
                </anchor>
              </controlPr>
            </control>
          </mc:Choice>
        </mc:AlternateContent>
        <mc:AlternateContent xmlns:mc="http://schemas.openxmlformats.org/markup-compatibility/2006">
          <mc:Choice Requires="x14">
            <control shapeId="16178" r:id="rId379" name="Check Box 818">
              <controlPr locked="0" defaultSize="0" autoFill="0" autoLine="0" autoPict="0">
                <anchor moveWithCells="1" sizeWithCells="1">
                  <from>
                    <xdr:col>22</xdr:col>
                    <xdr:colOff>0</xdr:colOff>
                    <xdr:row>920</xdr:row>
                    <xdr:rowOff>0</xdr:rowOff>
                  </from>
                  <to>
                    <xdr:col>22</xdr:col>
                    <xdr:colOff>184150</xdr:colOff>
                    <xdr:row>920</xdr:row>
                    <xdr:rowOff>184150</xdr:rowOff>
                  </to>
                </anchor>
              </controlPr>
            </control>
          </mc:Choice>
        </mc:AlternateContent>
        <mc:AlternateContent xmlns:mc="http://schemas.openxmlformats.org/markup-compatibility/2006">
          <mc:Choice Requires="x14">
            <control shapeId="16179" r:id="rId380" name="Check Box 819">
              <controlPr locked="0" defaultSize="0" autoFill="0" autoLine="0" autoPict="0">
                <anchor moveWithCells="1" sizeWithCells="1">
                  <from>
                    <xdr:col>22</xdr:col>
                    <xdr:colOff>0</xdr:colOff>
                    <xdr:row>921</xdr:row>
                    <xdr:rowOff>0</xdr:rowOff>
                  </from>
                  <to>
                    <xdr:col>22</xdr:col>
                    <xdr:colOff>184150</xdr:colOff>
                    <xdr:row>921</xdr:row>
                    <xdr:rowOff>184150</xdr:rowOff>
                  </to>
                </anchor>
              </controlPr>
            </control>
          </mc:Choice>
        </mc:AlternateContent>
        <mc:AlternateContent xmlns:mc="http://schemas.openxmlformats.org/markup-compatibility/2006">
          <mc:Choice Requires="x14">
            <control shapeId="16180" r:id="rId381" name="Check Box 820">
              <controlPr locked="0" defaultSize="0" autoFill="0" autoLine="0" autoPict="0">
                <anchor moveWithCells="1" sizeWithCells="1">
                  <from>
                    <xdr:col>22</xdr:col>
                    <xdr:colOff>0</xdr:colOff>
                    <xdr:row>923</xdr:row>
                    <xdr:rowOff>0</xdr:rowOff>
                  </from>
                  <to>
                    <xdr:col>22</xdr:col>
                    <xdr:colOff>184150</xdr:colOff>
                    <xdr:row>923</xdr:row>
                    <xdr:rowOff>184150</xdr:rowOff>
                  </to>
                </anchor>
              </controlPr>
            </control>
          </mc:Choice>
        </mc:AlternateContent>
        <mc:AlternateContent xmlns:mc="http://schemas.openxmlformats.org/markup-compatibility/2006">
          <mc:Choice Requires="x14">
            <control shapeId="16181" r:id="rId382" name="Check Box 821">
              <controlPr locked="0" defaultSize="0" autoFill="0" autoLine="0" autoPict="0">
                <anchor moveWithCells="1" sizeWithCells="1">
                  <from>
                    <xdr:col>22</xdr:col>
                    <xdr:colOff>0</xdr:colOff>
                    <xdr:row>924</xdr:row>
                    <xdr:rowOff>0</xdr:rowOff>
                  </from>
                  <to>
                    <xdr:col>22</xdr:col>
                    <xdr:colOff>184150</xdr:colOff>
                    <xdr:row>924</xdr:row>
                    <xdr:rowOff>184150</xdr:rowOff>
                  </to>
                </anchor>
              </controlPr>
            </control>
          </mc:Choice>
        </mc:AlternateContent>
        <mc:AlternateContent xmlns:mc="http://schemas.openxmlformats.org/markup-compatibility/2006">
          <mc:Choice Requires="x14">
            <control shapeId="16182" r:id="rId383" name="Check Box 822">
              <controlPr locked="0" defaultSize="0" autoFill="0" autoLine="0" autoPict="0">
                <anchor moveWithCells="1" sizeWithCells="1">
                  <from>
                    <xdr:col>22</xdr:col>
                    <xdr:colOff>0</xdr:colOff>
                    <xdr:row>925</xdr:row>
                    <xdr:rowOff>0</xdr:rowOff>
                  </from>
                  <to>
                    <xdr:col>22</xdr:col>
                    <xdr:colOff>184150</xdr:colOff>
                    <xdr:row>925</xdr:row>
                    <xdr:rowOff>184150</xdr:rowOff>
                  </to>
                </anchor>
              </controlPr>
            </control>
          </mc:Choice>
        </mc:AlternateContent>
        <mc:AlternateContent xmlns:mc="http://schemas.openxmlformats.org/markup-compatibility/2006">
          <mc:Choice Requires="x14">
            <control shapeId="16183" r:id="rId384" name="Check Box 823">
              <controlPr locked="0" defaultSize="0" autoFill="0" autoLine="0" autoPict="0">
                <anchor moveWithCells="1" sizeWithCells="1">
                  <from>
                    <xdr:col>22</xdr:col>
                    <xdr:colOff>0</xdr:colOff>
                    <xdr:row>926</xdr:row>
                    <xdr:rowOff>0</xdr:rowOff>
                  </from>
                  <to>
                    <xdr:col>22</xdr:col>
                    <xdr:colOff>184150</xdr:colOff>
                    <xdr:row>926</xdr:row>
                    <xdr:rowOff>184150</xdr:rowOff>
                  </to>
                </anchor>
              </controlPr>
            </control>
          </mc:Choice>
        </mc:AlternateContent>
        <mc:AlternateContent xmlns:mc="http://schemas.openxmlformats.org/markup-compatibility/2006">
          <mc:Choice Requires="x14">
            <control shapeId="16184" r:id="rId385" name="Check Box 824">
              <controlPr locked="0" defaultSize="0" autoFill="0" autoLine="0" autoPict="0">
                <anchor moveWithCells="1" sizeWithCells="1">
                  <from>
                    <xdr:col>22</xdr:col>
                    <xdr:colOff>0</xdr:colOff>
                    <xdr:row>928</xdr:row>
                    <xdr:rowOff>0</xdr:rowOff>
                  </from>
                  <to>
                    <xdr:col>22</xdr:col>
                    <xdr:colOff>184150</xdr:colOff>
                    <xdr:row>928</xdr:row>
                    <xdr:rowOff>184150</xdr:rowOff>
                  </to>
                </anchor>
              </controlPr>
            </control>
          </mc:Choice>
        </mc:AlternateContent>
        <mc:AlternateContent xmlns:mc="http://schemas.openxmlformats.org/markup-compatibility/2006">
          <mc:Choice Requires="x14">
            <control shapeId="16188" r:id="rId386" name="Check Box 828">
              <controlPr locked="0" defaultSize="0" autoFill="0" autoLine="0" autoPict="0">
                <anchor moveWithCells="1" sizeWithCells="1">
                  <from>
                    <xdr:col>22</xdr:col>
                    <xdr:colOff>0</xdr:colOff>
                    <xdr:row>1461</xdr:row>
                    <xdr:rowOff>0</xdr:rowOff>
                  </from>
                  <to>
                    <xdr:col>22</xdr:col>
                    <xdr:colOff>184150</xdr:colOff>
                    <xdr:row>1461</xdr:row>
                    <xdr:rowOff>184150</xdr:rowOff>
                  </to>
                </anchor>
              </controlPr>
            </control>
          </mc:Choice>
        </mc:AlternateContent>
        <mc:AlternateContent xmlns:mc="http://schemas.openxmlformats.org/markup-compatibility/2006">
          <mc:Choice Requires="x14">
            <control shapeId="16189" r:id="rId387" name="Check Box 829">
              <controlPr locked="0" defaultSize="0" autoFill="0" autoLine="0" autoPict="0">
                <anchor moveWithCells="1" sizeWithCells="1">
                  <from>
                    <xdr:col>22</xdr:col>
                    <xdr:colOff>0</xdr:colOff>
                    <xdr:row>1464</xdr:row>
                    <xdr:rowOff>0</xdr:rowOff>
                  </from>
                  <to>
                    <xdr:col>22</xdr:col>
                    <xdr:colOff>184150</xdr:colOff>
                    <xdr:row>1464</xdr:row>
                    <xdr:rowOff>184150</xdr:rowOff>
                  </to>
                </anchor>
              </controlPr>
            </control>
          </mc:Choice>
        </mc:AlternateContent>
        <mc:AlternateContent xmlns:mc="http://schemas.openxmlformats.org/markup-compatibility/2006">
          <mc:Choice Requires="x14">
            <control shapeId="16190" r:id="rId388" name="Check Box 830">
              <controlPr locked="0" defaultSize="0" autoFill="0" autoLine="0" autoPict="0">
                <anchor moveWithCells="1" sizeWithCells="1">
                  <from>
                    <xdr:col>22</xdr:col>
                    <xdr:colOff>0</xdr:colOff>
                    <xdr:row>1475</xdr:row>
                    <xdr:rowOff>0</xdr:rowOff>
                  </from>
                  <to>
                    <xdr:col>22</xdr:col>
                    <xdr:colOff>184150</xdr:colOff>
                    <xdr:row>1475</xdr:row>
                    <xdr:rowOff>184150</xdr:rowOff>
                  </to>
                </anchor>
              </controlPr>
            </control>
          </mc:Choice>
        </mc:AlternateContent>
        <mc:AlternateContent xmlns:mc="http://schemas.openxmlformats.org/markup-compatibility/2006">
          <mc:Choice Requires="x14">
            <control shapeId="16191" r:id="rId389" name="Check Box 831">
              <controlPr locked="0" defaultSize="0" autoFill="0" autoLine="0" autoPict="0">
                <anchor moveWithCells="1" sizeWithCells="1">
                  <from>
                    <xdr:col>22</xdr:col>
                    <xdr:colOff>0</xdr:colOff>
                    <xdr:row>1477</xdr:row>
                    <xdr:rowOff>0</xdr:rowOff>
                  </from>
                  <to>
                    <xdr:col>22</xdr:col>
                    <xdr:colOff>184150</xdr:colOff>
                    <xdr:row>1477</xdr:row>
                    <xdr:rowOff>184150</xdr:rowOff>
                  </to>
                </anchor>
              </controlPr>
            </control>
          </mc:Choice>
        </mc:AlternateContent>
        <mc:AlternateContent xmlns:mc="http://schemas.openxmlformats.org/markup-compatibility/2006">
          <mc:Choice Requires="x14">
            <control shapeId="16192" r:id="rId390" name="Check Box 832">
              <controlPr locked="0" defaultSize="0" autoFill="0" autoLine="0" autoPict="0">
                <anchor moveWithCells="1" sizeWithCells="1">
                  <from>
                    <xdr:col>22</xdr:col>
                    <xdr:colOff>0</xdr:colOff>
                    <xdr:row>1501</xdr:row>
                    <xdr:rowOff>0</xdr:rowOff>
                  </from>
                  <to>
                    <xdr:col>22</xdr:col>
                    <xdr:colOff>184150</xdr:colOff>
                    <xdr:row>1501</xdr:row>
                    <xdr:rowOff>184150</xdr:rowOff>
                  </to>
                </anchor>
              </controlPr>
            </control>
          </mc:Choice>
        </mc:AlternateContent>
        <mc:AlternateContent xmlns:mc="http://schemas.openxmlformats.org/markup-compatibility/2006">
          <mc:Choice Requires="x14">
            <control shapeId="16193" r:id="rId391" name="Check Box 833">
              <controlPr locked="0" defaultSize="0" autoFill="0" autoLine="0" autoPict="0">
                <anchor moveWithCells="1" sizeWithCells="1">
                  <from>
                    <xdr:col>22</xdr:col>
                    <xdr:colOff>0</xdr:colOff>
                    <xdr:row>1503</xdr:row>
                    <xdr:rowOff>0</xdr:rowOff>
                  </from>
                  <to>
                    <xdr:col>22</xdr:col>
                    <xdr:colOff>184150</xdr:colOff>
                    <xdr:row>1503</xdr:row>
                    <xdr:rowOff>184150</xdr:rowOff>
                  </to>
                </anchor>
              </controlPr>
            </control>
          </mc:Choice>
        </mc:AlternateContent>
        <mc:AlternateContent xmlns:mc="http://schemas.openxmlformats.org/markup-compatibility/2006">
          <mc:Choice Requires="x14">
            <control shapeId="16195" r:id="rId392" name="Check Box 835">
              <controlPr locked="0" defaultSize="0" autoFill="0" autoLine="0" autoPict="0">
                <anchor moveWithCells="1" sizeWithCells="1">
                  <from>
                    <xdr:col>22</xdr:col>
                    <xdr:colOff>0</xdr:colOff>
                    <xdr:row>1580</xdr:row>
                    <xdr:rowOff>0</xdr:rowOff>
                  </from>
                  <to>
                    <xdr:col>22</xdr:col>
                    <xdr:colOff>184150</xdr:colOff>
                    <xdr:row>1580</xdr:row>
                    <xdr:rowOff>184150</xdr:rowOff>
                  </to>
                </anchor>
              </controlPr>
            </control>
          </mc:Choice>
        </mc:AlternateContent>
        <mc:AlternateContent xmlns:mc="http://schemas.openxmlformats.org/markup-compatibility/2006">
          <mc:Choice Requires="x14">
            <control shapeId="16196" r:id="rId393" name="Check Box 836">
              <controlPr locked="0" defaultSize="0" autoFill="0" autoLine="0" autoPict="0">
                <anchor moveWithCells="1" sizeWithCells="1">
                  <from>
                    <xdr:col>22</xdr:col>
                    <xdr:colOff>0</xdr:colOff>
                    <xdr:row>1605</xdr:row>
                    <xdr:rowOff>0</xdr:rowOff>
                  </from>
                  <to>
                    <xdr:col>22</xdr:col>
                    <xdr:colOff>184150</xdr:colOff>
                    <xdr:row>1605</xdr:row>
                    <xdr:rowOff>184150</xdr:rowOff>
                  </to>
                </anchor>
              </controlPr>
            </control>
          </mc:Choice>
        </mc:AlternateContent>
        <mc:AlternateContent xmlns:mc="http://schemas.openxmlformats.org/markup-compatibility/2006">
          <mc:Choice Requires="x14">
            <control shapeId="16197" r:id="rId394" name="Check Box 837">
              <controlPr locked="0" defaultSize="0" autoFill="0" autoLine="0" autoPict="0">
                <anchor moveWithCells="1" sizeWithCells="1">
                  <from>
                    <xdr:col>22</xdr:col>
                    <xdr:colOff>0</xdr:colOff>
                    <xdr:row>1615</xdr:row>
                    <xdr:rowOff>0</xdr:rowOff>
                  </from>
                  <to>
                    <xdr:col>22</xdr:col>
                    <xdr:colOff>184150</xdr:colOff>
                    <xdr:row>1615</xdr:row>
                    <xdr:rowOff>184150</xdr:rowOff>
                  </to>
                </anchor>
              </controlPr>
            </control>
          </mc:Choice>
        </mc:AlternateContent>
        <mc:AlternateContent xmlns:mc="http://schemas.openxmlformats.org/markup-compatibility/2006">
          <mc:Choice Requires="x14">
            <control shapeId="16198" r:id="rId395" name="Check Box 838">
              <controlPr locked="0" defaultSize="0" autoFill="0" autoLine="0" autoPict="0">
                <anchor moveWithCells="1" sizeWithCells="1">
                  <from>
                    <xdr:col>22</xdr:col>
                    <xdr:colOff>0</xdr:colOff>
                    <xdr:row>1617</xdr:row>
                    <xdr:rowOff>0</xdr:rowOff>
                  </from>
                  <to>
                    <xdr:col>22</xdr:col>
                    <xdr:colOff>184150</xdr:colOff>
                    <xdr:row>1617</xdr:row>
                    <xdr:rowOff>184150</xdr:rowOff>
                  </to>
                </anchor>
              </controlPr>
            </control>
          </mc:Choice>
        </mc:AlternateContent>
        <mc:AlternateContent xmlns:mc="http://schemas.openxmlformats.org/markup-compatibility/2006">
          <mc:Choice Requires="x14">
            <control shapeId="16199" r:id="rId396" name="Check Box 839">
              <controlPr locked="0" defaultSize="0" autoFill="0" autoLine="0" autoPict="0">
                <anchor moveWithCells="1" sizeWithCells="1">
                  <from>
                    <xdr:col>22</xdr:col>
                    <xdr:colOff>0</xdr:colOff>
                    <xdr:row>1626</xdr:row>
                    <xdr:rowOff>0</xdr:rowOff>
                  </from>
                  <to>
                    <xdr:col>22</xdr:col>
                    <xdr:colOff>184150</xdr:colOff>
                    <xdr:row>1626</xdr:row>
                    <xdr:rowOff>184150</xdr:rowOff>
                  </to>
                </anchor>
              </controlPr>
            </control>
          </mc:Choice>
        </mc:AlternateContent>
        <mc:AlternateContent xmlns:mc="http://schemas.openxmlformats.org/markup-compatibility/2006">
          <mc:Choice Requires="x14">
            <control shapeId="16200" r:id="rId397" name="Check Box 840">
              <controlPr locked="0" defaultSize="0" autoFill="0" autoLine="0" autoPict="0">
                <anchor moveWithCells="1" sizeWithCells="1">
                  <from>
                    <xdr:col>22</xdr:col>
                    <xdr:colOff>0</xdr:colOff>
                    <xdr:row>1630</xdr:row>
                    <xdr:rowOff>0</xdr:rowOff>
                  </from>
                  <to>
                    <xdr:col>22</xdr:col>
                    <xdr:colOff>184150</xdr:colOff>
                    <xdr:row>1630</xdr:row>
                    <xdr:rowOff>184150</xdr:rowOff>
                  </to>
                </anchor>
              </controlPr>
            </control>
          </mc:Choice>
        </mc:AlternateContent>
        <mc:AlternateContent xmlns:mc="http://schemas.openxmlformats.org/markup-compatibility/2006">
          <mc:Choice Requires="x14">
            <control shapeId="16201" r:id="rId398" name="Check Box 841">
              <controlPr locked="0" defaultSize="0" autoFill="0" autoLine="0" autoPict="0">
                <anchor moveWithCells="1" sizeWithCells="1">
                  <from>
                    <xdr:col>22</xdr:col>
                    <xdr:colOff>0</xdr:colOff>
                    <xdr:row>1635</xdr:row>
                    <xdr:rowOff>0</xdr:rowOff>
                  </from>
                  <to>
                    <xdr:col>22</xdr:col>
                    <xdr:colOff>184150</xdr:colOff>
                    <xdr:row>1635</xdr:row>
                    <xdr:rowOff>184150</xdr:rowOff>
                  </to>
                </anchor>
              </controlPr>
            </control>
          </mc:Choice>
        </mc:AlternateContent>
        <mc:AlternateContent xmlns:mc="http://schemas.openxmlformats.org/markup-compatibility/2006">
          <mc:Choice Requires="x14">
            <control shapeId="16202" r:id="rId399" name="Check Box 842">
              <controlPr locked="0" defaultSize="0" autoFill="0" autoLine="0" autoPict="0">
                <anchor moveWithCells="1" sizeWithCells="1">
                  <from>
                    <xdr:col>22</xdr:col>
                    <xdr:colOff>0</xdr:colOff>
                    <xdr:row>1636</xdr:row>
                    <xdr:rowOff>0</xdr:rowOff>
                  </from>
                  <to>
                    <xdr:col>22</xdr:col>
                    <xdr:colOff>184150</xdr:colOff>
                    <xdr:row>1636</xdr:row>
                    <xdr:rowOff>184150</xdr:rowOff>
                  </to>
                </anchor>
              </controlPr>
            </control>
          </mc:Choice>
        </mc:AlternateContent>
        <mc:AlternateContent xmlns:mc="http://schemas.openxmlformats.org/markup-compatibility/2006">
          <mc:Choice Requires="x14">
            <control shapeId="16205" r:id="rId400" name="Check Box 845">
              <controlPr locked="0" defaultSize="0" autoFill="0" autoLine="0" autoPict="0">
                <anchor moveWithCells="1" sizeWithCells="1">
                  <from>
                    <xdr:col>22</xdr:col>
                    <xdr:colOff>0</xdr:colOff>
                    <xdr:row>1773</xdr:row>
                    <xdr:rowOff>0</xdr:rowOff>
                  </from>
                  <to>
                    <xdr:col>22</xdr:col>
                    <xdr:colOff>184150</xdr:colOff>
                    <xdr:row>1773</xdr:row>
                    <xdr:rowOff>184150</xdr:rowOff>
                  </to>
                </anchor>
              </controlPr>
            </control>
          </mc:Choice>
        </mc:AlternateContent>
        <mc:AlternateContent xmlns:mc="http://schemas.openxmlformats.org/markup-compatibility/2006">
          <mc:Choice Requires="x14">
            <control shapeId="16206" r:id="rId401" name="Check Box 846">
              <controlPr locked="0" defaultSize="0" autoFill="0" autoLine="0" autoPict="0">
                <anchor moveWithCells="1" sizeWithCells="1">
                  <from>
                    <xdr:col>22</xdr:col>
                    <xdr:colOff>0</xdr:colOff>
                    <xdr:row>1792</xdr:row>
                    <xdr:rowOff>0</xdr:rowOff>
                  </from>
                  <to>
                    <xdr:col>22</xdr:col>
                    <xdr:colOff>184150</xdr:colOff>
                    <xdr:row>1792</xdr:row>
                    <xdr:rowOff>184150</xdr:rowOff>
                  </to>
                </anchor>
              </controlPr>
            </control>
          </mc:Choice>
        </mc:AlternateContent>
        <mc:AlternateContent xmlns:mc="http://schemas.openxmlformats.org/markup-compatibility/2006">
          <mc:Choice Requires="x14">
            <control shapeId="16207" r:id="rId402" name="Check Box 847">
              <controlPr locked="0" defaultSize="0" autoFill="0" autoLine="0" autoPict="0">
                <anchor moveWithCells="1" sizeWithCells="1">
                  <from>
                    <xdr:col>22</xdr:col>
                    <xdr:colOff>0</xdr:colOff>
                    <xdr:row>1794</xdr:row>
                    <xdr:rowOff>0</xdr:rowOff>
                  </from>
                  <to>
                    <xdr:col>22</xdr:col>
                    <xdr:colOff>184150</xdr:colOff>
                    <xdr:row>1794</xdr:row>
                    <xdr:rowOff>184150</xdr:rowOff>
                  </to>
                </anchor>
              </controlPr>
            </control>
          </mc:Choice>
        </mc:AlternateContent>
        <mc:AlternateContent xmlns:mc="http://schemas.openxmlformats.org/markup-compatibility/2006">
          <mc:Choice Requires="x14">
            <control shapeId="16208" r:id="rId403" name="Check Box 848">
              <controlPr locked="0" defaultSize="0" autoFill="0" autoLine="0" autoPict="0">
                <anchor moveWithCells="1" sizeWithCells="1">
                  <from>
                    <xdr:col>22</xdr:col>
                    <xdr:colOff>0</xdr:colOff>
                    <xdr:row>1796</xdr:row>
                    <xdr:rowOff>0</xdr:rowOff>
                  </from>
                  <to>
                    <xdr:col>22</xdr:col>
                    <xdr:colOff>184150</xdr:colOff>
                    <xdr:row>1796</xdr:row>
                    <xdr:rowOff>184150</xdr:rowOff>
                  </to>
                </anchor>
              </controlPr>
            </control>
          </mc:Choice>
        </mc:AlternateContent>
        <mc:AlternateContent xmlns:mc="http://schemas.openxmlformats.org/markup-compatibility/2006">
          <mc:Choice Requires="x14">
            <control shapeId="16209" r:id="rId404" name="Check Box 849">
              <controlPr locked="0" defaultSize="0" autoFill="0" autoLine="0" autoPict="0">
                <anchor moveWithCells="1" sizeWithCells="1">
                  <from>
                    <xdr:col>22</xdr:col>
                    <xdr:colOff>0</xdr:colOff>
                    <xdr:row>1797</xdr:row>
                    <xdr:rowOff>0</xdr:rowOff>
                  </from>
                  <to>
                    <xdr:col>22</xdr:col>
                    <xdr:colOff>184150</xdr:colOff>
                    <xdr:row>1797</xdr:row>
                    <xdr:rowOff>184150</xdr:rowOff>
                  </to>
                </anchor>
              </controlPr>
            </control>
          </mc:Choice>
        </mc:AlternateContent>
        <mc:AlternateContent xmlns:mc="http://schemas.openxmlformats.org/markup-compatibility/2006">
          <mc:Choice Requires="x14">
            <control shapeId="16210" r:id="rId405" name="Check Box 850">
              <controlPr locked="0" defaultSize="0" autoFill="0" autoLine="0" autoPict="0">
                <anchor moveWithCells="1" sizeWithCells="1">
                  <from>
                    <xdr:col>22</xdr:col>
                    <xdr:colOff>0</xdr:colOff>
                    <xdr:row>1799</xdr:row>
                    <xdr:rowOff>0</xdr:rowOff>
                  </from>
                  <to>
                    <xdr:col>22</xdr:col>
                    <xdr:colOff>184150</xdr:colOff>
                    <xdr:row>1799</xdr:row>
                    <xdr:rowOff>184150</xdr:rowOff>
                  </to>
                </anchor>
              </controlPr>
            </control>
          </mc:Choice>
        </mc:AlternateContent>
        <mc:AlternateContent xmlns:mc="http://schemas.openxmlformats.org/markup-compatibility/2006">
          <mc:Choice Requires="x14">
            <control shapeId="16212" r:id="rId406" name="Check Box 852">
              <controlPr locked="0" defaultSize="0" autoFill="0" autoLine="0" autoPict="0">
                <anchor moveWithCells="1" sizeWithCells="1">
                  <from>
                    <xdr:col>22</xdr:col>
                    <xdr:colOff>0</xdr:colOff>
                    <xdr:row>1839</xdr:row>
                    <xdr:rowOff>0</xdr:rowOff>
                  </from>
                  <to>
                    <xdr:col>22</xdr:col>
                    <xdr:colOff>184150</xdr:colOff>
                    <xdr:row>1839</xdr:row>
                    <xdr:rowOff>184150</xdr:rowOff>
                  </to>
                </anchor>
              </controlPr>
            </control>
          </mc:Choice>
        </mc:AlternateContent>
        <mc:AlternateContent xmlns:mc="http://schemas.openxmlformats.org/markup-compatibility/2006">
          <mc:Choice Requires="x14">
            <control shapeId="16214" r:id="rId407" name="Check Box 854">
              <controlPr locked="0" defaultSize="0" autoFill="0" autoLine="0" autoPict="0">
                <anchor moveWithCells="1" sizeWithCells="1">
                  <from>
                    <xdr:col>22</xdr:col>
                    <xdr:colOff>0</xdr:colOff>
                    <xdr:row>2029</xdr:row>
                    <xdr:rowOff>0</xdr:rowOff>
                  </from>
                  <to>
                    <xdr:col>22</xdr:col>
                    <xdr:colOff>184150</xdr:colOff>
                    <xdr:row>2029</xdr:row>
                    <xdr:rowOff>184150</xdr:rowOff>
                  </to>
                </anchor>
              </controlPr>
            </control>
          </mc:Choice>
        </mc:AlternateContent>
        <mc:AlternateContent xmlns:mc="http://schemas.openxmlformats.org/markup-compatibility/2006">
          <mc:Choice Requires="x14">
            <control shapeId="16215" r:id="rId408" name="Check Box 855">
              <controlPr locked="0" defaultSize="0" autoFill="0" autoLine="0" autoPict="0">
                <anchor moveWithCells="1" sizeWithCells="1">
                  <from>
                    <xdr:col>22</xdr:col>
                    <xdr:colOff>0</xdr:colOff>
                    <xdr:row>2080</xdr:row>
                    <xdr:rowOff>0</xdr:rowOff>
                  </from>
                  <to>
                    <xdr:col>22</xdr:col>
                    <xdr:colOff>184150</xdr:colOff>
                    <xdr:row>2080</xdr:row>
                    <xdr:rowOff>184150</xdr:rowOff>
                  </to>
                </anchor>
              </controlPr>
            </control>
          </mc:Choice>
        </mc:AlternateContent>
        <mc:AlternateContent xmlns:mc="http://schemas.openxmlformats.org/markup-compatibility/2006">
          <mc:Choice Requires="x14">
            <control shapeId="16218" r:id="rId409" name="Check Box 858">
              <controlPr locked="0" defaultSize="0" autoFill="0" autoLine="0" autoPict="0">
                <anchor moveWithCells="1" sizeWithCells="1">
                  <from>
                    <xdr:col>22</xdr:col>
                    <xdr:colOff>0</xdr:colOff>
                    <xdr:row>2151</xdr:row>
                    <xdr:rowOff>0</xdr:rowOff>
                  </from>
                  <to>
                    <xdr:col>22</xdr:col>
                    <xdr:colOff>184150</xdr:colOff>
                    <xdr:row>2151</xdr:row>
                    <xdr:rowOff>184150</xdr:rowOff>
                  </to>
                </anchor>
              </controlPr>
            </control>
          </mc:Choice>
        </mc:AlternateContent>
        <mc:AlternateContent xmlns:mc="http://schemas.openxmlformats.org/markup-compatibility/2006">
          <mc:Choice Requires="x14">
            <control shapeId="16219" r:id="rId410" name="Check Box 859">
              <controlPr locked="0" defaultSize="0" autoFill="0" autoLine="0" autoPict="0">
                <anchor moveWithCells="1" sizeWithCells="1">
                  <from>
                    <xdr:col>22</xdr:col>
                    <xdr:colOff>0</xdr:colOff>
                    <xdr:row>2153</xdr:row>
                    <xdr:rowOff>0</xdr:rowOff>
                  </from>
                  <to>
                    <xdr:col>22</xdr:col>
                    <xdr:colOff>184150</xdr:colOff>
                    <xdr:row>2153</xdr:row>
                    <xdr:rowOff>184150</xdr:rowOff>
                  </to>
                </anchor>
              </controlPr>
            </control>
          </mc:Choice>
        </mc:AlternateContent>
        <mc:AlternateContent xmlns:mc="http://schemas.openxmlformats.org/markup-compatibility/2006">
          <mc:Choice Requires="x14">
            <control shapeId="16221" r:id="rId411" name="Check Box 861">
              <controlPr locked="0" defaultSize="0" autoFill="0" autoLine="0" autoPict="0">
                <anchor moveWithCells="1" sizeWithCells="1">
                  <from>
                    <xdr:col>22</xdr:col>
                    <xdr:colOff>0</xdr:colOff>
                    <xdr:row>2184</xdr:row>
                    <xdr:rowOff>0</xdr:rowOff>
                  </from>
                  <to>
                    <xdr:col>22</xdr:col>
                    <xdr:colOff>184150</xdr:colOff>
                    <xdr:row>2184</xdr:row>
                    <xdr:rowOff>184150</xdr:rowOff>
                  </to>
                </anchor>
              </controlPr>
            </control>
          </mc:Choice>
        </mc:AlternateContent>
        <mc:AlternateContent xmlns:mc="http://schemas.openxmlformats.org/markup-compatibility/2006">
          <mc:Choice Requires="x14">
            <control shapeId="16222" r:id="rId412" name="Check Box 862">
              <controlPr locked="0" defaultSize="0" autoFill="0" autoLine="0" autoPict="0">
                <anchor moveWithCells="1" sizeWithCells="1">
                  <from>
                    <xdr:col>22</xdr:col>
                    <xdr:colOff>0</xdr:colOff>
                    <xdr:row>2219</xdr:row>
                    <xdr:rowOff>0</xdr:rowOff>
                  </from>
                  <to>
                    <xdr:col>22</xdr:col>
                    <xdr:colOff>184150</xdr:colOff>
                    <xdr:row>2219</xdr:row>
                    <xdr:rowOff>184150</xdr:rowOff>
                  </to>
                </anchor>
              </controlPr>
            </control>
          </mc:Choice>
        </mc:AlternateContent>
        <mc:AlternateContent xmlns:mc="http://schemas.openxmlformats.org/markup-compatibility/2006">
          <mc:Choice Requires="x14">
            <control shapeId="16223" r:id="rId413" name="Check Box 863">
              <controlPr locked="0" defaultSize="0" autoFill="0" autoLine="0" autoPict="0">
                <anchor moveWithCells="1" sizeWithCells="1">
                  <from>
                    <xdr:col>22</xdr:col>
                    <xdr:colOff>0</xdr:colOff>
                    <xdr:row>2227</xdr:row>
                    <xdr:rowOff>0</xdr:rowOff>
                  </from>
                  <to>
                    <xdr:col>22</xdr:col>
                    <xdr:colOff>184150</xdr:colOff>
                    <xdr:row>2227</xdr:row>
                    <xdr:rowOff>184150</xdr:rowOff>
                  </to>
                </anchor>
              </controlPr>
            </control>
          </mc:Choice>
        </mc:AlternateContent>
        <mc:AlternateContent xmlns:mc="http://schemas.openxmlformats.org/markup-compatibility/2006">
          <mc:Choice Requires="x14">
            <control shapeId="16224" r:id="rId414" name="Check Box 864">
              <controlPr locked="0" defaultSize="0" autoFill="0" autoLine="0" autoPict="0">
                <anchor moveWithCells="1" sizeWithCells="1">
                  <from>
                    <xdr:col>22</xdr:col>
                    <xdr:colOff>0</xdr:colOff>
                    <xdr:row>2239</xdr:row>
                    <xdr:rowOff>0</xdr:rowOff>
                  </from>
                  <to>
                    <xdr:col>22</xdr:col>
                    <xdr:colOff>184150</xdr:colOff>
                    <xdr:row>2239</xdr:row>
                    <xdr:rowOff>184150</xdr:rowOff>
                  </to>
                </anchor>
              </controlPr>
            </control>
          </mc:Choice>
        </mc:AlternateContent>
        <mc:AlternateContent xmlns:mc="http://schemas.openxmlformats.org/markup-compatibility/2006">
          <mc:Choice Requires="x14">
            <control shapeId="16225" r:id="rId415" name="Check Box 865">
              <controlPr locked="0" defaultSize="0" autoFill="0" autoLine="0" autoPict="0">
                <anchor moveWithCells="1" sizeWithCells="1">
                  <from>
                    <xdr:col>22</xdr:col>
                    <xdr:colOff>0</xdr:colOff>
                    <xdr:row>2240</xdr:row>
                    <xdr:rowOff>0</xdr:rowOff>
                  </from>
                  <to>
                    <xdr:col>22</xdr:col>
                    <xdr:colOff>184150</xdr:colOff>
                    <xdr:row>2240</xdr:row>
                    <xdr:rowOff>184150</xdr:rowOff>
                  </to>
                </anchor>
              </controlPr>
            </control>
          </mc:Choice>
        </mc:AlternateContent>
        <mc:AlternateContent xmlns:mc="http://schemas.openxmlformats.org/markup-compatibility/2006">
          <mc:Choice Requires="x14">
            <control shapeId="16226" r:id="rId416" name="Check Box 866">
              <controlPr locked="0" defaultSize="0" autoFill="0" autoLine="0" autoPict="0">
                <anchor moveWithCells="1" sizeWithCells="1">
                  <from>
                    <xdr:col>22</xdr:col>
                    <xdr:colOff>0</xdr:colOff>
                    <xdr:row>2242</xdr:row>
                    <xdr:rowOff>0</xdr:rowOff>
                  </from>
                  <to>
                    <xdr:col>22</xdr:col>
                    <xdr:colOff>184150</xdr:colOff>
                    <xdr:row>2242</xdr:row>
                    <xdr:rowOff>184150</xdr:rowOff>
                  </to>
                </anchor>
              </controlPr>
            </control>
          </mc:Choice>
        </mc:AlternateContent>
        <mc:AlternateContent xmlns:mc="http://schemas.openxmlformats.org/markup-compatibility/2006">
          <mc:Choice Requires="x14">
            <control shapeId="16227" r:id="rId417" name="Check Box 867">
              <controlPr locked="0" defaultSize="0" autoFill="0" autoLine="0" autoPict="0">
                <anchor moveWithCells="1" sizeWithCells="1">
                  <from>
                    <xdr:col>22</xdr:col>
                    <xdr:colOff>0</xdr:colOff>
                    <xdr:row>2247</xdr:row>
                    <xdr:rowOff>0</xdr:rowOff>
                  </from>
                  <to>
                    <xdr:col>22</xdr:col>
                    <xdr:colOff>184150</xdr:colOff>
                    <xdr:row>2247</xdr:row>
                    <xdr:rowOff>184150</xdr:rowOff>
                  </to>
                </anchor>
              </controlPr>
            </control>
          </mc:Choice>
        </mc:AlternateContent>
        <mc:AlternateContent xmlns:mc="http://schemas.openxmlformats.org/markup-compatibility/2006">
          <mc:Choice Requires="x14">
            <control shapeId="16229" r:id="rId418" name="Check Box 869">
              <controlPr locked="0" defaultSize="0" autoFill="0" autoLine="0" autoPict="0">
                <anchor moveWithCells="1" sizeWithCells="1">
                  <from>
                    <xdr:col>22</xdr:col>
                    <xdr:colOff>0</xdr:colOff>
                    <xdr:row>2392</xdr:row>
                    <xdr:rowOff>0</xdr:rowOff>
                  </from>
                  <to>
                    <xdr:col>22</xdr:col>
                    <xdr:colOff>184150</xdr:colOff>
                    <xdr:row>2392</xdr:row>
                    <xdr:rowOff>184150</xdr:rowOff>
                  </to>
                </anchor>
              </controlPr>
            </control>
          </mc:Choice>
        </mc:AlternateContent>
        <mc:AlternateContent xmlns:mc="http://schemas.openxmlformats.org/markup-compatibility/2006">
          <mc:Choice Requires="x14">
            <control shapeId="16230" r:id="rId419" name="Check Box 870">
              <controlPr locked="0" defaultSize="0" autoFill="0" autoLine="0" autoPict="0">
                <anchor moveWithCells="1" sizeWithCells="1">
                  <from>
                    <xdr:col>22</xdr:col>
                    <xdr:colOff>0</xdr:colOff>
                    <xdr:row>2409</xdr:row>
                    <xdr:rowOff>0</xdr:rowOff>
                  </from>
                  <to>
                    <xdr:col>22</xdr:col>
                    <xdr:colOff>184150</xdr:colOff>
                    <xdr:row>2409</xdr:row>
                    <xdr:rowOff>184150</xdr:rowOff>
                  </to>
                </anchor>
              </controlPr>
            </control>
          </mc:Choice>
        </mc:AlternateContent>
        <mc:AlternateContent xmlns:mc="http://schemas.openxmlformats.org/markup-compatibility/2006">
          <mc:Choice Requires="x14">
            <control shapeId="16231" r:id="rId420" name="Check Box 871">
              <controlPr locked="0" defaultSize="0" autoFill="0" autoLine="0" autoPict="0">
                <anchor moveWithCells="1" sizeWithCells="1">
                  <from>
                    <xdr:col>22</xdr:col>
                    <xdr:colOff>0</xdr:colOff>
                    <xdr:row>2410</xdr:row>
                    <xdr:rowOff>0</xdr:rowOff>
                  </from>
                  <to>
                    <xdr:col>22</xdr:col>
                    <xdr:colOff>184150</xdr:colOff>
                    <xdr:row>2410</xdr:row>
                    <xdr:rowOff>184150</xdr:rowOff>
                  </to>
                </anchor>
              </controlPr>
            </control>
          </mc:Choice>
        </mc:AlternateContent>
        <mc:AlternateContent xmlns:mc="http://schemas.openxmlformats.org/markup-compatibility/2006">
          <mc:Choice Requires="x14">
            <control shapeId="16232" r:id="rId421" name="Check Box 872">
              <controlPr locked="0" defaultSize="0" autoFill="0" autoLine="0" autoPict="0">
                <anchor moveWithCells="1" sizeWithCells="1">
                  <from>
                    <xdr:col>22</xdr:col>
                    <xdr:colOff>0</xdr:colOff>
                    <xdr:row>2411</xdr:row>
                    <xdr:rowOff>0</xdr:rowOff>
                  </from>
                  <to>
                    <xdr:col>22</xdr:col>
                    <xdr:colOff>184150</xdr:colOff>
                    <xdr:row>2411</xdr:row>
                    <xdr:rowOff>184150</xdr:rowOff>
                  </to>
                </anchor>
              </controlPr>
            </control>
          </mc:Choice>
        </mc:AlternateContent>
        <mc:AlternateContent xmlns:mc="http://schemas.openxmlformats.org/markup-compatibility/2006">
          <mc:Choice Requires="x14">
            <control shapeId="16233" r:id="rId422" name="Check Box 873">
              <controlPr locked="0" defaultSize="0" autoFill="0" autoLine="0" autoPict="0">
                <anchor moveWithCells="1" sizeWithCells="1">
                  <from>
                    <xdr:col>22</xdr:col>
                    <xdr:colOff>0</xdr:colOff>
                    <xdr:row>2413</xdr:row>
                    <xdr:rowOff>0</xdr:rowOff>
                  </from>
                  <to>
                    <xdr:col>22</xdr:col>
                    <xdr:colOff>184150</xdr:colOff>
                    <xdr:row>2413</xdr:row>
                    <xdr:rowOff>184150</xdr:rowOff>
                  </to>
                </anchor>
              </controlPr>
            </control>
          </mc:Choice>
        </mc:AlternateContent>
        <mc:AlternateContent xmlns:mc="http://schemas.openxmlformats.org/markup-compatibility/2006">
          <mc:Choice Requires="x14">
            <control shapeId="16234" r:id="rId423" name="Check Box 874">
              <controlPr locked="0" defaultSize="0" autoFill="0" autoLine="0" autoPict="0">
                <anchor moveWithCells="1" sizeWithCells="1">
                  <from>
                    <xdr:col>22</xdr:col>
                    <xdr:colOff>0</xdr:colOff>
                    <xdr:row>2414</xdr:row>
                    <xdr:rowOff>0</xdr:rowOff>
                  </from>
                  <to>
                    <xdr:col>22</xdr:col>
                    <xdr:colOff>184150</xdr:colOff>
                    <xdr:row>2414</xdr:row>
                    <xdr:rowOff>184150</xdr:rowOff>
                  </to>
                </anchor>
              </controlPr>
            </control>
          </mc:Choice>
        </mc:AlternateContent>
        <mc:AlternateContent xmlns:mc="http://schemas.openxmlformats.org/markup-compatibility/2006">
          <mc:Choice Requires="x14">
            <control shapeId="16235" r:id="rId424" name="Check Box 875">
              <controlPr locked="0" defaultSize="0" autoFill="0" autoLine="0" autoPict="0">
                <anchor moveWithCells="1" sizeWithCells="1">
                  <from>
                    <xdr:col>22</xdr:col>
                    <xdr:colOff>0</xdr:colOff>
                    <xdr:row>2415</xdr:row>
                    <xdr:rowOff>0</xdr:rowOff>
                  </from>
                  <to>
                    <xdr:col>22</xdr:col>
                    <xdr:colOff>184150</xdr:colOff>
                    <xdr:row>2415</xdr:row>
                    <xdr:rowOff>184150</xdr:rowOff>
                  </to>
                </anchor>
              </controlPr>
            </control>
          </mc:Choice>
        </mc:AlternateContent>
        <mc:AlternateContent xmlns:mc="http://schemas.openxmlformats.org/markup-compatibility/2006">
          <mc:Choice Requires="x14">
            <control shapeId="16236" r:id="rId425" name="Check Box 876">
              <controlPr locked="0" defaultSize="0" autoFill="0" autoLine="0" autoPict="0">
                <anchor moveWithCells="1" sizeWithCells="1">
                  <from>
                    <xdr:col>22</xdr:col>
                    <xdr:colOff>0</xdr:colOff>
                    <xdr:row>2416</xdr:row>
                    <xdr:rowOff>0</xdr:rowOff>
                  </from>
                  <to>
                    <xdr:col>22</xdr:col>
                    <xdr:colOff>184150</xdr:colOff>
                    <xdr:row>2416</xdr:row>
                    <xdr:rowOff>184150</xdr:rowOff>
                  </to>
                </anchor>
              </controlPr>
            </control>
          </mc:Choice>
        </mc:AlternateContent>
        <mc:AlternateContent xmlns:mc="http://schemas.openxmlformats.org/markup-compatibility/2006">
          <mc:Choice Requires="x14">
            <control shapeId="16237" r:id="rId426" name="Check Box 877">
              <controlPr locked="0" defaultSize="0" autoFill="0" autoLine="0" autoPict="0">
                <anchor moveWithCells="1" sizeWithCells="1">
                  <from>
                    <xdr:col>22</xdr:col>
                    <xdr:colOff>0</xdr:colOff>
                    <xdr:row>2417</xdr:row>
                    <xdr:rowOff>0</xdr:rowOff>
                  </from>
                  <to>
                    <xdr:col>22</xdr:col>
                    <xdr:colOff>184150</xdr:colOff>
                    <xdr:row>2417</xdr:row>
                    <xdr:rowOff>184150</xdr:rowOff>
                  </to>
                </anchor>
              </controlPr>
            </control>
          </mc:Choice>
        </mc:AlternateContent>
        <mc:AlternateContent xmlns:mc="http://schemas.openxmlformats.org/markup-compatibility/2006">
          <mc:Choice Requires="x14">
            <control shapeId="16238" r:id="rId427" name="Check Box 878">
              <controlPr locked="0" defaultSize="0" autoFill="0" autoLine="0" autoPict="0">
                <anchor moveWithCells="1" sizeWithCells="1">
                  <from>
                    <xdr:col>22</xdr:col>
                    <xdr:colOff>0</xdr:colOff>
                    <xdr:row>2418</xdr:row>
                    <xdr:rowOff>0</xdr:rowOff>
                  </from>
                  <to>
                    <xdr:col>22</xdr:col>
                    <xdr:colOff>184150</xdr:colOff>
                    <xdr:row>2418</xdr:row>
                    <xdr:rowOff>184150</xdr:rowOff>
                  </to>
                </anchor>
              </controlPr>
            </control>
          </mc:Choice>
        </mc:AlternateContent>
        <mc:AlternateContent xmlns:mc="http://schemas.openxmlformats.org/markup-compatibility/2006">
          <mc:Choice Requires="x14">
            <control shapeId="16239" r:id="rId428" name="Check Box 879">
              <controlPr locked="0" defaultSize="0" autoFill="0" autoLine="0" autoPict="0">
                <anchor moveWithCells="1" sizeWithCells="1">
                  <from>
                    <xdr:col>22</xdr:col>
                    <xdr:colOff>0</xdr:colOff>
                    <xdr:row>2423</xdr:row>
                    <xdr:rowOff>0</xdr:rowOff>
                  </from>
                  <to>
                    <xdr:col>22</xdr:col>
                    <xdr:colOff>184150</xdr:colOff>
                    <xdr:row>2423</xdr:row>
                    <xdr:rowOff>184150</xdr:rowOff>
                  </to>
                </anchor>
              </controlPr>
            </control>
          </mc:Choice>
        </mc:AlternateContent>
        <mc:AlternateContent xmlns:mc="http://schemas.openxmlformats.org/markup-compatibility/2006">
          <mc:Choice Requires="x14">
            <control shapeId="16240" r:id="rId429" name="Check Box 880">
              <controlPr locked="0" defaultSize="0" autoFill="0" autoLine="0" autoPict="0">
                <anchor moveWithCells="1" sizeWithCells="1">
                  <from>
                    <xdr:col>22</xdr:col>
                    <xdr:colOff>0</xdr:colOff>
                    <xdr:row>2424</xdr:row>
                    <xdr:rowOff>0</xdr:rowOff>
                  </from>
                  <to>
                    <xdr:col>22</xdr:col>
                    <xdr:colOff>184150</xdr:colOff>
                    <xdr:row>2424</xdr:row>
                    <xdr:rowOff>184150</xdr:rowOff>
                  </to>
                </anchor>
              </controlPr>
            </control>
          </mc:Choice>
        </mc:AlternateContent>
        <mc:AlternateContent xmlns:mc="http://schemas.openxmlformats.org/markup-compatibility/2006">
          <mc:Choice Requires="x14">
            <control shapeId="16241" r:id="rId430" name="Check Box 881">
              <controlPr locked="0" defaultSize="0" autoFill="0" autoLine="0" autoPict="0">
                <anchor moveWithCells="1" sizeWithCells="1">
                  <from>
                    <xdr:col>22</xdr:col>
                    <xdr:colOff>0</xdr:colOff>
                    <xdr:row>2425</xdr:row>
                    <xdr:rowOff>0</xdr:rowOff>
                  </from>
                  <to>
                    <xdr:col>22</xdr:col>
                    <xdr:colOff>184150</xdr:colOff>
                    <xdr:row>2425</xdr:row>
                    <xdr:rowOff>184150</xdr:rowOff>
                  </to>
                </anchor>
              </controlPr>
            </control>
          </mc:Choice>
        </mc:AlternateContent>
        <mc:AlternateContent xmlns:mc="http://schemas.openxmlformats.org/markup-compatibility/2006">
          <mc:Choice Requires="x14">
            <control shapeId="16242" r:id="rId431" name="Check Box 882">
              <controlPr locked="0" defaultSize="0" autoFill="0" autoLine="0" autoPict="0">
                <anchor moveWithCells="1" sizeWithCells="1">
                  <from>
                    <xdr:col>22</xdr:col>
                    <xdr:colOff>0</xdr:colOff>
                    <xdr:row>2426</xdr:row>
                    <xdr:rowOff>0</xdr:rowOff>
                  </from>
                  <to>
                    <xdr:col>22</xdr:col>
                    <xdr:colOff>184150</xdr:colOff>
                    <xdr:row>2426</xdr:row>
                    <xdr:rowOff>184150</xdr:rowOff>
                  </to>
                </anchor>
              </controlPr>
            </control>
          </mc:Choice>
        </mc:AlternateContent>
        <mc:AlternateContent xmlns:mc="http://schemas.openxmlformats.org/markup-compatibility/2006">
          <mc:Choice Requires="x14">
            <control shapeId="16243" r:id="rId432" name="Check Box 883">
              <controlPr locked="0" defaultSize="0" autoFill="0" autoLine="0" autoPict="0">
                <anchor moveWithCells="1" sizeWithCells="1">
                  <from>
                    <xdr:col>22</xdr:col>
                    <xdr:colOff>0</xdr:colOff>
                    <xdr:row>2427</xdr:row>
                    <xdr:rowOff>0</xdr:rowOff>
                  </from>
                  <to>
                    <xdr:col>22</xdr:col>
                    <xdr:colOff>184150</xdr:colOff>
                    <xdr:row>2427</xdr:row>
                    <xdr:rowOff>184150</xdr:rowOff>
                  </to>
                </anchor>
              </controlPr>
            </control>
          </mc:Choice>
        </mc:AlternateContent>
        <mc:AlternateContent xmlns:mc="http://schemas.openxmlformats.org/markup-compatibility/2006">
          <mc:Choice Requires="x14">
            <control shapeId="16244" r:id="rId433" name="Check Box 884">
              <controlPr locked="0" defaultSize="0" autoFill="0" autoLine="0" autoPict="0">
                <anchor moveWithCells="1" sizeWithCells="1">
                  <from>
                    <xdr:col>22</xdr:col>
                    <xdr:colOff>0</xdr:colOff>
                    <xdr:row>2428</xdr:row>
                    <xdr:rowOff>0</xdr:rowOff>
                  </from>
                  <to>
                    <xdr:col>22</xdr:col>
                    <xdr:colOff>184150</xdr:colOff>
                    <xdr:row>2428</xdr:row>
                    <xdr:rowOff>184150</xdr:rowOff>
                  </to>
                </anchor>
              </controlPr>
            </control>
          </mc:Choice>
        </mc:AlternateContent>
        <mc:AlternateContent xmlns:mc="http://schemas.openxmlformats.org/markup-compatibility/2006">
          <mc:Choice Requires="x14">
            <control shapeId="16245" r:id="rId434" name="Check Box 885">
              <controlPr locked="0" defaultSize="0" autoFill="0" autoLine="0" autoPict="0">
                <anchor moveWithCells="1" sizeWithCells="1">
                  <from>
                    <xdr:col>22</xdr:col>
                    <xdr:colOff>0</xdr:colOff>
                    <xdr:row>2429</xdr:row>
                    <xdr:rowOff>0</xdr:rowOff>
                  </from>
                  <to>
                    <xdr:col>22</xdr:col>
                    <xdr:colOff>184150</xdr:colOff>
                    <xdr:row>2429</xdr:row>
                    <xdr:rowOff>184150</xdr:rowOff>
                  </to>
                </anchor>
              </controlPr>
            </control>
          </mc:Choice>
        </mc:AlternateContent>
        <mc:AlternateContent xmlns:mc="http://schemas.openxmlformats.org/markup-compatibility/2006">
          <mc:Choice Requires="x14">
            <control shapeId="16246" r:id="rId435" name="Check Box 886">
              <controlPr locked="0" defaultSize="0" autoFill="0" autoLine="0" autoPict="0">
                <anchor moveWithCells="1" sizeWithCells="1">
                  <from>
                    <xdr:col>22</xdr:col>
                    <xdr:colOff>0</xdr:colOff>
                    <xdr:row>2459</xdr:row>
                    <xdr:rowOff>0</xdr:rowOff>
                  </from>
                  <to>
                    <xdr:col>22</xdr:col>
                    <xdr:colOff>184150</xdr:colOff>
                    <xdr:row>2459</xdr:row>
                    <xdr:rowOff>184150</xdr:rowOff>
                  </to>
                </anchor>
              </controlPr>
            </control>
          </mc:Choice>
        </mc:AlternateContent>
        <mc:AlternateContent xmlns:mc="http://schemas.openxmlformats.org/markup-compatibility/2006">
          <mc:Choice Requires="x14">
            <control shapeId="16247" r:id="rId436" name="Check Box 887">
              <controlPr locked="0" defaultSize="0" autoFill="0" autoLine="0" autoPict="0">
                <anchor moveWithCells="1" sizeWithCells="1">
                  <from>
                    <xdr:col>22</xdr:col>
                    <xdr:colOff>0</xdr:colOff>
                    <xdr:row>2462</xdr:row>
                    <xdr:rowOff>0</xdr:rowOff>
                  </from>
                  <to>
                    <xdr:col>22</xdr:col>
                    <xdr:colOff>184150</xdr:colOff>
                    <xdr:row>2462</xdr:row>
                    <xdr:rowOff>184150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53" id="{56E66CF7-9D84-4F84-929A-565EBFCFAD31}">
            <xm:f>OR('Ch5'!W15=TRUE,AND(NOT('Ch5'!W15=FALSE),LEN('Ch5'!W15)&gt;0))</xm:f>
            <x14:dxf>
              <fill>
                <patternFill>
                  <bgColor rgb="FF92D050"/>
                </patternFill>
              </fill>
            </x14:dxf>
          </x14:cfRule>
          <xm:sqref>L14 L16 L17 L18 L21 L23 L25 L27 L36 L42 L45 L50 L52 L55 L58 L69 L71 L73 L75 L77 L79 L81 L83 L90 L91 L93 L98 L100 L104 L108 L109 L111 L112 L113 L121 L124 L128 L135 L140 L142 L149 L155 L157 L160 L162 L165 L170 L171 L176 L178 L181 L183 L185 L189 L190 L191 L193 L196 L198 L208 L215 L216 L218 L223 L225 L226 L228 L230 L234 L237 L239 L240 L241 L242 L243 L244 L246 L253 L255 L257 L264 L267 L271 L272 L282 L286 L288 L291 L292 L305 L309 L312 L315 L316 L321 L323 L325</xm:sqref>
        </x14:conditionalFormatting>
        <x14:conditionalFormatting xmlns:xm="http://schemas.microsoft.com/office/excel/2006/main">
          <x14:cfRule type="expression" priority="252" id="{9CA14A16-B406-455F-BC07-D64D29C4C252}">
            <xm:f>OR('Ch6'!W31=TRUE,AND(NOT('Ch6'!W31=FALSE),LEN('Ch6'!W31)&gt;0))</xm:f>
            <x14:dxf>
              <fill>
                <patternFill>
                  <bgColor rgb="FF92D050"/>
                </patternFill>
              </fill>
            </x14:dxf>
          </x14:cfRule>
          <xm:sqref>L349 L352 L355 L359 L360 L361 L362 L363 L364 L370 L371 L372 L373 L374 L383 L384 L385 L389 L391 L398 L411 L414 L418 L419 L421 L423 L429 L431 L435 L437 L441 L443 L449 L453 L457 L462 L464 L467 L469 L471 L475 L483 L493 L496 L497 L501 L507 L509 L523 L525 L528 L534 L536 L537 L538 L545 L547 L548 L551 L555 L560 L562 L566 L572 L579 L593 L596 L609 L611 L624 L625 L626 L627 L628 L629 L630 L631 L632 L637 L638 L639 L640 L641 L642 L643 L644 L668 L671 L674 L683 L688 L694 L697 L708 L710 L727 L736 L744 L813 L824 L825 L827 L829 L831 L833 L835 L839 L844 L848 L850 L852 L853 L854 L858 L860 L864</xm:sqref>
        </x14:conditionalFormatting>
        <x14:conditionalFormatting xmlns:xm="http://schemas.microsoft.com/office/excel/2006/main">
          <x14:cfRule type="expression" priority="251" id="{9C5D2727-FD72-4E66-9FA3-750AEBBCBCE0}">
            <xm:f>OR('Ch7'!W41=TRUE,AND(NOT('Ch7'!W41=FALSE),LEN('Ch7'!W41)&gt;0))</xm:f>
            <x14:dxf>
              <fill>
                <patternFill>
                  <bgColor rgb="FF92D050"/>
                </patternFill>
              </fill>
            </x14:dxf>
          </x14:cfRule>
          <xm:sqref>L1099 L1106 L1114 L1122 L1130 L1154 L1198 L1200:L1201 L1211 L1218 L1224 L1226 L1229:L1230 L1232 L1234 L1292:L1293 L1295 L1297 L1318 L1320 L1322 L1325:L1327 L1330 L1357 L1365 L1367:L1369 L1371 L1374 L1376 L1381 L1383 L1385 L1387 L1417 L1427 L1431 L1434 L1438 L1443 L1448 L1451 L1456:L1457 L1462 L1465 L1467 L1476 L1478 L1502 L1504 L1507 L1513 L1525 L1527 L1529 L1536:L1539 L1541 L1544 L1549 L1564:L1571 L1574 L1576 L1578 L1581 L1583 L1585 L1595 L1599:L1600 L1603 L1606 L1611 L1616 L1618 L1622 L1627 L1631 L1636:L1637 L911:L912 L914:L915 L917 L920:L922 L924:L927 L929 L933 L938 L941 L947 L950:L951 L958:L970 L991 L994 L1020 L1030 L1040 L1042:L1043 L1049 L1066 L1081 L1084:L1086</xm:sqref>
        </x14:conditionalFormatting>
        <x14:conditionalFormatting xmlns:xm="http://schemas.microsoft.com/office/excel/2006/main">
          <x14:cfRule type="expression" priority="250" id="{B9FBCB58-978A-4B05-B350-65469FD303CB}">
            <xm:f>OR('Ch8'!W50=TRUE,AND(NOT('Ch8'!W50=FALSE),LEN('Ch8'!W50)&gt;0))</xm:f>
            <x14:dxf>
              <fill>
                <patternFill>
                  <bgColor rgb="FF92D050"/>
                </patternFill>
              </fill>
            </x14:dxf>
          </x14:cfRule>
          <xm:sqref>L1679 L1684 L1693 L1695 L1702 L1704 L1709 L1726 L1741 L1746 L1753 L1760 L1763 L1767 L1769 L1772 L1774 L1778:L1780 L1785 L1787 L1793 L1795 L1797:L1798 L1800 L1818 L1820:L1821 L1824 L1832 L1840 L1846 L1848 L1852 L1857 L1860 L1862</xm:sqref>
        </x14:conditionalFormatting>
        <x14:conditionalFormatting xmlns:xm="http://schemas.microsoft.com/office/excel/2006/main">
          <x14:cfRule type="expression" priority="249" id="{7532FC49-8534-4EFB-9706-B33EA195D09C}">
            <xm:f>OR('Ch9'!W12=TRUE,AND(NOT('Ch9'!W12=FALSE),LEN('Ch9'!W12)&gt;0))</xm:f>
            <x14:dxf>
              <fill>
                <patternFill>
                  <bgColor rgb="FF92D050"/>
                </patternFill>
              </fill>
            </x14:dxf>
          </x14:cfRule>
          <xm:sqref>L2096 L2098 L2101 L2104 L2152 L2154 L2176 L2180 L2182 L2185 L2188 L2190 L2194 L2198 L2204:L2205 L2210 L2215 L2220 L2228 L2232 L2237 L2240:L2241 L2243 L2248 L1878 L1884 L1889 L1892 L1895 L1900 L1903 L1909 L1912 L1914 L1917 L1919 L1921 L1924 L1926 L1928 L1934 L1938 L1943:L1946 L1957 L1959 L1962 L1971 L1981:L1982 L1985 L1996 L1998:L1999 L2001 L2006 L2015 L2020:L2021 L2025 L2030 L2034 L2038:L2039 L2042 L2044 L2050 L2052 L2054 L2056 L2063 L2074 L2076 L2078 L2081 L2085</xm:sqref>
        </x14:conditionalFormatting>
        <x14:conditionalFormatting xmlns:xm="http://schemas.microsoft.com/office/excel/2006/main">
          <x14:cfRule type="expression" priority="248" id="{23BD881F-833E-4316-A313-9E2BA748991F}">
            <xm:f>OR('Ch10'!W15=TRUE,AND(NOT('Ch10'!W15=FALSE),LEN('Ch10'!W15)&gt;0))</xm:f>
            <x14:dxf>
              <fill>
                <patternFill>
                  <bgColor rgb="FF92D050"/>
                </patternFill>
              </fill>
            </x14:dxf>
          </x14:cfRule>
          <xm:sqref>L2258:L2260 L2264:L2266 L2268 L2270:L2271 L2273:L2275 L2281 L2285 L2287 L2289:L2290 L2292 L2294:L2295 L2297 L2299 L2301:L2303 L2325 L2328 L2331 L2333:L2334 L2336:L2338 L2344 L2346 L2349 L2351 L2354 L2356:L2357 L2359 L2361:L2362 L2365 L2371 L2373 L2377 L2384 L2386:L2387 L2389:L2393 L2395 L2410:L2412 L2414:L2419 L2424:L2430 L2436 L2438 L2441 L2454 L2456 L2460 L2463</xm:sqref>
        </x14:conditionalFormatting>
        <x14:conditionalFormatting xmlns:xm="http://schemas.microsoft.com/office/excel/2006/main">
          <x14:cfRule type="expression" priority="27" id="{925062D6-9C02-4180-9846-B997FDD884B3}">
            <xm:f>AND(LEN('Overview (Verification)'!$P$28)&gt;0,'Overview (Verification)'!$P$28&gt;=2400)</xm:f>
            <x14:dxf>
              <font>
                <color theme="1"/>
              </font>
              <fill>
                <patternFill>
                  <bgColor rgb="FFFF0000"/>
                </patternFill>
              </fill>
              <border>
                <left style="thin">
                  <color auto="1"/>
                </left>
                <right style="thin">
                  <color auto="1"/>
                </right>
                <top style="thin">
                  <color auto="1"/>
                </top>
                <vertical/>
                <horizontal/>
              </border>
            </x14:dxf>
          </x14:cfRule>
          <xm:sqref>L906</xm:sqref>
        </x14:conditionalFormatting>
        <x14:conditionalFormatting xmlns:xm="http://schemas.microsoft.com/office/excel/2006/main">
          <x14:cfRule type="expression" priority="26" id="{43A93EC4-86D4-4E6A-8E1B-02E6274691DD}">
            <xm:f>AND(LEN('Overview (Verification)'!$P$28)&gt;0,'Overview (Verification)'!$P$28&gt;=2400)</xm:f>
            <x14:dxf>
              <font>
                <color theme="1"/>
              </font>
              <fill>
                <patternFill>
                  <bgColor rgb="FFFF0000"/>
                </patternFill>
              </fill>
              <border>
                <left style="thin">
                  <color auto="1"/>
                </left>
                <right style="thin">
                  <color auto="1"/>
                </right>
                <top style="thin">
                  <color auto="1"/>
                </top>
                <bottom style="thin">
                  <color auto="1"/>
                </bottom>
                <vertical/>
                <horizontal/>
              </border>
            </x14:dxf>
          </x14:cfRule>
          <xm:sqref>L910</xm:sqref>
        </x14:conditionalFormatting>
        <x14:conditionalFormatting xmlns:xm="http://schemas.microsoft.com/office/excel/2006/main">
          <x14:cfRule type="expression" priority="14599" id="{9C5D2727-FD72-4E66-9FA3-750AEBBCBCE0}">
            <xm:f>OR('Ch7'!W216=TRUE,AND(NOT('Ch7'!W216=FALSE),LEN('Ch7'!W216)&gt;0))</xm:f>
            <x14:dxf>
              <fill>
                <patternFill>
                  <bgColor rgb="FF92D050"/>
                </patternFill>
              </fill>
            </x14:dxf>
          </x14:cfRule>
          <xm:sqref>L1087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7D000000}">
          <x14:formula1>
            <xm:f>Points!$C$14:$F$14</xm:f>
          </x14:formula1>
          <xm:sqref>L1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5AE2A-3000-4CB9-8C1D-C8B98C1461CF}">
  <sheetPr codeName="Sheet37">
    <pageSetUpPr fitToPage="1"/>
  </sheetPr>
  <dimension ref="A1:BI338"/>
  <sheetViews>
    <sheetView showGridLines="0" zoomScaleNormal="100" zoomScaleSheetLayoutView="80" workbookViewId="0">
      <pane ySplit="8" topLeftCell="A9" activePane="bottomLeft" state="frozen"/>
      <selection activeCell="S48" sqref="S48"/>
      <selection pane="bottomLeft" activeCell="S48" sqref="S48"/>
    </sheetView>
  </sheetViews>
  <sheetFormatPr defaultRowHeight="14.5" x14ac:dyDescent="0.35"/>
  <cols>
    <col min="1" max="14" width="7.54296875" customWidth="1"/>
    <col min="15" max="15" width="7.54296875" style="6" customWidth="1"/>
    <col min="16" max="16" width="6.1796875" hidden="1" customWidth="1"/>
    <col min="17" max="17" width="5.453125" hidden="1" customWidth="1"/>
    <col min="18" max="20" width="6.1796875" hidden="1" customWidth="1"/>
    <col min="21" max="21" width="8.7265625" hidden="1" customWidth="1"/>
    <col min="22" max="22" width="3.1796875" hidden="1" customWidth="1"/>
    <col min="23" max="23" width="21.453125" style="6" customWidth="1"/>
    <col min="24" max="25" width="34.81640625" customWidth="1"/>
    <col min="26" max="35" width="9.1796875" hidden="1" customWidth="1"/>
    <col min="36" max="40" width="8.453125" hidden="1" customWidth="1"/>
    <col min="41" max="41" width="9.1796875" hidden="1" customWidth="1"/>
    <col min="42" max="42" width="29.1796875" hidden="1" customWidth="1"/>
    <col min="43" max="43" width="2.7265625" hidden="1" customWidth="1"/>
    <col min="44" max="44" width="29.1796875" hidden="1" customWidth="1"/>
    <col min="45" max="45" width="4.81640625" hidden="1" customWidth="1"/>
    <col min="46" max="48" width="8.453125" hidden="1" customWidth="1"/>
    <col min="49" max="59" width="9.1796875" hidden="1" customWidth="1"/>
    <col min="60" max="60" width="13.26953125" hidden="1" customWidth="1"/>
    <col min="61" max="61" width="26.1796875" hidden="1" customWidth="1"/>
    <col min="62" max="62" width="9.1796875" customWidth="1"/>
  </cols>
  <sheetData>
    <row r="1" spans="2:61" ht="15" customHeight="1" x14ac:dyDescent="0.35">
      <c r="W1" s="1014" t="s">
        <v>4873</v>
      </c>
      <c r="X1" s="1125" t="s">
        <v>4067</v>
      </c>
      <c r="Y1" s="1126"/>
    </row>
    <row r="2" spans="2:61" x14ac:dyDescent="0.35">
      <c r="C2" s="642" t="s">
        <v>5396</v>
      </c>
      <c r="D2" t="s">
        <v>5421</v>
      </c>
      <c r="W2" s="1014"/>
      <c r="X2" s="1125" t="s">
        <v>3502</v>
      </c>
      <c r="Y2" s="1126"/>
    </row>
    <row r="3" spans="2:61" x14ac:dyDescent="0.35">
      <c r="C3" s="642" t="s">
        <v>5391</v>
      </c>
      <c r="D3" t="str">
        <f ca="1">G89</f>
        <v>Not Earned</v>
      </c>
      <c r="Q3" s="6" t="s">
        <v>5241</v>
      </c>
      <c r="R3">
        <f>'Verification Report'!ReportType</f>
        <v>0</v>
      </c>
      <c r="W3" s="1015"/>
      <c r="X3" s="1125" t="s">
        <v>3503</v>
      </c>
      <c r="Y3" s="1126"/>
      <c r="AF3" s="6" t="s">
        <v>312</v>
      </c>
      <c r="AG3" t="b">
        <f>OR(ReportType="",IF(ReportType="Rough",OR(AF:AF),OR(AE:AE)))</f>
        <v>0</v>
      </c>
      <c r="AH3" s="6" t="s">
        <v>313</v>
      </c>
      <c r="AI3" t="b">
        <f>OR(AD:AD)</f>
        <v>0</v>
      </c>
    </row>
    <row r="4" spans="2:61" x14ac:dyDescent="0.35">
      <c r="C4" s="642" t="s">
        <v>5393</v>
      </c>
      <c r="D4" t="str">
        <f ca="1">G116</f>
        <v>Not Earned</v>
      </c>
      <c r="W4" s="214" t="s">
        <v>3501</v>
      </c>
      <c r="X4" s="1127" t="str">
        <f>IF(verCity="","",IF(dstBatch, "Various ", verHomeAddress)&amp;", "&amp;verCity&amp;", "&amp;verState&amp;"  "&amp;verZIP)</f>
        <v/>
      </c>
      <c r="Y4" s="1128"/>
    </row>
    <row r="5" spans="2:61" ht="15" customHeight="1" x14ac:dyDescent="0.35">
      <c r="C5" s="642" t="s">
        <v>5392</v>
      </c>
      <c r="D5" t="str">
        <f>G173</f>
        <v>Not Earned</v>
      </c>
      <c r="W5" s="213" t="s">
        <v>130</v>
      </c>
      <c r="X5" s="1129" t="str">
        <f>IF('Overview (Verification)'!P12="","",'Overview (Verification)'!P12)</f>
        <v/>
      </c>
      <c r="Y5" s="1130"/>
    </row>
    <row r="6" spans="2:61" ht="15" customHeight="1" x14ac:dyDescent="0.35">
      <c r="C6" s="642" t="s">
        <v>5394</v>
      </c>
      <c r="D6" t="str">
        <f ca="1">G194</f>
        <v>Not Earned</v>
      </c>
      <c r="W6" s="641"/>
    </row>
    <row r="7" spans="2:61" ht="15" customHeight="1" x14ac:dyDescent="0.35">
      <c r="C7" s="642" t="s">
        <v>5395</v>
      </c>
      <c r="D7" t="str">
        <f>G307</f>
        <v>Not Earned</v>
      </c>
      <c r="I7" s="1016" t="s">
        <v>5777</v>
      </c>
      <c r="J7" s="1016"/>
      <c r="K7" s="1016"/>
      <c r="L7" s="1016"/>
      <c r="M7" s="1016"/>
      <c r="P7" t="s">
        <v>4101</v>
      </c>
      <c r="Q7" t="s">
        <v>309</v>
      </c>
      <c r="R7" t="s">
        <v>250</v>
      </c>
      <c r="S7" t="s">
        <v>251</v>
      </c>
      <c r="T7" t="s">
        <v>0</v>
      </c>
      <c r="U7" t="s">
        <v>4102</v>
      </c>
      <c r="W7" s="641"/>
      <c r="AC7" s="2" t="s">
        <v>307</v>
      </c>
      <c r="AD7" s="2" t="s">
        <v>0</v>
      </c>
      <c r="AE7" s="2" t="s">
        <v>306</v>
      </c>
      <c r="AF7" s="6" t="s">
        <v>3990</v>
      </c>
    </row>
    <row r="8" spans="2:61" x14ac:dyDescent="0.35">
      <c r="C8" s="678"/>
      <c r="H8" s="6"/>
      <c r="I8" s="1016"/>
      <c r="J8" s="1016"/>
      <c r="K8" s="1016"/>
      <c r="L8" s="1016"/>
      <c r="M8" s="1016"/>
      <c r="P8" s="21" t="s">
        <v>247</v>
      </c>
      <c r="Q8" s="21" t="s">
        <v>247</v>
      </c>
      <c r="R8" s="21" t="s">
        <v>247</v>
      </c>
      <c r="S8" s="21" t="s">
        <v>247</v>
      </c>
      <c r="T8" s="21" t="s">
        <v>247</v>
      </c>
      <c r="U8" s="21" t="s">
        <v>247</v>
      </c>
      <c r="V8" s="21" t="s">
        <v>247</v>
      </c>
      <c r="W8" s="641"/>
      <c r="X8" s="216" t="s">
        <v>4075</v>
      </c>
      <c r="Y8" s="216" t="s">
        <v>4074</v>
      </c>
      <c r="Z8" s="21" t="s">
        <v>247</v>
      </c>
      <c r="AA8" s="21" t="s">
        <v>247</v>
      </c>
      <c r="AB8" s="21" t="s">
        <v>247</v>
      </c>
      <c r="AC8" s="21" t="s">
        <v>247</v>
      </c>
      <c r="AD8" s="21" t="s">
        <v>247</v>
      </c>
      <c r="AE8" s="21" t="s">
        <v>247</v>
      </c>
      <c r="AF8" s="21" t="s">
        <v>247</v>
      </c>
      <c r="AG8" s="21" t="s">
        <v>247</v>
      </c>
      <c r="AH8" s="21" t="s">
        <v>247</v>
      </c>
      <c r="AI8" s="21" t="s">
        <v>247</v>
      </c>
      <c r="AJ8" t="s">
        <v>247</v>
      </c>
      <c r="AK8" t="s">
        <v>247</v>
      </c>
      <c r="AL8" t="s">
        <v>247</v>
      </c>
      <c r="AM8" t="s">
        <v>247</v>
      </c>
      <c r="AN8" t="s">
        <v>247</v>
      </c>
      <c r="AO8" t="s">
        <v>247</v>
      </c>
      <c r="AP8" t="s">
        <v>247</v>
      </c>
      <c r="AQ8" t="s">
        <v>247</v>
      </c>
      <c r="AR8" t="s">
        <v>247</v>
      </c>
      <c r="AS8" t="s">
        <v>247</v>
      </c>
      <c r="AT8" t="s">
        <v>247</v>
      </c>
      <c r="AU8" t="s">
        <v>247</v>
      </c>
      <c r="AV8" t="s">
        <v>247</v>
      </c>
      <c r="AW8" t="s">
        <v>247</v>
      </c>
      <c r="AX8" t="s">
        <v>247</v>
      </c>
      <c r="AY8" t="s">
        <v>247</v>
      </c>
      <c r="AZ8" t="s">
        <v>247</v>
      </c>
      <c r="BA8" t="s">
        <v>247</v>
      </c>
      <c r="BB8" t="s">
        <v>247</v>
      </c>
      <c r="BC8" t="s">
        <v>247</v>
      </c>
      <c r="BD8" t="s">
        <v>247</v>
      </c>
      <c r="BE8" t="s">
        <v>247</v>
      </c>
      <c r="BF8" t="s">
        <v>247</v>
      </c>
      <c r="BG8" t="s">
        <v>247</v>
      </c>
      <c r="BH8" t="s">
        <v>247</v>
      </c>
      <c r="BI8" t="s">
        <v>247</v>
      </c>
    </row>
    <row r="9" spans="2:61" x14ac:dyDescent="0.35">
      <c r="O9"/>
      <c r="W9"/>
    </row>
    <row r="10" spans="2:61" x14ac:dyDescent="0.35">
      <c r="B10" s="1006" t="s">
        <v>5249</v>
      </c>
      <c r="C10" s="1006"/>
      <c r="D10" s="1006"/>
      <c r="E10" s="1006"/>
      <c r="F10" s="1006"/>
      <c r="G10" s="1008" t="str">
        <f>IF(AND(LEN('Verification Report'!W1419)&gt;0,'Verification Report'!W1419=0),"Expected to Meet Based on Expected Energy Performance from Selected Path but Energy Analysis Documentation Required for Review",IF('Verification Report'!W1419&gt;0,"Not Expected to Meet Based on Expected Energy Performance from Selected Path – However, Badge Compliance is Based on Separate Energy Analysis Documentation that is Independent from This Tool, and Badge is Available for All Energy Compliance Paths.","Not expected to meet based on Performance Path inputs, 
but compliance possible based on energy analysis document"))</f>
        <v>Not expected to meet based on Performance Path inputs, 
but compliance possible based on energy analysis document</v>
      </c>
      <c r="H10" s="1009"/>
      <c r="I10" s="1009"/>
      <c r="J10" s="1009"/>
      <c r="K10" s="1009"/>
      <c r="L10" s="1009"/>
      <c r="M10" s="1009"/>
      <c r="N10" s="1009"/>
      <c r="O10" s="1010"/>
      <c r="W10"/>
    </row>
    <row r="11" spans="2:61" ht="15" thickBot="1" x14ac:dyDescent="0.4">
      <c r="B11" s="1007"/>
      <c r="C11" s="1007"/>
      <c r="D11" s="1007"/>
      <c r="E11" s="1007"/>
      <c r="F11" s="1007"/>
      <c r="G11" s="1011"/>
      <c r="H11" s="1012"/>
      <c r="I11" s="1012"/>
      <c r="J11" s="1012"/>
      <c r="K11" s="1012"/>
      <c r="L11" s="1012"/>
      <c r="M11" s="1012"/>
      <c r="N11" s="1012"/>
      <c r="O11" s="1013"/>
      <c r="P11" s="55"/>
      <c r="Q11" s="55"/>
      <c r="R11" s="55"/>
      <c r="S11" s="55"/>
      <c r="T11" s="55"/>
      <c r="U11" s="55"/>
      <c r="V11" s="55"/>
      <c r="W11" s="55"/>
      <c r="X11" s="55"/>
      <c r="Y11" s="55"/>
    </row>
    <row r="12" spans="2:61" ht="15" thickTop="1" x14ac:dyDescent="0.35">
      <c r="O12"/>
      <c r="W12"/>
    </row>
    <row r="13" spans="2:61" x14ac:dyDescent="0.35">
      <c r="O13"/>
      <c r="W13"/>
    </row>
    <row r="14" spans="2:61" x14ac:dyDescent="0.35">
      <c r="C14" s="216" t="s">
        <v>5352</v>
      </c>
      <c r="O14"/>
      <c r="R14" t="b">
        <f>OR(LEN(W15)&gt;0,LEN(W16)&gt;0,LEN(W17)&gt;0,LEN(W21)&gt;0,LEN(W22)&gt;0,LEN(W23)&gt;0,LEN(W39)&gt;0,LEN(W40)&gt;0,LEN(W41)&gt;0,LEN(W42)&gt;0,LEN(W43)&gt;0,LEN(W44)&gt;0,LEN(W45)&gt;0,LEN(W46)&gt;0,LEN(W47)&gt;0,LEN(W48)&gt;0,LEN(W49)&gt;0,LEN(W54)&gt;0,LEN(W55)&gt;0)</f>
        <v>0</v>
      </c>
      <c r="W14"/>
    </row>
    <row r="15" spans="2:61" x14ac:dyDescent="0.35">
      <c r="D15" s="857" t="s">
        <v>5353</v>
      </c>
      <c r="E15" s="857"/>
      <c r="F15" s="857"/>
      <c r="G15" s="857"/>
      <c r="H15" s="857"/>
      <c r="I15" s="857"/>
      <c r="J15" s="857"/>
      <c r="K15" s="857"/>
      <c r="L15" s="857"/>
      <c r="M15" s="857"/>
      <c r="O15"/>
      <c r="P15" t="b">
        <v>1</v>
      </c>
      <c r="Q15" t="b">
        <v>1</v>
      </c>
      <c r="R15" t="b">
        <f>R14</f>
        <v>0</v>
      </c>
      <c r="S15" t="b">
        <v>1</v>
      </c>
      <c r="T15" t="b">
        <v>0</v>
      </c>
      <c r="W15" s="314"/>
      <c r="X15" s="36"/>
      <c r="Y15" s="396" t="str">
        <f>IF(LEN('Badges (Design)'!X15)=0,"None",'Badges (Design)'!X15)</f>
        <v>None</v>
      </c>
      <c r="AC15" t="b">
        <f>OR(AD15:AE15)</f>
        <v>0</v>
      </c>
      <c r="AD15" t="b">
        <f>T15</f>
        <v>0</v>
      </c>
      <c r="AE15" t="b">
        <f>AND(R15=TRUE,LEN(W15)=0)</f>
        <v>0</v>
      </c>
      <c r="AF15" t="b">
        <f>AND(AE15,NOT(Q15))</f>
        <v>0</v>
      </c>
      <c r="AP15" t="s">
        <v>5499</v>
      </c>
      <c r="AQ15" t="str">
        <f>IF(LEN(W15)=0,"",W15)</f>
        <v/>
      </c>
      <c r="AR15" t="s">
        <v>5525</v>
      </c>
      <c r="AS15" t="str">
        <f>IF(LEN(X15)=0,"",X15)</f>
        <v/>
      </c>
    </row>
    <row r="16" spans="2:61" x14ac:dyDescent="0.35">
      <c r="D16" s="857" t="s">
        <v>5354</v>
      </c>
      <c r="E16" s="857"/>
      <c r="F16" s="857"/>
      <c r="G16" s="857"/>
      <c r="H16" s="857"/>
      <c r="I16" s="857"/>
      <c r="J16" s="857"/>
      <c r="K16" s="857"/>
      <c r="L16" s="857"/>
      <c r="M16" s="857"/>
      <c r="O16"/>
      <c r="P16" t="b">
        <v>1</v>
      </c>
      <c r="Q16" t="b">
        <v>1</v>
      </c>
      <c r="R16" t="b">
        <f>R14</f>
        <v>0</v>
      </c>
      <c r="S16" t="b">
        <v>1</v>
      </c>
      <c r="T16" t="b">
        <v>0</v>
      </c>
      <c r="W16" s="314"/>
      <c r="X16" s="36"/>
      <c r="Y16" s="396" t="str">
        <f>IF(LEN('Badges (Design)'!X16)=0,"None",'Badges (Design)'!X16)</f>
        <v>None</v>
      </c>
      <c r="AC16" t="b">
        <f>OR(AD16:AE16)</f>
        <v>0</v>
      </c>
      <c r="AD16" t="b">
        <f>T16</f>
        <v>0</v>
      </c>
      <c r="AE16" t="b">
        <f>AND(R16=TRUE,LEN(W16)=0)</f>
        <v>0</v>
      </c>
      <c r="AF16" t="b">
        <f>AND(AE16,NOT(Q16))</f>
        <v>0</v>
      </c>
      <c r="AP16" t="s">
        <v>5500</v>
      </c>
      <c r="AQ16" t="str">
        <f>IF(LEN(W16)=0,"",W16)</f>
        <v/>
      </c>
      <c r="AR16" t="s">
        <v>5526</v>
      </c>
      <c r="AS16" t="str">
        <f>IF(LEN(X16)=0,"",X16)</f>
        <v/>
      </c>
    </row>
    <row r="17" spans="3:51" x14ac:dyDescent="0.35">
      <c r="D17" s="857" t="s">
        <v>5355</v>
      </c>
      <c r="E17" s="857"/>
      <c r="F17" s="857"/>
      <c r="G17" s="857"/>
      <c r="H17" s="857"/>
      <c r="I17" s="857"/>
      <c r="J17" s="857"/>
      <c r="K17" s="857"/>
      <c r="L17" s="857"/>
      <c r="M17" s="857"/>
      <c r="O17"/>
      <c r="P17" t="b">
        <v>1</v>
      </c>
      <c r="Q17" t="b">
        <v>1</v>
      </c>
      <c r="R17" t="b">
        <f>R14</f>
        <v>0</v>
      </c>
      <c r="S17" t="b">
        <v>1</v>
      </c>
      <c r="T17" t="b">
        <v>0</v>
      </c>
      <c r="W17" s="314"/>
      <c r="X17" s="36"/>
      <c r="Y17" s="396" t="str">
        <f>IF(LEN('Badges (Design)'!X17)=0,"None",'Badges (Design)'!X17)</f>
        <v>None</v>
      </c>
      <c r="AC17" t="b">
        <f>OR(AD17:AE17)</f>
        <v>0</v>
      </c>
      <c r="AD17" t="b">
        <f>T17</f>
        <v>0</v>
      </c>
      <c r="AE17" t="b">
        <f>AND(R17=TRUE,LEN(W17)=0)</f>
        <v>0</v>
      </c>
      <c r="AF17" t="b">
        <f>AND(AE17,NOT(Q17))</f>
        <v>0</v>
      </c>
      <c r="AP17" t="s">
        <v>5501</v>
      </c>
      <c r="AQ17" t="str">
        <f>IF(LEN(W17)=0,"",W17)</f>
        <v/>
      </c>
      <c r="AR17" t="s">
        <v>5527</v>
      </c>
      <c r="AS17" t="str">
        <f>IF(LEN(X17)=0,"",X17)</f>
        <v/>
      </c>
    </row>
    <row r="18" spans="3:51" x14ac:dyDescent="0.35">
      <c r="E18" s="857" t="s">
        <v>5356</v>
      </c>
      <c r="F18" s="857"/>
      <c r="G18" s="857"/>
      <c r="H18" s="857"/>
      <c r="I18" s="857"/>
      <c r="J18" s="857"/>
      <c r="K18" s="857"/>
      <c r="L18" s="857"/>
      <c r="M18" s="857"/>
      <c r="O18"/>
      <c r="R18" t="b">
        <f>R14</f>
        <v>0</v>
      </c>
      <c r="W18"/>
      <c r="X18" s="817"/>
      <c r="Y18" s="1100" t="str">
        <f>IF(LEN('Badges (Design)'!X18)=0,"None",'Badges (Design)'!X18)</f>
        <v>None</v>
      </c>
      <c r="AC18" t="b">
        <f>OR(AD18:AE18)</f>
        <v>0</v>
      </c>
      <c r="AE18" t="b">
        <f>AND(R18=TRUE,LEN(X18)=0)</f>
        <v>0</v>
      </c>
      <c r="AF18" t="b">
        <f>AND(AE18,NOT(Q18))</f>
        <v>0</v>
      </c>
      <c r="AR18" t="s">
        <v>5528</v>
      </c>
      <c r="AS18" t="str">
        <f>IF(LEN(X18)=0,"",X18)</f>
        <v/>
      </c>
      <c r="AX18" s="6" t="str">
        <f>'Overview (Verification)'!A18</f>
        <v>Single-Family or Multifamily:</v>
      </c>
      <c r="AY18" t="str">
        <f>IF(LEN('Overview (Verification)'!P18)=0,0,'Overview (Verification)'!P18)</f>
        <v>Single-Family</v>
      </c>
    </row>
    <row r="19" spans="3:51" x14ac:dyDescent="0.35">
      <c r="O19"/>
      <c r="W19"/>
      <c r="X19" s="817"/>
      <c r="Y19" s="1100"/>
    </row>
    <row r="20" spans="3:51" x14ac:dyDescent="0.35">
      <c r="O20"/>
      <c r="W20"/>
    </row>
    <row r="21" spans="3:51" x14ac:dyDescent="0.35">
      <c r="D21" s="857" t="s">
        <v>5357</v>
      </c>
      <c r="E21" s="857"/>
      <c r="F21" s="857"/>
      <c r="G21" s="857"/>
      <c r="H21" s="857"/>
      <c r="I21" s="857"/>
      <c r="J21" s="857"/>
      <c r="K21" s="857"/>
      <c r="L21" s="857"/>
      <c r="M21" s="857"/>
      <c r="O21"/>
      <c r="P21" t="b">
        <v>1</v>
      </c>
      <c r="Q21" t="b">
        <v>1</v>
      </c>
      <c r="R21" t="b">
        <f>R14</f>
        <v>0</v>
      </c>
      <c r="S21" t="b">
        <v>1</v>
      </c>
      <c r="T21" t="b">
        <v>0</v>
      </c>
      <c r="W21" s="241"/>
      <c r="X21" s="36"/>
      <c r="Y21" s="396" t="str">
        <f>IF(LEN('Badges (Design)'!X21)=0,"None",'Badges (Design)'!X21)</f>
        <v>None</v>
      </c>
      <c r="AC21" t="b">
        <f>OR(AD21:AE21)</f>
        <v>0</v>
      </c>
      <c r="AD21" t="b">
        <f>T21</f>
        <v>0</v>
      </c>
      <c r="AE21" t="b">
        <f>AND(R21=TRUE,LEN(W21)=0)</f>
        <v>0</v>
      </c>
      <c r="AF21" t="b">
        <f>AND(AE21,NOT(Q21))</f>
        <v>0</v>
      </c>
      <c r="AP21" t="s">
        <v>5502</v>
      </c>
      <c r="AQ21" t="str">
        <f>IF(LEN(W21)=0,"",W21)</f>
        <v/>
      </c>
      <c r="AR21" t="s">
        <v>5529</v>
      </c>
      <c r="AS21" t="str">
        <f>IF(LEN(X21)=0,"",X21)</f>
        <v/>
      </c>
    </row>
    <row r="22" spans="3:51" x14ac:dyDescent="0.35">
      <c r="D22" s="857" t="s">
        <v>5358</v>
      </c>
      <c r="E22" s="857"/>
      <c r="F22" s="857"/>
      <c r="G22" s="857"/>
      <c r="H22" s="857"/>
      <c r="I22" s="857"/>
      <c r="J22" s="857"/>
      <c r="K22" s="857"/>
      <c r="L22" s="857"/>
      <c r="M22" s="857"/>
      <c r="O22"/>
      <c r="P22" t="b">
        <v>1</v>
      </c>
      <c r="Q22" t="b">
        <v>1</v>
      </c>
      <c r="R22" t="b">
        <f>R14</f>
        <v>0</v>
      </c>
      <c r="S22" t="b">
        <v>1</v>
      </c>
      <c r="T22" t="b">
        <v>0</v>
      </c>
      <c r="W22" s="241"/>
      <c r="X22" s="36"/>
      <c r="Y22" s="396" t="str">
        <f>IF(LEN('Badges (Design)'!X22)=0,"None",'Badges (Design)'!X22)</f>
        <v>None</v>
      </c>
      <c r="AC22" t="b">
        <f>OR(AD22:AE22)</f>
        <v>0</v>
      </c>
      <c r="AD22" t="b">
        <f>T22</f>
        <v>0</v>
      </c>
      <c r="AE22" t="b">
        <f>AND(R22=TRUE,LEN(W22)=0)</f>
        <v>0</v>
      </c>
      <c r="AF22" t="b">
        <f>AND(AE22,NOT(Q22))</f>
        <v>0</v>
      </c>
      <c r="AP22" t="s">
        <v>5503</v>
      </c>
      <c r="AQ22" t="str">
        <f>IF(LEN(W22)=0,"",W22)</f>
        <v/>
      </c>
      <c r="AR22" t="s">
        <v>5530</v>
      </c>
      <c r="AS22" t="str">
        <f>IF(LEN(X22)=0,"",X22)</f>
        <v/>
      </c>
    </row>
    <row r="23" spans="3:51" x14ac:dyDescent="0.35">
      <c r="D23" s="857" t="s">
        <v>5359</v>
      </c>
      <c r="E23" s="857"/>
      <c r="F23" s="857"/>
      <c r="G23" s="857"/>
      <c r="H23" s="857"/>
      <c r="I23" s="857"/>
      <c r="J23" s="857"/>
      <c r="K23" s="857"/>
      <c r="L23" s="857"/>
      <c r="M23" s="857"/>
      <c r="O23"/>
      <c r="P23" t="b">
        <v>1</v>
      </c>
      <c r="Q23" t="b">
        <v>1</v>
      </c>
      <c r="R23" t="b">
        <f>R14</f>
        <v>0</v>
      </c>
      <c r="S23" t="b">
        <v>1</v>
      </c>
      <c r="T23" t="b">
        <v>0</v>
      </c>
      <c r="W23" s="241"/>
      <c r="X23" s="36"/>
      <c r="Y23" s="396" t="str">
        <f>IF(LEN('Badges (Design)'!X23)=0,"None",'Badges (Design)'!X23)</f>
        <v>None</v>
      </c>
      <c r="AC23" t="b">
        <f>OR(AD23:AE23)</f>
        <v>0</v>
      </c>
      <c r="AD23" t="b">
        <f>T23</f>
        <v>0</v>
      </c>
      <c r="AE23" t="b">
        <f>AND(R23=TRUE,LEN(W23)=0)</f>
        <v>0</v>
      </c>
      <c r="AF23" t="b">
        <f>AND(AE23,NOT(Q23))</f>
        <v>0</v>
      </c>
      <c r="AP23" t="s">
        <v>5504</v>
      </c>
      <c r="AQ23" t="str">
        <f>IF(LEN(W23)=0,"",W23)</f>
        <v/>
      </c>
      <c r="AR23" t="s">
        <v>5531</v>
      </c>
      <c r="AS23" t="str">
        <f>IF(LEN(X23)=0,"",X23)</f>
        <v/>
      </c>
    </row>
    <row r="24" spans="3:51" x14ac:dyDescent="0.35">
      <c r="E24" s="857" t="s">
        <v>5360</v>
      </c>
      <c r="F24" s="857"/>
      <c r="G24" s="857"/>
      <c r="H24" s="857"/>
      <c r="I24" s="857"/>
      <c r="J24" s="857"/>
      <c r="K24" s="857"/>
      <c r="L24" s="857"/>
      <c r="M24" s="857"/>
      <c r="O24"/>
      <c r="R24" t="b">
        <f>R14</f>
        <v>0</v>
      </c>
      <c r="W24"/>
      <c r="X24" s="817"/>
      <c r="Y24" s="1100" t="str">
        <f>IF(LEN('Badges (Design)'!X24)=0,"None",'Badges (Design)'!X24)</f>
        <v>None</v>
      </c>
      <c r="AC24" t="b">
        <f>OR(AD24:AE24)</f>
        <v>0</v>
      </c>
      <c r="AE24" t="b">
        <f>AND(R24=TRUE,LEN(X24)=0)</f>
        <v>0</v>
      </c>
      <c r="AF24" t="b">
        <f>AND(AE24,NOT(Q24))</f>
        <v>0</v>
      </c>
      <c r="AR24" t="s">
        <v>5532</v>
      </c>
      <c r="AS24" t="str">
        <f>IF(LEN(X24)=0,"",X24)</f>
        <v/>
      </c>
    </row>
    <row r="25" spans="3:51" x14ac:dyDescent="0.35">
      <c r="O25"/>
      <c r="W25"/>
      <c r="X25" s="817"/>
      <c r="Y25" s="1100"/>
    </row>
    <row r="26" spans="3:51" x14ac:dyDescent="0.35">
      <c r="O26"/>
      <c r="W26"/>
    </row>
    <row r="27" spans="3:51" x14ac:dyDescent="0.35">
      <c r="D27" s="857" t="s">
        <v>5361</v>
      </c>
      <c r="E27" s="857"/>
      <c r="F27" s="857"/>
      <c r="G27" s="857"/>
      <c r="H27" s="857"/>
      <c r="I27" s="857"/>
      <c r="J27" s="857"/>
      <c r="K27" s="857"/>
      <c r="L27" s="857"/>
      <c r="M27" s="857"/>
      <c r="O27"/>
      <c r="R27" t="b">
        <f>R14</f>
        <v>0</v>
      </c>
      <c r="W27"/>
      <c r="X27" s="36"/>
      <c r="Y27" s="396" t="str">
        <f>IF(LEN('Badges (Design)'!X27)=0,"None",'Badges (Design)'!X27)</f>
        <v>None</v>
      </c>
      <c r="AC27" t="b">
        <f>OR(AD27:AE27)</f>
        <v>0</v>
      </c>
      <c r="AE27" t="b">
        <f>AND(R27=TRUE,LEN(X27)=0)</f>
        <v>0</v>
      </c>
      <c r="AF27" t="b">
        <f>AND(AE27,NOT(Q27))</f>
        <v>0</v>
      </c>
      <c r="AR27" t="s">
        <v>5533</v>
      </c>
      <c r="AS27" t="str">
        <f>IF(LEN(X27)=0,"",X27)</f>
        <v/>
      </c>
    </row>
    <row r="28" spans="3:51" x14ac:dyDescent="0.35">
      <c r="D28" s="857" t="s">
        <v>5362</v>
      </c>
      <c r="E28" s="857"/>
      <c r="F28" s="857"/>
      <c r="G28" s="857"/>
      <c r="H28" s="857"/>
      <c r="I28" s="857"/>
      <c r="J28" s="857"/>
      <c r="K28" s="857"/>
      <c r="L28" s="857"/>
      <c r="M28" s="857"/>
      <c r="O28"/>
      <c r="R28" t="b">
        <f>R14</f>
        <v>0</v>
      </c>
      <c r="W28"/>
      <c r="X28" s="36"/>
      <c r="Y28" s="396" t="str">
        <f>IF(LEN('Badges (Design)'!X28)=0,"None",'Badges (Design)'!X28)</f>
        <v>None</v>
      </c>
      <c r="AC28" t="b">
        <f>OR(AD28:AE28)</f>
        <v>0</v>
      </c>
      <c r="AE28" t="b">
        <f>AND(R28=TRUE,LEN(X28)=0)</f>
        <v>0</v>
      </c>
      <c r="AF28" t="b">
        <f>AND(AE28,NOT(Q28))</f>
        <v>0</v>
      </c>
      <c r="AR28" t="s">
        <v>5534</v>
      </c>
      <c r="AS28" t="str">
        <f>IF(LEN(X28)=0,"",X28)</f>
        <v/>
      </c>
    </row>
    <row r="29" spans="3:51" x14ac:dyDescent="0.35">
      <c r="D29" s="857" t="s">
        <v>5363</v>
      </c>
      <c r="E29" s="857"/>
      <c r="F29" s="857"/>
      <c r="G29" s="857"/>
      <c r="H29" s="857"/>
      <c r="I29" s="857"/>
      <c r="J29" s="857"/>
      <c r="K29" s="857"/>
      <c r="L29" s="857"/>
      <c r="M29" s="857"/>
      <c r="O29"/>
      <c r="R29" t="b">
        <f>R14</f>
        <v>0</v>
      </c>
      <c r="W29"/>
      <c r="X29" s="817"/>
      <c r="Y29" s="1100" t="str">
        <f>IF(LEN('Badges (Design)'!X29)=0,"None",'Badges (Design)'!X29)</f>
        <v>None</v>
      </c>
      <c r="AC29" t="b">
        <f>OR(AD29:AE29)</f>
        <v>0</v>
      </c>
      <c r="AE29" t="b">
        <f>AND(R29=TRUE,LEN(X29)=0)</f>
        <v>0</v>
      </c>
      <c r="AF29" t="b">
        <f>AND(AE29,NOT(Q29))</f>
        <v>0</v>
      </c>
      <c r="AR29" t="s">
        <v>5535</v>
      </c>
      <c r="AS29" t="str">
        <f>IF(LEN(X29)=0,"",X29)</f>
        <v/>
      </c>
    </row>
    <row r="30" spans="3:51" x14ac:dyDescent="0.35">
      <c r="O30"/>
      <c r="W30"/>
      <c r="X30" s="817"/>
      <c r="Y30" s="1100"/>
    </row>
    <row r="31" spans="3:51" x14ac:dyDescent="0.35">
      <c r="O31"/>
      <c r="W31"/>
      <c r="X31" s="817"/>
      <c r="Y31" s="1100"/>
    </row>
    <row r="32" spans="3:51" x14ac:dyDescent="0.35">
      <c r="C32" s="216" t="s">
        <v>5364</v>
      </c>
      <c r="O32"/>
      <c r="W32"/>
    </row>
    <row r="33" spans="3:45" x14ac:dyDescent="0.35">
      <c r="D33" s="857" t="s">
        <v>5399</v>
      </c>
      <c r="E33" s="857"/>
      <c r="F33" s="857"/>
      <c r="G33" s="857"/>
      <c r="H33" s="857"/>
      <c r="I33" s="857"/>
      <c r="J33" s="857"/>
      <c r="K33" s="857"/>
      <c r="L33" s="857"/>
      <c r="M33" s="857"/>
      <c r="O33"/>
      <c r="R33" t="b">
        <f>R14</f>
        <v>0</v>
      </c>
      <c r="W33"/>
      <c r="X33" s="36"/>
      <c r="Y33" s="396" t="str">
        <f>IF(LEN('Badges (Design)'!X33)=0,"None",'Badges (Design)'!X33)</f>
        <v>None</v>
      </c>
      <c r="AC33" t="b">
        <f>OR(AD33:AE33)</f>
        <v>0</v>
      </c>
      <c r="AE33" t="b">
        <f>AND(R33=TRUE,LEN(X33)=0)</f>
        <v>0</v>
      </c>
      <c r="AF33" t="b">
        <f>AND(AE33,NOT(Q33))</f>
        <v>0</v>
      </c>
      <c r="AR33" t="s">
        <v>5536</v>
      </c>
      <c r="AS33" t="str">
        <f>IF(LEN(X33)=0,"",X33)</f>
        <v/>
      </c>
    </row>
    <row r="34" spans="3:45" x14ac:dyDescent="0.35">
      <c r="D34" s="857" t="s">
        <v>5400</v>
      </c>
      <c r="E34" s="857"/>
      <c r="F34" s="857"/>
      <c r="G34" s="857"/>
      <c r="H34" s="857"/>
      <c r="I34" s="857"/>
      <c r="J34" s="857"/>
      <c r="K34" s="857"/>
      <c r="L34" s="857"/>
      <c r="M34" s="857"/>
      <c r="O34"/>
      <c r="R34" t="b">
        <f>R14</f>
        <v>0</v>
      </c>
      <c r="W34"/>
      <c r="X34" s="36"/>
      <c r="Y34" s="396" t="str">
        <f>IF(LEN('Badges (Design)'!X34)=0,"None",'Badges (Design)'!X34)</f>
        <v>None</v>
      </c>
      <c r="AC34" t="b">
        <f>OR(AD34:AE34)</f>
        <v>0</v>
      </c>
      <c r="AE34" t="b">
        <f>AND(R34=TRUE,LEN(X34)=0)</f>
        <v>0</v>
      </c>
      <c r="AF34" t="b">
        <f>AND(AE34,NOT(Q34))</f>
        <v>0</v>
      </c>
      <c r="AR34" t="s">
        <v>5537</v>
      </c>
      <c r="AS34" t="str">
        <f>IF(LEN(X34)=0,"",X34)</f>
        <v/>
      </c>
    </row>
    <row r="35" spans="3:45" x14ac:dyDescent="0.35">
      <c r="D35" s="857" t="s">
        <v>5401</v>
      </c>
      <c r="E35" s="857"/>
      <c r="F35" s="857"/>
      <c r="G35" s="857"/>
      <c r="H35" s="857"/>
      <c r="I35" s="857"/>
      <c r="J35" s="857"/>
      <c r="K35" s="857"/>
      <c r="L35" s="857"/>
      <c r="M35" s="857"/>
      <c r="O35"/>
      <c r="R35" t="b">
        <f>R14</f>
        <v>0</v>
      </c>
      <c r="W35"/>
      <c r="X35" s="36"/>
      <c r="Y35" s="396" t="str">
        <f>IF(LEN('Badges (Design)'!X35)=0,"None",'Badges (Design)'!X35)</f>
        <v>None</v>
      </c>
      <c r="AC35" t="b">
        <f>OR(AD35:AE35)</f>
        <v>0</v>
      </c>
      <c r="AE35" t="b">
        <f>AND(R35=TRUE,LEN(X35)=0)</f>
        <v>0</v>
      </c>
      <c r="AF35" t="b">
        <f>AND(AE35,NOT(Q35))</f>
        <v>0</v>
      </c>
      <c r="AR35" t="s">
        <v>5538</v>
      </c>
      <c r="AS35" t="str">
        <f>IF(LEN(X35)=0,"",X35)</f>
        <v/>
      </c>
    </row>
    <row r="36" spans="3:45" x14ac:dyDescent="0.35">
      <c r="E36" s="857" t="s">
        <v>5365</v>
      </c>
      <c r="F36" s="857"/>
      <c r="G36" s="857"/>
      <c r="H36" s="857"/>
      <c r="I36" s="857"/>
      <c r="J36" s="857"/>
      <c r="K36" s="857"/>
      <c r="L36" s="857"/>
      <c r="M36" s="857"/>
      <c r="O36"/>
      <c r="R36" t="b">
        <f>R14</f>
        <v>0</v>
      </c>
      <c r="W36"/>
      <c r="X36" s="36"/>
      <c r="Y36" s="396" t="str">
        <f>IF(LEN('Badges (Design)'!X36)=0,"None",'Badges (Design)'!X36)</f>
        <v>None</v>
      </c>
      <c r="AC36" t="b">
        <f>OR(AD36:AE36)</f>
        <v>0</v>
      </c>
      <c r="AE36" t="b">
        <f>AND(R36=TRUE,LEN(X36)=0)</f>
        <v>0</v>
      </c>
      <c r="AF36" t="b">
        <f>AND(AE36,NOT(Q36))</f>
        <v>0</v>
      </c>
      <c r="AR36" t="s">
        <v>5539</v>
      </c>
      <c r="AS36" t="str">
        <f>IF(LEN(X36)=0,"",X36)</f>
        <v/>
      </c>
    </row>
    <row r="37" spans="3:45" x14ac:dyDescent="0.35">
      <c r="O37"/>
      <c r="W37"/>
    </row>
    <row r="38" spans="3:45" x14ac:dyDescent="0.35">
      <c r="C38" s="216" t="s">
        <v>5366</v>
      </c>
      <c r="O38"/>
      <c r="W38"/>
    </row>
    <row r="39" spans="3:45" x14ac:dyDescent="0.35">
      <c r="D39" s="857" t="s">
        <v>5367</v>
      </c>
      <c r="E39" s="857"/>
      <c r="F39" s="857"/>
      <c r="G39" s="857"/>
      <c r="H39" s="857"/>
      <c r="I39" s="857"/>
      <c r="J39" s="857"/>
      <c r="K39" s="857"/>
      <c r="L39" s="857"/>
      <c r="M39" s="857"/>
      <c r="O39"/>
      <c r="P39" t="b">
        <v>1</v>
      </c>
      <c r="Q39" t="b">
        <v>1</v>
      </c>
      <c r="R39" t="b">
        <v>0</v>
      </c>
      <c r="S39" t="b">
        <v>1</v>
      </c>
      <c r="T39" t="b">
        <v>0</v>
      </c>
      <c r="W39" s="17"/>
      <c r="X39" s="36"/>
      <c r="Y39" s="396" t="str">
        <f>IF(LEN('Badges (Design)'!X39)=0,"None",'Badges (Design)'!X39)</f>
        <v>None</v>
      </c>
      <c r="AC39" t="b">
        <f t="shared" ref="AC39:AC50" si="0">OR(AD39:AE39)</f>
        <v>0</v>
      </c>
      <c r="AD39" t="b">
        <f t="shared" ref="AD39:AD49" si="1">T39</f>
        <v>0</v>
      </c>
      <c r="AE39" t="b">
        <f t="shared" ref="AE39:AE49" si="2">AND(W39=TRUE,LEN(X39)=0)</f>
        <v>0</v>
      </c>
      <c r="AF39" t="b">
        <f t="shared" ref="AF39:AF50" si="3">AND(AE39,NOT(Q39))</f>
        <v>0</v>
      </c>
      <c r="AP39" t="s">
        <v>5505</v>
      </c>
      <c r="AQ39" t="str">
        <f t="shared" ref="AQ39:AQ49" si="4">IF(LEN(W39)=0,"",W39)</f>
        <v/>
      </c>
      <c r="AR39" t="s">
        <v>5540</v>
      </c>
      <c r="AS39" t="str">
        <f t="shared" ref="AS39:AS50" si="5">IF(LEN(X39)=0,"",X39)</f>
        <v/>
      </c>
    </row>
    <row r="40" spans="3:45" x14ac:dyDescent="0.35">
      <c r="D40" s="857" t="s">
        <v>5380</v>
      </c>
      <c r="E40" s="857"/>
      <c r="F40" s="857"/>
      <c r="G40" s="857"/>
      <c r="H40" s="857"/>
      <c r="I40" s="857"/>
      <c r="J40" s="857"/>
      <c r="K40" s="857"/>
      <c r="L40" s="857"/>
      <c r="M40" s="857"/>
      <c r="O40"/>
      <c r="P40" t="b">
        <v>1</v>
      </c>
      <c r="Q40" t="b">
        <v>1</v>
      </c>
      <c r="R40" t="b">
        <v>0</v>
      </c>
      <c r="S40" t="b">
        <v>1</v>
      </c>
      <c r="T40" t="b">
        <v>0</v>
      </c>
      <c r="W40" s="17"/>
      <c r="X40" s="36"/>
      <c r="Y40" s="396" t="str">
        <f>IF(LEN('Badges (Design)'!X40)=0,"None",'Badges (Design)'!X40)</f>
        <v>None</v>
      </c>
      <c r="AC40" t="b">
        <f t="shared" si="0"/>
        <v>0</v>
      </c>
      <c r="AD40" t="b">
        <f t="shared" si="1"/>
        <v>0</v>
      </c>
      <c r="AE40" t="b">
        <f t="shared" si="2"/>
        <v>0</v>
      </c>
      <c r="AF40" t="b">
        <f t="shared" si="3"/>
        <v>0</v>
      </c>
      <c r="AP40" t="s">
        <v>5506</v>
      </c>
      <c r="AQ40" t="str">
        <f t="shared" si="4"/>
        <v/>
      </c>
      <c r="AR40" t="s">
        <v>5541</v>
      </c>
      <c r="AS40" t="str">
        <f t="shared" si="5"/>
        <v/>
      </c>
    </row>
    <row r="41" spans="3:45" x14ac:dyDescent="0.35">
      <c r="D41" s="857" t="s">
        <v>5368</v>
      </c>
      <c r="E41" s="857"/>
      <c r="F41" s="857"/>
      <c r="G41" s="857"/>
      <c r="H41" s="857"/>
      <c r="I41" s="857"/>
      <c r="J41" s="857"/>
      <c r="K41" s="857"/>
      <c r="L41" s="857"/>
      <c r="M41" s="857"/>
      <c r="O41"/>
      <c r="P41" t="b">
        <v>1</v>
      </c>
      <c r="Q41" t="b">
        <v>1</v>
      </c>
      <c r="R41" t="b">
        <v>0</v>
      </c>
      <c r="S41" t="b">
        <v>1</v>
      </c>
      <c r="T41" t="b">
        <v>0</v>
      </c>
      <c r="W41" s="17"/>
      <c r="X41" s="36"/>
      <c r="Y41" s="396" t="str">
        <f>IF(LEN('Badges (Design)'!X41)=0,"None",'Badges (Design)'!X41)</f>
        <v>None</v>
      </c>
      <c r="AC41" t="b">
        <f t="shared" si="0"/>
        <v>0</v>
      </c>
      <c r="AD41" t="b">
        <f t="shared" si="1"/>
        <v>0</v>
      </c>
      <c r="AE41" t="b">
        <f t="shared" si="2"/>
        <v>0</v>
      </c>
      <c r="AF41" t="b">
        <f t="shared" si="3"/>
        <v>0</v>
      </c>
      <c r="AP41" t="s">
        <v>5507</v>
      </c>
      <c r="AQ41" t="str">
        <f t="shared" si="4"/>
        <v/>
      </c>
      <c r="AR41" t="s">
        <v>5542</v>
      </c>
      <c r="AS41" t="str">
        <f t="shared" si="5"/>
        <v/>
      </c>
    </row>
    <row r="42" spans="3:45" x14ac:dyDescent="0.35">
      <c r="D42" s="857" t="s">
        <v>5369</v>
      </c>
      <c r="E42" s="857"/>
      <c r="F42" s="857"/>
      <c r="G42" s="857"/>
      <c r="H42" s="857"/>
      <c r="I42" s="857"/>
      <c r="J42" s="857"/>
      <c r="K42" s="857"/>
      <c r="L42" s="857"/>
      <c r="M42" s="857"/>
      <c r="O42"/>
      <c r="P42" t="b">
        <v>1</v>
      </c>
      <c r="Q42" t="b">
        <v>1</v>
      </c>
      <c r="R42" t="b">
        <v>0</v>
      </c>
      <c r="S42" t="b">
        <v>1</v>
      </c>
      <c r="T42" t="b">
        <v>0</v>
      </c>
      <c r="W42" s="17"/>
      <c r="X42" s="36"/>
      <c r="Y42" s="396" t="str">
        <f>IF(LEN('Badges (Design)'!X42)=0,"None",'Badges (Design)'!X42)</f>
        <v>None</v>
      </c>
      <c r="AC42" t="b">
        <f t="shared" si="0"/>
        <v>0</v>
      </c>
      <c r="AD42" t="b">
        <f t="shared" si="1"/>
        <v>0</v>
      </c>
      <c r="AE42" t="b">
        <f t="shared" si="2"/>
        <v>0</v>
      </c>
      <c r="AF42" t="b">
        <f t="shared" si="3"/>
        <v>0</v>
      </c>
      <c r="AP42" t="s">
        <v>5508</v>
      </c>
      <c r="AQ42" t="str">
        <f t="shared" si="4"/>
        <v/>
      </c>
      <c r="AR42" t="s">
        <v>5543</v>
      </c>
      <c r="AS42" t="str">
        <f t="shared" si="5"/>
        <v/>
      </c>
    </row>
    <row r="43" spans="3:45" x14ac:dyDescent="0.35">
      <c r="D43" s="857" t="s">
        <v>5370</v>
      </c>
      <c r="E43" s="857"/>
      <c r="F43" s="857"/>
      <c r="G43" s="857"/>
      <c r="H43" s="857"/>
      <c r="I43" s="857"/>
      <c r="J43" s="857"/>
      <c r="K43" s="857"/>
      <c r="L43" s="857"/>
      <c r="M43" s="857"/>
      <c r="O43"/>
      <c r="P43" t="b">
        <v>1</v>
      </c>
      <c r="Q43" t="b">
        <v>1</v>
      </c>
      <c r="R43" t="b">
        <v>0</v>
      </c>
      <c r="S43" t="b">
        <v>1</v>
      </c>
      <c r="T43" t="b">
        <v>0</v>
      </c>
      <c r="W43" s="17"/>
      <c r="X43" s="36"/>
      <c r="Y43" s="396" t="str">
        <f>IF(LEN('Badges (Design)'!X43)=0,"None",'Badges (Design)'!X43)</f>
        <v>None</v>
      </c>
      <c r="AC43" t="b">
        <f t="shared" si="0"/>
        <v>0</v>
      </c>
      <c r="AD43" t="b">
        <f t="shared" si="1"/>
        <v>0</v>
      </c>
      <c r="AE43" t="b">
        <f t="shared" si="2"/>
        <v>0</v>
      </c>
      <c r="AF43" t="b">
        <f t="shared" si="3"/>
        <v>0</v>
      </c>
      <c r="AP43" t="s">
        <v>5509</v>
      </c>
      <c r="AQ43" t="str">
        <f t="shared" si="4"/>
        <v/>
      </c>
      <c r="AR43" t="s">
        <v>5544</v>
      </c>
      <c r="AS43" t="str">
        <f t="shared" si="5"/>
        <v/>
      </c>
    </row>
    <row r="44" spans="3:45" x14ac:dyDescent="0.35">
      <c r="D44" s="857" t="s">
        <v>5371</v>
      </c>
      <c r="E44" s="857"/>
      <c r="F44" s="857"/>
      <c r="G44" s="857"/>
      <c r="H44" s="857"/>
      <c r="I44" s="857"/>
      <c r="J44" s="857"/>
      <c r="K44" s="857"/>
      <c r="L44" s="857"/>
      <c r="M44" s="857"/>
      <c r="O44"/>
      <c r="P44" t="b">
        <v>1</v>
      </c>
      <c r="Q44" t="b">
        <v>1</v>
      </c>
      <c r="R44" t="b">
        <v>0</v>
      </c>
      <c r="S44" t="b">
        <v>1</v>
      </c>
      <c r="T44" t="b">
        <v>0</v>
      </c>
      <c r="W44" s="17"/>
      <c r="X44" s="36"/>
      <c r="Y44" s="396" t="str">
        <f>IF(LEN('Badges (Design)'!X44)=0,"None",'Badges (Design)'!X44)</f>
        <v>None</v>
      </c>
      <c r="AC44" t="b">
        <f t="shared" si="0"/>
        <v>0</v>
      </c>
      <c r="AD44" t="b">
        <f t="shared" si="1"/>
        <v>0</v>
      </c>
      <c r="AE44" t="b">
        <f t="shared" si="2"/>
        <v>0</v>
      </c>
      <c r="AF44" t="b">
        <f t="shared" si="3"/>
        <v>0</v>
      </c>
      <c r="AP44" t="s">
        <v>5510</v>
      </c>
      <c r="AQ44" t="str">
        <f t="shared" si="4"/>
        <v/>
      </c>
      <c r="AR44" t="s">
        <v>5545</v>
      </c>
      <c r="AS44" t="str">
        <f t="shared" si="5"/>
        <v/>
      </c>
    </row>
    <row r="45" spans="3:45" x14ac:dyDescent="0.35">
      <c r="D45" s="857" t="s">
        <v>5372</v>
      </c>
      <c r="E45" s="857"/>
      <c r="F45" s="857"/>
      <c r="G45" s="857"/>
      <c r="H45" s="857"/>
      <c r="I45" s="857"/>
      <c r="J45" s="857"/>
      <c r="K45" s="857"/>
      <c r="L45" s="857"/>
      <c r="M45" s="857"/>
      <c r="O45"/>
      <c r="P45" t="b">
        <v>1</v>
      </c>
      <c r="Q45" t="b">
        <v>1</v>
      </c>
      <c r="R45" t="b">
        <v>0</v>
      </c>
      <c r="S45" t="b">
        <v>1</v>
      </c>
      <c r="T45" t="b">
        <v>0</v>
      </c>
      <c r="W45" s="17"/>
      <c r="X45" s="36"/>
      <c r="Y45" s="396" t="str">
        <f>IF(LEN('Badges (Design)'!X45)=0,"None",'Badges (Design)'!X45)</f>
        <v>None</v>
      </c>
      <c r="AC45" t="b">
        <f t="shared" si="0"/>
        <v>0</v>
      </c>
      <c r="AD45" t="b">
        <f t="shared" si="1"/>
        <v>0</v>
      </c>
      <c r="AE45" t="b">
        <f t="shared" si="2"/>
        <v>0</v>
      </c>
      <c r="AF45" t="b">
        <f t="shared" si="3"/>
        <v>0</v>
      </c>
      <c r="AP45" t="s">
        <v>5511</v>
      </c>
      <c r="AQ45" t="str">
        <f t="shared" si="4"/>
        <v/>
      </c>
      <c r="AR45" t="s">
        <v>5546</v>
      </c>
      <c r="AS45" t="str">
        <f t="shared" si="5"/>
        <v/>
      </c>
    </row>
    <row r="46" spans="3:45" x14ac:dyDescent="0.35">
      <c r="D46" s="857" t="s">
        <v>3798</v>
      </c>
      <c r="E46" s="857"/>
      <c r="F46" s="857"/>
      <c r="G46" s="857"/>
      <c r="H46" s="857"/>
      <c r="I46" s="857"/>
      <c r="J46" s="857"/>
      <c r="K46" s="857"/>
      <c r="L46" s="857"/>
      <c r="M46" s="857"/>
      <c r="O46"/>
      <c r="P46" t="b">
        <v>1</v>
      </c>
      <c r="Q46" t="b">
        <v>1</v>
      </c>
      <c r="R46" t="b">
        <v>0</v>
      </c>
      <c r="S46" t="b">
        <v>1</v>
      </c>
      <c r="T46" t="b">
        <v>0</v>
      </c>
      <c r="W46" s="17"/>
      <c r="X46" s="36"/>
      <c r="Y46" s="396" t="str">
        <f>IF(LEN('Badges (Design)'!X46)=0,"None",'Badges (Design)'!X46)</f>
        <v>None</v>
      </c>
      <c r="AC46" t="b">
        <f t="shared" si="0"/>
        <v>0</v>
      </c>
      <c r="AD46" t="b">
        <f t="shared" si="1"/>
        <v>0</v>
      </c>
      <c r="AE46" t="b">
        <f t="shared" si="2"/>
        <v>0</v>
      </c>
      <c r="AF46" t="b">
        <f t="shared" si="3"/>
        <v>0</v>
      </c>
      <c r="AP46" t="s">
        <v>5512</v>
      </c>
      <c r="AQ46" t="str">
        <f t="shared" si="4"/>
        <v/>
      </c>
      <c r="AR46" t="s">
        <v>5547</v>
      </c>
      <c r="AS46" t="str">
        <f t="shared" si="5"/>
        <v/>
      </c>
    </row>
    <row r="47" spans="3:45" x14ac:dyDescent="0.35">
      <c r="D47" s="857" t="s">
        <v>5373</v>
      </c>
      <c r="E47" s="857"/>
      <c r="F47" s="857"/>
      <c r="G47" s="857"/>
      <c r="H47" s="857"/>
      <c r="I47" s="857"/>
      <c r="J47" s="857"/>
      <c r="K47" s="857"/>
      <c r="L47" s="857"/>
      <c r="M47" s="857"/>
      <c r="O47"/>
      <c r="P47" t="b">
        <v>1</v>
      </c>
      <c r="Q47" t="b">
        <v>1</v>
      </c>
      <c r="R47" t="b">
        <v>0</v>
      </c>
      <c r="S47" t="b">
        <v>1</v>
      </c>
      <c r="T47" t="b">
        <v>0</v>
      </c>
      <c r="W47" s="17"/>
      <c r="X47" s="36"/>
      <c r="Y47" s="396" t="str">
        <f>IF(LEN('Badges (Design)'!X47)=0,"None",'Badges (Design)'!X47)</f>
        <v>None</v>
      </c>
      <c r="AC47" t="b">
        <f t="shared" si="0"/>
        <v>0</v>
      </c>
      <c r="AD47" t="b">
        <f t="shared" si="1"/>
        <v>0</v>
      </c>
      <c r="AE47" t="b">
        <f t="shared" si="2"/>
        <v>0</v>
      </c>
      <c r="AF47" t="b">
        <f t="shared" si="3"/>
        <v>0</v>
      </c>
      <c r="AP47" t="s">
        <v>5513</v>
      </c>
      <c r="AQ47" t="str">
        <f t="shared" si="4"/>
        <v/>
      </c>
      <c r="AR47" t="s">
        <v>5548</v>
      </c>
      <c r="AS47" t="str">
        <f t="shared" si="5"/>
        <v/>
      </c>
    </row>
    <row r="48" spans="3:45" x14ac:dyDescent="0.35">
      <c r="D48" s="857" t="s">
        <v>5374</v>
      </c>
      <c r="E48" s="857"/>
      <c r="F48" s="857"/>
      <c r="G48" s="857"/>
      <c r="H48" s="857"/>
      <c r="I48" s="857"/>
      <c r="J48" s="857"/>
      <c r="K48" s="857"/>
      <c r="L48" s="857"/>
      <c r="M48" s="857"/>
      <c r="O48"/>
      <c r="P48" t="b">
        <v>1</v>
      </c>
      <c r="Q48" t="b">
        <v>1</v>
      </c>
      <c r="R48" t="b">
        <v>0</v>
      </c>
      <c r="S48" t="b">
        <v>1</v>
      </c>
      <c r="T48" t="b">
        <v>0</v>
      </c>
      <c r="W48" s="17"/>
      <c r="X48" s="36"/>
      <c r="Y48" s="396" t="str">
        <f>IF(LEN('Badges (Design)'!X48)=0,"None",'Badges (Design)'!X48)</f>
        <v>None</v>
      </c>
      <c r="AC48" t="b">
        <f t="shared" si="0"/>
        <v>0</v>
      </c>
      <c r="AD48" t="b">
        <f t="shared" si="1"/>
        <v>0</v>
      </c>
      <c r="AE48" t="b">
        <f t="shared" si="2"/>
        <v>0</v>
      </c>
      <c r="AF48" t="b">
        <f t="shared" si="3"/>
        <v>0</v>
      </c>
      <c r="AP48" t="s">
        <v>5514</v>
      </c>
      <c r="AQ48" t="str">
        <f t="shared" si="4"/>
        <v/>
      </c>
      <c r="AR48" t="s">
        <v>5549</v>
      </c>
      <c r="AS48" t="str">
        <f t="shared" si="5"/>
        <v/>
      </c>
    </row>
    <row r="49" spans="3:45" x14ac:dyDescent="0.35">
      <c r="D49" s="857" t="s">
        <v>204</v>
      </c>
      <c r="E49" s="857"/>
      <c r="F49" s="857"/>
      <c r="G49" s="857"/>
      <c r="H49" s="857"/>
      <c r="I49" s="857"/>
      <c r="J49" s="857"/>
      <c r="K49" s="857"/>
      <c r="L49" s="857"/>
      <c r="M49" s="857"/>
      <c r="O49"/>
      <c r="P49" t="b">
        <v>1</v>
      </c>
      <c r="Q49" t="b">
        <v>1</v>
      </c>
      <c r="R49" t="b">
        <v>0</v>
      </c>
      <c r="S49" t="b">
        <v>1</v>
      </c>
      <c r="T49" t="b">
        <v>0</v>
      </c>
      <c r="W49" s="17"/>
      <c r="X49" s="36"/>
      <c r="Y49" s="396" t="str">
        <f>IF(LEN('Badges (Design)'!X49)=0,"None",'Badges (Design)'!X49)</f>
        <v>None</v>
      </c>
      <c r="AC49" t="b">
        <f t="shared" si="0"/>
        <v>0</v>
      </c>
      <c r="AD49" t="b">
        <f t="shared" si="1"/>
        <v>0</v>
      </c>
      <c r="AE49" t="b">
        <f t="shared" si="2"/>
        <v>0</v>
      </c>
      <c r="AF49" t="b">
        <f t="shared" si="3"/>
        <v>0</v>
      </c>
      <c r="AP49" t="s">
        <v>5515</v>
      </c>
      <c r="AQ49" t="str">
        <f t="shared" si="4"/>
        <v/>
      </c>
      <c r="AR49" t="s">
        <v>5550</v>
      </c>
      <c r="AS49" t="str">
        <f t="shared" si="5"/>
        <v/>
      </c>
    </row>
    <row r="50" spans="3:45" x14ac:dyDescent="0.35">
      <c r="E50" s="1017" t="s">
        <v>5375</v>
      </c>
      <c r="F50" s="1017"/>
      <c r="G50" s="1017"/>
      <c r="H50" s="1017"/>
      <c r="I50" s="1017"/>
      <c r="J50" s="1017"/>
      <c r="K50" s="1017"/>
      <c r="L50" s="1017"/>
      <c r="M50" s="1017"/>
      <c r="O50"/>
      <c r="R50" t="b">
        <f>R14</f>
        <v>0</v>
      </c>
      <c r="W50"/>
      <c r="X50" s="817"/>
      <c r="Y50" s="1100" t="str">
        <f>IF(LEN('Badges (Design)'!X50)=0,"None",'Badges (Design)'!X50)</f>
        <v>None</v>
      </c>
      <c r="AC50" t="b">
        <f t="shared" si="0"/>
        <v>0</v>
      </c>
      <c r="AE50" t="b">
        <f>AND(R50=TRUE,LEN(X50)=0)</f>
        <v>0</v>
      </c>
      <c r="AF50" t="b">
        <f t="shared" si="3"/>
        <v>0</v>
      </c>
      <c r="AR50" t="s">
        <v>5551</v>
      </c>
      <c r="AS50" t="str">
        <f t="shared" si="5"/>
        <v/>
      </c>
    </row>
    <row r="51" spans="3:45" x14ac:dyDescent="0.35">
      <c r="O51"/>
      <c r="W51"/>
      <c r="X51" s="817"/>
      <c r="Y51" s="1100"/>
    </row>
    <row r="52" spans="3:45" x14ac:dyDescent="0.35">
      <c r="O52"/>
      <c r="W52"/>
    </row>
    <row r="53" spans="3:45" x14ac:dyDescent="0.35">
      <c r="C53" s="216" t="s">
        <v>5376</v>
      </c>
      <c r="O53"/>
      <c r="W53"/>
    </row>
    <row r="54" spans="3:45" x14ac:dyDescent="0.35">
      <c r="D54" s="857" t="s">
        <v>5377</v>
      </c>
      <c r="E54" s="857"/>
      <c r="F54" s="857"/>
      <c r="G54" s="857"/>
      <c r="H54" s="857"/>
      <c r="I54" s="857"/>
      <c r="J54" s="857"/>
      <c r="K54" s="857"/>
      <c r="L54" s="857"/>
      <c r="M54" s="857"/>
      <c r="O54"/>
      <c r="P54" t="b">
        <v>1</v>
      </c>
      <c r="Q54" t="b">
        <v>1</v>
      </c>
      <c r="R54" t="b">
        <f>R14</f>
        <v>0</v>
      </c>
      <c r="S54" t="b">
        <f>NOT(W55=TRUE)</f>
        <v>1</v>
      </c>
      <c r="T54" t="b">
        <v>0</v>
      </c>
      <c r="W54" s="17"/>
      <c r="X54" s="36"/>
      <c r="Y54" s="396" t="str">
        <f>IF(LEN('Badges (Design)'!X54)=0,"None",'Badges (Design)'!X54)</f>
        <v>None</v>
      </c>
      <c r="AC54" t="b">
        <f>OR(AD54:AE54)</f>
        <v>0</v>
      </c>
      <c r="AD54" t="b">
        <f>T54</f>
        <v>0</v>
      </c>
      <c r="AE54" t="b">
        <f>AND(R54=TRUE,LEN(W54)=0)</f>
        <v>0</v>
      </c>
      <c r="AF54" t="b">
        <f>AND(AE54,NOT(Q54))</f>
        <v>0</v>
      </c>
      <c r="AP54" t="s">
        <v>5516</v>
      </c>
      <c r="AQ54" t="str">
        <f>IF(LEN(W54)=0,"",W54)</f>
        <v/>
      </c>
      <c r="AR54" t="s">
        <v>5552</v>
      </c>
      <c r="AS54" t="str">
        <f>IF(LEN(X54)=0,"",X54)</f>
        <v/>
      </c>
    </row>
    <row r="55" spans="3:45" x14ac:dyDescent="0.35">
      <c r="D55" s="857" t="s">
        <v>5378</v>
      </c>
      <c r="E55" s="857"/>
      <c r="F55" s="857"/>
      <c r="G55" s="857"/>
      <c r="H55" s="857"/>
      <c r="I55" s="857"/>
      <c r="J55" s="857"/>
      <c r="K55" s="857"/>
      <c r="L55" s="857"/>
      <c r="M55" s="857"/>
      <c r="O55"/>
      <c r="P55" t="b">
        <v>1</v>
      </c>
      <c r="Q55" t="b">
        <v>1</v>
      </c>
      <c r="R55" t="b">
        <f>R14</f>
        <v>0</v>
      </c>
      <c r="S55" t="b">
        <f>NOT(W54=TRUE)</f>
        <v>1</v>
      </c>
      <c r="T55" t="b">
        <v>0</v>
      </c>
      <c r="W55" s="17"/>
      <c r="X55" s="36"/>
      <c r="Y55" s="396" t="str">
        <f>IF(LEN('Badges (Design)'!X55)=0,"None",'Badges (Design)'!X55)</f>
        <v>None</v>
      </c>
      <c r="AC55" t="b">
        <f>OR(AD55:AE55)</f>
        <v>0</v>
      </c>
      <c r="AD55" t="b">
        <f>T55</f>
        <v>0</v>
      </c>
      <c r="AE55" t="b">
        <f>AND(R55=TRUE,LEN(W55)=0)</f>
        <v>0</v>
      </c>
      <c r="AF55" t="b">
        <f>AND(AE55,NOT(Q55))</f>
        <v>0</v>
      </c>
      <c r="AP55" t="s">
        <v>5517</v>
      </c>
      <c r="AQ55" t="str">
        <f>IF(LEN(W55)=0,"",W55)</f>
        <v/>
      </c>
      <c r="AR55" t="s">
        <v>5553</v>
      </c>
      <c r="AS55" t="str">
        <f>IF(LEN(X55)=0,"",X55)</f>
        <v/>
      </c>
    </row>
    <row r="56" spans="3:45" x14ac:dyDescent="0.35">
      <c r="O56"/>
      <c r="W56"/>
    </row>
    <row r="57" spans="3:45" x14ac:dyDescent="0.35">
      <c r="C57" s="216" t="s">
        <v>5379</v>
      </c>
      <c r="O57"/>
      <c r="W57"/>
    </row>
    <row r="58" spans="3:45" x14ac:dyDescent="0.35">
      <c r="D58" s="857" t="s">
        <v>5402</v>
      </c>
      <c r="E58" s="857"/>
      <c r="F58" s="857"/>
      <c r="G58" s="857"/>
      <c r="H58" s="857"/>
      <c r="I58" s="857"/>
      <c r="J58" s="857"/>
      <c r="K58" s="857"/>
      <c r="L58" s="857"/>
      <c r="M58" s="857"/>
      <c r="O58"/>
      <c r="R58" t="b">
        <f>R14</f>
        <v>0</v>
      </c>
      <c r="W58"/>
      <c r="X58" s="817"/>
      <c r="Y58" s="1100" t="str">
        <f>IF(LEN('Badges (Design)'!X58)=0,"None",'Badges (Design)'!X58)</f>
        <v>None</v>
      </c>
      <c r="AC58" t="b">
        <f>OR(AD58:AE58)</f>
        <v>0</v>
      </c>
      <c r="AE58" t="b">
        <f>AND(R58=TRUE,LEN(X58)=0)</f>
        <v>0</v>
      </c>
      <c r="AF58" t="b">
        <f>AND(AE58,NOT(Q58))</f>
        <v>0</v>
      </c>
      <c r="AR58" t="s">
        <v>5554</v>
      </c>
      <c r="AS58" t="str">
        <f>IF(LEN(X58)=0,"",X58)</f>
        <v/>
      </c>
    </row>
    <row r="59" spans="3:45" x14ac:dyDescent="0.35">
      <c r="O59"/>
      <c r="W59"/>
      <c r="X59" s="817"/>
      <c r="Y59" s="1100"/>
    </row>
    <row r="60" spans="3:45" x14ac:dyDescent="0.35">
      <c r="O60"/>
      <c r="W60"/>
    </row>
    <row r="61" spans="3:45" x14ac:dyDescent="0.35">
      <c r="O61"/>
      <c r="W61"/>
    </row>
    <row r="62" spans="3:45" x14ac:dyDescent="0.35">
      <c r="C62" s="216" t="s">
        <v>5381</v>
      </c>
      <c r="O62"/>
      <c r="W62"/>
    </row>
    <row r="63" spans="3:45" ht="15" customHeight="1" x14ac:dyDescent="0.35">
      <c r="D63" s="760" t="s">
        <v>5382</v>
      </c>
      <c r="E63" s="760"/>
      <c r="F63" s="760"/>
      <c r="G63" s="760"/>
      <c r="H63" s="760"/>
      <c r="I63" s="760"/>
      <c r="J63" s="760"/>
      <c r="K63" s="760"/>
      <c r="L63" s="760"/>
      <c r="M63" s="760"/>
      <c r="N63" s="565"/>
      <c r="O63" s="565"/>
      <c r="W63"/>
    </row>
    <row r="64" spans="3:45" x14ac:dyDescent="0.35">
      <c r="D64" s="760"/>
      <c r="E64" s="760"/>
      <c r="F64" s="760"/>
      <c r="G64" s="760"/>
      <c r="H64" s="760"/>
      <c r="I64" s="760"/>
      <c r="J64" s="760"/>
      <c r="K64" s="760"/>
      <c r="L64" s="760"/>
      <c r="M64" s="760"/>
      <c r="N64" s="565"/>
      <c r="O64" s="565"/>
      <c r="W64"/>
    </row>
    <row r="65" spans="4:45" x14ac:dyDescent="0.35">
      <c r="D65" s="760"/>
      <c r="E65" s="760"/>
      <c r="F65" s="760"/>
      <c r="G65" s="760"/>
      <c r="H65" s="760"/>
      <c r="I65" s="760"/>
      <c r="J65" s="760"/>
      <c r="K65" s="760"/>
      <c r="L65" s="760"/>
      <c r="M65" s="760"/>
      <c r="O65"/>
      <c r="W65"/>
    </row>
    <row r="66" spans="4:45" x14ac:dyDescent="0.35">
      <c r="D66" s="1023" t="s">
        <v>5383</v>
      </c>
      <c r="E66" s="1023"/>
      <c r="F66" s="1023"/>
      <c r="G66" s="1023"/>
      <c r="H66" s="1023"/>
      <c r="I66" s="1023"/>
      <c r="J66" s="1023"/>
      <c r="K66" s="1023"/>
      <c r="L66" s="1023"/>
      <c r="M66" s="1023"/>
      <c r="O66"/>
      <c r="W66"/>
      <c r="X66" s="817"/>
      <c r="Y66" s="1100" t="str">
        <f>IF(LEN('Badges (Design)'!X66)=0,"None",'Badges (Design)'!X66)</f>
        <v>None</v>
      </c>
      <c r="AR66" t="s">
        <v>5555</v>
      </c>
      <c r="AS66" t="str">
        <f>IF(LEN(X66)=0,"",X66)</f>
        <v/>
      </c>
    </row>
    <row r="67" spans="4:45" x14ac:dyDescent="0.35">
      <c r="D67" s="1023"/>
      <c r="E67" s="1023"/>
      <c r="F67" s="1023"/>
      <c r="G67" s="1023"/>
      <c r="H67" s="1023"/>
      <c r="I67" s="1023"/>
      <c r="J67" s="1023"/>
      <c r="K67" s="1023"/>
      <c r="L67" s="1023"/>
      <c r="M67" s="1023"/>
      <c r="O67"/>
      <c r="W67"/>
      <c r="X67" s="817"/>
      <c r="Y67" s="1100"/>
    </row>
    <row r="68" spans="4:45" ht="15" customHeight="1" x14ac:dyDescent="0.35">
      <c r="D68" s="1024" t="s">
        <v>5744</v>
      </c>
      <c r="E68" s="1024"/>
      <c r="F68" s="1024"/>
      <c r="G68" s="1024"/>
      <c r="H68" s="1024"/>
      <c r="I68" s="1024"/>
      <c r="J68" s="1024"/>
      <c r="K68" s="1024"/>
      <c r="L68" s="1024"/>
      <c r="M68" s="1024"/>
      <c r="O68"/>
      <c r="W68"/>
    </row>
    <row r="69" spans="4:45" ht="15" customHeight="1" x14ac:dyDescent="0.35">
      <c r="D69" s="857" t="s">
        <v>5753</v>
      </c>
      <c r="E69" s="857"/>
      <c r="F69" s="857"/>
      <c r="G69" s="857"/>
      <c r="H69" s="857"/>
      <c r="I69" s="857"/>
      <c r="J69" s="857"/>
      <c r="K69" s="857"/>
      <c r="L69" s="857"/>
      <c r="M69" s="857"/>
      <c r="O69"/>
      <c r="P69" t="b">
        <v>1</v>
      </c>
      <c r="Q69" t="b">
        <v>1</v>
      </c>
      <c r="R69" t="b">
        <v>0</v>
      </c>
      <c r="S69" t="b">
        <v>1</v>
      </c>
      <c r="T69" t="b">
        <v>0</v>
      </c>
      <c r="W69" s="476"/>
      <c r="X69" s="817"/>
      <c r="Y69" s="1100" t="str">
        <f>IF(LEN('Badges (Design)'!X69)=0,"None",'Badges (Design)'!X69)</f>
        <v>None</v>
      </c>
      <c r="AP69" t="s">
        <v>5779</v>
      </c>
      <c r="AQ69" t="str">
        <f>IF(LEN(W69)=0,"",W69)</f>
        <v/>
      </c>
      <c r="AR69" t="s">
        <v>5790</v>
      </c>
      <c r="AS69" t="str">
        <f>IF(LEN(X69)=0,"",X69)</f>
        <v/>
      </c>
    </row>
    <row r="70" spans="4:45" ht="15" customHeight="1" x14ac:dyDescent="0.35">
      <c r="D70" s="857" t="s">
        <v>5755</v>
      </c>
      <c r="E70" s="857"/>
      <c r="F70" s="857"/>
      <c r="G70" s="857"/>
      <c r="H70" s="857"/>
      <c r="I70" s="857"/>
      <c r="J70" s="857"/>
      <c r="K70" s="857"/>
      <c r="L70" s="857"/>
      <c r="M70" s="857"/>
      <c r="O70"/>
      <c r="P70" t="b">
        <v>1</v>
      </c>
      <c r="Q70" t="b">
        <v>1</v>
      </c>
      <c r="R70" t="b">
        <v>0</v>
      </c>
      <c r="S70" t="b">
        <v>1</v>
      </c>
      <c r="T70" t="b">
        <v>0</v>
      </c>
      <c r="W70" s="670"/>
      <c r="X70" s="817"/>
      <c r="Y70" s="1100"/>
      <c r="AP70" t="s">
        <v>5780</v>
      </c>
      <c r="AQ70" t="str">
        <f t="shared" ref="AQ70:AQ73" si="6">IF(LEN(W70)=0,"",W70)</f>
        <v/>
      </c>
    </row>
    <row r="71" spans="4:45" ht="15" customHeight="1" x14ac:dyDescent="0.35">
      <c r="D71" s="1028" t="s">
        <v>5756</v>
      </c>
      <c r="E71" s="1029"/>
      <c r="F71" s="1029"/>
      <c r="G71" s="1029"/>
      <c r="H71" s="1029"/>
      <c r="I71" s="1029"/>
      <c r="J71" s="1029"/>
      <c r="K71" s="1029"/>
      <c r="L71" s="1029"/>
      <c r="M71" s="1030"/>
      <c r="O71"/>
      <c r="P71" t="b">
        <v>1</v>
      </c>
      <c r="Q71" t="b">
        <v>1</v>
      </c>
      <c r="R71" t="b">
        <v>0</v>
      </c>
      <c r="S71" t="b">
        <v>1</v>
      </c>
      <c r="T71" t="b">
        <v>0</v>
      </c>
      <c r="W71" s="299"/>
      <c r="X71" s="817"/>
      <c r="Y71" s="1100"/>
      <c r="AP71" t="s">
        <v>5781</v>
      </c>
      <c r="AQ71" t="str">
        <f t="shared" si="6"/>
        <v/>
      </c>
    </row>
    <row r="72" spans="4:45" ht="15" customHeight="1" x14ac:dyDescent="0.35">
      <c r="D72" s="857" t="s">
        <v>5745</v>
      </c>
      <c r="E72" s="857"/>
      <c r="F72" s="857"/>
      <c r="G72" s="857"/>
      <c r="H72" s="857"/>
      <c r="I72" s="857"/>
      <c r="J72" s="857"/>
      <c r="K72" s="857"/>
      <c r="L72" s="857"/>
      <c r="M72" s="857"/>
      <c r="O72"/>
      <c r="P72" t="b">
        <v>1</v>
      </c>
      <c r="Q72" t="b">
        <v>1</v>
      </c>
      <c r="R72" t="b">
        <v>0</v>
      </c>
      <c r="S72" t="b">
        <v>1</v>
      </c>
      <c r="T72" t="b">
        <v>0</v>
      </c>
      <c r="W72" s="669"/>
      <c r="X72" s="817"/>
      <c r="Y72" s="1100"/>
      <c r="AP72" t="s">
        <v>5782</v>
      </c>
      <c r="AQ72" t="str">
        <f t="shared" si="6"/>
        <v/>
      </c>
    </row>
    <row r="73" spans="4:45" ht="15" customHeight="1" x14ac:dyDescent="0.35">
      <c r="D73" s="857" t="s">
        <v>5746</v>
      </c>
      <c r="E73" s="857"/>
      <c r="F73" s="857"/>
      <c r="G73" s="857"/>
      <c r="H73" s="857"/>
      <c r="I73" s="857"/>
      <c r="J73" s="857"/>
      <c r="K73" s="857"/>
      <c r="L73" s="857"/>
      <c r="M73" s="857"/>
      <c r="O73"/>
      <c r="P73" t="b">
        <v>1</v>
      </c>
      <c r="Q73" t="b">
        <v>1</v>
      </c>
      <c r="R73" t="b">
        <v>0</v>
      </c>
      <c r="S73" t="b">
        <v>1</v>
      </c>
      <c r="T73" t="b">
        <v>0</v>
      </c>
      <c r="W73" s="674"/>
      <c r="X73" s="817"/>
      <c r="Y73" s="1100"/>
      <c r="AP73" t="s">
        <v>5783</v>
      </c>
      <c r="AQ73" t="str">
        <f t="shared" si="6"/>
        <v/>
      </c>
    </row>
    <row r="74" spans="4:45" ht="15" customHeight="1" x14ac:dyDescent="0.35">
      <c r="D74" s="1023" t="s">
        <v>5384</v>
      </c>
      <c r="E74" s="1023"/>
      <c r="F74" s="1023"/>
      <c r="G74" s="1023"/>
      <c r="H74" s="1023"/>
      <c r="I74" s="1023"/>
      <c r="J74" s="1023"/>
      <c r="K74" s="1023"/>
      <c r="L74" s="1023"/>
      <c r="M74" s="1023"/>
      <c r="O74"/>
      <c r="W74"/>
      <c r="X74" s="817"/>
      <c r="Y74" s="1100" t="str">
        <f>IF(LEN('Badges (Design)'!X74)=0,"None",'Badges (Design)'!X74)</f>
        <v>None</v>
      </c>
      <c r="AR74" t="s">
        <v>5556</v>
      </c>
      <c r="AS74" t="str">
        <f>IF(LEN(X74)=0,"",X74)</f>
        <v/>
      </c>
    </row>
    <row r="75" spans="4:45" ht="15" customHeight="1" x14ac:dyDescent="0.35">
      <c r="D75" s="1023"/>
      <c r="E75" s="1023"/>
      <c r="F75" s="1023"/>
      <c r="G75" s="1023"/>
      <c r="H75" s="1023"/>
      <c r="I75" s="1023"/>
      <c r="J75" s="1023"/>
      <c r="K75" s="1023"/>
      <c r="L75" s="1023"/>
      <c r="M75" s="1023"/>
      <c r="O75"/>
      <c r="W75"/>
      <c r="X75" s="817"/>
      <c r="Y75" s="1100"/>
    </row>
    <row r="76" spans="4:45" ht="15" customHeight="1" x14ac:dyDescent="0.35">
      <c r="D76" s="1023"/>
      <c r="E76" s="1023"/>
      <c r="F76" s="1023"/>
      <c r="G76" s="1023"/>
      <c r="H76" s="1023"/>
      <c r="I76" s="1023"/>
      <c r="J76" s="1023"/>
      <c r="K76" s="1023"/>
      <c r="L76" s="1023"/>
      <c r="M76" s="1023"/>
      <c r="O76"/>
      <c r="W76"/>
      <c r="X76" s="817"/>
      <c r="Y76" s="1100"/>
    </row>
    <row r="77" spans="4:45" ht="15" customHeight="1" x14ac:dyDescent="0.35">
      <c r="D77" s="1023" t="s">
        <v>5385</v>
      </c>
      <c r="E77" s="1023"/>
      <c r="F77" s="1023"/>
      <c r="G77" s="1023"/>
      <c r="H77" s="1023"/>
      <c r="I77" s="1023"/>
      <c r="J77" s="1023"/>
      <c r="K77" s="1023"/>
      <c r="L77" s="1023"/>
      <c r="M77" s="1023"/>
      <c r="O77"/>
      <c r="W77"/>
      <c r="X77" s="817"/>
      <c r="Y77" s="1100" t="str">
        <f>IF(LEN('Badges (Design)'!X77)=0,"None",'Badges (Design)'!X77)</f>
        <v>None</v>
      </c>
      <c r="AR77" t="s">
        <v>5557</v>
      </c>
      <c r="AS77" t="str">
        <f>IF(LEN(X77)=0,"",X77)</f>
        <v/>
      </c>
    </row>
    <row r="78" spans="4:45" ht="15" customHeight="1" x14ac:dyDescent="0.35">
      <c r="D78" s="1023"/>
      <c r="E78" s="1023"/>
      <c r="F78" s="1023"/>
      <c r="G78" s="1023"/>
      <c r="H78" s="1023"/>
      <c r="I78" s="1023"/>
      <c r="J78" s="1023"/>
      <c r="K78" s="1023"/>
      <c r="L78" s="1023"/>
      <c r="M78" s="1023"/>
      <c r="O78"/>
      <c r="W78"/>
      <c r="X78" s="817"/>
      <c r="Y78" s="1100"/>
    </row>
    <row r="79" spans="4:45" ht="15" customHeight="1" x14ac:dyDescent="0.35">
      <c r="D79" s="1025" t="s">
        <v>5747</v>
      </c>
      <c r="E79" s="1026"/>
      <c r="F79" s="1026"/>
      <c r="G79" s="1026"/>
      <c r="H79" s="1026"/>
      <c r="I79" s="1026"/>
      <c r="J79" s="1026"/>
      <c r="K79" s="1026"/>
      <c r="L79" s="1026"/>
      <c r="M79" s="1027"/>
      <c r="O79"/>
      <c r="W79"/>
    </row>
    <row r="80" spans="4:45" ht="15" customHeight="1" x14ac:dyDescent="0.35">
      <c r="D80" s="1028" t="s">
        <v>5748</v>
      </c>
      <c r="E80" s="1029"/>
      <c r="F80" s="1029"/>
      <c r="G80" s="1029"/>
      <c r="H80" s="1029"/>
      <c r="I80" s="1029"/>
      <c r="J80" s="1029"/>
      <c r="K80" s="1029"/>
      <c r="L80" s="1029"/>
      <c r="M80" s="1030"/>
      <c r="O80"/>
      <c r="P80" t="b">
        <v>1</v>
      </c>
      <c r="Q80" t="b">
        <v>1</v>
      </c>
      <c r="R80" t="b">
        <v>0</v>
      </c>
      <c r="S80" t="b">
        <v>1</v>
      </c>
      <c r="T80" t="b">
        <v>0</v>
      </c>
      <c r="W80" s="671"/>
      <c r="X80" s="817"/>
      <c r="Y80" s="1100" t="str">
        <f>IF(LEN('Badges (Design)'!X80)=0,"None",'Badges (Design)'!X80)</f>
        <v>None</v>
      </c>
      <c r="AP80" t="s">
        <v>5784</v>
      </c>
      <c r="AQ80" t="str">
        <f>IF(LEN(W80)=0,"",W80)</f>
        <v/>
      </c>
      <c r="AR80" t="s">
        <v>5791</v>
      </c>
      <c r="AS80" t="str">
        <f>IF(LEN(X80)=0,"",X80)</f>
        <v/>
      </c>
    </row>
    <row r="81" spans="2:43" ht="15" customHeight="1" x14ac:dyDescent="0.35">
      <c r="D81" s="1028" t="s">
        <v>5749</v>
      </c>
      <c r="E81" s="1029"/>
      <c r="F81" s="1029"/>
      <c r="G81" s="1029"/>
      <c r="H81" s="1029"/>
      <c r="I81" s="1029"/>
      <c r="J81" s="1029"/>
      <c r="K81" s="1029"/>
      <c r="L81" s="1029"/>
      <c r="M81" s="1030"/>
      <c r="O81"/>
      <c r="P81" t="b">
        <v>1</v>
      </c>
      <c r="Q81" t="b">
        <v>1</v>
      </c>
      <c r="R81" t="b">
        <v>0</v>
      </c>
      <c r="S81" t="b">
        <v>1</v>
      </c>
      <c r="T81" t="b">
        <v>0</v>
      </c>
      <c r="W81" s="672"/>
      <c r="X81" s="817"/>
      <c r="Y81" s="1100"/>
      <c r="AP81" t="s">
        <v>5785</v>
      </c>
      <c r="AQ81" t="str">
        <f t="shared" ref="AQ81:AQ85" si="7">IF(LEN(W81)=0,"",W81)</f>
        <v/>
      </c>
    </row>
    <row r="82" spans="2:43" ht="15" customHeight="1" x14ac:dyDescent="0.35">
      <c r="D82" s="1028" t="s">
        <v>5750</v>
      </c>
      <c r="E82" s="1029"/>
      <c r="F82" s="1029"/>
      <c r="G82" s="1029"/>
      <c r="H82" s="1029"/>
      <c r="I82" s="1029"/>
      <c r="J82" s="1029"/>
      <c r="K82" s="1029"/>
      <c r="L82" s="1029"/>
      <c r="M82" s="1030"/>
      <c r="O82"/>
      <c r="P82" t="b">
        <v>1</v>
      </c>
      <c r="Q82" t="b">
        <v>1</v>
      </c>
      <c r="R82" t="b">
        <v>0</v>
      </c>
      <c r="S82" t="b">
        <v>1</v>
      </c>
      <c r="T82" t="b">
        <v>0</v>
      </c>
      <c r="W82" s="672"/>
      <c r="X82" s="817"/>
      <c r="Y82" s="1100"/>
      <c r="AP82" t="s">
        <v>5786</v>
      </c>
      <c r="AQ82" t="str">
        <f t="shared" si="7"/>
        <v/>
      </c>
    </row>
    <row r="83" spans="2:43" ht="15" customHeight="1" x14ac:dyDescent="0.35">
      <c r="D83" s="1028" t="s">
        <v>5754</v>
      </c>
      <c r="E83" s="1029"/>
      <c r="F83" s="1029"/>
      <c r="G83" s="1029"/>
      <c r="H83" s="1029"/>
      <c r="I83" s="1029"/>
      <c r="J83" s="1029"/>
      <c r="K83" s="1029"/>
      <c r="L83" s="1029"/>
      <c r="M83" s="1030"/>
      <c r="O83"/>
      <c r="P83" t="b">
        <v>1</v>
      </c>
      <c r="Q83" t="b">
        <v>1</v>
      </c>
      <c r="R83" t="b">
        <v>0</v>
      </c>
      <c r="S83" t="b">
        <v>1</v>
      </c>
      <c r="T83" t="b">
        <v>0</v>
      </c>
      <c r="W83" s="673"/>
      <c r="X83" s="817"/>
      <c r="Y83" s="1100"/>
      <c r="AP83" t="s">
        <v>5787</v>
      </c>
      <c r="AQ83" t="str">
        <f t="shared" si="7"/>
        <v/>
      </c>
    </row>
    <row r="84" spans="2:43" ht="15" customHeight="1" x14ac:dyDescent="0.35">
      <c r="D84" s="1028" t="s">
        <v>5751</v>
      </c>
      <c r="E84" s="1029"/>
      <c r="F84" s="1029"/>
      <c r="G84" s="1029"/>
      <c r="H84" s="1029"/>
      <c r="I84" s="1029"/>
      <c r="J84" s="1029"/>
      <c r="K84" s="1029"/>
      <c r="L84" s="1029"/>
      <c r="M84" s="1030"/>
      <c r="O84"/>
      <c r="P84" t="b">
        <v>1</v>
      </c>
      <c r="Q84" t="b">
        <v>1</v>
      </c>
      <c r="R84" t="b">
        <v>0</v>
      </c>
      <c r="S84" t="b">
        <v>1</v>
      </c>
      <c r="T84" t="b">
        <v>0</v>
      </c>
      <c r="W84" s="314"/>
      <c r="X84" s="817"/>
      <c r="Y84" s="1100"/>
      <c r="AP84" t="s">
        <v>5788</v>
      </c>
      <c r="AQ84" t="str">
        <f t="shared" si="7"/>
        <v/>
      </c>
    </row>
    <row r="85" spans="2:43" x14ac:dyDescent="0.35">
      <c r="D85" s="1028" t="s">
        <v>5752</v>
      </c>
      <c r="E85" s="1029"/>
      <c r="F85" s="1029"/>
      <c r="G85" s="1029"/>
      <c r="H85" s="1029"/>
      <c r="I85" s="1029"/>
      <c r="J85" s="1029"/>
      <c r="K85" s="1029"/>
      <c r="L85" s="1029"/>
      <c r="M85" s="1030"/>
      <c r="O85"/>
      <c r="P85" t="b">
        <v>1</v>
      </c>
      <c r="Q85" t="b">
        <v>1</v>
      </c>
      <c r="R85" t="b">
        <v>0</v>
      </c>
      <c r="S85" t="b">
        <v>1</v>
      </c>
      <c r="T85" t="b">
        <v>0</v>
      </c>
      <c r="W85" s="299"/>
      <c r="X85" s="817"/>
      <c r="Y85" s="1100"/>
      <c r="AP85" t="s">
        <v>5789</v>
      </c>
      <c r="AQ85" t="str">
        <f t="shared" si="7"/>
        <v/>
      </c>
    </row>
    <row r="86" spans="2:43" x14ac:dyDescent="0.35">
      <c r="O86"/>
      <c r="W86"/>
    </row>
    <row r="87" spans="2:43" x14ac:dyDescent="0.35">
      <c r="O87"/>
      <c r="W87"/>
    </row>
    <row r="88" spans="2:43" x14ac:dyDescent="0.35">
      <c r="O88"/>
      <c r="W88"/>
    </row>
    <row r="89" spans="2:43" ht="15" customHeight="1" x14ac:dyDescent="0.35">
      <c r="B89" s="1006" t="s">
        <v>5244</v>
      </c>
      <c r="C89" s="1006"/>
      <c r="D89" s="1006"/>
      <c r="F89" s="65"/>
      <c r="G89" s="1018" t="str">
        <f ca="1">IF(AND(W110=TRUE,W97="Met",W106="Met"),"Earned","Not Earned")</f>
        <v>Not Earned</v>
      </c>
      <c r="H89" s="1018"/>
      <c r="I89" s="1018"/>
      <c r="J89" s="1018"/>
      <c r="K89" s="1018"/>
      <c r="L89" s="1018"/>
      <c r="M89" s="1018"/>
      <c r="N89" s="1018"/>
      <c r="O89" s="1019"/>
      <c r="W89"/>
    </row>
    <row r="90" spans="2:43" ht="15.75" customHeight="1" thickBot="1" x14ac:dyDescent="0.4">
      <c r="B90" s="1007"/>
      <c r="C90" s="1007"/>
      <c r="D90" s="1007"/>
      <c r="E90" s="55"/>
      <c r="F90" s="640"/>
      <c r="G90" s="1020"/>
      <c r="H90" s="1020"/>
      <c r="I90" s="1020"/>
      <c r="J90" s="1020"/>
      <c r="K90" s="1020"/>
      <c r="L90" s="1020"/>
      <c r="M90" s="1020"/>
      <c r="N90" s="1020"/>
      <c r="O90" s="1021"/>
      <c r="P90" s="55"/>
      <c r="Q90" s="55"/>
      <c r="R90" s="55"/>
      <c r="S90" s="55"/>
      <c r="T90" s="55"/>
      <c r="U90" s="55"/>
      <c r="V90" s="55"/>
      <c r="W90" s="55"/>
      <c r="X90" s="55"/>
      <c r="Y90" s="55"/>
    </row>
    <row r="91" spans="2:43" ht="15" thickTop="1" x14ac:dyDescent="0.35">
      <c r="O91"/>
      <c r="W91"/>
    </row>
    <row r="92" spans="2:43" x14ac:dyDescent="0.35">
      <c r="O92"/>
      <c r="W92"/>
    </row>
    <row r="93" spans="2:43" x14ac:dyDescent="0.35">
      <c r="C93" s="216" t="s">
        <v>5250</v>
      </c>
      <c r="W93"/>
    </row>
    <row r="94" spans="2:43" x14ac:dyDescent="0.35">
      <c r="C94" s="639" t="s">
        <v>5251</v>
      </c>
      <c r="W94"/>
    </row>
    <row r="95" spans="2:43" x14ac:dyDescent="0.35">
      <c r="D95" t="s">
        <v>5386</v>
      </c>
      <c r="W95"/>
    </row>
    <row r="96" spans="2:43" x14ac:dyDescent="0.35">
      <c r="C96" s="639" t="s">
        <v>5403</v>
      </c>
      <c r="W96"/>
    </row>
    <row r="97" spans="3:45" x14ac:dyDescent="0.35">
      <c r="C97" t="s">
        <v>5253</v>
      </c>
      <c r="W97" s="1022" t="str">
        <f ca="1">IF('Verification Report'!O864&gt;=10,"Met","Not Met")</f>
        <v>Not Met</v>
      </c>
      <c r="X97" s="817"/>
      <c r="Y97" s="1100" t="str">
        <f>IF(LEN('Badges (Design)'!X97)=0,"None",'Badges (Design)'!X97)</f>
        <v>None</v>
      </c>
      <c r="AR97" t="s">
        <v>5558</v>
      </c>
      <c r="AS97" t="str">
        <f>IF(LEN(X97)=0,"",X97)</f>
        <v/>
      </c>
    </row>
    <row r="98" spans="3:45" x14ac:dyDescent="0.35">
      <c r="C98" t="s">
        <v>5254</v>
      </c>
      <c r="W98" s="1022"/>
      <c r="X98" s="817"/>
      <c r="Y98" s="1100"/>
    </row>
    <row r="99" spans="3:45" ht="15" customHeight="1" x14ac:dyDescent="0.35">
      <c r="C99" t="s">
        <v>5255</v>
      </c>
      <c r="W99" s="1022"/>
      <c r="X99" s="817"/>
      <c r="Y99" s="1100"/>
    </row>
    <row r="100" spans="3:45" x14ac:dyDescent="0.35">
      <c r="W100"/>
    </row>
    <row r="101" spans="3:45" x14ac:dyDescent="0.35">
      <c r="W101"/>
    </row>
    <row r="102" spans="3:45" x14ac:dyDescent="0.35">
      <c r="C102" s="216" t="s">
        <v>5252</v>
      </c>
      <c r="W102"/>
    </row>
    <row r="103" spans="3:45" x14ac:dyDescent="0.35">
      <c r="C103" s="639" t="s">
        <v>5251</v>
      </c>
      <c r="W103"/>
    </row>
    <row r="104" spans="3:45" x14ac:dyDescent="0.35">
      <c r="D104" t="s">
        <v>5387</v>
      </c>
      <c r="W104"/>
    </row>
    <row r="105" spans="3:45" x14ac:dyDescent="0.35">
      <c r="C105" s="639" t="s">
        <v>5403</v>
      </c>
      <c r="W105"/>
    </row>
    <row r="106" spans="3:45" x14ac:dyDescent="0.35">
      <c r="C106" t="s">
        <v>5256</v>
      </c>
      <c r="W106" s="351" t="str">
        <f ca="1">IF('Verification Report'!O1585&gt;=1,"Met","Not Met")</f>
        <v>Not Met</v>
      </c>
      <c r="X106" s="36"/>
      <c r="Y106" s="396" t="str">
        <f>IF(LEN('Badges (Design)'!X106)=0,"None",'Badges (Design)'!X106)</f>
        <v>None</v>
      </c>
      <c r="AR106" t="s">
        <v>5559</v>
      </c>
      <c r="AS106" t="str">
        <f>IF(LEN(X106)=0,"",X106)</f>
        <v/>
      </c>
    </row>
    <row r="107" spans="3:45" x14ac:dyDescent="0.35">
      <c r="W107"/>
    </row>
    <row r="108" spans="3:45" x14ac:dyDescent="0.35">
      <c r="L108" s="6"/>
    </row>
    <row r="109" spans="3:45" x14ac:dyDescent="0.35">
      <c r="C109" s="216" t="s">
        <v>5257</v>
      </c>
      <c r="L109" s="6"/>
    </row>
    <row r="110" spans="3:45" ht="15" customHeight="1" x14ac:dyDescent="0.35">
      <c r="C110" s="760" t="s">
        <v>5258</v>
      </c>
      <c r="D110" s="760"/>
      <c r="E110" s="760"/>
      <c r="F110" s="760"/>
      <c r="G110" s="760"/>
      <c r="H110" s="760"/>
      <c r="I110" s="760"/>
      <c r="J110" s="760"/>
      <c r="K110" s="760"/>
      <c r="L110" s="760"/>
      <c r="O110"/>
      <c r="P110" t="b">
        <v>1</v>
      </c>
      <c r="Q110" t="b">
        <v>1</v>
      </c>
      <c r="R110" t="b">
        <v>1</v>
      </c>
      <c r="S110" t="b">
        <v>1</v>
      </c>
      <c r="T110" t="b">
        <v>0</v>
      </c>
      <c r="W110" s="17"/>
      <c r="X110" s="817"/>
      <c r="Y110" s="1100" t="str">
        <f>IF(LEN('Badges (Design)'!X110)=0,"None",'Badges (Design)'!X110)</f>
        <v>None</v>
      </c>
      <c r="AP110" t="s">
        <v>5518</v>
      </c>
      <c r="AQ110" t="str">
        <f>IF(LEN(W110)=0,"",W110)</f>
        <v/>
      </c>
      <c r="AR110" t="s">
        <v>5560</v>
      </c>
      <c r="AS110" t="str">
        <f>IF(LEN(X110)=0,"",X110)</f>
        <v/>
      </c>
    </row>
    <row r="111" spans="3:45" x14ac:dyDescent="0.35">
      <c r="C111" s="760"/>
      <c r="D111" s="760"/>
      <c r="E111" s="760"/>
      <c r="F111" s="760"/>
      <c r="G111" s="760"/>
      <c r="H111" s="760"/>
      <c r="I111" s="760"/>
      <c r="J111" s="760"/>
      <c r="K111" s="760"/>
      <c r="L111" s="760"/>
      <c r="X111" s="817"/>
      <c r="Y111" s="1100"/>
    </row>
    <row r="112" spans="3:45" x14ac:dyDescent="0.35">
      <c r="X112" s="817"/>
      <c r="Y112" s="1100"/>
    </row>
    <row r="115" spans="2:45" ht="15" customHeight="1" x14ac:dyDescent="0.35"/>
    <row r="116" spans="2:45" ht="15" customHeight="1" x14ac:dyDescent="0.35">
      <c r="B116" s="1006" t="s">
        <v>5246</v>
      </c>
      <c r="C116" s="1006"/>
      <c r="D116" s="1006"/>
      <c r="E116" s="1006"/>
      <c r="G116" s="1031" t="str">
        <f ca="1">IF(AND(N169&gt;=18,W125="Met",W139="Met",OR(R152=FALSE,W152=TRUE),W166=TRUE),"Earned","Not Earned")</f>
        <v>Not Earned</v>
      </c>
      <c r="H116" s="1018"/>
      <c r="I116" s="1018"/>
      <c r="J116" s="1018"/>
      <c r="K116" s="1018"/>
      <c r="L116" s="1018"/>
      <c r="M116" s="1018"/>
      <c r="N116" s="1018"/>
      <c r="O116" s="1019"/>
      <c r="W116"/>
    </row>
    <row r="117" spans="2:45" ht="15.75" customHeight="1" thickBot="1" x14ac:dyDescent="0.4">
      <c r="B117" s="1007"/>
      <c r="C117" s="1007"/>
      <c r="D117" s="1007"/>
      <c r="E117" s="1007"/>
      <c r="F117" s="55"/>
      <c r="G117" s="1032"/>
      <c r="H117" s="1020"/>
      <c r="I117" s="1020"/>
      <c r="J117" s="1020"/>
      <c r="K117" s="1020"/>
      <c r="L117" s="1020"/>
      <c r="M117" s="1020"/>
      <c r="N117" s="1020"/>
      <c r="O117" s="1021"/>
      <c r="P117" s="55"/>
      <c r="Q117" s="55"/>
      <c r="R117" s="55"/>
      <c r="S117" s="55"/>
      <c r="T117" s="55"/>
      <c r="U117" s="55"/>
      <c r="V117" s="55"/>
      <c r="W117" s="55"/>
      <c r="X117" s="55"/>
      <c r="Y117" s="55"/>
    </row>
    <row r="118" spans="2:45" ht="15" thickTop="1" x14ac:dyDescent="0.35">
      <c r="O118"/>
      <c r="W118"/>
      <c r="AM118" s="6"/>
    </row>
    <row r="119" spans="2:45" x14ac:dyDescent="0.35">
      <c r="O119"/>
      <c r="W119"/>
      <c r="AM119" s="6"/>
    </row>
    <row r="120" spans="2:45" x14ac:dyDescent="0.35">
      <c r="C120" s="216" t="s">
        <v>5270</v>
      </c>
      <c r="L120" s="6"/>
      <c r="AM120" s="6"/>
    </row>
    <row r="121" spans="2:45" x14ac:dyDescent="0.35">
      <c r="C121" s="639" t="s">
        <v>5251</v>
      </c>
      <c r="L121" s="6"/>
    </row>
    <row r="122" spans="2:45" x14ac:dyDescent="0.35">
      <c r="D122" t="s">
        <v>5271</v>
      </c>
      <c r="L122" s="6"/>
    </row>
    <row r="123" spans="2:45" x14ac:dyDescent="0.35">
      <c r="D123" t="s">
        <v>5404</v>
      </c>
      <c r="W123"/>
    </row>
    <row r="124" spans="2:45" x14ac:dyDescent="0.35">
      <c r="C124" s="639" t="s">
        <v>5403</v>
      </c>
      <c r="L124" s="21"/>
      <c r="N124" s="765" t="s">
        <v>249</v>
      </c>
      <c r="O124" s="765"/>
      <c r="W124"/>
    </row>
    <row r="125" spans="2:45" ht="15" customHeight="1" x14ac:dyDescent="0.35">
      <c r="C125" t="s">
        <v>5272</v>
      </c>
      <c r="D125" s="565"/>
      <c r="E125" s="565"/>
      <c r="F125" s="565"/>
      <c r="G125" s="565"/>
      <c r="H125" s="565"/>
      <c r="I125" s="565"/>
      <c r="J125" s="565"/>
      <c r="N125" s="1033" t="s">
        <v>4106</v>
      </c>
      <c r="O125" s="1033"/>
      <c r="W125" s="351" t="str">
        <f>IF(LEN('Verification Report'!W860)&gt;0,"Met","Not Met")</f>
        <v>Not Met</v>
      </c>
      <c r="X125" s="817"/>
      <c r="Y125" s="1100" t="str">
        <f>IF(LEN('Badges (Design)'!X125)=0,"None",'Badges (Design)'!X125)</f>
        <v>None</v>
      </c>
      <c r="AR125" t="s">
        <v>5561</v>
      </c>
      <c r="AS125" t="str">
        <f>IF(LEN(X125)=0,"",X125)</f>
        <v/>
      </c>
    </row>
    <row r="126" spans="2:45" x14ac:dyDescent="0.35">
      <c r="C126" t="s">
        <v>5273</v>
      </c>
      <c r="L126" s="21"/>
      <c r="N126" s="765">
        <v>1</v>
      </c>
      <c r="O126" s="765"/>
      <c r="P126" t="b">
        <v>1</v>
      </c>
      <c r="Q126" t="b">
        <v>1</v>
      </c>
      <c r="R126" t="b">
        <v>0</v>
      </c>
      <c r="S126" t="b">
        <v>1</v>
      </c>
      <c r="T126" t="b">
        <v>0</v>
      </c>
      <c r="W126" s="17"/>
      <c r="X126" s="817"/>
      <c r="Y126" s="1100"/>
      <c r="AP126" t="s">
        <v>5519</v>
      </c>
      <c r="AQ126" t="str">
        <f>IF(LEN(W126)=0,"",W126)</f>
        <v/>
      </c>
    </row>
    <row r="127" spans="2:45" x14ac:dyDescent="0.35">
      <c r="C127" t="s">
        <v>5274</v>
      </c>
      <c r="L127" s="637"/>
      <c r="N127" s="1034" t="s">
        <v>5279</v>
      </c>
      <c r="O127" s="1034"/>
      <c r="W127" s="351">
        <f ca="1">'Verification Report'!O1427</f>
        <v>0</v>
      </c>
      <c r="X127" s="817"/>
      <c r="Y127" s="1100"/>
    </row>
    <row r="128" spans="2:45" x14ac:dyDescent="0.35">
      <c r="C128" t="s">
        <v>5275</v>
      </c>
      <c r="L128" s="21"/>
      <c r="N128" s="765">
        <v>1</v>
      </c>
      <c r="O128" s="765"/>
      <c r="W128" s="351">
        <f>'Verification Report'!O1431</f>
        <v>0</v>
      </c>
      <c r="X128" s="817"/>
      <c r="Y128" s="1100"/>
    </row>
    <row r="129" spans="3:45" x14ac:dyDescent="0.35">
      <c r="C129" t="s">
        <v>5276</v>
      </c>
      <c r="L129" s="21"/>
      <c r="N129" s="765">
        <v>1</v>
      </c>
      <c r="O129" s="765"/>
      <c r="W129" s="351">
        <f>'Verification Report'!O1451</f>
        <v>0</v>
      </c>
      <c r="X129" s="817"/>
      <c r="Y129" s="1100"/>
    </row>
    <row r="130" spans="3:45" x14ac:dyDescent="0.35">
      <c r="C130" t="s">
        <v>5277</v>
      </c>
      <c r="L130" s="637"/>
      <c r="N130" s="1034" t="s">
        <v>5397</v>
      </c>
      <c r="O130" s="1034"/>
      <c r="S130" t="b">
        <f ca="1">IF($AY$18=INDEX(INDIRECT("ddSingleOrMulti"),2),TRUE,FALSE)</f>
        <v>0</v>
      </c>
      <c r="W130" s="351">
        <f ca="1">('Verification Report'!O1434+'Verification Report'!O1438)*S130</f>
        <v>0</v>
      </c>
      <c r="X130" s="817"/>
      <c r="Y130" s="1100"/>
    </row>
    <row r="131" spans="3:45" x14ac:dyDescent="0.35">
      <c r="C131" t="s">
        <v>5278</v>
      </c>
      <c r="L131" s="637"/>
      <c r="N131" s="1034" t="s">
        <v>5405</v>
      </c>
      <c r="O131" s="1034"/>
      <c r="S131" t="b">
        <f ca="1">IF($AY$18=INDEX(INDIRECT("ddSingleOrMulti"),2),TRUE,FALSE)</f>
        <v>0</v>
      </c>
      <c r="W131" s="351">
        <f ca="1">'Verification Report'!O1443*S131</f>
        <v>0</v>
      </c>
      <c r="X131" s="817"/>
      <c r="Y131" s="1100"/>
    </row>
    <row r="132" spans="3:45" x14ac:dyDescent="0.35">
      <c r="W132"/>
    </row>
    <row r="133" spans="3:45" x14ac:dyDescent="0.35">
      <c r="O133"/>
      <c r="W133"/>
    </row>
    <row r="134" spans="3:45" x14ac:dyDescent="0.35">
      <c r="C134" s="216" t="s">
        <v>5280</v>
      </c>
    </row>
    <row r="135" spans="3:45" x14ac:dyDescent="0.35">
      <c r="C135" s="639" t="s">
        <v>5281</v>
      </c>
    </row>
    <row r="136" spans="3:45" x14ac:dyDescent="0.35">
      <c r="D136" t="s">
        <v>5271</v>
      </c>
    </row>
    <row r="137" spans="3:45" x14ac:dyDescent="0.35">
      <c r="D137" t="s">
        <v>5404</v>
      </c>
    </row>
    <row r="138" spans="3:45" x14ac:dyDescent="0.35">
      <c r="C138" s="639" t="s">
        <v>5403</v>
      </c>
      <c r="N138" s="1033" t="s">
        <v>249</v>
      </c>
      <c r="O138" s="1033"/>
    </row>
    <row r="139" spans="3:45" x14ac:dyDescent="0.35">
      <c r="C139" t="s">
        <v>5282</v>
      </c>
      <c r="N139" s="1033" t="s">
        <v>4106</v>
      </c>
      <c r="O139" s="1033"/>
      <c r="W139" s="351" t="str">
        <f>IF('Verification Report'!W1536=TRUE,"Met","Not Met")</f>
        <v>Not Met</v>
      </c>
      <c r="X139" s="817"/>
      <c r="Y139" s="1100" t="str">
        <f>IF(LEN('Badges (Design)'!X139)=0,"None",'Badges (Design)'!X139)</f>
        <v>None</v>
      </c>
      <c r="AR139" t="s">
        <v>5562</v>
      </c>
      <c r="AS139" t="str">
        <f>IF(LEN(X139)=0,"",X139)</f>
        <v/>
      </c>
    </row>
    <row r="140" spans="3:45" x14ac:dyDescent="0.35">
      <c r="C140" t="s">
        <v>5283</v>
      </c>
      <c r="N140" s="1033">
        <v>1</v>
      </c>
      <c r="O140" s="1033"/>
      <c r="W140" s="351">
        <f>'Verification Report'!O1611</f>
        <v>0</v>
      </c>
      <c r="X140" s="817"/>
      <c r="Y140" s="1100"/>
    </row>
    <row r="141" spans="3:45" x14ac:dyDescent="0.35">
      <c r="C141" t="s">
        <v>5284</v>
      </c>
      <c r="N141" s="1033">
        <v>2</v>
      </c>
      <c r="O141" s="1033"/>
      <c r="W141" s="351">
        <f>'Verification Report'!O1616</f>
        <v>0</v>
      </c>
      <c r="X141" s="817"/>
      <c r="Y141" s="1100"/>
    </row>
    <row r="142" spans="3:45" x14ac:dyDescent="0.35">
      <c r="C142" t="s">
        <v>5285</v>
      </c>
      <c r="N142" s="1033">
        <v>3</v>
      </c>
      <c r="O142" s="1033"/>
      <c r="W142" s="351">
        <f>'Verification Report'!O2456</f>
        <v>0</v>
      </c>
      <c r="X142" s="817"/>
      <c r="Y142" s="1100"/>
    </row>
    <row r="143" spans="3:45" x14ac:dyDescent="0.35">
      <c r="C143" t="s">
        <v>5286</v>
      </c>
      <c r="N143" s="1033">
        <v>2</v>
      </c>
      <c r="O143" s="1033"/>
      <c r="W143" s="351">
        <f>MAX('Verification Report'!O1534-1,0)</f>
        <v>0</v>
      </c>
      <c r="X143" s="817"/>
      <c r="Y143" s="1100"/>
    </row>
    <row r="144" spans="3:45" x14ac:dyDescent="0.35">
      <c r="C144" t="s">
        <v>5287</v>
      </c>
      <c r="N144" s="1033" t="s">
        <v>5279</v>
      </c>
      <c r="O144" s="1033"/>
      <c r="W144" s="351">
        <f>'Verification Report'!O1556</f>
        <v>0</v>
      </c>
      <c r="X144" s="817"/>
      <c r="Y144" s="1100"/>
    </row>
    <row r="146" spans="3:45" x14ac:dyDescent="0.35">
      <c r="O146"/>
      <c r="W146"/>
    </row>
    <row r="147" spans="3:45" x14ac:dyDescent="0.35">
      <c r="C147" s="216" t="s">
        <v>5288</v>
      </c>
      <c r="O147"/>
      <c r="W147"/>
    </row>
    <row r="148" spans="3:45" x14ac:dyDescent="0.35">
      <c r="C148" s="639" t="s">
        <v>5251</v>
      </c>
      <c r="O148"/>
      <c r="W148"/>
    </row>
    <row r="149" spans="3:45" x14ac:dyDescent="0.35">
      <c r="D149" t="s">
        <v>5293</v>
      </c>
    </row>
    <row r="150" spans="3:45" x14ac:dyDescent="0.35">
      <c r="D150" t="s">
        <v>5404</v>
      </c>
    </row>
    <row r="151" spans="3:45" x14ac:dyDescent="0.35">
      <c r="C151" s="639" t="s">
        <v>5403</v>
      </c>
      <c r="N151" s="765" t="s">
        <v>249</v>
      </c>
      <c r="O151" s="765"/>
    </row>
    <row r="152" spans="3:45" x14ac:dyDescent="0.35">
      <c r="C152" t="s">
        <v>5289</v>
      </c>
      <c r="N152" s="1033" t="s">
        <v>4106</v>
      </c>
      <c r="O152" s="1033"/>
      <c r="P152" t="b">
        <v>1</v>
      </c>
      <c r="Q152" t="b">
        <v>1</v>
      </c>
      <c r="R152" t="b">
        <f ca="1">S152</f>
        <v>0</v>
      </c>
      <c r="S152" s="1" t="b">
        <f ca="1">'Verification Report'!S1785</f>
        <v>0</v>
      </c>
      <c r="T152" t="b">
        <v>0</v>
      </c>
      <c r="W152" s="17"/>
      <c r="X152" s="817"/>
      <c r="Y152" s="1100" t="str">
        <f>IF(LEN('Badges (Design)'!X152)=0,"None",'Badges (Design)'!X152)</f>
        <v>None</v>
      </c>
      <c r="AP152" t="s">
        <v>5520</v>
      </c>
      <c r="AQ152" t="str">
        <f>IF(LEN(W152)=0,"",W152)</f>
        <v/>
      </c>
      <c r="AR152" t="s">
        <v>5422</v>
      </c>
      <c r="AS152" t="str">
        <f>IF(LEN(X152)=0,"",X152)</f>
        <v/>
      </c>
    </row>
    <row r="153" spans="3:45" x14ac:dyDescent="0.35">
      <c r="C153" t="s">
        <v>5290</v>
      </c>
      <c r="N153" s="765">
        <v>3</v>
      </c>
      <c r="O153" s="765"/>
      <c r="P153" t="b">
        <v>1</v>
      </c>
      <c r="Q153" t="b">
        <v>1</v>
      </c>
      <c r="R153" t="b">
        <v>0</v>
      </c>
      <c r="S153" t="b">
        <v>1</v>
      </c>
      <c r="T153" t="b">
        <v>0</v>
      </c>
      <c r="W153" s="17"/>
      <c r="X153" s="817"/>
      <c r="Y153" s="1100"/>
      <c r="AP153" t="s">
        <v>5521</v>
      </c>
      <c r="AQ153" t="str">
        <f>IF(LEN(W153)=0,"",W153)</f>
        <v/>
      </c>
    </row>
    <row r="154" spans="3:45" x14ac:dyDescent="0.35">
      <c r="C154" t="s">
        <v>5291</v>
      </c>
      <c r="N154" s="765" t="s">
        <v>5398</v>
      </c>
      <c r="O154" s="765"/>
      <c r="P154" t="b">
        <v>1</v>
      </c>
      <c r="Q154" t="b">
        <v>1</v>
      </c>
      <c r="R154" t="b">
        <v>0</v>
      </c>
      <c r="S154" t="b">
        <f ca="1">IF($AY$18=INDEX(INDIRECT("ddSingleOrMulti"),1),TRUE,FALSE)</f>
        <v>1</v>
      </c>
      <c r="T154" t="b">
        <v>0</v>
      </c>
      <c r="W154" s="17"/>
      <c r="X154" s="817"/>
      <c r="Y154" s="1100"/>
      <c r="AP154" t="s">
        <v>5522</v>
      </c>
      <c r="AQ154" t="str">
        <f>IF(LEN(W154)=0,"",W154)</f>
        <v/>
      </c>
    </row>
    <row r="155" spans="3:45" x14ac:dyDescent="0.35">
      <c r="C155" t="s">
        <v>5292</v>
      </c>
      <c r="N155" s="765">
        <v>2</v>
      </c>
      <c r="O155" s="765"/>
      <c r="P155" t="b">
        <v>1</v>
      </c>
      <c r="Q155" t="b">
        <v>1</v>
      </c>
      <c r="R155" t="b">
        <v>0</v>
      </c>
      <c r="S155" t="b">
        <v>1</v>
      </c>
      <c r="T155" t="b">
        <v>0</v>
      </c>
      <c r="U155" t="str">
        <f>'Verification Report'!U1852</f>
        <v>dd803_3</v>
      </c>
      <c r="W155" s="9"/>
      <c r="X155" s="817"/>
      <c r="Y155" s="1100"/>
      <c r="AP155" t="s">
        <v>5523</v>
      </c>
      <c r="AQ155" t="str">
        <f>IF(LEN(W155)=0,"",W155)</f>
        <v/>
      </c>
    </row>
    <row r="158" spans="3:45" x14ac:dyDescent="0.35">
      <c r="C158" s="216" t="s">
        <v>5294</v>
      </c>
      <c r="O158"/>
      <c r="W158"/>
    </row>
    <row r="159" spans="3:45" x14ac:dyDescent="0.35">
      <c r="C159" s="639" t="s">
        <v>5251</v>
      </c>
      <c r="O159"/>
      <c r="W159"/>
    </row>
    <row r="160" spans="3:45" x14ac:dyDescent="0.35">
      <c r="C160" s="565"/>
      <c r="D160" t="s">
        <v>5420</v>
      </c>
      <c r="O160"/>
      <c r="W160"/>
    </row>
    <row r="161" spans="2:45" x14ac:dyDescent="0.35">
      <c r="C161" s="639" t="s">
        <v>5403</v>
      </c>
      <c r="N161" s="765" t="s">
        <v>249</v>
      </c>
      <c r="O161" s="765"/>
      <c r="W161"/>
    </row>
    <row r="162" spans="2:45" x14ac:dyDescent="0.35">
      <c r="C162" t="s">
        <v>5295</v>
      </c>
      <c r="N162" s="765">
        <v>1</v>
      </c>
      <c r="O162" s="765"/>
      <c r="W162" s="351">
        <f>'Verification Report'!O1618</f>
        <v>0</v>
      </c>
      <c r="X162" s="817"/>
      <c r="Y162" s="1100" t="str">
        <f>IF(LEN('Badges (Design)'!X162)=0,"None",'Badges (Design)'!X162)</f>
        <v>None</v>
      </c>
      <c r="AR162" t="s">
        <v>5563</v>
      </c>
      <c r="AS162" t="str">
        <f>IF(LEN(X162)=0,"",X162)</f>
        <v/>
      </c>
    </row>
    <row r="163" spans="2:45" x14ac:dyDescent="0.35">
      <c r="C163" t="s">
        <v>5296</v>
      </c>
      <c r="N163" s="765">
        <v>2</v>
      </c>
      <c r="O163" s="765"/>
      <c r="W163" s="351">
        <f>'Verification Report'!O2232</f>
        <v>0</v>
      </c>
      <c r="X163" s="817"/>
      <c r="Y163" s="1100"/>
    </row>
    <row r="164" spans="2:45" x14ac:dyDescent="0.35">
      <c r="O164"/>
      <c r="W164"/>
    </row>
    <row r="165" spans="2:45" ht="15" customHeight="1" x14ac:dyDescent="0.35">
      <c r="C165" s="216" t="s">
        <v>5257</v>
      </c>
      <c r="L165" s="6"/>
      <c r="W165"/>
    </row>
    <row r="166" spans="2:45" ht="15" customHeight="1" x14ac:dyDescent="0.35">
      <c r="D166" s="760" t="s">
        <v>5297</v>
      </c>
      <c r="E166" s="760"/>
      <c r="F166" s="760"/>
      <c r="G166" s="760"/>
      <c r="H166" s="760"/>
      <c r="I166" s="760"/>
      <c r="J166" s="760"/>
      <c r="K166" s="760"/>
      <c r="L166" s="760"/>
      <c r="M166" s="760"/>
      <c r="N166" s="565"/>
      <c r="O166" s="565"/>
      <c r="P166" t="b">
        <v>1</v>
      </c>
      <c r="Q166" t="b">
        <v>1</v>
      </c>
      <c r="R166" t="b">
        <v>1</v>
      </c>
      <c r="S166" t="b">
        <v>1</v>
      </c>
      <c r="T166" t="b">
        <v>0</v>
      </c>
      <c r="W166" s="17"/>
      <c r="X166" s="817"/>
      <c r="Y166" s="1100" t="str">
        <f>IF(LEN('Badges (Design)'!X166)=0,"None",'Badges (Design)'!X166)</f>
        <v>None</v>
      </c>
      <c r="AP166" t="s">
        <v>5524</v>
      </c>
      <c r="AQ166" t="str">
        <f>IF(LEN(W166)=0,"",W166)</f>
        <v/>
      </c>
      <c r="AR166" t="s">
        <v>5564</v>
      </c>
      <c r="AS166" t="str">
        <f>IF(LEN(X166)=0,"",X166)</f>
        <v/>
      </c>
    </row>
    <row r="167" spans="2:45" x14ac:dyDescent="0.35">
      <c r="D167" s="760"/>
      <c r="E167" s="760"/>
      <c r="F167" s="760"/>
      <c r="G167" s="760"/>
      <c r="H167" s="760"/>
      <c r="I167" s="760"/>
      <c r="J167" s="760"/>
      <c r="K167" s="760"/>
      <c r="L167" s="760"/>
      <c r="M167" s="760"/>
      <c r="N167" s="565"/>
      <c r="O167" s="565"/>
      <c r="X167" s="817"/>
      <c r="Y167" s="1100"/>
    </row>
    <row r="168" spans="2:45" x14ac:dyDescent="0.35">
      <c r="N168" s="1005" t="s">
        <v>5389</v>
      </c>
      <c r="O168" s="1005"/>
    </row>
    <row r="169" spans="2:45" x14ac:dyDescent="0.35">
      <c r="N169" s="1005">
        <f ca="1">SUM(W127:W131)+SUM(W140:W144)+SUM(W162:W163)+(1*W126)+(3*W153)+(10*W154*S154)+(2*(LEN(W155)&gt;0))</f>
        <v>0</v>
      </c>
      <c r="O169" s="1005"/>
    </row>
    <row r="170" spans="2:45" ht="15" customHeight="1" x14ac:dyDescent="0.35">
      <c r="N170" s="963" t="str">
        <f ca="1">IF(N169&lt;18,"need "&amp;18-N169&amp;" more","")</f>
        <v>need 18 more</v>
      </c>
      <c r="O170" s="963"/>
    </row>
    <row r="171" spans="2:45" ht="15" customHeight="1" x14ac:dyDescent="0.35"/>
    <row r="172" spans="2:45" ht="15" customHeight="1" x14ac:dyDescent="0.35">
      <c r="B172" s="446"/>
    </row>
    <row r="173" spans="2:45" x14ac:dyDescent="0.35">
      <c r="B173" s="1006" t="s">
        <v>5245</v>
      </c>
      <c r="C173" s="1006"/>
      <c r="D173" s="1006"/>
      <c r="E173" s="1006"/>
      <c r="F173" s="1006"/>
      <c r="G173" s="1031" t="str">
        <f>IF(COUNTIF(W181:W189,"Not Met")=0,"Earned","Not Earned")</f>
        <v>Not Earned</v>
      </c>
      <c r="H173" s="1018"/>
      <c r="I173" s="1018"/>
      <c r="J173" s="1018"/>
      <c r="K173" s="1018"/>
      <c r="L173" s="1018"/>
      <c r="M173" s="1018"/>
      <c r="N173" s="1018"/>
      <c r="O173" s="1019"/>
      <c r="W173"/>
    </row>
    <row r="174" spans="2:45" ht="15" thickBot="1" x14ac:dyDescent="0.4">
      <c r="B174" s="1007"/>
      <c r="C174" s="1007"/>
      <c r="D174" s="1007"/>
      <c r="E174" s="1007"/>
      <c r="F174" s="1007"/>
      <c r="G174" s="1032"/>
      <c r="H174" s="1020"/>
      <c r="I174" s="1020"/>
      <c r="J174" s="1020"/>
      <c r="K174" s="1020"/>
      <c r="L174" s="1020"/>
      <c r="M174" s="1020"/>
      <c r="N174" s="1020"/>
      <c r="O174" s="1021"/>
      <c r="P174" s="55"/>
      <c r="Q174" s="55"/>
      <c r="R174" s="55"/>
      <c r="S174" s="55"/>
      <c r="T174" s="55"/>
      <c r="U174" s="55"/>
      <c r="V174" s="55"/>
      <c r="W174" s="55"/>
      <c r="X174" s="55"/>
      <c r="Y174" s="55"/>
    </row>
    <row r="175" spans="2:45" ht="15" thickTop="1" x14ac:dyDescent="0.35">
      <c r="O175"/>
      <c r="W175"/>
    </row>
    <row r="176" spans="2:45" x14ac:dyDescent="0.35">
      <c r="O176"/>
      <c r="W176"/>
    </row>
    <row r="177" spans="3:23" ht="15.75" customHeight="1" x14ac:dyDescent="0.35">
      <c r="C177" s="216" t="s">
        <v>5259</v>
      </c>
      <c r="W177"/>
    </row>
    <row r="178" spans="3:23" ht="15" customHeight="1" x14ac:dyDescent="0.35">
      <c r="C178" s="639" t="s">
        <v>5251</v>
      </c>
      <c r="W178"/>
    </row>
    <row r="179" spans="3:23" ht="15.75" customHeight="1" x14ac:dyDescent="0.35">
      <c r="D179" t="s">
        <v>5262</v>
      </c>
      <c r="W179"/>
    </row>
    <row r="180" spans="3:23" x14ac:dyDescent="0.35">
      <c r="C180" s="639" t="s">
        <v>5403</v>
      </c>
      <c r="W180"/>
    </row>
    <row r="181" spans="3:23" x14ac:dyDescent="0.35">
      <c r="C181" t="s">
        <v>5263</v>
      </c>
      <c r="W181" s="351" t="str">
        <f>IF('Verification Report'!W839=TRUE,"Met","Not Met")</f>
        <v>Not Met</v>
      </c>
    </row>
    <row r="182" spans="3:23" x14ac:dyDescent="0.35">
      <c r="C182" t="s">
        <v>5264</v>
      </c>
      <c r="W182" s="351" t="str">
        <f>IF('Verification Report'!W844=TRUE,"Met","Not Met")</f>
        <v>Not Met</v>
      </c>
    </row>
    <row r="183" spans="3:23" x14ac:dyDescent="0.35">
      <c r="C183" t="s">
        <v>5265</v>
      </c>
      <c r="L183" s="6"/>
      <c r="W183" s="351" t="str">
        <f>IF('Verification Report'!W848=TRUE,"Met","Not Met")</f>
        <v>Not Met</v>
      </c>
    </row>
    <row r="184" spans="3:23" x14ac:dyDescent="0.35">
      <c r="C184" t="s">
        <v>5266</v>
      </c>
      <c r="L184" s="6"/>
      <c r="W184" s="351" t="str">
        <f>IF('Verification Report'!W850=TRUE,"Met","Not Met")</f>
        <v>Not Met</v>
      </c>
    </row>
    <row r="185" spans="3:23" x14ac:dyDescent="0.35">
      <c r="C185" t="s">
        <v>5267</v>
      </c>
      <c r="L185" s="6"/>
      <c r="W185" s="351" t="str">
        <f>IF('Verification Report'!W852=TRUE,"Met","Not Met")</f>
        <v>Not Met</v>
      </c>
    </row>
    <row r="186" spans="3:23" x14ac:dyDescent="0.35">
      <c r="C186" t="s">
        <v>5268</v>
      </c>
      <c r="W186" s="351" t="str">
        <f>IF('Verification Report'!W853=TRUE,"Met","Not Met")</f>
        <v>Not Met</v>
      </c>
    </row>
    <row r="187" spans="3:23" x14ac:dyDescent="0.35">
      <c r="C187" t="s">
        <v>5269</v>
      </c>
      <c r="W187" s="351" t="str">
        <f>IF('Verification Report'!W854=TRUE,"Met","Not Met")</f>
        <v>Not Met</v>
      </c>
    </row>
    <row r="188" spans="3:23" x14ac:dyDescent="0.35">
      <c r="C188" t="s">
        <v>5260</v>
      </c>
      <c r="W188" s="351" t="str">
        <f>IF('Verification Report'!W858=TRUE,"Met","Not Met")</f>
        <v>Not Met</v>
      </c>
    </row>
    <row r="189" spans="3:23" ht="15" customHeight="1" x14ac:dyDescent="0.35">
      <c r="C189" s="760" t="s">
        <v>5261</v>
      </c>
      <c r="D189" s="760"/>
      <c r="E189" s="760"/>
      <c r="F189" s="760"/>
      <c r="G189" s="760"/>
      <c r="H189" s="760"/>
      <c r="I189" s="760"/>
      <c r="J189" s="760"/>
      <c r="K189" s="760"/>
      <c r="L189" s="760"/>
      <c r="O189"/>
      <c r="W189" s="351" t="str">
        <f>IF(LEN('Verification Report'!W860)&gt;0,"Met","Not Met")</f>
        <v>Not Met</v>
      </c>
    </row>
    <row r="190" spans="3:23" x14ac:dyDescent="0.35">
      <c r="C190" s="760"/>
      <c r="D190" s="760"/>
      <c r="E190" s="760"/>
      <c r="F190" s="760"/>
      <c r="G190" s="760"/>
      <c r="H190" s="760"/>
      <c r="I190" s="760"/>
      <c r="J190" s="760"/>
      <c r="K190" s="760"/>
      <c r="L190" s="760"/>
      <c r="W190"/>
    </row>
    <row r="191" spans="3:23" x14ac:dyDescent="0.35">
      <c r="W191"/>
    </row>
    <row r="192" spans="3:23" ht="15" customHeight="1" x14ac:dyDescent="0.35">
      <c r="W192"/>
    </row>
    <row r="193" spans="2:45" ht="15" customHeight="1" x14ac:dyDescent="0.35">
      <c r="W193"/>
    </row>
    <row r="194" spans="2:45" ht="15" customHeight="1" x14ac:dyDescent="0.35">
      <c r="B194" s="1006" t="s">
        <v>5247</v>
      </c>
      <c r="C194" s="1006"/>
      <c r="D194" s="1006"/>
      <c r="G194" s="1031" t="str">
        <f ca="1">IF(AND(N303&gt;=29,OR(W203="Met",W203="N/A"),OR(W204="Met",W204="N/A"),COUNTIF(W205:W207,"Not Met")=0,COUNTIF(W208:W214,"&gt;0")&gt;=3,W223="Met",W246="Met",OR(W256="Met",W256="N/A"),SUM(W287:W291)&gt;=15),"Earned","Not Earned")</f>
        <v>Not Earned</v>
      </c>
      <c r="H194" s="1018"/>
      <c r="I194" s="1018"/>
      <c r="J194" s="1018"/>
      <c r="K194" s="1018"/>
      <c r="L194" s="1018"/>
      <c r="M194" s="1018"/>
      <c r="N194" s="1018"/>
      <c r="O194" s="1019"/>
      <c r="W194"/>
    </row>
    <row r="195" spans="2:45" ht="15.75" customHeight="1" thickBot="1" x14ac:dyDescent="0.4">
      <c r="B195" s="1007"/>
      <c r="C195" s="1007"/>
      <c r="D195" s="1007"/>
      <c r="E195" s="55"/>
      <c r="F195" s="55"/>
      <c r="G195" s="1032"/>
      <c r="H195" s="1020"/>
      <c r="I195" s="1020"/>
      <c r="J195" s="1020"/>
      <c r="K195" s="1020"/>
      <c r="L195" s="1020"/>
      <c r="M195" s="1020"/>
      <c r="N195" s="1020"/>
      <c r="O195" s="1021"/>
      <c r="P195" s="55"/>
      <c r="Q195" s="55"/>
      <c r="R195" s="55"/>
      <c r="S195" s="55"/>
      <c r="T195" s="55"/>
      <c r="U195" s="55"/>
      <c r="V195" s="55"/>
      <c r="W195" s="55"/>
      <c r="X195" s="55"/>
      <c r="Y195" s="55"/>
    </row>
    <row r="196" spans="2:45" ht="15" thickTop="1" x14ac:dyDescent="0.35"/>
    <row r="198" spans="2:45" x14ac:dyDescent="0.35">
      <c r="C198" s="216" t="s">
        <v>5298</v>
      </c>
    </row>
    <row r="199" spans="2:45" x14ac:dyDescent="0.35">
      <c r="C199" s="639" t="s">
        <v>5251</v>
      </c>
    </row>
    <row r="200" spans="2:45" x14ac:dyDescent="0.35">
      <c r="D200" t="s">
        <v>5299</v>
      </c>
    </row>
    <row r="201" spans="2:45" x14ac:dyDescent="0.35">
      <c r="D201" t="s">
        <v>5406</v>
      </c>
    </row>
    <row r="202" spans="2:45" x14ac:dyDescent="0.35">
      <c r="C202" s="639" t="s">
        <v>5403</v>
      </c>
      <c r="N202" s="765" t="s">
        <v>249</v>
      </c>
      <c r="O202" s="765"/>
      <c r="R202" t="b">
        <f>OR(LEN(W203)&gt;0,LEN(W204)&gt;0,LEN(W256)&gt;0)</f>
        <v>0</v>
      </c>
    </row>
    <row r="203" spans="2:45" x14ac:dyDescent="0.35">
      <c r="C203" t="s">
        <v>5300</v>
      </c>
      <c r="N203" s="1033" t="s">
        <v>4106</v>
      </c>
      <c r="O203" s="1033"/>
      <c r="P203" t="b">
        <v>1</v>
      </c>
      <c r="Q203" t="b">
        <v>1</v>
      </c>
      <c r="R203" t="b">
        <f>R202</f>
        <v>0</v>
      </c>
      <c r="S203" t="b">
        <v>1</v>
      </c>
      <c r="T203" t="b">
        <v>0</v>
      </c>
      <c r="U203" t="s">
        <v>5604</v>
      </c>
      <c r="W203" s="9"/>
      <c r="X203" s="817"/>
      <c r="Y203" s="1100" t="str">
        <f>IF(LEN('Badges (Design)'!X203)=0,"None",'Badges (Design)'!X203)</f>
        <v>None</v>
      </c>
      <c r="AC203" t="b">
        <f>OR(AD203:AE203)</f>
        <v>0</v>
      </c>
      <c r="AD203" t="b">
        <f>T203</f>
        <v>0</v>
      </c>
      <c r="AE203" t="b">
        <f>AND(R203=TRUE,OR(LEN(W203)=0,W203="Not Met"))</f>
        <v>0</v>
      </c>
      <c r="AF203" t="b">
        <f>AND(AE203,NOT(Q203))</f>
        <v>0</v>
      </c>
      <c r="AP203" t="s">
        <v>5610</v>
      </c>
      <c r="AQ203" t="str">
        <f>IF(LEN(W203)=0,"",W203)</f>
        <v/>
      </c>
      <c r="AR203" t="s">
        <v>5565</v>
      </c>
      <c r="AS203" t="str">
        <f>IF(LEN(X203)=0,"",X203)</f>
        <v/>
      </c>
    </row>
    <row r="204" spans="2:45" x14ac:dyDescent="0.35">
      <c r="C204" t="s">
        <v>5301</v>
      </c>
      <c r="N204" s="1033" t="s">
        <v>4106</v>
      </c>
      <c r="O204" s="1033"/>
      <c r="P204" t="b">
        <v>1</v>
      </c>
      <c r="Q204" t="b">
        <v>1</v>
      </c>
      <c r="R204" t="b">
        <f>R202</f>
        <v>0</v>
      </c>
      <c r="S204" t="b">
        <v>1</v>
      </c>
      <c r="T204" t="b">
        <v>0</v>
      </c>
      <c r="U204" t="s">
        <v>5604</v>
      </c>
      <c r="W204" s="9"/>
      <c r="X204" s="817"/>
      <c r="Y204" s="1100"/>
      <c r="AC204" t="b">
        <f>OR(AD204:AE204)</f>
        <v>0</v>
      </c>
      <c r="AD204" t="b">
        <f>T204</f>
        <v>0</v>
      </c>
      <c r="AE204" t="b">
        <f>AND(R204=TRUE,OR(LEN(W204)=0,W204="Not Met"))</f>
        <v>0</v>
      </c>
      <c r="AF204" t="b">
        <f>AND(AE204,NOT(Q204))</f>
        <v>0</v>
      </c>
      <c r="AP204" t="s">
        <v>5611</v>
      </c>
      <c r="AQ204" t="str">
        <f>IF(LEN(W204)=0,"",W204)</f>
        <v/>
      </c>
    </row>
    <row r="205" spans="2:45" x14ac:dyDescent="0.35">
      <c r="C205" t="s">
        <v>5302</v>
      </c>
      <c r="N205" s="1033" t="s">
        <v>4106</v>
      </c>
      <c r="O205" s="1033"/>
      <c r="W205" s="351" t="str">
        <f ca="1">IF('Verification Report'!O2085&gt;0,"Met","Not Met")</f>
        <v>Not Met</v>
      </c>
      <c r="X205" s="817"/>
      <c r="Y205" s="1100"/>
    </row>
    <row r="206" spans="2:45" x14ac:dyDescent="0.35">
      <c r="C206" t="s">
        <v>5656</v>
      </c>
      <c r="N206" s="1033" t="s">
        <v>5657</v>
      </c>
      <c r="O206" s="1033"/>
      <c r="W206" s="351" t="str">
        <f ca="1">IF(AND('Verification Report'!S2042=FALSE,'Verification Report'!S2044=FALSE),"N/A",IF(AND(OR('Verification Report'!S2042=FALSE,'Verification Report'!W2042=TRUE),OR('Verification Report'!S2044=FALSE,'Verification Report'!W2044=TRUE)),"Met","Not Met"))</f>
        <v>N/A</v>
      </c>
      <c r="X206" s="817"/>
      <c r="Y206" s="1100"/>
    </row>
    <row r="207" spans="2:45" x14ac:dyDescent="0.35">
      <c r="C207" t="s">
        <v>5303</v>
      </c>
      <c r="N207" s="1033" t="s">
        <v>4106</v>
      </c>
      <c r="O207" s="1033"/>
      <c r="W207" s="351" t="s">
        <v>3038</v>
      </c>
      <c r="X207" s="817"/>
      <c r="Y207" s="1100"/>
    </row>
    <row r="208" spans="2:45" x14ac:dyDescent="0.35">
      <c r="C208" t="s">
        <v>5304</v>
      </c>
      <c r="N208" s="765" t="s">
        <v>5407</v>
      </c>
      <c r="O208" s="765"/>
      <c r="S208" t="b">
        <f ca="1">IF($AY$18=INDEX(INDIRECT("ddSingleOrMulti"),2),TRUE,FALSE)</f>
        <v>0</v>
      </c>
      <c r="W208" s="351">
        <f ca="1">'Verification Report'!O2081*S208</f>
        <v>0</v>
      </c>
      <c r="X208" s="817"/>
      <c r="Y208" s="1100"/>
    </row>
    <row r="209" spans="3:45" x14ac:dyDescent="0.35">
      <c r="C209" t="s">
        <v>5305</v>
      </c>
      <c r="N209" s="765">
        <v>6</v>
      </c>
      <c r="O209" s="765"/>
      <c r="W209" s="351">
        <f>'Verification Report'!O1921</f>
        <v>0</v>
      </c>
      <c r="X209" s="817"/>
      <c r="Y209" s="1100"/>
    </row>
    <row r="210" spans="3:45" x14ac:dyDescent="0.35">
      <c r="C210" t="s">
        <v>5306</v>
      </c>
      <c r="N210" s="765">
        <v>3</v>
      </c>
      <c r="O210" s="765"/>
      <c r="W210" s="351">
        <f>'Verification Report'!O2178</f>
        <v>0</v>
      </c>
      <c r="X210" s="817"/>
      <c r="Y210" s="1100"/>
    </row>
    <row r="211" spans="3:45" x14ac:dyDescent="0.35">
      <c r="C211" t="s">
        <v>5307</v>
      </c>
      <c r="N211" s="765">
        <v>2</v>
      </c>
      <c r="O211" s="765"/>
      <c r="W211" s="351">
        <f>'Verification Report'!O2210</f>
        <v>0</v>
      </c>
      <c r="X211" s="817"/>
      <c r="Y211" s="1100"/>
    </row>
    <row r="212" spans="3:45" x14ac:dyDescent="0.35">
      <c r="C212" t="s">
        <v>5308</v>
      </c>
      <c r="N212" s="765">
        <v>3</v>
      </c>
      <c r="O212" s="765"/>
      <c r="W212" s="351">
        <f>'Verification Report'!O2215</f>
        <v>0</v>
      </c>
      <c r="X212" s="817"/>
      <c r="Y212" s="1100"/>
    </row>
    <row r="213" spans="3:45" x14ac:dyDescent="0.35">
      <c r="C213" t="s">
        <v>5295</v>
      </c>
      <c r="N213" s="765">
        <v>1</v>
      </c>
      <c r="O213" s="765"/>
      <c r="W213" s="351">
        <f>'Verification Report'!O1618</f>
        <v>0</v>
      </c>
      <c r="X213" s="817"/>
      <c r="Y213" s="1100"/>
    </row>
    <row r="214" spans="3:45" x14ac:dyDescent="0.35">
      <c r="C214" t="s">
        <v>5309</v>
      </c>
      <c r="N214" s="765">
        <v>3</v>
      </c>
      <c r="O214" s="765"/>
      <c r="W214" s="351">
        <f>'Verification Report'!O2101</f>
        <v>0</v>
      </c>
      <c r="X214" s="817"/>
      <c r="Y214" s="1100"/>
    </row>
    <row r="217" spans="3:45" ht="15" customHeight="1" x14ac:dyDescent="0.35">
      <c r="C217" s="216" t="s">
        <v>5310</v>
      </c>
    </row>
    <row r="218" spans="3:45" ht="15" customHeight="1" x14ac:dyDescent="0.35">
      <c r="C218" s="639" t="s">
        <v>5251</v>
      </c>
    </row>
    <row r="219" spans="3:45" x14ac:dyDescent="0.35">
      <c r="D219" t="s">
        <v>5311</v>
      </c>
    </row>
    <row r="220" spans="3:45" ht="15" customHeight="1" x14ac:dyDescent="0.35">
      <c r="D220" t="s">
        <v>5408</v>
      </c>
      <c r="O220"/>
      <c r="W220"/>
    </row>
    <row r="221" spans="3:45" x14ac:dyDescent="0.35">
      <c r="C221" s="639" t="s">
        <v>5403</v>
      </c>
      <c r="W221"/>
    </row>
    <row r="222" spans="3:45" x14ac:dyDescent="0.35">
      <c r="C222" t="s">
        <v>5312</v>
      </c>
      <c r="O222"/>
      <c r="S222" t="s">
        <v>5390</v>
      </c>
      <c r="W222"/>
      <c r="X222" s="817"/>
      <c r="Y222" s="1100" t="str">
        <f>IF(LEN('Badges (Design)'!X222)=0,"None",'Badges (Design)'!X222)</f>
        <v>None</v>
      </c>
      <c r="AR222" t="s">
        <v>5566</v>
      </c>
      <c r="AS222" t="str">
        <f>IF(LEN(X222)=0,"",X222)</f>
        <v/>
      </c>
    </row>
    <row r="223" spans="3:45" ht="15" customHeight="1" x14ac:dyDescent="0.35">
      <c r="C223" t="s">
        <v>5313</v>
      </c>
      <c r="S223" t="b">
        <f>'Verification Report'!W25=TRUE</f>
        <v>0</v>
      </c>
      <c r="W223" s="1035" t="str">
        <f ca="1">IF(OR(S223:S226,LEN(W227)&gt;0),"Met","Not Met")</f>
        <v>Not Met</v>
      </c>
      <c r="X223" s="817"/>
      <c r="Y223" s="1100"/>
    </row>
    <row r="224" spans="3:45" x14ac:dyDescent="0.35">
      <c r="C224" t="s">
        <v>5314</v>
      </c>
      <c r="S224" t="b">
        <f ca="1">('Verification Report'!O27+'Verification Report'!O37)&gt;0</f>
        <v>0</v>
      </c>
      <c r="W224" s="1036"/>
      <c r="X224" s="817"/>
      <c r="Y224" s="1100"/>
    </row>
    <row r="225" spans="3:43" ht="15" customHeight="1" x14ac:dyDescent="0.35">
      <c r="C225" t="s">
        <v>5409</v>
      </c>
      <c r="S225" t="b">
        <f>'Verification Report'!W321=TRUE</f>
        <v>0</v>
      </c>
      <c r="W225" s="1036"/>
      <c r="X225" s="817"/>
      <c r="Y225" s="1100"/>
    </row>
    <row r="226" spans="3:43" x14ac:dyDescent="0.35">
      <c r="C226" t="s">
        <v>5410</v>
      </c>
      <c r="S226" t="b">
        <f>'Verification Report'!W323=TRUE</f>
        <v>0</v>
      </c>
      <c r="W226" s="1037"/>
      <c r="X226" s="817"/>
      <c r="Y226" s="1100"/>
    </row>
    <row r="227" spans="3:43" x14ac:dyDescent="0.35">
      <c r="D227" s="760" t="s">
        <v>5774</v>
      </c>
      <c r="E227" s="760"/>
      <c r="F227" s="760"/>
      <c r="G227" s="760"/>
      <c r="H227" s="760"/>
      <c r="I227" s="760"/>
      <c r="J227" s="760"/>
      <c r="K227" s="760"/>
      <c r="L227" s="760"/>
      <c r="M227" s="760"/>
      <c r="N227" s="760"/>
      <c r="O227" s="760"/>
      <c r="P227" t="b">
        <v>1</v>
      </c>
      <c r="Q227" t="b">
        <v>1</v>
      </c>
      <c r="R227" t="b">
        <v>0</v>
      </c>
      <c r="S227" t="b">
        <f ca="1">IF($AY$18=INDEX(INDIRECT("ddSingleOrMulti"),1),TRUE,FALSE)</f>
        <v>1</v>
      </c>
      <c r="T227" t="b">
        <f ca="1">AND(NOT(S227),LEN(W227)&gt;0)</f>
        <v>0</v>
      </c>
      <c r="U227" t="s">
        <v>5770</v>
      </c>
      <c r="W227" s="9"/>
      <c r="X227" s="817"/>
      <c r="Y227" s="1100"/>
      <c r="AP227" t="s">
        <v>5778</v>
      </c>
      <c r="AQ227" t="str">
        <f>IF(LEN(W227)=0,"",W227)</f>
        <v/>
      </c>
    </row>
    <row r="228" spans="3:43" x14ac:dyDescent="0.35">
      <c r="D228" s="760"/>
      <c r="E228" s="760"/>
      <c r="F228" s="760"/>
      <c r="G228" s="760"/>
      <c r="H228" s="760"/>
      <c r="I228" s="760"/>
      <c r="J228" s="760"/>
      <c r="K228" s="760"/>
      <c r="L228" s="760"/>
      <c r="M228" s="760"/>
      <c r="N228" s="760"/>
      <c r="O228" s="760"/>
      <c r="W228" s="489"/>
      <c r="X228" s="817"/>
      <c r="Y228" s="1100"/>
    </row>
    <row r="229" spans="3:43" x14ac:dyDescent="0.35">
      <c r="D229" s="760"/>
      <c r="E229" s="760"/>
      <c r="F229" s="760"/>
      <c r="G229" s="760"/>
      <c r="H229" s="760"/>
      <c r="I229" s="760"/>
      <c r="J229" s="760"/>
      <c r="K229" s="760"/>
      <c r="L229" s="760"/>
      <c r="M229" s="760"/>
      <c r="N229" s="760"/>
      <c r="O229" s="760"/>
      <c r="W229" s="489"/>
      <c r="X229" s="817"/>
      <c r="Y229" s="1100"/>
    </row>
    <row r="230" spans="3:43" x14ac:dyDescent="0.35">
      <c r="D230" s="760"/>
      <c r="E230" s="760"/>
      <c r="F230" s="760"/>
      <c r="G230" s="760"/>
      <c r="H230" s="760"/>
      <c r="I230" s="760"/>
      <c r="J230" s="760"/>
      <c r="K230" s="760"/>
      <c r="L230" s="760"/>
      <c r="M230" s="760"/>
      <c r="N230" s="760"/>
      <c r="O230" s="760"/>
      <c r="W230" s="489"/>
      <c r="X230" s="817"/>
      <c r="Y230" s="1100"/>
    </row>
    <row r="231" spans="3:43" x14ac:dyDescent="0.35">
      <c r="W231" s="489"/>
      <c r="X231" s="817"/>
      <c r="Y231" s="1100"/>
    </row>
    <row r="232" spans="3:43" x14ac:dyDescent="0.35">
      <c r="X232" s="817"/>
      <c r="Y232" s="1100"/>
    </row>
    <row r="233" spans="3:43" x14ac:dyDescent="0.35">
      <c r="C233" t="s">
        <v>5315</v>
      </c>
      <c r="N233" s="765" t="s">
        <v>249</v>
      </c>
      <c r="O233" s="765"/>
      <c r="X233" s="817"/>
      <c r="Y233" s="1100"/>
    </row>
    <row r="234" spans="3:43" x14ac:dyDescent="0.35">
      <c r="C234" t="s">
        <v>5316</v>
      </c>
      <c r="N234" s="1033">
        <v>5</v>
      </c>
      <c r="O234" s="1033"/>
      <c r="W234" s="351">
        <f>'Verification Report'!O42</f>
        <v>0</v>
      </c>
      <c r="X234" s="817"/>
      <c r="Y234" s="1100"/>
    </row>
    <row r="235" spans="3:43" x14ac:dyDescent="0.35">
      <c r="C235" t="s">
        <v>5317</v>
      </c>
      <c r="N235" s="1033" t="s">
        <v>5411</v>
      </c>
      <c r="O235" s="1033"/>
      <c r="S235" t="b">
        <f ca="1">IF($AY$18=INDEX(INDIRECT("ddSingleOrMulti"),2),TRUE,FALSE)</f>
        <v>0</v>
      </c>
      <c r="W235" s="351">
        <f ca="1">('Verification Report'!O45+'Verification Report'!O50)*S235</f>
        <v>0</v>
      </c>
      <c r="X235" s="817"/>
      <c r="Y235" s="1100"/>
    </row>
    <row r="236" spans="3:43" x14ac:dyDescent="0.35">
      <c r="C236" t="s">
        <v>5318</v>
      </c>
      <c r="N236" s="1033">
        <v>6</v>
      </c>
      <c r="O236" s="1033"/>
      <c r="W236" s="351">
        <f>'Verification Report'!O21</f>
        <v>0</v>
      </c>
      <c r="X236" s="817"/>
      <c r="Y236" s="1100"/>
    </row>
    <row r="237" spans="3:43" x14ac:dyDescent="0.35">
      <c r="C237" t="s">
        <v>5319</v>
      </c>
      <c r="N237" s="1033">
        <v>5</v>
      </c>
      <c r="O237" s="1033"/>
      <c r="W237" s="351">
        <f>'Verification Report'!O55</f>
        <v>0</v>
      </c>
      <c r="X237" s="817"/>
      <c r="Y237" s="1100"/>
    </row>
    <row r="238" spans="3:43" x14ac:dyDescent="0.35">
      <c r="C238" t="s">
        <v>5320</v>
      </c>
      <c r="N238" s="1033" t="s">
        <v>5412</v>
      </c>
      <c r="O238" s="1033"/>
      <c r="S238" t="b">
        <f ca="1">IF($AY$18=INDEX(INDIRECT("ddSingleOrMulti"),2),TRUE,FALSE)</f>
        <v>0</v>
      </c>
      <c r="W238" s="351">
        <f ca="1">'Verification Report'!O282*S238</f>
        <v>0</v>
      </c>
      <c r="X238" s="817"/>
      <c r="Y238" s="1100"/>
    </row>
    <row r="239" spans="3:43" x14ac:dyDescent="0.35">
      <c r="O239"/>
      <c r="W239"/>
    </row>
    <row r="240" spans="3:43" x14ac:dyDescent="0.35">
      <c r="O240"/>
      <c r="W240"/>
    </row>
    <row r="241" spans="3:45" x14ac:dyDescent="0.35">
      <c r="C241" s="216" t="s">
        <v>5321</v>
      </c>
      <c r="O241"/>
      <c r="W241"/>
    </row>
    <row r="242" spans="3:45" x14ac:dyDescent="0.35">
      <c r="C242" s="639" t="s">
        <v>5251</v>
      </c>
      <c r="O242"/>
      <c r="W242"/>
    </row>
    <row r="243" spans="3:45" x14ac:dyDescent="0.35">
      <c r="D243" t="s">
        <v>5322</v>
      </c>
      <c r="O243"/>
      <c r="W243"/>
    </row>
    <row r="244" spans="3:45" x14ac:dyDescent="0.35">
      <c r="D244" t="s">
        <v>5413</v>
      </c>
      <c r="O244"/>
      <c r="W244"/>
    </row>
    <row r="245" spans="3:45" x14ac:dyDescent="0.35">
      <c r="C245" s="639" t="s">
        <v>5403</v>
      </c>
      <c r="N245" s="765" t="s">
        <v>249</v>
      </c>
      <c r="O245" s="765"/>
      <c r="W245"/>
    </row>
    <row r="246" spans="3:45" x14ac:dyDescent="0.35">
      <c r="C246" t="s">
        <v>5323</v>
      </c>
      <c r="N246" s="1033" t="s">
        <v>4106</v>
      </c>
      <c r="O246" s="1033"/>
      <c r="W246" s="351" t="str">
        <f>IF(AND('Verification Report'!O462&gt;0,'Verification Report'!O467&gt;0),"Met","Not Met")</f>
        <v>Not Met</v>
      </c>
      <c r="X246" s="817"/>
      <c r="Y246" s="1100" t="str">
        <f>IF(LEN('Badges (Design)'!X246)=0,"None",'Badges (Design)'!X246)</f>
        <v>None</v>
      </c>
      <c r="AR246" t="s">
        <v>5567</v>
      </c>
      <c r="AS246" t="str">
        <f>IF(LEN(X246)=0,"",X246)</f>
        <v/>
      </c>
    </row>
    <row r="247" spans="3:45" x14ac:dyDescent="0.35">
      <c r="C247" t="s">
        <v>5324</v>
      </c>
      <c r="N247" s="1033" t="s">
        <v>5658</v>
      </c>
      <c r="O247" s="1033"/>
      <c r="S247" t="b">
        <f ca="1">IF($AY$18=INDEX(INDIRECT("ddSingleOrMulti"),2),TRUE,FALSE)</f>
        <v>0</v>
      </c>
      <c r="W247" s="351">
        <f ca="1">'Verification Report'!O525*S247</f>
        <v>0</v>
      </c>
      <c r="X247" s="817"/>
      <c r="Y247" s="1100"/>
    </row>
    <row r="248" spans="3:45" x14ac:dyDescent="0.35">
      <c r="C248" t="s">
        <v>5325</v>
      </c>
      <c r="N248" s="1033" t="s">
        <v>5326</v>
      </c>
      <c r="O248" s="1033"/>
      <c r="W248" s="351">
        <f ca="1">'Verification Report'!O510</f>
        <v>0</v>
      </c>
      <c r="X248" s="817"/>
      <c r="Y248" s="1100"/>
    </row>
    <row r="249" spans="3:45" x14ac:dyDescent="0.35">
      <c r="O249"/>
      <c r="W249"/>
    </row>
    <row r="250" spans="3:45" x14ac:dyDescent="0.35">
      <c r="O250"/>
      <c r="W250"/>
    </row>
    <row r="251" spans="3:45" x14ac:dyDescent="0.35">
      <c r="C251" s="216" t="s">
        <v>5327</v>
      </c>
      <c r="O251"/>
      <c r="W251"/>
    </row>
    <row r="252" spans="3:45" x14ac:dyDescent="0.35">
      <c r="C252" s="639" t="s">
        <v>5251</v>
      </c>
      <c r="O252"/>
      <c r="W252"/>
    </row>
    <row r="253" spans="3:45" x14ac:dyDescent="0.35">
      <c r="D253" t="s">
        <v>5322</v>
      </c>
      <c r="O253"/>
      <c r="W253"/>
    </row>
    <row r="254" spans="3:45" x14ac:dyDescent="0.35">
      <c r="D254" t="s">
        <v>5413</v>
      </c>
      <c r="O254"/>
      <c r="W254"/>
    </row>
    <row r="255" spans="3:45" x14ac:dyDescent="0.35">
      <c r="C255" s="639" t="s">
        <v>5403</v>
      </c>
      <c r="N255" s="1033" t="s">
        <v>249</v>
      </c>
      <c r="O255" s="1033"/>
      <c r="W255"/>
    </row>
    <row r="256" spans="3:45" x14ac:dyDescent="0.35">
      <c r="C256" t="s">
        <v>5328</v>
      </c>
      <c r="N256" s="1033" t="s">
        <v>4106</v>
      </c>
      <c r="O256" s="1033"/>
      <c r="P256" t="b">
        <v>1</v>
      </c>
      <c r="Q256" t="b">
        <v>1</v>
      </c>
      <c r="R256" t="b">
        <f>R202</f>
        <v>0</v>
      </c>
      <c r="S256" t="b">
        <v>1</v>
      </c>
      <c r="T256" t="b">
        <v>0</v>
      </c>
      <c r="U256" t="s">
        <v>5604</v>
      </c>
      <c r="W256" s="643"/>
      <c r="X256" s="817"/>
      <c r="Y256" s="1100" t="str">
        <f>IF(LEN('Badges (Design)'!X256)=0,"None",'Badges (Design)'!X256)</f>
        <v>None</v>
      </c>
      <c r="AC256" t="b">
        <f>OR(AD256:AE256)</f>
        <v>0</v>
      </c>
      <c r="AD256" t="b">
        <f>T256</f>
        <v>0</v>
      </c>
      <c r="AE256" t="b">
        <f>AND(R256=TRUE,OR(LEN(W256)=0,W256="Not Met"))</f>
        <v>0</v>
      </c>
      <c r="AF256" t="b">
        <f>AND(AE256,NOT(Q256))</f>
        <v>0</v>
      </c>
      <c r="AP256" t="s">
        <v>5612</v>
      </c>
      <c r="AQ256" t="str">
        <f>IF(LEN(W256)=0,"",W256)</f>
        <v/>
      </c>
      <c r="AR256" t="s">
        <v>5568</v>
      </c>
      <c r="AS256" t="str">
        <f>IF(LEN(X256)=0,"",X256)</f>
        <v/>
      </c>
    </row>
    <row r="257" spans="3:45" x14ac:dyDescent="0.35">
      <c r="C257" t="s">
        <v>5329</v>
      </c>
      <c r="N257" s="765">
        <v>2</v>
      </c>
      <c r="O257" s="765"/>
      <c r="W257" s="351">
        <f>'Verification Report'!O2232</f>
        <v>0</v>
      </c>
      <c r="X257" s="817"/>
      <c r="Y257" s="1100"/>
    </row>
    <row r="258" spans="3:45" x14ac:dyDescent="0.35">
      <c r="O258"/>
      <c r="W258"/>
    </row>
    <row r="259" spans="3:45" x14ac:dyDescent="0.35">
      <c r="O259"/>
      <c r="W259"/>
    </row>
    <row r="260" spans="3:45" x14ac:dyDescent="0.35">
      <c r="C260" s="216" t="s">
        <v>5331</v>
      </c>
      <c r="O260"/>
      <c r="W260"/>
    </row>
    <row r="261" spans="3:45" x14ac:dyDescent="0.35">
      <c r="C261" s="639" t="s">
        <v>5251</v>
      </c>
      <c r="O261"/>
      <c r="W261"/>
    </row>
    <row r="262" spans="3:45" x14ac:dyDescent="0.35">
      <c r="D262" t="s">
        <v>5414</v>
      </c>
      <c r="O262"/>
      <c r="W262"/>
    </row>
    <row r="263" spans="3:45" x14ac:dyDescent="0.35">
      <c r="C263" s="639" t="s">
        <v>5403</v>
      </c>
      <c r="N263" s="1033" t="s">
        <v>249</v>
      </c>
      <c r="O263" s="1033"/>
      <c r="W263"/>
    </row>
    <row r="264" spans="3:45" x14ac:dyDescent="0.35">
      <c r="C264" t="s">
        <v>5332</v>
      </c>
      <c r="N264" s="1033" t="s">
        <v>5415</v>
      </c>
      <c r="O264" s="1033"/>
      <c r="S264" t="b">
        <f ca="1">IF($AY$18=INDEX(INDIRECT("ddSingleOrMulti"),2),TRUE,FALSE)</f>
        <v>0</v>
      </c>
      <c r="W264" s="351">
        <f ca="1">'Verification Report'!O286*S264</f>
        <v>0</v>
      </c>
      <c r="X264" s="817"/>
      <c r="Y264" s="1100" t="str">
        <f>IF(LEN('Badges (Design)'!X264)=0,"None",'Badges (Design)'!X264)</f>
        <v>None</v>
      </c>
      <c r="AR264" t="s">
        <v>5569</v>
      </c>
      <c r="AS264" t="str">
        <f>IF(LEN(X264)=0,"",X264)</f>
        <v/>
      </c>
    </row>
    <row r="265" spans="3:45" x14ac:dyDescent="0.35">
      <c r="C265" t="s">
        <v>5333</v>
      </c>
      <c r="N265" s="1033" t="s">
        <v>5407</v>
      </c>
      <c r="O265" s="1033"/>
      <c r="S265" t="b">
        <f ca="1">IF($AY$18=INDEX(INDIRECT("ddSingleOrMulti"),2),TRUE,FALSE)</f>
        <v>0</v>
      </c>
      <c r="W265" s="351">
        <f ca="1">'Verification Report'!O288*S265</f>
        <v>0</v>
      </c>
      <c r="X265" s="817"/>
      <c r="Y265" s="1100"/>
    </row>
    <row r="266" spans="3:45" x14ac:dyDescent="0.35">
      <c r="O266"/>
      <c r="W266"/>
    </row>
    <row r="267" spans="3:45" x14ac:dyDescent="0.35">
      <c r="O267"/>
      <c r="W267"/>
    </row>
    <row r="268" spans="3:45" x14ac:dyDescent="0.35">
      <c r="C268" s="216" t="s">
        <v>5334</v>
      </c>
      <c r="O268"/>
      <c r="W268"/>
    </row>
    <row r="269" spans="3:45" x14ac:dyDescent="0.35">
      <c r="C269" s="639" t="s">
        <v>5251</v>
      </c>
      <c r="O269"/>
      <c r="W269"/>
    </row>
    <row r="270" spans="3:45" x14ac:dyDescent="0.35">
      <c r="D270" t="s">
        <v>5414</v>
      </c>
      <c r="O270"/>
      <c r="W270"/>
    </row>
    <row r="271" spans="3:45" x14ac:dyDescent="0.35">
      <c r="C271" s="639" t="s">
        <v>5403</v>
      </c>
      <c r="N271" s="765" t="s">
        <v>249</v>
      </c>
      <c r="O271" s="765"/>
      <c r="W271"/>
    </row>
    <row r="272" spans="3:45" x14ac:dyDescent="0.35">
      <c r="C272" t="s">
        <v>5335</v>
      </c>
      <c r="N272" s="765">
        <v>1</v>
      </c>
      <c r="O272" s="765"/>
      <c r="W272" s="351">
        <f ca="1">'Verification Report'!O1357</f>
        <v>0</v>
      </c>
      <c r="X272" s="817"/>
      <c r="Y272" s="1100" t="str">
        <f>IF(LEN('Badges (Design)'!X272)=0,"None",'Badges (Design)'!X272)</f>
        <v>None</v>
      </c>
      <c r="AR272" t="s">
        <v>5570</v>
      </c>
      <c r="AS272" t="str">
        <f>IF(LEN(X272)=0,"",X272)</f>
        <v/>
      </c>
    </row>
    <row r="273" spans="3:45" x14ac:dyDescent="0.35">
      <c r="C273" t="s">
        <v>5336</v>
      </c>
      <c r="N273" s="765">
        <v>1</v>
      </c>
      <c r="O273" s="765"/>
      <c r="W273" s="351">
        <f>'Verification Report'!W1541*1</f>
        <v>0</v>
      </c>
      <c r="X273" s="817"/>
      <c r="Y273" s="1100"/>
    </row>
    <row r="274" spans="3:45" x14ac:dyDescent="0.35">
      <c r="O274"/>
      <c r="W274"/>
    </row>
    <row r="275" spans="3:45" x14ac:dyDescent="0.35">
      <c r="O275"/>
      <c r="W275"/>
    </row>
    <row r="276" spans="3:45" x14ac:dyDescent="0.35">
      <c r="C276" s="216" t="s">
        <v>5337</v>
      </c>
      <c r="O276"/>
      <c r="W276"/>
    </row>
    <row r="277" spans="3:45" x14ac:dyDescent="0.35">
      <c r="C277" s="639" t="s">
        <v>5251</v>
      </c>
      <c r="O277"/>
      <c r="W277"/>
    </row>
    <row r="278" spans="3:45" x14ac:dyDescent="0.35">
      <c r="D278" t="s">
        <v>5414</v>
      </c>
      <c r="O278"/>
      <c r="W278"/>
    </row>
    <row r="279" spans="3:45" x14ac:dyDescent="0.35">
      <c r="C279" s="639" t="s">
        <v>5403</v>
      </c>
      <c r="N279" s="765" t="s">
        <v>249</v>
      </c>
      <c r="O279" s="765"/>
      <c r="W279"/>
    </row>
    <row r="280" spans="3:45" x14ac:dyDescent="0.35">
      <c r="C280" t="s">
        <v>5338</v>
      </c>
      <c r="N280" s="1033" t="s">
        <v>5388</v>
      </c>
      <c r="O280" s="1033"/>
      <c r="W280" s="351">
        <f ca="1">'Verification Report'!O2243</f>
        <v>0</v>
      </c>
      <c r="X280" s="36"/>
      <c r="Y280" s="396" t="str">
        <f>IF(LEN('Badges (Design)'!X280)=0,"None",'Badges (Design)'!X280)</f>
        <v>None</v>
      </c>
      <c r="AR280" t="s">
        <v>5571</v>
      </c>
      <c r="AS280" t="str">
        <f>IF(LEN(X280)=0,"",X280)</f>
        <v/>
      </c>
    </row>
    <row r="281" spans="3:45" x14ac:dyDescent="0.35">
      <c r="O281"/>
      <c r="W281"/>
    </row>
    <row r="282" spans="3:45" x14ac:dyDescent="0.35">
      <c r="O282"/>
      <c r="W282"/>
    </row>
    <row r="283" spans="3:45" x14ac:dyDescent="0.35">
      <c r="C283" s="216" t="s">
        <v>5339</v>
      </c>
      <c r="O283"/>
      <c r="W283"/>
    </row>
    <row r="284" spans="3:45" x14ac:dyDescent="0.35">
      <c r="C284" s="639" t="s">
        <v>5251</v>
      </c>
      <c r="O284"/>
      <c r="W284"/>
    </row>
    <row r="285" spans="3:45" x14ac:dyDescent="0.35">
      <c r="D285" t="s">
        <v>5419</v>
      </c>
      <c r="O285"/>
      <c r="W285"/>
    </row>
    <row r="286" spans="3:45" x14ac:dyDescent="0.35">
      <c r="C286" s="639" t="s">
        <v>5403</v>
      </c>
      <c r="N286" s="1033" t="s">
        <v>249</v>
      </c>
      <c r="O286" s="1033"/>
      <c r="W286"/>
    </row>
    <row r="287" spans="3:45" x14ac:dyDescent="0.35">
      <c r="C287" t="s">
        <v>5340</v>
      </c>
      <c r="N287" s="1033" t="s">
        <v>5330</v>
      </c>
      <c r="O287" s="1033"/>
      <c r="W287" s="351">
        <f>'Verification Report'!O821</f>
        <v>0</v>
      </c>
      <c r="X287" s="817"/>
      <c r="Y287" s="1100" t="str">
        <f>IF(LEN('Badges (Design)'!X287)=0,"None",'Badges (Design)'!X287)</f>
        <v>None</v>
      </c>
      <c r="AR287" t="s">
        <v>5572</v>
      </c>
      <c r="AS287" t="str">
        <f>IF(LEN(X287)=0,"",X287)</f>
        <v/>
      </c>
    </row>
    <row r="288" spans="3:45" x14ac:dyDescent="0.35">
      <c r="C288" t="s">
        <v>5341</v>
      </c>
      <c r="N288" s="1033" t="s">
        <v>5345</v>
      </c>
      <c r="O288" s="1033"/>
      <c r="W288" s="351">
        <f>'Verification Report'!O1957+'Verification Report'!O1959</f>
        <v>0</v>
      </c>
      <c r="X288" s="817"/>
      <c r="Y288" s="1100"/>
    </row>
    <row r="289" spans="3:45" x14ac:dyDescent="0.35">
      <c r="C289" t="s">
        <v>5342</v>
      </c>
      <c r="N289" s="1033" t="s">
        <v>5346</v>
      </c>
      <c r="O289" s="1033"/>
      <c r="W289" s="351">
        <f>'Verification Report'!O1964</f>
        <v>0</v>
      </c>
      <c r="X289" s="817"/>
      <c r="Y289" s="1100"/>
    </row>
    <row r="290" spans="3:45" x14ac:dyDescent="0.35">
      <c r="C290" t="s">
        <v>5343</v>
      </c>
      <c r="N290" s="1033">
        <v>4</v>
      </c>
      <c r="O290" s="1033"/>
      <c r="W290" s="351">
        <f>'Verification Report'!O1985</f>
        <v>0</v>
      </c>
      <c r="X290" s="817"/>
      <c r="Y290" s="1100"/>
    </row>
    <row r="291" spans="3:45" x14ac:dyDescent="0.35">
      <c r="C291" t="s">
        <v>5344</v>
      </c>
      <c r="N291" s="1033" t="s">
        <v>5416</v>
      </c>
      <c r="O291" s="1033"/>
      <c r="S291" t="b">
        <f ca="1">IF($AY$18=INDEX(INDIRECT("ddSingleOrMulti"),2),TRUE,FALSE)</f>
        <v>0</v>
      </c>
      <c r="W291" s="351">
        <f ca="1">'Verification Report'!O2030*S291</f>
        <v>0</v>
      </c>
      <c r="X291" s="817"/>
      <c r="Y291" s="1100"/>
    </row>
    <row r="292" spans="3:45" x14ac:dyDescent="0.35">
      <c r="O292"/>
      <c r="W292"/>
    </row>
    <row r="293" spans="3:45" x14ac:dyDescent="0.35">
      <c r="O293"/>
      <c r="W293"/>
    </row>
    <row r="294" spans="3:45" x14ac:dyDescent="0.35">
      <c r="C294" s="216" t="s">
        <v>5347</v>
      </c>
      <c r="O294"/>
      <c r="W294"/>
    </row>
    <row r="295" spans="3:45" x14ac:dyDescent="0.35">
      <c r="C295" s="639" t="s">
        <v>5251</v>
      </c>
      <c r="O295"/>
      <c r="W295"/>
    </row>
    <row r="296" spans="3:45" x14ac:dyDescent="0.35">
      <c r="D296" t="s">
        <v>5417</v>
      </c>
      <c r="O296"/>
      <c r="W296"/>
    </row>
    <row r="297" spans="3:45" x14ac:dyDescent="0.35">
      <c r="C297" s="639" t="s">
        <v>5403</v>
      </c>
      <c r="N297" s="765" t="s">
        <v>249</v>
      </c>
      <c r="O297" s="765"/>
      <c r="W297"/>
    </row>
    <row r="298" spans="3:45" x14ac:dyDescent="0.35">
      <c r="C298" t="s">
        <v>5348</v>
      </c>
      <c r="N298" s="765">
        <v>3</v>
      </c>
      <c r="O298" s="765"/>
      <c r="W298" s="351">
        <f>'Verification Report'!W189*3</f>
        <v>0</v>
      </c>
      <c r="X298" s="817"/>
      <c r="Y298" s="1100" t="str">
        <f>IF(LEN('Badges (Design)'!X298)=0,"None",'Badges (Design)'!X298)</f>
        <v>None</v>
      </c>
      <c r="AR298" t="s">
        <v>5573</v>
      </c>
      <c r="AS298" t="str">
        <f>IF(LEN(X298)=0,"",X298)</f>
        <v/>
      </c>
    </row>
    <row r="299" spans="3:45" x14ac:dyDescent="0.35">
      <c r="C299" t="s">
        <v>5349</v>
      </c>
      <c r="N299" s="765">
        <v>3</v>
      </c>
      <c r="O299" s="765"/>
      <c r="W299" s="351">
        <f>'Verification Report'!W190*3</f>
        <v>0</v>
      </c>
      <c r="X299" s="817"/>
      <c r="Y299" s="1100"/>
    </row>
    <row r="300" spans="3:45" x14ac:dyDescent="0.35">
      <c r="C300" t="s">
        <v>5350</v>
      </c>
      <c r="N300" s="765">
        <v>3</v>
      </c>
      <c r="O300" s="765"/>
      <c r="W300" s="351">
        <f>'Verification Report'!W191*3</f>
        <v>0</v>
      </c>
      <c r="X300" s="817"/>
      <c r="Y300" s="1100"/>
    </row>
    <row r="301" spans="3:45" x14ac:dyDescent="0.35">
      <c r="O301"/>
      <c r="W301"/>
    </row>
    <row r="302" spans="3:45" x14ac:dyDescent="0.35">
      <c r="N302" s="1005" t="s">
        <v>5389</v>
      </c>
      <c r="O302" s="1005"/>
      <c r="W302"/>
    </row>
    <row r="303" spans="3:45" ht="15" customHeight="1" x14ac:dyDescent="0.35">
      <c r="N303" s="1005">
        <f ca="1">SUM(W208:W214)+SUM(W234:W238)+SUM(W247:W248)+W257+SUM(W264:W265)+SUM(W272:W273)+W280+SUM(W287:W291)+SUM(W298:W300)</f>
        <v>0</v>
      </c>
      <c r="O303" s="1005"/>
    </row>
    <row r="304" spans="3:45" ht="15" customHeight="1" x14ac:dyDescent="0.35">
      <c r="N304" s="963" t="str">
        <f ca="1">IF(N303&lt;29,"need "&amp;29-N303&amp;" more","")</f>
        <v>need 29 more</v>
      </c>
      <c r="O304" s="963"/>
    </row>
    <row r="305" spans="2:25" ht="15" customHeight="1" x14ac:dyDescent="0.35"/>
    <row r="306" spans="2:25" x14ac:dyDescent="0.35">
      <c r="B306" s="446"/>
      <c r="O306"/>
      <c r="W306"/>
    </row>
    <row r="307" spans="2:25" x14ac:dyDescent="0.35">
      <c r="B307" s="1006" t="s">
        <v>5248</v>
      </c>
      <c r="C307" s="1006"/>
      <c r="D307" s="1006"/>
      <c r="G307" s="1031" t="str">
        <f>IF(W311&lt;=0,"Earned","Not Earned")</f>
        <v>Not Earned</v>
      </c>
      <c r="H307" s="1018"/>
      <c r="I307" s="1018"/>
      <c r="J307" s="1018"/>
      <c r="K307" s="1018"/>
      <c r="L307" s="1018"/>
      <c r="M307" s="1018"/>
      <c r="N307" s="1018"/>
      <c r="O307" s="1019"/>
      <c r="W307"/>
    </row>
    <row r="308" spans="2:25" ht="15" thickBot="1" x14ac:dyDescent="0.4">
      <c r="B308" s="1007"/>
      <c r="C308" s="1007"/>
      <c r="D308" s="1007"/>
      <c r="E308" s="55"/>
      <c r="F308" s="55"/>
      <c r="G308" s="1032"/>
      <c r="H308" s="1020"/>
      <c r="I308" s="1020"/>
      <c r="J308" s="1020"/>
      <c r="K308" s="1020"/>
      <c r="L308" s="1020"/>
      <c r="M308" s="1020"/>
      <c r="N308" s="1020"/>
      <c r="O308" s="1021"/>
      <c r="P308" s="55"/>
      <c r="Q308" s="55"/>
      <c r="R308" s="55"/>
      <c r="S308" s="55"/>
      <c r="T308" s="55"/>
      <c r="U308" s="55"/>
      <c r="V308" s="55"/>
      <c r="W308" s="55"/>
      <c r="X308" s="55"/>
      <c r="Y308" s="55"/>
    </row>
    <row r="309" spans="2:25" ht="15" thickTop="1" x14ac:dyDescent="0.35">
      <c r="O309"/>
      <c r="W309"/>
    </row>
    <row r="310" spans="2:25" x14ac:dyDescent="0.35">
      <c r="O310"/>
      <c r="W310"/>
    </row>
    <row r="311" spans="2:25" x14ac:dyDescent="0.35">
      <c r="N311" t="s">
        <v>5351</v>
      </c>
      <c r="O311"/>
      <c r="W311" s="638" t="str">
        <f>IF(LEN('Verification Report'!W1868)=0, "WRI not Entered",'Verification Report'!W1868)</f>
        <v>WRI not Entered</v>
      </c>
    </row>
    <row r="312" spans="2:25" x14ac:dyDescent="0.35">
      <c r="O312"/>
      <c r="W312"/>
    </row>
    <row r="313" spans="2:25" ht="15" thickBot="1" x14ac:dyDescent="0.4">
      <c r="B313" s="55"/>
      <c r="C313" s="55"/>
      <c r="D313" s="55"/>
      <c r="E313" s="55"/>
      <c r="F313" s="55"/>
      <c r="G313" s="55"/>
      <c r="H313" s="55"/>
      <c r="I313" s="55"/>
      <c r="J313" s="55"/>
      <c r="K313" s="55"/>
      <c r="L313" s="55"/>
      <c r="M313" s="55"/>
      <c r="N313" s="55"/>
      <c r="O313" s="635"/>
      <c r="P313" s="55"/>
      <c r="Q313" s="55"/>
      <c r="R313" s="55"/>
      <c r="S313" s="55"/>
      <c r="T313" s="55"/>
      <c r="U313" s="55"/>
      <c r="V313" s="55"/>
      <c r="W313" s="635"/>
      <c r="X313" s="55"/>
      <c r="Y313" s="55"/>
    </row>
    <row r="314" spans="2:25" ht="15" thickTop="1" x14ac:dyDescent="0.35"/>
    <row r="315" spans="2:25" ht="15" thickBot="1" x14ac:dyDescent="0.4">
      <c r="C315" s="1148" t="s">
        <v>3860</v>
      </c>
      <c r="D315" s="1148"/>
      <c r="E315" s="1148"/>
      <c r="F315" s="1148"/>
      <c r="G315" s="55"/>
      <c r="H315" s="55"/>
      <c r="I315" s="55"/>
      <c r="J315" s="55"/>
      <c r="K315" s="55"/>
      <c r="L315" s="55"/>
      <c r="M315" s="635"/>
      <c r="N315" s="55"/>
      <c r="O315" s="55"/>
      <c r="P315" s="55"/>
      <c r="Q315" s="55"/>
      <c r="R315" s="55"/>
      <c r="S315" s="55"/>
      <c r="T315" s="55"/>
      <c r="U315" s="635"/>
      <c r="V315" s="55"/>
      <c r="W315" s="55"/>
      <c r="X315" s="55"/>
      <c r="Y315" s="55"/>
    </row>
    <row r="316" spans="2:25" ht="15" thickTop="1" x14ac:dyDescent="0.35">
      <c r="E316" s="21"/>
      <c r="F316" s="21"/>
    </row>
    <row r="317" spans="2:25" x14ac:dyDescent="0.35">
      <c r="E317" s="1149" t="s">
        <v>5418</v>
      </c>
      <c r="F317" s="1149"/>
      <c r="G317" s="1149"/>
      <c r="H317" s="1149"/>
      <c r="I317" s="1149"/>
      <c r="J317" s="1149"/>
      <c r="K317" s="1149"/>
      <c r="L317" s="1149"/>
      <c r="M317" s="1149"/>
      <c r="N317" s="1149"/>
      <c r="O317" s="1149"/>
      <c r="P317" s="1149"/>
      <c r="Q317" s="1149"/>
      <c r="R317" s="1149"/>
      <c r="S317" s="1149"/>
      <c r="T317" s="1149"/>
      <c r="U317" s="1149"/>
      <c r="V317" s="1149"/>
      <c r="W317" s="1149"/>
      <c r="X317" s="1149"/>
      <c r="Y317" s="1149"/>
    </row>
    <row r="318" spans="2:25" x14ac:dyDescent="0.35">
      <c r="E318" s="1149"/>
      <c r="F318" s="1149"/>
      <c r="G318" s="1149"/>
      <c r="H318" s="1149"/>
      <c r="I318" s="1149"/>
      <c r="J318" s="1149"/>
      <c r="K318" s="1149"/>
      <c r="L318" s="1149"/>
      <c r="M318" s="1149"/>
      <c r="N318" s="1149"/>
      <c r="O318" s="1149"/>
      <c r="P318" s="1149"/>
      <c r="Q318" s="1149"/>
      <c r="R318" s="1149"/>
      <c r="S318" s="1149"/>
      <c r="T318" s="1149"/>
      <c r="U318" s="1149"/>
      <c r="V318" s="1149"/>
      <c r="W318" s="1149"/>
      <c r="X318" s="1149"/>
      <c r="Y318" s="1149"/>
    </row>
    <row r="319" spans="2:25" x14ac:dyDescent="0.35">
      <c r="C319" s="33"/>
      <c r="D319" s="33"/>
    </row>
    <row r="320" spans="2:25" x14ac:dyDescent="0.35">
      <c r="C320" s="812" t="s">
        <v>3862</v>
      </c>
      <c r="D320" s="811"/>
      <c r="E320" s="1144"/>
      <c r="F320" s="1144"/>
      <c r="G320" s="1144"/>
      <c r="H320" s="1144"/>
      <c r="I320" s="1144"/>
      <c r="J320" s="1144"/>
      <c r="K320" s="1144"/>
      <c r="L320" s="1144"/>
    </row>
    <row r="321" spans="1:23" x14ac:dyDescent="0.35">
      <c r="C321" s="811"/>
      <c r="D321" s="811"/>
      <c r="E321" s="1144"/>
      <c r="F321" s="1144"/>
      <c r="G321" s="1144"/>
      <c r="H321" s="1144"/>
      <c r="I321" s="1144"/>
      <c r="J321" s="1144"/>
      <c r="K321" s="1144"/>
      <c r="L321" s="1144"/>
    </row>
    <row r="322" spans="1:23" ht="3" customHeight="1" x14ac:dyDescent="0.35">
      <c r="A322" s="216"/>
      <c r="B322" s="216"/>
      <c r="O322"/>
      <c r="W322"/>
    </row>
    <row r="323" spans="1:23" x14ac:dyDescent="0.35">
      <c r="B323" s="771" t="s">
        <v>3861</v>
      </c>
      <c r="C323" s="771"/>
      <c r="D323" s="1044"/>
      <c r="E323" s="1145"/>
      <c r="F323" s="1145"/>
      <c r="G323" s="1145"/>
      <c r="H323" s="1145"/>
      <c r="I323" s="1145"/>
      <c r="J323" s="1145"/>
      <c r="K323" s="1145"/>
      <c r="L323" s="1145"/>
      <c r="M323" s="1145"/>
      <c r="N323" s="1145"/>
      <c r="O323" s="1145"/>
      <c r="P323" s="1145"/>
      <c r="Q323" s="1145"/>
      <c r="R323" s="1145"/>
      <c r="S323" s="1145"/>
      <c r="T323" s="1145"/>
      <c r="U323" s="1145"/>
      <c r="V323" s="1145"/>
      <c r="W323" s="1145"/>
    </row>
    <row r="324" spans="1:23" x14ac:dyDescent="0.35">
      <c r="C324" s="771"/>
      <c r="D324" s="771"/>
      <c r="E324" s="1145"/>
      <c r="F324" s="1145"/>
      <c r="G324" s="1145"/>
      <c r="H324" s="1145"/>
      <c r="I324" s="1145"/>
      <c r="J324" s="1145"/>
      <c r="K324" s="1145"/>
      <c r="L324" s="1145"/>
      <c r="M324" s="1145"/>
      <c r="N324" s="1145"/>
      <c r="O324" s="1145"/>
      <c r="P324" s="1145"/>
      <c r="Q324" s="1145"/>
      <c r="R324" s="1145"/>
      <c r="S324" s="1145"/>
      <c r="T324" s="1145"/>
      <c r="U324" s="1145"/>
      <c r="V324" s="1145"/>
      <c r="W324" s="1145"/>
    </row>
    <row r="325" spans="1:23" x14ac:dyDescent="0.35">
      <c r="C325" s="771"/>
      <c r="D325" s="771"/>
      <c r="E325" s="1145"/>
      <c r="F325" s="1145"/>
      <c r="G325" s="1145"/>
      <c r="H325" s="1145"/>
      <c r="I325" s="1145"/>
      <c r="J325" s="1145"/>
      <c r="K325" s="1145"/>
      <c r="L325" s="1145"/>
      <c r="M325" s="1145"/>
      <c r="N325" s="1145"/>
      <c r="O325" s="1145"/>
      <c r="P325" s="1145"/>
      <c r="Q325" s="1145"/>
      <c r="R325" s="1145"/>
      <c r="S325" s="1145"/>
      <c r="T325" s="1145"/>
      <c r="U325" s="1145"/>
      <c r="V325" s="1145"/>
      <c r="W325" s="1145"/>
    </row>
    <row r="326" spans="1:23" ht="3" customHeight="1" x14ac:dyDescent="0.35">
      <c r="A326" s="216"/>
      <c r="B326" s="216"/>
      <c r="O326"/>
      <c r="W326"/>
    </row>
    <row r="327" spans="1:23" x14ac:dyDescent="0.35">
      <c r="C327" s="771" t="s">
        <v>3856</v>
      </c>
      <c r="D327" s="771"/>
      <c r="E327" s="1146"/>
      <c r="F327" s="1146"/>
      <c r="G327" s="1146"/>
      <c r="H327" s="1146"/>
      <c r="I327" s="1146"/>
    </row>
    <row r="328" spans="1:23" ht="3" customHeight="1" x14ac:dyDescent="0.35">
      <c r="A328" s="216"/>
      <c r="B328" s="216"/>
      <c r="O328"/>
      <c r="W328"/>
    </row>
    <row r="329" spans="1:23" x14ac:dyDescent="0.35">
      <c r="C329" s="771" t="s">
        <v>3857</v>
      </c>
      <c r="D329" s="771"/>
      <c r="E329" s="1146"/>
      <c r="F329" s="1146"/>
      <c r="G329" s="1146"/>
      <c r="H329" s="1146"/>
      <c r="I329" s="1146"/>
    </row>
    <row r="330" spans="1:23" ht="3" customHeight="1" x14ac:dyDescent="0.35">
      <c r="A330" s="216"/>
      <c r="B330" s="216"/>
      <c r="O330"/>
      <c r="W330"/>
    </row>
    <row r="331" spans="1:23" x14ac:dyDescent="0.35">
      <c r="C331" s="771" t="s">
        <v>3858</v>
      </c>
      <c r="D331" s="771"/>
      <c r="E331" s="1146"/>
      <c r="F331" s="1146"/>
      <c r="G331" s="1146"/>
      <c r="H331" s="1146"/>
      <c r="I331" s="1146"/>
    </row>
    <row r="332" spans="1:23" ht="3" customHeight="1" x14ac:dyDescent="0.35">
      <c r="A332" s="216"/>
      <c r="B332" s="216"/>
      <c r="O332"/>
      <c r="W332"/>
    </row>
    <row r="333" spans="1:23" x14ac:dyDescent="0.35">
      <c r="C333" s="771" t="s">
        <v>3863</v>
      </c>
      <c r="D333" s="771"/>
      <c r="E333" s="1146"/>
      <c r="F333" s="1146"/>
      <c r="G333" s="1146"/>
      <c r="H333" s="1146"/>
      <c r="I333" s="1146"/>
      <c r="J333" s="1147" t="s">
        <v>4097</v>
      </c>
      <c r="K333" s="1147"/>
    </row>
    <row r="334" spans="1:23" ht="3" customHeight="1" x14ac:dyDescent="0.35">
      <c r="A334" s="216"/>
      <c r="B334" s="216"/>
      <c r="J334" s="1147"/>
      <c r="K334" s="1147"/>
      <c r="O334"/>
      <c r="W334"/>
    </row>
    <row r="335" spans="1:23" x14ac:dyDescent="0.35">
      <c r="C335" s="771" t="s">
        <v>3864</v>
      </c>
      <c r="D335" s="771"/>
      <c r="E335" s="1146"/>
      <c r="F335" s="1146"/>
      <c r="G335" s="1146"/>
      <c r="H335" s="1146"/>
      <c r="I335" s="1146"/>
      <c r="J335" s="1147"/>
      <c r="K335" s="1147"/>
    </row>
    <row r="336" spans="1:23" ht="3" customHeight="1" x14ac:dyDescent="0.35">
      <c r="A336" s="216"/>
      <c r="B336" s="216"/>
      <c r="O336"/>
      <c r="W336"/>
    </row>
    <row r="337" spans="3:10" x14ac:dyDescent="0.35">
      <c r="C337" s="771" t="s">
        <v>3859</v>
      </c>
      <c r="D337" s="771"/>
      <c r="E337" s="1146"/>
      <c r="F337" s="1146"/>
      <c r="G337" s="1146"/>
      <c r="H337" s="1146"/>
      <c r="I337" s="1146"/>
      <c r="J337" s="380" t="s">
        <v>3865</v>
      </c>
    </row>
    <row r="338" spans="3:10" x14ac:dyDescent="0.35">
      <c r="F338" s="381"/>
    </row>
  </sheetData>
  <sheetProtection algorithmName="SHA-512" hashValue="31cNVuB4CvvpkBrvRA1NRtFdPPuUs3RLxpp4xmp3hB6kEmjYQg0KnltNoFPu2GiVWECAj14+mrSoTp7K7jOmuw==" saltValue="TsFL4q4+YPkeO0syPuYgpw==" spinCount="100000" sheet="1" objects="1" scenarios="1" selectLockedCells="1" autoFilter="0"/>
  <mergeCells count="216">
    <mergeCell ref="Y58:Y59"/>
    <mergeCell ref="Y50:Y51"/>
    <mergeCell ref="Y29:Y31"/>
    <mergeCell ref="Y24:Y25"/>
    <mergeCell ref="Y18:Y19"/>
    <mergeCell ref="Y162:Y163"/>
    <mergeCell ref="Y152:Y155"/>
    <mergeCell ref="Y139:Y144"/>
    <mergeCell ref="Y125:Y131"/>
    <mergeCell ref="Y110:Y112"/>
    <mergeCell ref="Y97:Y99"/>
    <mergeCell ref="Y77:Y78"/>
    <mergeCell ref="Y74:Y76"/>
    <mergeCell ref="Y66:Y67"/>
    <mergeCell ref="Y298:Y300"/>
    <mergeCell ref="Y287:Y291"/>
    <mergeCell ref="Y272:Y273"/>
    <mergeCell ref="Y264:Y265"/>
    <mergeCell ref="Y256:Y257"/>
    <mergeCell ref="Y246:Y248"/>
    <mergeCell ref="Y222:Y238"/>
    <mergeCell ref="Y203:Y214"/>
    <mergeCell ref="Y166:Y167"/>
    <mergeCell ref="X29:X31"/>
    <mergeCell ref="X24:X25"/>
    <mergeCell ref="X110:X112"/>
    <mergeCell ref="D58:M58"/>
    <mergeCell ref="D54:M54"/>
    <mergeCell ref="D55:M55"/>
    <mergeCell ref="E50:M50"/>
    <mergeCell ref="D49:M49"/>
    <mergeCell ref="D39:M39"/>
    <mergeCell ref="D40:M40"/>
    <mergeCell ref="D41:M41"/>
    <mergeCell ref="X97:X99"/>
    <mergeCell ref="D42:M42"/>
    <mergeCell ref="D43:M43"/>
    <mergeCell ref="D44:M44"/>
    <mergeCell ref="D45:M45"/>
    <mergeCell ref="D46:M46"/>
    <mergeCell ref="D47:M47"/>
    <mergeCell ref="D48:M48"/>
    <mergeCell ref="D81:M81"/>
    <mergeCell ref="D82:M82"/>
    <mergeCell ref="D83:M83"/>
    <mergeCell ref="D84:M84"/>
    <mergeCell ref="D85:M85"/>
    <mergeCell ref="X125:X131"/>
    <mergeCell ref="X139:X144"/>
    <mergeCell ref="X152:X155"/>
    <mergeCell ref="X162:X163"/>
    <mergeCell ref="X166:X167"/>
    <mergeCell ref="D166:M167"/>
    <mergeCell ref="G89:O90"/>
    <mergeCell ref="G116:O117"/>
    <mergeCell ref="N130:O130"/>
    <mergeCell ref="N131:O131"/>
    <mergeCell ref="N125:O125"/>
    <mergeCell ref="B89:D90"/>
    <mergeCell ref="C110:L111"/>
    <mergeCell ref="N151:O151"/>
    <mergeCell ref="N213:O213"/>
    <mergeCell ref="D17:M17"/>
    <mergeCell ref="E18:M18"/>
    <mergeCell ref="D21:M21"/>
    <mergeCell ref="D22:M22"/>
    <mergeCell ref="G10:O11"/>
    <mergeCell ref="E24:M24"/>
    <mergeCell ref="D27:M27"/>
    <mergeCell ref="D28:M28"/>
    <mergeCell ref="D29:M29"/>
    <mergeCell ref="B10:F11"/>
    <mergeCell ref="D15:M15"/>
    <mergeCell ref="D16:M16"/>
    <mergeCell ref="C189:L190"/>
    <mergeCell ref="B173:F174"/>
    <mergeCell ref="N169:O169"/>
    <mergeCell ref="N204:O204"/>
    <mergeCell ref="N205:O205"/>
    <mergeCell ref="N206:O206"/>
    <mergeCell ref="N207:O207"/>
    <mergeCell ref="N208:O208"/>
    <mergeCell ref="N209:O209"/>
    <mergeCell ref="N210:O210"/>
    <mergeCell ref="C315:F315"/>
    <mergeCell ref="E317:Y318"/>
    <mergeCell ref="B116:E117"/>
    <mergeCell ref="D23:M23"/>
    <mergeCell ref="N124:O124"/>
    <mergeCell ref="N126:O126"/>
    <mergeCell ref="D33:M33"/>
    <mergeCell ref="D34:M34"/>
    <mergeCell ref="D35:M35"/>
    <mergeCell ref="E36:M36"/>
    <mergeCell ref="X203:X214"/>
    <mergeCell ref="X222:X238"/>
    <mergeCell ref="X246:X248"/>
    <mergeCell ref="X256:X257"/>
    <mergeCell ref="X264:X265"/>
    <mergeCell ref="X272:X273"/>
    <mergeCell ref="X287:X291"/>
    <mergeCell ref="X298:X300"/>
    <mergeCell ref="N153:O153"/>
    <mergeCell ref="N154:O154"/>
    <mergeCell ref="N235:O235"/>
    <mergeCell ref="B194:D195"/>
    <mergeCell ref="B307:D308"/>
    <mergeCell ref="N212:O212"/>
    <mergeCell ref="C327:D327"/>
    <mergeCell ref="E327:I327"/>
    <mergeCell ref="W97:W99"/>
    <mergeCell ref="C337:D337"/>
    <mergeCell ref="E337:I337"/>
    <mergeCell ref="C329:D329"/>
    <mergeCell ref="E329:I329"/>
    <mergeCell ref="C331:D331"/>
    <mergeCell ref="E331:I331"/>
    <mergeCell ref="C333:D333"/>
    <mergeCell ref="E333:I333"/>
    <mergeCell ref="J333:K335"/>
    <mergeCell ref="C335:D335"/>
    <mergeCell ref="E335:I335"/>
    <mergeCell ref="N127:O127"/>
    <mergeCell ref="N128:O128"/>
    <mergeCell ref="N129:O129"/>
    <mergeCell ref="N300:O300"/>
    <mergeCell ref="N297:O297"/>
    <mergeCell ref="N246:O246"/>
    <mergeCell ref="N279:O279"/>
    <mergeCell ref="N271:O271"/>
    <mergeCell ref="N263:O263"/>
    <mergeCell ref="N211:O211"/>
    <mergeCell ref="C320:D321"/>
    <mergeCell ref="E320:L321"/>
    <mergeCell ref="D63:M65"/>
    <mergeCell ref="D66:M67"/>
    <mergeCell ref="D74:M76"/>
    <mergeCell ref="D77:M78"/>
    <mergeCell ref="B323:D323"/>
    <mergeCell ref="E323:W325"/>
    <mergeCell ref="C324:D324"/>
    <mergeCell ref="C325:D325"/>
    <mergeCell ref="G173:O174"/>
    <mergeCell ref="G194:O195"/>
    <mergeCell ref="G307:O308"/>
    <mergeCell ref="N170:O170"/>
    <mergeCell ref="N304:O304"/>
    <mergeCell ref="N287:O287"/>
    <mergeCell ref="N288:O288"/>
    <mergeCell ref="N289:O289"/>
    <mergeCell ref="N290:O290"/>
    <mergeCell ref="N286:O286"/>
    <mergeCell ref="N233:O233"/>
    <mergeCell ref="N202:O202"/>
    <mergeCell ref="N161:O161"/>
    <mergeCell ref="N203:O203"/>
    <mergeCell ref="N234:O234"/>
    <mergeCell ref="N302:O302"/>
    <mergeCell ref="N303:O303"/>
    <mergeCell ref="N291:O291"/>
    <mergeCell ref="N298:O298"/>
    <mergeCell ref="N299:O299"/>
    <mergeCell ref="N280:O280"/>
    <mergeCell ref="N245:O245"/>
    <mergeCell ref="N256:O256"/>
    <mergeCell ref="N257:O257"/>
    <mergeCell ref="N264:O264"/>
    <mergeCell ref="N255:O255"/>
    <mergeCell ref="W1:W3"/>
    <mergeCell ref="X1:Y1"/>
    <mergeCell ref="X2:Y2"/>
    <mergeCell ref="X3:Y3"/>
    <mergeCell ref="X4:Y4"/>
    <mergeCell ref="X5:Y5"/>
    <mergeCell ref="N273:O273"/>
    <mergeCell ref="N236:O236"/>
    <mergeCell ref="N237:O237"/>
    <mergeCell ref="N238:O238"/>
    <mergeCell ref="N247:O247"/>
    <mergeCell ref="N248:O248"/>
    <mergeCell ref="N155:O155"/>
    <mergeCell ref="N162:O162"/>
    <mergeCell ref="N163:O163"/>
    <mergeCell ref="X66:X67"/>
    <mergeCell ref="X74:X76"/>
    <mergeCell ref="X77:X78"/>
    <mergeCell ref="W223:W226"/>
    <mergeCell ref="N265:O265"/>
    <mergeCell ref="N272:O272"/>
    <mergeCell ref="X18:X19"/>
    <mergeCell ref="X50:X51"/>
    <mergeCell ref="X58:X59"/>
    <mergeCell ref="X69:X73"/>
    <mergeCell ref="X80:X85"/>
    <mergeCell ref="Y69:Y73"/>
    <mergeCell ref="Y80:Y85"/>
    <mergeCell ref="D227:O230"/>
    <mergeCell ref="I7:M8"/>
    <mergeCell ref="D68:M68"/>
    <mergeCell ref="D69:M69"/>
    <mergeCell ref="D70:M70"/>
    <mergeCell ref="D71:M71"/>
    <mergeCell ref="D72:M72"/>
    <mergeCell ref="D73:M73"/>
    <mergeCell ref="D79:M79"/>
    <mergeCell ref="D80:M80"/>
    <mergeCell ref="N214:O214"/>
    <mergeCell ref="N138:O138"/>
    <mergeCell ref="N139:O139"/>
    <mergeCell ref="N140:O140"/>
    <mergeCell ref="N141:O141"/>
    <mergeCell ref="N142:O142"/>
    <mergeCell ref="N143:O143"/>
    <mergeCell ref="N144:O144"/>
    <mergeCell ref="N152:O152"/>
    <mergeCell ref="N168:O168"/>
  </mergeCells>
  <phoneticPr fontId="89" type="noConversion"/>
  <conditionalFormatting sqref="E323 E327 E329 E331 E333 E335 E337">
    <cfRule type="notContainsBlanks" dxfId="291" priority="374">
      <formula>LEN(TRIM(E323))&gt;0</formula>
    </cfRule>
  </conditionalFormatting>
  <conditionalFormatting sqref="W110">
    <cfRule type="expression" dxfId="290" priority="167">
      <formula>OR($T$110 = TRUE, AND($W$110 = TRUE, $S$110 = FALSE))</formula>
    </cfRule>
    <cfRule type="expression" dxfId="289" priority="168">
      <formula>OR($S$110 = FALSE, AND($P$110 = FALSE, ReportType &lt;&gt; "Final"), AND($Q$110 = FALSE, ReportType &lt;&gt; "Rough"))</formula>
    </cfRule>
    <cfRule type="expression" dxfId="288" priority="169">
      <formula>AND(IF($R$110,$W$110,TRUE),LEN(TRIM($W$110))&gt;0)</formula>
    </cfRule>
    <cfRule type="expression" dxfId="287" priority="170">
      <formula>AND($R$110,$S$110)</formula>
    </cfRule>
  </conditionalFormatting>
  <conditionalFormatting sqref="W166">
    <cfRule type="expression" dxfId="286" priority="163">
      <formula>OR($T$166 = TRUE, AND($W$166 = TRUE, $S$166 = FALSE))</formula>
    </cfRule>
    <cfRule type="expression" dxfId="285" priority="164">
      <formula>OR($S$166 = FALSE, AND($P$166 = FALSE, ReportType &lt;&gt; "Final"), AND($Q$166 = FALSE, ReportType &lt;&gt; "Rough"))</formula>
    </cfRule>
    <cfRule type="expression" dxfId="284" priority="165">
      <formula>AND(IF($R$166,$W$166,TRUE),LEN(TRIM($W$166))&gt;0)</formula>
    </cfRule>
    <cfRule type="expression" dxfId="283" priority="166">
      <formula>AND($R$166,$S$166)</formula>
    </cfRule>
  </conditionalFormatting>
  <conditionalFormatting sqref="W152">
    <cfRule type="expression" dxfId="282" priority="159">
      <formula>OR($T$152 = TRUE, AND($W$152 = TRUE, $S$152 = FALSE))</formula>
    </cfRule>
    <cfRule type="expression" dxfId="281" priority="160">
      <formula>OR($S$152 = FALSE, AND($P$152 = FALSE, ReportType &lt;&gt; "Final"), AND($Q$152 = FALSE, ReportType &lt;&gt; "Rough"))</formula>
    </cfRule>
    <cfRule type="expression" dxfId="280" priority="161">
      <formula>AND(IF($R$152,$W$152,TRUE),LEN(TRIM($W$152))&gt;0)</formula>
    </cfRule>
    <cfRule type="expression" dxfId="279" priority="162">
      <formula>AND($R$152,$S$152)</formula>
    </cfRule>
  </conditionalFormatting>
  <conditionalFormatting sqref="W153">
    <cfRule type="expression" dxfId="278" priority="155">
      <formula>OR($T$153 = TRUE, AND($W$153 = TRUE, $S$153 = FALSE))</formula>
    </cfRule>
    <cfRule type="expression" dxfId="277" priority="156">
      <formula>OR($S$153 = FALSE, AND($P$153 = FALSE, ReportType &lt;&gt; "Final"), AND($Q$153 = FALSE, ReportType &lt;&gt; "Rough"))</formula>
    </cfRule>
    <cfRule type="expression" dxfId="276" priority="157">
      <formula>AND(IF($R$153,$W$153,TRUE),LEN(TRIM($W$153))&gt;0)</formula>
    </cfRule>
    <cfRule type="expression" dxfId="275" priority="158">
      <formula>AND($R$153,$S$153)</formula>
    </cfRule>
  </conditionalFormatting>
  <conditionalFormatting sqref="W154">
    <cfRule type="expression" dxfId="274" priority="151">
      <formula>OR($T$154 = TRUE, AND($W$154 = TRUE, $S$154 = FALSE))</formula>
    </cfRule>
    <cfRule type="expression" dxfId="273" priority="152">
      <formula>OR($S$154 = FALSE, AND($P$154 = FALSE, ReportType &lt;&gt; "Final"), AND($Q$154 = FALSE, ReportType &lt;&gt; "Rough"))</formula>
    </cfRule>
    <cfRule type="expression" dxfId="272" priority="153">
      <formula>AND(IF($R$154,$W$154,TRUE),LEN(TRIM($W$154))&gt;0)</formula>
    </cfRule>
    <cfRule type="expression" dxfId="271" priority="154">
      <formula>AND($R$154,$S$154)</formula>
    </cfRule>
  </conditionalFormatting>
  <conditionalFormatting sqref="W155">
    <cfRule type="expression" dxfId="270" priority="147">
      <formula>OR($T$155 = TRUE, AND(LEN(TRIM($W$155))&gt;0, $S$155 = FALSE))</formula>
    </cfRule>
    <cfRule type="expression" dxfId="269" priority="148">
      <formula>OR($S$155 = FALSE, AND($P$155 = FALSE, ReportType &lt;&gt; "Final"), AND($Q$155 = FALSE, ReportType &lt;&gt; "Rough"))</formula>
    </cfRule>
    <cfRule type="expression" dxfId="268" priority="149">
      <formula>AND($W$155&lt;&gt;"Not Met",LEN(TRIM($W$155))&gt;0)</formula>
    </cfRule>
    <cfRule type="expression" dxfId="267" priority="150">
      <formula>AND($R$155,$S$155)</formula>
    </cfRule>
  </conditionalFormatting>
  <conditionalFormatting sqref="W126">
    <cfRule type="expression" dxfId="266" priority="143">
      <formula>OR($T$126 = TRUE, AND($W$126 = TRUE, $S$126 = FALSE))</formula>
    </cfRule>
    <cfRule type="expression" dxfId="265" priority="144">
      <formula>OR($S$126 = FALSE, AND($P$126 = FALSE, ReportType &lt;&gt; "Final"), AND($Q$126 = FALSE, ReportType &lt;&gt; "Rough"))</formula>
    </cfRule>
    <cfRule type="expression" dxfId="264" priority="145">
      <formula>AND(IF($R$126,$W$126,TRUE),LEN(TRIM($W$126))&gt;0)</formula>
    </cfRule>
    <cfRule type="expression" dxfId="263" priority="146">
      <formula>AND($R$126,$S$126)</formula>
    </cfRule>
  </conditionalFormatting>
  <conditionalFormatting sqref="W39">
    <cfRule type="expression" dxfId="262" priority="139">
      <formula>OR($T$39 = TRUE, AND($W$39 = TRUE, $S$39 = FALSE))</formula>
    </cfRule>
    <cfRule type="expression" dxfId="261" priority="140">
      <formula>OR($S$39 = FALSE, AND($P$39 = FALSE, ReportType &lt;&gt; "Final"), AND($Q$39 = FALSE, ReportType &lt;&gt; "Rough"))</formula>
    </cfRule>
    <cfRule type="expression" dxfId="260" priority="141">
      <formula>AND(IF($R$39,$W$39,TRUE),LEN(TRIM($W$39))&gt;0)</formula>
    </cfRule>
    <cfRule type="expression" dxfId="259" priority="142">
      <formula>AND($R$39,$S$39)</formula>
    </cfRule>
  </conditionalFormatting>
  <conditionalFormatting sqref="W40">
    <cfRule type="expression" dxfId="258" priority="135">
      <formula>OR($T$40 = TRUE, AND($W$40 = TRUE, $S$40 = FALSE))</formula>
    </cfRule>
    <cfRule type="expression" dxfId="257" priority="136">
      <formula>OR($S$40 = FALSE, AND($P$40 = FALSE, ReportType &lt;&gt; "Final"), AND($Q$40 = FALSE, ReportType &lt;&gt; "Rough"))</formula>
    </cfRule>
    <cfRule type="expression" dxfId="256" priority="137">
      <formula>AND(IF($R$40,$W$40,TRUE),LEN(TRIM($W$40))&gt;0)</formula>
    </cfRule>
    <cfRule type="expression" dxfId="255" priority="138">
      <formula>AND($R$40,$S$40)</formula>
    </cfRule>
  </conditionalFormatting>
  <conditionalFormatting sqref="W41">
    <cfRule type="expression" dxfId="254" priority="131">
      <formula>OR($T$41 = TRUE, AND($W$41 = TRUE, $S$41 = FALSE))</formula>
    </cfRule>
    <cfRule type="expression" dxfId="253" priority="132">
      <formula>OR($S$41 = FALSE, AND($P$41 = FALSE, ReportType &lt;&gt; "Final"), AND($Q$41 = FALSE, ReportType &lt;&gt; "Rough"))</formula>
    </cfRule>
    <cfRule type="expression" dxfId="252" priority="133">
      <formula>AND(IF($R$41,$W$41,TRUE),LEN(TRIM($W$41))&gt;0)</formula>
    </cfRule>
    <cfRule type="expression" dxfId="251" priority="134">
      <formula>AND($R$41,$S$41)</formula>
    </cfRule>
  </conditionalFormatting>
  <conditionalFormatting sqref="W42">
    <cfRule type="expression" dxfId="250" priority="127">
      <formula>OR($T$42 = TRUE, AND($W$42 = TRUE, $S$42 = FALSE))</formula>
    </cfRule>
    <cfRule type="expression" dxfId="249" priority="128">
      <formula>OR($S$42 = FALSE, AND($P$42 = FALSE, ReportType &lt;&gt; "Final"), AND($Q$42 = FALSE, ReportType &lt;&gt; "Rough"))</formula>
    </cfRule>
    <cfRule type="expression" dxfId="248" priority="129">
      <formula>AND(IF($R$42,$W$42,TRUE),LEN(TRIM($W$42))&gt;0)</formula>
    </cfRule>
    <cfRule type="expression" dxfId="247" priority="130">
      <formula>AND($R$42,$S$42)</formula>
    </cfRule>
  </conditionalFormatting>
  <conditionalFormatting sqref="W43">
    <cfRule type="expression" dxfId="246" priority="123">
      <formula>OR($T$43 = TRUE, AND($W$43 = TRUE, $S$43 = FALSE))</formula>
    </cfRule>
    <cfRule type="expression" dxfId="245" priority="124">
      <formula>OR($S$43 = FALSE, AND($P$43 = FALSE, ReportType &lt;&gt; "Final"), AND($Q$43 = FALSE, ReportType &lt;&gt; "Rough"))</formula>
    </cfRule>
    <cfRule type="expression" dxfId="244" priority="125">
      <formula>AND(IF($R$43,$W$43,TRUE),LEN(TRIM($W$43))&gt;0)</formula>
    </cfRule>
    <cfRule type="expression" dxfId="243" priority="126">
      <formula>AND($R$43,$S$43)</formula>
    </cfRule>
  </conditionalFormatting>
  <conditionalFormatting sqref="W44">
    <cfRule type="expression" dxfId="242" priority="119">
      <formula>OR($T$44 = TRUE, AND($W$44 = TRUE, $S$44 = FALSE))</formula>
    </cfRule>
    <cfRule type="expression" dxfId="241" priority="120">
      <formula>OR($S$44 = FALSE, AND($P$44 = FALSE, ReportType &lt;&gt; "Final"), AND($Q$44 = FALSE, ReportType &lt;&gt; "Rough"))</formula>
    </cfRule>
    <cfRule type="expression" dxfId="240" priority="121">
      <formula>AND(IF($R$44,$W$44,TRUE),LEN(TRIM($W$44))&gt;0)</formula>
    </cfRule>
    <cfRule type="expression" dxfId="239" priority="122">
      <formula>AND($R$44,$S$44)</formula>
    </cfRule>
  </conditionalFormatting>
  <conditionalFormatting sqref="W45">
    <cfRule type="expression" dxfId="238" priority="115">
      <formula>OR($T$45 = TRUE, AND($W$45 = TRUE, $S$45 = FALSE))</formula>
    </cfRule>
    <cfRule type="expression" dxfId="237" priority="116">
      <formula>OR($S$45 = FALSE, AND($P$45 = FALSE, ReportType &lt;&gt; "Final"), AND($Q$45 = FALSE, ReportType &lt;&gt; "Rough"))</formula>
    </cfRule>
    <cfRule type="expression" dxfId="236" priority="117">
      <formula>AND(IF($R$45,$W$45,TRUE),LEN(TRIM($W$45))&gt;0)</formula>
    </cfRule>
    <cfRule type="expression" dxfId="235" priority="118">
      <formula>AND($R$45,$S$45)</formula>
    </cfRule>
  </conditionalFormatting>
  <conditionalFormatting sqref="W46">
    <cfRule type="expression" dxfId="234" priority="111">
      <formula>OR($T$46 = TRUE, AND($W$46 = TRUE, $S$46 = FALSE))</formula>
    </cfRule>
    <cfRule type="expression" dxfId="233" priority="112">
      <formula>OR($S$46 = FALSE, AND($P$46 = FALSE, ReportType &lt;&gt; "Final"), AND($Q$46 = FALSE, ReportType &lt;&gt; "Rough"))</formula>
    </cfRule>
    <cfRule type="expression" dxfId="232" priority="113">
      <formula>AND(IF($R$46,$W$46,TRUE),LEN(TRIM($W$46))&gt;0)</formula>
    </cfRule>
    <cfRule type="expression" dxfId="231" priority="114">
      <formula>AND($R$46,$S$46)</formula>
    </cfRule>
  </conditionalFormatting>
  <conditionalFormatting sqref="W47">
    <cfRule type="expression" dxfId="230" priority="107">
      <formula>OR($T$47 = TRUE, AND($W$47 = TRUE, $S$47 = FALSE))</formula>
    </cfRule>
    <cfRule type="expression" dxfId="229" priority="108">
      <formula>OR($S$47 = FALSE, AND($P$47 = FALSE, ReportType &lt;&gt; "Final"), AND($Q$47 = FALSE, ReportType &lt;&gt; "Rough"))</formula>
    </cfRule>
    <cfRule type="expression" dxfId="228" priority="109">
      <formula>AND(IF($R$47,$W$47,TRUE),LEN(TRIM($W$47))&gt;0)</formula>
    </cfRule>
    <cfRule type="expression" dxfId="227" priority="110">
      <formula>AND($R$47,$S$47)</formula>
    </cfRule>
  </conditionalFormatting>
  <conditionalFormatting sqref="W48">
    <cfRule type="expression" dxfId="226" priority="103">
      <formula>OR($T$48 = TRUE, AND($W$48 = TRUE, $S$48 = FALSE))</formula>
    </cfRule>
    <cfRule type="expression" dxfId="225" priority="104">
      <formula>OR($S$48 = FALSE, AND($P$48 = FALSE, ReportType &lt;&gt; "Final"), AND($Q$48 = FALSE, ReportType &lt;&gt; "Rough"))</formula>
    </cfRule>
    <cfRule type="expression" dxfId="224" priority="105">
      <formula>AND(IF($R$48,$W$48,TRUE),LEN(TRIM($W$48))&gt;0)</formula>
    </cfRule>
    <cfRule type="expression" dxfId="223" priority="106">
      <formula>AND($R$48,$S$48)</formula>
    </cfRule>
  </conditionalFormatting>
  <conditionalFormatting sqref="W49">
    <cfRule type="expression" dxfId="222" priority="99">
      <formula>OR($T$49 = TRUE, AND($W$49 = TRUE, $S$49 = FALSE))</formula>
    </cfRule>
    <cfRule type="expression" dxfId="221" priority="100">
      <formula>OR($S$49 = FALSE, AND($P$49 = FALSE, ReportType &lt;&gt; "Final"), AND($Q$49 = FALSE, ReportType &lt;&gt; "Rough"))</formula>
    </cfRule>
    <cfRule type="expression" dxfId="220" priority="101">
      <formula>AND(IF($R$49,$W$49,TRUE),LEN(TRIM($W$49))&gt;0)</formula>
    </cfRule>
    <cfRule type="expression" dxfId="219" priority="102">
      <formula>AND($R$49,$S$49)</formula>
    </cfRule>
  </conditionalFormatting>
  <conditionalFormatting sqref="W54">
    <cfRule type="expression" dxfId="218" priority="95">
      <formula>OR($T$54 = TRUE, AND($W$54 = TRUE, $S$54 = FALSE))</formula>
    </cfRule>
    <cfRule type="expression" dxfId="217" priority="96">
      <formula>OR($S$54 = FALSE, AND($P$54 = FALSE, ReportType &lt;&gt; "Final"), AND($Q$54 = FALSE, ReportType &lt;&gt; "Rough"))</formula>
    </cfRule>
    <cfRule type="expression" dxfId="216" priority="97">
      <formula>AND(IF($R$54,$W$54,TRUE),LEN(TRIM($W$54))&gt;0)</formula>
    </cfRule>
    <cfRule type="expression" dxfId="215" priority="98">
      <formula>AND($R$54,$S$54)</formula>
    </cfRule>
  </conditionalFormatting>
  <conditionalFormatting sqref="W55">
    <cfRule type="expression" dxfId="214" priority="91">
      <formula>OR($T$55 = TRUE, AND($W$55 = TRUE, $S$55 = FALSE))</formula>
    </cfRule>
    <cfRule type="expression" dxfId="213" priority="92">
      <formula>OR($S$55 = FALSE, AND($P$55 = FALSE, ReportType &lt;&gt; "Final"), AND($Q$55 = FALSE, ReportType &lt;&gt; "Rough"))</formula>
    </cfRule>
    <cfRule type="expression" dxfId="212" priority="93">
      <formula>AND(IF($R$55,$W$55,TRUE),LEN(TRIM($W$55))&gt;0)</formula>
    </cfRule>
    <cfRule type="expression" dxfId="211" priority="94">
      <formula>AND($R$55,$S$55)</formula>
    </cfRule>
  </conditionalFormatting>
  <conditionalFormatting sqref="W15">
    <cfRule type="expression" dxfId="210" priority="89">
      <formula>AND(R15,S15)</formula>
    </cfRule>
  </conditionalFormatting>
  <conditionalFormatting sqref="W15">
    <cfRule type="expression" dxfId="209" priority="88">
      <formula>AND(IF(R15,W15,TRUE),LEN(TRIM(W15))&gt;0)</formula>
    </cfRule>
  </conditionalFormatting>
  <conditionalFormatting sqref="W15">
    <cfRule type="expression" dxfId="208" priority="87">
      <formula>OR(T15 = TRUE, AND(W15 = TRUE, S15 = FALSE))</formula>
    </cfRule>
  </conditionalFormatting>
  <conditionalFormatting sqref="W15">
    <cfRule type="expression" dxfId="207" priority="90">
      <formula>OR(S15 = FALSE, AND(P15 = FALSE, ReportType &lt;&gt; "Final"), AND(Q15 = FALSE, ReportType &lt;&gt; "Rough"))</formula>
    </cfRule>
  </conditionalFormatting>
  <conditionalFormatting sqref="W16">
    <cfRule type="expression" dxfId="206" priority="85">
      <formula>AND(R16,S16)</formula>
    </cfRule>
  </conditionalFormatting>
  <conditionalFormatting sqref="W16">
    <cfRule type="expression" dxfId="205" priority="84">
      <formula>AND(IF(R16,W16,TRUE),LEN(TRIM(W16))&gt;0)</formula>
    </cfRule>
  </conditionalFormatting>
  <conditionalFormatting sqref="W16">
    <cfRule type="expression" dxfId="204" priority="83">
      <formula>OR(T16 = TRUE, AND(W16 = TRUE, S16 = FALSE))</formula>
    </cfRule>
  </conditionalFormatting>
  <conditionalFormatting sqref="W16">
    <cfRule type="expression" dxfId="203" priority="86">
      <formula>OR(S16 = FALSE, AND(P16 = FALSE, ReportType &lt;&gt; "Final"), AND(Q16 = FALSE, ReportType &lt;&gt; "Rough"))</formula>
    </cfRule>
  </conditionalFormatting>
  <conditionalFormatting sqref="W17">
    <cfRule type="expression" dxfId="202" priority="81">
      <formula>AND(R17,S17)</formula>
    </cfRule>
  </conditionalFormatting>
  <conditionalFormatting sqref="W17">
    <cfRule type="expression" dxfId="201" priority="80">
      <formula>AND(IF(R17,W17,TRUE),LEN(TRIM(W17))&gt;0)</formula>
    </cfRule>
  </conditionalFormatting>
  <conditionalFormatting sqref="W17">
    <cfRule type="expression" dxfId="200" priority="79">
      <formula>OR(T17 = TRUE, AND(W17 = TRUE, S17 = FALSE))</formula>
    </cfRule>
  </conditionalFormatting>
  <conditionalFormatting sqref="W17">
    <cfRule type="expression" dxfId="199" priority="82">
      <formula>OR(S17 = FALSE, AND(P17 = FALSE, ReportType &lt;&gt; "Final"), AND(Q17 = FALSE, ReportType &lt;&gt; "Rough"))</formula>
    </cfRule>
  </conditionalFormatting>
  <conditionalFormatting sqref="W21">
    <cfRule type="expression" dxfId="198" priority="77">
      <formula>AND(R21,S21)</formula>
    </cfRule>
  </conditionalFormatting>
  <conditionalFormatting sqref="W21">
    <cfRule type="expression" dxfId="197" priority="76">
      <formula>AND(IF(R21,W21,TRUE),LEN(TRIM(W21))&gt;0)</formula>
    </cfRule>
  </conditionalFormatting>
  <conditionalFormatting sqref="W21">
    <cfRule type="expression" dxfId="196" priority="75">
      <formula>OR(T21 = TRUE, AND(W21 = TRUE, S21 = FALSE))</formula>
    </cfRule>
  </conditionalFormatting>
  <conditionalFormatting sqref="W21">
    <cfRule type="expression" dxfId="195" priority="78">
      <formula>OR(S21 = FALSE, AND(P21 = FALSE, ReportType &lt;&gt; "Final"), AND(Q21 = FALSE, ReportType &lt;&gt; "Rough"))</formula>
    </cfRule>
  </conditionalFormatting>
  <conditionalFormatting sqref="W22">
    <cfRule type="expression" dxfId="194" priority="73">
      <formula>AND(R22,S22)</formula>
    </cfRule>
  </conditionalFormatting>
  <conditionalFormatting sqref="W22">
    <cfRule type="expression" dxfId="193" priority="72">
      <formula>AND(IF(R22,W22,TRUE),LEN(TRIM(W22))&gt;0)</formula>
    </cfRule>
  </conditionalFormatting>
  <conditionalFormatting sqref="W22">
    <cfRule type="expression" dxfId="192" priority="71">
      <formula>OR(T22 = TRUE, AND(W22 = TRUE, S22 = FALSE))</formula>
    </cfRule>
  </conditionalFormatting>
  <conditionalFormatting sqref="W22">
    <cfRule type="expression" dxfId="191" priority="74">
      <formula>OR(S22 = FALSE, AND(P22 = FALSE, ReportType &lt;&gt; "Final"), AND(Q22 = FALSE, ReportType &lt;&gt; "Rough"))</formula>
    </cfRule>
  </conditionalFormatting>
  <conditionalFormatting sqref="W23">
    <cfRule type="expression" dxfId="190" priority="69">
      <formula>AND(R23,S23)</formula>
    </cfRule>
  </conditionalFormatting>
  <conditionalFormatting sqref="W23">
    <cfRule type="expression" dxfId="189" priority="68">
      <formula>AND(IF(R23,W23,TRUE),LEN(TRIM(W23))&gt;0)</formula>
    </cfRule>
  </conditionalFormatting>
  <conditionalFormatting sqref="W23">
    <cfRule type="expression" dxfId="188" priority="67">
      <formula>OR(T23 = TRUE, AND(W23 = TRUE, S23 = FALSE))</formula>
    </cfRule>
  </conditionalFormatting>
  <conditionalFormatting sqref="W23">
    <cfRule type="expression" dxfId="187" priority="70">
      <formula>OR(S23 = FALSE, AND(P23 = FALSE, ReportType &lt;&gt; "Final"), AND(Q23 = FALSE, ReportType &lt;&gt; "Rough"))</formula>
    </cfRule>
  </conditionalFormatting>
  <conditionalFormatting sqref="X2">
    <cfRule type="expression" dxfId="186" priority="64">
      <formula>$AG$3</formula>
    </cfRule>
  </conditionalFormatting>
  <conditionalFormatting sqref="X3">
    <cfRule type="expression" dxfId="185" priority="65">
      <formula>$AI$3</formula>
    </cfRule>
  </conditionalFormatting>
  <conditionalFormatting sqref="X1">
    <cfRule type="expression" dxfId="184" priority="66">
      <formula>verStartError</formula>
    </cfRule>
  </conditionalFormatting>
  <conditionalFormatting sqref="X18 X24 X27 X28 X29 X33 X34 X35 X36 X50 X58">
    <cfRule type="expression" dxfId="183" priority="63">
      <formula>R18</formula>
    </cfRule>
  </conditionalFormatting>
  <conditionalFormatting sqref="X39 X40 X41 X42 X43 X44 X45 X46 X47 X48 X49">
    <cfRule type="expression" dxfId="182" priority="62">
      <formula>W39</formula>
    </cfRule>
  </conditionalFormatting>
  <conditionalFormatting sqref="W203">
    <cfRule type="expression" dxfId="181" priority="60">
      <formula>AND($R$203,$S$203)</formula>
    </cfRule>
  </conditionalFormatting>
  <conditionalFormatting sqref="W203">
    <cfRule type="expression" dxfId="180" priority="59">
      <formula>AND($W$203&lt;&gt;"Not Met",LEN(TRIM($W$203))&gt;0)</formula>
    </cfRule>
  </conditionalFormatting>
  <conditionalFormatting sqref="W203">
    <cfRule type="expression" dxfId="179" priority="58">
      <formula>OR($S$203 = FALSE, AND($P$203 = FALSE, ReportType &lt;&gt; "Final"), AND($Q$203 = FALSE, ReportType &lt;&gt; "Rough"))</formula>
    </cfRule>
  </conditionalFormatting>
  <conditionalFormatting sqref="W203">
    <cfRule type="expression" dxfId="178" priority="57">
      <formula>OR($T$203 = TRUE, AND(LEN(TRIM($W$203))&gt;0, $S$203 = FALSE))</formula>
    </cfRule>
  </conditionalFormatting>
  <conditionalFormatting sqref="W204">
    <cfRule type="expression" dxfId="177" priority="56">
      <formula>AND($R$204,$S$204)</formula>
    </cfRule>
  </conditionalFormatting>
  <conditionalFormatting sqref="W204">
    <cfRule type="expression" dxfId="176" priority="55">
      <formula>AND($W$204&lt;&gt;"Not Met",LEN(TRIM($W$204))&gt;0)</formula>
    </cfRule>
  </conditionalFormatting>
  <conditionalFormatting sqref="W204">
    <cfRule type="expression" dxfId="175" priority="54">
      <formula>OR($S$204 = FALSE, AND($P$204 = FALSE, ReportType &lt;&gt; "Final"), AND($Q$204 = FALSE, ReportType &lt;&gt; "Rough"))</formula>
    </cfRule>
  </conditionalFormatting>
  <conditionalFormatting sqref="W204">
    <cfRule type="expression" dxfId="174" priority="53">
      <formula>OR($T$204 = TRUE, AND(LEN(TRIM($W$204))&gt;0, $S$204 = FALSE))</formula>
    </cfRule>
  </conditionalFormatting>
  <conditionalFormatting sqref="W256">
    <cfRule type="expression" dxfId="173" priority="52">
      <formula>AND($R$256,$S$256)</formula>
    </cfRule>
  </conditionalFormatting>
  <conditionalFormatting sqref="W256">
    <cfRule type="expression" dxfId="172" priority="51">
      <formula>AND($W$256&lt;&gt;"Not Met",LEN(TRIM($W$256))&gt;0)</formula>
    </cfRule>
  </conditionalFormatting>
  <conditionalFormatting sqref="W256">
    <cfRule type="expression" dxfId="171" priority="50">
      <formula>OR($S$256 = FALSE, AND($P$256 = FALSE, ReportType &lt;&gt; "Final"), AND($Q$256 = FALSE, ReportType &lt;&gt; "Rough"))</formula>
    </cfRule>
  </conditionalFormatting>
  <conditionalFormatting sqref="W256">
    <cfRule type="expression" dxfId="170" priority="49">
      <formula>OR($T$256 = TRUE, AND(LEN(TRIM($W$256))&gt;0, $S$256 = FALSE))</formula>
    </cfRule>
  </conditionalFormatting>
  <conditionalFormatting sqref="W72">
    <cfRule type="expression" dxfId="169" priority="47">
      <formula>AND(R72,S72)</formula>
    </cfRule>
  </conditionalFormatting>
  <conditionalFormatting sqref="W72">
    <cfRule type="expression" dxfId="168" priority="46">
      <formula>AND(IF(R72,W72,TRUE),LEN(TRIM(W72))&gt;0)</formula>
    </cfRule>
  </conditionalFormatting>
  <conditionalFormatting sqref="W72">
    <cfRule type="expression" dxfId="167" priority="45">
      <formula>OR(T72 = TRUE, AND(W72 = TRUE, S72 = FALSE))</formula>
    </cfRule>
  </conditionalFormatting>
  <conditionalFormatting sqref="W72">
    <cfRule type="expression" dxfId="166" priority="48">
      <formula>OR(S72 = FALSE, AND(P72 = FALSE, ReportType &lt;&gt; "Final"), AND(Q72 = FALSE, ReportType &lt;&gt; "Rough"))</formula>
    </cfRule>
  </conditionalFormatting>
  <conditionalFormatting sqref="W69">
    <cfRule type="expression" dxfId="165" priority="43">
      <formula>AND(R69,S69)</formula>
    </cfRule>
  </conditionalFormatting>
  <conditionalFormatting sqref="W69">
    <cfRule type="expression" dxfId="164" priority="42">
      <formula>AND(IF(R69,W69,TRUE),LEN(TRIM(W69))&gt;0)</formula>
    </cfRule>
  </conditionalFormatting>
  <conditionalFormatting sqref="W69">
    <cfRule type="expression" dxfId="163" priority="41">
      <formula>OR(T69 = TRUE, AND(W69 = TRUE, S69 = FALSE))</formula>
    </cfRule>
  </conditionalFormatting>
  <conditionalFormatting sqref="W69">
    <cfRule type="expression" dxfId="162" priority="44">
      <formula>OR(S69 = FALSE, AND(P69 = FALSE, ReportType &lt;&gt; "Final"), AND(Q69 = FALSE, ReportType &lt;&gt; "Rough"))</formula>
    </cfRule>
  </conditionalFormatting>
  <conditionalFormatting sqref="W73">
    <cfRule type="expression" dxfId="161" priority="39">
      <formula>AND(R73,S73)</formula>
    </cfRule>
  </conditionalFormatting>
  <conditionalFormatting sqref="W73">
    <cfRule type="expression" dxfId="160" priority="38">
      <formula>AND(IF(R73,W73,TRUE),LEN(TRIM(W73))&gt;0)</formula>
    </cfRule>
  </conditionalFormatting>
  <conditionalFormatting sqref="W73">
    <cfRule type="expression" dxfId="159" priority="37">
      <formula>OR(T73 = TRUE, AND(W73 = TRUE, S73 = FALSE))</formula>
    </cfRule>
  </conditionalFormatting>
  <conditionalFormatting sqref="W73">
    <cfRule type="expression" dxfId="158" priority="40">
      <formula>OR(S73 = FALSE, AND(P73 = FALSE, ReportType &lt;&gt; "Final"), AND(Q73 = FALSE, ReportType &lt;&gt; "Rough"))</formula>
    </cfRule>
  </conditionalFormatting>
  <conditionalFormatting sqref="W70">
    <cfRule type="expression" dxfId="157" priority="35">
      <formula>AND(R70,S70)</formula>
    </cfRule>
  </conditionalFormatting>
  <conditionalFormatting sqref="W70">
    <cfRule type="expression" dxfId="156" priority="34">
      <formula>AND(IF(R70,W70,TRUE),LEN(TRIM(W70))&gt;0)</formula>
    </cfRule>
  </conditionalFormatting>
  <conditionalFormatting sqref="W70">
    <cfRule type="expression" dxfId="155" priority="33">
      <formula>OR(T70 = TRUE, AND(W70 = TRUE, S70 = FALSE))</formula>
    </cfRule>
  </conditionalFormatting>
  <conditionalFormatting sqref="W70">
    <cfRule type="expression" dxfId="154" priority="36">
      <formula>OR(S70 = FALSE, AND(P70 = FALSE, ReportType &lt;&gt; "Final"), AND(Q70 = FALSE, ReportType &lt;&gt; "Rough"))</formula>
    </cfRule>
  </conditionalFormatting>
  <conditionalFormatting sqref="W71">
    <cfRule type="expression" dxfId="153" priority="31">
      <formula>AND(R71,S71)</formula>
    </cfRule>
  </conditionalFormatting>
  <conditionalFormatting sqref="W71">
    <cfRule type="expression" dxfId="152" priority="30">
      <formula>AND(IF(R71,W71,TRUE),LEN(TRIM(W71))&gt;0)</formula>
    </cfRule>
  </conditionalFormatting>
  <conditionalFormatting sqref="W71">
    <cfRule type="expression" dxfId="151" priority="29">
      <formula>OR(T71 = TRUE, AND(W71 = TRUE, S71 = FALSE))</formula>
    </cfRule>
  </conditionalFormatting>
  <conditionalFormatting sqref="W71">
    <cfRule type="expression" dxfId="150" priority="32">
      <formula>OR(S71 = FALSE, AND(P71 = FALSE, ReportType &lt;&gt; "Final"), AND(Q71 = FALSE, ReportType &lt;&gt; "Rough"))</formula>
    </cfRule>
  </conditionalFormatting>
  <conditionalFormatting sqref="W85">
    <cfRule type="expression" dxfId="149" priority="27">
      <formula>AND(R85,S85)</formula>
    </cfRule>
  </conditionalFormatting>
  <conditionalFormatting sqref="W85">
    <cfRule type="expression" dxfId="148" priority="26">
      <formula>AND(IF(R85,W85,TRUE),LEN(TRIM(W85))&gt;0)</formula>
    </cfRule>
  </conditionalFormatting>
  <conditionalFormatting sqref="W85">
    <cfRule type="expression" dxfId="147" priority="25">
      <formula>OR(T85 = TRUE, AND(W85 = TRUE, S85 = FALSE))</formula>
    </cfRule>
  </conditionalFormatting>
  <conditionalFormatting sqref="W85">
    <cfRule type="expression" dxfId="146" priority="28">
      <formula>OR(S85 = FALSE, AND(P85 = FALSE, ReportType &lt;&gt; "Final"), AND(Q85 = FALSE, ReportType &lt;&gt; "Rough"))</formula>
    </cfRule>
  </conditionalFormatting>
  <conditionalFormatting sqref="W80">
    <cfRule type="expression" dxfId="145" priority="23">
      <formula>AND(R80,S80)</formula>
    </cfRule>
  </conditionalFormatting>
  <conditionalFormatting sqref="W80">
    <cfRule type="expression" dxfId="144" priority="22">
      <formula>AND(IF(R80,W80,TRUE),LEN(TRIM(W80))&gt;0)</formula>
    </cfRule>
  </conditionalFormatting>
  <conditionalFormatting sqref="W80">
    <cfRule type="expression" dxfId="143" priority="21">
      <formula>OR(T80 = TRUE, AND(W80 = TRUE, S80 = FALSE))</formula>
    </cfRule>
  </conditionalFormatting>
  <conditionalFormatting sqref="W80">
    <cfRule type="expression" dxfId="142" priority="24">
      <formula>OR(S80 = FALSE, AND(P80 = FALSE, ReportType &lt;&gt; "Final"), AND(Q80 = FALSE, ReportType &lt;&gt; "Rough"))</formula>
    </cfRule>
  </conditionalFormatting>
  <conditionalFormatting sqref="W81">
    <cfRule type="expression" dxfId="141" priority="19">
      <formula>AND(R81,S81)</formula>
    </cfRule>
  </conditionalFormatting>
  <conditionalFormatting sqref="W81">
    <cfRule type="expression" dxfId="140" priority="18">
      <formula>AND(IF(R81,W81,TRUE),LEN(TRIM(W81))&gt;0)</formula>
    </cfRule>
  </conditionalFormatting>
  <conditionalFormatting sqref="W81">
    <cfRule type="expression" dxfId="139" priority="17">
      <formula>OR(T81 = TRUE, AND(W81 = TRUE, S81 = FALSE))</formula>
    </cfRule>
  </conditionalFormatting>
  <conditionalFormatting sqref="W81">
    <cfRule type="expression" dxfId="138" priority="20">
      <formula>OR(S81 = FALSE, AND(P81 = FALSE, ReportType &lt;&gt; "Final"), AND(Q81 = FALSE, ReportType &lt;&gt; "Rough"))</formula>
    </cfRule>
  </conditionalFormatting>
  <conditionalFormatting sqref="W82">
    <cfRule type="expression" dxfId="137" priority="15">
      <formula>AND(R82,S82)</formula>
    </cfRule>
  </conditionalFormatting>
  <conditionalFormatting sqref="W82">
    <cfRule type="expression" dxfId="136" priority="14">
      <formula>AND(IF(R82,W82,TRUE),LEN(TRIM(W82))&gt;0)</formula>
    </cfRule>
  </conditionalFormatting>
  <conditionalFormatting sqref="W82">
    <cfRule type="expression" dxfId="135" priority="13">
      <formula>OR(T82 = TRUE, AND(W82 = TRUE, S82 = FALSE))</formula>
    </cfRule>
  </conditionalFormatting>
  <conditionalFormatting sqref="W82">
    <cfRule type="expression" dxfId="134" priority="16">
      <formula>OR(S82 = FALSE, AND(P82 = FALSE, ReportType &lt;&gt; "Final"), AND(Q82 = FALSE, ReportType &lt;&gt; "Rough"))</formula>
    </cfRule>
  </conditionalFormatting>
  <conditionalFormatting sqref="W83">
    <cfRule type="expression" dxfId="133" priority="11">
      <formula>AND(R83,S83)</formula>
    </cfRule>
  </conditionalFormatting>
  <conditionalFormatting sqref="W83">
    <cfRule type="expression" dxfId="132" priority="10">
      <formula>AND(IF(R83,W83,TRUE),LEN(TRIM(W83))&gt;0)</formula>
    </cfRule>
  </conditionalFormatting>
  <conditionalFormatting sqref="W83">
    <cfRule type="expression" dxfId="131" priority="9">
      <formula>OR(T83 = TRUE, AND(W83 = TRUE, S83 = FALSE))</formula>
    </cfRule>
  </conditionalFormatting>
  <conditionalFormatting sqref="W83">
    <cfRule type="expression" dxfId="130" priority="12">
      <formula>OR(S83 = FALSE, AND(P83 = FALSE, ReportType &lt;&gt; "Final"), AND(Q83 = FALSE, ReportType &lt;&gt; "Rough"))</formula>
    </cfRule>
  </conditionalFormatting>
  <conditionalFormatting sqref="W84">
    <cfRule type="expression" dxfId="129" priority="7">
      <formula>AND(R84,S84)</formula>
    </cfRule>
  </conditionalFormatting>
  <conditionalFormatting sqref="W84">
    <cfRule type="expression" dxfId="128" priority="6">
      <formula>AND(IF(R84,W84,TRUE),LEN(TRIM(W84))&gt;0)</formula>
    </cfRule>
  </conditionalFormatting>
  <conditionalFormatting sqref="W84">
    <cfRule type="expression" dxfId="127" priority="5">
      <formula>OR(T84 = TRUE, AND(W84 = TRUE, S84 = FALSE))</formula>
    </cfRule>
  </conditionalFormatting>
  <conditionalFormatting sqref="W84">
    <cfRule type="expression" dxfId="126" priority="8">
      <formula>OR(S84 = FALSE, AND(P84 = FALSE, ReportType &lt;&gt; "Final"), AND(Q84 = FALSE, ReportType &lt;&gt; "Rough"))</formula>
    </cfRule>
  </conditionalFormatting>
  <conditionalFormatting sqref="W227">
    <cfRule type="expression" dxfId="125" priority="4">
      <formula>AND($R$227,$S$227)</formula>
    </cfRule>
  </conditionalFormatting>
  <conditionalFormatting sqref="W227">
    <cfRule type="expression" dxfId="124" priority="3">
      <formula>AND($W$227&lt;&gt;"Not Met",LEN(TRIM($W$227))&gt;0)</formula>
    </cfRule>
  </conditionalFormatting>
  <conditionalFormatting sqref="W227">
    <cfRule type="expression" dxfId="123" priority="2">
      <formula>OR($S$227 = FALSE, AND($P$227 = FALSE, ReportType &lt;&gt; "Final"), AND($Q$227 = FALSE, ReportType &lt;&gt; "Rough"))</formula>
    </cfRule>
  </conditionalFormatting>
  <conditionalFormatting sqref="W227">
    <cfRule type="expression" dxfId="122" priority="1">
      <formula>OR($T$227 = TRUE, AND(LEN(TRIM($W$227))&gt;0, $S$227 = FALSE))</formula>
    </cfRule>
  </conditionalFormatting>
  <dataValidations count="19">
    <dataValidation type="list" allowBlank="1" showDropDown="1" showInputMessage="1" showErrorMessage="1" error="Use Checkbox" prompt="Use Checkbox" sqref="W110 W166 W126 W152:W154 W54:W55 W39:W49" xr:uid="{F61ADAAC-F4BE-4589-A16E-936727289909}">
      <formula1>TorF</formula1>
    </dataValidation>
    <dataValidation type="list" allowBlank="1" showInputMessage="1" showErrorMessage="1" error="Please use the dropdown." sqref="W155" xr:uid="{58EC2CD0-F387-4D3F-8704-153A5D43051A}">
      <formula1>INDIRECT($U$155)</formula1>
    </dataValidation>
    <dataValidation type="whole" allowBlank="1" showDropDown="1" showInputMessage="1" showErrorMessage="1" error="Enter a number" prompt="Enter a whole number" sqref="W15:W17" xr:uid="{3E7DA45D-3369-4BF4-8328-D66B7440DC39}">
      <formula1>0</formula1>
      <formula2>100</formula2>
    </dataValidation>
    <dataValidation type="decimal" allowBlank="1" showDropDown="1" showInputMessage="1" showErrorMessage="1" error="Enter a number" prompt="Enter a decimal" sqref="W21:W23" xr:uid="{72B624E6-C1F8-4667-B821-3A878EFDFCB3}">
      <formula1>0</formula1>
      <formula2>1</formula2>
    </dataValidation>
    <dataValidation type="custom" allowBlank="1" showInputMessage="1" showErrorMessage="1" sqref="B306 B172" xr:uid="{EA04D5BA-925F-4BAA-9E60-F4FFCAEF1DF5}">
      <formula1>"&lt;0&gt;0"</formula1>
    </dataValidation>
    <dataValidation type="list" allowBlank="1" showInputMessage="1" showErrorMessage="1" error="Please use the dropdown." sqref="W203" xr:uid="{70F9BCCD-2920-4BDF-8FEC-7A5993404692}">
      <formula1>INDIRECT($U$203)</formula1>
    </dataValidation>
    <dataValidation type="list" allowBlank="1" showInputMessage="1" showErrorMessage="1" error="Please use the dropdown." sqref="W204" xr:uid="{78F93257-D98B-48F7-8657-8360A2266F98}">
      <formula1>INDIRECT($U$204)</formula1>
    </dataValidation>
    <dataValidation type="list" allowBlank="1" showInputMessage="1" showErrorMessage="1" error="Please use the dropdown." sqref="W256" xr:uid="{5284139C-CEF2-4D88-8F58-B38D4C0EDF78}">
      <formula1>INDIRECT($U$256)</formula1>
    </dataValidation>
    <dataValidation type="whole" allowBlank="1" showDropDown="1" showInputMessage="1" showErrorMessage="1" error="Enter a number" prompt="Enter a whole number" sqref="W84" xr:uid="{D4B88CD4-509F-4C99-8467-CFC4E97E2FB7}">
      <formula1>0</formula1>
      <formula2>50</formula2>
    </dataValidation>
    <dataValidation type="whole" allowBlank="1" showDropDown="1" showInputMessage="1" showErrorMessage="1" error="Enter a number" prompt="Enter a whole number" sqref="W83" xr:uid="{6664DBE6-C49D-49DA-BAE8-90923E99AFC9}">
      <formula1>0</formula1>
      <formula2>7</formula2>
    </dataValidation>
    <dataValidation type="whole" allowBlank="1" showDropDown="1" showInputMessage="1" showErrorMessage="1" error="Enter a number" prompt="Enter a whole number" sqref="W82" xr:uid="{18AFC1DD-EF1C-45B9-B7EA-5502892AB618}">
      <formula1>80</formula1>
      <formula2>500</formula2>
    </dataValidation>
    <dataValidation type="whole" allowBlank="1" showDropDown="1" showInputMessage="1" showErrorMessage="1" error="Enter a number" prompt="Enter a whole number" sqref="W81" xr:uid="{96B72736-BF6D-4D25-9B8B-612C488E78B4}">
      <formula1>-70</formula1>
      <formula2>212</formula2>
    </dataValidation>
    <dataValidation type="whole" allowBlank="1" showDropDown="1" showInputMessage="1" showErrorMessage="1" error="Enter a number" prompt="Enter a whole number" sqref="W80" xr:uid="{340901AC-19DD-4177-9B69-C39DE0C1679E}">
      <formula1>0</formula1>
      <formula2>134102</formula2>
    </dataValidation>
    <dataValidation type="decimal" allowBlank="1" showDropDown="1" showInputMessage="1" showErrorMessage="1" error="Enter a percentage" prompt="Enter a percentage" sqref="W71 W85" xr:uid="{5941E76D-708B-4000-AF3F-C868065DEC1F}">
      <formula1>0</formula1>
      <formula2>1</formula2>
    </dataValidation>
    <dataValidation type="whole" allowBlank="1" showDropDown="1" showInputMessage="1" showErrorMessage="1" error="Enter a number" prompt="Enter a whole number" sqref="W70" xr:uid="{33B02B95-E3B9-4309-A88F-2E4E03045680}">
      <formula1>0</formula1>
      <formula2>90</formula2>
    </dataValidation>
    <dataValidation type="whole" allowBlank="1" showDropDown="1" showInputMessage="1" showErrorMessage="1" error="Enter a number" prompt="Enter a whole number" sqref="W73" xr:uid="{329BA1A9-0C86-40F2-BA07-D91A630EC958}">
      <formula1>0</formula1>
      <formula2>10000</formula2>
    </dataValidation>
    <dataValidation type="whole" allowBlank="1" showDropDown="1" showInputMessage="1" showErrorMessage="1" error="Enter a number" prompt="Enter a whole number" sqref="W69" xr:uid="{84DE6A31-C383-4818-AB75-C7D43992D005}">
      <formula1>0</formula1>
      <formula2>1000</formula2>
    </dataValidation>
    <dataValidation type="whole" allowBlank="1" showDropDown="1" showInputMessage="1" showErrorMessage="1" error="Enter a number" prompt="Enter a whole number" sqref="W72" xr:uid="{432EFDCF-D791-4C8C-A0B4-56ECCCEA0E2C}">
      <formula1>0</formula1>
      <formula2>300</formula2>
    </dataValidation>
    <dataValidation type="list" allowBlank="1" showInputMessage="1" showErrorMessage="1" error="Please use the dropdown." sqref="W227" xr:uid="{E2C268B0-633A-4402-9118-99E1C0D43660}">
      <formula1>INDIRECT($U$227)</formula1>
    </dataValidation>
  </dataValidations>
  <hyperlinks>
    <hyperlink ref="C2:C7" location="Badges!W15" display="Net Zero Energy:" xr:uid="{427A7279-6CE4-4318-A61E-B3238EED4666}"/>
    <hyperlink ref="C3" location="'Badges (Verification)'!X97" display="Resilience:" xr:uid="{2F9C130E-2BFC-4459-A523-BC0384AEB82E}"/>
    <hyperlink ref="C4" location="'Badges (Verification)'!X125" display="Smart Home:" xr:uid="{B9E33C05-0648-4031-B115-8BA9AC689247}"/>
    <hyperlink ref="C5" location="'Badges (Verification)'!B173" display="Universal Design:" xr:uid="{BDE59E08-A746-4DE9-9F2F-1947FF6A6E10}"/>
    <hyperlink ref="C6" location="'Badges (Verification)'!X203" display="Wellness:" xr:uid="{B70B1AB0-E2F2-4C29-B1E1-EEAA12C13050}"/>
    <hyperlink ref="C7" location="'Badges (Verification)'!B307" display="Zero Water:" xr:uid="{B28E1AC9-3493-4C8B-94EA-5FA3C562A84C}"/>
    <hyperlink ref="C2" location="'Badges (Verification)'!W15" display="Net Zero Energy:" xr:uid="{D109119E-9BCB-4A18-BD26-1DCFB514A365}"/>
  </hyperlinks>
  <pageMargins left="0.7" right="0.7" top="0.75" bottom="0.75" header="0.3" footer="0.3"/>
  <pageSetup scale="44" fitToHeight="0" orientation="portrait" r:id="rId1"/>
  <rowBreaks count="4" manualBreakCount="4">
    <brk id="115" max="24" man="1"/>
    <brk id="193" max="24" man="1"/>
    <brk id="305" max="16383" man="1"/>
    <brk id="31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72034" r:id="rId4" name="Check Box 2">
              <controlPr locked="0" defaultSize="0" autoFill="0" autoLine="0" autoPict="0">
                <anchor moveWithCells="1">
                  <from>
                    <xdr:col>22</xdr:col>
                    <xdr:colOff>0</xdr:colOff>
                    <xdr:row>109</xdr:row>
                    <xdr:rowOff>0</xdr:rowOff>
                  </from>
                  <to>
                    <xdr:col>22</xdr:col>
                    <xdr:colOff>184150</xdr:colOff>
                    <xdr:row>109</xdr:row>
                    <xdr:rowOff>184150</xdr:rowOff>
                  </to>
                </anchor>
              </controlPr>
            </control>
          </mc:Choice>
        </mc:AlternateContent>
        <mc:AlternateContent xmlns:mc="http://schemas.openxmlformats.org/markup-compatibility/2006">
          <mc:Choice Requires="x14">
            <control shapeId="172036" r:id="rId5" name="Check Box 4">
              <controlPr locked="0" defaultSize="0" autoFill="0" autoLine="0" autoPict="0">
                <anchor moveWithCells="1">
                  <from>
                    <xdr:col>22</xdr:col>
                    <xdr:colOff>0</xdr:colOff>
                    <xdr:row>165</xdr:row>
                    <xdr:rowOff>0</xdr:rowOff>
                  </from>
                  <to>
                    <xdr:col>22</xdr:col>
                    <xdr:colOff>184150</xdr:colOff>
                    <xdr:row>165</xdr:row>
                    <xdr:rowOff>184150</xdr:rowOff>
                  </to>
                </anchor>
              </controlPr>
            </control>
          </mc:Choice>
        </mc:AlternateContent>
        <mc:AlternateContent xmlns:mc="http://schemas.openxmlformats.org/markup-compatibility/2006">
          <mc:Choice Requires="x14">
            <control shapeId="172038" r:id="rId6" name="Check Box 6">
              <controlPr locked="0" defaultSize="0" autoFill="0" autoLine="0" autoPict="0">
                <anchor moveWithCells="1">
                  <from>
                    <xdr:col>22</xdr:col>
                    <xdr:colOff>0</xdr:colOff>
                    <xdr:row>151</xdr:row>
                    <xdr:rowOff>0</xdr:rowOff>
                  </from>
                  <to>
                    <xdr:col>22</xdr:col>
                    <xdr:colOff>184150</xdr:colOff>
                    <xdr:row>151</xdr:row>
                    <xdr:rowOff>184150</xdr:rowOff>
                  </to>
                </anchor>
              </controlPr>
            </control>
          </mc:Choice>
        </mc:AlternateContent>
        <mc:AlternateContent xmlns:mc="http://schemas.openxmlformats.org/markup-compatibility/2006">
          <mc:Choice Requires="x14">
            <control shapeId="172039" r:id="rId7" name="Check Box 7">
              <controlPr locked="0" defaultSize="0" autoFill="0" autoLine="0" autoPict="0">
                <anchor moveWithCells="1">
                  <from>
                    <xdr:col>22</xdr:col>
                    <xdr:colOff>0</xdr:colOff>
                    <xdr:row>152</xdr:row>
                    <xdr:rowOff>0</xdr:rowOff>
                  </from>
                  <to>
                    <xdr:col>22</xdr:col>
                    <xdr:colOff>184150</xdr:colOff>
                    <xdr:row>152</xdr:row>
                    <xdr:rowOff>184150</xdr:rowOff>
                  </to>
                </anchor>
              </controlPr>
            </control>
          </mc:Choice>
        </mc:AlternateContent>
        <mc:AlternateContent xmlns:mc="http://schemas.openxmlformats.org/markup-compatibility/2006">
          <mc:Choice Requires="x14">
            <control shapeId="172040" r:id="rId8" name="Check Box 8">
              <controlPr locked="0" defaultSize="0" autoFill="0" autoLine="0" autoPict="0">
                <anchor moveWithCells="1">
                  <from>
                    <xdr:col>22</xdr:col>
                    <xdr:colOff>0</xdr:colOff>
                    <xdr:row>153</xdr:row>
                    <xdr:rowOff>0</xdr:rowOff>
                  </from>
                  <to>
                    <xdr:col>22</xdr:col>
                    <xdr:colOff>184150</xdr:colOff>
                    <xdr:row>153</xdr:row>
                    <xdr:rowOff>184150</xdr:rowOff>
                  </to>
                </anchor>
              </controlPr>
            </control>
          </mc:Choice>
        </mc:AlternateContent>
        <mc:AlternateContent xmlns:mc="http://schemas.openxmlformats.org/markup-compatibility/2006">
          <mc:Choice Requires="x14">
            <control shapeId="172041" r:id="rId9" name="Check Box 9">
              <controlPr locked="0" defaultSize="0" autoFill="0" autoLine="0" autoPict="0">
                <anchor moveWithCells="1">
                  <from>
                    <xdr:col>22</xdr:col>
                    <xdr:colOff>0</xdr:colOff>
                    <xdr:row>125</xdr:row>
                    <xdr:rowOff>0</xdr:rowOff>
                  </from>
                  <to>
                    <xdr:col>22</xdr:col>
                    <xdr:colOff>184150</xdr:colOff>
                    <xdr:row>125</xdr:row>
                    <xdr:rowOff>184150</xdr:rowOff>
                  </to>
                </anchor>
              </controlPr>
            </control>
          </mc:Choice>
        </mc:AlternateContent>
        <mc:AlternateContent xmlns:mc="http://schemas.openxmlformats.org/markup-compatibility/2006">
          <mc:Choice Requires="x14">
            <control shapeId="172043" r:id="rId10" name="Check Box 11">
              <controlPr locked="0" defaultSize="0" autoFill="0" autoLine="0" autoPict="0">
                <anchor moveWithCells="1">
                  <from>
                    <xdr:col>22</xdr:col>
                    <xdr:colOff>0</xdr:colOff>
                    <xdr:row>38</xdr:row>
                    <xdr:rowOff>0</xdr:rowOff>
                  </from>
                  <to>
                    <xdr:col>22</xdr:col>
                    <xdr:colOff>184150</xdr:colOff>
                    <xdr:row>38</xdr:row>
                    <xdr:rowOff>184150</xdr:rowOff>
                  </to>
                </anchor>
              </controlPr>
            </control>
          </mc:Choice>
        </mc:AlternateContent>
        <mc:AlternateContent xmlns:mc="http://schemas.openxmlformats.org/markup-compatibility/2006">
          <mc:Choice Requires="x14">
            <control shapeId="172044" r:id="rId11" name="Check Box 12">
              <controlPr locked="0" defaultSize="0" autoFill="0" autoLine="0" autoPict="0">
                <anchor moveWithCells="1">
                  <from>
                    <xdr:col>22</xdr:col>
                    <xdr:colOff>0</xdr:colOff>
                    <xdr:row>39</xdr:row>
                    <xdr:rowOff>0</xdr:rowOff>
                  </from>
                  <to>
                    <xdr:col>22</xdr:col>
                    <xdr:colOff>184150</xdr:colOff>
                    <xdr:row>39</xdr:row>
                    <xdr:rowOff>184150</xdr:rowOff>
                  </to>
                </anchor>
              </controlPr>
            </control>
          </mc:Choice>
        </mc:AlternateContent>
        <mc:AlternateContent xmlns:mc="http://schemas.openxmlformats.org/markup-compatibility/2006">
          <mc:Choice Requires="x14">
            <control shapeId="172045" r:id="rId12" name="Check Box 13">
              <controlPr locked="0" defaultSize="0" autoFill="0" autoLine="0" autoPict="0">
                <anchor moveWithCells="1">
                  <from>
                    <xdr:col>22</xdr:col>
                    <xdr:colOff>0</xdr:colOff>
                    <xdr:row>40</xdr:row>
                    <xdr:rowOff>0</xdr:rowOff>
                  </from>
                  <to>
                    <xdr:col>22</xdr:col>
                    <xdr:colOff>184150</xdr:colOff>
                    <xdr:row>40</xdr:row>
                    <xdr:rowOff>184150</xdr:rowOff>
                  </to>
                </anchor>
              </controlPr>
            </control>
          </mc:Choice>
        </mc:AlternateContent>
        <mc:AlternateContent xmlns:mc="http://schemas.openxmlformats.org/markup-compatibility/2006">
          <mc:Choice Requires="x14">
            <control shapeId="172046" r:id="rId13" name="Check Box 14">
              <controlPr locked="0" defaultSize="0" autoFill="0" autoLine="0" autoPict="0">
                <anchor moveWithCells="1">
                  <from>
                    <xdr:col>22</xdr:col>
                    <xdr:colOff>0</xdr:colOff>
                    <xdr:row>41</xdr:row>
                    <xdr:rowOff>0</xdr:rowOff>
                  </from>
                  <to>
                    <xdr:col>22</xdr:col>
                    <xdr:colOff>184150</xdr:colOff>
                    <xdr:row>41</xdr:row>
                    <xdr:rowOff>184150</xdr:rowOff>
                  </to>
                </anchor>
              </controlPr>
            </control>
          </mc:Choice>
        </mc:AlternateContent>
        <mc:AlternateContent xmlns:mc="http://schemas.openxmlformats.org/markup-compatibility/2006">
          <mc:Choice Requires="x14">
            <control shapeId="172047" r:id="rId14" name="Check Box 15">
              <controlPr locked="0" defaultSize="0" autoFill="0" autoLine="0" autoPict="0">
                <anchor moveWithCells="1">
                  <from>
                    <xdr:col>22</xdr:col>
                    <xdr:colOff>0</xdr:colOff>
                    <xdr:row>42</xdr:row>
                    <xdr:rowOff>0</xdr:rowOff>
                  </from>
                  <to>
                    <xdr:col>22</xdr:col>
                    <xdr:colOff>184150</xdr:colOff>
                    <xdr:row>42</xdr:row>
                    <xdr:rowOff>184150</xdr:rowOff>
                  </to>
                </anchor>
              </controlPr>
            </control>
          </mc:Choice>
        </mc:AlternateContent>
        <mc:AlternateContent xmlns:mc="http://schemas.openxmlformats.org/markup-compatibility/2006">
          <mc:Choice Requires="x14">
            <control shapeId="172048" r:id="rId15" name="Check Box 16">
              <controlPr locked="0" defaultSize="0" autoFill="0" autoLine="0" autoPict="0">
                <anchor moveWithCells="1">
                  <from>
                    <xdr:col>22</xdr:col>
                    <xdr:colOff>0</xdr:colOff>
                    <xdr:row>43</xdr:row>
                    <xdr:rowOff>0</xdr:rowOff>
                  </from>
                  <to>
                    <xdr:col>22</xdr:col>
                    <xdr:colOff>184150</xdr:colOff>
                    <xdr:row>43</xdr:row>
                    <xdr:rowOff>184150</xdr:rowOff>
                  </to>
                </anchor>
              </controlPr>
            </control>
          </mc:Choice>
        </mc:AlternateContent>
        <mc:AlternateContent xmlns:mc="http://schemas.openxmlformats.org/markup-compatibility/2006">
          <mc:Choice Requires="x14">
            <control shapeId="172049" r:id="rId16" name="Check Box 17">
              <controlPr locked="0" defaultSize="0" autoFill="0" autoLine="0" autoPict="0">
                <anchor moveWithCells="1">
                  <from>
                    <xdr:col>22</xdr:col>
                    <xdr:colOff>0</xdr:colOff>
                    <xdr:row>44</xdr:row>
                    <xdr:rowOff>0</xdr:rowOff>
                  </from>
                  <to>
                    <xdr:col>22</xdr:col>
                    <xdr:colOff>184150</xdr:colOff>
                    <xdr:row>44</xdr:row>
                    <xdr:rowOff>184150</xdr:rowOff>
                  </to>
                </anchor>
              </controlPr>
            </control>
          </mc:Choice>
        </mc:AlternateContent>
        <mc:AlternateContent xmlns:mc="http://schemas.openxmlformats.org/markup-compatibility/2006">
          <mc:Choice Requires="x14">
            <control shapeId="172050" r:id="rId17" name="Check Box 18">
              <controlPr locked="0" defaultSize="0" autoFill="0" autoLine="0" autoPict="0">
                <anchor moveWithCells="1">
                  <from>
                    <xdr:col>22</xdr:col>
                    <xdr:colOff>0</xdr:colOff>
                    <xdr:row>45</xdr:row>
                    <xdr:rowOff>0</xdr:rowOff>
                  </from>
                  <to>
                    <xdr:col>22</xdr:col>
                    <xdr:colOff>184150</xdr:colOff>
                    <xdr:row>45</xdr:row>
                    <xdr:rowOff>184150</xdr:rowOff>
                  </to>
                </anchor>
              </controlPr>
            </control>
          </mc:Choice>
        </mc:AlternateContent>
        <mc:AlternateContent xmlns:mc="http://schemas.openxmlformats.org/markup-compatibility/2006">
          <mc:Choice Requires="x14">
            <control shapeId="172051" r:id="rId18" name="Check Box 19">
              <controlPr locked="0" defaultSize="0" autoFill="0" autoLine="0" autoPict="0">
                <anchor moveWithCells="1">
                  <from>
                    <xdr:col>22</xdr:col>
                    <xdr:colOff>0</xdr:colOff>
                    <xdr:row>46</xdr:row>
                    <xdr:rowOff>0</xdr:rowOff>
                  </from>
                  <to>
                    <xdr:col>22</xdr:col>
                    <xdr:colOff>184150</xdr:colOff>
                    <xdr:row>46</xdr:row>
                    <xdr:rowOff>184150</xdr:rowOff>
                  </to>
                </anchor>
              </controlPr>
            </control>
          </mc:Choice>
        </mc:AlternateContent>
        <mc:AlternateContent xmlns:mc="http://schemas.openxmlformats.org/markup-compatibility/2006">
          <mc:Choice Requires="x14">
            <control shapeId="172052" r:id="rId19" name="Check Box 20">
              <controlPr locked="0" defaultSize="0" autoFill="0" autoLine="0" autoPict="0">
                <anchor moveWithCells="1">
                  <from>
                    <xdr:col>22</xdr:col>
                    <xdr:colOff>0</xdr:colOff>
                    <xdr:row>47</xdr:row>
                    <xdr:rowOff>0</xdr:rowOff>
                  </from>
                  <to>
                    <xdr:col>22</xdr:col>
                    <xdr:colOff>184150</xdr:colOff>
                    <xdr:row>47</xdr:row>
                    <xdr:rowOff>184150</xdr:rowOff>
                  </to>
                </anchor>
              </controlPr>
            </control>
          </mc:Choice>
        </mc:AlternateContent>
        <mc:AlternateContent xmlns:mc="http://schemas.openxmlformats.org/markup-compatibility/2006">
          <mc:Choice Requires="x14">
            <control shapeId="172053" r:id="rId20" name="Check Box 21">
              <controlPr locked="0" defaultSize="0" autoFill="0" autoLine="0" autoPict="0">
                <anchor moveWithCells="1">
                  <from>
                    <xdr:col>22</xdr:col>
                    <xdr:colOff>0</xdr:colOff>
                    <xdr:row>48</xdr:row>
                    <xdr:rowOff>0</xdr:rowOff>
                  </from>
                  <to>
                    <xdr:col>22</xdr:col>
                    <xdr:colOff>184150</xdr:colOff>
                    <xdr:row>48</xdr:row>
                    <xdr:rowOff>184150</xdr:rowOff>
                  </to>
                </anchor>
              </controlPr>
            </control>
          </mc:Choice>
        </mc:AlternateContent>
        <mc:AlternateContent xmlns:mc="http://schemas.openxmlformats.org/markup-compatibility/2006">
          <mc:Choice Requires="x14">
            <control shapeId="172054" r:id="rId21" name="Check Box 22">
              <controlPr locked="0" defaultSize="0" autoFill="0" autoLine="0" autoPict="0">
                <anchor moveWithCells="1">
                  <from>
                    <xdr:col>22</xdr:col>
                    <xdr:colOff>0</xdr:colOff>
                    <xdr:row>53</xdr:row>
                    <xdr:rowOff>0</xdr:rowOff>
                  </from>
                  <to>
                    <xdr:col>22</xdr:col>
                    <xdr:colOff>184150</xdr:colOff>
                    <xdr:row>53</xdr:row>
                    <xdr:rowOff>184150</xdr:rowOff>
                  </to>
                </anchor>
              </controlPr>
            </control>
          </mc:Choice>
        </mc:AlternateContent>
        <mc:AlternateContent xmlns:mc="http://schemas.openxmlformats.org/markup-compatibility/2006">
          <mc:Choice Requires="x14">
            <control shapeId="172055" r:id="rId22" name="Check Box 23">
              <controlPr locked="0" defaultSize="0" autoFill="0" autoLine="0" autoPict="0">
                <anchor moveWithCells="1">
                  <from>
                    <xdr:col>22</xdr:col>
                    <xdr:colOff>0</xdr:colOff>
                    <xdr:row>54</xdr:row>
                    <xdr:rowOff>0</xdr:rowOff>
                  </from>
                  <to>
                    <xdr:col>22</xdr:col>
                    <xdr:colOff>184150</xdr:colOff>
                    <xdr:row>54</xdr:row>
                    <xdr:rowOff>184150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38C82-C7C5-4812-8228-8912584BE5EC}">
  <sheetPr codeName="Sheet44">
    <pageSetUpPr fitToPage="1"/>
  </sheetPr>
  <dimension ref="A1:BI170"/>
  <sheetViews>
    <sheetView showGridLines="0" zoomScaleNormal="100" zoomScaleSheetLayoutView="80" workbookViewId="0">
      <pane ySplit="8" topLeftCell="A9" activePane="bottomLeft" state="frozen"/>
      <selection activeCell="S48" sqref="S48"/>
      <selection pane="bottomLeft" activeCell="S48" sqref="S48"/>
    </sheetView>
  </sheetViews>
  <sheetFormatPr defaultRowHeight="14.5" x14ac:dyDescent="0.35"/>
  <cols>
    <col min="1" max="14" width="7.54296875" customWidth="1"/>
    <col min="15" max="15" width="7.54296875" style="6" customWidth="1"/>
    <col min="16" max="16" width="6.1796875" hidden="1" customWidth="1"/>
    <col min="17" max="17" width="5.453125" hidden="1" customWidth="1"/>
    <col min="18" max="20" width="6.1796875" hidden="1" customWidth="1"/>
    <col min="21" max="21" width="8.7265625" hidden="1" customWidth="1"/>
    <col min="22" max="22" width="3.1796875" hidden="1" customWidth="1"/>
    <col min="23" max="23" width="21.453125" style="6" customWidth="1"/>
    <col min="24" max="25" width="34.81640625" customWidth="1"/>
    <col min="26" max="35" width="9.1796875" hidden="1" customWidth="1"/>
    <col min="36" max="40" width="8.453125" hidden="1" customWidth="1"/>
    <col min="41" max="41" width="9.1796875" hidden="1" customWidth="1"/>
    <col min="42" max="42" width="29.1796875" hidden="1" customWidth="1"/>
    <col min="43" max="43" width="2.7265625" hidden="1" customWidth="1"/>
    <col min="44" max="44" width="29.1796875" hidden="1" customWidth="1"/>
    <col min="45" max="45" width="4.81640625" hidden="1" customWidth="1"/>
    <col min="46" max="48" width="8.453125" hidden="1" customWidth="1"/>
    <col min="49" max="59" width="9.1796875" hidden="1" customWidth="1"/>
    <col min="60" max="60" width="13.26953125" hidden="1" customWidth="1"/>
    <col min="61" max="61" width="26.1796875" hidden="1" customWidth="1"/>
    <col min="62" max="62" width="9.1796875" customWidth="1"/>
  </cols>
  <sheetData>
    <row r="1" spans="2:61" ht="15" customHeight="1" x14ac:dyDescent="0.35">
      <c r="W1" s="1014" t="s">
        <v>4873</v>
      </c>
      <c r="X1" s="1150" t="s">
        <v>4067</v>
      </c>
      <c r="Y1" s="1126"/>
    </row>
    <row r="2" spans="2:61" x14ac:dyDescent="0.35">
      <c r="C2" s="6" t="s">
        <v>5715</v>
      </c>
      <c r="D2" t="str">
        <f ca="1">G10</f>
        <v>Not Earned</v>
      </c>
      <c r="W2" s="1014"/>
      <c r="X2" s="1150" t="s">
        <v>3502</v>
      </c>
      <c r="Y2" s="1126"/>
    </row>
    <row r="3" spans="2:61" x14ac:dyDescent="0.35">
      <c r="Q3" s="6" t="s">
        <v>5241</v>
      </c>
      <c r="R3">
        <f>'Verification Report'!ReportType</f>
        <v>0</v>
      </c>
      <c r="W3" s="1015"/>
      <c r="X3" s="1150" t="s">
        <v>3503</v>
      </c>
      <c r="Y3" s="1126"/>
      <c r="AF3" s="6" t="s">
        <v>312</v>
      </c>
      <c r="AG3" t="b">
        <f ca="1">OR(ReportType="",IF(ReportType="Rough",OR(AF:AF),OR(AE:AE)))</f>
        <v>0</v>
      </c>
      <c r="AH3" s="6" t="s">
        <v>313</v>
      </c>
      <c r="AI3" t="b">
        <f>OR(AD:AD)</f>
        <v>0</v>
      </c>
    </row>
    <row r="4" spans="2:61" x14ac:dyDescent="0.35">
      <c r="W4" s="214" t="s">
        <v>3501</v>
      </c>
      <c r="X4" s="1127" t="str">
        <f>IF(verCity="","",IF(dstBatch, "Various ", verHomeAddress)&amp;", "&amp;verCity&amp;", "&amp;verState&amp;"  "&amp;verZIP)</f>
        <v/>
      </c>
      <c r="Y4" s="1128"/>
    </row>
    <row r="5" spans="2:61" ht="15" customHeight="1" x14ac:dyDescent="0.35">
      <c r="W5" s="213" t="s">
        <v>130</v>
      </c>
      <c r="X5" s="1129" t="str">
        <f>IF('Overview (Verification)'!P12="","",'Overview (Verification)'!P12)</f>
        <v/>
      </c>
      <c r="Y5" s="1130"/>
    </row>
    <row r="6" spans="2:61" ht="15" customHeight="1" x14ac:dyDescent="0.35">
      <c r="W6" s="641"/>
    </row>
    <row r="7" spans="2:61" ht="15" customHeight="1" x14ac:dyDescent="0.35">
      <c r="P7" t="s">
        <v>4101</v>
      </c>
      <c r="Q7" t="s">
        <v>309</v>
      </c>
      <c r="R7" t="s">
        <v>250</v>
      </c>
      <c r="S7" t="s">
        <v>251</v>
      </c>
      <c r="T7" t="s">
        <v>0</v>
      </c>
      <c r="U7" t="s">
        <v>4102</v>
      </c>
      <c r="W7" s="641"/>
      <c r="AC7" s="2" t="s">
        <v>307</v>
      </c>
      <c r="AD7" s="2" t="s">
        <v>0</v>
      </c>
      <c r="AE7" s="2" t="s">
        <v>306</v>
      </c>
      <c r="AF7" s="6" t="s">
        <v>3990</v>
      </c>
    </row>
    <row r="8" spans="2:61" x14ac:dyDescent="0.35">
      <c r="H8" s="6"/>
      <c r="I8" s="636"/>
      <c r="J8" s="636"/>
      <c r="P8" s="21" t="s">
        <v>247</v>
      </c>
      <c r="Q8" s="21" t="s">
        <v>247</v>
      </c>
      <c r="R8" s="21" t="s">
        <v>247</v>
      </c>
      <c r="S8" s="21" t="s">
        <v>247</v>
      </c>
      <c r="T8" s="21" t="s">
        <v>247</v>
      </c>
      <c r="U8" s="21" t="s">
        <v>247</v>
      </c>
      <c r="V8" s="21" t="s">
        <v>247</v>
      </c>
      <c r="W8" s="641"/>
      <c r="X8" s="216" t="s">
        <v>4075</v>
      </c>
      <c r="Y8" s="216" t="s">
        <v>4074</v>
      </c>
      <c r="Z8" s="21" t="s">
        <v>247</v>
      </c>
      <c r="AA8" s="21" t="s">
        <v>247</v>
      </c>
      <c r="AB8" s="21" t="s">
        <v>247</v>
      </c>
      <c r="AC8" s="21" t="s">
        <v>247</v>
      </c>
      <c r="AD8" s="21" t="s">
        <v>247</v>
      </c>
      <c r="AE8" s="21" t="s">
        <v>247</v>
      </c>
      <c r="AF8" s="21" t="s">
        <v>247</v>
      </c>
      <c r="AG8" s="21" t="s">
        <v>247</v>
      </c>
      <c r="AH8" s="21" t="s">
        <v>247</v>
      </c>
      <c r="AI8" s="21" t="s">
        <v>247</v>
      </c>
      <c r="AJ8" t="s">
        <v>247</v>
      </c>
      <c r="AK8" t="s">
        <v>247</v>
      </c>
      <c r="AL8" t="s">
        <v>247</v>
      </c>
      <c r="AM8" t="s">
        <v>247</v>
      </c>
      <c r="AN8" t="s">
        <v>247</v>
      </c>
      <c r="AO8" t="s">
        <v>247</v>
      </c>
      <c r="AP8" t="s">
        <v>247</v>
      </c>
      <c r="AQ8" t="s">
        <v>247</v>
      </c>
      <c r="AR8" t="s">
        <v>247</v>
      </c>
      <c r="AS8" t="s">
        <v>247</v>
      </c>
      <c r="AT8" t="s">
        <v>247</v>
      </c>
      <c r="AU8" t="s">
        <v>247</v>
      </c>
      <c r="AV8" t="s">
        <v>247</v>
      </c>
      <c r="AW8" t="s">
        <v>247</v>
      </c>
      <c r="AX8" t="s">
        <v>247</v>
      </c>
      <c r="AY8" t="s">
        <v>247</v>
      </c>
      <c r="AZ8" t="s">
        <v>247</v>
      </c>
      <c r="BA8" t="s">
        <v>247</v>
      </c>
      <c r="BB8" t="s">
        <v>247</v>
      </c>
      <c r="BC8" t="s">
        <v>247</v>
      </c>
      <c r="BD8" t="s">
        <v>247</v>
      </c>
      <c r="BE8" t="s">
        <v>247</v>
      </c>
      <c r="BF8" t="s">
        <v>247</v>
      </c>
      <c r="BG8" t="s">
        <v>247</v>
      </c>
      <c r="BH8" t="s">
        <v>247</v>
      </c>
      <c r="BI8" t="s">
        <v>247</v>
      </c>
    </row>
    <row r="9" spans="2:61" x14ac:dyDescent="0.35">
      <c r="O9"/>
      <c r="W9"/>
    </row>
    <row r="10" spans="2:61" x14ac:dyDescent="0.35">
      <c r="B10" s="1006" t="s">
        <v>5675</v>
      </c>
      <c r="C10" s="1006"/>
      <c r="D10" s="1006"/>
      <c r="E10" s="1006"/>
      <c r="G10" s="1031" t="str" cm="1">
        <f t="array" aca="1" ref="G10" ca="1">IF(S15&gt;0,IF(INDEX(T10:T11,S15),"Earned","Not Earned"),"Not Earned")</f>
        <v>Not Earned</v>
      </c>
      <c r="H10" s="1018"/>
      <c r="I10" s="1018"/>
      <c r="J10" s="1018"/>
      <c r="K10" s="1018"/>
      <c r="L10" s="1018"/>
      <c r="M10" s="1018"/>
      <c r="N10" s="1018"/>
      <c r="O10" s="1019"/>
      <c r="Q10" s="6"/>
      <c r="S10" s="6" t="s">
        <v>5714</v>
      </c>
      <c r="T10" t="b">
        <f ca="1">AND(W18=TRUE,W19=TRUE,W20=TRUE,W22=TRUE,W23=TRUE,W24=TRUE,W27=TRUE,W28=TRUE,W34=TRUE,W41=TRUE,W48=TRUE,NOT(W59="Not Met"),NOT(W98="Not Met"))</f>
        <v>0</v>
      </c>
      <c r="W10"/>
    </row>
    <row r="11" spans="2:61" ht="15" thickBot="1" x14ac:dyDescent="0.4">
      <c r="B11" s="1007"/>
      <c r="C11" s="1007"/>
      <c r="D11" s="1007"/>
      <c r="E11" s="1007"/>
      <c r="F11" s="55"/>
      <c r="G11" s="1032"/>
      <c r="H11" s="1020"/>
      <c r="I11" s="1020"/>
      <c r="J11" s="1020"/>
      <c r="K11" s="1020"/>
      <c r="L11" s="1020"/>
      <c r="M11" s="1020"/>
      <c r="N11" s="1020"/>
      <c r="O11" s="1021"/>
      <c r="P11" s="55"/>
      <c r="Q11" s="635"/>
      <c r="R11" s="55"/>
      <c r="S11" s="635" t="s">
        <v>5713</v>
      </c>
      <c r="T11" s="55" t="b" cm="1">
        <f t="array" aca="1" ref="T11" ca="1">AND(W18=TRUE,W19=TRUE,W20=TRUE,W22=TRUE,W23=TRUE,W24=TRUE,W27=TRUE,W28=TRUE,SUM(COUNTIF(INDIRECT({"W36","W43","W50","W63","W74","W84","W105","W112","W117","W125","W130"}),"Not Met"))=0)</f>
        <v>0</v>
      </c>
      <c r="U11" s="55"/>
      <c r="V11" s="55"/>
      <c r="W11" s="55"/>
      <c r="X11" s="55"/>
      <c r="Y11" s="55"/>
      <c r="AX11" s="6" t="str">
        <f>'Overview (Design)'!A10</f>
        <v>Builder Name:</v>
      </c>
      <c r="AY11" t="str">
        <f>'Overview (Design)'!G10</f>
        <v>ABC Builder</v>
      </c>
    </row>
    <row r="12" spans="2:61" ht="15" thickTop="1" x14ac:dyDescent="0.35">
      <c r="O12"/>
      <c r="W12"/>
      <c r="AM12" s="6"/>
      <c r="AX12" s="6" t="str">
        <f>'Overview (Design)'!A11</f>
        <v>Physical Address of Home:</v>
      </c>
      <c r="AY12" t="str">
        <f>'Overview (Design)'!G11</f>
        <v>123 Example Drive</v>
      </c>
    </row>
    <row r="13" spans="2:61" x14ac:dyDescent="0.35">
      <c r="O13"/>
      <c r="W13"/>
      <c r="AM13" s="6"/>
      <c r="AX13" s="6" t="str">
        <f>'Overview (Design)'!A12</f>
        <v>Community/Lot #:</v>
      </c>
      <c r="AY13" t="str">
        <f>'Overview (Design)'!G12</f>
        <v>Lot 1A</v>
      </c>
    </row>
    <row r="14" spans="2:61" x14ac:dyDescent="0.35">
      <c r="L14" s="6"/>
      <c r="N14" s="6" t="s">
        <v>5629</v>
      </c>
      <c r="O14"/>
      <c r="U14" t="s">
        <v>5659</v>
      </c>
      <c r="W14" s="350" t="str">
        <f>IF(LEN('Verification Report'!W1642)=0, "Enter in Ver. Rep.",'Verification Report'!W1642)</f>
        <v>Enter in Ver. Rep.</v>
      </c>
      <c r="AM14" s="6"/>
      <c r="AX14" s="6" t="str">
        <f>'Overview (Design)'!A13</f>
        <v>City:</v>
      </c>
      <c r="AY14" t="str">
        <f>'Overview (Design)'!G13</f>
        <v>Durham</v>
      </c>
    </row>
    <row r="15" spans="2:61" x14ac:dyDescent="0.35">
      <c r="C15" s="639"/>
      <c r="L15" s="6"/>
      <c r="R15" s="1" t="s">
        <v>3380</v>
      </c>
      <c r="S15" s="1">
        <f ca="1">IFERROR(MATCH(W14,INDIRECT(U14),0),0)</f>
        <v>0</v>
      </c>
      <c r="AX15" s="6" t="str">
        <f>'Overview (Design)'!A14</f>
        <v>State:</v>
      </c>
      <c r="AY15" t="str">
        <f>'Overview (Design)'!G14</f>
        <v>North Carolina</v>
      </c>
    </row>
    <row r="16" spans="2:61" x14ac:dyDescent="0.35">
      <c r="C16" s="216" t="s">
        <v>5628</v>
      </c>
      <c r="L16" s="6"/>
      <c r="AX16" s="6" t="str">
        <f>'Overview (Design)'!A15</f>
        <v>County:</v>
      </c>
      <c r="AY16" t="str">
        <f>'Overview (Design)'!G15</f>
        <v xml:space="preserve">Chatham  </v>
      </c>
    </row>
    <row r="17" spans="2:51" x14ac:dyDescent="0.35">
      <c r="C17" s="639"/>
      <c r="L17" s="21"/>
      <c r="O17"/>
      <c r="W17"/>
      <c r="AX17" s="6" t="str">
        <f>'Overview (Design)'!A16</f>
        <v>Zip:</v>
      </c>
      <c r="AY17" t="str">
        <f>'Overview (Design)'!G16</f>
        <v>27703</v>
      </c>
    </row>
    <row r="18" spans="2:51" x14ac:dyDescent="0.35">
      <c r="B18" s="645"/>
      <c r="C18" s="104" t="s">
        <v>5630</v>
      </c>
      <c r="D18" s="586"/>
      <c r="E18" s="586"/>
      <c r="F18" s="586"/>
      <c r="G18" s="586"/>
      <c r="H18" s="586"/>
      <c r="I18" s="586"/>
      <c r="J18" s="586"/>
      <c r="K18" s="104"/>
      <c r="L18" s="104"/>
      <c r="M18" s="104"/>
      <c r="N18" s="104"/>
      <c r="O18" s="104"/>
      <c r="P18" t="b">
        <v>1</v>
      </c>
      <c r="Q18" t="b">
        <v>1</v>
      </c>
      <c r="R18" t="b">
        <f ca="1">S18</f>
        <v>0</v>
      </c>
      <c r="S18" t="b">
        <f ca="1">S15&gt;0</f>
        <v>0</v>
      </c>
      <c r="T18" t="b">
        <v>0</v>
      </c>
      <c r="W18" s="17"/>
      <c r="X18" s="36"/>
      <c r="Y18" s="396" t="str">
        <f>IF(LEN('WaterSense (Design)'!X18)=0,"None",'WaterSense (Design)'!X18)</f>
        <v>None</v>
      </c>
      <c r="AC18" t="b">
        <f ca="1">OR(AD18,AE18)</f>
        <v>0</v>
      </c>
      <c r="AD18" t="b">
        <f>T18</f>
        <v>0</v>
      </c>
      <c r="AE18" t="b">
        <f ca="1">AND(R18,NOT(W18))</f>
        <v>0</v>
      </c>
      <c r="AL18" t="s">
        <v>5717</v>
      </c>
      <c r="AP18" t="str">
        <f>"vch"&amp;AL18</f>
        <v>vchWaterSenseLeaks1</v>
      </c>
      <c r="AQ18" t="str">
        <f>IF(LEN(W18)=0,"",W18)</f>
        <v/>
      </c>
      <c r="AR18" t="str">
        <f>"vnt"&amp;AL18</f>
        <v>vntWaterSenseLeaks1</v>
      </c>
      <c r="AS18" t="str">
        <f>IF(LEN(X18)=0,"",X18)</f>
        <v/>
      </c>
      <c r="AX18" s="6"/>
    </row>
    <row r="19" spans="2:51" x14ac:dyDescent="0.35">
      <c r="B19" s="645"/>
      <c r="C19" s="134" t="s">
        <v>5631</v>
      </c>
      <c r="D19" s="134"/>
      <c r="E19" s="134"/>
      <c r="F19" s="134"/>
      <c r="G19" s="134"/>
      <c r="H19" s="134"/>
      <c r="I19" s="134"/>
      <c r="J19" s="134"/>
      <c r="K19" s="134"/>
      <c r="L19" s="646"/>
      <c r="M19" s="134"/>
      <c r="N19" s="134"/>
      <c r="O19" s="134"/>
      <c r="P19" t="b">
        <v>1</v>
      </c>
      <c r="Q19" t="b">
        <v>1</v>
      </c>
      <c r="R19" t="b">
        <f ca="1">S19</f>
        <v>0</v>
      </c>
      <c r="S19" t="b">
        <f ca="1">S15&gt;0</f>
        <v>0</v>
      </c>
      <c r="T19" t="b">
        <v>0</v>
      </c>
      <c r="W19" s="17"/>
      <c r="X19" s="36"/>
      <c r="Y19" s="396" t="str">
        <f>IF(LEN('WaterSense (Design)'!X19)=0,"None",'WaterSense (Design)'!X19)</f>
        <v>None</v>
      </c>
      <c r="AC19" t="b">
        <f ca="1">OR(AD19,AE19)</f>
        <v>0</v>
      </c>
      <c r="AD19" t="b">
        <f>T19</f>
        <v>0</v>
      </c>
      <c r="AE19" t="b">
        <f ca="1">AND(R19,NOT(W19))</f>
        <v>0</v>
      </c>
      <c r="AL19" t="s">
        <v>5718</v>
      </c>
      <c r="AP19" t="str">
        <f t="shared" ref="AP19:AP20" si="0">"vch"&amp;AL19</f>
        <v>vchWaterSenseLeaks2</v>
      </c>
      <c r="AQ19" t="str">
        <f>IF(LEN(W19)=0,"",W19)</f>
        <v/>
      </c>
      <c r="AR19" t="str">
        <f>"vnt"&amp;AL19</f>
        <v>vntWaterSenseLeaks2</v>
      </c>
      <c r="AS19" t="str">
        <f>IF(LEN(X19)=0,"",X19)</f>
        <v/>
      </c>
      <c r="AX19" s="6" t="str">
        <f>'Overview (Design)'!A18</f>
        <v>Single-Family or Multifamily:</v>
      </c>
      <c r="AY19" t="str">
        <f>'Overview (Design)'!G18</f>
        <v>Single-Family</v>
      </c>
    </row>
    <row r="20" spans="2:51" x14ac:dyDescent="0.35">
      <c r="B20" s="645"/>
      <c r="C20" s="1041" t="s">
        <v>5632</v>
      </c>
      <c r="D20" s="1041"/>
      <c r="E20" s="1041"/>
      <c r="F20" s="1041"/>
      <c r="G20" s="1041"/>
      <c r="H20" s="1041"/>
      <c r="I20" s="1041"/>
      <c r="J20" s="1041"/>
      <c r="K20" s="1041"/>
      <c r="L20" s="1041"/>
      <c r="M20" s="1041"/>
      <c r="N20" s="120"/>
      <c r="O20" s="120"/>
      <c r="P20" t="b">
        <v>1</v>
      </c>
      <c r="Q20" t="b">
        <v>1</v>
      </c>
      <c r="R20" t="b">
        <f ca="1">S20</f>
        <v>0</v>
      </c>
      <c r="S20" t="b">
        <f ca="1">S15&gt;0</f>
        <v>0</v>
      </c>
      <c r="T20" t="b">
        <v>0</v>
      </c>
      <c r="W20" s="17"/>
      <c r="X20" s="817"/>
      <c r="Y20" s="1100" t="str">
        <f>IF(LEN('WaterSense (Design)'!X20)=0,"None",'WaterSense (Design)'!X20)</f>
        <v>None</v>
      </c>
      <c r="AC20" t="b">
        <f ca="1">OR(AD20,AE20)</f>
        <v>0</v>
      </c>
      <c r="AD20" t="b">
        <f>T20</f>
        <v>0</v>
      </c>
      <c r="AE20" t="b">
        <f ca="1">AND(R20,NOT(W20))</f>
        <v>0</v>
      </c>
      <c r="AL20" t="s">
        <v>5719</v>
      </c>
      <c r="AP20" t="str">
        <f t="shared" si="0"/>
        <v>vchWaterSenseLeaks3</v>
      </c>
      <c r="AQ20" t="str">
        <f>IF(LEN(W20)=0,"",W20)</f>
        <v/>
      </c>
      <c r="AR20" t="str">
        <f>"vnt"&amp;AL20</f>
        <v>vntWaterSenseLeaks3</v>
      </c>
      <c r="AS20" t="str">
        <f>IF(LEN(X20)=0,"",X20)</f>
        <v/>
      </c>
      <c r="AX20" s="6" t="str">
        <f>'Overview (Design)'!A19</f>
        <v>Number of Units:</v>
      </c>
      <c r="AY20">
        <f>'Overview (Design)'!G19</f>
        <v>0</v>
      </c>
    </row>
    <row r="21" spans="2:51" x14ac:dyDescent="0.35">
      <c r="C21" s="1042"/>
      <c r="D21" s="1042"/>
      <c r="E21" s="1042"/>
      <c r="F21" s="1042"/>
      <c r="G21" s="1042"/>
      <c r="H21" s="1042"/>
      <c r="I21" s="1042"/>
      <c r="J21" s="1042"/>
      <c r="K21" s="1042"/>
      <c r="L21" s="1042"/>
      <c r="M21" s="1042"/>
      <c r="N21" s="104"/>
      <c r="O21" s="104"/>
      <c r="W21"/>
      <c r="X21" s="817"/>
      <c r="Y21" s="1100"/>
      <c r="AX21" s="6" t="str">
        <f>'Overview (Design)'!A20</f>
        <v>Building includes commercial space pursuing Commercial Space certification?</v>
      </c>
      <c r="AY21">
        <f>'Overview (Design)'!G20</f>
        <v>0</v>
      </c>
    </row>
    <row r="22" spans="2:51" x14ac:dyDescent="0.35">
      <c r="B22" s="645"/>
      <c r="C22" s="134" t="s">
        <v>5633</v>
      </c>
      <c r="D22" s="134"/>
      <c r="E22" s="134"/>
      <c r="F22" s="134"/>
      <c r="G22" s="134"/>
      <c r="H22" s="134"/>
      <c r="I22" s="134"/>
      <c r="J22" s="134"/>
      <c r="K22" s="134"/>
      <c r="L22" s="646"/>
      <c r="M22" s="134"/>
      <c r="N22" s="134"/>
      <c r="O22" s="134"/>
      <c r="P22" t="b">
        <v>1</v>
      </c>
      <c r="Q22" t="b">
        <v>1</v>
      </c>
      <c r="R22" t="b">
        <f ca="1">S22</f>
        <v>0</v>
      </c>
      <c r="S22" t="b">
        <f ca="1">S15&gt;0</f>
        <v>0</v>
      </c>
      <c r="T22" t="b">
        <v>0</v>
      </c>
      <c r="W22" s="17"/>
      <c r="X22" s="36"/>
      <c r="Y22" s="396" t="str">
        <f>IF(LEN('WaterSense (Design)'!X22)=0,"None",'WaterSense (Design)'!X22)</f>
        <v>None</v>
      </c>
      <c r="AC22" t="b">
        <f ca="1">OR(AD22,AE22)</f>
        <v>0</v>
      </c>
      <c r="AD22" t="b">
        <f>T22</f>
        <v>0</v>
      </c>
      <c r="AE22" t="b">
        <f ca="1">AND(R22,NOT(W22))</f>
        <v>0</v>
      </c>
      <c r="AL22" t="s">
        <v>5720</v>
      </c>
      <c r="AP22" t="str">
        <f t="shared" ref="AP22:AP24" si="1">"vch"&amp;AL22</f>
        <v>vchWaterSenseLeaks4</v>
      </c>
      <c r="AQ22" t="str">
        <f>IF(LEN(W22)=0,"",W22)</f>
        <v/>
      </c>
      <c r="AR22" t="str">
        <f>"vnt"&amp;AL22</f>
        <v>vntWaterSenseLeaks4</v>
      </c>
      <c r="AS22" t="str">
        <f>IF(LEN(X22)=0,"",X22)</f>
        <v/>
      </c>
      <c r="AX22" s="6"/>
    </row>
    <row r="23" spans="2:51" x14ac:dyDescent="0.35">
      <c r="B23" s="645"/>
      <c r="C23" s="134" t="s">
        <v>5634</v>
      </c>
      <c r="D23" s="134"/>
      <c r="E23" s="134"/>
      <c r="F23" s="134"/>
      <c r="G23" s="134"/>
      <c r="H23" s="134"/>
      <c r="I23" s="134"/>
      <c r="J23" s="134"/>
      <c r="K23" s="134"/>
      <c r="L23" s="646"/>
      <c r="M23" s="134"/>
      <c r="N23" s="134"/>
      <c r="O23" s="134"/>
      <c r="P23" t="b">
        <v>1</v>
      </c>
      <c r="Q23" t="b">
        <v>1</v>
      </c>
      <c r="R23" t="b">
        <f ca="1">S23</f>
        <v>0</v>
      </c>
      <c r="S23" t="b">
        <f ca="1">S15&gt;0</f>
        <v>0</v>
      </c>
      <c r="T23" t="b">
        <v>0</v>
      </c>
      <c r="W23" s="17"/>
      <c r="X23" s="36"/>
      <c r="Y23" s="396" t="str">
        <f>IF(LEN('WaterSense (Design)'!X23)=0,"None",'WaterSense (Design)'!X23)</f>
        <v>None</v>
      </c>
      <c r="AC23" t="b">
        <f ca="1">OR(AD23,AE23)</f>
        <v>0</v>
      </c>
      <c r="AD23" t="b">
        <f>T23</f>
        <v>0</v>
      </c>
      <c r="AE23" t="b">
        <f ca="1">AND(R23,NOT(W23))</f>
        <v>0</v>
      </c>
      <c r="AL23" t="s">
        <v>5721</v>
      </c>
      <c r="AP23" t="str">
        <f t="shared" si="1"/>
        <v>vchWaterSenseLeaks5</v>
      </c>
      <c r="AQ23" t="str">
        <f>IF(LEN(W23)=0,"",W23)</f>
        <v/>
      </c>
      <c r="AR23" t="str">
        <f>"vnt"&amp;AL23</f>
        <v>vntWaterSenseLeaks5</v>
      </c>
      <c r="AS23" t="str">
        <f>IF(LEN(X23)=0,"",X23)</f>
        <v/>
      </c>
      <c r="AX23" s="6"/>
    </row>
    <row r="24" spans="2:51" x14ac:dyDescent="0.35">
      <c r="B24" s="645"/>
      <c r="C24" s="1041" t="s">
        <v>5635</v>
      </c>
      <c r="D24" s="1041"/>
      <c r="E24" s="1041"/>
      <c r="F24" s="1041"/>
      <c r="G24" s="1041"/>
      <c r="H24" s="1041"/>
      <c r="I24" s="1041"/>
      <c r="J24" s="1041"/>
      <c r="K24" s="1041"/>
      <c r="L24" s="1041"/>
      <c r="M24" s="1041"/>
      <c r="N24" s="120"/>
      <c r="O24" s="120"/>
      <c r="P24" t="b">
        <v>1</v>
      </c>
      <c r="Q24" t="b">
        <v>1</v>
      </c>
      <c r="R24" t="b">
        <f ca="1">S24</f>
        <v>0</v>
      </c>
      <c r="S24" t="b">
        <f ca="1">S15&gt;0</f>
        <v>0</v>
      </c>
      <c r="T24" t="b">
        <v>0</v>
      </c>
      <c r="W24" s="17"/>
      <c r="X24" s="817"/>
      <c r="Y24" s="1100" t="str">
        <f>IF(LEN('WaterSense (Design)'!X24)=0,"None",'WaterSense (Design)'!X24)</f>
        <v>None</v>
      </c>
      <c r="AC24" t="b">
        <f ca="1">OR(AD24,AE24)</f>
        <v>0</v>
      </c>
      <c r="AD24" t="b">
        <f>T24</f>
        <v>0</v>
      </c>
      <c r="AE24" t="b">
        <f ca="1">AND(R24,NOT(W24))</f>
        <v>0</v>
      </c>
      <c r="AL24" t="s">
        <v>5722</v>
      </c>
      <c r="AP24" t="str">
        <f t="shared" si="1"/>
        <v>vchWaterSenseLeaks6</v>
      </c>
      <c r="AQ24" t="str">
        <f>IF(LEN(W24)=0,"",W24)</f>
        <v/>
      </c>
      <c r="AR24" t="str">
        <f>"vnt"&amp;AL24</f>
        <v>vntWaterSenseLeaks6</v>
      </c>
      <c r="AS24" t="str">
        <f>IF(LEN(X24)=0,"",X24)</f>
        <v/>
      </c>
      <c r="AX24" s="6" t="str">
        <f>'Overview (Design)'!A23</f>
        <v>Project Name:</v>
      </c>
      <c r="AY24">
        <f>'Overview (Design)'!G23</f>
        <v>0</v>
      </c>
    </row>
    <row r="25" spans="2:51" x14ac:dyDescent="0.35">
      <c r="C25" s="760"/>
      <c r="D25" s="760"/>
      <c r="E25" s="760"/>
      <c r="F25" s="760"/>
      <c r="G25" s="760"/>
      <c r="H25" s="760"/>
      <c r="I25" s="760"/>
      <c r="J25" s="760"/>
      <c r="K25" s="760"/>
      <c r="L25" s="760"/>
      <c r="M25" s="760"/>
      <c r="O25"/>
      <c r="W25"/>
      <c r="X25" s="817"/>
      <c r="Y25" s="1100"/>
      <c r="AX25" s="6"/>
    </row>
    <row r="26" spans="2:51" x14ac:dyDescent="0.35">
      <c r="C26" s="1042"/>
      <c r="D26" s="1042"/>
      <c r="E26" s="1042"/>
      <c r="F26" s="1042"/>
      <c r="G26" s="1042"/>
      <c r="H26" s="1042"/>
      <c r="I26" s="1042"/>
      <c r="J26" s="1042"/>
      <c r="K26" s="1042"/>
      <c r="L26" s="1042"/>
      <c r="M26" s="1042"/>
      <c r="N26" s="104"/>
      <c r="O26" s="104"/>
      <c r="W26"/>
      <c r="X26" s="817"/>
      <c r="Y26" s="1100"/>
      <c r="AX26" s="6" t="str">
        <f>'Overview (Design)'!A25</f>
        <v>Above grade plane finished floor area:</v>
      </c>
      <c r="AY26">
        <f>'Overview (Design)'!G25</f>
        <v>2644</v>
      </c>
    </row>
    <row r="27" spans="2:51" x14ac:dyDescent="0.35">
      <c r="B27" s="645"/>
      <c r="C27" s="134" t="s">
        <v>5636</v>
      </c>
      <c r="D27" s="134"/>
      <c r="E27" s="134"/>
      <c r="F27" s="134"/>
      <c r="G27" s="134"/>
      <c r="H27" s="134"/>
      <c r="I27" s="134"/>
      <c r="J27" s="134"/>
      <c r="K27" s="134"/>
      <c r="L27" s="647"/>
      <c r="M27" s="134"/>
      <c r="N27" s="134"/>
      <c r="O27" s="134"/>
      <c r="P27" t="b">
        <v>1</v>
      </c>
      <c r="Q27" t="b">
        <v>1</v>
      </c>
      <c r="R27" t="b">
        <f ca="1">S27</f>
        <v>0</v>
      </c>
      <c r="S27" t="b">
        <f ca="1">S15&gt;0</f>
        <v>0</v>
      </c>
      <c r="T27" t="b">
        <v>0</v>
      </c>
      <c r="W27" s="17"/>
      <c r="X27" s="36"/>
      <c r="Y27" s="396" t="str">
        <f>IF(LEN('WaterSense (Design)'!X27)=0,"None",'WaterSense (Design)'!X27)</f>
        <v>None</v>
      </c>
      <c r="AC27" t="b">
        <f ca="1">OR(AD27,AE27)</f>
        <v>0</v>
      </c>
      <c r="AD27" t="b">
        <f>T27</f>
        <v>0</v>
      </c>
      <c r="AE27" t="b">
        <f ca="1">AND(R27,NOT(W27))</f>
        <v>0</v>
      </c>
      <c r="AL27" t="s">
        <v>5723</v>
      </c>
      <c r="AP27" t="str">
        <f t="shared" ref="AP27:AP28" si="2">"vch"&amp;AL27</f>
        <v>vchWaterSenseLeaks7</v>
      </c>
      <c r="AQ27" t="str">
        <f>IF(LEN(W27)=0,"",W27)</f>
        <v/>
      </c>
      <c r="AR27" t="str">
        <f>"vnt"&amp;AL27</f>
        <v>vntWaterSenseLeaks7</v>
      </c>
      <c r="AS27" t="str">
        <f>IF(LEN(X27)=0,"",X27)</f>
        <v/>
      </c>
      <c r="AX27" s="6" t="str">
        <f>'Overview (Design)'!A26</f>
        <v>Total conditioned floor area:</v>
      </c>
      <c r="AY27">
        <f>'Overview (Design)'!G26</f>
        <v>2644</v>
      </c>
    </row>
    <row r="28" spans="2:51" x14ac:dyDescent="0.35">
      <c r="B28" s="645"/>
      <c r="C28" s="760" t="s">
        <v>5637</v>
      </c>
      <c r="D28" s="760"/>
      <c r="E28" s="760"/>
      <c r="F28" s="760"/>
      <c r="G28" s="760"/>
      <c r="H28" s="760"/>
      <c r="I28" s="760"/>
      <c r="J28" s="760"/>
      <c r="K28" s="760"/>
      <c r="L28" s="760"/>
      <c r="M28" s="760"/>
      <c r="O28"/>
      <c r="P28" t="b">
        <v>1</v>
      </c>
      <c r="Q28" t="b">
        <v>1</v>
      </c>
      <c r="R28" t="b">
        <f ca="1">S28</f>
        <v>0</v>
      </c>
      <c r="S28" t="b">
        <f ca="1">S15&gt;0</f>
        <v>0</v>
      </c>
      <c r="T28" t="b">
        <v>0</v>
      </c>
      <c r="W28" s="17"/>
      <c r="X28" s="817"/>
      <c r="Y28" s="1100" t="str">
        <f>IF(LEN('WaterSense (Design)'!X28)=0,"None",'WaterSense (Design)'!X28)</f>
        <v>None</v>
      </c>
      <c r="AC28" t="b">
        <f ca="1">OR(AD28,AE28)</f>
        <v>0</v>
      </c>
      <c r="AD28" t="b">
        <f>T28</f>
        <v>0</v>
      </c>
      <c r="AE28" t="b">
        <f ca="1">AND(R28,NOT(W28))</f>
        <v>0</v>
      </c>
      <c r="AL28" t="s">
        <v>5724</v>
      </c>
      <c r="AP28" t="str">
        <f t="shared" si="2"/>
        <v>vchWaterSenseLeaks8</v>
      </c>
      <c r="AQ28" t="str">
        <f>IF(LEN(W28)=0,"",W28)</f>
        <v/>
      </c>
      <c r="AR28" t="str">
        <f>"vnt"&amp;AL28</f>
        <v>vntWaterSenseLeaks8</v>
      </c>
      <c r="AS28" t="str">
        <f>IF(LEN(X28)=0,"",X28)</f>
        <v/>
      </c>
      <c r="AX28" s="6" t="str">
        <f>'Overview (Design)'!A27</f>
        <v>Stories above grade:</v>
      </c>
      <c r="AY28">
        <f>'Overview (Design)'!G27</f>
        <v>2</v>
      </c>
    </row>
    <row r="29" spans="2:51" x14ac:dyDescent="0.35">
      <c r="C29" s="760"/>
      <c r="D29" s="760"/>
      <c r="E29" s="760"/>
      <c r="F29" s="760"/>
      <c r="G29" s="760"/>
      <c r="H29" s="760"/>
      <c r="I29" s="760"/>
      <c r="J29" s="760"/>
      <c r="K29" s="760"/>
      <c r="L29" s="760"/>
      <c r="M29" s="760"/>
      <c r="W29"/>
      <c r="X29" s="817"/>
      <c r="Y29" s="1100"/>
      <c r="AX29" s="6" t="str">
        <f>'Overview (Design)'!A28</f>
        <v>Project Elevation (ft. above sea level):</v>
      </c>
      <c r="AY29">
        <f>'Overview (Design)'!G28</f>
        <v>0</v>
      </c>
    </row>
    <row r="30" spans="2:51" x14ac:dyDescent="0.35">
      <c r="W30"/>
      <c r="AX30" s="6"/>
    </row>
    <row r="31" spans="2:51" x14ac:dyDescent="0.35">
      <c r="AX31" s="6" t="str">
        <f>'Overview (Design)'!A30</f>
        <v xml:space="preserve">Project Description (optional): </v>
      </c>
      <c r="AY31">
        <f>'Overview (Design)'!G30</f>
        <v>0</v>
      </c>
    </row>
    <row r="32" spans="2:51" x14ac:dyDescent="0.35">
      <c r="C32" s="216" t="s">
        <v>5640</v>
      </c>
      <c r="AX32" s="6"/>
    </row>
    <row r="33" spans="2:51" x14ac:dyDescent="0.35">
      <c r="AX33" s="6" t="str">
        <f>'Overview (Design)'!A32</f>
        <v>Foundation Type:</v>
      </c>
      <c r="AY33" t="str">
        <f>'Overview (Design)'!G32</f>
        <v>Conditioned crawlspace</v>
      </c>
    </row>
    <row r="34" spans="2:51" x14ac:dyDescent="0.35">
      <c r="B34" s="645"/>
      <c r="C34" t="s">
        <v>5641</v>
      </c>
      <c r="P34" t="b">
        <v>1</v>
      </c>
      <c r="Q34" t="b">
        <v>1</v>
      </c>
      <c r="R34" t="b">
        <f ca="1">S34</f>
        <v>0</v>
      </c>
      <c r="S34" t="b">
        <f ca="1">S15=1</f>
        <v>0</v>
      </c>
      <c r="T34" t="b">
        <v>0</v>
      </c>
      <c r="W34" s="17"/>
      <c r="X34" s="36"/>
      <c r="Y34" s="396" t="str">
        <f>IF(LEN('WaterSense (Design)'!X34)=0,"None",'WaterSense (Design)'!X34)</f>
        <v>None</v>
      </c>
      <c r="AC34" t="b">
        <f ca="1">OR(AD34,AE34)</f>
        <v>0</v>
      </c>
      <c r="AD34" t="b">
        <f>T34</f>
        <v>0</v>
      </c>
      <c r="AE34" t="b">
        <f ca="1">AND(R34,NOT(W34))</f>
        <v>0</v>
      </c>
      <c r="AL34" t="s">
        <v>5725</v>
      </c>
      <c r="AP34" t="str">
        <f>"vch"&amp;AL34</f>
        <v>vchWaterSenseToilet</v>
      </c>
      <c r="AQ34" t="str">
        <f>IF(LEN(W34)=0,"",W34)</f>
        <v/>
      </c>
      <c r="AR34" t="str">
        <f>"vnt"&amp;AL34</f>
        <v>vntWaterSenseToilet</v>
      </c>
      <c r="AS34" t="str">
        <f>IF(LEN(X34)=0,"",X34)</f>
        <v/>
      </c>
      <c r="AX34" s="6"/>
    </row>
    <row r="35" spans="2:51" x14ac:dyDescent="0.35">
      <c r="AX35" s="6" t="str">
        <f>'Overview (Design)'!A34</f>
        <v>Type of Heating System (main system):</v>
      </c>
      <c r="AY35" t="str">
        <f>'Overview (Design)'!G34</f>
        <v>Furnace</v>
      </c>
    </row>
    <row r="36" spans="2:51" x14ac:dyDescent="0.35">
      <c r="C36" t="s">
        <v>5642</v>
      </c>
      <c r="S36" t="b">
        <f ca="1">S15=2</f>
        <v>0</v>
      </c>
      <c r="W36" s="351" t="str">
        <f ca="1">IF(S36,IF('Verification Report'!O1760&gt;0,"Met", "Not Met"),"N/A")</f>
        <v>N/A</v>
      </c>
      <c r="AX36" s="6" t="str">
        <f>'Overview (Design)'!A35</f>
        <v>Type of Heating System (system 2):</v>
      </c>
      <c r="AY36">
        <f>'Overview (Design)'!G35</f>
        <v>0</v>
      </c>
    </row>
    <row r="37" spans="2:51" x14ac:dyDescent="0.35">
      <c r="AX37" s="6" t="str">
        <f>'Overview (Design)'!A36</f>
        <v>Type of Heating System (system 3):</v>
      </c>
      <c r="AY37">
        <f>'Overview (Design)'!G36</f>
        <v>0</v>
      </c>
    </row>
    <row r="38" spans="2:51" x14ac:dyDescent="0.35">
      <c r="AX38" s="6" t="str">
        <f>'Overview (Design)'!A37</f>
        <v>Primary Heating Fuel:</v>
      </c>
      <c r="AY38">
        <f>'Overview (Design)'!G37</f>
        <v>0</v>
      </c>
    </row>
    <row r="39" spans="2:51" x14ac:dyDescent="0.35">
      <c r="C39" s="216" t="s">
        <v>5643</v>
      </c>
      <c r="AX39" s="6" t="str">
        <f>'Overview (Design)'!A38</f>
        <v>Heating Ducts:</v>
      </c>
      <c r="AY39" t="str">
        <f>'Overview (Design)'!G38</f>
        <v>Ducted</v>
      </c>
    </row>
    <row r="40" spans="2:51" x14ac:dyDescent="0.35">
      <c r="AX40" s="6" t="str">
        <f>'Overview (Design)'!A39</f>
        <v>Type of Cooling System (main system):</v>
      </c>
      <c r="AY40" t="str">
        <f>'Overview (Design)'!G39</f>
        <v>Electric Air Conditiner</v>
      </c>
    </row>
    <row r="41" spans="2:51" x14ac:dyDescent="0.35">
      <c r="B41" s="645"/>
      <c r="C41" t="str">
        <f ca="1">IF(S15=2,"Lavatory faucets are WaterSense labeled and have a maximum flow rate of 1.2 gallons per minute (gpm).","Lavatory faucets are WaterSense labeled.")</f>
        <v>Lavatory faucets are WaterSense labeled.</v>
      </c>
      <c r="P41" t="b">
        <v>1</v>
      </c>
      <c r="Q41" t="b">
        <v>1</v>
      </c>
      <c r="R41" t="b">
        <f ca="1">S41</f>
        <v>0</v>
      </c>
      <c r="S41" t="b">
        <f ca="1">S15=1</f>
        <v>0</v>
      </c>
      <c r="T41" t="b">
        <v>0</v>
      </c>
      <c r="W41" s="17"/>
      <c r="X41" s="36"/>
      <c r="Y41" s="396" t="str">
        <f>IF(LEN('WaterSense (Design)'!X41)=0,"None",'WaterSense (Design)'!X41)</f>
        <v>None</v>
      </c>
      <c r="AC41" t="b">
        <f ca="1">OR(AD41,AE41)</f>
        <v>0</v>
      </c>
      <c r="AD41" t="b">
        <f>T41</f>
        <v>0</v>
      </c>
      <c r="AE41" t="b">
        <f ca="1">AND(R41,NOT(W41))</f>
        <v>0</v>
      </c>
      <c r="AL41" t="s">
        <v>5726</v>
      </c>
      <c r="AP41" t="str">
        <f>"vch"&amp;AL41</f>
        <v>vchWaterSenseLavFaucet</v>
      </c>
      <c r="AQ41" t="str">
        <f>IF(LEN(W41)=0,"",W41)</f>
        <v/>
      </c>
      <c r="AR41" t="str">
        <f>"vnt"&amp;AL41</f>
        <v>vntWaterSenseLavFaucet</v>
      </c>
      <c r="AS41" t="str">
        <f>IF(LEN(X41)=0,"",X41)</f>
        <v/>
      </c>
      <c r="AX41" s="6" t="str">
        <f>'Overview (Design)'!A40</f>
        <v>Type of Cooling System (system 2):</v>
      </c>
      <c r="AY41">
        <f>'Overview (Design)'!G40</f>
        <v>0</v>
      </c>
    </row>
    <row r="42" spans="2:51" x14ac:dyDescent="0.35">
      <c r="AX42" s="6" t="str">
        <f>'Overview (Design)'!A41</f>
        <v>Type of Cooling System (system 3):</v>
      </c>
      <c r="AY42">
        <f>'Overview (Design)'!G41</f>
        <v>0</v>
      </c>
    </row>
    <row r="43" spans="2:51" x14ac:dyDescent="0.35">
      <c r="C43" t="s">
        <v>5678</v>
      </c>
      <c r="S43" t="b">
        <f ca="1">S15=2</f>
        <v>0</v>
      </c>
      <c r="W43" s="351" t="str">
        <f ca="1">IF(S43,IF('Verification Report'!W1731="(5)","Met", "Not Met"),"N/A")</f>
        <v>N/A</v>
      </c>
      <c r="AX43" s="6" t="str">
        <f>'Overview (Design)'!A42</f>
        <v>Cooling Ducts:</v>
      </c>
      <c r="AY43" t="str">
        <f>'Overview (Design)'!G42</f>
        <v>Ducted</v>
      </c>
    </row>
    <row r="44" spans="2:51" x14ac:dyDescent="0.35">
      <c r="AX44" s="6"/>
    </row>
    <row r="45" spans="2:51" x14ac:dyDescent="0.35">
      <c r="AX45" s="6" t="str">
        <f>'Overview (Design)'!A44</f>
        <v>Maximum window and door SHGC:</v>
      </c>
      <c r="AY45">
        <f>'Overview (Design)'!G44</f>
        <v>0.22</v>
      </c>
    </row>
    <row r="46" spans="2:51" x14ac:dyDescent="0.35">
      <c r="C46" s="216" t="s">
        <v>5644</v>
      </c>
      <c r="AX46" s="6" t="str">
        <f>'Overview (Design)'!A45</f>
        <v>Maximum skylight SHGC:</v>
      </c>
      <c r="AY46">
        <f>'Overview (Design)'!G45</f>
        <v>0</v>
      </c>
    </row>
    <row r="47" spans="2:51" x14ac:dyDescent="0.35">
      <c r="AX47" s="6" t="str">
        <f>'Overview (Design)'!A46</f>
        <v>Maximum window and door U-value:</v>
      </c>
      <c r="AY47">
        <f>'Overview (Design)'!G46</f>
        <v>0.32</v>
      </c>
    </row>
    <row r="48" spans="2:51" x14ac:dyDescent="0.35">
      <c r="B48" s="645"/>
      <c r="C48" t="s">
        <v>5645</v>
      </c>
      <c r="P48" t="b">
        <v>1</v>
      </c>
      <c r="Q48" t="b">
        <v>1</v>
      </c>
      <c r="R48" t="b">
        <f ca="1">S48</f>
        <v>0</v>
      </c>
      <c r="S48" t="b">
        <f ca="1">S15=1</f>
        <v>0</v>
      </c>
      <c r="T48" t="b">
        <v>0</v>
      </c>
      <c r="W48" s="17"/>
      <c r="X48" s="36"/>
      <c r="Y48" s="396" t="str">
        <f>IF(LEN('WaterSense (Design)'!X48)=0,"None",'WaterSense (Design)'!X48)</f>
        <v>None</v>
      </c>
      <c r="AC48" t="b">
        <f ca="1">OR(AD48,AE48)</f>
        <v>0</v>
      </c>
      <c r="AD48" t="b">
        <f>T48</f>
        <v>0</v>
      </c>
      <c r="AE48" t="b">
        <f ca="1">AND(R48,NOT(W48))</f>
        <v>0</v>
      </c>
      <c r="AL48" t="s">
        <v>5727</v>
      </c>
      <c r="AP48" t="str">
        <f>"vch"&amp;AL48</f>
        <v>vchWaterSenseShowerheads</v>
      </c>
      <c r="AQ48" t="str">
        <f>IF(LEN(W48)=0,"",W48)</f>
        <v/>
      </c>
      <c r="AR48" t="str">
        <f>"vnt"&amp;AL48</f>
        <v>vntWaterSenseShowerheads</v>
      </c>
      <c r="AS48" t="str">
        <f>IF(LEN(X48)=0,"",X48)</f>
        <v/>
      </c>
      <c r="AX48" s="6" t="str">
        <f>'Overview (Design)'!A47</f>
        <v>Maximum skylight U-value:</v>
      </c>
      <c r="AY48">
        <f>'Overview (Design)'!G47</f>
        <v>0</v>
      </c>
    </row>
    <row r="49" spans="3:51" x14ac:dyDescent="0.35">
      <c r="AX49" s="6" t="str">
        <f>'Overview (Design)'!A48</f>
        <v>Renewable Energy:</v>
      </c>
      <c r="AY49">
        <f>'Overview (Design)'!G48</f>
        <v>0</v>
      </c>
    </row>
    <row r="50" spans="3:51" x14ac:dyDescent="0.35">
      <c r="C50" t="s">
        <v>5646</v>
      </c>
      <c r="S50" t="b">
        <f ca="1">S15=2</f>
        <v>0</v>
      </c>
      <c r="W50" s="351" t="str">
        <f ca="1">IF(S50,IF('Verification Report'!O1709&gt;0,"Met", "Not Met"),"N/A")</f>
        <v>N/A</v>
      </c>
      <c r="AX50" s="6" t="str">
        <f>'Overview (Design)'!A49</f>
        <v>Thermal Envelope Insulation:</v>
      </c>
      <c r="AY50">
        <f>'Overview (Design)'!G49</f>
        <v>0</v>
      </c>
    </row>
    <row r="51" spans="3:51" x14ac:dyDescent="0.35">
      <c r="AX51" s="6" t="str">
        <f>'Overview (Design)'!A50</f>
        <v>Attic Type:</v>
      </c>
      <c r="AY51" t="str">
        <f>'Overview (Design)'!G50</f>
        <v>Vented</v>
      </c>
    </row>
    <row r="52" spans="3:51" x14ac:dyDescent="0.35">
      <c r="AX52" s="6" t="str">
        <f>'Overview (Design)'!A51</f>
        <v>Attached Garage:</v>
      </c>
      <c r="AY52" t="str">
        <f>'Overview (Design)'!G51</f>
        <v>Yes</v>
      </c>
    </row>
    <row r="53" spans="3:51" x14ac:dyDescent="0.35">
      <c r="C53" s="216" t="s">
        <v>5682</v>
      </c>
      <c r="AX53" s="6" t="str">
        <f>'Overview (Design)'!A52</f>
        <v>Recessed Lighting:</v>
      </c>
      <c r="AY53">
        <f>'Overview (Design)'!G52</f>
        <v>0</v>
      </c>
    </row>
    <row r="54" spans="3:51" x14ac:dyDescent="0.35">
      <c r="AX54" s="6"/>
    </row>
    <row r="55" spans="3:51" x14ac:dyDescent="0.35">
      <c r="C55" s="104" t="s">
        <v>5681</v>
      </c>
      <c r="D55" s="104"/>
      <c r="E55" s="104"/>
      <c r="F55" s="104"/>
      <c r="G55" s="104"/>
      <c r="H55" s="104"/>
      <c r="I55" s="104"/>
      <c r="J55" s="104"/>
      <c r="K55" s="104"/>
      <c r="L55" s="104"/>
      <c r="M55" s="104"/>
      <c r="N55" s="104"/>
      <c r="O55" s="666"/>
      <c r="P55" t="b">
        <v>1</v>
      </c>
      <c r="Q55" t="b">
        <v>1</v>
      </c>
      <c r="R55" t="b">
        <v>0</v>
      </c>
      <c r="S55" t="b">
        <v>1</v>
      </c>
      <c r="T55" t="b">
        <v>0</v>
      </c>
      <c r="W55" s="17"/>
      <c r="X55" s="36"/>
      <c r="Y55" s="396" t="str">
        <f>IF(LEN('WaterSense (Design)'!X55)=0,"None",'WaterSense (Design)'!X55)</f>
        <v>None</v>
      </c>
      <c r="AC55" t="b">
        <f>OR(AD55,AE55)</f>
        <v>0</v>
      </c>
      <c r="AD55" t="b">
        <f>T55</f>
        <v>0</v>
      </c>
      <c r="AE55" t="b">
        <f>AND(R55,NOT(W55))</f>
        <v>0</v>
      </c>
      <c r="AL55" t="s">
        <v>5728</v>
      </c>
      <c r="AP55" t="str">
        <f>"vch"&amp;AL55</f>
        <v>vchWaterSenseIrrigation</v>
      </c>
      <c r="AQ55" t="str">
        <f>IF(LEN(W55)=0,"",W55)</f>
        <v/>
      </c>
      <c r="AR55" t="str">
        <f>"vnt"&amp;AL55</f>
        <v>vntWaterSenseIrrigation</v>
      </c>
      <c r="AS55" t="str">
        <f>IF(LEN(X55)=0,"",X55)</f>
        <v/>
      </c>
      <c r="AX55" s="6" t="str">
        <f>'Overview (Design)'!A54</f>
        <v>Special Design Features:</v>
      </c>
      <c r="AY55">
        <f>'Overview (Design)'!G54</f>
        <v>0</v>
      </c>
    </row>
    <row r="56" spans="3:51" x14ac:dyDescent="0.35">
      <c r="AX56" s="6" t="str">
        <f>'Overview (Design)'!A55</f>
        <v>Passive Solar:</v>
      </c>
      <c r="AY56">
        <f>'Overview (Design)'!G55</f>
        <v>0</v>
      </c>
    </row>
    <row r="57" spans="3:51" x14ac:dyDescent="0.35">
      <c r="C57" t="s">
        <v>5679</v>
      </c>
      <c r="AX57" s="6" t="str">
        <f>'Overview (Design)'!A56</f>
        <v>Mass Walls:</v>
      </c>
      <c r="AY57">
        <f>'Overview (Design)'!G56</f>
        <v>0</v>
      </c>
    </row>
    <row r="58" spans="3:51" x14ac:dyDescent="0.35">
      <c r="AX58" s="6" t="str">
        <f>'Overview (Design)'!A57</f>
        <v>Radiant/Hydronic:</v>
      </c>
      <c r="AY58">
        <f>'Overview (Design)'!G57</f>
        <v>0</v>
      </c>
    </row>
    <row r="59" spans="3:51" x14ac:dyDescent="0.35">
      <c r="C59" s="104" t="s">
        <v>5680</v>
      </c>
      <c r="D59" s="104"/>
      <c r="E59" s="104"/>
      <c r="F59" s="104"/>
      <c r="G59" s="104"/>
      <c r="H59" s="104"/>
      <c r="I59" s="104"/>
      <c r="J59" s="104"/>
      <c r="K59" s="104"/>
      <c r="L59" s="104"/>
      <c r="M59" s="104"/>
      <c r="N59" s="104"/>
      <c r="O59" s="666"/>
      <c r="S59" t="b">
        <f ca="1">AND(S15=1,NOT(W55=TRUE))</f>
        <v>0</v>
      </c>
      <c r="W59" s="351" t="str">
        <f ca="1">IF(S59,IF('Verification Report'!O155&gt;0,"Met", "Not Met"),"N/A")</f>
        <v>N/A</v>
      </c>
      <c r="AX59" s="6" t="str">
        <f>'Overview (Design)'!A58</f>
        <v>Tankless Water Heater:</v>
      </c>
      <c r="AY59">
        <f>'Overview (Design)'!G58</f>
        <v>0</v>
      </c>
    </row>
    <row r="60" spans="3:51" x14ac:dyDescent="0.35">
      <c r="AX60" s="6" t="str">
        <f>'Overview (Design)'!A59</f>
        <v>Composting Toilet:</v>
      </c>
      <c r="AY60">
        <f>'Overview (Design)'!G59</f>
        <v>0</v>
      </c>
    </row>
    <row r="61" spans="3:51" x14ac:dyDescent="0.35">
      <c r="C61" t="s">
        <v>5683</v>
      </c>
      <c r="AX61" s="6"/>
    </row>
    <row r="62" spans="3:51" x14ac:dyDescent="0.35">
      <c r="AX62" s="6" t="str">
        <f>'Overview (Design)'!A61</f>
        <v>Local Energy Code:</v>
      </c>
      <c r="AY62">
        <f>'Overview (Design)'!G61</f>
        <v>0</v>
      </c>
    </row>
    <row r="63" spans="3:51" ht="15" customHeight="1" x14ac:dyDescent="0.35">
      <c r="C63" t="s">
        <v>5684</v>
      </c>
      <c r="S63" t="b">
        <f ca="1">AND(S15=2,NOT(W55=TRUE))</f>
        <v>0</v>
      </c>
      <c r="W63" s="351" t="str">
        <f ca="1">IF(S63,IF('Verification Report'!O1793&gt;0,"Met", "Not Met"),"N/A")</f>
        <v>N/A</v>
      </c>
      <c r="AX63" s="6" t="str">
        <f>'Overview (Design)'!A62</f>
        <v>Local Building Code:</v>
      </c>
      <c r="AY63">
        <f>'Overview (Design)'!G62</f>
        <v>0</v>
      </c>
    </row>
    <row r="64" spans="3:51" x14ac:dyDescent="0.35">
      <c r="AX64" s="6"/>
    </row>
    <row r="65" spans="3:51" x14ac:dyDescent="0.35">
      <c r="C65" s="639" t="s">
        <v>5237</v>
      </c>
      <c r="AX65" s="6" t="str">
        <f>'Overview (Design)'!A64</f>
        <v>Who completed this information?</v>
      </c>
      <c r="AY65" t="str">
        <f>'Overview (Design)'!G64</f>
        <v>NGBS Green Verifier</v>
      </c>
    </row>
    <row r="66" spans="3:51" x14ac:dyDescent="0.35">
      <c r="C66" s="6" t="s">
        <v>3457</v>
      </c>
      <c r="D66" s="1038" t="s">
        <v>5685</v>
      </c>
      <c r="E66" s="1038"/>
      <c r="F66" s="1038"/>
      <c r="G66" s="1038"/>
      <c r="H66" s="1038"/>
      <c r="I66" s="1038"/>
      <c r="J66" s="1038"/>
      <c r="K66" s="1038"/>
      <c r="L66" s="1038"/>
      <c r="M66" s="1038"/>
      <c r="N66" s="1038"/>
      <c r="O66" s="1038"/>
      <c r="AX66" s="6"/>
    </row>
    <row r="67" spans="3:51" x14ac:dyDescent="0.35">
      <c r="C67" s="6"/>
      <c r="D67" s="1038"/>
      <c r="E67" s="1038"/>
      <c r="F67" s="1038"/>
      <c r="G67" s="1038"/>
      <c r="H67" s="1038"/>
      <c r="I67" s="1038"/>
      <c r="J67" s="1038"/>
      <c r="K67" s="1038"/>
      <c r="L67" s="1038"/>
      <c r="M67" s="1038"/>
      <c r="N67" s="1038"/>
      <c r="O67" s="1038"/>
      <c r="AX67" s="6"/>
    </row>
    <row r="68" spans="3:51" x14ac:dyDescent="0.35">
      <c r="C68" s="6" t="s">
        <v>3457</v>
      </c>
      <c r="D68" s="1038" t="s">
        <v>5686</v>
      </c>
      <c r="E68" s="1038"/>
      <c r="F68" s="1038"/>
      <c r="G68" s="1038"/>
      <c r="H68" s="1038"/>
      <c r="I68" s="1038"/>
      <c r="J68" s="1038"/>
      <c r="K68" s="1038"/>
      <c r="L68" s="1038"/>
      <c r="M68" s="1038"/>
      <c r="N68" s="1038"/>
      <c r="O68" s="1038"/>
      <c r="AX68" s="6"/>
    </row>
    <row r="69" spans="3:51" x14ac:dyDescent="0.35">
      <c r="D69" s="1038"/>
      <c r="E69" s="1038"/>
      <c r="F69" s="1038"/>
      <c r="G69" s="1038"/>
      <c r="H69" s="1038"/>
      <c r="I69" s="1038"/>
      <c r="J69" s="1038"/>
      <c r="K69" s="1038"/>
      <c r="L69" s="1038"/>
      <c r="M69" s="1038"/>
      <c r="N69" s="1038"/>
      <c r="O69" s="1038"/>
      <c r="AX69" s="6"/>
    </row>
    <row r="70" spans="3:51" x14ac:dyDescent="0.35">
      <c r="C70" s="104"/>
      <c r="D70" s="1039"/>
      <c r="E70" s="1039"/>
      <c r="F70" s="1039"/>
      <c r="G70" s="1039"/>
      <c r="H70" s="1039"/>
      <c r="I70" s="1039"/>
      <c r="J70" s="1039"/>
      <c r="K70" s="1039"/>
      <c r="L70" s="1039"/>
      <c r="M70" s="1039"/>
      <c r="N70" s="1039"/>
      <c r="O70" s="1039"/>
      <c r="AX70" s="6"/>
    </row>
    <row r="71" spans="3:51" x14ac:dyDescent="0.35">
      <c r="D71" s="341"/>
      <c r="E71" s="341"/>
      <c r="F71" s="341"/>
      <c r="G71" s="341"/>
      <c r="H71" s="341"/>
      <c r="I71" s="341"/>
      <c r="J71" s="341"/>
      <c r="K71" s="341"/>
      <c r="L71" s="341"/>
      <c r="M71" s="341"/>
      <c r="N71" s="341"/>
      <c r="O71" s="341"/>
      <c r="AX71" s="6"/>
    </row>
    <row r="72" spans="3:51" x14ac:dyDescent="0.35">
      <c r="C72" t="s">
        <v>5687</v>
      </c>
      <c r="D72" s="341"/>
      <c r="E72" s="341"/>
      <c r="F72" s="341"/>
      <c r="G72" s="341"/>
      <c r="H72" s="341"/>
      <c r="I72" s="341"/>
      <c r="J72" s="341"/>
      <c r="K72" s="341"/>
      <c r="L72" s="341"/>
      <c r="M72" s="341"/>
      <c r="N72" s="341"/>
      <c r="O72" s="341"/>
      <c r="AX72" s="6"/>
    </row>
    <row r="73" spans="3:51" x14ac:dyDescent="0.35">
      <c r="D73" s="341"/>
      <c r="E73" s="341"/>
      <c r="F73" s="341"/>
      <c r="G73" s="341"/>
      <c r="H73" s="341"/>
      <c r="I73" s="341"/>
      <c r="J73" s="341"/>
      <c r="K73" s="341"/>
      <c r="L73" s="341"/>
      <c r="M73" s="341"/>
      <c r="N73" s="341"/>
      <c r="O73" s="341"/>
      <c r="AX73" s="6"/>
    </row>
    <row r="74" spans="3:51" x14ac:dyDescent="0.35">
      <c r="C74" t="s">
        <v>5688</v>
      </c>
      <c r="D74" s="341"/>
      <c r="E74" s="341"/>
      <c r="F74" s="341"/>
      <c r="G74" s="341"/>
      <c r="H74" s="341"/>
      <c r="I74" s="341"/>
      <c r="J74" s="341"/>
      <c r="K74" s="341"/>
      <c r="L74" s="341"/>
      <c r="M74" s="341"/>
      <c r="N74" s="341"/>
      <c r="O74" s="341"/>
      <c r="S74" t="b">
        <f ca="1">AND(S15=2,NOT(W55=TRUE))</f>
        <v>0</v>
      </c>
      <c r="W74" s="351" t="str">
        <f ca="1">IF(S74,IF('Verification Report'!O1785&gt;0,"Met", "Not Met"),"N/A")</f>
        <v>N/A</v>
      </c>
      <c r="AX74" s="6"/>
    </row>
    <row r="75" spans="3:51" x14ac:dyDescent="0.35">
      <c r="D75" s="341"/>
      <c r="E75" s="341"/>
      <c r="F75" s="341"/>
      <c r="G75" s="341"/>
      <c r="H75" s="341"/>
      <c r="I75" s="341"/>
      <c r="J75" s="341"/>
      <c r="K75" s="341"/>
      <c r="L75" s="341"/>
      <c r="M75" s="341"/>
      <c r="N75" s="341"/>
      <c r="O75" s="341"/>
      <c r="AX75" s="6"/>
    </row>
    <row r="76" spans="3:51" ht="15" customHeight="1" x14ac:dyDescent="0.35">
      <c r="C76" s="639" t="s">
        <v>5237</v>
      </c>
      <c r="D76" s="341"/>
      <c r="E76" s="341"/>
      <c r="F76" s="341"/>
      <c r="G76" s="341"/>
      <c r="H76" s="341"/>
      <c r="I76" s="341"/>
      <c r="J76" s="341"/>
      <c r="K76" s="341"/>
      <c r="L76" s="341"/>
      <c r="M76" s="341"/>
      <c r="N76" s="341"/>
      <c r="O76" s="341"/>
      <c r="AX76" s="6"/>
    </row>
    <row r="77" spans="3:51" ht="15.75" customHeight="1" x14ac:dyDescent="0.35">
      <c r="C77" s="6" t="s">
        <v>3457</v>
      </c>
      <c r="D77" s="46" t="s">
        <v>5690</v>
      </c>
      <c r="E77" s="341"/>
      <c r="F77" s="341"/>
      <c r="G77" s="341"/>
      <c r="H77" s="341"/>
      <c r="I77" s="341"/>
      <c r="J77" s="341"/>
      <c r="K77" s="341"/>
      <c r="L77" s="341"/>
      <c r="M77" s="341"/>
      <c r="N77" s="341"/>
      <c r="O77" s="341"/>
      <c r="AX77" s="6"/>
    </row>
    <row r="78" spans="3:51" x14ac:dyDescent="0.35">
      <c r="D78" s="1040" t="s">
        <v>5689</v>
      </c>
      <c r="E78" s="1040"/>
      <c r="F78" s="1040"/>
      <c r="G78" s="1040"/>
      <c r="H78" s="1040"/>
      <c r="I78" s="1040"/>
      <c r="J78" s="1040"/>
      <c r="K78" s="341"/>
      <c r="L78" s="341"/>
      <c r="M78" s="341"/>
      <c r="N78" s="341"/>
      <c r="O78" s="341"/>
      <c r="AX78" s="6"/>
    </row>
    <row r="79" spans="3:51" x14ac:dyDescent="0.35">
      <c r="C79" s="104"/>
      <c r="D79" s="667" t="s">
        <v>5691</v>
      </c>
      <c r="E79" s="342"/>
      <c r="F79" s="342"/>
      <c r="G79" s="342"/>
      <c r="H79" s="342"/>
      <c r="I79" s="342"/>
      <c r="J79" s="342"/>
      <c r="K79" s="342"/>
      <c r="L79" s="342"/>
      <c r="M79" s="342"/>
      <c r="N79" s="342"/>
      <c r="O79" s="342"/>
      <c r="AX79" s="6"/>
    </row>
    <row r="80" spans="3:51" x14ac:dyDescent="0.35">
      <c r="D80" s="341"/>
      <c r="E80" s="341"/>
      <c r="F80" s="341"/>
      <c r="G80" s="341"/>
      <c r="H80" s="341"/>
      <c r="I80" s="341"/>
      <c r="J80" s="341"/>
      <c r="K80" s="341"/>
      <c r="L80" s="341"/>
      <c r="M80" s="341"/>
      <c r="N80" s="341"/>
      <c r="O80" s="341"/>
      <c r="AX80" s="6"/>
    </row>
    <row r="81" spans="3:50" x14ac:dyDescent="0.35">
      <c r="C81" s="760" t="s">
        <v>5692</v>
      </c>
      <c r="D81" s="760"/>
      <c r="E81" s="760"/>
      <c r="F81" s="760"/>
      <c r="G81" s="760"/>
      <c r="H81" s="760"/>
      <c r="I81" s="760"/>
      <c r="J81" s="760"/>
      <c r="K81" s="760"/>
      <c r="L81" s="760"/>
      <c r="M81" s="760"/>
      <c r="N81" s="760"/>
      <c r="O81" s="760"/>
      <c r="AX81" s="6"/>
    </row>
    <row r="82" spans="3:50" x14ac:dyDescent="0.35">
      <c r="C82" s="760"/>
      <c r="D82" s="760"/>
      <c r="E82" s="760"/>
      <c r="F82" s="760"/>
      <c r="G82" s="760"/>
      <c r="H82" s="760"/>
      <c r="I82" s="760"/>
      <c r="J82" s="760"/>
      <c r="K82" s="760"/>
      <c r="L82" s="760"/>
      <c r="M82" s="760"/>
      <c r="N82" s="760"/>
      <c r="O82" s="760"/>
      <c r="AX82" s="6"/>
    </row>
    <row r="83" spans="3:50" x14ac:dyDescent="0.35">
      <c r="D83" s="341"/>
      <c r="E83" s="341"/>
      <c r="F83" s="341"/>
      <c r="G83" s="341"/>
      <c r="H83" s="341"/>
      <c r="I83" s="341"/>
      <c r="J83" s="341"/>
      <c r="K83" s="341"/>
      <c r="L83" s="341"/>
      <c r="M83" s="341"/>
      <c r="N83" s="341"/>
      <c r="O83" s="341"/>
      <c r="AX83" s="6"/>
    </row>
    <row r="84" spans="3:50" x14ac:dyDescent="0.35">
      <c r="C84" t="s">
        <v>4374</v>
      </c>
      <c r="D84" s="341"/>
      <c r="E84" s="341"/>
      <c r="F84" s="341"/>
      <c r="G84" s="341"/>
      <c r="H84" s="341"/>
      <c r="I84" s="341"/>
      <c r="J84" s="341"/>
      <c r="K84" s="341"/>
      <c r="L84" s="341"/>
      <c r="M84" s="341"/>
      <c r="N84" s="341"/>
      <c r="O84" s="341"/>
      <c r="S84" t="b">
        <f ca="1">AND(S15=2,NOT(W55=TRUE))</f>
        <v>0</v>
      </c>
      <c r="W84" s="351" t="str">
        <f ca="1">IF(S84,IF(OR('Verification Report'!W1772="Met",'Verification Report'!W1772="N/A"),"Met", "Not Met"),"N/A")</f>
        <v>N/A</v>
      </c>
      <c r="AX84" s="6"/>
    </row>
    <row r="85" spans="3:50" x14ac:dyDescent="0.35">
      <c r="D85" s="341"/>
      <c r="E85" s="341"/>
      <c r="F85" s="341"/>
      <c r="G85" s="341"/>
      <c r="H85" s="341"/>
      <c r="I85" s="341"/>
      <c r="J85" s="341"/>
      <c r="K85" s="341"/>
      <c r="L85" s="341"/>
      <c r="M85" s="341"/>
      <c r="N85" s="341"/>
      <c r="O85" s="341"/>
      <c r="AX85" s="6"/>
    </row>
    <row r="86" spans="3:50" ht="15" customHeight="1" x14ac:dyDescent="0.35">
      <c r="C86" s="639" t="s">
        <v>5237</v>
      </c>
      <c r="D86" s="341"/>
      <c r="E86" s="341"/>
      <c r="F86" s="341"/>
      <c r="G86" s="341"/>
      <c r="H86" s="341"/>
      <c r="I86" s="341"/>
      <c r="J86" s="341"/>
      <c r="K86" s="341"/>
      <c r="L86" s="341"/>
      <c r="M86" s="341"/>
      <c r="N86" s="341"/>
      <c r="O86" s="341"/>
      <c r="AX86" s="6"/>
    </row>
    <row r="87" spans="3:50" x14ac:dyDescent="0.35">
      <c r="C87" s="6" t="s">
        <v>3457</v>
      </c>
      <c r="D87" t="s">
        <v>5694</v>
      </c>
      <c r="AX87" s="6"/>
    </row>
    <row r="88" spans="3:50" x14ac:dyDescent="0.35">
      <c r="C88" s="6"/>
      <c r="D88" s="665" t="s">
        <v>5693</v>
      </c>
      <c r="AX88" s="6"/>
    </row>
    <row r="89" spans="3:50" x14ac:dyDescent="0.35">
      <c r="C89" s="6" t="s">
        <v>3457</v>
      </c>
      <c r="D89" s="1038" t="s">
        <v>5716</v>
      </c>
      <c r="E89" s="1038"/>
      <c r="F89" s="1038"/>
      <c r="G89" s="1038"/>
      <c r="H89" s="1038"/>
      <c r="I89" s="1038"/>
      <c r="J89" s="1038"/>
      <c r="K89" s="1038"/>
      <c r="L89" s="1038"/>
      <c r="M89" s="1038"/>
      <c r="N89" s="1038"/>
      <c r="O89" s="1038"/>
      <c r="AX89" s="6"/>
    </row>
    <row r="90" spans="3:50" x14ac:dyDescent="0.35">
      <c r="C90" s="6"/>
      <c r="D90" s="1038"/>
      <c r="E90" s="1038"/>
      <c r="F90" s="1038"/>
      <c r="G90" s="1038"/>
      <c r="H90" s="1038"/>
      <c r="I90" s="1038"/>
      <c r="J90" s="1038"/>
      <c r="K90" s="1038"/>
      <c r="L90" s="1038"/>
      <c r="M90" s="1038"/>
      <c r="N90" s="1038"/>
      <c r="O90" s="1038"/>
      <c r="AX90" s="6"/>
    </row>
    <row r="91" spans="3:50" x14ac:dyDescent="0.35">
      <c r="C91" s="6"/>
      <c r="D91" s="1038"/>
      <c r="E91" s="1038"/>
      <c r="F91" s="1038"/>
      <c r="G91" s="1038"/>
      <c r="H91" s="1038"/>
      <c r="I91" s="1038"/>
      <c r="J91" s="1038"/>
      <c r="K91" s="1038"/>
      <c r="L91" s="1038"/>
      <c r="M91" s="1038"/>
      <c r="N91" s="1038"/>
      <c r="O91" s="1038"/>
      <c r="AX91" s="6"/>
    </row>
    <row r="92" spans="3:50" x14ac:dyDescent="0.35">
      <c r="C92" s="6"/>
      <c r="D92" s="1038"/>
      <c r="E92" s="1038"/>
      <c r="F92" s="1038"/>
      <c r="G92" s="1038"/>
      <c r="H92" s="1038"/>
      <c r="I92" s="1038"/>
      <c r="J92" s="1038"/>
      <c r="K92" s="1038"/>
      <c r="L92" s="1038"/>
      <c r="M92" s="1038"/>
      <c r="N92" s="1038"/>
      <c r="O92" s="1038"/>
      <c r="AX92" s="6"/>
    </row>
    <row r="93" spans="3:50" x14ac:dyDescent="0.35">
      <c r="C93" s="6"/>
      <c r="D93" s="1038"/>
      <c r="E93" s="1038"/>
      <c r="F93" s="1038"/>
      <c r="G93" s="1038"/>
      <c r="H93" s="1038"/>
      <c r="I93" s="1038"/>
      <c r="J93" s="1038"/>
      <c r="K93" s="1038"/>
      <c r="L93" s="1038"/>
      <c r="M93" s="1038"/>
      <c r="N93" s="1038"/>
      <c r="O93" s="1038"/>
      <c r="AX93" s="6"/>
    </row>
    <row r="94" spans="3:50" x14ac:dyDescent="0.35">
      <c r="C94" s="6"/>
      <c r="AX94" s="6"/>
    </row>
    <row r="95" spans="3:50" x14ac:dyDescent="0.35">
      <c r="C95" s="6"/>
      <c r="AX95" s="6"/>
    </row>
    <row r="96" spans="3:50" x14ac:dyDescent="0.35">
      <c r="C96" s="216" t="s">
        <v>5647</v>
      </c>
      <c r="AX96" s="6"/>
    </row>
    <row r="97" spans="2:50" ht="15" customHeight="1" x14ac:dyDescent="0.35">
      <c r="AX97" s="6"/>
    </row>
    <row r="98" spans="2:50" x14ac:dyDescent="0.35">
      <c r="B98" s="645"/>
      <c r="C98" t="s">
        <v>5648</v>
      </c>
      <c r="S98" t="b">
        <f ca="1">S15=1</f>
        <v>0</v>
      </c>
      <c r="W98" s="351" t="str">
        <f ca="1">IF(S98,IF(AND(LEN('Verification Report'!W1868)&gt;0,'Verification Report'!W1868&lt;=64),"Met", "Not Met"),"N/A")</f>
        <v>N/A</v>
      </c>
      <c r="AX98" s="6"/>
    </row>
    <row r="99" spans="2:50" x14ac:dyDescent="0.35">
      <c r="AX99" s="6"/>
    </row>
    <row r="100" spans="2:50" x14ac:dyDescent="0.35">
      <c r="AX100" s="6"/>
    </row>
    <row r="101" spans="2:50" x14ac:dyDescent="0.35">
      <c r="C101" s="216" t="s">
        <v>5649</v>
      </c>
      <c r="AX101" s="6"/>
    </row>
    <row r="102" spans="2:50" ht="15" customHeight="1" x14ac:dyDescent="0.35">
      <c r="AX102" s="6"/>
    </row>
    <row r="103" spans="2:50" ht="15" customHeight="1" x14ac:dyDescent="0.35">
      <c r="B103" s="645"/>
      <c r="C103" t="s">
        <v>5695</v>
      </c>
      <c r="AX103" s="6"/>
    </row>
    <row r="104" spans="2:50" ht="15.75" customHeight="1" x14ac:dyDescent="0.35">
      <c r="AX104" s="6"/>
    </row>
    <row r="105" spans="2:50" x14ac:dyDescent="0.35">
      <c r="C105" t="s">
        <v>5696</v>
      </c>
      <c r="S105" t="b">
        <f ca="1">S15=2</f>
        <v>0</v>
      </c>
      <c r="W105" s="351" t="str">
        <f ca="1">IF(S105,IF('Verification Report'!O1741&gt;3,"Met", "Not Met"),"N/A")</f>
        <v>N/A</v>
      </c>
      <c r="AX105" s="6"/>
    </row>
    <row r="106" spans="2:50" x14ac:dyDescent="0.35">
      <c r="AX106" s="6"/>
    </row>
    <row r="107" spans="2:50" x14ac:dyDescent="0.35">
      <c r="AX107" s="6"/>
    </row>
    <row r="108" spans="2:50" x14ac:dyDescent="0.35">
      <c r="C108" s="216" t="s">
        <v>5697</v>
      </c>
      <c r="AX108" s="6"/>
    </row>
    <row r="109" spans="2:50" x14ac:dyDescent="0.35">
      <c r="W109" s="6" t="s">
        <v>5701</v>
      </c>
      <c r="AX109" s="6"/>
    </row>
    <row r="110" spans="2:50" x14ac:dyDescent="0.35">
      <c r="C110" t="s">
        <v>5698</v>
      </c>
      <c r="P110" t="b">
        <v>1</v>
      </c>
      <c r="Q110" t="b">
        <v>1</v>
      </c>
      <c r="R110" t="b">
        <v>0</v>
      </c>
      <c r="S110" t="b">
        <v>1</v>
      </c>
      <c r="T110" t="b">
        <v>0</v>
      </c>
      <c r="W110" s="17"/>
      <c r="X110" s="36"/>
      <c r="Y110" s="396" t="str">
        <f>IF(LEN('WaterSense (Design)'!X110)=0,"None",'WaterSense (Design)'!X110)</f>
        <v>None</v>
      </c>
      <c r="AC110" t="b">
        <f>OR(AD110,AE110)</f>
        <v>0</v>
      </c>
      <c r="AD110" t="b">
        <f>T110</f>
        <v>0</v>
      </c>
      <c r="AE110" t="b">
        <f>AND(R110,NOT(W110))</f>
        <v>0</v>
      </c>
      <c r="AL110" t="s">
        <v>5731</v>
      </c>
      <c r="AP110" t="str">
        <f>"vch"&amp;AL110</f>
        <v>vchWaterSenseClothesWasher</v>
      </c>
      <c r="AQ110" t="str">
        <f>IF(LEN(W110)=0,"",W110)</f>
        <v/>
      </c>
      <c r="AR110" t="str">
        <f>"vnt"&amp;AL110</f>
        <v>vntWaterSenseClothesWasher</v>
      </c>
      <c r="AS110" t="str">
        <f>IF(LEN(X110)=0,"",X110)</f>
        <v/>
      </c>
      <c r="AX110" s="6"/>
    </row>
    <row r="111" spans="2:50" x14ac:dyDescent="0.35">
      <c r="AX111" s="6"/>
    </row>
    <row r="112" spans="2:50" ht="15" customHeight="1" x14ac:dyDescent="0.35">
      <c r="C112" s="104" t="s">
        <v>5699</v>
      </c>
      <c r="D112" s="104"/>
      <c r="E112" s="104"/>
      <c r="F112" s="104"/>
      <c r="G112" s="104"/>
      <c r="H112" s="104"/>
      <c r="I112" s="104"/>
      <c r="J112" s="104"/>
      <c r="K112" s="104"/>
      <c r="L112" s="104"/>
      <c r="M112" s="104"/>
      <c r="N112" s="104"/>
      <c r="O112" s="666"/>
      <c r="S112" t="b">
        <f ca="1">AND(S15=2,NOT(W110=TRUE))</f>
        <v>0</v>
      </c>
      <c r="W112" s="351" t="str">
        <f ca="1">IF(S112,IF('Verification Report'!O1685=18,"Met", "Not Met"),"N/A")</f>
        <v>N/A</v>
      </c>
      <c r="AX112" s="6"/>
    </row>
    <row r="113" spans="3:50" x14ac:dyDescent="0.35">
      <c r="AX113" s="6"/>
    </row>
    <row r="114" spans="3:50" x14ac:dyDescent="0.35">
      <c r="W114" s="6" t="s">
        <v>5701</v>
      </c>
      <c r="AX114" s="6"/>
    </row>
    <row r="115" spans="3:50" x14ac:dyDescent="0.35">
      <c r="C115" t="s">
        <v>5700</v>
      </c>
      <c r="P115" t="b">
        <v>1</v>
      </c>
      <c r="Q115" t="b">
        <v>1</v>
      </c>
      <c r="R115" t="b">
        <v>0</v>
      </c>
      <c r="S115" t="b">
        <v>1</v>
      </c>
      <c r="T115" t="b">
        <v>0</v>
      </c>
      <c r="W115" s="17"/>
      <c r="X115" s="36"/>
      <c r="Y115" s="396" t="str">
        <f>IF(LEN('WaterSense (Design)'!X115)=0,"None",'WaterSense (Design)'!X115)</f>
        <v>None</v>
      </c>
      <c r="AC115" t="b">
        <f>OR(AD115,AE115)</f>
        <v>0</v>
      </c>
      <c r="AD115" t="b">
        <f>T115</f>
        <v>0</v>
      </c>
      <c r="AE115" t="b">
        <f>AND(R115,NOT(W115))</f>
        <v>0</v>
      </c>
      <c r="AL115" t="s">
        <v>5730</v>
      </c>
      <c r="AP115" t="str">
        <f>"vch"&amp;AL115</f>
        <v>vchWaterSenseDishwasher</v>
      </c>
      <c r="AQ115" t="str">
        <f>IF(LEN(W115)=0,"",W115)</f>
        <v/>
      </c>
      <c r="AR115" t="str">
        <f>"vnt"&amp;AL115</f>
        <v>vntWaterSenseDishwasher</v>
      </c>
      <c r="AS115" t="str">
        <f>IF(LEN(X115)=0,"",X115)</f>
        <v/>
      </c>
      <c r="AX115" s="6"/>
    </row>
    <row r="116" spans="3:50" x14ac:dyDescent="0.35">
      <c r="AX116" s="6"/>
    </row>
    <row r="117" spans="3:50" x14ac:dyDescent="0.35">
      <c r="C117" t="s">
        <v>5712</v>
      </c>
      <c r="S117" t="b">
        <f ca="1">AND(S15=2,NOT(W115=TRUE))</f>
        <v>0</v>
      </c>
      <c r="W117" s="351" t="str">
        <f ca="1">IF(S117,IF('Verification Report'!O1684&gt;0,"Met", "Not Met"),"N/A")</f>
        <v>N/A</v>
      </c>
      <c r="AX117" s="6"/>
    </row>
    <row r="118" spans="3:50" x14ac:dyDescent="0.35">
      <c r="AX118" s="6"/>
    </row>
    <row r="119" spans="3:50" x14ac:dyDescent="0.35">
      <c r="AX119" s="6"/>
    </row>
    <row r="120" spans="3:50" x14ac:dyDescent="0.35">
      <c r="C120" s="216" t="s">
        <v>5702</v>
      </c>
      <c r="AX120" s="6"/>
    </row>
    <row r="121" spans="3:50" x14ac:dyDescent="0.35">
      <c r="AX121" s="6"/>
    </row>
    <row r="122" spans="3:50" x14ac:dyDescent="0.35">
      <c r="C122" s="1038" t="s">
        <v>5703</v>
      </c>
      <c r="D122" s="1038"/>
      <c r="E122" s="1038"/>
      <c r="F122" s="1038"/>
      <c r="G122" s="1038"/>
      <c r="H122" s="1038"/>
      <c r="I122" s="1038"/>
      <c r="J122" s="1038"/>
      <c r="K122" s="1038"/>
      <c r="L122" s="1038"/>
      <c r="M122" s="1038"/>
      <c r="N122" s="1038"/>
      <c r="O122" s="1038"/>
      <c r="AX122" s="6"/>
    </row>
    <row r="123" spans="3:50" x14ac:dyDescent="0.35">
      <c r="C123" s="1038"/>
      <c r="D123" s="1038"/>
      <c r="E123" s="1038"/>
      <c r="F123" s="1038"/>
      <c r="G123" s="1038"/>
      <c r="H123" s="1038"/>
      <c r="I123" s="1038"/>
      <c r="J123" s="1038"/>
      <c r="K123" s="1038"/>
      <c r="L123" s="1038"/>
      <c r="M123" s="1038"/>
      <c r="N123" s="1038"/>
      <c r="O123" s="1038"/>
      <c r="AX123" s="6"/>
    </row>
    <row r="124" spans="3:50" x14ac:dyDescent="0.35">
      <c r="AX124" s="6"/>
    </row>
    <row r="125" spans="3:50" x14ac:dyDescent="0.35">
      <c r="C125" t="s">
        <v>5704</v>
      </c>
      <c r="S125" t="b">
        <f ca="1">S15=2</f>
        <v>0</v>
      </c>
      <c r="W125" s="351" t="str">
        <f ca="1">IF(S125,IF('Verification Report'!O1649&gt;8,"Met", "Not Met"),"N/A")</f>
        <v>N/A</v>
      </c>
      <c r="AX125" s="6"/>
    </row>
    <row r="126" spans="3:50" x14ac:dyDescent="0.35">
      <c r="AX126" s="6"/>
    </row>
    <row r="127" spans="3:50" x14ac:dyDescent="0.35">
      <c r="AX127" s="6"/>
    </row>
    <row r="128" spans="3:50" x14ac:dyDescent="0.35">
      <c r="C128" s="216" t="s">
        <v>5705</v>
      </c>
      <c r="AX128" s="6"/>
    </row>
    <row r="129" spans="3:50" x14ac:dyDescent="0.35">
      <c r="AX129" s="6"/>
    </row>
    <row r="130" spans="3:50" x14ac:dyDescent="0.35">
      <c r="C130" t="s">
        <v>5706</v>
      </c>
      <c r="S130" t="b">
        <f ca="1">AND(S15=2,(AY19=INDEX(INDIRECT("ddSingleOrMulti"),2)))</f>
        <v>0</v>
      </c>
      <c r="W130" s="351" t="str">
        <f ca="1">IF(S130,IF(OR(W132=TRUE,W136="Met",W143="Met"),"Met", "Not Met"),"N/A")</f>
        <v>N/A</v>
      </c>
      <c r="AX130" s="6"/>
    </row>
    <row r="131" spans="3:50" x14ac:dyDescent="0.35">
      <c r="AX131" s="6"/>
    </row>
    <row r="132" spans="3:50" x14ac:dyDescent="0.35">
      <c r="C132" s="104" t="s">
        <v>5707</v>
      </c>
      <c r="D132" s="104"/>
      <c r="E132" s="104"/>
      <c r="F132" s="104"/>
      <c r="G132" s="104"/>
      <c r="H132" s="104"/>
      <c r="I132" s="104"/>
      <c r="J132" s="104"/>
      <c r="K132" s="104"/>
      <c r="L132" s="104"/>
      <c r="M132" s="104"/>
      <c r="N132" s="104"/>
      <c r="O132" s="666"/>
      <c r="P132" t="b">
        <v>1</v>
      </c>
      <c r="Q132" t="b">
        <v>1</v>
      </c>
      <c r="R132" t="b">
        <v>0</v>
      </c>
      <c r="S132" t="b">
        <v>1</v>
      </c>
      <c r="T132" t="b">
        <v>0</v>
      </c>
      <c r="W132" s="17"/>
      <c r="X132" s="36"/>
      <c r="Y132" s="396" t="str">
        <f>IF(LEN('WaterSense (Design)'!X132)=0,"None",'WaterSense (Design)'!X132)</f>
        <v>None</v>
      </c>
      <c r="AC132" t="b">
        <f>OR(AD132,AE132)</f>
        <v>0</v>
      </c>
      <c r="AD132" t="b">
        <f>T132</f>
        <v>0</v>
      </c>
      <c r="AE132" t="b">
        <f>AND(R132,NOT(W132))</f>
        <v>0</v>
      </c>
      <c r="AL132" t="s">
        <v>5729</v>
      </c>
      <c r="AP132" t="str">
        <f>"vch"&amp;AL132</f>
        <v>vchWaterSenseOptionA</v>
      </c>
      <c r="AQ132" t="str">
        <f>IF(LEN(W132)=0,"",W132)</f>
        <v/>
      </c>
      <c r="AR132" t="str">
        <f>"vnt"&amp;AL132</f>
        <v>vntWaterSenseOptionA</v>
      </c>
      <c r="AS132" t="str">
        <f>IF(LEN(X132)=0,"",X132)</f>
        <v/>
      </c>
      <c r="AX132" s="6"/>
    </row>
    <row r="134" spans="3:50" x14ac:dyDescent="0.35">
      <c r="C134" t="s">
        <v>5708</v>
      </c>
    </row>
    <row r="136" spans="3:50" x14ac:dyDescent="0.35">
      <c r="C136" s="104" t="s">
        <v>5709</v>
      </c>
      <c r="D136" s="104"/>
      <c r="E136" s="104"/>
      <c r="F136" s="104"/>
      <c r="G136" s="104"/>
      <c r="H136" s="104"/>
      <c r="I136" s="104"/>
      <c r="J136" s="104"/>
      <c r="K136" s="104"/>
      <c r="L136" s="104"/>
      <c r="M136" s="104"/>
      <c r="N136" s="104"/>
      <c r="O136" s="666"/>
      <c r="S136" t="b">
        <f ca="1">S130</f>
        <v>0</v>
      </c>
      <c r="W136" s="351" t="str">
        <f ca="1">IF(S136,IF('Verification Report'!O1721&gt;0,"Met", "Not Met"),"N/A")</f>
        <v>N/A</v>
      </c>
    </row>
    <row r="138" spans="3:50" x14ac:dyDescent="0.35">
      <c r="C138" s="760" t="s">
        <v>5710</v>
      </c>
      <c r="D138" s="760"/>
      <c r="E138" s="760"/>
      <c r="F138" s="760"/>
      <c r="G138" s="760"/>
      <c r="H138" s="760"/>
      <c r="I138" s="760"/>
      <c r="J138" s="760"/>
      <c r="K138" s="760"/>
      <c r="L138" s="760"/>
      <c r="M138" s="760"/>
      <c r="N138" s="760"/>
      <c r="O138" s="760"/>
    </row>
    <row r="139" spans="3:50" x14ac:dyDescent="0.35">
      <c r="C139" s="760"/>
      <c r="D139" s="760"/>
      <c r="E139" s="760"/>
      <c r="F139" s="760"/>
      <c r="G139" s="760"/>
      <c r="H139" s="760"/>
      <c r="I139" s="760"/>
      <c r="J139" s="760"/>
      <c r="K139" s="760"/>
      <c r="L139" s="760"/>
      <c r="M139" s="760"/>
      <c r="N139" s="760"/>
      <c r="O139" s="760"/>
    </row>
    <row r="140" spans="3:50" x14ac:dyDescent="0.35">
      <c r="C140" s="760"/>
      <c r="D140" s="760"/>
      <c r="E140" s="760"/>
      <c r="F140" s="760"/>
      <c r="G140" s="760"/>
      <c r="H140" s="760"/>
      <c r="I140" s="760"/>
      <c r="J140" s="760"/>
      <c r="K140" s="760"/>
      <c r="L140" s="760"/>
      <c r="M140" s="760"/>
      <c r="N140" s="760"/>
      <c r="O140" s="760"/>
    </row>
    <row r="141" spans="3:50" x14ac:dyDescent="0.35">
      <c r="C141" s="760"/>
      <c r="D141" s="760"/>
      <c r="E141" s="760"/>
      <c r="F141" s="760"/>
      <c r="G141" s="760"/>
      <c r="H141" s="760"/>
      <c r="I141" s="760"/>
      <c r="J141" s="760"/>
      <c r="K141" s="760"/>
      <c r="L141" s="760"/>
      <c r="M141" s="760"/>
      <c r="N141" s="760"/>
      <c r="O141" s="760"/>
    </row>
    <row r="143" spans="3:50" x14ac:dyDescent="0.35">
      <c r="C143" t="s">
        <v>5711</v>
      </c>
      <c r="S143" t="b">
        <f ca="1">S130</f>
        <v>0</v>
      </c>
      <c r="W143" s="351" t="str">
        <f ca="1">IF(S143,IF('Verification Report'!O1649=9,"Met", "Not Met"),"N/A")</f>
        <v>N/A</v>
      </c>
    </row>
    <row r="144" spans="3:50" x14ac:dyDescent="0.35">
      <c r="O144"/>
      <c r="W144"/>
    </row>
    <row r="145" spans="1:25" ht="15" thickBot="1" x14ac:dyDescent="0.4">
      <c r="B145" s="55"/>
      <c r="C145" s="55"/>
      <c r="D145" s="55"/>
      <c r="E145" s="55"/>
      <c r="F145" s="55"/>
      <c r="G145" s="55"/>
      <c r="H145" s="55"/>
      <c r="I145" s="55"/>
      <c r="J145" s="55"/>
      <c r="K145" s="55"/>
      <c r="L145" s="55"/>
      <c r="M145" s="55"/>
      <c r="N145" s="55"/>
      <c r="O145" s="635"/>
      <c r="P145" s="55"/>
      <c r="Q145" s="55"/>
      <c r="R145" s="55"/>
      <c r="S145" s="55"/>
      <c r="T145" s="55"/>
      <c r="U145" s="55"/>
      <c r="V145" s="55"/>
      <c r="W145" s="635"/>
      <c r="X145" s="55"/>
      <c r="Y145" s="55"/>
    </row>
    <row r="146" spans="1:25" ht="15" thickTop="1" x14ac:dyDescent="0.35"/>
    <row r="147" spans="1:25" ht="15" thickBot="1" x14ac:dyDescent="0.4">
      <c r="C147" s="1148" t="s">
        <v>3860</v>
      </c>
      <c r="D147" s="1148"/>
      <c r="E147" s="1148"/>
      <c r="F147" s="1148"/>
      <c r="G147" s="55"/>
      <c r="H147" s="55"/>
      <c r="I147" s="55"/>
      <c r="J147" s="55"/>
      <c r="K147" s="55"/>
      <c r="L147" s="55"/>
      <c r="M147" s="635"/>
      <c r="N147" s="55"/>
      <c r="O147" s="55"/>
      <c r="P147" s="55"/>
      <c r="Q147" s="55"/>
      <c r="R147" s="55"/>
      <c r="S147" s="55"/>
      <c r="T147" s="55"/>
      <c r="U147" s="635"/>
      <c r="V147" s="55"/>
      <c r="W147" s="55"/>
      <c r="X147" s="55"/>
      <c r="Y147" s="55"/>
    </row>
    <row r="148" spans="1:25" ht="15" thickTop="1" x14ac:dyDescent="0.35">
      <c r="E148" s="21"/>
      <c r="F148" s="21"/>
    </row>
    <row r="149" spans="1:25" x14ac:dyDescent="0.35">
      <c r="E149" s="1149" t="s">
        <v>5418</v>
      </c>
      <c r="F149" s="1149"/>
      <c r="G149" s="1149"/>
      <c r="H149" s="1149"/>
      <c r="I149" s="1149"/>
      <c r="J149" s="1149"/>
      <c r="K149" s="1149"/>
      <c r="L149" s="1149"/>
      <c r="M149" s="1149"/>
      <c r="N149" s="1149"/>
      <c r="O149" s="1149"/>
      <c r="P149" s="1149"/>
      <c r="Q149" s="1149"/>
      <c r="R149" s="1149"/>
      <c r="S149" s="1149"/>
      <c r="T149" s="1149"/>
      <c r="U149" s="1149"/>
      <c r="V149" s="1149"/>
      <c r="W149" s="1149"/>
      <c r="X149" s="1149"/>
      <c r="Y149" s="1149"/>
    </row>
    <row r="150" spans="1:25" x14ac:dyDescent="0.35">
      <c r="E150" s="1149"/>
      <c r="F150" s="1149"/>
      <c r="G150" s="1149"/>
      <c r="H150" s="1149"/>
      <c r="I150" s="1149"/>
      <c r="J150" s="1149"/>
      <c r="K150" s="1149"/>
      <c r="L150" s="1149"/>
      <c r="M150" s="1149"/>
      <c r="N150" s="1149"/>
      <c r="O150" s="1149"/>
      <c r="P150" s="1149"/>
      <c r="Q150" s="1149"/>
      <c r="R150" s="1149"/>
      <c r="S150" s="1149"/>
      <c r="T150" s="1149"/>
      <c r="U150" s="1149"/>
      <c r="V150" s="1149"/>
      <c r="W150" s="1149"/>
      <c r="X150" s="1149"/>
      <c r="Y150" s="1149"/>
    </row>
    <row r="151" spans="1:25" x14ac:dyDescent="0.35">
      <c r="C151" s="33"/>
      <c r="D151" s="33"/>
    </row>
    <row r="152" spans="1:25" x14ac:dyDescent="0.35">
      <c r="C152" s="812" t="s">
        <v>3862</v>
      </c>
      <c r="D152" s="811"/>
      <c r="E152" s="1144"/>
      <c r="F152" s="1144"/>
      <c r="G152" s="1144"/>
      <c r="H152" s="1144"/>
      <c r="I152" s="1144"/>
      <c r="J152" s="1144"/>
      <c r="K152" s="1144"/>
      <c r="L152" s="1144"/>
    </row>
    <row r="153" spans="1:25" x14ac:dyDescent="0.35">
      <c r="C153" s="811"/>
      <c r="D153" s="811"/>
      <c r="E153" s="1144"/>
      <c r="F153" s="1144"/>
      <c r="G153" s="1144"/>
      <c r="H153" s="1144"/>
      <c r="I153" s="1144"/>
      <c r="J153" s="1144"/>
      <c r="K153" s="1144"/>
      <c r="L153" s="1144"/>
    </row>
    <row r="154" spans="1:25" ht="3" customHeight="1" x14ac:dyDescent="0.35">
      <c r="A154" s="216"/>
      <c r="B154" s="216"/>
      <c r="O154"/>
      <c r="W154"/>
    </row>
    <row r="155" spans="1:25" x14ac:dyDescent="0.35">
      <c r="B155" s="771" t="s">
        <v>3861</v>
      </c>
      <c r="C155" s="771"/>
      <c r="D155" s="1044"/>
      <c r="E155" s="1145"/>
      <c r="F155" s="1145"/>
      <c r="G155" s="1145"/>
      <c r="H155" s="1145"/>
      <c r="I155" s="1145"/>
      <c r="J155" s="1145"/>
      <c r="K155" s="1145"/>
      <c r="L155" s="1145"/>
      <c r="M155" s="1145"/>
      <c r="N155" s="1145"/>
      <c r="O155" s="1145"/>
      <c r="P155" s="1145"/>
      <c r="Q155" s="1145"/>
      <c r="R155" s="1145"/>
      <c r="S155" s="1145"/>
      <c r="T155" s="1145"/>
      <c r="U155" s="1145"/>
      <c r="V155" s="1145"/>
      <c r="W155" s="1145"/>
    </row>
    <row r="156" spans="1:25" x14ac:dyDescent="0.35">
      <c r="C156" s="771"/>
      <c r="D156" s="771"/>
      <c r="E156" s="1145"/>
      <c r="F156" s="1145"/>
      <c r="G156" s="1145"/>
      <c r="H156" s="1145"/>
      <c r="I156" s="1145"/>
      <c r="J156" s="1145"/>
      <c r="K156" s="1145"/>
      <c r="L156" s="1145"/>
      <c r="M156" s="1145"/>
      <c r="N156" s="1145"/>
      <c r="O156" s="1145"/>
      <c r="P156" s="1145"/>
      <c r="Q156" s="1145"/>
      <c r="R156" s="1145"/>
      <c r="S156" s="1145"/>
      <c r="T156" s="1145"/>
      <c r="U156" s="1145"/>
      <c r="V156" s="1145"/>
      <c r="W156" s="1145"/>
    </row>
    <row r="157" spans="1:25" x14ac:dyDescent="0.35">
      <c r="C157" s="771"/>
      <c r="D157" s="771"/>
      <c r="E157" s="1145"/>
      <c r="F157" s="1145"/>
      <c r="G157" s="1145"/>
      <c r="H157" s="1145"/>
      <c r="I157" s="1145"/>
      <c r="J157" s="1145"/>
      <c r="K157" s="1145"/>
      <c r="L157" s="1145"/>
      <c r="M157" s="1145"/>
      <c r="N157" s="1145"/>
      <c r="O157" s="1145"/>
      <c r="P157" s="1145"/>
      <c r="Q157" s="1145"/>
      <c r="R157" s="1145"/>
      <c r="S157" s="1145"/>
      <c r="T157" s="1145"/>
      <c r="U157" s="1145"/>
      <c r="V157" s="1145"/>
      <c r="W157" s="1145"/>
    </row>
    <row r="158" spans="1:25" ht="3" customHeight="1" x14ac:dyDescent="0.35">
      <c r="A158" s="216"/>
      <c r="B158" s="216"/>
      <c r="O158"/>
      <c r="W158"/>
    </row>
    <row r="159" spans="1:25" x14ac:dyDescent="0.35">
      <c r="C159" s="771" t="s">
        <v>3856</v>
      </c>
      <c r="D159" s="771"/>
      <c r="E159" s="1146"/>
      <c r="F159" s="1146"/>
      <c r="G159" s="1146"/>
      <c r="H159" s="1146"/>
      <c r="I159" s="1146"/>
    </row>
    <row r="160" spans="1:25" ht="3" customHeight="1" x14ac:dyDescent="0.35">
      <c r="A160" s="216"/>
      <c r="B160" s="216"/>
      <c r="O160"/>
      <c r="W160"/>
    </row>
    <row r="161" spans="1:23" x14ac:dyDescent="0.35">
      <c r="C161" s="771" t="s">
        <v>3857</v>
      </c>
      <c r="D161" s="771"/>
      <c r="E161" s="1146"/>
      <c r="F161" s="1146"/>
      <c r="G161" s="1146"/>
      <c r="H161" s="1146"/>
      <c r="I161" s="1146"/>
    </row>
    <row r="162" spans="1:23" ht="3" customHeight="1" x14ac:dyDescent="0.35">
      <c r="A162" s="216"/>
      <c r="B162" s="216"/>
      <c r="O162"/>
      <c r="W162"/>
    </row>
    <row r="163" spans="1:23" x14ac:dyDescent="0.35">
      <c r="C163" s="771" t="s">
        <v>3858</v>
      </c>
      <c r="D163" s="771"/>
      <c r="E163" s="1146"/>
      <c r="F163" s="1146"/>
      <c r="G163" s="1146"/>
      <c r="H163" s="1146"/>
      <c r="I163" s="1146"/>
    </row>
    <row r="164" spans="1:23" ht="3" customHeight="1" x14ac:dyDescent="0.35">
      <c r="A164" s="216"/>
      <c r="B164" s="216"/>
      <c r="O164"/>
      <c r="W164"/>
    </row>
    <row r="165" spans="1:23" x14ac:dyDescent="0.35">
      <c r="C165" s="771" t="s">
        <v>3863</v>
      </c>
      <c r="D165" s="771"/>
      <c r="E165" s="1146"/>
      <c r="F165" s="1146"/>
      <c r="G165" s="1146"/>
      <c r="H165" s="1146"/>
      <c r="I165" s="1146"/>
      <c r="J165" s="1147" t="s">
        <v>4097</v>
      </c>
      <c r="K165" s="1147"/>
    </row>
    <row r="166" spans="1:23" ht="3" customHeight="1" x14ac:dyDescent="0.35">
      <c r="A166" s="216"/>
      <c r="B166" s="216"/>
      <c r="J166" s="1147"/>
      <c r="K166" s="1147"/>
      <c r="O166"/>
      <c r="W166"/>
    </row>
    <row r="167" spans="1:23" x14ac:dyDescent="0.35">
      <c r="C167" s="771" t="s">
        <v>3864</v>
      </c>
      <c r="D167" s="771"/>
      <c r="E167" s="1146"/>
      <c r="F167" s="1146"/>
      <c r="G167" s="1146"/>
      <c r="H167" s="1146"/>
      <c r="I167" s="1146"/>
      <c r="J167" s="1147"/>
      <c r="K167" s="1147"/>
    </row>
    <row r="168" spans="1:23" ht="3" customHeight="1" x14ac:dyDescent="0.35">
      <c r="A168" s="216"/>
      <c r="B168" s="216"/>
      <c r="O168"/>
      <c r="W168"/>
    </row>
    <row r="169" spans="1:23" x14ac:dyDescent="0.35">
      <c r="C169" s="771" t="s">
        <v>3859</v>
      </c>
      <c r="D169" s="771"/>
      <c r="E169" s="1146"/>
      <c r="F169" s="1146"/>
      <c r="G169" s="1146"/>
      <c r="H169" s="1146"/>
      <c r="I169" s="1146"/>
      <c r="J169" s="380" t="s">
        <v>3865</v>
      </c>
    </row>
    <row r="170" spans="1:23" x14ac:dyDescent="0.35">
      <c r="F170" s="381"/>
    </row>
  </sheetData>
  <sheetProtection algorithmName="SHA-512" hashValue="v+6ur2hZEGI1OyfCYqNrbUXZ9SWymJJOzkgBQspCK23Ave7q2/Ks6zbuQwlbygdLOcfAisWuPMR6U9nLy8dJ1g==" saltValue="U/jwtz6P+Y+SNiBXjv//RQ==" spinCount="100000" sheet="1" objects="1" scenarios="1" selectLockedCells="1"/>
  <mergeCells count="45">
    <mergeCell ref="G10:O11"/>
    <mergeCell ref="B10:E11"/>
    <mergeCell ref="W1:W3"/>
    <mergeCell ref="X1:Y1"/>
    <mergeCell ref="X2:Y2"/>
    <mergeCell ref="X3:Y3"/>
    <mergeCell ref="X4:Y4"/>
    <mergeCell ref="X5:Y5"/>
    <mergeCell ref="D78:J78"/>
    <mergeCell ref="C81:O82"/>
    <mergeCell ref="C20:M21"/>
    <mergeCell ref="X20:X21"/>
    <mergeCell ref="D66:O67"/>
    <mergeCell ref="D68:O70"/>
    <mergeCell ref="C169:D169"/>
    <mergeCell ref="E169:I169"/>
    <mergeCell ref="C159:D159"/>
    <mergeCell ref="E159:I159"/>
    <mergeCell ref="C161:D161"/>
    <mergeCell ref="E161:I161"/>
    <mergeCell ref="C163:D163"/>
    <mergeCell ref="E163:I163"/>
    <mergeCell ref="C165:D165"/>
    <mergeCell ref="E165:I165"/>
    <mergeCell ref="J165:K167"/>
    <mergeCell ref="C167:D167"/>
    <mergeCell ref="E167:I167"/>
    <mergeCell ref="D89:O93"/>
    <mergeCell ref="C122:O123"/>
    <mergeCell ref="C138:O141"/>
    <mergeCell ref="E149:Y150"/>
    <mergeCell ref="C152:D153"/>
    <mergeCell ref="E152:L153"/>
    <mergeCell ref="B155:D155"/>
    <mergeCell ref="E155:W157"/>
    <mergeCell ref="C156:D156"/>
    <mergeCell ref="C157:D157"/>
    <mergeCell ref="C147:F147"/>
    <mergeCell ref="Y20:Y21"/>
    <mergeCell ref="Y24:Y26"/>
    <mergeCell ref="Y28:Y29"/>
    <mergeCell ref="C24:M26"/>
    <mergeCell ref="X24:X26"/>
    <mergeCell ref="C28:M29"/>
    <mergeCell ref="X28:X29"/>
  </mergeCells>
  <conditionalFormatting sqref="E155 E159 E161 E163 E165 E167 E169">
    <cfRule type="notContainsBlanks" dxfId="121" priority="242">
      <formula>LEN(TRIM(E155))&gt;0</formula>
    </cfRule>
  </conditionalFormatting>
  <conditionalFormatting sqref="X2">
    <cfRule type="expression" dxfId="120" priority="135">
      <formula>$AG$3</formula>
    </cfRule>
  </conditionalFormatting>
  <conditionalFormatting sqref="X3">
    <cfRule type="expression" dxfId="119" priority="136">
      <formula>$AI$3</formula>
    </cfRule>
  </conditionalFormatting>
  <conditionalFormatting sqref="X1">
    <cfRule type="expression" dxfId="118" priority="137">
      <formula>verStartError</formula>
    </cfRule>
  </conditionalFormatting>
  <conditionalFormatting sqref="W18">
    <cfRule type="expression" dxfId="117" priority="57">
      <formula>OR($T$18 = TRUE, AND($W$18 = TRUE, $S$18 = FALSE))</formula>
    </cfRule>
    <cfRule type="expression" dxfId="116" priority="58">
      <formula>OR($S$18 = FALSE, AND($P$18 = FALSE, ReportType &lt;&gt; "Final"), AND($Q$18 = FALSE, ReportType &lt;&gt; "Rough"))</formula>
    </cfRule>
    <cfRule type="expression" dxfId="115" priority="59">
      <formula>AND(IF($R$18,$W$18,TRUE),LEN(TRIM($W$18))&gt;0)</formula>
    </cfRule>
    <cfRule type="expression" dxfId="114" priority="60">
      <formula>AND($R$18,$S$18)</formula>
    </cfRule>
  </conditionalFormatting>
  <conditionalFormatting sqref="W19">
    <cfRule type="expression" dxfId="113" priority="53">
      <formula>OR($T$19 = TRUE, AND($W$19 = TRUE, $S$19 = FALSE))</formula>
    </cfRule>
    <cfRule type="expression" dxfId="112" priority="54">
      <formula>OR($S$19 = FALSE, AND($P$19 = FALSE, ReportType &lt;&gt; "Final"), AND($Q$19 = FALSE, ReportType &lt;&gt; "Rough"))</formula>
    </cfRule>
    <cfRule type="expression" dxfId="111" priority="55">
      <formula>AND(IF($R$19,$W$19,TRUE),LEN(TRIM($W$19))&gt;0)</formula>
    </cfRule>
    <cfRule type="expression" dxfId="110" priority="56">
      <formula>AND($R$19,$S$19)</formula>
    </cfRule>
  </conditionalFormatting>
  <conditionalFormatting sqref="W20">
    <cfRule type="expression" dxfId="109" priority="49">
      <formula>OR($T$20 = TRUE, AND($W$20 = TRUE, $S$20 = FALSE))</formula>
    </cfRule>
    <cfRule type="expression" dxfId="108" priority="50">
      <formula>OR($S$20 = FALSE, AND($P$20 = FALSE, ReportType &lt;&gt; "Final"), AND($Q$20 = FALSE, ReportType &lt;&gt; "Rough"))</formula>
    </cfRule>
    <cfRule type="expression" dxfId="107" priority="51">
      <formula>AND(IF($R$20,$W$20,TRUE),LEN(TRIM($W$20))&gt;0)</formula>
    </cfRule>
    <cfRule type="expression" dxfId="106" priority="52">
      <formula>AND($R$20,$S$20)</formula>
    </cfRule>
  </conditionalFormatting>
  <conditionalFormatting sqref="W22">
    <cfRule type="expression" dxfId="105" priority="45">
      <formula>OR($T$22 = TRUE, AND($W$22 = TRUE, $S$22 = FALSE))</formula>
    </cfRule>
    <cfRule type="expression" dxfId="104" priority="46">
      <formula>OR($S$22 = FALSE, AND($P$22 = FALSE, ReportType &lt;&gt; "Final"), AND($Q$22 = FALSE, ReportType &lt;&gt; "Rough"))</formula>
    </cfRule>
    <cfRule type="expression" dxfId="103" priority="47">
      <formula>AND(IF($R$22,$W$22,TRUE),LEN(TRIM($W$22))&gt;0)</formula>
    </cfRule>
    <cfRule type="expression" dxfId="102" priority="48">
      <formula>AND($R$22,$S$22)</formula>
    </cfRule>
  </conditionalFormatting>
  <conditionalFormatting sqref="W23">
    <cfRule type="expression" dxfId="101" priority="41">
      <formula>OR($T$23 = TRUE, AND($W$23 = TRUE, $S$23 = FALSE))</formula>
    </cfRule>
    <cfRule type="expression" dxfId="100" priority="42">
      <formula>OR($S$23 = FALSE, AND($P$23 = FALSE, ReportType &lt;&gt; "Final"), AND($Q$23 = FALSE, ReportType &lt;&gt; "Rough"))</formula>
    </cfRule>
    <cfRule type="expression" dxfId="99" priority="43">
      <formula>AND(IF($R$23,$W$23,TRUE),LEN(TRIM($W$23))&gt;0)</formula>
    </cfRule>
    <cfRule type="expression" dxfId="98" priority="44">
      <formula>AND($R$23,$S$23)</formula>
    </cfRule>
  </conditionalFormatting>
  <conditionalFormatting sqref="W24">
    <cfRule type="expression" dxfId="97" priority="37">
      <formula>OR($T$24 = TRUE, AND($W$24 = TRUE, $S$24 = FALSE))</formula>
    </cfRule>
    <cfRule type="expression" dxfId="96" priority="38">
      <formula>OR($S$24 = FALSE, AND($P$24 = FALSE, ReportType &lt;&gt; "Final"), AND($Q$24 = FALSE, ReportType &lt;&gt; "Rough"))</formula>
    </cfRule>
    <cfRule type="expression" dxfId="95" priority="39">
      <formula>AND(IF($R$24,$W$24,TRUE),LEN(TRIM($W$24))&gt;0)</formula>
    </cfRule>
    <cfRule type="expression" dxfId="94" priority="40">
      <formula>AND($R$24,$S$24)</formula>
    </cfRule>
  </conditionalFormatting>
  <conditionalFormatting sqref="W27">
    <cfRule type="expression" dxfId="93" priority="33">
      <formula>OR($T$27 = TRUE, AND($W$27 = TRUE, $S$27 = FALSE))</formula>
    </cfRule>
    <cfRule type="expression" dxfId="92" priority="34">
      <formula>OR($S$27 = FALSE, AND($P$27 = FALSE, ReportType &lt;&gt; "Final"), AND($Q$27 = FALSE, ReportType &lt;&gt; "Rough"))</formula>
    </cfRule>
    <cfRule type="expression" dxfId="91" priority="35">
      <formula>AND(IF($R$27,$W$27,TRUE),LEN(TRIM($W$27))&gt;0)</formula>
    </cfRule>
    <cfRule type="expression" dxfId="90" priority="36">
      <formula>AND($R$27,$S$27)</formula>
    </cfRule>
  </conditionalFormatting>
  <conditionalFormatting sqref="W28">
    <cfRule type="expression" dxfId="89" priority="29">
      <formula>OR($T$28 = TRUE, AND($W$28 = TRUE, $S$28 = FALSE))</formula>
    </cfRule>
    <cfRule type="expression" dxfId="88" priority="30">
      <formula>OR($S$28 = FALSE, AND($P$28 = FALSE, ReportType &lt;&gt; "Final"), AND($Q$28 = FALSE, ReportType &lt;&gt; "Rough"))</formula>
    </cfRule>
    <cfRule type="expression" dxfId="87" priority="31">
      <formula>AND(IF($R$28,$W$28,TRUE),LEN(TRIM($W$28))&gt;0)</formula>
    </cfRule>
    <cfRule type="expression" dxfId="86" priority="32">
      <formula>AND($R$28,$S$28)</formula>
    </cfRule>
  </conditionalFormatting>
  <conditionalFormatting sqref="W34">
    <cfRule type="expression" dxfId="85" priority="25">
      <formula>OR($T$34 = TRUE, AND($W$34 = TRUE, $S$34 = FALSE))</formula>
    </cfRule>
    <cfRule type="expression" dxfId="84" priority="26">
      <formula>OR($S$34 = FALSE, AND($P$34 = FALSE, ReportType &lt;&gt; "Final"), AND($Q$34 = FALSE, ReportType &lt;&gt; "Rough"))</formula>
    </cfRule>
    <cfRule type="expression" dxfId="83" priority="27">
      <formula>AND(IF($R$34,$W$34,TRUE),LEN(TRIM($W$34))&gt;0)</formula>
    </cfRule>
    <cfRule type="expression" dxfId="82" priority="28">
      <formula>AND($R$34,$S$34)</formula>
    </cfRule>
  </conditionalFormatting>
  <conditionalFormatting sqref="W41">
    <cfRule type="expression" dxfId="81" priority="21">
      <formula>OR($T$41 = TRUE, AND($W$41 = TRUE, $S$41 = FALSE))</formula>
    </cfRule>
    <cfRule type="expression" dxfId="80" priority="22">
      <formula>OR($S$41 = FALSE, AND($P$41 = FALSE, ReportType &lt;&gt; "Final"), AND($Q$41 = FALSE, ReportType &lt;&gt; "Rough"))</formula>
    </cfRule>
    <cfRule type="expression" dxfId="79" priority="23">
      <formula>AND(IF($R$41,$W$41,TRUE),LEN(TRIM($W$41))&gt;0)</formula>
    </cfRule>
    <cfRule type="expression" dxfId="78" priority="24">
      <formula>AND($R$41,$S$41)</formula>
    </cfRule>
  </conditionalFormatting>
  <conditionalFormatting sqref="W48">
    <cfRule type="expression" dxfId="77" priority="20">
      <formula>AND($R$48,$S$48)</formula>
    </cfRule>
  </conditionalFormatting>
  <conditionalFormatting sqref="W48">
    <cfRule type="expression" dxfId="76" priority="19">
      <formula>AND(IF($R$48,$W$48,TRUE),LEN(TRIM($W$48))&gt;0)</formula>
    </cfRule>
  </conditionalFormatting>
  <conditionalFormatting sqref="W48">
    <cfRule type="expression" dxfId="75" priority="18">
      <formula>OR($S$48 = FALSE, AND($P$48 = FALSE, ReportType &lt;&gt; "Final"), AND($Q$48 = FALSE, ReportType &lt;&gt; "Rough"))</formula>
    </cfRule>
  </conditionalFormatting>
  <conditionalFormatting sqref="W48">
    <cfRule type="expression" dxfId="74" priority="17">
      <formula>OR($T$48 = TRUE, AND($W$48 = TRUE, $S$48 = FALSE))</formula>
    </cfRule>
  </conditionalFormatting>
  <conditionalFormatting sqref="W55">
    <cfRule type="expression" dxfId="73" priority="16">
      <formula>AND($R$55,$S$55)</formula>
    </cfRule>
  </conditionalFormatting>
  <conditionalFormatting sqref="W55">
    <cfRule type="expression" dxfId="72" priority="15">
      <formula>AND(IF($R$55,$W$55,TRUE),LEN(TRIM($W$55))&gt;0)</formula>
    </cfRule>
  </conditionalFormatting>
  <conditionalFormatting sqref="W55">
    <cfRule type="expression" dxfId="71" priority="14">
      <formula>OR($S$55 = FALSE, AND($P$55 = FALSE, ReportType &lt;&gt; "Final"), AND($Q$55 = FALSE, ReportType &lt;&gt; "Rough"))</formula>
    </cfRule>
  </conditionalFormatting>
  <conditionalFormatting sqref="W55">
    <cfRule type="expression" dxfId="70" priority="13">
      <formula>OR($T$55 = TRUE, AND($W$55 = TRUE, $S$55 = FALSE))</formula>
    </cfRule>
  </conditionalFormatting>
  <conditionalFormatting sqref="W110">
    <cfRule type="expression" dxfId="69" priority="12">
      <formula>AND($R$110,$S$110)</formula>
    </cfRule>
  </conditionalFormatting>
  <conditionalFormatting sqref="W110">
    <cfRule type="expression" dxfId="68" priority="11">
      <formula>AND(IF($R$110,$W$110,TRUE),LEN(TRIM($W$110))&gt;0)</formula>
    </cfRule>
  </conditionalFormatting>
  <conditionalFormatting sqref="W110">
    <cfRule type="expression" dxfId="67" priority="10">
      <formula>OR($S$110 = FALSE, AND($P$110 = FALSE, ReportType &lt;&gt; "Final"), AND($Q$110 = FALSE, ReportType &lt;&gt; "Rough"))</formula>
    </cfRule>
  </conditionalFormatting>
  <conditionalFormatting sqref="W110">
    <cfRule type="expression" dxfId="66" priority="9">
      <formula>OR($T$110 = TRUE, AND($W$110 = TRUE, $S$110 = FALSE))</formula>
    </cfRule>
  </conditionalFormatting>
  <conditionalFormatting sqref="W115">
    <cfRule type="expression" dxfId="65" priority="8">
      <formula>AND($R$115,$S$115)</formula>
    </cfRule>
  </conditionalFormatting>
  <conditionalFormatting sqref="W115">
    <cfRule type="expression" dxfId="64" priority="7">
      <formula>AND(IF($R$115,$W$115,TRUE),LEN(TRIM($W$115))&gt;0)</formula>
    </cfRule>
  </conditionalFormatting>
  <conditionalFormatting sqref="W115">
    <cfRule type="expression" dxfId="63" priority="6">
      <formula>OR($S$115 = FALSE, AND($P$115 = FALSE, ReportType &lt;&gt; "Final"), AND($Q$115 = FALSE, ReportType &lt;&gt; "Rough"))</formula>
    </cfRule>
  </conditionalFormatting>
  <conditionalFormatting sqref="W115">
    <cfRule type="expression" dxfId="62" priority="5">
      <formula>OR($T$115 = TRUE, AND($W$115 = TRUE, $S$115 = FALSE))</formula>
    </cfRule>
  </conditionalFormatting>
  <conditionalFormatting sqref="W132">
    <cfRule type="expression" dxfId="61" priority="4">
      <formula>AND($R$132,$S$132)</formula>
    </cfRule>
  </conditionalFormatting>
  <conditionalFormatting sqref="W132">
    <cfRule type="expression" dxfId="60" priority="3">
      <formula>AND(IF($R$132,$W$132,TRUE),LEN(TRIM($W$132))&gt;0)</formula>
    </cfRule>
  </conditionalFormatting>
  <conditionalFormatting sqref="W132">
    <cfRule type="expression" dxfId="59" priority="2">
      <formula>OR($S$132 = FALSE, AND($P$132 = FALSE, ReportType &lt;&gt; "Final"), AND($Q$132 = FALSE, ReportType &lt;&gt; "Rough"))</formula>
    </cfRule>
  </conditionalFormatting>
  <conditionalFormatting sqref="W132">
    <cfRule type="expression" dxfId="58" priority="1">
      <formula>OR($T$132 = TRUE, AND($W$132 = TRUE, $S$132 = FALSE))</formula>
    </cfRule>
  </conditionalFormatting>
  <dataValidations count="1">
    <dataValidation type="list" allowBlank="1" showDropDown="1" showInputMessage="1" showErrorMessage="1" error="Use Checkbox" prompt="Use Checkbox" sqref="W132 W115 W110 W55 W48 W41 W34 W27:W28 W22:W24 W18:W20" xr:uid="{28883C73-D533-41A1-83BB-C7E7A2B69796}">
      <formula1>TorF</formula1>
    </dataValidation>
  </dataValidations>
  <hyperlinks>
    <hyperlink ref="D78" r:id="rId1" xr:uid="{9CD01010-BEE5-465B-B165-65003421AB92}"/>
    <hyperlink ref="D88" r:id="rId2" xr:uid="{260F55DC-69BF-4C94-B3D1-9EDE34B8DE62}"/>
  </hyperlinks>
  <pageMargins left="0.7" right="0.7" top="0.75" bottom="0.75" header="0.3" footer="0.3"/>
  <pageSetup scale="44" fitToHeight="0" orientation="portrait" r:id="rId3"/>
  <rowBreaks count="2" manualBreakCount="2">
    <brk id="102" max="24" man="1"/>
    <brk id="145" max="16383" man="1"/>
  </rowBreaks>
  <drawing r:id="rId4"/>
  <legacyDrawing r:id="rId5"/>
  <mc:AlternateContent xmlns:mc="http://schemas.openxmlformats.org/markup-compatibility/2006">
    <mc:Choice Requires="x14">
      <controls>
        <mc:AlternateContent xmlns:mc="http://schemas.openxmlformats.org/markup-compatibility/2006">
          <mc:Choice Requires="x14">
            <control shapeId="253988" r:id="rId6" name="Check Box 36">
              <controlPr locked="0" defaultSize="0" autoFill="0" autoLine="0" autoPict="0">
                <anchor moveWithCells="1">
                  <from>
                    <xdr:col>22</xdr:col>
                    <xdr:colOff>0</xdr:colOff>
                    <xdr:row>17</xdr:row>
                    <xdr:rowOff>0</xdr:rowOff>
                  </from>
                  <to>
                    <xdr:col>22</xdr:col>
                    <xdr:colOff>184150</xdr:colOff>
                    <xdr:row>17</xdr:row>
                    <xdr:rowOff>184150</xdr:rowOff>
                  </to>
                </anchor>
              </controlPr>
            </control>
          </mc:Choice>
        </mc:AlternateContent>
        <mc:AlternateContent xmlns:mc="http://schemas.openxmlformats.org/markup-compatibility/2006">
          <mc:Choice Requires="x14">
            <control shapeId="253989" r:id="rId7" name="Check Box 37">
              <controlPr locked="0" defaultSize="0" autoFill="0" autoLine="0" autoPict="0">
                <anchor moveWithCells="1">
                  <from>
                    <xdr:col>22</xdr:col>
                    <xdr:colOff>0</xdr:colOff>
                    <xdr:row>18</xdr:row>
                    <xdr:rowOff>0</xdr:rowOff>
                  </from>
                  <to>
                    <xdr:col>22</xdr:col>
                    <xdr:colOff>184150</xdr:colOff>
                    <xdr:row>18</xdr:row>
                    <xdr:rowOff>184150</xdr:rowOff>
                  </to>
                </anchor>
              </controlPr>
            </control>
          </mc:Choice>
        </mc:AlternateContent>
        <mc:AlternateContent xmlns:mc="http://schemas.openxmlformats.org/markup-compatibility/2006">
          <mc:Choice Requires="x14">
            <control shapeId="253990" r:id="rId8" name="Check Box 38">
              <controlPr locked="0" defaultSize="0" autoFill="0" autoLine="0" autoPict="0">
                <anchor moveWithCells="1">
                  <from>
                    <xdr:col>22</xdr:col>
                    <xdr:colOff>0</xdr:colOff>
                    <xdr:row>19</xdr:row>
                    <xdr:rowOff>0</xdr:rowOff>
                  </from>
                  <to>
                    <xdr:col>22</xdr:col>
                    <xdr:colOff>184150</xdr:colOff>
                    <xdr:row>19</xdr:row>
                    <xdr:rowOff>184150</xdr:rowOff>
                  </to>
                </anchor>
              </controlPr>
            </control>
          </mc:Choice>
        </mc:AlternateContent>
        <mc:AlternateContent xmlns:mc="http://schemas.openxmlformats.org/markup-compatibility/2006">
          <mc:Choice Requires="x14">
            <control shapeId="253991" r:id="rId9" name="Check Box 39">
              <controlPr locked="0" defaultSize="0" autoFill="0" autoLine="0" autoPict="0">
                <anchor moveWithCells="1">
                  <from>
                    <xdr:col>22</xdr:col>
                    <xdr:colOff>0</xdr:colOff>
                    <xdr:row>21</xdr:row>
                    <xdr:rowOff>0</xdr:rowOff>
                  </from>
                  <to>
                    <xdr:col>22</xdr:col>
                    <xdr:colOff>184150</xdr:colOff>
                    <xdr:row>21</xdr:row>
                    <xdr:rowOff>184150</xdr:rowOff>
                  </to>
                </anchor>
              </controlPr>
            </control>
          </mc:Choice>
        </mc:AlternateContent>
        <mc:AlternateContent xmlns:mc="http://schemas.openxmlformats.org/markup-compatibility/2006">
          <mc:Choice Requires="x14">
            <control shapeId="253992" r:id="rId10" name="Check Box 40">
              <controlPr locked="0" defaultSize="0" autoFill="0" autoLine="0" autoPict="0">
                <anchor moveWithCells="1">
                  <from>
                    <xdr:col>22</xdr:col>
                    <xdr:colOff>0</xdr:colOff>
                    <xdr:row>22</xdr:row>
                    <xdr:rowOff>0</xdr:rowOff>
                  </from>
                  <to>
                    <xdr:col>22</xdr:col>
                    <xdr:colOff>184150</xdr:colOff>
                    <xdr:row>22</xdr:row>
                    <xdr:rowOff>184150</xdr:rowOff>
                  </to>
                </anchor>
              </controlPr>
            </control>
          </mc:Choice>
        </mc:AlternateContent>
        <mc:AlternateContent xmlns:mc="http://schemas.openxmlformats.org/markup-compatibility/2006">
          <mc:Choice Requires="x14">
            <control shapeId="253993" r:id="rId11" name="Check Box 41">
              <controlPr locked="0" defaultSize="0" autoFill="0" autoLine="0" autoPict="0">
                <anchor moveWithCells="1">
                  <from>
                    <xdr:col>22</xdr:col>
                    <xdr:colOff>0</xdr:colOff>
                    <xdr:row>23</xdr:row>
                    <xdr:rowOff>0</xdr:rowOff>
                  </from>
                  <to>
                    <xdr:col>22</xdr:col>
                    <xdr:colOff>184150</xdr:colOff>
                    <xdr:row>23</xdr:row>
                    <xdr:rowOff>184150</xdr:rowOff>
                  </to>
                </anchor>
              </controlPr>
            </control>
          </mc:Choice>
        </mc:AlternateContent>
        <mc:AlternateContent xmlns:mc="http://schemas.openxmlformats.org/markup-compatibility/2006">
          <mc:Choice Requires="x14">
            <control shapeId="253994" r:id="rId12" name="Check Box 42">
              <controlPr locked="0" defaultSize="0" autoFill="0" autoLine="0" autoPict="0">
                <anchor moveWithCells="1">
                  <from>
                    <xdr:col>22</xdr:col>
                    <xdr:colOff>0</xdr:colOff>
                    <xdr:row>26</xdr:row>
                    <xdr:rowOff>0</xdr:rowOff>
                  </from>
                  <to>
                    <xdr:col>22</xdr:col>
                    <xdr:colOff>184150</xdr:colOff>
                    <xdr:row>26</xdr:row>
                    <xdr:rowOff>184150</xdr:rowOff>
                  </to>
                </anchor>
              </controlPr>
            </control>
          </mc:Choice>
        </mc:AlternateContent>
        <mc:AlternateContent xmlns:mc="http://schemas.openxmlformats.org/markup-compatibility/2006">
          <mc:Choice Requires="x14">
            <control shapeId="253995" r:id="rId13" name="Check Box 43">
              <controlPr locked="0" defaultSize="0" autoFill="0" autoLine="0" autoPict="0">
                <anchor moveWithCells="1">
                  <from>
                    <xdr:col>22</xdr:col>
                    <xdr:colOff>0</xdr:colOff>
                    <xdr:row>27</xdr:row>
                    <xdr:rowOff>0</xdr:rowOff>
                  </from>
                  <to>
                    <xdr:col>22</xdr:col>
                    <xdr:colOff>184150</xdr:colOff>
                    <xdr:row>27</xdr:row>
                    <xdr:rowOff>184150</xdr:rowOff>
                  </to>
                </anchor>
              </controlPr>
            </control>
          </mc:Choice>
        </mc:AlternateContent>
        <mc:AlternateContent xmlns:mc="http://schemas.openxmlformats.org/markup-compatibility/2006">
          <mc:Choice Requires="x14">
            <control shapeId="253996" r:id="rId14" name="Check Box 44">
              <controlPr locked="0" defaultSize="0" autoFill="0" autoLine="0" autoPict="0">
                <anchor moveWithCells="1">
                  <from>
                    <xdr:col>22</xdr:col>
                    <xdr:colOff>0</xdr:colOff>
                    <xdr:row>33</xdr:row>
                    <xdr:rowOff>0</xdr:rowOff>
                  </from>
                  <to>
                    <xdr:col>22</xdr:col>
                    <xdr:colOff>184150</xdr:colOff>
                    <xdr:row>33</xdr:row>
                    <xdr:rowOff>184150</xdr:rowOff>
                  </to>
                </anchor>
              </controlPr>
            </control>
          </mc:Choice>
        </mc:AlternateContent>
        <mc:AlternateContent xmlns:mc="http://schemas.openxmlformats.org/markup-compatibility/2006">
          <mc:Choice Requires="x14">
            <control shapeId="253997" r:id="rId15" name="Check Box 45">
              <controlPr locked="0" defaultSize="0" autoFill="0" autoLine="0" autoPict="0">
                <anchor moveWithCells="1">
                  <from>
                    <xdr:col>22</xdr:col>
                    <xdr:colOff>0</xdr:colOff>
                    <xdr:row>40</xdr:row>
                    <xdr:rowOff>0</xdr:rowOff>
                  </from>
                  <to>
                    <xdr:col>22</xdr:col>
                    <xdr:colOff>184150</xdr:colOff>
                    <xdr:row>40</xdr:row>
                    <xdr:rowOff>184150</xdr:rowOff>
                  </to>
                </anchor>
              </controlPr>
            </control>
          </mc:Choice>
        </mc:AlternateContent>
        <mc:AlternateContent xmlns:mc="http://schemas.openxmlformats.org/markup-compatibility/2006">
          <mc:Choice Requires="x14">
            <control shapeId="253998" r:id="rId16" name="Check Box 46">
              <controlPr locked="0" defaultSize="0" autoFill="0" autoLine="0" autoPict="0">
                <anchor moveWithCells="1">
                  <from>
                    <xdr:col>22</xdr:col>
                    <xdr:colOff>0</xdr:colOff>
                    <xdr:row>47</xdr:row>
                    <xdr:rowOff>0</xdr:rowOff>
                  </from>
                  <to>
                    <xdr:col>22</xdr:col>
                    <xdr:colOff>184150</xdr:colOff>
                    <xdr:row>47</xdr:row>
                    <xdr:rowOff>184150</xdr:rowOff>
                  </to>
                </anchor>
              </controlPr>
            </control>
          </mc:Choice>
        </mc:AlternateContent>
        <mc:AlternateContent xmlns:mc="http://schemas.openxmlformats.org/markup-compatibility/2006">
          <mc:Choice Requires="x14">
            <control shapeId="253999" r:id="rId17" name="Check Box 47">
              <controlPr locked="0" defaultSize="0" autoFill="0" autoLine="0" autoPict="0">
                <anchor moveWithCells="1">
                  <from>
                    <xdr:col>22</xdr:col>
                    <xdr:colOff>0</xdr:colOff>
                    <xdr:row>54</xdr:row>
                    <xdr:rowOff>0</xdr:rowOff>
                  </from>
                  <to>
                    <xdr:col>22</xdr:col>
                    <xdr:colOff>184150</xdr:colOff>
                    <xdr:row>54</xdr:row>
                    <xdr:rowOff>184150</xdr:rowOff>
                  </to>
                </anchor>
              </controlPr>
            </control>
          </mc:Choice>
        </mc:AlternateContent>
        <mc:AlternateContent xmlns:mc="http://schemas.openxmlformats.org/markup-compatibility/2006">
          <mc:Choice Requires="x14">
            <control shapeId="254000" r:id="rId18" name="Check Box 48">
              <controlPr locked="0" defaultSize="0" autoFill="0" autoLine="0" autoPict="0">
                <anchor moveWithCells="1">
                  <from>
                    <xdr:col>22</xdr:col>
                    <xdr:colOff>0</xdr:colOff>
                    <xdr:row>109</xdr:row>
                    <xdr:rowOff>0</xdr:rowOff>
                  </from>
                  <to>
                    <xdr:col>22</xdr:col>
                    <xdr:colOff>184150</xdr:colOff>
                    <xdr:row>109</xdr:row>
                    <xdr:rowOff>184150</xdr:rowOff>
                  </to>
                </anchor>
              </controlPr>
            </control>
          </mc:Choice>
        </mc:AlternateContent>
        <mc:AlternateContent xmlns:mc="http://schemas.openxmlformats.org/markup-compatibility/2006">
          <mc:Choice Requires="x14">
            <control shapeId="254001" r:id="rId19" name="Check Box 49">
              <controlPr locked="0" defaultSize="0" autoFill="0" autoLine="0" autoPict="0">
                <anchor moveWithCells="1">
                  <from>
                    <xdr:col>22</xdr:col>
                    <xdr:colOff>0</xdr:colOff>
                    <xdr:row>114</xdr:row>
                    <xdr:rowOff>0</xdr:rowOff>
                  </from>
                  <to>
                    <xdr:col>22</xdr:col>
                    <xdr:colOff>184150</xdr:colOff>
                    <xdr:row>114</xdr:row>
                    <xdr:rowOff>184150</xdr:rowOff>
                  </to>
                </anchor>
              </controlPr>
            </control>
          </mc:Choice>
        </mc:AlternateContent>
        <mc:AlternateContent xmlns:mc="http://schemas.openxmlformats.org/markup-compatibility/2006">
          <mc:Choice Requires="x14">
            <control shapeId="254002" r:id="rId20" name="Check Box 50">
              <controlPr locked="0" defaultSize="0" autoFill="0" autoLine="0" autoPict="0">
                <anchor moveWithCells="1">
                  <from>
                    <xdr:col>22</xdr:col>
                    <xdr:colOff>0</xdr:colOff>
                    <xdr:row>131</xdr:row>
                    <xdr:rowOff>0</xdr:rowOff>
                  </from>
                  <to>
                    <xdr:col>22</xdr:col>
                    <xdr:colOff>184150</xdr:colOff>
                    <xdr:row>131</xdr:row>
                    <xdr:rowOff>184150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B1932-E065-4175-AFEF-2E11BED80720}">
  <sheetPr codeName="Sheet46"/>
  <dimension ref="A1:N178"/>
  <sheetViews>
    <sheetView showGridLines="0" workbookViewId="0">
      <selection activeCell="S48" sqref="S48"/>
    </sheetView>
  </sheetViews>
  <sheetFormatPr defaultRowHeight="14.5" x14ac:dyDescent="0.35"/>
  <cols>
    <col min="1" max="1" width="5.1796875" customWidth="1"/>
    <col min="2" max="2" width="130.7265625" customWidth="1"/>
    <col min="3" max="3" width="10.54296875" hidden="1" customWidth="1"/>
    <col min="4" max="4" width="184.26953125" hidden="1" customWidth="1"/>
    <col min="5" max="14" width="9.1796875" hidden="1" customWidth="1"/>
  </cols>
  <sheetData>
    <row r="1" spans="2:4" ht="15" customHeight="1" x14ac:dyDescent="0.35">
      <c r="B1" s="681" t="s">
        <v>5854</v>
      </c>
    </row>
    <row r="2" spans="2:4" x14ac:dyDescent="0.35">
      <c r="B2" s="216"/>
    </row>
    <row r="3" spans="2:4" ht="15" customHeight="1" x14ac:dyDescent="0.35">
      <c r="B3" s="1023" t="s">
        <v>6062</v>
      </c>
    </row>
    <row r="4" spans="2:4" x14ac:dyDescent="0.35">
      <c r="B4" s="857"/>
    </row>
    <row r="5" spans="2:4" x14ac:dyDescent="0.35">
      <c r="B5" s="857"/>
    </row>
    <row r="6" spans="2:4" x14ac:dyDescent="0.35">
      <c r="B6" s="857"/>
    </row>
    <row r="7" spans="2:4" x14ac:dyDescent="0.35">
      <c r="B7" s="857"/>
    </row>
    <row r="8" spans="2:4" x14ac:dyDescent="0.35">
      <c r="B8" s="857"/>
    </row>
    <row r="9" spans="2:4" x14ac:dyDescent="0.35">
      <c r="B9" s="857"/>
    </row>
    <row r="10" spans="2:4" x14ac:dyDescent="0.35">
      <c r="B10" s="857"/>
    </row>
    <row r="11" spans="2:4" x14ac:dyDescent="0.35">
      <c r="B11" s="857"/>
    </row>
    <row r="12" spans="2:4" x14ac:dyDescent="0.35">
      <c r="B12" s="857"/>
    </row>
    <row r="13" spans="2:4" x14ac:dyDescent="0.35">
      <c r="B13" s="857"/>
    </row>
    <row r="14" spans="2:4" ht="21" x14ac:dyDescent="0.35">
      <c r="B14" s="857"/>
      <c r="D14" s="701" t="s">
        <v>5990</v>
      </c>
    </row>
    <row r="15" spans="2:4" x14ac:dyDescent="0.35">
      <c r="B15" s="216"/>
    </row>
    <row r="16" spans="2:4" x14ac:dyDescent="0.35">
      <c r="B16" s="682" t="s">
        <v>5855</v>
      </c>
      <c r="D16" s="706"/>
    </row>
    <row r="17" spans="1:7" x14ac:dyDescent="0.35">
      <c r="A17" s="709" t="str">
        <f ca="1">IF(C17,"🗹","☐")</f>
        <v>☐</v>
      </c>
      <c r="B17" s="683" t="s">
        <v>5856</v>
      </c>
      <c r="C17" t="b">
        <f ca="1">OR(E17:N17)</f>
        <v>0</v>
      </c>
      <c r="D17" s="702" t="s">
        <v>5991</v>
      </c>
      <c r="E17" s="366" t="b">
        <f>SUM('Verification Report'!O68:O87)&gt;0</f>
        <v>0</v>
      </c>
      <c r="F17" s="366" t="b">
        <f>'Verification Report'!O187&gt;0</f>
        <v>0</v>
      </c>
      <c r="G17" s="366" t="b">
        <f ca="1">IFERROR(MATCH('Verification Report'!W194,INDIRECT('Verification Report'!U194)),0)=2</f>
        <v>0</v>
      </c>
    </row>
    <row r="18" spans="1:7" x14ac:dyDescent="0.35">
      <c r="B18" s="683" t="s">
        <v>5857</v>
      </c>
      <c r="D18" s="707"/>
    </row>
    <row r="19" spans="1:7" ht="15.5" x14ac:dyDescent="0.35">
      <c r="A19" s="684"/>
      <c r="B19" s="683" t="s">
        <v>6059</v>
      </c>
      <c r="D19" s="707"/>
    </row>
    <row r="20" spans="1:7" x14ac:dyDescent="0.35">
      <c r="A20" s="709" t="str">
        <f t="shared" ref="A20:A21" si="0">IF(C20,"🗹","☐")</f>
        <v>☐</v>
      </c>
      <c r="B20" s="683" t="s">
        <v>5858</v>
      </c>
      <c r="C20" t="b">
        <f>OR(E20:N20)</f>
        <v>0</v>
      </c>
      <c r="D20" s="707" t="s">
        <v>5992</v>
      </c>
      <c r="E20" s="366" t="b">
        <f>'Verification Report'!O1534&gt;0</f>
        <v>0</v>
      </c>
    </row>
    <row r="21" spans="1:7" x14ac:dyDescent="0.35">
      <c r="A21" s="709" t="str">
        <f t="shared" ca="1" si="0"/>
        <v>☐</v>
      </c>
      <c r="B21" s="683" t="s">
        <v>6060</v>
      </c>
      <c r="C21" t="b">
        <f ca="1">OR(E21:N21)</f>
        <v>0</v>
      </c>
      <c r="D21" s="707" t="s">
        <v>5993</v>
      </c>
      <c r="E21" s="366" t="b">
        <f ca="1">NOT(Points!AC22="None")</f>
        <v>0</v>
      </c>
    </row>
    <row r="22" spans="1:7" x14ac:dyDescent="0.35">
      <c r="B22" s="683" t="s">
        <v>5859</v>
      </c>
      <c r="D22" s="707"/>
    </row>
    <row r="23" spans="1:7" x14ac:dyDescent="0.35">
      <c r="A23" s="709" t="str">
        <f t="shared" ref="A23:A35" ca="1" si="1">IF(C23,"🗹","☐")</f>
        <v>☐</v>
      </c>
      <c r="B23" s="683" t="s">
        <v>5860</v>
      </c>
      <c r="C23" t="b">
        <f t="shared" ref="C23:C35" ca="1" si="2">OR(E23:N23)</f>
        <v>0</v>
      </c>
      <c r="D23" s="707" t="s">
        <v>5994</v>
      </c>
      <c r="E23" s="366" t="b">
        <f ca="1">NOT('Badges (Verification)'!D6="Not Earned")</f>
        <v>0</v>
      </c>
    </row>
    <row r="24" spans="1:7" x14ac:dyDescent="0.35">
      <c r="A24" s="709" t="str">
        <f t="shared" si="1"/>
        <v>☐</v>
      </c>
      <c r="B24" s="683" t="s">
        <v>5861</v>
      </c>
      <c r="C24" t="b">
        <f t="shared" si="2"/>
        <v>0</v>
      </c>
      <c r="D24" s="707" t="s">
        <v>5995</v>
      </c>
      <c r="E24" s="366" t="b">
        <f>SUM('Verification Report'!O2210:O2230)&gt;0</f>
        <v>0</v>
      </c>
    </row>
    <row r="25" spans="1:7" x14ac:dyDescent="0.35">
      <c r="A25" s="709" t="str">
        <f t="shared" ca="1" si="1"/>
        <v>☐</v>
      </c>
      <c r="B25" s="683" t="s">
        <v>5862</v>
      </c>
      <c r="C25" t="b">
        <f t="shared" ca="1" si="2"/>
        <v>0</v>
      </c>
      <c r="D25" s="707" t="s">
        <v>5996</v>
      </c>
      <c r="E25" s="366" t="b">
        <f ca="1">SUM('Verification Report'!O725:O788)&gt;0</f>
        <v>0</v>
      </c>
    </row>
    <row r="26" spans="1:7" x14ac:dyDescent="0.35">
      <c r="A26" s="709" t="str">
        <f t="shared" ca="1" si="1"/>
        <v>☐</v>
      </c>
      <c r="B26" s="683" t="s">
        <v>5863</v>
      </c>
      <c r="C26" t="b">
        <f t="shared" ca="1" si="2"/>
        <v>0</v>
      </c>
      <c r="D26" s="707" t="s">
        <v>5997</v>
      </c>
      <c r="E26" s="366" t="b">
        <f ca="1">SUM('Verification Report'!O19:O56)&gt;0</f>
        <v>0</v>
      </c>
    </row>
    <row r="27" spans="1:7" x14ac:dyDescent="0.35">
      <c r="A27" s="709" t="str">
        <f t="shared" ca="1" si="1"/>
        <v>☐</v>
      </c>
      <c r="B27" s="683" t="s">
        <v>5864</v>
      </c>
      <c r="C27" t="b">
        <f t="shared" ca="1" si="2"/>
        <v>0</v>
      </c>
      <c r="D27" s="707" t="s">
        <v>5998</v>
      </c>
      <c r="E27" s="366" t="b">
        <f ca="1">'Verification Report'!O697&gt;0</f>
        <v>0</v>
      </c>
      <c r="F27" s="366" t="b">
        <f ca="1">'Verification Report'!O706&gt;0</f>
        <v>0</v>
      </c>
    </row>
    <row r="28" spans="1:7" x14ac:dyDescent="0.35">
      <c r="A28" s="709" t="str">
        <f t="shared" si="1"/>
        <v>☐</v>
      </c>
      <c r="B28" s="683" t="s">
        <v>5865</v>
      </c>
      <c r="C28" t="b">
        <f t="shared" si="2"/>
        <v>0</v>
      </c>
      <c r="D28" s="707" t="s">
        <v>5999</v>
      </c>
      <c r="E28" s="366" t="b">
        <f>LEFT('Badges (Verification)'!G10,16)="Expected to Meet"</f>
        <v>0</v>
      </c>
    </row>
    <row r="29" spans="1:7" x14ac:dyDescent="0.35">
      <c r="A29" s="709" t="str">
        <f t="shared" ca="1" si="1"/>
        <v>☐</v>
      </c>
      <c r="B29" s="683" t="s">
        <v>5866</v>
      </c>
      <c r="C29" t="b">
        <f t="shared" ca="1" si="2"/>
        <v>0</v>
      </c>
      <c r="D29" s="707" t="s">
        <v>6000</v>
      </c>
      <c r="E29" s="366" t="b">
        <f ca="1">SUM('Verification Report'!O2048:O2191)&gt;0</f>
        <v>0</v>
      </c>
    </row>
    <row r="30" spans="1:7" x14ac:dyDescent="0.35">
      <c r="A30" s="709" t="str">
        <f t="shared" ca="1" si="1"/>
        <v>☐</v>
      </c>
      <c r="B30" s="683" t="s">
        <v>5867</v>
      </c>
      <c r="C30" t="b">
        <f t="shared" ca="1" si="2"/>
        <v>0</v>
      </c>
      <c r="D30" s="707" t="s">
        <v>6001</v>
      </c>
      <c r="E30" s="366" t="b">
        <f ca="1">SUM('Verification Report'!O1542:O1555)&gt;0</f>
        <v>0</v>
      </c>
      <c r="F30" s="366" t="b">
        <f ca="1">SUM('Verification Report'!O1581:O1594)&gt;0</f>
        <v>0</v>
      </c>
    </row>
    <row r="31" spans="1:7" x14ac:dyDescent="0.35">
      <c r="A31" s="709" t="str">
        <f t="shared" ca="1" si="1"/>
        <v>☐</v>
      </c>
      <c r="B31" s="683" t="s">
        <v>5868</v>
      </c>
      <c r="C31" t="b">
        <f t="shared" ca="1" si="2"/>
        <v>0</v>
      </c>
      <c r="D31" s="707" t="s">
        <v>6002</v>
      </c>
      <c r="E31" s="366" t="b">
        <f ca="1">'Verification Report'!O864&gt;0</f>
        <v>0</v>
      </c>
      <c r="F31" s="366" t="b">
        <f ca="1">NOT('Badges (Verification)'!D3="Not Earned")</f>
        <v>0</v>
      </c>
    </row>
    <row r="32" spans="1:7" x14ac:dyDescent="0.35">
      <c r="A32" s="709" t="str">
        <f t="shared" si="1"/>
        <v>☐</v>
      </c>
      <c r="B32" s="683" t="s">
        <v>5869</v>
      </c>
      <c r="C32" t="b">
        <f t="shared" si="2"/>
        <v>0</v>
      </c>
      <c r="D32" s="707" t="s">
        <v>6003</v>
      </c>
      <c r="E32" s="366" t="b">
        <f>'Verification Report'!O13&gt;0</f>
        <v>0</v>
      </c>
    </row>
    <row r="33" spans="1:6" x14ac:dyDescent="0.35">
      <c r="A33" s="709" t="str">
        <f t="shared" si="1"/>
        <v>☐</v>
      </c>
      <c r="B33" s="683" t="s">
        <v>5870</v>
      </c>
      <c r="C33" t="b">
        <f t="shared" si="2"/>
        <v>0</v>
      </c>
      <c r="D33" s="707" t="s">
        <v>5340</v>
      </c>
      <c r="E33" s="366" t="b">
        <f>'Verification Report'!O821&gt;0</f>
        <v>0</v>
      </c>
    </row>
    <row r="34" spans="1:6" x14ac:dyDescent="0.35">
      <c r="A34" s="709" t="str">
        <f t="shared" si="1"/>
        <v>☐</v>
      </c>
      <c r="B34" s="683" t="s">
        <v>5871</v>
      </c>
      <c r="C34" t="b">
        <f t="shared" si="2"/>
        <v>0</v>
      </c>
      <c r="D34" s="707" t="s">
        <v>6004</v>
      </c>
      <c r="E34" s="366" t="b">
        <f>'Verification Report'!O596&gt;0</f>
        <v>0</v>
      </c>
    </row>
    <row r="35" spans="1:6" x14ac:dyDescent="0.35">
      <c r="A35" s="709" t="str">
        <f t="shared" si="1"/>
        <v>☐</v>
      </c>
      <c r="B35" s="679" t="s">
        <v>5872</v>
      </c>
      <c r="C35" t="b">
        <f t="shared" si="2"/>
        <v>0</v>
      </c>
      <c r="D35" s="707" t="s">
        <v>6005</v>
      </c>
      <c r="E35" s="366" t="b">
        <f>AND('Verification Report'!W1868&lt;=70,LEN('Verification Report'!W1868)&gt;0)</f>
        <v>0</v>
      </c>
    </row>
    <row r="37" spans="1:6" x14ac:dyDescent="0.35">
      <c r="B37" s="682" t="s">
        <v>5873</v>
      </c>
      <c r="D37" s="706"/>
    </row>
    <row r="38" spans="1:6" x14ac:dyDescent="0.35">
      <c r="A38" s="709" t="str">
        <f t="shared" ref="A38:A43" ca="1" si="3">IF(C38,"🗹","☐")</f>
        <v>☐</v>
      </c>
      <c r="B38" s="685" t="s">
        <v>5874</v>
      </c>
      <c r="C38" t="b">
        <f t="shared" ref="C38:C43" ca="1" si="4">OR(E38:N38)</f>
        <v>0</v>
      </c>
      <c r="D38" s="707" t="s">
        <v>5997</v>
      </c>
      <c r="E38" s="366" t="b">
        <f ca="1">SUM('Verification Report'!O19:O56)&gt;0</f>
        <v>0</v>
      </c>
    </row>
    <row r="39" spans="1:6" x14ac:dyDescent="0.35">
      <c r="A39" s="709" t="str">
        <f t="shared" si="3"/>
        <v>☐</v>
      </c>
      <c r="B39" s="683" t="s">
        <v>5875</v>
      </c>
      <c r="C39" t="b">
        <f t="shared" si="4"/>
        <v>0</v>
      </c>
      <c r="D39" s="707" t="s">
        <v>6003</v>
      </c>
      <c r="E39" s="366" t="b">
        <f>'Verification Report'!O13&gt;0</f>
        <v>0</v>
      </c>
    </row>
    <row r="40" spans="1:6" x14ac:dyDescent="0.35">
      <c r="A40" s="709" t="str">
        <f t="shared" ca="1" si="3"/>
        <v>☐</v>
      </c>
      <c r="B40" s="683" t="s">
        <v>5876</v>
      </c>
      <c r="C40" t="b">
        <f t="shared" ca="1" si="4"/>
        <v>0</v>
      </c>
      <c r="D40" s="707" t="s">
        <v>6006</v>
      </c>
      <c r="E40" s="366" t="b">
        <f ca="1">IFERROR(MATCH('Verification Report'!W194,INDIRECT('Verification Report'!U194)),0)=2</f>
        <v>0</v>
      </c>
    </row>
    <row r="41" spans="1:6" x14ac:dyDescent="0.35">
      <c r="A41" s="709" t="str">
        <f t="shared" ca="1" si="3"/>
        <v>☐</v>
      </c>
      <c r="B41" s="683" t="s">
        <v>5877</v>
      </c>
      <c r="C41" t="b">
        <f t="shared" ca="1" si="4"/>
        <v>0</v>
      </c>
      <c r="D41" s="707" t="s">
        <v>6006</v>
      </c>
      <c r="E41" s="366" t="b">
        <f ca="1">IFERROR(MATCH('Verification Report'!W194,INDIRECT('Verification Report'!U194)),0)=2</f>
        <v>0</v>
      </c>
    </row>
    <row r="42" spans="1:6" x14ac:dyDescent="0.35">
      <c r="A42" s="709" t="str">
        <f t="shared" ca="1" si="3"/>
        <v>☐</v>
      </c>
      <c r="B42" s="683" t="s">
        <v>5878</v>
      </c>
      <c r="C42" t="b">
        <f t="shared" ca="1" si="4"/>
        <v>0</v>
      </c>
      <c r="D42" s="707" t="s">
        <v>6007</v>
      </c>
      <c r="E42" s="366" t="b">
        <f ca="1">SUM('Verification Report'!O114:O144)&gt;0</f>
        <v>0</v>
      </c>
    </row>
    <row r="43" spans="1:6" x14ac:dyDescent="0.35">
      <c r="A43" s="709" t="str">
        <f t="shared" si="3"/>
        <v>☐</v>
      </c>
      <c r="B43" s="686" t="s">
        <v>5879</v>
      </c>
      <c r="C43" t="b">
        <f t="shared" si="4"/>
        <v>0</v>
      </c>
      <c r="D43" s="703" t="s">
        <v>6008</v>
      </c>
      <c r="E43" s="366" t="b">
        <f>'Verification Report'!O187&gt;0</f>
        <v>0</v>
      </c>
    </row>
    <row r="44" spans="1:6" x14ac:dyDescent="0.35">
      <c r="B44" s="683" t="s">
        <v>5880</v>
      </c>
      <c r="D44" s="707"/>
    </row>
    <row r="45" spans="1:6" x14ac:dyDescent="0.35">
      <c r="A45" s="709" t="str">
        <f>IF(C45,"🗹","☐")</f>
        <v>☐</v>
      </c>
      <c r="B45" s="679" t="s">
        <v>5881</v>
      </c>
      <c r="C45" t="b">
        <f>OR(E45:N45)</f>
        <v>0</v>
      </c>
      <c r="D45" s="707" t="s">
        <v>6009</v>
      </c>
      <c r="E45" s="366" t="b">
        <f>'Verification Report'!W18=TRUE</f>
        <v>0</v>
      </c>
    </row>
    <row r="47" spans="1:6" x14ac:dyDescent="0.35">
      <c r="B47" s="682" t="s">
        <v>5882</v>
      </c>
      <c r="D47" s="706"/>
    </row>
    <row r="48" spans="1:6" x14ac:dyDescent="0.35">
      <c r="A48" s="709" t="str">
        <f t="shared" ref="A48:A49" ca="1" si="5">IF(C48,"🗹","☐")</f>
        <v>☐</v>
      </c>
      <c r="B48" s="687" t="s">
        <v>5883</v>
      </c>
      <c r="C48" t="b">
        <f t="shared" ref="C48:C49" ca="1" si="6">OR(E48:N48)</f>
        <v>0</v>
      </c>
      <c r="D48" s="703" t="s">
        <v>6010</v>
      </c>
      <c r="E48" s="366" t="b">
        <f ca="1">'Verification Report'!O200&gt;0</f>
        <v>0</v>
      </c>
      <c r="F48" s="366" t="b">
        <f>SUM('Verification Report'!O593:O633)&gt;0</f>
        <v>0</v>
      </c>
    </row>
    <row r="49" spans="1:6" x14ac:dyDescent="0.35">
      <c r="A49" s="709" t="str">
        <f t="shared" si="5"/>
        <v>☐</v>
      </c>
      <c r="B49" s="686" t="s">
        <v>5884</v>
      </c>
      <c r="C49" t="b">
        <f t="shared" si="6"/>
        <v>0</v>
      </c>
      <c r="D49" s="707" t="s">
        <v>6011</v>
      </c>
      <c r="E49" s="366" t="b">
        <f>'Verification Report'!O611&gt;0</f>
        <v>0</v>
      </c>
    </row>
    <row r="50" spans="1:6" x14ac:dyDescent="0.35">
      <c r="B50" s="686" t="s">
        <v>5885</v>
      </c>
      <c r="D50" s="707"/>
    </row>
    <row r="51" spans="1:6" x14ac:dyDescent="0.35">
      <c r="B51" s="686" t="s">
        <v>5886</v>
      </c>
      <c r="D51" s="707"/>
    </row>
    <row r="52" spans="1:6" x14ac:dyDescent="0.35">
      <c r="A52" s="709" t="str">
        <f ca="1">IF(C52,"🗹","☐")</f>
        <v>☐</v>
      </c>
      <c r="B52" s="686" t="s">
        <v>5887</v>
      </c>
      <c r="C52" t="b">
        <f ca="1">OR(E52:N52)</f>
        <v>0</v>
      </c>
      <c r="D52" s="707" t="s">
        <v>6012</v>
      </c>
      <c r="E52" s="366" t="b">
        <f ca="1">SUM('Verification Report'!O114:O144)&gt;0</f>
        <v>0</v>
      </c>
      <c r="F52" s="366" t="b">
        <f>SUM('Verification Report'!O68:O87)&gt;0</f>
        <v>0</v>
      </c>
    </row>
    <row r="53" spans="1:6" x14ac:dyDescent="0.35">
      <c r="B53" s="686" t="s">
        <v>5888</v>
      </c>
      <c r="D53" s="707"/>
    </row>
    <row r="54" spans="1:6" x14ac:dyDescent="0.35">
      <c r="A54" s="709" t="str">
        <f t="shared" ref="A54:A55" si="7">IF(C54,"🗹","☐")</f>
        <v>☐</v>
      </c>
      <c r="B54" s="686" t="s">
        <v>5889</v>
      </c>
      <c r="C54" t="b">
        <f>OR(E54:N54)</f>
        <v>0</v>
      </c>
      <c r="D54" s="703" t="s">
        <v>6013</v>
      </c>
      <c r="E54" s="366" t="b">
        <f>SUM('Verification Report'!O220:O246)&gt;0</f>
        <v>0</v>
      </c>
    </row>
    <row r="55" spans="1:6" x14ac:dyDescent="0.35">
      <c r="A55" s="709" t="str">
        <f t="shared" si="7"/>
        <v>☐</v>
      </c>
      <c r="B55" s="688" t="s">
        <v>5890</v>
      </c>
      <c r="C55" t="b">
        <f>OR(E55:N55)</f>
        <v>0</v>
      </c>
      <c r="D55" s="703" t="s">
        <v>6013</v>
      </c>
      <c r="E55" s="366" t="b">
        <f>SUM('Verification Report'!O220:O246)&gt;0</f>
        <v>0</v>
      </c>
    </row>
    <row r="57" spans="1:6" x14ac:dyDescent="0.35">
      <c r="B57" s="682" t="s">
        <v>5891</v>
      </c>
      <c r="D57" s="706"/>
    </row>
    <row r="58" spans="1:6" x14ac:dyDescent="0.35">
      <c r="B58" s="689" t="s">
        <v>5892</v>
      </c>
      <c r="D58" s="707"/>
    </row>
    <row r="59" spans="1:6" x14ac:dyDescent="0.35">
      <c r="A59" s="709" t="str">
        <f>IF(C59,"🗹","☐")</f>
        <v>☐</v>
      </c>
      <c r="B59" s="683" t="s">
        <v>5893</v>
      </c>
      <c r="C59" t="b">
        <f>OR(E59:N59)</f>
        <v>0</v>
      </c>
      <c r="D59" s="707" t="s">
        <v>6014</v>
      </c>
      <c r="E59" s="366" t="b">
        <f>'Verification Report'!O790&gt;0</f>
        <v>0</v>
      </c>
    </row>
    <row r="60" spans="1:6" x14ac:dyDescent="0.35">
      <c r="B60" s="683" t="s">
        <v>5894</v>
      </c>
      <c r="D60" s="707"/>
    </row>
    <row r="61" spans="1:6" x14ac:dyDescent="0.35">
      <c r="B61" s="690" t="s">
        <v>5895</v>
      </c>
      <c r="D61" s="707"/>
    </row>
    <row r="62" spans="1:6" x14ac:dyDescent="0.35">
      <c r="A62" s="709" t="str">
        <f t="shared" ref="A62:A66" ca="1" si="8">IF(C62,"🗹","☐")</f>
        <v>☐</v>
      </c>
      <c r="B62" s="683" t="s">
        <v>5896</v>
      </c>
      <c r="C62" t="b">
        <f ca="1">OR(E62:N62)</f>
        <v>0</v>
      </c>
      <c r="D62" s="707" t="s">
        <v>6015</v>
      </c>
      <c r="E62" s="366" t="b">
        <f ca="1">'Verification Report'!O706&gt;0</f>
        <v>0</v>
      </c>
    </row>
    <row r="63" spans="1:6" x14ac:dyDescent="0.35">
      <c r="A63" s="709" t="str">
        <f t="shared" ca="1" si="8"/>
        <v>☐</v>
      </c>
      <c r="B63" s="683" t="s">
        <v>5897</v>
      </c>
      <c r="C63" t="b">
        <f ca="1">OR(E63:N63)</f>
        <v>0</v>
      </c>
      <c r="D63" s="707" t="s">
        <v>6016</v>
      </c>
      <c r="E63" s="366" t="b">
        <f ca="1">'Verification Report'!O674&gt;0</f>
        <v>0</v>
      </c>
      <c r="F63" t="b">
        <f ca="1">SUM('Verification Report'!O718:O788)&gt;0</f>
        <v>0</v>
      </c>
    </row>
    <row r="64" spans="1:6" x14ac:dyDescent="0.35">
      <c r="A64" s="709" t="str">
        <f t="shared" ca="1" si="8"/>
        <v>☐</v>
      </c>
      <c r="B64" s="683" t="s">
        <v>5898</v>
      </c>
      <c r="C64" t="b">
        <f ca="1">OR(E64:N64)</f>
        <v>0</v>
      </c>
      <c r="D64" s="703" t="s">
        <v>6017</v>
      </c>
      <c r="E64" s="366" t="b">
        <f ca="1">SUM('Verification Report'!O1935:O2033)&gt;0</f>
        <v>0</v>
      </c>
    </row>
    <row r="65" spans="1:5" x14ac:dyDescent="0.35">
      <c r="A65" s="709" t="str">
        <f t="shared" si="8"/>
        <v>☐</v>
      </c>
      <c r="B65" s="683" t="s">
        <v>5899</v>
      </c>
      <c r="C65" t="b">
        <f>OR(E65:N65)</f>
        <v>0</v>
      </c>
      <c r="D65" s="707" t="s">
        <v>6018</v>
      </c>
      <c r="E65" s="366" t="b">
        <f>'Verification Report'!O620&gt;0</f>
        <v>0</v>
      </c>
    </row>
    <row r="66" spans="1:5" x14ac:dyDescent="0.35">
      <c r="A66" s="709" t="str">
        <f t="shared" ca="1" si="8"/>
        <v>☐</v>
      </c>
      <c r="B66" s="683" t="s">
        <v>5900</v>
      </c>
      <c r="C66" t="b">
        <f ca="1">OR(E66:N66)</f>
        <v>0</v>
      </c>
      <c r="D66" s="707" t="s">
        <v>5996</v>
      </c>
      <c r="E66" s="366" t="b">
        <f ca="1">SUM('Verification Report'!O718:O788)&gt;0</f>
        <v>0</v>
      </c>
    </row>
    <row r="67" spans="1:5" x14ac:dyDescent="0.35">
      <c r="B67" s="683" t="s">
        <v>5901</v>
      </c>
      <c r="D67" s="707"/>
    </row>
    <row r="68" spans="1:5" x14ac:dyDescent="0.35">
      <c r="A68" s="709" t="str">
        <f>IF(C68,"🗹","☐")</f>
        <v>☐</v>
      </c>
      <c r="B68" s="683" t="s">
        <v>5902</v>
      </c>
      <c r="C68" t="b">
        <f>OR(E68:N68)</f>
        <v>0</v>
      </c>
      <c r="D68" s="707" t="s">
        <v>6019</v>
      </c>
      <c r="E68" s="366" t="b">
        <f>'Verification Report'!O583&gt;0</f>
        <v>0</v>
      </c>
    </row>
    <row r="69" spans="1:5" ht="14.5" customHeight="1" x14ac:dyDescent="0.35">
      <c r="B69" s="686" t="s">
        <v>5903</v>
      </c>
      <c r="D69" s="707"/>
    </row>
    <row r="70" spans="1:5" x14ac:dyDescent="0.35">
      <c r="A70" s="709" t="str">
        <f>IF(C70,"🗹","☐")</f>
        <v>☐</v>
      </c>
      <c r="B70" s="679" t="s">
        <v>5904</v>
      </c>
      <c r="C70" t="b">
        <f>OR(E70:N70)</f>
        <v>0</v>
      </c>
      <c r="D70" s="707" t="s">
        <v>6020</v>
      </c>
      <c r="E70" s="366" t="b">
        <f>SUM('Verification Report'!O653:O673)&gt;0</f>
        <v>0</v>
      </c>
    </row>
    <row r="72" spans="1:5" x14ac:dyDescent="0.35">
      <c r="B72" s="682" t="s">
        <v>5905</v>
      </c>
      <c r="D72" s="706"/>
    </row>
    <row r="73" spans="1:5" x14ac:dyDescent="0.35">
      <c r="A73" s="709" t="str">
        <f ca="1">IF(C73,"🗹","☐")</f>
        <v>☐</v>
      </c>
      <c r="B73" s="691" t="s">
        <v>5906</v>
      </c>
      <c r="C73" t="b">
        <f ca="1">OR(E73:N73)</f>
        <v>0</v>
      </c>
      <c r="D73" s="707" t="s">
        <v>6021</v>
      </c>
      <c r="E73" s="366" t="b">
        <f ca="1">SUM('Verification Report'!O718:O788)&gt;0</f>
        <v>0</v>
      </c>
    </row>
    <row r="75" spans="1:5" x14ac:dyDescent="0.35">
      <c r="B75" s="682" t="s">
        <v>5907</v>
      </c>
      <c r="D75" s="706"/>
    </row>
    <row r="76" spans="1:5" x14ac:dyDescent="0.35">
      <c r="B76" s="692" t="s">
        <v>5908</v>
      </c>
      <c r="D76" s="707"/>
    </row>
    <row r="77" spans="1:5" x14ac:dyDescent="0.35">
      <c r="B77" s="683" t="s">
        <v>5909</v>
      </c>
      <c r="D77" s="707"/>
    </row>
    <row r="78" spans="1:5" x14ac:dyDescent="0.35">
      <c r="A78" s="709" t="str">
        <f t="shared" ref="A78:A79" ca="1" si="9">IF(C78,"🗹","☐")</f>
        <v>☐</v>
      </c>
      <c r="B78" s="683" t="s">
        <v>5910</v>
      </c>
      <c r="C78" t="b">
        <f ca="1">OR(E78:N78)</f>
        <v>0</v>
      </c>
      <c r="D78" s="707" t="s">
        <v>6022</v>
      </c>
      <c r="E78" s="366" t="b">
        <f ca="1">NOT(Ch7LevelFinal="None")</f>
        <v>0</v>
      </c>
    </row>
    <row r="79" spans="1:5" x14ac:dyDescent="0.35">
      <c r="A79" s="709" t="str">
        <f t="shared" ca="1" si="9"/>
        <v>☐</v>
      </c>
      <c r="B79" s="683" t="s">
        <v>5911</v>
      </c>
      <c r="C79" t="b">
        <f ca="1">OR(E79:N79)</f>
        <v>0</v>
      </c>
      <c r="D79" s="707" t="s">
        <v>6022</v>
      </c>
      <c r="E79" s="366" t="b">
        <f ca="1">NOT(Ch7LevelFinal="None")</f>
        <v>0</v>
      </c>
    </row>
    <row r="80" spans="1:5" x14ac:dyDescent="0.35">
      <c r="B80" s="683" t="s">
        <v>5912</v>
      </c>
      <c r="D80" s="707"/>
    </row>
    <row r="81" spans="1:7" x14ac:dyDescent="0.35">
      <c r="B81" s="690" t="s">
        <v>5913</v>
      </c>
      <c r="D81" s="707"/>
    </row>
    <row r="82" spans="1:7" x14ac:dyDescent="0.35">
      <c r="A82" s="709" t="str">
        <f ca="1">IF(C82,"🗹","☐")</f>
        <v>☐</v>
      </c>
      <c r="B82" s="683" t="s">
        <v>5914</v>
      </c>
      <c r="C82" t="b">
        <f ca="1">OR(E82:N82)</f>
        <v>0</v>
      </c>
      <c r="D82" s="707" t="s">
        <v>6081</v>
      </c>
      <c r="E82" s="366" t="b">
        <f>'Verification Report'!W938=TRUE</f>
        <v>0</v>
      </c>
      <c r="F82" s="366" t="b">
        <f ca="1">SUM('Verification Report'!O1139:O1222)&gt;0</f>
        <v>0</v>
      </c>
      <c r="G82" s="366" t="b">
        <f>SUM('Verification Report'!O1460:O1474)&gt;0</f>
        <v>0</v>
      </c>
    </row>
    <row r="83" spans="1:7" x14ac:dyDescent="0.35">
      <c r="B83" s="683" t="s">
        <v>5915</v>
      </c>
      <c r="D83" s="707"/>
    </row>
    <row r="84" spans="1:7" x14ac:dyDescent="0.35">
      <c r="B84" s="683" t="s">
        <v>5916</v>
      </c>
      <c r="D84" s="707"/>
    </row>
    <row r="85" spans="1:7" x14ac:dyDescent="0.35">
      <c r="A85" s="709" t="str">
        <f t="shared" ref="A85:A89" ca="1" si="10">IF(C85,"🗹","☐")</f>
        <v>☐</v>
      </c>
      <c r="B85" s="683" t="s">
        <v>5917</v>
      </c>
      <c r="C85" t="b">
        <f t="shared" ref="C85:C89" ca="1" si="11">OR(E85:N85)</f>
        <v>0</v>
      </c>
      <c r="D85" s="707" t="s">
        <v>6024</v>
      </c>
      <c r="E85" s="366" t="b">
        <f ca="1">SUM('Verification Report'!O1324:O1328)&gt;0</f>
        <v>0</v>
      </c>
    </row>
    <row r="86" spans="1:7" x14ac:dyDescent="0.35">
      <c r="A86" s="709" t="str">
        <f t="shared" ca="1" si="10"/>
        <v>☐</v>
      </c>
      <c r="B86" s="683" t="s">
        <v>5918</v>
      </c>
      <c r="C86" t="b">
        <f t="shared" ca="1" si="11"/>
        <v>0</v>
      </c>
      <c r="D86" s="707" t="s">
        <v>1007</v>
      </c>
      <c r="E86" s="366" t="b">
        <f ca="1">SUM('Verification Report'!O1423:O1455)&gt;0</f>
        <v>0</v>
      </c>
    </row>
    <row r="87" spans="1:7" x14ac:dyDescent="0.35">
      <c r="A87" s="709" t="str">
        <f t="shared" ca="1" si="10"/>
        <v>☐</v>
      </c>
      <c r="B87" s="683" t="s">
        <v>5919</v>
      </c>
      <c r="C87" t="b">
        <f t="shared" ca="1" si="11"/>
        <v>0</v>
      </c>
      <c r="D87" s="707" t="s">
        <v>6025</v>
      </c>
      <c r="E87" s="366" t="b">
        <f ca="1">SUM('Verification Report'!O1424:O1447)&gt;0</f>
        <v>0</v>
      </c>
      <c r="F87" s="366" t="b">
        <f>'Verification Report'!O1534&gt;0</f>
        <v>0</v>
      </c>
    </row>
    <row r="88" spans="1:7" x14ac:dyDescent="0.35">
      <c r="A88" s="709" t="str">
        <f t="shared" ca="1" si="10"/>
        <v>☐</v>
      </c>
      <c r="B88" s="683" t="s">
        <v>5920</v>
      </c>
      <c r="C88" t="b">
        <f t="shared" ca="1" si="11"/>
        <v>0</v>
      </c>
      <c r="D88" s="707" t="s">
        <v>6082</v>
      </c>
      <c r="E88" s="366" t="b">
        <f ca="1">SUM('Verification Report'!O1359:O1409)&gt;0</f>
        <v>0</v>
      </c>
    </row>
    <row r="89" spans="1:7" x14ac:dyDescent="0.35">
      <c r="A89" s="709" t="str">
        <f t="shared" ca="1" si="10"/>
        <v>☐</v>
      </c>
      <c r="B89" s="683" t="s">
        <v>5921</v>
      </c>
      <c r="C89" t="b">
        <f t="shared" ca="1" si="11"/>
        <v>0</v>
      </c>
      <c r="D89" s="707" t="s">
        <v>6026</v>
      </c>
      <c r="E89" s="366" t="b">
        <f ca="1">SUM('Verification Report'!O1139:O1222)&gt;0</f>
        <v>0</v>
      </c>
    </row>
    <row r="90" spans="1:7" x14ac:dyDescent="0.35">
      <c r="B90" s="683" t="s">
        <v>5922</v>
      </c>
      <c r="D90" s="707"/>
    </row>
    <row r="91" spans="1:7" x14ac:dyDescent="0.35">
      <c r="A91" s="709" t="str">
        <f ca="1">IF(C91,"🗹","☐")</f>
        <v>☐</v>
      </c>
      <c r="B91" s="683" t="s">
        <v>5923</v>
      </c>
      <c r="C91" t="b">
        <f ca="1">OR(E91:N91)</f>
        <v>0</v>
      </c>
      <c r="D91" s="707" t="s">
        <v>6027</v>
      </c>
      <c r="E91" s="366" t="b">
        <f ca="1">SUM('Verification Report'!O1244:O1292)&gt;0</f>
        <v>0</v>
      </c>
    </row>
    <row r="92" spans="1:7" x14ac:dyDescent="0.35">
      <c r="B92" s="690" t="s">
        <v>5924</v>
      </c>
      <c r="D92" s="707"/>
    </row>
    <row r="93" spans="1:7" x14ac:dyDescent="0.35">
      <c r="A93" s="709" t="str">
        <f t="shared" ref="A93:A96" si="12">IF(C93,"🗹","☐")</f>
        <v>☐</v>
      </c>
      <c r="B93" s="683" t="s">
        <v>5925</v>
      </c>
      <c r="C93" t="b">
        <f t="shared" ref="C93:C96" si="13">OR(E93:N93)</f>
        <v>0</v>
      </c>
      <c r="D93" s="707" t="s">
        <v>5992</v>
      </c>
      <c r="E93" s="366" t="b">
        <f>'Verification Report'!O1534&gt;0</f>
        <v>0</v>
      </c>
    </row>
    <row r="94" spans="1:7" x14ac:dyDescent="0.35">
      <c r="A94" s="709" t="str">
        <f t="shared" ca="1" si="12"/>
        <v>☐</v>
      </c>
      <c r="B94" s="683" t="s">
        <v>5926</v>
      </c>
      <c r="C94" t="b">
        <f t="shared" ca="1" si="13"/>
        <v>0</v>
      </c>
      <c r="D94" s="707" t="s">
        <v>6028</v>
      </c>
      <c r="E94" s="366" t="b">
        <f ca="1">SUM('Verification Report'!O1626:O1632)&gt;0</f>
        <v>0</v>
      </c>
    </row>
    <row r="95" spans="1:7" x14ac:dyDescent="0.35">
      <c r="A95" s="709" t="str">
        <f t="shared" si="12"/>
        <v>☐</v>
      </c>
      <c r="B95" s="683" t="s">
        <v>5927</v>
      </c>
      <c r="C95" t="b">
        <f t="shared" si="13"/>
        <v>0</v>
      </c>
      <c r="D95" s="707" t="s">
        <v>6029</v>
      </c>
      <c r="E95" s="366" t="b">
        <f>'Verification Report'!O2456&gt;0</f>
        <v>0</v>
      </c>
    </row>
    <row r="96" spans="1:7" x14ac:dyDescent="0.35">
      <c r="A96" s="709" t="str">
        <f t="shared" ca="1" si="12"/>
        <v>☐</v>
      </c>
      <c r="B96" s="679" t="s">
        <v>5928</v>
      </c>
      <c r="C96" t="b">
        <f t="shared" ca="1" si="13"/>
        <v>0</v>
      </c>
      <c r="D96" s="707" t="s">
        <v>6030</v>
      </c>
      <c r="E96" s="366" t="b">
        <f ca="1">'Verification Report'!O1529&gt;0</f>
        <v>0</v>
      </c>
    </row>
    <row r="98" spans="1:5" x14ac:dyDescent="0.35">
      <c r="B98" s="682" t="s">
        <v>5929</v>
      </c>
      <c r="D98" s="706"/>
    </row>
    <row r="99" spans="1:5" x14ac:dyDescent="0.35">
      <c r="A99" s="709" t="str">
        <f ca="1">IF(C99,"🗹","☐")</f>
        <v>☐</v>
      </c>
      <c r="B99" s="680" t="s">
        <v>5930</v>
      </c>
      <c r="C99" t="b">
        <f ca="1">OR(E99:N99)</f>
        <v>0</v>
      </c>
      <c r="D99" s="703" t="s">
        <v>6031</v>
      </c>
      <c r="E99" s="366" t="b">
        <f ca="1">SUM('Verification Report'!O1580:O1594)&gt;0</f>
        <v>0</v>
      </c>
    </row>
    <row r="101" spans="1:5" x14ac:dyDescent="0.35">
      <c r="B101" s="710" t="s">
        <v>6070</v>
      </c>
    </row>
    <row r="102" spans="1:5" x14ac:dyDescent="0.35">
      <c r="B102" s="711" t="s">
        <v>6071</v>
      </c>
    </row>
    <row r="103" spans="1:5" x14ac:dyDescent="0.35">
      <c r="B103" s="712" t="s">
        <v>6072</v>
      </c>
    </row>
    <row r="104" spans="1:5" x14ac:dyDescent="0.35">
      <c r="A104" s="709" t="str">
        <f>IF(C104,"🗹","☐")</f>
        <v>☐</v>
      </c>
      <c r="B104" s="713" t="s">
        <v>6073</v>
      </c>
      <c r="C104" t="b">
        <f>OR(E104:N104)</f>
        <v>0</v>
      </c>
      <c r="D104" s="715" t="s">
        <v>6080</v>
      </c>
      <c r="E104" t="b">
        <f>AND(IFERROR(OR('Badges (Verification)'!W55,'Badges (Verification)'!W54),FALSE),LEN('Badges (Verification)'!W15)&gt;0,LEN('Badges (Verification)'!W16)&gt;0,LEN('Badges (Verification)'!W17)&gt;0,LEN('Badges (Verification)'!W21)&gt;0,LEN('Badges (Verification)'!W22)&gt;0,LEN('Badges (Verification)'!W23)&gt;0,LEN('Badges (Verification)'!X18)&gt;0,LEN('Badges (Verification)'!X24)&gt;0,LEN('Badges (Verification)'!X27)&gt;0,LEN('Badges (Verification)'!X28)&gt;0,LEN('Badges (Verification)'!X29)&gt;0)</f>
        <v>0</v>
      </c>
    </row>
    <row r="105" spans="1:5" x14ac:dyDescent="0.35">
      <c r="B105" s="713" t="s">
        <v>6074</v>
      </c>
    </row>
    <row r="106" spans="1:5" x14ac:dyDescent="0.35">
      <c r="B106" s="713" t="s">
        <v>6075</v>
      </c>
    </row>
    <row r="107" spans="1:5" x14ac:dyDescent="0.35">
      <c r="B107" s="712" t="s">
        <v>6076</v>
      </c>
    </row>
    <row r="108" spans="1:5" x14ac:dyDescent="0.35">
      <c r="A108" s="709" t="str">
        <f>IF(C108,"🗹","☐")</f>
        <v>☐</v>
      </c>
      <c r="B108" s="713" t="s">
        <v>6077</v>
      </c>
      <c r="C108" t="b">
        <f>OR(E108:N108)</f>
        <v>0</v>
      </c>
      <c r="D108" s="715" t="s">
        <v>6080</v>
      </c>
      <c r="E108" t="b">
        <f>AND(IFERROR(OR('Badges (Verification)'!W55,'Badges (Verification)'!W54),FALSE),LEN('Badges (Verification)'!W15)&gt;0,LEN('Badges (Verification)'!W16)&gt;0,LEN('Badges (Verification)'!W17)&gt;0,LEN('Badges (Verification)'!W21)&gt;0,LEN('Badges (Verification)'!W22)&gt;0,LEN('Badges (Verification)'!W23)&gt;0,LEN('Badges (Verification)'!X18)&gt;0,LEN('Badges (Verification)'!X24)&gt;0,LEN('Badges (Verification)'!X27)&gt;0,LEN('Badges (Verification)'!X28)&gt;0,LEN('Badges (Verification)'!X29)&gt;0)</f>
        <v>0</v>
      </c>
    </row>
    <row r="109" spans="1:5" x14ac:dyDescent="0.35">
      <c r="B109" s="713" t="s">
        <v>6078</v>
      </c>
    </row>
    <row r="110" spans="1:5" x14ac:dyDescent="0.35">
      <c r="B110" s="713" t="s">
        <v>6079</v>
      </c>
    </row>
    <row r="111" spans="1:5" x14ac:dyDescent="0.35">
      <c r="B111" s="714" t="s">
        <v>6075</v>
      </c>
    </row>
    <row r="113" spans="1:7" x14ac:dyDescent="0.35">
      <c r="B113" s="682" t="s">
        <v>5931</v>
      </c>
      <c r="D113" s="706"/>
    </row>
    <row r="114" spans="1:7" x14ac:dyDescent="0.35">
      <c r="B114" s="692" t="s">
        <v>5932</v>
      </c>
      <c r="D114" s="707"/>
    </row>
    <row r="115" spans="1:7" x14ac:dyDescent="0.35">
      <c r="B115" s="683" t="s">
        <v>5909</v>
      </c>
      <c r="D115" s="707"/>
    </row>
    <row r="116" spans="1:7" x14ac:dyDescent="0.35">
      <c r="A116" s="709" t="str">
        <f t="shared" ref="A116:A120" ca="1" si="14">IF(C116,"🗹","☐")</f>
        <v>☐</v>
      </c>
      <c r="B116" s="683" t="s">
        <v>5933</v>
      </c>
      <c r="C116" t="b">
        <f t="shared" ref="C116:C120" ca="1" si="15">OR(E116:N116)</f>
        <v>0</v>
      </c>
      <c r="D116" s="707" t="s">
        <v>6032</v>
      </c>
      <c r="E116" s="366" t="b">
        <f ca="1">NOT(Ch8LevelFinal="None")</f>
        <v>0</v>
      </c>
    </row>
    <row r="117" spans="1:7" x14ac:dyDescent="0.35">
      <c r="A117" s="709" t="str">
        <f t="shared" ca="1" si="14"/>
        <v>☐</v>
      </c>
      <c r="B117" s="683" t="s">
        <v>5934</v>
      </c>
      <c r="C117" t="b">
        <f t="shared" ca="1" si="15"/>
        <v>0</v>
      </c>
      <c r="D117" s="707" t="s">
        <v>6032</v>
      </c>
      <c r="E117" s="366" t="b">
        <f ca="1">NOT(Ch8LevelFinal="None")</f>
        <v>0</v>
      </c>
    </row>
    <row r="118" spans="1:7" x14ac:dyDescent="0.35">
      <c r="A118" s="709" t="str">
        <f t="shared" ca="1" si="14"/>
        <v>☐</v>
      </c>
      <c r="B118" s="683" t="s">
        <v>5935</v>
      </c>
      <c r="C118" t="b">
        <f t="shared" ca="1" si="15"/>
        <v>0</v>
      </c>
      <c r="D118" s="707" t="s">
        <v>6032</v>
      </c>
      <c r="E118" s="366" t="b">
        <f ca="1">NOT(Ch8LevelFinal="None")</f>
        <v>0</v>
      </c>
    </row>
    <row r="119" spans="1:7" x14ac:dyDescent="0.35">
      <c r="A119" s="709" t="str">
        <f t="shared" ca="1" si="14"/>
        <v>☐</v>
      </c>
      <c r="B119" s="683" t="s">
        <v>5936</v>
      </c>
      <c r="C119" t="b">
        <f t="shared" ca="1" si="15"/>
        <v>0</v>
      </c>
      <c r="D119" s="707" t="s">
        <v>6032</v>
      </c>
      <c r="E119" s="366" t="b">
        <f ca="1">NOT(Ch8LevelFinal="None")</f>
        <v>0</v>
      </c>
    </row>
    <row r="120" spans="1:7" x14ac:dyDescent="0.35">
      <c r="A120" s="709" t="str">
        <f t="shared" ca="1" si="14"/>
        <v>☐</v>
      </c>
      <c r="B120" s="683" t="s">
        <v>5937</v>
      </c>
      <c r="C120" t="b">
        <f t="shared" ca="1" si="15"/>
        <v>0</v>
      </c>
      <c r="D120" s="707" t="s">
        <v>6032</v>
      </c>
      <c r="E120" s="366" t="b">
        <f ca="1">NOT(Ch8LevelFinal="None")</f>
        <v>0</v>
      </c>
    </row>
    <row r="121" spans="1:7" x14ac:dyDescent="0.35">
      <c r="B121" s="683" t="s">
        <v>5938</v>
      </c>
      <c r="D121" s="707"/>
    </row>
    <row r="122" spans="1:7" x14ac:dyDescent="0.35">
      <c r="B122" s="690" t="s">
        <v>5939</v>
      </c>
      <c r="D122" s="707"/>
    </row>
    <row r="123" spans="1:7" x14ac:dyDescent="0.35">
      <c r="A123" s="709" t="str">
        <f t="shared" ref="A123:A130" ca="1" si="16">IF(C123,"🗹","☐")</f>
        <v>☐</v>
      </c>
      <c r="B123" s="683" t="s">
        <v>5940</v>
      </c>
      <c r="C123" t="b">
        <f t="shared" ref="C123:C130" ca="1" si="17">OR(E123:N123)</f>
        <v>0</v>
      </c>
      <c r="D123" s="708" t="s">
        <v>6033</v>
      </c>
      <c r="E123" s="366" t="b">
        <f ca="1">SUM('Verification Report'!O1791:O1801)&gt;0</f>
        <v>0</v>
      </c>
    </row>
    <row r="124" spans="1:7" x14ac:dyDescent="0.35">
      <c r="A124" s="709" t="str">
        <f t="shared" ca="1" si="16"/>
        <v>☐</v>
      </c>
      <c r="B124" s="683" t="s">
        <v>5941</v>
      </c>
      <c r="C124" t="b">
        <f t="shared" ca="1" si="17"/>
        <v>0</v>
      </c>
      <c r="D124" s="702" t="s">
        <v>6034</v>
      </c>
      <c r="E124" s="366" t="b">
        <f ca="1">SUM('Verification Report'!O1777:O1781)&gt;0</f>
        <v>0</v>
      </c>
      <c r="F124" s="366" t="b">
        <f ca="1">'Verification Report'!O1785&gt;0</f>
        <v>0</v>
      </c>
    </row>
    <row r="125" spans="1:7" x14ac:dyDescent="0.35">
      <c r="A125" s="709" t="str">
        <f t="shared" ca="1" si="16"/>
        <v>☐</v>
      </c>
      <c r="B125" s="683" t="s">
        <v>5942</v>
      </c>
      <c r="C125" t="b">
        <f t="shared" ca="1" si="17"/>
        <v>0</v>
      </c>
      <c r="D125" s="702" t="s">
        <v>6035</v>
      </c>
      <c r="E125" s="366" t="b">
        <f ca="1">'Verification Report'!O149&gt;0</f>
        <v>0</v>
      </c>
      <c r="F125" s="366" t="b">
        <f ca="1">'Verification Report'!O160&gt;0</f>
        <v>0</v>
      </c>
      <c r="G125" s="366" t="b">
        <f ca="1">'Verification Report'!O162&gt;0</f>
        <v>0</v>
      </c>
    </row>
    <row r="126" spans="1:7" x14ac:dyDescent="0.35">
      <c r="A126" s="709" t="str">
        <f t="shared" ca="1" si="16"/>
        <v>☐</v>
      </c>
      <c r="B126" s="683" t="s">
        <v>5943</v>
      </c>
      <c r="C126" t="b">
        <f t="shared" ca="1" si="17"/>
        <v>0</v>
      </c>
      <c r="D126" s="708" t="s">
        <v>6036</v>
      </c>
      <c r="E126" s="366" t="b">
        <f ca="1">SUM('Verification Report'!O1682:O1690)&gt;0</f>
        <v>0</v>
      </c>
    </row>
    <row r="127" spans="1:7" x14ac:dyDescent="0.35">
      <c r="A127" s="709" t="str">
        <f t="shared" ca="1" si="16"/>
        <v>☐</v>
      </c>
      <c r="B127" s="683" t="s">
        <v>5944</v>
      </c>
      <c r="C127" t="b">
        <f t="shared" ca="1" si="17"/>
        <v>0</v>
      </c>
      <c r="D127" s="708" t="s">
        <v>6037</v>
      </c>
      <c r="E127" s="366" t="b">
        <f ca="1">'Verification Report'!O1852&gt;0</f>
        <v>0</v>
      </c>
    </row>
    <row r="128" spans="1:7" x14ac:dyDescent="0.35">
      <c r="A128" s="709" t="str">
        <f t="shared" ca="1" si="16"/>
        <v>☐</v>
      </c>
      <c r="B128" s="683" t="s">
        <v>5945</v>
      </c>
      <c r="C128" t="b">
        <f t="shared" ca="1" si="17"/>
        <v>0</v>
      </c>
      <c r="D128" s="702" t="s">
        <v>6038</v>
      </c>
      <c r="E128" s="366" t="b">
        <f ca="1">'Verification Report'!O1746&gt;0</f>
        <v>0</v>
      </c>
    </row>
    <row r="129" spans="1:6" x14ac:dyDescent="0.35">
      <c r="A129" s="709" t="str">
        <f t="shared" ca="1" si="16"/>
        <v>☐</v>
      </c>
      <c r="B129" s="683" t="s">
        <v>5946</v>
      </c>
      <c r="C129" t="b">
        <f t="shared" ca="1" si="17"/>
        <v>0</v>
      </c>
      <c r="D129" s="702" t="s">
        <v>6039</v>
      </c>
      <c r="E129" s="366" t="b">
        <f ca="1">'Verification Report'!O1862&gt;0</f>
        <v>0</v>
      </c>
    </row>
    <row r="130" spans="1:6" x14ac:dyDescent="0.35">
      <c r="A130" s="709" t="str">
        <f t="shared" ca="1" si="16"/>
        <v>☐</v>
      </c>
      <c r="B130" s="683" t="s">
        <v>5947</v>
      </c>
      <c r="C130" t="b">
        <f t="shared" ca="1" si="17"/>
        <v>0</v>
      </c>
      <c r="D130" s="702" t="s">
        <v>6040</v>
      </c>
      <c r="E130" s="366" t="b">
        <f ca="1">'Verification Report'!O1842&gt;0</f>
        <v>0</v>
      </c>
      <c r="F130" s="366" t="b">
        <f ca="1">SUM('Verification Report'!O1802:O1820)&gt;0</f>
        <v>0</v>
      </c>
    </row>
    <row r="131" spans="1:6" x14ac:dyDescent="0.35">
      <c r="B131" s="690" t="s">
        <v>5948</v>
      </c>
      <c r="D131" s="707"/>
    </row>
    <row r="132" spans="1:6" x14ac:dyDescent="0.35">
      <c r="B132" s="683" t="s">
        <v>5949</v>
      </c>
      <c r="D132" s="707"/>
    </row>
    <row r="133" spans="1:6" x14ac:dyDescent="0.35">
      <c r="A133" s="709" t="str">
        <f ca="1">IF(C133,"🗹","☐")</f>
        <v>☐</v>
      </c>
      <c r="B133" s="683" t="s">
        <v>5928</v>
      </c>
      <c r="C133" t="b">
        <f ca="1">OR(E133:N133)</f>
        <v>0</v>
      </c>
      <c r="D133" s="702" t="s">
        <v>6041</v>
      </c>
      <c r="E133" s="366" t="b">
        <f ca="1">SUM('Verification Report'!O1691:O1707)&gt;0</f>
        <v>0</v>
      </c>
    </row>
    <row r="134" spans="1:6" x14ac:dyDescent="0.35">
      <c r="B134" s="679" t="s">
        <v>5950</v>
      </c>
    </row>
    <row r="136" spans="1:6" x14ac:dyDescent="0.35">
      <c r="B136" s="682" t="s">
        <v>5951</v>
      </c>
      <c r="D136" s="706"/>
    </row>
    <row r="137" spans="1:6" x14ac:dyDescent="0.35">
      <c r="B137" s="693" t="s">
        <v>5952</v>
      </c>
      <c r="D137" s="707"/>
    </row>
    <row r="138" spans="1:6" x14ac:dyDescent="0.35">
      <c r="B138" s="694" t="s">
        <v>5953</v>
      </c>
      <c r="D138" s="707"/>
    </row>
    <row r="139" spans="1:6" x14ac:dyDescent="0.35">
      <c r="A139" s="709" t="str">
        <f t="shared" ref="A139:A140" si="18">IF(C139,"🗹","☐")</f>
        <v>☐</v>
      </c>
      <c r="B139" s="694" t="s">
        <v>5954</v>
      </c>
      <c r="C139" t="b">
        <f t="shared" ref="C139:C140" si="19">OR(E139:N139)</f>
        <v>0</v>
      </c>
      <c r="D139" s="704" t="s">
        <v>6004</v>
      </c>
      <c r="E139" s="366" t="b">
        <f>'Verification Report'!O596&gt;0</f>
        <v>0</v>
      </c>
    </row>
    <row r="140" spans="1:6" x14ac:dyDescent="0.35">
      <c r="A140" s="709" t="str">
        <f t="shared" si="18"/>
        <v>☐</v>
      </c>
      <c r="B140" s="694" t="s">
        <v>5955</v>
      </c>
      <c r="C140" t="b">
        <f t="shared" si="19"/>
        <v>0</v>
      </c>
      <c r="D140" s="703" t="s">
        <v>6042</v>
      </c>
      <c r="E140" s="366" t="b">
        <f>'Verification Report'!W2354=TRUE</f>
        <v>0</v>
      </c>
    </row>
    <row r="141" spans="1:6" x14ac:dyDescent="0.35">
      <c r="B141" s="694" t="s">
        <v>5956</v>
      </c>
      <c r="D141" s="707"/>
    </row>
    <row r="142" spans="1:6" x14ac:dyDescent="0.35">
      <c r="B142" s="694" t="s">
        <v>5957</v>
      </c>
      <c r="D142" s="707"/>
    </row>
    <row r="143" spans="1:6" x14ac:dyDescent="0.35">
      <c r="A143" s="709" t="str">
        <f t="shared" ref="A143:A144" si="20">IF(C143,"🗹","☐")</f>
        <v>☐</v>
      </c>
      <c r="B143" s="694" t="s">
        <v>5958</v>
      </c>
      <c r="C143" t="b">
        <f t="shared" ref="C143:C144" si="21">OR(E143:N143)</f>
        <v>0</v>
      </c>
      <c r="D143" s="704" t="s">
        <v>6004</v>
      </c>
      <c r="E143" s="366" t="b">
        <f>'Verification Report'!O596&gt;0</f>
        <v>0</v>
      </c>
    </row>
    <row r="144" spans="1:6" x14ac:dyDescent="0.35">
      <c r="A144" s="709" t="str">
        <f t="shared" si="20"/>
        <v>☐</v>
      </c>
      <c r="B144" s="694" t="s">
        <v>5959</v>
      </c>
      <c r="C144" t="b">
        <f t="shared" si="21"/>
        <v>0</v>
      </c>
      <c r="D144" s="703" t="s">
        <v>6043</v>
      </c>
      <c r="E144" s="366" t="b">
        <f>SUM('Verification Report'!O681:O693)&gt;0</f>
        <v>0</v>
      </c>
    </row>
    <row r="145" spans="1:7" x14ac:dyDescent="0.35">
      <c r="B145" s="695" t="s">
        <v>5960</v>
      </c>
      <c r="D145" s="705"/>
    </row>
    <row r="146" spans="1:7" x14ac:dyDescent="0.35">
      <c r="A146" s="709" t="str">
        <f t="shared" ref="A146:A147" si="22">IF(C146,"🗹","☐")</f>
        <v>☐</v>
      </c>
      <c r="B146" s="694" t="s">
        <v>5961</v>
      </c>
      <c r="C146" t="b">
        <f t="shared" ref="C146:C147" si="23">OR(E146:N146)</f>
        <v>0</v>
      </c>
      <c r="D146" s="704" t="s">
        <v>6044</v>
      </c>
      <c r="E146" s="366" t="b">
        <f>'Verification Report'!W593=TRUE</f>
        <v>0</v>
      </c>
    </row>
    <row r="147" spans="1:7" x14ac:dyDescent="0.35">
      <c r="A147" s="709" t="str">
        <f t="shared" si="22"/>
        <v>☐</v>
      </c>
      <c r="B147" s="696" t="s">
        <v>5962</v>
      </c>
      <c r="C147" t="b">
        <f t="shared" si="23"/>
        <v>0</v>
      </c>
      <c r="D147" s="704" t="s">
        <v>6004</v>
      </c>
      <c r="E147" s="366" t="b">
        <f>'Verification Report'!O596&gt;0</f>
        <v>0</v>
      </c>
    </row>
    <row r="149" spans="1:7" x14ac:dyDescent="0.35">
      <c r="B149" s="697" t="s">
        <v>5963</v>
      </c>
      <c r="D149" s="706"/>
    </row>
    <row r="150" spans="1:7" x14ac:dyDescent="0.35">
      <c r="B150" s="692" t="s">
        <v>5964</v>
      </c>
      <c r="D150" s="707"/>
    </row>
    <row r="151" spans="1:7" x14ac:dyDescent="0.35">
      <c r="B151" s="683" t="s">
        <v>5965</v>
      </c>
      <c r="D151" s="707"/>
    </row>
    <row r="152" spans="1:7" x14ac:dyDescent="0.35">
      <c r="B152" s="683" t="s">
        <v>5966</v>
      </c>
      <c r="D152" s="707"/>
    </row>
    <row r="153" spans="1:7" x14ac:dyDescent="0.35">
      <c r="B153" s="683" t="s">
        <v>5967</v>
      </c>
      <c r="D153" s="707"/>
    </row>
    <row r="154" spans="1:7" x14ac:dyDescent="0.35">
      <c r="B154" s="690" t="s">
        <v>5968</v>
      </c>
      <c r="D154" s="707"/>
    </row>
    <row r="155" spans="1:7" x14ac:dyDescent="0.35">
      <c r="A155" s="709" t="str">
        <f t="shared" ref="A155:A159" ca="1" si="24">IF(C155,"🗹","☐")</f>
        <v>☐</v>
      </c>
      <c r="B155" s="683" t="s">
        <v>5969</v>
      </c>
      <c r="C155" t="b">
        <f t="shared" ref="C155:C159" ca="1" si="25">OR(E155:N155)</f>
        <v>0</v>
      </c>
      <c r="D155" s="708" t="s">
        <v>6045</v>
      </c>
      <c r="E155" s="366" t="b">
        <f ca="1">'Verification Report'!O2243&gt;0</f>
        <v>0</v>
      </c>
    </row>
    <row r="156" spans="1:7" x14ac:dyDescent="0.35">
      <c r="A156" s="709" t="str">
        <f t="shared" ca="1" si="24"/>
        <v>☐</v>
      </c>
      <c r="B156" s="698" t="s">
        <v>5970</v>
      </c>
      <c r="C156" t="b">
        <f t="shared" ca="1" si="25"/>
        <v>0</v>
      </c>
      <c r="D156" s="702" t="s">
        <v>6046</v>
      </c>
      <c r="E156" s="366" t="b">
        <f ca="1">SUM('Verification Report'!O19:O56)&gt;0</f>
        <v>0</v>
      </c>
      <c r="F156" s="366" t="b">
        <f ca="1">SUM('Verification Report'!O282)&gt;0</f>
        <v>0</v>
      </c>
      <c r="G156" s="366" t="b">
        <f ca="1">SUM('Verification Report'!O318:O326)&gt;0</f>
        <v>0</v>
      </c>
    </row>
    <row r="157" spans="1:7" x14ac:dyDescent="0.35">
      <c r="A157" s="709" t="str">
        <f t="shared" ca="1" si="24"/>
        <v>☐</v>
      </c>
      <c r="B157" s="683" t="s">
        <v>5971</v>
      </c>
      <c r="C157" t="b">
        <f t="shared" ca="1" si="25"/>
        <v>0</v>
      </c>
      <c r="D157" s="702" t="s">
        <v>6047</v>
      </c>
      <c r="E157" s="366" t="b">
        <f ca="1">'Verification Report'!O636&gt;0</f>
        <v>0</v>
      </c>
      <c r="F157" s="366" t="b">
        <f>SUM('Verification Report'!O261:O274)&gt;0</f>
        <v>0</v>
      </c>
      <c r="G157" s="366" t="b">
        <f ca="1">SUM('Verification Report'!O283:O292)&gt;0</f>
        <v>0</v>
      </c>
    </row>
    <row r="158" spans="1:7" x14ac:dyDescent="0.35">
      <c r="A158" s="709" t="str">
        <f t="shared" si="24"/>
        <v>☐</v>
      </c>
      <c r="B158" s="683" t="s">
        <v>5915</v>
      </c>
      <c r="C158" t="b">
        <f t="shared" si="25"/>
        <v>0</v>
      </c>
      <c r="D158" s="707" t="s">
        <v>6083</v>
      </c>
      <c r="E158" s="366" t="b">
        <f>SUM('Verification Report'!O1461:O1466)&gt;0</f>
        <v>0</v>
      </c>
      <c r="F158" s="366" t="b">
        <f>'Verification Report'!O1480&gt;0</f>
        <v>0</v>
      </c>
    </row>
    <row r="159" spans="1:7" x14ac:dyDescent="0.35">
      <c r="A159" s="709" t="str">
        <f t="shared" ca="1" si="24"/>
        <v>☐</v>
      </c>
      <c r="B159" s="683" t="s">
        <v>5972</v>
      </c>
      <c r="C159" t="b">
        <f t="shared" ca="1" si="25"/>
        <v>0</v>
      </c>
      <c r="D159" s="702" t="s">
        <v>6049</v>
      </c>
      <c r="E159" s="366" t="b">
        <f ca="1">SUM('Verification Report'!O1105:O1138)&gt;0</f>
        <v>0</v>
      </c>
      <c r="F159" s="366" t="b">
        <f ca="1">'Verification Report'!O1357&gt;0</f>
        <v>0</v>
      </c>
      <c r="G159" s="366" t="b">
        <f>'Verification Report'!O1448&gt;0</f>
        <v>0</v>
      </c>
    </row>
    <row r="160" spans="1:7" x14ac:dyDescent="0.35">
      <c r="B160" s="683" t="s">
        <v>5973</v>
      </c>
      <c r="D160" s="707"/>
    </row>
    <row r="161" spans="1:6" x14ac:dyDescent="0.35">
      <c r="A161" s="709" t="str">
        <f t="shared" ref="A161:A169" si="26">IF(C161,"🗹","☐")</f>
        <v>☐</v>
      </c>
      <c r="B161" s="683" t="s">
        <v>5974</v>
      </c>
      <c r="C161" t="b">
        <f t="shared" ref="C161:C169" si="27">OR(E161:N161)</f>
        <v>0</v>
      </c>
      <c r="D161" s="702" t="s">
        <v>6050</v>
      </c>
      <c r="E161" s="366" t="b">
        <f>'Verification Report'!O2232&gt;0</f>
        <v>0</v>
      </c>
      <c r="F161" s="366" t="b">
        <f>'Verification Report'!O2202&gt;0</f>
        <v>0</v>
      </c>
    </row>
    <row r="162" spans="1:6" x14ac:dyDescent="0.35">
      <c r="A162" s="709" t="str">
        <f t="shared" ca="1" si="26"/>
        <v>☐</v>
      </c>
      <c r="B162" s="683" t="s">
        <v>5975</v>
      </c>
      <c r="C162" t="b">
        <f t="shared" ca="1" si="27"/>
        <v>0</v>
      </c>
      <c r="D162" s="702" t="s">
        <v>6051</v>
      </c>
      <c r="E162" s="366" t="b">
        <f ca="1">'Verification Report'!O325&gt;0</f>
        <v>0</v>
      </c>
      <c r="F162" s="366" t="b">
        <f>'Verification Report'!O1431&gt;0</f>
        <v>0</v>
      </c>
    </row>
    <row r="163" spans="1:6" x14ac:dyDescent="0.35">
      <c r="A163" s="709" t="str">
        <f t="shared" ca="1" si="26"/>
        <v>☐</v>
      </c>
      <c r="B163" s="683" t="s">
        <v>5976</v>
      </c>
      <c r="C163" t="b">
        <f t="shared" ca="1" si="27"/>
        <v>0</v>
      </c>
      <c r="D163" s="702" t="s">
        <v>6084</v>
      </c>
      <c r="E163" s="366" t="b">
        <f ca="1">'Verification Report'!O837&gt;0</f>
        <v>0</v>
      </c>
    </row>
    <row r="164" spans="1:6" x14ac:dyDescent="0.35">
      <c r="A164" s="709" t="str">
        <f t="shared" si="26"/>
        <v>☐</v>
      </c>
      <c r="B164" s="683" t="s">
        <v>5977</v>
      </c>
      <c r="C164" t="b">
        <f t="shared" si="27"/>
        <v>0</v>
      </c>
      <c r="D164" s="702" t="s">
        <v>6053</v>
      </c>
      <c r="E164" s="366" t="b">
        <f>'Verification Report'!O2239&gt;0</f>
        <v>0</v>
      </c>
    </row>
    <row r="165" spans="1:6" x14ac:dyDescent="0.35">
      <c r="A165" s="709" t="str">
        <f t="shared" ca="1" si="26"/>
        <v>☐</v>
      </c>
      <c r="B165" s="683" t="s">
        <v>5978</v>
      </c>
      <c r="C165" t="b">
        <f t="shared" ca="1" si="27"/>
        <v>0</v>
      </c>
      <c r="D165" s="702" t="s">
        <v>6054</v>
      </c>
      <c r="E165" s="366" t="b">
        <f ca="1">SUM('Verification Report'!O2048:O2103)&gt;0</f>
        <v>0</v>
      </c>
    </row>
    <row r="166" spans="1:6" x14ac:dyDescent="0.35">
      <c r="A166" s="709" t="str">
        <f t="shared" ca="1" si="26"/>
        <v>☐</v>
      </c>
      <c r="B166" s="683" t="s">
        <v>5919</v>
      </c>
      <c r="C166" t="b">
        <f t="shared" ca="1" si="27"/>
        <v>0</v>
      </c>
      <c r="D166" s="702" t="s">
        <v>6085</v>
      </c>
      <c r="E166" s="366" t="b">
        <f>LEN('Verification Report'!W860)&gt;0</f>
        <v>0</v>
      </c>
      <c r="F166" s="366" t="b">
        <f ca="1">SUM('Verification Report'!O1424:O1447)&gt;0</f>
        <v>0</v>
      </c>
    </row>
    <row r="167" spans="1:6" x14ac:dyDescent="0.35">
      <c r="A167" s="709" t="str">
        <f t="shared" ca="1" si="26"/>
        <v>☐</v>
      </c>
      <c r="B167" s="683" t="s">
        <v>5979</v>
      </c>
      <c r="C167" t="b">
        <f t="shared" ca="1" si="27"/>
        <v>0</v>
      </c>
      <c r="D167" s="702" t="s">
        <v>6056</v>
      </c>
      <c r="E167" s="366" t="b">
        <f ca="1">SUM('Verification Report'!O318:O326)&gt;0</f>
        <v>0</v>
      </c>
    </row>
    <row r="168" spans="1:6" x14ac:dyDescent="0.35">
      <c r="A168" s="709" t="str">
        <f t="shared" si="26"/>
        <v>☐</v>
      </c>
      <c r="B168" s="683" t="s">
        <v>5980</v>
      </c>
      <c r="C168" t="b">
        <f t="shared" si="27"/>
        <v>0</v>
      </c>
      <c r="D168" s="702" t="s">
        <v>5992</v>
      </c>
      <c r="E168" s="366" t="b">
        <f>'Verification Report'!O1534&gt;0</f>
        <v>0</v>
      </c>
    </row>
    <row r="169" spans="1:6" x14ac:dyDescent="0.35">
      <c r="A169" s="709" t="str">
        <f t="shared" ca="1" si="26"/>
        <v>☐</v>
      </c>
      <c r="B169" s="683" t="s">
        <v>5981</v>
      </c>
      <c r="C169" t="b">
        <f t="shared" ca="1" si="27"/>
        <v>0</v>
      </c>
      <c r="D169" s="702" t="s">
        <v>6057</v>
      </c>
      <c r="E169" s="366" t="b">
        <f ca="1">SUM('Verification Report'!O1823:O1835)&gt;0</f>
        <v>0</v>
      </c>
    </row>
    <row r="170" spans="1:6" x14ac:dyDescent="0.35">
      <c r="B170" s="690" t="s">
        <v>5982</v>
      </c>
      <c r="D170" s="707"/>
    </row>
    <row r="171" spans="1:6" x14ac:dyDescent="0.35">
      <c r="A171" s="709" t="str">
        <f>IF(C171,"🗹","☐")</f>
        <v>☐</v>
      </c>
      <c r="B171" s="683" t="s">
        <v>5983</v>
      </c>
      <c r="C171" t="b">
        <f>OR(E171:N171)</f>
        <v>0</v>
      </c>
      <c r="D171" s="702" t="s">
        <v>6058</v>
      </c>
      <c r="E171" s="366" t="b">
        <f>'Verification Report'!O2303&gt;0</f>
        <v>0</v>
      </c>
      <c r="F171" s="366" t="b">
        <f>'Verification Report'!O2420&gt;0</f>
        <v>0</v>
      </c>
    </row>
    <row r="172" spans="1:6" x14ac:dyDescent="0.35">
      <c r="B172" s="688" t="s">
        <v>5984</v>
      </c>
      <c r="D172" s="707"/>
    </row>
    <row r="173" spans="1:6" x14ac:dyDescent="0.35">
      <c r="B173" s="699"/>
    </row>
    <row r="174" spans="1:6" x14ac:dyDescent="0.35">
      <c r="B174" s="682" t="s">
        <v>5985</v>
      </c>
      <c r="D174" s="706"/>
    </row>
    <row r="175" spans="1:6" ht="13.4" customHeight="1" x14ac:dyDescent="0.35">
      <c r="B175" s="700" t="s">
        <v>5986</v>
      </c>
      <c r="D175" s="707"/>
    </row>
    <row r="176" spans="1:6" ht="15.65" customHeight="1" x14ac:dyDescent="0.35">
      <c r="B176" s="686" t="s">
        <v>5987</v>
      </c>
      <c r="D176" s="707"/>
    </row>
    <row r="177" spans="1:5" x14ac:dyDescent="0.35">
      <c r="B177" s="686" t="s">
        <v>5988</v>
      </c>
      <c r="D177" s="707"/>
    </row>
    <row r="178" spans="1:5" x14ac:dyDescent="0.35">
      <c r="A178" s="709" t="str">
        <f ca="1">IF(C178,"🗹","☐")</f>
        <v>☐</v>
      </c>
      <c r="B178" s="688" t="s">
        <v>5989</v>
      </c>
      <c r="C178" t="b">
        <f ca="1">OR(E178:N178)</f>
        <v>0</v>
      </c>
      <c r="D178" s="707" t="s">
        <v>5993</v>
      </c>
      <c r="E178" s="366" t="b">
        <f ca="1">NOT(Points!AC22="None")</f>
        <v>0</v>
      </c>
    </row>
  </sheetData>
  <sheetProtection algorithmName="SHA-512" hashValue="xMJDrXInsXPpZIVVBTaJcwGnOgIfZn5M8uLO/uR8UK9zfFp3g/mvWAjKQTgSuib4yBDCt2Mcg7QJBtFDJ+GNKA==" saltValue="/VhLh61fmwRkbyY9ezyg2Q==" spinCount="100000" sheet="1" objects="1" scenarios="1" selectLockedCells="1"/>
  <mergeCells count="1">
    <mergeCell ref="B3:B14"/>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L185"/>
  <sheetViews>
    <sheetView showGridLines="0" zoomScaleNormal="100" workbookViewId="0">
      <selection activeCell="S48" sqref="S48"/>
    </sheetView>
  </sheetViews>
  <sheetFormatPr defaultColWidth="9.1796875" defaultRowHeight="14.5" x14ac:dyDescent="0.35"/>
  <cols>
    <col min="1" max="2" width="10.7265625" customWidth="1"/>
    <col min="3" max="3" width="43.26953125" customWidth="1"/>
    <col min="4" max="9" width="15.7265625" customWidth="1"/>
    <col min="10" max="10" width="30.7265625" hidden="1" customWidth="1"/>
    <col min="11" max="12" width="15.7265625" hidden="1" customWidth="1"/>
  </cols>
  <sheetData>
    <row r="1" spans="1:12" x14ac:dyDescent="0.35">
      <c r="D1" s="834" t="s">
        <v>4873</v>
      </c>
      <c r="E1" s="834"/>
      <c r="F1" s="834"/>
      <c r="G1" s="834"/>
      <c r="H1" s="834"/>
      <c r="I1" s="834"/>
    </row>
    <row r="2" spans="1:12" x14ac:dyDescent="0.35">
      <c r="D2" s="834"/>
      <c r="E2" s="834"/>
      <c r="F2" s="834"/>
      <c r="G2" s="834"/>
      <c r="H2" s="834"/>
      <c r="I2" s="834"/>
    </row>
    <row r="3" spans="1:12" x14ac:dyDescent="0.35">
      <c r="D3" s="834"/>
      <c r="E3" s="834"/>
      <c r="F3" s="834"/>
      <c r="G3" s="834"/>
      <c r="H3" s="834"/>
      <c r="I3" s="834"/>
    </row>
    <row r="4" spans="1:12" x14ac:dyDescent="0.35">
      <c r="D4" s="834"/>
      <c r="E4" s="834"/>
      <c r="F4" s="834"/>
      <c r="G4" s="834"/>
      <c r="H4" s="834"/>
      <c r="I4" s="834"/>
    </row>
    <row r="5" spans="1:12" x14ac:dyDescent="0.35">
      <c r="D5" s="834"/>
      <c r="E5" s="834"/>
      <c r="F5" s="834"/>
      <c r="G5" s="834"/>
      <c r="H5" s="834"/>
      <c r="I5" s="834"/>
    </row>
    <row r="6" spans="1:12" ht="18.5" x14ac:dyDescent="0.45">
      <c r="A6" s="435"/>
      <c r="B6" s="435"/>
      <c r="C6" s="10" t="s">
        <v>5796</v>
      </c>
      <c r="D6" s="435"/>
      <c r="E6" s="435"/>
      <c r="F6" s="435"/>
      <c r="G6" s="435"/>
      <c r="H6" s="435"/>
      <c r="I6" s="435"/>
      <c r="J6" s="21" t="s">
        <v>247</v>
      </c>
      <c r="K6" s="21" t="s">
        <v>247</v>
      </c>
      <c r="L6" s="21" t="s">
        <v>247</v>
      </c>
    </row>
    <row r="8" spans="1:12" x14ac:dyDescent="0.35">
      <c r="A8" s="1160" t="s">
        <v>3838</v>
      </c>
      <c r="B8" s="1160"/>
      <c r="C8" s="1159" t="str">
        <f>IF(dstBatch,"See Batch Submission",IF('Overview (Verification)'!P8="","None entered on ""Overview (Verification)"" Sheet",'Overview (Verification)'!P8))</f>
        <v>None entered on "Overview (Verification)" Sheet</v>
      </c>
      <c r="D8" s="1159"/>
      <c r="F8" s="379" t="s">
        <v>3839</v>
      </c>
      <c r="G8" s="1179" t="str">
        <f ca="1">Points!R22</f>
        <v>Bronze</v>
      </c>
      <c r="H8" s="1179"/>
      <c r="I8" s="1179"/>
    </row>
    <row r="9" spans="1:12" ht="3" customHeight="1" x14ac:dyDescent="0.35">
      <c r="A9" s="46"/>
      <c r="B9" s="46"/>
      <c r="C9" s="3"/>
      <c r="D9" s="3"/>
      <c r="F9" s="379"/>
    </row>
    <row r="10" spans="1:12" x14ac:dyDescent="0.35">
      <c r="A10" s="1160" t="s">
        <v>3840</v>
      </c>
      <c r="B10" s="1160"/>
      <c r="C10" s="1159" t="str">
        <f>IF('Overview (Verification)'!P10="","None entered on ""Overview (Verification)"" Sheet",'Overview (Verification)'!P10)</f>
        <v>None entered on "Overview (Verification)" Sheet</v>
      </c>
      <c r="D10" s="1159"/>
      <c r="F10" s="379" t="s">
        <v>3841</v>
      </c>
      <c r="G10" s="768" t="str">
        <f>'Overview (Verification)'!P18</f>
        <v>Single-Family</v>
      </c>
      <c r="H10" s="768"/>
      <c r="I10" s="768"/>
    </row>
    <row r="11" spans="1:12" ht="3" customHeight="1" x14ac:dyDescent="0.35">
      <c r="A11" s="444"/>
      <c r="B11" s="444"/>
      <c r="C11" s="3"/>
      <c r="D11" s="391"/>
      <c r="F11" s="379"/>
      <c r="G11" s="365"/>
      <c r="H11" s="365"/>
      <c r="I11" s="365"/>
    </row>
    <row r="12" spans="1:12" x14ac:dyDescent="0.35">
      <c r="A12" s="1160" t="s">
        <v>3987</v>
      </c>
      <c r="B12" s="1160"/>
      <c r="C12" s="1159" t="str">
        <f>IF(dstBatch,"See Batch Submission",IF('Overview (Verification)'!P13="","None entered on ""Overview (Verification)"" Sheet",'Overview (Verification)'!P11&amp;", "&amp;'Overview (Verification)'!P13&amp;", "&amp;'Overview (Verification)'!P14&amp;"  "&amp;'Overview (Verification)'!P16))</f>
        <v>None entered on "Overview (Verification)" Sheet</v>
      </c>
      <c r="D12" s="1159"/>
      <c r="F12" s="379" t="s">
        <v>156</v>
      </c>
      <c r="G12" s="1178">
        <f>IF('Overview (Verification)'!P19&lt;&gt;"",'Overview (Verification)'!P19,1)</f>
        <v>1</v>
      </c>
      <c r="H12" s="1178"/>
      <c r="I12" s="1178"/>
    </row>
    <row r="13" spans="1:12" ht="3" customHeight="1" x14ac:dyDescent="0.35">
      <c r="A13" s="444"/>
      <c r="B13" s="444"/>
      <c r="C13" s="3"/>
      <c r="D13" s="391"/>
      <c r="F13" s="379"/>
      <c r="G13" s="365"/>
      <c r="H13" s="365"/>
      <c r="I13" s="365"/>
    </row>
    <row r="14" spans="1:12" x14ac:dyDescent="0.35">
      <c r="A14" s="1160" t="s">
        <v>130</v>
      </c>
      <c r="B14" s="1160"/>
      <c r="C14" s="1159" t="str">
        <f>IF('Overview (Verification)'!P12="","None entered on ""Overview (Verification)"" Sheet",'Overview (Verification)'!P12)</f>
        <v>None entered on "Overview (Verification)" Sheet</v>
      </c>
      <c r="D14" s="1159"/>
      <c r="F14" s="379" t="s">
        <v>4087</v>
      </c>
      <c r="G14" s="768" t="str">
        <f>'Overview (Verification)'!P26</f>
        <v/>
      </c>
      <c r="H14" s="768"/>
      <c r="I14" s="768"/>
    </row>
    <row r="15" spans="1:12" ht="3" customHeight="1" x14ac:dyDescent="0.35">
      <c r="A15" s="444"/>
      <c r="B15" s="444"/>
      <c r="C15" s="3"/>
      <c r="D15" s="391"/>
      <c r="F15" s="379"/>
      <c r="G15" s="365"/>
      <c r="H15" s="365"/>
      <c r="I15" s="365"/>
    </row>
    <row r="16" spans="1:12" x14ac:dyDescent="0.35">
      <c r="A16" s="1160" t="s">
        <v>3617</v>
      </c>
      <c r="B16" s="1160"/>
      <c r="C16" s="1159" t="str">
        <f>'Overview (Verification)'!U11&amp;" "&amp;'Overview (Verification)'!V11&amp;" "&amp;'Overview (Verification)'!W11&amp;" "&amp;'Overview (Verification)'!Y11</f>
        <v>!! !! !! !!</v>
      </c>
      <c r="D16" s="1159"/>
      <c r="F16" s="379" t="s">
        <v>3842</v>
      </c>
      <c r="G16" s="768" t="str">
        <f>'Overview (Verification)'!P30</f>
        <v/>
      </c>
      <c r="H16" s="768"/>
      <c r="I16" s="768"/>
    </row>
    <row r="17" spans="1:11" ht="3" customHeight="1" x14ac:dyDescent="0.35">
      <c r="C17" s="2"/>
      <c r="D17" s="364"/>
      <c r="F17" s="379"/>
      <c r="G17" s="365"/>
      <c r="H17" s="365"/>
      <c r="I17" s="365"/>
    </row>
    <row r="18" spans="1:11" ht="14.5" customHeight="1" x14ac:dyDescent="0.35">
      <c r="C18" s="1162" t="s">
        <v>3991</v>
      </c>
      <c r="D18" s="1163"/>
      <c r="F18" s="1162" t="s">
        <v>3992</v>
      </c>
      <c r="G18" s="1163"/>
      <c r="H18" s="1163"/>
      <c r="I18" s="1163"/>
      <c r="K18" t="b">
        <f>OR(K57:K136)</f>
        <v>0</v>
      </c>
    </row>
    <row r="19" spans="1:11" x14ac:dyDescent="0.35">
      <c r="A19" s="366"/>
      <c r="B19" s="366"/>
      <c r="C19" s="366"/>
      <c r="D19" s="366"/>
      <c r="E19" s="366"/>
      <c r="F19" s="366"/>
      <c r="G19" s="366"/>
      <c r="H19" s="366"/>
      <c r="I19" s="366"/>
    </row>
    <row r="20" spans="1:11" x14ac:dyDescent="0.35">
      <c r="A20" s="366"/>
      <c r="B20" s="366"/>
      <c r="C20" s="366"/>
      <c r="D20" s="366"/>
      <c r="E20" s="1164" t="str">
        <f>IF('Verification Report'!L5="Rough","Rough Points claimed by","NO LONGER VALID")</f>
        <v>NO LONGER VALID</v>
      </c>
      <c r="F20" s="366"/>
      <c r="G20" s="366"/>
      <c r="H20" s="366"/>
      <c r="I20" s="366"/>
    </row>
    <row r="21" spans="1:11" x14ac:dyDescent="0.35">
      <c r="A21" s="366"/>
      <c r="B21" s="366"/>
      <c r="C21" s="366"/>
      <c r="E21" s="1165"/>
      <c r="F21" s="366"/>
      <c r="G21" s="366"/>
      <c r="H21" s="366"/>
      <c r="I21" s="366"/>
    </row>
    <row r="22" spans="1:11" ht="15" customHeight="1" x14ac:dyDescent="0.35">
      <c r="A22" s="366"/>
      <c r="B22" s="366"/>
      <c r="C22" s="351" t="s">
        <v>3843</v>
      </c>
      <c r="D22" s="367" t="s">
        <v>3844</v>
      </c>
      <c r="E22" s="367" t="s">
        <v>3539</v>
      </c>
      <c r="F22" s="351" t="s">
        <v>3845</v>
      </c>
      <c r="G22" s="351" t="s">
        <v>3846</v>
      </c>
      <c r="H22" s="351" t="s">
        <v>3847</v>
      </c>
      <c r="I22" s="351" t="s">
        <v>3848</v>
      </c>
    </row>
    <row r="23" spans="1:11" ht="3" customHeight="1" x14ac:dyDescent="0.35">
      <c r="A23" s="366"/>
      <c r="B23" s="366"/>
      <c r="C23" s="2"/>
      <c r="D23" s="41"/>
      <c r="E23" s="21"/>
    </row>
    <row r="24" spans="1:11" ht="15" customHeight="1" x14ac:dyDescent="0.35">
      <c r="A24" s="366"/>
      <c r="B24" s="366"/>
      <c r="C24" s="368" t="s">
        <v>3849</v>
      </c>
      <c r="D24" s="369">
        <f ca="1">'Design Summ.'!I13</f>
        <v>57</v>
      </c>
      <c r="E24" s="370">
        <f ca="1">Ch5PointsFinal</f>
        <v>0</v>
      </c>
      <c r="F24" s="370">
        <v>50</v>
      </c>
      <c r="G24" s="370">
        <v>64</v>
      </c>
      <c r="H24" s="370">
        <v>93</v>
      </c>
      <c r="I24" s="370">
        <v>121</v>
      </c>
    </row>
    <row r="25" spans="1:11" ht="15" customHeight="1" x14ac:dyDescent="0.35">
      <c r="A25" s="366"/>
      <c r="B25" s="366"/>
      <c r="C25" s="371" t="s">
        <v>3850</v>
      </c>
      <c r="D25" s="372">
        <f ca="1">'Design Summ.'!I14</f>
        <v>54</v>
      </c>
      <c r="E25" s="373">
        <f ca="1">Ch6PointsFinal</f>
        <v>0</v>
      </c>
      <c r="F25" s="373">
        <v>43</v>
      </c>
      <c r="G25" s="373">
        <v>59</v>
      </c>
      <c r="H25" s="373">
        <v>89</v>
      </c>
      <c r="I25" s="373">
        <v>119</v>
      </c>
    </row>
    <row r="26" spans="1:11" ht="15" customHeight="1" x14ac:dyDescent="0.35">
      <c r="A26" s="366"/>
      <c r="B26" s="366"/>
      <c r="C26" s="371" t="s">
        <v>3851</v>
      </c>
      <c r="D26" s="372">
        <f ca="1">'Design Summ.'!I15</f>
        <v>60</v>
      </c>
      <c r="E26" s="373">
        <f ca="1">Ch7PointsFinal</f>
        <v>0</v>
      </c>
      <c r="F26" s="373">
        <v>30</v>
      </c>
      <c r="G26" s="373">
        <v>45</v>
      </c>
      <c r="H26" s="373">
        <v>60</v>
      </c>
      <c r="I26" s="373">
        <v>70</v>
      </c>
    </row>
    <row r="27" spans="1:11" ht="15" customHeight="1" x14ac:dyDescent="0.35">
      <c r="A27" s="366"/>
      <c r="B27" s="366"/>
      <c r="C27" s="371" t="s">
        <v>3852</v>
      </c>
      <c r="D27" s="372">
        <f ca="1">'Design Summ.'!I16</f>
        <v>42</v>
      </c>
      <c r="E27" s="373">
        <f ca="1">Ch8PointsFinal</f>
        <v>0</v>
      </c>
      <c r="F27" s="373">
        <v>25</v>
      </c>
      <c r="G27" s="373">
        <v>39</v>
      </c>
      <c r="H27" s="373">
        <v>67</v>
      </c>
      <c r="I27" s="373">
        <v>92</v>
      </c>
    </row>
    <row r="28" spans="1:11" ht="15" customHeight="1" x14ac:dyDescent="0.35">
      <c r="A28" s="366"/>
      <c r="B28" s="366"/>
      <c r="C28" s="371" t="s">
        <v>3853</v>
      </c>
      <c r="D28" s="372">
        <f ca="1">'Design Summ.'!I17</f>
        <v>31</v>
      </c>
      <c r="E28" s="373">
        <f ca="1">Ch9PointsFinal</f>
        <v>0</v>
      </c>
      <c r="F28" s="373">
        <v>25</v>
      </c>
      <c r="G28" s="373">
        <v>42</v>
      </c>
      <c r="H28" s="373">
        <v>69</v>
      </c>
      <c r="I28" s="373">
        <v>97</v>
      </c>
    </row>
    <row r="29" spans="1:11" ht="15" customHeight="1" x14ac:dyDescent="0.35">
      <c r="A29" s="366"/>
      <c r="B29" s="366"/>
      <c r="C29" s="374" t="s">
        <v>3854</v>
      </c>
      <c r="D29" s="375">
        <f>'Design Summ.'!I18</f>
        <v>14</v>
      </c>
      <c r="E29" s="375">
        <f>Ch10PointsFinal</f>
        <v>2</v>
      </c>
      <c r="F29" s="376">
        <v>8</v>
      </c>
      <c r="G29" s="376">
        <v>10</v>
      </c>
      <c r="H29" s="376">
        <v>11</v>
      </c>
      <c r="I29" s="376">
        <v>12</v>
      </c>
    </row>
    <row r="30" spans="1:11" ht="3" customHeight="1" x14ac:dyDescent="0.35">
      <c r="A30" s="366"/>
      <c r="B30" s="366"/>
      <c r="C30" s="377"/>
      <c r="D30" s="378"/>
      <c r="E30" s="366"/>
      <c r="F30" s="366"/>
      <c r="G30" s="366"/>
      <c r="H30" s="366"/>
      <c r="I30" s="366"/>
    </row>
    <row r="31" spans="1:11" ht="3" customHeight="1" x14ac:dyDescent="0.35">
      <c r="A31" s="366"/>
      <c r="B31" s="366"/>
      <c r="C31" s="366"/>
      <c r="D31" s="378"/>
      <c r="E31" s="366"/>
      <c r="F31" s="366"/>
      <c r="G31" s="366"/>
      <c r="H31" s="366"/>
      <c r="I31" s="366"/>
    </row>
    <row r="32" spans="1:11" ht="15" customHeight="1" x14ac:dyDescent="0.35">
      <c r="A32" s="366"/>
      <c r="B32" s="366"/>
      <c r="C32" s="350" t="s">
        <v>3855</v>
      </c>
      <c r="D32" s="20">
        <f ca="1">'Design Summ.'!I21</f>
        <v>258</v>
      </c>
      <c r="E32" s="20">
        <f ca="1">SUM(E24:E29)</f>
        <v>2</v>
      </c>
      <c r="F32" s="20">
        <f>SUM(F24:F29)+Points!C22</f>
        <v>231</v>
      </c>
      <c r="G32" s="20">
        <f>SUM(G24:G29)+Points!D22</f>
        <v>334</v>
      </c>
      <c r="H32" s="20">
        <f>SUM(H24:H29)+Points!E22</f>
        <v>489</v>
      </c>
      <c r="I32" s="20">
        <f>SUM(I24:I29)+Points!F22</f>
        <v>611</v>
      </c>
    </row>
    <row r="33" spans="1:9" ht="3" customHeight="1" x14ac:dyDescent="0.35">
      <c r="A33" s="366"/>
      <c r="B33" s="366"/>
      <c r="C33" s="377"/>
      <c r="D33" s="378"/>
      <c r="E33" s="366"/>
      <c r="F33" s="366"/>
      <c r="G33" s="366"/>
      <c r="H33" s="366"/>
      <c r="I33" s="366"/>
    </row>
    <row r="34" spans="1:9" ht="15" customHeight="1" x14ac:dyDescent="0.35">
      <c r="A34" s="366"/>
      <c r="B34" s="366"/>
      <c r="C34" s="1166" t="s">
        <v>5797</v>
      </c>
      <c r="D34" s="1167"/>
      <c r="E34" s="366"/>
      <c r="F34" s="366"/>
      <c r="G34" s="366"/>
      <c r="H34" s="366"/>
      <c r="I34" s="366"/>
    </row>
    <row r="35" spans="1:9" ht="3" customHeight="1" x14ac:dyDescent="0.35">
      <c r="A35" s="366"/>
      <c r="B35" s="366"/>
      <c r="C35" s="377"/>
      <c r="D35" s="378"/>
      <c r="E35" s="366"/>
      <c r="F35" s="366"/>
      <c r="G35" s="366"/>
      <c r="H35" s="366"/>
      <c r="I35" s="366"/>
    </row>
    <row r="36" spans="1:9" ht="18" customHeight="1" x14ac:dyDescent="0.35"/>
    <row r="38" spans="1:9" ht="3" customHeight="1" x14ac:dyDescent="0.35">
      <c r="A38" s="216"/>
      <c r="B38" s="216"/>
    </row>
    <row r="39" spans="1:9" x14ac:dyDescent="0.35">
      <c r="A39" s="771" t="s">
        <v>3989</v>
      </c>
      <c r="B39" s="771"/>
      <c r="C39" s="1161" t="s">
        <v>6107</v>
      </c>
      <c r="D39" s="1161"/>
      <c r="E39" s="1161"/>
      <c r="F39" s="1161"/>
      <c r="G39" s="1161"/>
      <c r="H39" s="1161"/>
      <c r="I39" s="1161"/>
    </row>
    <row r="40" spans="1:9" x14ac:dyDescent="0.35">
      <c r="A40" s="771"/>
      <c r="B40" s="771"/>
      <c r="C40" s="1161"/>
      <c r="D40" s="1161"/>
      <c r="E40" s="1161"/>
      <c r="F40" s="1161"/>
      <c r="G40" s="1161"/>
      <c r="H40" s="1161"/>
      <c r="I40" s="1161"/>
    </row>
    <row r="41" spans="1:9" x14ac:dyDescent="0.35">
      <c r="A41" s="771"/>
      <c r="B41" s="771"/>
      <c r="C41" s="1161"/>
      <c r="D41" s="1161"/>
      <c r="E41" s="1161"/>
      <c r="F41" s="1161"/>
      <c r="G41" s="1161"/>
      <c r="H41" s="1161"/>
      <c r="I41" s="1161"/>
    </row>
    <row r="42" spans="1:9" ht="3" customHeight="1" x14ac:dyDescent="0.35">
      <c r="A42" s="216"/>
      <c r="B42" s="216"/>
    </row>
    <row r="43" spans="1:9" ht="15" customHeight="1" x14ac:dyDescent="0.35">
      <c r="A43" s="216"/>
      <c r="B43" s="379" t="s">
        <v>3856</v>
      </c>
      <c r="C43" s="1168" t="s">
        <v>6107</v>
      </c>
      <c r="D43" s="1168"/>
    </row>
    <row r="44" spans="1:9" ht="3" customHeight="1" x14ac:dyDescent="0.35">
      <c r="A44" s="216"/>
      <c r="B44" s="379"/>
    </row>
    <row r="45" spans="1:9" x14ac:dyDescent="0.35">
      <c r="A45" s="216"/>
      <c r="B45" s="379" t="s">
        <v>3857</v>
      </c>
      <c r="C45" s="1168" t="s">
        <v>6107</v>
      </c>
      <c r="D45" s="1168"/>
    </row>
    <row r="46" spans="1:9" ht="3" customHeight="1" x14ac:dyDescent="0.35">
      <c r="A46" s="216"/>
      <c r="B46" s="379"/>
    </row>
    <row r="47" spans="1:9" x14ac:dyDescent="0.35">
      <c r="A47" s="216"/>
      <c r="B47" s="379" t="s">
        <v>3858</v>
      </c>
      <c r="C47" s="1168" t="s">
        <v>6107</v>
      </c>
      <c r="D47" s="1168"/>
    </row>
    <row r="48" spans="1:9" ht="3" customHeight="1" x14ac:dyDescent="0.35">
      <c r="A48" s="216"/>
      <c r="B48" s="379"/>
    </row>
    <row r="49" spans="1:11" x14ac:dyDescent="0.35">
      <c r="A49" s="216"/>
      <c r="B49" s="379" t="s">
        <v>3859</v>
      </c>
      <c r="C49" s="1168" t="s">
        <v>6107</v>
      </c>
      <c r="D49" s="1168"/>
    </row>
    <row r="50" spans="1:11" x14ac:dyDescent="0.35">
      <c r="A50" s="216"/>
    </row>
    <row r="53" spans="1:11" x14ac:dyDescent="0.35">
      <c r="A53" s="771" t="s">
        <v>3861</v>
      </c>
      <c r="B53" s="771"/>
      <c r="C53" s="1169" t="s">
        <v>6107</v>
      </c>
      <c r="D53" s="1170"/>
      <c r="E53" s="1170"/>
      <c r="F53" s="1170"/>
      <c r="G53" s="1170"/>
      <c r="H53" s="1170"/>
      <c r="I53" s="1171"/>
    </row>
    <row r="54" spans="1:11" x14ac:dyDescent="0.35">
      <c r="A54" s="771"/>
      <c r="B54" s="771"/>
      <c r="C54" s="1172"/>
      <c r="D54" s="1173"/>
      <c r="E54" s="1173"/>
      <c r="F54" s="1173"/>
      <c r="G54" s="1173"/>
      <c r="H54" s="1173"/>
      <c r="I54" s="1174"/>
    </row>
    <row r="55" spans="1:11" x14ac:dyDescent="0.35">
      <c r="A55" s="771"/>
      <c r="B55" s="771"/>
      <c r="C55" s="1175"/>
      <c r="D55" s="1176"/>
      <c r="E55" s="1176"/>
      <c r="F55" s="1176"/>
      <c r="G55" s="1176"/>
      <c r="H55" s="1176"/>
      <c r="I55" s="1177"/>
    </row>
    <row r="56" spans="1:11" ht="3" customHeight="1" x14ac:dyDescent="0.35">
      <c r="A56" s="216"/>
      <c r="B56" s="216"/>
    </row>
    <row r="57" spans="1:11" x14ac:dyDescent="0.35">
      <c r="A57" s="771" t="s">
        <v>3856</v>
      </c>
      <c r="B57" s="771"/>
      <c r="C57" s="443" t="s">
        <v>6107</v>
      </c>
      <c r="K57" t="b">
        <f>ISBLANK(C57)</f>
        <v>0</v>
      </c>
    </row>
    <row r="58" spans="1:11" ht="3" customHeight="1" x14ac:dyDescent="0.35">
      <c r="A58" s="379"/>
      <c r="B58" s="379"/>
    </row>
    <row r="59" spans="1:11" x14ac:dyDescent="0.35">
      <c r="A59" s="771" t="s">
        <v>3857</v>
      </c>
      <c r="B59" s="771"/>
      <c r="C59" s="443" t="s">
        <v>6107</v>
      </c>
      <c r="K59" t="b">
        <f>ISBLANK(C59)</f>
        <v>0</v>
      </c>
    </row>
    <row r="60" spans="1:11" ht="3" customHeight="1" x14ac:dyDescent="0.35">
      <c r="A60" s="379"/>
      <c r="B60" s="379"/>
    </row>
    <row r="61" spans="1:11" x14ac:dyDescent="0.35">
      <c r="A61" s="771" t="s">
        <v>3858</v>
      </c>
      <c r="B61" s="771"/>
      <c r="C61" s="443" t="s">
        <v>6107</v>
      </c>
      <c r="K61" t="b">
        <f>ISBLANK(C61)</f>
        <v>0</v>
      </c>
    </row>
    <row r="62" spans="1:11" ht="3" customHeight="1" x14ac:dyDescent="0.35">
      <c r="A62" s="379"/>
      <c r="B62" s="379"/>
    </row>
    <row r="63" spans="1:11" x14ac:dyDescent="0.35">
      <c r="A63" s="771" t="s">
        <v>3863</v>
      </c>
      <c r="B63" s="771"/>
      <c r="C63" s="443" t="s">
        <v>6107</v>
      </c>
      <c r="D63" s="1147" t="s">
        <v>4097</v>
      </c>
      <c r="K63" t="b">
        <f>ISBLANK(C63)</f>
        <v>0</v>
      </c>
    </row>
    <row r="64" spans="1:11" ht="3" customHeight="1" x14ac:dyDescent="0.35">
      <c r="A64" s="379"/>
      <c r="B64" s="379"/>
      <c r="D64" s="1147"/>
    </row>
    <row r="65" spans="1:12" x14ac:dyDescent="0.35">
      <c r="A65" s="771" t="s">
        <v>3864</v>
      </c>
      <c r="B65" s="771"/>
      <c r="C65" s="443" t="s">
        <v>6107</v>
      </c>
      <c r="D65" s="1147"/>
      <c r="K65" t="b">
        <f>ISBLANK(C65)</f>
        <v>0</v>
      </c>
    </row>
    <row r="66" spans="1:12" ht="3" customHeight="1" x14ac:dyDescent="0.35">
      <c r="A66" s="379"/>
      <c r="B66" s="379"/>
    </row>
    <row r="67" spans="1:12" x14ac:dyDescent="0.35">
      <c r="A67" s="771" t="s">
        <v>3859</v>
      </c>
      <c r="B67" s="771"/>
      <c r="C67" s="443" t="s">
        <v>6107</v>
      </c>
      <c r="D67" s="380" t="s">
        <v>3865</v>
      </c>
      <c r="K67" t="b">
        <f>ISBLANK(C67)</f>
        <v>0</v>
      </c>
    </row>
    <row r="68" spans="1:12" x14ac:dyDescent="0.35">
      <c r="D68" s="381"/>
    </row>
    <row r="71" spans="1:12" x14ac:dyDescent="0.35">
      <c r="C71" s="216" t="s">
        <v>3866</v>
      </c>
    </row>
    <row r="72" spans="1:12" x14ac:dyDescent="0.35">
      <c r="C72" s="1147" t="s">
        <v>3867</v>
      </c>
      <c r="D72" s="1147"/>
      <c r="E72" s="1147"/>
      <c r="F72" s="1147"/>
      <c r="G72" s="1147"/>
      <c r="H72" s="1147"/>
      <c r="I72" s="1147"/>
    </row>
    <row r="74" spans="1:12" x14ac:dyDescent="0.35">
      <c r="C74" s="208" t="s">
        <v>3868</v>
      </c>
      <c r="D74" s="208" t="s">
        <v>3869</v>
      </c>
      <c r="E74" s="1180" t="s">
        <v>3870</v>
      </c>
      <c r="F74" s="1180"/>
      <c r="G74" s="765" t="s">
        <v>4098</v>
      </c>
      <c r="H74" s="765"/>
    </row>
    <row r="75" spans="1:12" x14ac:dyDescent="0.35">
      <c r="B75" s="6">
        <v>1</v>
      </c>
      <c r="C75" s="437" t="s">
        <v>6107</v>
      </c>
      <c r="D75" s="437" t="s">
        <v>6107</v>
      </c>
      <c r="E75" s="1158" t="s">
        <v>6107</v>
      </c>
      <c r="F75" s="1158"/>
      <c r="G75" s="1158" t="s">
        <v>6107</v>
      </c>
      <c r="H75" s="1158"/>
      <c r="K75" t="b">
        <f>AND(OR(LEN(C75)=0,LEN(D75)=0,LEN(E75)=0,LEN(G75)=0),L75)</f>
        <v>0</v>
      </c>
      <c r="L75" s="382" t="b">
        <f>OR(NOT(LEN(C75)=0),NOT(LEN(D75)=0),NOT(LEN(E75)=0),NOT(LEN(G75)=0))</f>
        <v>0</v>
      </c>
    </row>
    <row r="76" spans="1:12" x14ac:dyDescent="0.35">
      <c r="B76" s="6">
        <v>2</v>
      </c>
      <c r="C76" s="437" t="s">
        <v>6107</v>
      </c>
      <c r="D76" s="437" t="s">
        <v>6107</v>
      </c>
      <c r="E76" s="1158" t="s">
        <v>6107</v>
      </c>
      <c r="F76" s="1158"/>
      <c r="G76" s="1158" t="s">
        <v>6107</v>
      </c>
      <c r="H76" s="1158"/>
      <c r="K76" t="b">
        <f>AND(OR(LEN(C76)=0,LEN(D76)=0,LEN(E76)=0,LEN(G76)=0),L76)</f>
        <v>0</v>
      </c>
      <c r="L76" s="382" t="b">
        <f>OR(NOT(LEN(C76)=0),NOT(LEN(D76)=0),NOT(LEN(E76)=0),NOT(LEN(G76)=0))</f>
        <v>0</v>
      </c>
    </row>
    <row r="77" spans="1:12" x14ac:dyDescent="0.35">
      <c r="B77" s="6">
        <v>3</v>
      </c>
      <c r="C77" s="437" t="s">
        <v>6107</v>
      </c>
      <c r="D77" s="437" t="s">
        <v>6107</v>
      </c>
      <c r="E77" s="1158" t="s">
        <v>6107</v>
      </c>
      <c r="F77" s="1158"/>
      <c r="G77" s="1158" t="s">
        <v>6107</v>
      </c>
      <c r="H77" s="1158"/>
      <c r="K77" t="b">
        <f>AND(OR(LEN(C77)=0,LEN(D77)=0,LEN(E77)=0,LEN(G77)=0),L77)</f>
        <v>0</v>
      </c>
      <c r="L77" s="382" t="b">
        <f>OR(NOT(LEN(C77)=0),NOT(LEN(D77)=0),NOT(LEN(E77)=0),NOT(LEN(G77)=0))</f>
        <v>0</v>
      </c>
    </row>
    <row r="78" spans="1:12" x14ac:dyDescent="0.35">
      <c r="B78" s="6">
        <v>4</v>
      </c>
      <c r="C78" s="437" t="s">
        <v>6107</v>
      </c>
      <c r="D78" s="437" t="s">
        <v>6107</v>
      </c>
      <c r="E78" s="1158" t="s">
        <v>6107</v>
      </c>
      <c r="F78" s="1158"/>
      <c r="G78" s="1158" t="s">
        <v>6107</v>
      </c>
      <c r="H78" s="1158"/>
      <c r="K78" t="b">
        <f>AND(OR(LEN(C78)=0,LEN(D78)=0,LEN(E78)=0,LEN(G78)=0),L78)</f>
        <v>0</v>
      </c>
      <c r="L78" s="382" t="b">
        <f>OR(NOT(LEN(C78)=0),NOT(LEN(D78)=0),NOT(LEN(E78)=0),NOT(LEN(G78)=0))</f>
        <v>0</v>
      </c>
    </row>
    <row r="79" spans="1:12" x14ac:dyDescent="0.35">
      <c r="B79" s="6">
        <v>5</v>
      </c>
      <c r="C79" s="437" t="s">
        <v>6107</v>
      </c>
      <c r="D79" s="437" t="s">
        <v>6107</v>
      </c>
      <c r="E79" s="1158" t="s">
        <v>6107</v>
      </c>
      <c r="F79" s="1158"/>
      <c r="G79" s="1158" t="s">
        <v>6107</v>
      </c>
      <c r="H79" s="1158"/>
      <c r="K79" t="b">
        <f>AND(OR(LEN(C79)=0,LEN(D79)=0,LEN(E79)=0,LEN(G79)=0),L79)</f>
        <v>0</v>
      </c>
      <c r="L79" s="382" t="b">
        <f>OR(NOT(LEN(C79)=0),NOT(LEN(D79)=0),NOT(LEN(E79)=0),NOT(LEN(G79)=0))</f>
        <v>0</v>
      </c>
    </row>
    <row r="83" spans="2:12" x14ac:dyDescent="0.35">
      <c r="C83" s="216" t="s">
        <v>3871</v>
      </c>
    </row>
    <row r="84" spans="2:12" x14ac:dyDescent="0.35">
      <c r="C84" s="381"/>
    </row>
    <row r="86" spans="2:12" ht="26" x14ac:dyDescent="0.35">
      <c r="C86" s="1005" t="s">
        <v>3873</v>
      </c>
      <c r="D86" s="1005"/>
      <c r="E86" s="677" t="s">
        <v>5804</v>
      </c>
      <c r="F86" s="677" t="s">
        <v>2</v>
      </c>
      <c r="G86" s="677" t="s">
        <v>5805</v>
      </c>
      <c r="H86" s="556" t="s">
        <v>3874</v>
      </c>
      <c r="I86" s="555" t="s">
        <v>3875</v>
      </c>
      <c r="L86" s="216"/>
    </row>
    <row r="87" spans="2:12" x14ac:dyDescent="0.35">
      <c r="B87" s="6">
        <v>1</v>
      </c>
      <c r="C87" s="1158"/>
      <c r="D87" s="1158"/>
      <c r="E87" s="461"/>
      <c r="F87" s="1155" t="str">
        <f>'Overview (Verification)'!P14</f>
        <v/>
      </c>
      <c r="G87" s="461"/>
      <c r="H87" s="461"/>
      <c r="I87" s="438"/>
      <c r="K87" t="b">
        <f t="shared" ref="K87:K118" si="0">AND(OR(LEN(C87)=0,LEN(E87)=0,LEN(G87)=0,LEN(H87)=0,LEN(I87)=0),L87)</f>
        <v>0</v>
      </c>
      <c r="L87" s="382" t="b">
        <f t="shared" ref="L87:L118" si="1">OR(NOT(LEN(C87)=0),NOT(LEN(E87)=0),NOT(LEN(G87)=0),NOT(LEN(H87)=0),NOT(LEN(I87)=0))</f>
        <v>0</v>
      </c>
    </row>
    <row r="88" spans="2:12" x14ac:dyDescent="0.35">
      <c r="B88" s="6">
        <v>2</v>
      </c>
      <c r="C88" s="1158"/>
      <c r="D88" s="1158"/>
      <c r="E88" s="461"/>
      <c r="F88" s="1156"/>
      <c r="G88" s="461"/>
      <c r="H88" s="461"/>
      <c r="I88" s="438"/>
      <c r="K88" t="b">
        <f t="shared" si="0"/>
        <v>0</v>
      </c>
      <c r="L88" s="382" t="b">
        <f t="shared" si="1"/>
        <v>0</v>
      </c>
    </row>
    <row r="89" spans="2:12" x14ac:dyDescent="0.35">
      <c r="B89" s="6">
        <v>3</v>
      </c>
      <c r="C89" s="1158"/>
      <c r="D89" s="1158"/>
      <c r="E89" s="461"/>
      <c r="F89" s="1156"/>
      <c r="G89" s="461"/>
      <c r="H89" s="461"/>
      <c r="I89" s="438"/>
      <c r="K89" t="b">
        <f t="shared" si="0"/>
        <v>0</v>
      </c>
      <c r="L89" s="382" t="b">
        <f t="shared" si="1"/>
        <v>0</v>
      </c>
    </row>
    <row r="90" spans="2:12" x14ac:dyDescent="0.35">
      <c r="B90" s="6">
        <v>4</v>
      </c>
      <c r="C90" s="1158"/>
      <c r="D90" s="1158"/>
      <c r="E90" s="461"/>
      <c r="F90" s="1156"/>
      <c r="G90" s="461"/>
      <c r="H90" s="461"/>
      <c r="I90" s="438"/>
      <c r="K90" t="b">
        <f t="shared" si="0"/>
        <v>0</v>
      </c>
      <c r="L90" s="382" t="b">
        <f t="shared" si="1"/>
        <v>0</v>
      </c>
    </row>
    <row r="91" spans="2:12" x14ac:dyDescent="0.35">
      <c r="B91" s="6">
        <v>5</v>
      </c>
      <c r="C91" s="1158"/>
      <c r="D91" s="1158"/>
      <c r="E91" s="461"/>
      <c r="F91" s="1156"/>
      <c r="G91" s="461"/>
      <c r="H91" s="461"/>
      <c r="I91" s="438"/>
      <c r="K91" t="b">
        <f t="shared" si="0"/>
        <v>0</v>
      </c>
      <c r="L91" s="382" t="b">
        <f t="shared" si="1"/>
        <v>0</v>
      </c>
    </row>
    <row r="92" spans="2:12" x14ac:dyDescent="0.35">
      <c r="B92" s="6">
        <v>6</v>
      </c>
      <c r="C92" s="1158"/>
      <c r="D92" s="1158"/>
      <c r="E92" s="461"/>
      <c r="F92" s="1156"/>
      <c r="G92" s="461"/>
      <c r="H92" s="461"/>
      <c r="I92" s="438"/>
      <c r="K92" t="b">
        <f t="shared" si="0"/>
        <v>0</v>
      </c>
      <c r="L92" s="382" t="b">
        <f t="shared" si="1"/>
        <v>0</v>
      </c>
    </row>
    <row r="93" spans="2:12" x14ac:dyDescent="0.35">
      <c r="B93" s="6">
        <v>7</v>
      </c>
      <c r="C93" s="1158"/>
      <c r="D93" s="1158"/>
      <c r="E93" s="461"/>
      <c r="F93" s="1156"/>
      <c r="G93" s="461"/>
      <c r="H93" s="461"/>
      <c r="I93" s="438"/>
      <c r="K93" t="b">
        <f t="shared" si="0"/>
        <v>0</v>
      </c>
      <c r="L93" s="382" t="b">
        <f t="shared" si="1"/>
        <v>0</v>
      </c>
    </row>
    <row r="94" spans="2:12" x14ac:dyDescent="0.35">
      <c r="B94" s="6">
        <v>8</v>
      </c>
      <c r="C94" s="1158"/>
      <c r="D94" s="1158"/>
      <c r="E94" s="461"/>
      <c r="F94" s="1156"/>
      <c r="G94" s="461"/>
      <c r="H94" s="461"/>
      <c r="I94" s="438"/>
      <c r="K94" t="b">
        <f t="shared" si="0"/>
        <v>0</v>
      </c>
      <c r="L94" s="382" t="b">
        <f t="shared" si="1"/>
        <v>0</v>
      </c>
    </row>
    <row r="95" spans="2:12" x14ac:dyDescent="0.35">
      <c r="B95" s="6">
        <v>9</v>
      </c>
      <c r="C95" s="1158"/>
      <c r="D95" s="1158"/>
      <c r="E95" s="461"/>
      <c r="F95" s="1156"/>
      <c r="G95" s="461"/>
      <c r="H95" s="461"/>
      <c r="I95" s="438"/>
      <c r="K95" t="b">
        <f t="shared" si="0"/>
        <v>0</v>
      </c>
      <c r="L95" s="382" t="b">
        <f t="shared" si="1"/>
        <v>0</v>
      </c>
    </row>
    <row r="96" spans="2:12" x14ac:dyDescent="0.35">
      <c r="B96" s="6">
        <v>10</v>
      </c>
      <c r="C96" s="1158"/>
      <c r="D96" s="1158"/>
      <c r="E96" s="461"/>
      <c r="F96" s="1156"/>
      <c r="G96" s="461"/>
      <c r="H96" s="461"/>
      <c r="I96" s="438"/>
      <c r="K96" t="b">
        <f t="shared" si="0"/>
        <v>0</v>
      </c>
      <c r="L96" s="382" t="b">
        <f t="shared" si="1"/>
        <v>0</v>
      </c>
    </row>
    <row r="97" spans="2:12" x14ac:dyDescent="0.35">
      <c r="B97" s="6">
        <v>11</v>
      </c>
      <c r="C97" s="1158"/>
      <c r="D97" s="1158"/>
      <c r="E97" s="461"/>
      <c r="F97" s="1156"/>
      <c r="G97" s="461"/>
      <c r="H97" s="461"/>
      <c r="I97" s="438"/>
      <c r="K97" t="b">
        <f t="shared" si="0"/>
        <v>0</v>
      </c>
      <c r="L97" s="382" t="b">
        <f t="shared" si="1"/>
        <v>0</v>
      </c>
    </row>
    <row r="98" spans="2:12" x14ac:dyDescent="0.35">
      <c r="B98" s="6">
        <v>12</v>
      </c>
      <c r="C98" s="1158"/>
      <c r="D98" s="1158"/>
      <c r="E98" s="461"/>
      <c r="F98" s="1156"/>
      <c r="G98" s="461"/>
      <c r="H98" s="461"/>
      <c r="I98" s="438"/>
      <c r="K98" t="b">
        <f t="shared" si="0"/>
        <v>0</v>
      </c>
      <c r="L98" s="382" t="b">
        <f t="shared" si="1"/>
        <v>0</v>
      </c>
    </row>
    <row r="99" spans="2:12" x14ac:dyDescent="0.35">
      <c r="B99" s="6">
        <v>13</v>
      </c>
      <c r="C99" s="1158"/>
      <c r="D99" s="1158"/>
      <c r="E99" s="461"/>
      <c r="F99" s="1156"/>
      <c r="G99" s="461"/>
      <c r="H99" s="461"/>
      <c r="I99" s="438"/>
      <c r="K99" t="b">
        <f t="shared" si="0"/>
        <v>0</v>
      </c>
      <c r="L99" s="382" t="b">
        <f t="shared" si="1"/>
        <v>0</v>
      </c>
    </row>
    <row r="100" spans="2:12" x14ac:dyDescent="0.35">
      <c r="B100" s="6">
        <v>14</v>
      </c>
      <c r="C100" s="1158"/>
      <c r="D100" s="1158"/>
      <c r="E100" s="461"/>
      <c r="F100" s="1156"/>
      <c r="G100" s="461"/>
      <c r="H100" s="461"/>
      <c r="I100" s="438"/>
      <c r="K100" t="b">
        <f t="shared" si="0"/>
        <v>0</v>
      </c>
      <c r="L100" s="382" t="b">
        <f t="shared" si="1"/>
        <v>0</v>
      </c>
    </row>
    <row r="101" spans="2:12" x14ac:dyDescent="0.35">
      <c r="B101" s="6">
        <v>15</v>
      </c>
      <c r="C101" s="1158"/>
      <c r="D101" s="1158"/>
      <c r="E101" s="461"/>
      <c r="F101" s="1156"/>
      <c r="G101" s="461"/>
      <c r="H101" s="461"/>
      <c r="I101" s="438"/>
      <c r="K101" t="b">
        <f t="shared" si="0"/>
        <v>0</v>
      </c>
      <c r="L101" s="382" t="b">
        <f t="shared" si="1"/>
        <v>0</v>
      </c>
    </row>
    <row r="102" spans="2:12" x14ac:dyDescent="0.35">
      <c r="B102" s="6">
        <v>16</v>
      </c>
      <c r="C102" s="1158"/>
      <c r="D102" s="1158"/>
      <c r="E102" s="461"/>
      <c r="F102" s="1156"/>
      <c r="G102" s="461"/>
      <c r="H102" s="461"/>
      <c r="I102" s="438"/>
      <c r="K102" t="b">
        <f t="shared" si="0"/>
        <v>0</v>
      </c>
      <c r="L102" s="382" t="b">
        <f t="shared" si="1"/>
        <v>0</v>
      </c>
    </row>
    <row r="103" spans="2:12" x14ac:dyDescent="0.35">
      <c r="B103" s="6">
        <v>17</v>
      </c>
      <c r="C103" s="1152"/>
      <c r="D103" s="1153"/>
      <c r="E103" s="461"/>
      <c r="F103" s="1156"/>
      <c r="G103" s="461"/>
      <c r="H103" s="461"/>
      <c r="I103" s="438"/>
      <c r="K103" t="b">
        <f t="shared" si="0"/>
        <v>0</v>
      </c>
      <c r="L103" s="382" t="b">
        <f t="shared" si="1"/>
        <v>0</v>
      </c>
    </row>
    <row r="104" spans="2:12" x14ac:dyDescent="0.35">
      <c r="B104" s="6">
        <v>18</v>
      </c>
      <c r="C104" s="1152"/>
      <c r="D104" s="1153"/>
      <c r="E104" s="461"/>
      <c r="F104" s="1156"/>
      <c r="G104" s="461"/>
      <c r="H104" s="461"/>
      <c r="I104" s="438"/>
      <c r="K104" t="b">
        <f t="shared" si="0"/>
        <v>0</v>
      </c>
      <c r="L104" s="382" t="b">
        <f t="shared" si="1"/>
        <v>0</v>
      </c>
    </row>
    <row r="105" spans="2:12" x14ac:dyDescent="0.35">
      <c r="B105" s="6">
        <v>19</v>
      </c>
      <c r="C105" s="1152"/>
      <c r="D105" s="1153"/>
      <c r="E105" s="461"/>
      <c r="F105" s="1156"/>
      <c r="G105" s="461"/>
      <c r="H105" s="461"/>
      <c r="I105" s="438"/>
      <c r="K105" t="b">
        <f t="shared" si="0"/>
        <v>0</v>
      </c>
      <c r="L105" s="382" t="b">
        <f t="shared" si="1"/>
        <v>0</v>
      </c>
    </row>
    <row r="106" spans="2:12" x14ac:dyDescent="0.35">
      <c r="B106" s="6">
        <v>20</v>
      </c>
      <c r="C106" s="1152"/>
      <c r="D106" s="1153"/>
      <c r="E106" s="461"/>
      <c r="F106" s="1156"/>
      <c r="G106" s="461"/>
      <c r="H106" s="461"/>
      <c r="I106" s="438"/>
      <c r="K106" t="b">
        <f t="shared" si="0"/>
        <v>0</v>
      </c>
      <c r="L106" s="382" t="b">
        <f t="shared" si="1"/>
        <v>0</v>
      </c>
    </row>
    <row r="107" spans="2:12" x14ac:dyDescent="0.35">
      <c r="B107" s="6">
        <v>21</v>
      </c>
      <c r="C107" s="1152"/>
      <c r="D107" s="1153"/>
      <c r="E107" s="461"/>
      <c r="F107" s="1156"/>
      <c r="G107" s="461"/>
      <c r="H107" s="461"/>
      <c r="I107" s="438"/>
      <c r="K107" t="b">
        <f t="shared" si="0"/>
        <v>0</v>
      </c>
      <c r="L107" s="382" t="b">
        <f t="shared" si="1"/>
        <v>0</v>
      </c>
    </row>
    <row r="108" spans="2:12" x14ac:dyDescent="0.35">
      <c r="B108" s="6">
        <v>22</v>
      </c>
      <c r="C108" s="1152"/>
      <c r="D108" s="1153"/>
      <c r="E108" s="461"/>
      <c r="F108" s="1156"/>
      <c r="G108" s="461"/>
      <c r="H108" s="461"/>
      <c r="I108" s="438"/>
      <c r="K108" t="b">
        <f t="shared" si="0"/>
        <v>0</v>
      </c>
      <c r="L108" s="382" t="b">
        <f t="shared" si="1"/>
        <v>0</v>
      </c>
    </row>
    <row r="109" spans="2:12" x14ac:dyDescent="0.35">
      <c r="B109" s="6">
        <v>23</v>
      </c>
      <c r="C109" s="1152"/>
      <c r="D109" s="1153"/>
      <c r="E109" s="461"/>
      <c r="F109" s="1156"/>
      <c r="G109" s="461"/>
      <c r="H109" s="461"/>
      <c r="I109" s="438"/>
      <c r="K109" t="b">
        <f t="shared" si="0"/>
        <v>0</v>
      </c>
      <c r="L109" s="382" t="b">
        <f t="shared" si="1"/>
        <v>0</v>
      </c>
    </row>
    <row r="110" spans="2:12" x14ac:dyDescent="0.35">
      <c r="B110" s="6">
        <v>24</v>
      </c>
      <c r="C110" s="1152"/>
      <c r="D110" s="1153"/>
      <c r="E110" s="461"/>
      <c r="F110" s="1156"/>
      <c r="G110" s="461"/>
      <c r="H110" s="461"/>
      <c r="I110" s="438"/>
      <c r="K110" t="b">
        <f t="shared" si="0"/>
        <v>0</v>
      </c>
      <c r="L110" s="382" t="b">
        <f t="shared" si="1"/>
        <v>0</v>
      </c>
    </row>
    <row r="111" spans="2:12" x14ac:dyDescent="0.35">
      <c r="B111" s="6">
        <v>25</v>
      </c>
      <c r="C111" s="1152"/>
      <c r="D111" s="1153"/>
      <c r="E111" s="461"/>
      <c r="F111" s="1156"/>
      <c r="G111" s="461"/>
      <c r="H111" s="461"/>
      <c r="I111" s="438"/>
      <c r="K111" t="b">
        <f t="shared" si="0"/>
        <v>0</v>
      </c>
      <c r="L111" s="382" t="b">
        <f t="shared" si="1"/>
        <v>0</v>
      </c>
    </row>
    <row r="112" spans="2:12" x14ac:dyDescent="0.35">
      <c r="B112" s="6">
        <v>26</v>
      </c>
      <c r="C112" s="1152"/>
      <c r="D112" s="1153"/>
      <c r="E112" s="461"/>
      <c r="F112" s="1156"/>
      <c r="G112" s="461"/>
      <c r="H112" s="461"/>
      <c r="I112" s="438"/>
      <c r="K112" t="b">
        <f t="shared" si="0"/>
        <v>0</v>
      </c>
      <c r="L112" s="382" t="b">
        <f t="shared" si="1"/>
        <v>0</v>
      </c>
    </row>
    <row r="113" spans="2:12" x14ac:dyDescent="0.35">
      <c r="B113" s="6">
        <v>27</v>
      </c>
      <c r="C113" s="1152"/>
      <c r="D113" s="1153"/>
      <c r="E113" s="461"/>
      <c r="F113" s="1156"/>
      <c r="G113" s="461"/>
      <c r="H113" s="461"/>
      <c r="I113" s="438"/>
      <c r="K113" t="b">
        <f t="shared" si="0"/>
        <v>0</v>
      </c>
      <c r="L113" s="382" t="b">
        <f t="shared" si="1"/>
        <v>0</v>
      </c>
    </row>
    <row r="114" spans="2:12" x14ac:dyDescent="0.35">
      <c r="B114" s="6">
        <v>28</v>
      </c>
      <c r="C114" s="1152"/>
      <c r="D114" s="1153"/>
      <c r="E114" s="461"/>
      <c r="F114" s="1156"/>
      <c r="G114" s="461"/>
      <c r="H114" s="461"/>
      <c r="I114" s="438"/>
      <c r="K114" t="b">
        <f t="shared" si="0"/>
        <v>0</v>
      </c>
      <c r="L114" s="382" t="b">
        <f t="shared" si="1"/>
        <v>0</v>
      </c>
    </row>
    <row r="115" spans="2:12" x14ac:dyDescent="0.35">
      <c r="B115" s="6">
        <v>29</v>
      </c>
      <c r="C115" s="1152"/>
      <c r="D115" s="1153"/>
      <c r="E115" s="461"/>
      <c r="F115" s="1156"/>
      <c r="G115" s="461"/>
      <c r="H115" s="461"/>
      <c r="I115" s="438"/>
      <c r="K115" t="b">
        <f t="shared" si="0"/>
        <v>0</v>
      </c>
      <c r="L115" s="382" t="b">
        <f t="shared" si="1"/>
        <v>0</v>
      </c>
    </row>
    <row r="116" spans="2:12" x14ac:dyDescent="0.35">
      <c r="B116" s="6">
        <v>30</v>
      </c>
      <c r="C116" s="1152"/>
      <c r="D116" s="1153"/>
      <c r="E116" s="461"/>
      <c r="F116" s="1156"/>
      <c r="G116" s="461"/>
      <c r="H116" s="461"/>
      <c r="I116" s="438"/>
      <c r="K116" t="b">
        <f t="shared" si="0"/>
        <v>0</v>
      </c>
      <c r="L116" s="382" t="b">
        <f t="shared" si="1"/>
        <v>0</v>
      </c>
    </row>
    <row r="117" spans="2:12" x14ac:dyDescent="0.35">
      <c r="B117" s="6">
        <v>31</v>
      </c>
      <c r="C117" s="1152"/>
      <c r="D117" s="1153"/>
      <c r="E117" s="461"/>
      <c r="F117" s="1156"/>
      <c r="G117" s="461"/>
      <c r="H117" s="461"/>
      <c r="I117" s="438"/>
      <c r="K117" t="b">
        <f t="shared" si="0"/>
        <v>0</v>
      </c>
      <c r="L117" s="382" t="b">
        <f t="shared" si="1"/>
        <v>0</v>
      </c>
    </row>
    <row r="118" spans="2:12" x14ac:dyDescent="0.35">
      <c r="B118" s="6">
        <v>32</v>
      </c>
      <c r="C118" s="1152"/>
      <c r="D118" s="1153"/>
      <c r="E118" s="461"/>
      <c r="F118" s="1156"/>
      <c r="G118" s="461"/>
      <c r="H118" s="461"/>
      <c r="I118" s="438"/>
      <c r="K118" t="b">
        <f t="shared" si="0"/>
        <v>0</v>
      </c>
      <c r="L118" s="382" t="b">
        <f t="shared" si="1"/>
        <v>0</v>
      </c>
    </row>
    <row r="119" spans="2:12" x14ac:dyDescent="0.35">
      <c r="B119" s="6">
        <v>33</v>
      </c>
      <c r="C119" s="1152"/>
      <c r="D119" s="1153"/>
      <c r="E119" s="461"/>
      <c r="F119" s="1156"/>
      <c r="G119" s="461"/>
      <c r="H119" s="461"/>
      <c r="I119" s="438"/>
      <c r="K119" t="b">
        <f t="shared" ref="K119:K136" si="2">AND(OR(LEN(C119)=0,LEN(E119)=0,LEN(G119)=0,LEN(H119)=0,LEN(I119)=0),L119)</f>
        <v>0</v>
      </c>
      <c r="L119" s="382" t="b">
        <f t="shared" ref="L119:L136" si="3">OR(NOT(LEN(C119)=0),NOT(LEN(E119)=0),NOT(LEN(G119)=0),NOT(LEN(H119)=0),NOT(LEN(I119)=0))</f>
        <v>0</v>
      </c>
    </row>
    <row r="120" spans="2:12" x14ac:dyDescent="0.35">
      <c r="B120" s="6">
        <v>34</v>
      </c>
      <c r="C120" s="1152"/>
      <c r="D120" s="1153"/>
      <c r="E120" s="461"/>
      <c r="F120" s="1156"/>
      <c r="G120" s="461"/>
      <c r="H120" s="461"/>
      <c r="I120" s="438"/>
      <c r="K120" t="b">
        <f t="shared" si="2"/>
        <v>0</v>
      </c>
      <c r="L120" s="382" t="b">
        <f t="shared" si="3"/>
        <v>0</v>
      </c>
    </row>
    <row r="121" spans="2:12" x14ac:dyDescent="0.35">
      <c r="B121" s="6">
        <v>35</v>
      </c>
      <c r="C121" s="1152"/>
      <c r="D121" s="1153"/>
      <c r="E121" s="461"/>
      <c r="F121" s="1156"/>
      <c r="G121" s="461"/>
      <c r="H121" s="461"/>
      <c r="I121" s="438"/>
      <c r="K121" t="b">
        <f t="shared" si="2"/>
        <v>0</v>
      </c>
      <c r="L121" s="382" t="b">
        <f t="shared" si="3"/>
        <v>0</v>
      </c>
    </row>
    <row r="122" spans="2:12" x14ac:dyDescent="0.35">
      <c r="B122" s="6">
        <v>36</v>
      </c>
      <c r="C122" s="1152"/>
      <c r="D122" s="1153"/>
      <c r="E122" s="461"/>
      <c r="F122" s="1156"/>
      <c r="G122" s="461"/>
      <c r="H122" s="461"/>
      <c r="I122" s="438"/>
      <c r="K122" t="b">
        <f t="shared" si="2"/>
        <v>0</v>
      </c>
      <c r="L122" s="382" t="b">
        <f t="shared" si="3"/>
        <v>0</v>
      </c>
    </row>
    <row r="123" spans="2:12" x14ac:dyDescent="0.35">
      <c r="B123" s="6">
        <v>37</v>
      </c>
      <c r="C123" s="1152"/>
      <c r="D123" s="1153"/>
      <c r="E123" s="461"/>
      <c r="F123" s="1156"/>
      <c r="G123" s="461"/>
      <c r="H123" s="461"/>
      <c r="I123" s="438"/>
      <c r="K123" t="b">
        <f t="shared" si="2"/>
        <v>0</v>
      </c>
      <c r="L123" s="382" t="b">
        <f t="shared" si="3"/>
        <v>0</v>
      </c>
    </row>
    <row r="124" spans="2:12" x14ac:dyDescent="0.35">
      <c r="B124" s="6">
        <v>38</v>
      </c>
      <c r="C124" s="1152"/>
      <c r="D124" s="1153"/>
      <c r="E124" s="461"/>
      <c r="F124" s="1156"/>
      <c r="G124" s="461"/>
      <c r="H124" s="461"/>
      <c r="I124" s="438"/>
      <c r="K124" t="b">
        <f t="shared" si="2"/>
        <v>0</v>
      </c>
      <c r="L124" s="382" t="b">
        <f t="shared" si="3"/>
        <v>0</v>
      </c>
    </row>
    <row r="125" spans="2:12" x14ac:dyDescent="0.35">
      <c r="B125" s="6">
        <v>39</v>
      </c>
      <c r="C125" s="1152"/>
      <c r="D125" s="1153"/>
      <c r="E125" s="461"/>
      <c r="F125" s="1156"/>
      <c r="G125" s="461"/>
      <c r="H125" s="461"/>
      <c r="I125" s="438"/>
      <c r="K125" t="b">
        <f t="shared" si="2"/>
        <v>0</v>
      </c>
      <c r="L125" s="382" t="b">
        <f t="shared" si="3"/>
        <v>0</v>
      </c>
    </row>
    <row r="126" spans="2:12" x14ac:dyDescent="0.35">
      <c r="B126" s="6">
        <v>40</v>
      </c>
      <c r="C126" s="1152"/>
      <c r="D126" s="1153"/>
      <c r="E126" s="461"/>
      <c r="F126" s="1156"/>
      <c r="G126" s="461"/>
      <c r="H126" s="461"/>
      <c r="I126" s="438"/>
      <c r="K126" t="b">
        <f t="shared" si="2"/>
        <v>0</v>
      </c>
      <c r="L126" s="382" t="b">
        <f t="shared" si="3"/>
        <v>0</v>
      </c>
    </row>
    <row r="127" spans="2:12" x14ac:dyDescent="0.35">
      <c r="B127" s="6">
        <v>41</v>
      </c>
      <c r="C127" s="1152"/>
      <c r="D127" s="1153"/>
      <c r="E127" s="461"/>
      <c r="F127" s="1156"/>
      <c r="G127" s="461"/>
      <c r="H127" s="461"/>
      <c r="I127" s="438"/>
      <c r="K127" t="b">
        <f t="shared" si="2"/>
        <v>0</v>
      </c>
      <c r="L127" s="382" t="b">
        <f t="shared" si="3"/>
        <v>0</v>
      </c>
    </row>
    <row r="128" spans="2:12" x14ac:dyDescent="0.35">
      <c r="B128" s="6">
        <v>42</v>
      </c>
      <c r="C128" s="1152"/>
      <c r="D128" s="1153"/>
      <c r="E128" s="461"/>
      <c r="F128" s="1156"/>
      <c r="G128" s="461"/>
      <c r="H128" s="461"/>
      <c r="I128" s="438"/>
      <c r="K128" t="b">
        <f t="shared" si="2"/>
        <v>0</v>
      </c>
      <c r="L128" s="382" t="b">
        <f t="shared" si="3"/>
        <v>0</v>
      </c>
    </row>
    <row r="129" spans="2:12" x14ac:dyDescent="0.35">
      <c r="B129" s="6">
        <v>43</v>
      </c>
      <c r="C129" s="1152"/>
      <c r="D129" s="1153"/>
      <c r="E129" s="461"/>
      <c r="F129" s="1156"/>
      <c r="G129" s="461"/>
      <c r="H129" s="461"/>
      <c r="I129" s="438"/>
      <c r="K129" t="b">
        <f t="shared" si="2"/>
        <v>0</v>
      </c>
      <c r="L129" s="382" t="b">
        <f t="shared" si="3"/>
        <v>0</v>
      </c>
    </row>
    <row r="130" spans="2:12" x14ac:dyDescent="0.35">
      <c r="B130" s="6">
        <v>44</v>
      </c>
      <c r="C130" s="1152"/>
      <c r="D130" s="1153"/>
      <c r="E130" s="461"/>
      <c r="F130" s="1156"/>
      <c r="G130" s="461"/>
      <c r="H130" s="461"/>
      <c r="I130" s="438"/>
      <c r="K130" t="b">
        <f t="shared" si="2"/>
        <v>0</v>
      </c>
      <c r="L130" s="382" t="b">
        <f t="shared" si="3"/>
        <v>0</v>
      </c>
    </row>
    <row r="131" spans="2:12" x14ac:dyDescent="0.35">
      <c r="B131" s="6">
        <v>45</v>
      </c>
      <c r="C131" s="1152"/>
      <c r="D131" s="1153"/>
      <c r="E131" s="461"/>
      <c r="F131" s="1156"/>
      <c r="G131" s="461"/>
      <c r="H131" s="461"/>
      <c r="I131" s="438"/>
      <c r="K131" t="b">
        <f t="shared" si="2"/>
        <v>0</v>
      </c>
      <c r="L131" s="382" t="b">
        <f t="shared" si="3"/>
        <v>0</v>
      </c>
    </row>
    <row r="132" spans="2:12" x14ac:dyDescent="0.35">
      <c r="B132" s="6">
        <v>46</v>
      </c>
      <c r="C132" s="1152"/>
      <c r="D132" s="1153"/>
      <c r="E132" s="461"/>
      <c r="F132" s="1156"/>
      <c r="G132" s="461"/>
      <c r="H132" s="461"/>
      <c r="I132" s="438"/>
      <c r="K132" t="b">
        <f t="shared" si="2"/>
        <v>0</v>
      </c>
      <c r="L132" s="382" t="b">
        <f t="shared" si="3"/>
        <v>0</v>
      </c>
    </row>
    <row r="133" spans="2:12" x14ac:dyDescent="0.35">
      <c r="B133" s="6">
        <v>47</v>
      </c>
      <c r="C133" s="1152"/>
      <c r="D133" s="1153"/>
      <c r="E133" s="461"/>
      <c r="F133" s="1156"/>
      <c r="G133" s="461"/>
      <c r="H133" s="461"/>
      <c r="I133" s="438"/>
      <c r="K133" t="b">
        <f t="shared" si="2"/>
        <v>0</v>
      </c>
      <c r="L133" s="382" t="b">
        <f t="shared" si="3"/>
        <v>0</v>
      </c>
    </row>
    <row r="134" spans="2:12" x14ac:dyDescent="0.35">
      <c r="B134" s="6">
        <v>48</v>
      </c>
      <c r="C134" s="1152"/>
      <c r="D134" s="1153"/>
      <c r="E134" s="461"/>
      <c r="F134" s="1156"/>
      <c r="G134" s="461"/>
      <c r="H134" s="461"/>
      <c r="I134" s="438"/>
      <c r="K134" t="b">
        <f t="shared" si="2"/>
        <v>0</v>
      </c>
      <c r="L134" s="382" t="b">
        <f t="shared" si="3"/>
        <v>0</v>
      </c>
    </row>
    <row r="135" spans="2:12" x14ac:dyDescent="0.35">
      <c r="B135" s="6">
        <v>49</v>
      </c>
      <c r="C135" s="1152"/>
      <c r="D135" s="1153"/>
      <c r="E135" s="461"/>
      <c r="F135" s="1156"/>
      <c r="G135" s="461"/>
      <c r="H135" s="461"/>
      <c r="I135" s="438"/>
      <c r="K135" t="b">
        <f t="shared" si="2"/>
        <v>0</v>
      </c>
      <c r="L135" s="382" t="b">
        <f t="shared" si="3"/>
        <v>0</v>
      </c>
    </row>
    <row r="136" spans="2:12" x14ac:dyDescent="0.35">
      <c r="B136" s="6">
        <v>50</v>
      </c>
      <c r="C136" s="1152"/>
      <c r="D136" s="1153"/>
      <c r="E136" s="461"/>
      <c r="F136" s="1157"/>
      <c r="G136" s="461"/>
      <c r="H136" s="461"/>
      <c r="I136" s="438"/>
      <c r="K136" t="b">
        <f t="shared" si="2"/>
        <v>0</v>
      </c>
      <c r="L136" s="382" t="b">
        <f t="shared" si="3"/>
        <v>0</v>
      </c>
    </row>
    <row r="138" spans="2:12" x14ac:dyDescent="0.35">
      <c r="B138" s="366"/>
      <c r="C138" s="366"/>
      <c r="D138" s="366"/>
      <c r="E138" s="366"/>
      <c r="F138" s="366"/>
      <c r="G138" s="366"/>
      <c r="H138" s="366"/>
      <c r="I138" s="366"/>
    </row>
    <row r="139" spans="2:12" x14ac:dyDescent="0.35">
      <c r="B139" s="366"/>
      <c r="C139" s="561" t="s">
        <v>3876</v>
      </c>
      <c r="D139" s="366"/>
      <c r="E139" s="366"/>
      <c r="F139" s="366"/>
      <c r="G139" s="366"/>
      <c r="H139" s="366"/>
      <c r="I139" s="366"/>
    </row>
    <row r="140" spans="2:12" ht="3" customHeight="1" x14ac:dyDescent="0.35">
      <c r="B140" s="366"/>
      <c r="C140" s="561"/>
      <c r="D140" s="366"/>
      <c r="E140" s="366"/>
      <c r="F140" s="366"/>
      <c r="G140" s="366"/>
      <c r="H140" s="366"/>
      <c r="I140" s="366"/>
    </row>
    <row r="141" spans="2:12" x14ac:dyDescent="0.35">
      <c r="B141" s="366"/>
      <c r="C141" s="562" t="s">
        <v>4859</v>
      </c>
      <c r="D141" s="366"/>
      <c r="E141" s="366"/>
      <c r="F141" s="366"/>
      <c r="G141" s="366"/>
      <c r="H141" s="366"/>
      <c r="I141" s="366"/>
    </row>
    <row r="142" spans="2:12" ht="3" customHeight="1" x14ac:dyDescent="0.35">
      <c r="B142" s="366"/>
      <c r="C142" s="562"/>
      <c r="D142" s="366"/>
      <c r="E142" s="366"/>
      <c r="F142" s="366"/>
      <c r="G142" s="366"/>
      <c r="H142" s="366"/>
      <c r="I142" s="366"/>
    </row>
    <row r="143" spans="2:12" x14ac:dyDescent="0.35">
      <c r="B143" s="366"/>
      <c r="C143" s="562" t="s">
        <v>5806</v>
      </c>
      <c r="D143" s="366"/>
      <c r="E143" s="366"/>
      <c r="F143" s="366"/>
      <c r="G143" s="366"/>
      <c r="H143" s="366"/>
      <c r="I143" s="366"/>
    </row>
    <row r="144" spans="2:12" ht="3" customHeight="1" x14ac:dyDescent="0.35">
      <c r="B144" s="366"/>
      <c r="C144" s="562"/>
      <c r="D144" s="366"/>
      <c r="E144" s="366"/>
      <c r="F144" s="366"/>
      <c r="G144" s="366"/>
      <c r="H144" s="366"/>
      <c r="I144" s="366"/>
    </row>
    <row r="145" spans="2:12" x14ac:dyDescent="0.35">
      <c r="B145" s="366"/>
      <c r="C145" s="1185" t="s">
        <v>5807</v>
      </c>
      <c r="D145" s="1185"/>
      <c r="E145" s="1185"/>
      <c r="F145" s="1185"/>
      <c r="G145" s="1185"/>
      <c r="H145" s="1185"/>
      <c r="I145" s="1185"/>
    </row>
    <row r="146" spans="2:12" ht="3" customHeight="1" x14ac:dyDescent="0.35">
      <c r="B146" s="366"/>
      <c r="C146" s="1185"/>
      <c r="D146" s="1185"/>
      <c r="E146" s="1185"/>
      <c r="F146" s="1185"/>
      <c r="G146" s="1185"/>
      <c r="H146" s="1185"/>
      <c r="I146" s="1185"/>
    </row>
    <row r="147" spans="2:12" x14ac:dyDescent="0.35">
      <c r="B147" s="366"/>
      <c r="C147" s="1151" t="s">
        <v>5808</v>
      </c>
      <c r="D147" s="1151"/>
      <c r="E147" s="1151"/>
      <c r="F147" s="1151"/>
      <c r="G147" s="1151"/>
      <c r="H147" s="1151"/>
      <c r="I147" s="1151"/>
    </row>
    <row r="148" spans="2:12" ht="3" customHeight="1" x14ac:dyDescent="0.35">
      <c r="B148" s="366"/>
      <c r="C148" s="562"/>
      <c r="D148" s="366"/>
      <c r="E148" s="366"/>
      <c r="F148" s="366"/>
      <c r="G148" s="366"/>
      <c r="H148" s="366"/>
      <c r="I148" s="366"/>
    </row>
    <row r="149" spans="2:12" x14ac:dyDescent="0.35">
      <c r="B149" s="366"/>
      <c r="C149" s="562" t="s">
        <v>4860</v>
      </c>
      <c r="D149" s="366"/>
      <c r="E149" s="366"/>
      <c r="F149" s="366"/>
      <c r="G149" s="366"/>
      <c r="H149" s="366"/>
      <c r="I149" s="366"/>
    </row>
    <row r="150" spans="2:12" ht="3" customHeight="1" x14ac:dyDescent="0.35">
      <c r="B150" s="366"/>
      <c r="C150" s="562"/>
      <c r="D150" s="366"/>
      <c r="E150" s="366"/>
      <c r="F150" s="366"/>
      <c r="G150" s="366"/>
      <c r="H150" s="366"/>
      <c r="I150" s="366"/>
    </row>
    <row r="151" spans="2:12" ht="30" customHeight="1" x14ac:dyDescent="0.35">
      <c r="B151" s="366"/>
      <c r="C151" s="1186" t="s">
        <v>4861</v>
      </c>
      <c r="D151" s="1186"/>
      <c r="E151" s="1186"/>
      <c r="F151" s="1186"/>
      <c r="G151" s="1186"/>
      <c r="H151" s="1186"/>
      <c r="I151" s="1186"/>
      <c r="J151" s="565"/>
    </row>
    <row r="152" spans="2:12" ht="3" customHeight="1" x14ac:dyDescent="0.35">
      <c r="B152" s="366"/>
      <c r="C152" s="562"/>
      <c r="D152" s="366"/>
      <c r="E152" s="366"/>
      <c r="F152" s="366"/>
      <c r="G152" s="366"/>
      <c r="H152" s="366"/>
      <c r="I152" s="366"/>
    </row>
    <row r="153" spans="2:12" ht="30" customHeight="1" x14ac:dyDescent="0.35">
      <c r="B153" s="366"/>
      <c r="C153" s="1185" t="s">
        <v>4862</v>
      </c>
      <c r="D153" s="1185"/>
      <c r="E153" s="1185"/>
      <c r="F153" s="1185"/>
      <c r="G153" s="1185"/>
      <c r="H153" s="1185"/>
      <c r="I153" s="1185"/>
      <c r="K153" s="563"/>
      <c r="L153" s="563"/>
    </row>
    <row r="154" spans="2:12" ht="3" customHeight="1" x14ac:dyDescent="0.35">
      <c r="B154" s="366"/>
      <c r="C154" s="562"/>
      <c r="D154" s="366"/>
      <c r="E154" s="366"/>
      <c r="F154" s="366"/>
      <c r="G154" s="366"/>
      <c r="H154" s="366"/>
      <c r="I154" s="366"/>
    </row>
    <row r="155" spans="2:12" x14ac:dyDescent="0.35">
      <c r="B155" s="366"/>
      <c r="C155" s="562" t="s">
        <v>5809</v>
      </c>
      <c r="D155" s="366"/>
      <c r="E155" s="366"/>
      <c r="F155" s="366"/>
      <c r="G155" s="366"/>
      <c r="H155" s="366"/>
      <c r="I155" s="366"/>
    </row>
    <row r="158" spans="2:12" x14ac:dyDescent="0.35">
      <c r="C158" s="216" t="s">
        <v>6091</v>
      </c>
    </row>
    <row r="160" spans="2:12" x14ac:dyDescent="0.35">
      <c r="C160" s="760" t="s">
        <v>4832</v>
      </c>
      <c r="D160" s="760"/>
      <c r="E160" s="760"/>
      <c r="F160" s="760"/>
      <c r="G160" s="760"/>
      <c r="H160" s="760"/>
    </row>
    <row r="161" spans="2:8" x14ac:dyDescent="0.35">
      <c r="C161" s="760"/>
      <c r="D161" s="760"/>
      <c r="E161" s="760"/>
      <c r="F161" s="760"/>
      <c r="G161" s="760"/>
      <c r="H161" s="760"/>
    </row>
    <row r="163" spans="2:8" ht="58" x14ac:dyDescent="0.35">
      <c r="C163" s="367" t="s">
        <v>4829</v>
      </c>
      <c r="D163" s="367" t="s">
        <v>4830</v>
      </c>
      <c r="E163" s="367" t="s">
        <v>4831</v>
      </c>
      <c r="F163" s="1187" t="s">
        <v>1</v>
      </c>
      <c r="G163" s="1187"/>
      <c r="H163" s="1187"/>
    </row>
    <row r="164" spans="2:8" x14ac:dyDescent="0.35">
      <c r="B164" s="6">
        <v>1</v>
      </c>
      <c r="C164" s="558" t="s">
        <v>6107</v>
      </c>
      <c r="D164" s="559"/>
      <c r="E164" s="559"/>
      <c r="F164" s="1154" t="s">
        <v>6107</v>
      </c>
      <c r="G164" s="1154"/>
      <c r="H164" s="1154"/>
    </row>
    <row r="165" spans="2:8" x14ac:dyDescent="0.35">
      <c r="B165" s="6">
        <v>2</v>
      </c>
      <c r="C165" s="558" t="s">
        <v>6107</v>
      </c>
      <c r="D165" s="559"/>
      <c r="E165" s="559"/>
      <c r="F165" s="1154" t="s">
        <v>6107</v>
      </c>
      <c r="G165" s="1154"/>
      <c r="H165" s="1154"/>
    </row>
    <row r="166" spans="2:8" x14ac:dyDescent="0.35">
      <c r="B166" s="6">
        <v>3</v>
      </c>
      <c r="C166" s="558" t="s">
        <v>6107</v>
      </c>
      <c r="D166" s="559"/>
      <c r="E166" s="559"/>
      <c r="F166" s="1154" t="s">
        <v>6107</v>
      </c>
      <c r="G166" s="1154"/>
      <c r="H166" s="1154"/>
    </row>
    <row r="167" spans="2:8" x14ac:dyDescent="0.35">
      <c r="B167" s="6">
        <v>4</v>
      </c>
      <c r="C167" s="558" t="s">
        <v>6107</v>
      </c>
      <c r="D167" s="559"/>
      <c r="E167" s="559"/>
      <c r="F167" s="1154" t="s">
        <v>6107</v>
      </c>
      <c r="G167" s="1154"/>
      <c r="H167" s="1154"/>
    </row>
    <row r="168" spans="2:8" x14ac:dyDescent="0.35">
      <c r="B168" s="6">
        <v>5</v>
      </c>
      <c r="C168" s="558" t="s">
        <v>6107</v>
      </c>
      <c r="D168" s="559"/>
      <c r="E168" s="559"/>
      <c r="F168" s="1154" t="s">
        <v>6107</v>
      </c>
      <c r="G168" s="1154"/>
      <c r="H168" s="1154"/>
    </row>
    <row r="169" spans="2:8" x14ac:dyDescent="0.35">
      <c r="B169" s="6">
        <v>6</v>
      </c>
      <c r="C169" s="558" t="s">
        <v>6107</v>
      </c>
      <c r="D169" s="559"/>
      <c r="E169" s="559"/>
      <c r="F169" s="1154" t="s">
        <v>6107</v>
      </c>
      <c r="G169" s="1154"/>
      <c r="H169" s="1154"/>
    </row>
    <row r="170" spans="2:8" x14ac:dyDescent="0.35">
      <c r="B170" s="6">
        <v>7</v>
      </c>
      <c r="C170" s="558" t="s">
        <v>6107</v>
      </c>
      <c r="D170" s="559"/>
      <c r="E170" s="559"/>
      <c r="F170" s="1154" t="s">
        <v>6107</v>
      </c>
      <c r="G170" s="1154"/>
      <c r="H170" s="1154"/>
    </row>
    <row r="171" spans="2:8" x14ac:dyDescent="0.35">
      <c r="B171" s="6">
        <v>8</v>
      </c>
      <c r="C171" s="558" t="s">
        <v>6107</v>
      </c>
      <c r="D171" s="559"/>
      <c r="E171" s="559"/>
      <c r="F171" s="1154" t="s">
        <v>6107</v>
      </c>
      <c r="G171" s="1154"/>
      <c r="H171" s="1154"/>
    </row>
    <row r="172" spans="2:8" x14ac:dyDescent="0.35">
      <c r="B172" s="6">
        <v>9</v>
      </c>
      <c r="C172" s="558" t="s">
        <v>6107</v>
      </c>
      <c r="D172" s="559"/>
      <c r="E172" s="559"/>
      <c r="F172" s="1154" t="s">
        <v>6107</v>
      </c>
      <c r="G172" s="1154"/>
      <c r="H172" s="1154"/>
    </row>
    <row r="173" spans="2:8" x14ac:dyDescent="0.35">
      <c r="B173" s="6">
        <v>10</v>
      </c>
      <c r="C173" s="558" t="s">
        <v>6107</v>
      </c>
      <c r="D173" s="559"/>
      <c r="E173" s="559"/>
      <c r="F173" s="1154" t="s">
        <v>6107</v>
      </c>
      <c r="G173" s="1154"/>
      <c r="H173" s="1154"/>
    </row>
    <row r="174" spans="2:8" x14ac:dyDescent="0.35">
      <c r="B174" s="6">
        <v>11</v>
      </c>
      <c r="C174" s="558" t="s">
        <v>6107</v>
      </c>
      <c r="D174" s="559"/>
      <c r="E174" s="559"/>
      <c r="F174" s="1154" t="s">
        <v>6107</v>
      </c>
      <c r="G174" s="1154"/>
      <c r="H174" s="1154"/>
    </row>
    <row r="175" spans="2:8" x14ac:dyDescent="0.35">
      <c r="B175" s="6">
        <v>12</v>
      </c>
      <c r="C175" s="558" t="s">
        <v>6107</v>
      </c>
      <c r="D175" s="559"/>
      <c r="E175" s="559"/>
      <c r="F175" s="1154" t="s">
        <v>6107</v>
      </c>
      <c r="G175" s="1154"/>
      <c r="H175" s="1154"/>
    </row>
    <row r="176" spans="2:8" x14ac:dyDescent="0.35">
      <c r="B176" s="6">
        <v>13</v>
      </c>
      <c r="C176" s="558" t="s">
        <v>6107</v>
      </c>
      <c r="D176" s="559"/>
      <c r="E176" s="559"/>
      <c r="F176" s="1154" t="s">
        <v>6107</v>
      </c>
      <c r="G176" s="1154"/>
      <c r="H176" s="1154"/>
    </row>
    <row r="177" spans="2:11" x14ac:dyDescent="0.35">
      <c r="B177" s="6">
        <v>14</v>
      </c>
      <c r="C177" s="558" t="s">
        <v>6107</v>
      </c>
      <c r="D177" s="559"/>
      <c r="E177" s="559"/>
      <c r="F177" s="1154" t="s">
        <v>6107</v>
      </c>
      <c r="G177" s="1154"/>
      <c r="H177" s="1154"/>
    </row>
    <row r="178" spans="2:11" x14ac:dyDescent="0.35">
      <c r="B178" s="6">
        <v>15</v>
      </c>
      <c r="C178" s="558" t="s">
        <v>6107</v>
      </c>
      <c r="D178" s="559"/>
      <c r="E178" s="559"/>
      <c r="F178" s="1154" t="s">
        <v>6107</v>
      </c>
      <c r="G178" s="1154"/>
      <c r="H178" s="1154"/>
    </row>
    <row r="179" spans="2:11" x14ac:dyDescent="0.35">
      <c r="B179" s="6">
        <v>16</v>
      </c>
      <c r="C179" s="558" t="s">
        <v>6107</v>
      </c>
      <c r="D179" s="559"/>
      <c r="E179" s="559"/>
      <c r="F179" s="1154" t="s">
        <v>6107</v>
      </c>
      <c r="G179" s="1154"/>
      <c r="H179" s="1154"/>
    </row>
    <row r="180" spans="2:11" x14ac:dyDescent="0.35">
      <c r="C180" s="1183" t="s">
        <v>4866</v>
      </c>
      <c r="D180" s="360" t="str">
        <f>"TOTAL: "&amp;SUM(D164:D179)</f>
        <v>TOTAL: 0</v>
      </c>
      <c r="E180" s="360" t="str">
        <f>"TOTAL: "&amp;SUM(E164:E179)</f>
        <v>TOTAL: 0</v>
      </c>
      <c r="F180" s="1181" t="s">
        <v>4865</v>
      </c>
      <c r="G180" s="1182"/>
      <c r="H180" s="1182"/>
      <c r="K180" s="279">
        <f>IFERROR(SUM(E164:E179)/SUM(D164:D179),0)</f>
        <v>0</v>
      </c>
    </row>
    <row r="181" spans="2:11" x14ac:dyDescent="0.35">
      <c r="C181" s="1184"/>
      <c r="F181" s="1182"/>
      <c r="G181" s="1182"/>
      <c r="H181" s="1182"/>
    </row>
    <row r="182" spans="2:11" x14ac:dyDescent="0.35">
      <c r="C182" s="1184"/>
      <c r="F182" s="1182"/>
      <c r="G182" s="1182"/>
      <c r="H182" s="1182"/>
    </row>
    <row r="183" spans="2:11" x14ac:dyDescent="0.35">
      <c r="C183" s="565"/>
      <c r="F183" s="1182"/>
      <c r="G183" s="1182"/>
      <c r="H183" s="1182"/>
    </row>
    <row r="184" spans="2:11" x14ac:dyDescent="0.35">
      <c r="F184" s="1182"/>
      <c r="G184" s="1182"/>
      <c r="H184" s="1182"/>
    </row>
    <row r="185" spans="2:11" x14ac:dyDescent="0.35">
      <c r="F185" s="1182"/>
      <c r="G185" s="1182"/>
      <c r="H185" s="1182"/>
    </row>
  </sheetData>
  <sheetProtection algorithmName="SHA-512" hashValue="hkb8THmA+40a20OyDK0RxZsP6N6MpbpVTZAU6+SUelh94GiIlBDYvnTejqA1l5hwtTl/NidFfS9+NRWR15++Bg==" saltValue="ApF/M3KBaP6eFvTwFWLHSw==" spinCount="100000" sheet="1" objects="1" scenarios="1" selectLockedCells="1"/>
  <mergeCells count="128">
    <mergeCell ref="F180:H185"/>
    <mergeCell ref="C180:C182"/>
    <mergeCell ref="C87:D87"/>
    <mergeCell ref="C94:D94"/>
    <mergeCell ref="C95:D95"/>
    <mergeCell ref="C96:D96"/>
    <mergeCell ref="C89:D89"/>
    <mergeCell ref="C90:D90"/>
    <mergeCell ref="C91:D91"/>
    <mergeCell ref="C92:D92"/>
    <mergeCell ref="C93:D93"/>
    <mergeCell ref="C136:D136"/>
    <mergeCell ref="C88:D88"/>
    <mergeCell ref="C97:D97"/>
    <mergeCell ref="C98:D98"/>
    <mergeCell ref="C145:I146"/>
    <mergeCell ref="C151:I151"/>
    <mergeCell ref="C135:D135"/>
    <mergeCell ref="F176:H176"/>
    <mergeCell ref="F177:H177"/>
    <mergeCell ref="C153:I153"/>
    <mergeCell ref="C160:H161"/>
    <mergeCell ref="F179:H179"/>
    <mergeCell ref="F163:H163"/>
    <mergeCell ref="D1:I5"/>
    <mergeCell ref="G12:I12"/>
    <mergeCell ref="G14:I14"/>
    <mergeCell ref="G8:I8"/>
    <mergeCell ref="C10:D10"/>
    <mergeCell ref="E75:F75"/>
    <mergeCell ref="G10:I10"/>
    <mergeCell ref="C43:D43"/>
    <mergeCell ref="C45:D45"/>
    <mergeCell ref="C47:D47"/>
    <mergeCell ref="E74:F74"/>
    <mergeCell ref="G74:H74"/>
    <mergeCell ref="A55:B55"/>
    <mergeCell ref="C49:D49"/>
    <mergeCell ref="A57:B57"/>
    <mergeCell ref="A59:B59"/>
    <mergeCell ref="A61:B61"/>
    <mergeCell ref="A53:B53"/>
    <mergeCell ref="A54:B54"/>
    <mergeCell ref="C53:I55"/>
    <mergeCell ref="E79:F79"/>
    <mergeCell ref="A63:B63"/>
    <mergeCell ref="D63:D65"/>
    <mergeCell ref="A65:B65"/>
    <mergeCell ref="A67:B67"/>
    <mergeCell ref="C72:I72"/>
    <mergeCell ref="E78:F78"/>
    <mergeCell ref="A39:B39"/>
    <mergeCell ref="A40:B40"/>
    <mergeCell ref="A41:B41"/>
    <mergeCell ref="C8:D8"/>
    <mergeCell ref="A8:B8"/>
    <mergeCell ref="A10:B10"/>
    <mergeCell ref="A12:B12"/>
    <mergeCell ref="A14:B14"/>
    <mergeCell ref="A16:B16"/>
    <mergeCell ref="C12:D12"/>
    <mergeCell ref="C39:I41"/>
    <mergeCell ref="G16:I16"/>
    <mergeCell ref="F18:I18"/>
    <mergeCell ref="E20:E21"/>
    <mergeCell ref="C14:D14"/>
    <mergeCell ref="C16:D16"/>
    <mergeCell ref="C18:D18"/>
    <mergeCell ref="C34:D34"/>
    <mergeCell ref="C86:D86"/>
    <mergeCell ref="G75:H75"/>
    <mergeCell ref="G76:H76"/>
    <mergeCell ref="G77:H77"/>
    <mergeCell ref="G78:H78"/>
    <mergeCell ref="G79:H79"/>
    <mergeCell ref="E76:F76"/>
    <mergeCell ref="E77:F77"/>
    <mergeCell ref="C134:D134"/>
    <mergeCell ref="C129:D129"/>
    <mergeCell ref="C130:D130"/>
    <mergeCell ref="C131:D131"/>
    <mergeCell ref="C132:D132"/>
    <mergeCell ref="C133:D133"/>
    <mergeCell ref="C113:D113"/>
    <mergeCell ref="F164:H164"/>
    <mergeCell ref="F165:H165"/>
    <mergeCell ref="F166:H166"/>
    <mergeCell ref="F167:H167"/>
    <mergeCell ref="F168:H168"/>
    <mergeCell ref="F169:H169"/>
    <mergeCell ref="F170:H170"/>
    <mergeCell ref="F171:H171"/>
    <mergeCell ref="F172:H172"/>
    <mergeCell ref="F173:H173"/>
    <mergeCell ref="F174:H174"/>
    <mergeCell ref="F175:H175"/>
    <mergeCell ref="F178:H178"/>
    <mergeCell ref="C114:D114"/>
    <mergeCell ref="C115:D115"/>
    <mergeCell ref="C116:D116"/>
    <mergeCell ref="C117:D117"/>
    <mergeCell ref="C118:D118"/>
    <mergeCell ref="F87:F136"/>
    <mergeCell ref="C99:D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47:I147"/>
    <mergeCell ref="C124:D124"/>
    <mergeCell ref="C125:D125"/>
    <mergeCell ref="C126:D126"/>
    <mergeCell ref="C127:D127"/>
    <mergeCell ref="C128:D128"/>
    <mergeCell ref="C119:D119"/>
    <mergeCell ref="C120:D120"/>
    <mergeCell ref="C121:D121"/>
    <mergeCell ref="C122:D122"/>
    <mergeCell ref="C123:D123"/>
  </mergeCells>
  <conditionalFormatting sqref="F24:I29">
    <cfRule type="cellIs" dxfId="57" priority="30" operator="lessThanOrEqual">
      <formula>$E24</formula>
    </cfRule>
  </conditionalFormatting>
  <conditionalFormatting sqref="F32:I32">
    <cfRule type="cellIs" dxfId="56" priority="26" operator="lessThanOrEqual">
      <formula>$E32</formula>
    </cfRule>
  </conditionalFormatting>
  <conditionalFormatting sqref="G8">
    <cfRule type="expression" dxfId="55" priority="20">
      <formula>G8="Gold"</formula>
    </cfRule>
    <cfRule type="expression" dxfId="54" priority="21">
      <formula>G8="Silver"</formula>
    </cfRule>
    <cfRule type="expression" dxfId="53" priority="22">
      <formula>G8="Bronze"</formula>
    </cfRule>
    <cfRule type="expression" dxfId="52" priority="23">
      <formula>G8="Emerald"</formula>
    </cfRule>
  </conditionalFormatting>
  <conditionalFormatting sqref="F18:I18">
    <cfRule type="expression" dxfId="51" priority="18">
      <formula>$K$18</formula>
    </cfRule>
  </conditionalFormatting>
  <conditionalFormatting sqref="C39 C43 C45 C47 C49 C53 C57 C59 C61 C63 C65 C67 C75:H79 C87:D96 F87 H87:I136">
    <cfRule type="notContainsBlanks" dxfId="50" priority="16">
      <formula>LEN(TRIM(C39))&gt;0</formula>
    </cfRule>
  </conditionalFormatting>
  <conditionalFormatting sqref="C75:H79 C87:D96 H87:I136">
    <cfRule type="expression" dxfId="49" priority="4755">
      <formula>$L75</formula>
    </cfRule>
  </conditionalFormatting>
  <conditionalFormatting sqref="C97:D136">
    <cfRule type="notContainsBlanks" dxfId="48" priority="14">
      <formula>LEN(TRIM(C97))&gt;0</formula>
    </cfRule>
  </conditionalFormatting>
  <conditionalFormatting sqref="C97:D136">
    <cfRule type="expression" dxfId="47" priority="15">
      <formula>$L97</formula>
    </cfRule>
  </conditionalFormatting>
  <conditionalFormatting sqref="C164:H179">
    <cfRule type="notContainsBlanks" dxfId="46" priority="13">
      <formula>LEN(TRIM(C164))&gt;0</formula>
    </cfRule>
  </conditionalFormatting>
  <conditionalFormatting sqref="D180:E180">
    <cfRule type="expression" dxfId="45" priority="10">
      <formula>$K$180&gt;=0.2</formula>
    </cfRule>
    <cfRule type="expression" dxfId="44" priority="11">
      <formula>$K$180&gt;=(1/7)</formula>
    </cfRule>
    <cfRule type="expression" dxfId="43" priority="12">
      <formula>$K$180&gt;0</formula>
    </cfRule>
  </conditionalFormatting>
  <conditionalFormatting sqref="C180:C182">
    <cfRule type="expression" dxfId="42" priority="9">
      <formula>AND($K$180&gt;0,$K$180&lt;(1/7))</formula>
    </cfRule>
  </conditionalFormatting>
  <conditionalFormatting sqref="F180:H185">
    <cfRule type="expression" dxfId="41" priority="8">
      <formula>AND($K$180&gt;=(1/7),$K$180&lt;0.2)</formula>
    </cfRule>
  </conditionalFormatting>
  <conditionalFormatting sqref="E87:E136">
    <cfRule type="notContainsBlanks" dxfId="40" priority="3">
      <formula>LEN(TRIM(E87))&gt;0</formula>
    </cfRule>
  </conditionalFormatting>
  <conditionalFormatting sqref="E87:E136">
    <cfRule type="expression" dxfId="39" priority="4">
      <formula>$L87</formula>
    </cfRule>
  </conditionalFormatting>
  <conditionalFormatting sqref="G87:G136">
    <cfRule type="notContainsBlanks" dxfId="38" priority="1">
      <formula>LEN(TRIM(G87))&gt;0</formula>
    </cfRule>
  </conditionalFormatting>
  <conditionalFormatting sqref="G87:G136">
    <cfRule type="expression" dxfId="37" priority="2">
      <formula>$L87</formula>
    </cfRule>
  </conditionalFormatting>
  <dataValidations count="1">
    <dataValidation type="whole" allowBlank="1" showInputMessage="1" showErrorMessage="1" sqref="D164:E179" xr:uid="{BE6E0183-838A-4588-992F-6052484E1BE2}">
      <formula1>0</formula1>
      <formula2>10000</formula2>
    </dataValidation>
  </dataValidations>
  <pageMargins left="0.7" right="0.7" top="0.75" bottom="0.75" header="0.3" footer="0.3"/>
  <pageSetup scale="57" fitToHeight="0" orientation="portrait" r:id="rId1"/>
  <rowBreaks count="2" manualBreakCount="2">
    <brk id="82" max="16383" man="1"/>
    <brk id="156"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29" stopIfTrue="1" id="{DDABF1C9-C1A1-4C38-A492-5D0883D9EF43}">
            <xm:f>Points!$Y10&lt;3</xm:f>
            <x14:dxf>
              <fill>
                <patternFill patternType="lightGray"/>
              </fill>
            </x14:dxf>
          </x14:cfRule>
          <xm:sqref>H26</xm:sqref>
        </x14:conditionalFormatting>
        <x14:conditionalFormatting xmlns:xm="http://schemas.microsoft.com/office/excel/2006/main">
          <x14:cfRule type="expression" priority="28" stopIfTrue="1" id="{D71DE272-16BC-4289-8D4F-146DEF81DDC7}">
            <xm:f>Points!$Y10&lt;4</xm:f>
            <x14:dxf>
              <fill>
                <patternFill patternType="lightGray"/>
              </fill>
            </x14:dxf>
          </x14:cfRule>
          <xm:sqref>I26</xm:sqref>
        </x14:conditionalFormatting>
        <x14:conditionalFormatting xmlns:xm="http://schemas.microsoft.com/office/excel/2006/main">
          <x14:cfRule type="expression" priority="19" id="{128E1DF5-B51E-4D75-80EB-08F9971F1789}">
            <xm:f>OR('Verification Report'!$AI$3,'Verification Report'!$AG$3)</xm:f>
            <x14:dxf>
              <font>
                <b/>
                <i val="0"/>
                <color theme="1"/>
              </font>
              <fill>
                <patternFill>
                  <bgColor rgb="FFFF0000"/>
                </patternFill>
              </fill>
            </x14:dxf>
          </x14:cfRule>
          <xm:sqref>C18:D18</xm:sqref>
        </x14:conditionalFormatting>
        <x14:conditionalFormatting xmlns:xm="http://schemas.microsoft.com/office/excel/2006/main">
          <x14:cfRule type="expression" priority="5" id="{C3157C43-CBFD-4C60-9B10-4941A8BD7A8E}">
            <xm:f>('Overview (Verification)'!$P$20="Yes")</xm:f>
            <x14:dxf>
              <font>
                <b/>
                <i val="0"/>
                <color theme="1"/>
              </font>
              <fill>
                <patternFill>
                  <bgColor rgb="FFFFFF00"/>
                </patternFill>
              </fill>
              <border>
                <left style="thin">
                  <color auto="1"/>
                </left>
                <right style="thin">
                  <color auto="1"/>
                </right>
                <top style="thin">
                  <color auto="1"/>
                </top>
                <bottom style="thin">
                  <color auto="1"/>
                </bottom>
              </border>
            </x14:dxf>
          </x14:cfRule>
          <xm:sqref>C34:D34</xm:sqref>
        </x14:conditionalFormatting>
        <x14:conditionalFormatting xmlns:xm="http://schemas.microsoft.com/office/excel/2006/main">
          <x14:cfRule type="expression" priority="13455" stopIfTrue="1" id="{DDABF1C9-C1A1-4C38-A492-5D0883D9EF43}">
            <xm:f>Points!$Y12&lt;3</xm:f>
            <x14:dxf>
              <fill>
                <patternFill patternType="lightGray"/>
              </fill>
            </x14:dxf>
          </x14:cfRule>
          <xm:sqref>H27</xm:sqref>
        </x14:conditionalFormatting>
        <x14:conditionalFormatting xmlns:xm="http://schemas.microsoft.com/office/excel/2006/main">
          <x14:cfRule type="expression" priority="13457" stopIfTrue="1" id="{D71DE272-16BC-4289-8D4F-146DEF81DDC7}">
            <xm:f>Points!$Y12&lt;4</xm:f>
            <x14:dxf>
              <fill>
                <patternFill patternType="lightGray"/>
              </fill>
            </x14:dxf>
          </x14:cfRule>
          <xm:sqref>I27</xm:sqref>
        </x14:conditionalFormatting>
        <x14:conditionalFormatting xmlns:xm="http://schemas.microsoft.com/office/excel/2006/main">
          <x14:cfRule type="expression" priority="13458" stopIfTrue="1" id="{F8739ABB-6B55-48D6-B2F0-82315F2C898B}">
            <xm:f>MIN(Points!$Y$10:$Y$12)&lt;3</xm:f>
            <x14:dxf>
              <fill>
                <patternFill patternType="lightGray"/>
              </fill>
            </x14:dxf>
          </x14:cfRule>
          <xm:sqref>H32</xm:sqref>
        </x14:conditionalFormatting>
        <x14:conditionalFormatting xmlns:xm="http://schemas.microsoft.com/office/excel/2006/main">
          <x14:cfRule type="expression" priority="13459" id="{8C727C8C-E261-4E43-A18E-EEBDB77E3D7F}">
            <xm:f>MIN(Points!$Y$10:$Y$12)&lt;4</xm:f>
            <x14:dxf>
              <fill>
                <patternFill patternType="lightGray"/>
              </fill>
            </x14:dxf>
          </x14:cfRule>
          <xm:sqref>I32</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N185"/>
  <sheetViews>
    <sheetView showGridLines="0" zoomScaleNormal="100" workbookViewId="0">
      <selection activeCell="S48" sqref="S48"/>
    </sheetView>
  </sheetViews>
  <sheetFormatPr defaultColWidth="9.1796875" defaultRowHeight="14.5" x14ac:dyDescent="0.35"/>
  <cols>
    <col min="1" max="2" width="10.7265625" customWidth="1"/>
    <col min="3" max="3" width="43.26953125" customWidth="1"/>
    <col min="4" max="11" width="15.7265625" customWidth="1"/>
    <col min="12" max="13" width="15.7265625" hidden="1" customWidth="1"/>
    <col min="14" max="14" width="9.1796875" hidden="1" customWidth="1"/>
    <col min="15" max="15" width="9.1796875" customWidth="1"/>
  </cols>
  <sheetData>
    <row r="1" spans="1:14" x14ac:dyDescent="0.35">
      <c r="D1" s="834" t="s">
        <v>4873</v>
      </c>
      <c r="E1" s="834"/>
      <c r="F1" s="834"/>
      <c r="G1" s="834"/>
      <c r="H1" s="834"/>
      <c r="I1" s="834"/>
    </row>
    <row r="2" spans="1:14" x14ac:dyDescent="0.35">
      <c r="D2" s="834"/>
      <c r="E2" s="834"/>
      <c r="F2" s="834"/>
      <c r="G2" s="834"/>
      <c r="H2" s="834"/>
      <c r="I2" s="834"/>
    </row>
    <row r="3" spans="1:14" x14ac:dyDescent="0.35">
      <c r="D3" s="834"/>
      <c r="E3" s="834"/>
      <c r="F3" s="834"/>
      <c r="G3" s="834"/>
      <c r="H3" s="834"/>
      <c r="I3" s="834"/>
    </row>
    <row r="4" spans="1:14" x14ac:dyDescent="0.35">
      <c r="D4" s="834"/>
      <c r="E4" s="834"/>
      <c r="F4" s="834"/>
      <c r="G4" s="834"/>
      <c r="H4" s="834"/>
      <c r="I4" s="834"/>
    </row>
    <row r="5" spans="1:14" x14ac:dyDescent="0.35">
      <c r="D5" s="834"/>
      <c r="E5" s="834"/>
      <c r="F5" s="834"/>
      <c r="G5" s="834"/>
      <c r="H5" s="834"/>
      <c r="I5" s="834"/>
    </row>
    <row r="6" spans="1:14" ht="18.5" x14ac:dyDescent="0.45">
      <c r="A6" s="435"/>
      <c r="B6" s="435"/>
      <c r="C6" s="10" t="s">
        <v>5798</v>
      </c>
      <c r="D6" s="435"/>
      <c r="E6" s="435"/>
      <c r="F6" s="435"/>
      <c r="G6" s="435"/>
      <c r="H6" s="435"/>
      <c r="I6" s="435"/>
      <c r="J6" s="21"/>
      <c r="L6" s="21" t="s">
        <v>247</v>
      </c>
      <c r="M6" s="21" t="s">
        <v>247</v>
      </c>
      <c r="N6" s="21" t="s">
        <v>247</v>
      </c>
    </row>
    <row r="8" spans="1:14" x14ac:dyDescent="0.35">
      <c r="A8" s="771" t="s">
        <v>3838</v>
      </c>
      <c r="B8" s="771"/>
      <c r="C8" s="1159" t="str">
        <f>IF(dstBatch,"See Batch Submission",IF('Overview (Verification)'!P8="","None entered on ""Overview (Verification)"" Sheet",'Overview (Verification)'!P8))</f>
        <v>None entered on "Overview (Verification)" Sheet</v>
      </c>
      <c r="D8" s="1159"/>
      <c r="E8" s="216"/>
      <c r="F8" s="379" t="s">
        <v>3988</v>
      </c>
      <c r="G8" s="1191" t="str">
        <f ca="1">Points!AC22</f>
        <v>None</v>
      </c>
      <c r="H8" s="1191"/>
      <c r="I8" s="1191"/>
    </row>
    <row r="9" spans="1:14" ht="3" customHeight="1" x14ac:dyDescent="0.35">
      <c r="C9" s="3"/>
      <c r="D9" s="3"/>
      <c r="E9" s="216"/>
      <c r="F9" s="379"/>
      <c r="G9" s="3"/>
      <c r="H9" s="3"/>
      <c r="I9" s="3"/>
    </row>
    <row r="10" spans="1:14" x14ac:dyDescent="0.35">
      <c r="A10" s="771" t="s">
        <v>3840</v>
      </c>
      <c r="B10" s="771"/>
      <c r="C10" s="1159" t="str">
        <f>IF('Overview (Verification)'!P10="","None entered on ""Overview (Verification)"" Sheet",'Overview (Verification)'!P10)</f>
        <v>None entered on "Overview (Verification)" Sheet</v>
      </c>
      <c r="D10" s="1159"/>
      <c r="E10" s="216"/>
      <c r="F10" s="379" t="s">
        <v>3841</v>
      </c>
      <c r="G10" s="768" t="str">
        <f>'Overview (Verification)'!P18</f>
        <v>Single-Family</v>
      </c>
      <c r="H10" s="768"/>
      <c r="I10" s="768"/>
    </row>
    <row r="11" spans="1:14" ht="3" customHeight="1" x14ac:dyDescent="0.35">
      <c r="A11" s="216"/>
      <c r="B11" s="216"/>
      <c r="C11" s="3"/>
      <c r="D11" s="391"/>
      <c r="E11" s="216"/>
      <c r="F11" s="379"/>
      <c r="G11" s="365"/>
      <c r="H11" s="365"/>
      <c r="I11" s="365"/>
    </row>
    <row r="12" spans="1:14" x14ac:dyDescent="0.35">
      <c r="A12" s="771" t="s">
        <v>3987</v>
      </c>
      <c r="B12" s="771"/>
      <c r="C12" s="1159" t="str">
        <f>IF(dstBatch,"See Batch Submission",IF('Overview (Verification)'!P13="","None entered on ""Overview (Verification)"" Sheet",'Overview (Verification)'!P11&amp;", "&amp;'Overview (Verification)'!P13&amp;", "&amp;'Overview (Verification)'!P14&amp;"  "&amp;'Overview (Verification)'!P16))</f>
        <v>None entered on "Overview (Verification)" Sheet</v>
      </c>
      <c r="D12" s="1159"/>
      <c r="E12" s="216"/>
      <c r="F12" s="379" t="s">
        <v>156</v>
      </c>
      <c r="G12" s="1178">
        <f>IF('Overview (Verification)'!P19&lt;&gt;"",'Overview (Verification)'!P19,1)</f>
        <v>1</v>
      </c>
      <c r="H12" s="1178"/>
      <c r="I12" s="1178"/>
    </row>
    <row r="13" spans="1:14" ht="3" customHeight="1" x14ac:dyDescent="0.35">
      <c r="A13" s="216"/>
      <c r="B13" s="216"/>
      <c r="C13" s="3"/>
      <c r="D13" s="391"/>
      <c r="E13" s="216"/>
      <c r="F13" s="379"/>
      <c r="G13" s="365"/>
      <c r="H13" s="365"/>
      <c r="I13" s="365"/>
    </row>
    <row r="14" spans="1:14" x14ac:dyDescent="0.35">
      <c r="A14" s="771" t="s">
        <v>130</v>
      </c>
      <c r="B14" s="771"/>
      <c r="C14" s="1159" t="str">
        <f>IF('Overview (Verification)'!P12="","None entered on ""Overview (Verification)"" Sheet",'Overview (Verification)'!P12)</f>
        <v>None entered on "Overview (Verification)" Sheet</v>
      </c>
      <c r="D14" s="1159"/>
      <c r="E14" s="216"/>
      <c r="F14" s="379" t="s">
        <v>4087</v>
      </c>
      <c r="G14" s="768" t="str">
        <f>'Overview (Verification)'!P26</f>
        <v/>
      </c>
      <c r="H14" s="768"/>
      <c r="I14" s="768"/>
    </row>
    <row r="15" spans="1:14" ht="3" customHeight="1" x14ac:dyDescent="0.35">
      <c r="A15" s="216"/>
      <c r="B15" s="216"/>
      <c r="C15" s="3"/>
      <c r="D15" s="391"/>
      <c r="E15" s="216"/>
      <c r="F15" s="379"/>
      <c r="G15" s="365"/>
      <c r="H15" s="365"/>
      <c r="I15" s="365"/>
    </row>
    <row r="16" spans="1:14" x14ac:dyDescent="0.35">
      <c r="A16" s="771" t="s">
        <v>3617</v>
      </c>
      <c r="B16" s="771"/>
      <c r="C16" s="1159" t="str">
        <f>'Overview (Verification)'!U11&amp;" "&amp;'Overview (Verification)'!V11&amp;" "&amp;'Overview (Verification)'!W11&amp;" "&amp;'Overview (Verification)'!Y11</f>
        <v>!! !! !! !!</v>
      </c>
      <c r="D16" s="1159"/>
      <c r="E16" s="216"/>
      <c r="F16" s="379" t="s">
        <v>3842</v>
      </c>
      <c r="G16" s="768" t="str">
        <f>'Overview (Verification)'!P30</f>
        <v/>
      </c>
      <c r="H16" s="768"/>
      <c r="I16" s="768"/>
    </row>
    <row r="17" spans="1:12" ht="3" customHeight="1" x14ac:dyDescent="0.35">
      <c r="A17" s="6"/>
      <c r="B17" s="6"/>
      <c r="C17" s="2"/>
      <c r="D17" s="2"/>
      <c r="E17" s="216"/>
      <c r="F17" s="379"/>
    </row>
    <row r="18" spans="1:12" ht="14.5" customHeight="1" x14ac:dyDescent="0.35">
      <c r="C18" s="1162" t="s">
        <v>3991</v>
      </c>
      <c r="D18" s="1163"/>
      <c r="F18" s="1162" t="s">
        <v>3992</v>
      </c>
      <c r="G18" s="1163"/>
      <c r="H18" s="1163"/>
      <c r="I18" s="1163"/>
      <c r="L18" t="b">
        <f ca="1">OR(L43:L136)</f>
        <v>0</v>
      </c>
    </row>
    <row r="20" spans="1:12" x14ac:dyDescent="0.35">
      <c r="A20" s="366"/>
      <c r="B20" s="366"/>
      <c r="C20" s="366"/>
      <c r="D20" s="366"/>
      <c r="E20" s="1164" t="str">
        <f>IF('Verification Report'!L5="Final","Final Points claimed by","NOT YET FINAL PHASE")</f>
        <v>NOT YET FINAL PHASE</v>
      </c>
      <c r="F20" s="366"/>
      <c r="G20" s="366"/>
      <c r="H20" s="366"/>
      <c r="I20" s="366"/>
    </row>
    <row r="21" spans="1:12" x14ac:dyDescent="0.35">
      <c r="A21" s="366"/>
      <c r="B21" s="366"/>
      <c r="C21" s="366"/>
      <c r="E21" s="1165"/>
      <c r="F21" s="366"/>
      <c r="G21" s="366"/>
      <c r="H21" s="366"/>
      <c r="I21" s="366"/>
    </row>
    <row r="22" spans="1:12" ht="15" customHeight="1" x14ac:dyDescent="0.35">
      <c r="A22" s="366"/>
      <c r="B22" s="366"/>
      <c r="C22" s="351" t="s">
        <v>3843</v>
      </c>
      <c r="D22" s="367" t="s">
        <v>3844</v>
      </c>
      <c r="E22" s="367" t="s">
        <v>3539</v>
      </c>
      <c r="F22" s="351" t="s">
        <v>3845</v>
      </c>
      <c r="G22" s="351" t="s">
        <v>3846</v>
      </c>
      <c r="H22" s="351" t="s">
        <v>3847</v>
      </c>
      <c r="I22" s="351" t="s">
        <v>3848</v>
      </c>
    </row>
    <row r="23" spans="1:12" ht="3" customHeight="1" x14ac:dyDescent="0.35">
      <c r="A23" s="366"/>
      <c r="B23" s="366"/>
      <c r="C23" s="2"/>
      <c r="D23" s="41"/>
      <c r="E23" s="21"/>
    </row>
    <row r="24" spans="1:12" ht="15" customHeight="1" x14ac:dyDescent="0.35">
      <c r="A24" s="366"/>
      <c r="B24" s="366"/>
      <c r="C24" s="368" t="s">
        <v>3849</v>
      </c>
      <c r="D24" s="369">
        <f ca="1">'Design Summ.'!I13</f>
        <v>57</v>
      </c>
      <c r="E24" s="370">
        <f ca="1">Ch5PointsFinal</f>
        <v>0</v>
      </c>
      <c r="F24" s="370">
        <v>50</v>
      </c>
      <c r="G24" s="370">
        <v>64</v>
      </c>
      <c r="H24" s="370">
        <v>93</v>
      </c>
      <c r="I24" s="370">
        <v>121</v>
      </c>
    </row>
    <row r="25" spans="1:12" ht="15" customHeight="1" x14ac:dyDescent="0.35">
      <c r="A25" s="366"/>
      <c r="B25" s="366"/>
      <c r="C25" s="371" t="s">
        <v>3850</v>
      </c>
      <c r="D25" s="372">
        <f ca="1">'Design Summ.'!I14</f>
        <v>54</v>
      </c>
      <c r="E25" s="373">
        <f ca="1">Ch6PointsFinal</f>
        <v>0</v>
      </c>
      <c r="F25" s="373">
        <v>43</v>
      </c>
      <c r="G25" s="373">
        <v>59</v>
      </c>
      <c r="H25" s="373">
        <v>89</v>
      </c>
      <c r="I25" s="373">
        <v>119</v>
      </c>
    </row>
    <row r="26" spans="1:12" ht="15" customHeight="1" x14ac:dyDescent="0.35">
      <c r="A26" s="366"/>
      <c r="B26" s="366"/>
      <c r="C26" s="371" t="s">
        <v>3851</v>
      </c>
      <c r="D26" s="372">
        <f ca="1">'Design Summ.'!I15</f>
        <v>60</v>
      </c>
      <c r="E26" s="373">
        <f ca="1">Ch7PointsFinal</f>
        <v>0</v>
      </c>
      <c r="F26" s="373">
        <v>30</v>
      </c>
      <c r="G26" s="373">
        <v>45</v>
      </c>
      <c r="H26" s="373">
        <v>60</v>
      </c>
      <c r="I26" s="373">
        <v>70</v>
      </c>
    </row>
    <row r="27" spans="1:12" ht="15" customHeight="1" x14ac:dyDescent="0.35">
      <c r="A27" s="366"/>
      <c r="B27" s="366"/>
      <c r="C27" s="371" t="s">
        <v>3852</v>
      </c>
      <c r="D27" s="372">
        <f ca="1">'Design Summ.'!I16</f>
        <v>42</v>
      </c>
      <c r="E27" s="373">
        <f ca="1">Ch8PointsFinal</f>
        <v>0</v>
      </c>
      <c r="F27" s="373">
        <v>25</v>
      </c>
      <c r="G27" s="373">
        <v>39</v>
      </c>
      <c r="H27" s="373">
        <v>67</v>
      </c>
      <c r="I27" s="373">
        <v>92</v>
      </c>
    </row>
    <row r="28" spans="1:12" ht="15" customHeight="1" x14ac:dyDescent="0.35">
      <c r="A28" s="366"/>
      <c r="B28" s="366"/>
      <c r="C28" s="371" t="s">
        <v>3853</v>
      </c>
      <c r="D28" s="372">
        <f ca="1">'Design Summ.'!I17</f>
        <v>31</v>
      </c>
      <c r="E28" s="373">
        <f ca="1">Ch9PointsFinal</f>
        <v>0</v>
      </c>
      <c r="F28" s="373">
        <v>25</v>
      </c>
      <c r="G28" s="373">
        <v>42</v>
      </c>
      <c r="H28" s="373">
        <v>69</v>
      </c>
      <c r="I28" s="373">
        <v>97</v>
      </c>
    </row>
    <row r="29" spans="1:12" ht="15" customHeight="1" x14ac:dyDescent="0.35">
      <c r="A29" s="366"/>
      <c r="B29" s="366"/>
      <c r="C29" s="374" t="s">
        <v>3854</v>
      </c>
      <c r="D29" s="375">
        <f>'Design Summ.'!I18</f>
        <v>14</v>
      </c>
      <c r="E29" s="375">
        <f>Ch10PointsFinal</f>
        <v>2</v>
      </c>
      <c r="F29" s="376">
        <v>8</v>
      </c>
      <c r="G29" s="376">
        <v>10</v>
      </c>
      <c r="H29" s="376">
        <v>11</v>
      </c>
      <c r="I29" s="376">
        <v>12</v>
      </c>
    </row>
    <row r="30" spans="1:12" ht="3" customHeight="1" x14ac:dyDescent="0.35">
      <c r="A30" s="366"/>
      <c r="B30" s="366"/>
      <c r="C30" s="377"/>
      <c r="D30" s="378"/>
      <c r="E30" s="366"/>
      <c r="F30" s="366"/>
      <c r="G30" s="366"/>
      <c r="H30" s="366"/>
      <c r="I30" s="366"/>
    </row>
    <row r="31" spans="1:12" ht="3" customHeight="1" x14ac:dyDescent="0.35">
      <c r="A31" s="366"/>
      <c r="B31" s="366"/>
      <c r="C31" s="366"/>
      <c r="D31" s="378"/>
      <c r="E31" s="366"/>
      <c r="F31" s="366"/>
      <c r="G31" s="366"/>
      <c r="H31" s="366"/>
      <c r="I31" s="366"/>
    </row>
    <row r="32" spans="1:12" ht="15" customHeight="1" x14ac:dyDescent="0.35">
      <c r="A32" s="366"/>
      <c r="B32" s="366"/>
      <c r="C32" s="350" t="s">
        <v>3855</v>
      </c>
      <c r="D32" s="20">
        <f ca="1">'Design Summ.'!I21</f>
        <v>258</v>
      </c>
      <c r="E32" s="20">
        <f ca="1">SUM(E24:E29)</f>
        <v>2</v>
      </c>
      <c r="F32" s="20">
        <f>SUM(F24:F29)+Points!C22</f>
        <v>231</v>
      </c>
      <c r="G32" s="20">
        <f>SUM(G24:G29)+Points!D22</f>
        <v>334</v>
      </c>
      <c r="H32" s="20">
        <f>SUM(H24:H29)+Points!E22</f>
        <v>489</v>
      </c>
      <c r="I32" s="20">
        <f>SUM(I24:I29)+Points!F22</f>
        <v>611</v>
      </c>
    </row>
    <row r="33" spans="1:12" ht="3" customHeight="1" x14ac:dyDescent="0.35">
      <c r="A33" s="366"/>
      <c r="B33" s="366"/>
      <c r="C33" s="377"/>
      <c r="D33" s="378"/>
      <c r="E33" s="366"/>
      <c r="F33" s="366"/>
      <c r="G33" s="366"/>
      <c r="H33" s="366"/>
      <c r="I33" s="366"/>
    </row>
    <row r="34" spans="1:12" ht="15" customHeight="1" x14ac:dyDescent="0.35">
      <c r="A34" s="366"/>
      <c r="B34" s="366"/>
      <c r="C34" s="1167" t="s">
        <v>5797</v>
      </c>
      <c r="D34" s="1167"/>
      <c r="E34" s="366"/>
      <c r="F34" s="366"/>
      <c r="G34" s="366"/>
      <c r="H34" s="366"/>
      <c r="I34" s="366"/>
    </row>
    <row r="35" spans="1:12" ht="3" customHeight="1" x14ac:dyDescent="0.35">
      <c r="A35" s="366"/>
      <c r="B35" s="366"/>
      <c r="C35" s="377"/>
      <c r="D35" s="378"/>
      <c r="E35" s="366"/>
      <c r="F35" s="366"/>
      <c r="G35" s="366"/>
      <c r="H35" s="366"/>
      <c r="I35" s="366"/>
    </row>
    <row r="36" spans="1:12" ht="18" customHeight="1" x14ac:dyDescent="0.35"/>
    <row r="38" spans="1:12" ht="3" customHeight="1" x14ac:dyDescent="0.35">
      <c r="A38" s="216"/>
      <c r="B38" s="216"/>
    </row>
    <row r="39" spans="1:12" x14ac:dyDescent="0.35">
      <c r="A39" s="771" t="s">
        <v>3989</v>
      </c>
      <c r="B39" s="771"/>
      <c r="C39" s="1193" t="s">
        <v>6107</v>
      </c>
      <c r="D39" s="1194"/>
      <c r="E39" s="1194"/>
      <c r="F39" s="1194"/>
      <c r="G39" s="1194"/>
      <c r="H39" s="1194"/>
      <c r="I39" s="1195"/>
    </row>
    <row r="40" spans="1:12" x14ac:dyDescent="0.35">
      <c r="A40" s="771"/>
      <c r="B40" s="771"/>
      <c r="C40" s="1196"/>
      <c r="D40" s="1197"/>
      <c r="E40" s="1197"/>
      <c r="F40" s="1197"/>
      <c r="G40" s="1197"/>
      <c r="H40" s="1197"/>
      <c r="I40" s="1198"/>
    </row>
    <row r="41" spans="1:12" x14ac:dyDescent="0.35">
      <c r="A41" s="771"/>
      <c r="B41" s="771"/>
      <c r="C41" s="1199"/>
      <c r="D41" s="1200"/>
      <c r="E41" s="1200"/>
      <c r="F41" s="1200"/>
      <c r="G41" s="1200"/>
      <c r="H41" s="1200"/>
      <c r="I41" s="1201"/>
    </row>
    <row r="42" spans="1:12" ht="3" customHeight="1" x14ac:dyDescent="0.35">
      <c r="A42" s="216"/>
      <c r="B42" s="216"/>
    </row>
    <row r="43" spans="1:12" ht="15" customHeight="1" x14ac:dyDescent="0.35">
      <c r="A43" s="216"/>
      <c r="B43" s="379" t="s">
        <v>3856</v>
      </c>
      <c r="C43" s="1192" t="s">
        <v>6107</v>
      </c>
      <c r="D43" s="1192"/>
      <c r="L43" t="b">
        <f>ISBLANK(C43)</f>
        <v>0</v>
      </c>
    </row>
    <row r="44" spans="1:12" ht="3" customHeight="1" x14ac:dyDescent="0.35">
      <c r="A44" s="216"/>
      <c r="B44" s="379"/>
    </row>
    <row r="45" spans="1:12" ht="15" customHeight="1" x14ac:dyDescent="0.35">
      <c r="A45" s="216"/>
      <c r="B45" s="379" t="s">
        <v>3857</v>
      </c>
      <c r="C45" s="1192" t="s">
        <v>6107</v>
      </c>
      <c r="D45" s="1192"/>
      <c r="L45" t="b">
        <f>ISBLANK(C45)</f>
        <v>0</v>
      </c>
    </row>
    <row r="46" spans="1:12" ht="3" customHeight="1" x14ac:dyDescent="0.35">
      <c r="A46" s="216"/>
      <c r="B46" s="379"/>
    </row>
    <row r="47" spans="1:12" x14ac:dyDescent="0.35">
      <c r="A47" s="216"/>
      <c r="B47" s="379" t="s">
        <v>3858</v>
      </c>
      <c r="C47" s="1192" t="s">
        <v>6107</v>
      </c>
      <c r="D47" s="1192"/>
      <c r="L47" t="b">
        <f>ISBLANK(C47)</f>
        <v>0</v>
      </c>
    </row>
    <row r="48" spans="1:12" ht="3" customHeight="1" x14ac:dyDescent="0.35">
      <c r="A48" s="216"/>
      <c r="B48" s="379"/>
    </row>
    <row r="49" spans="1:12" x14ac:dyDescent="0.35">
      <c r="A49" s="216"/>
      <c r="B49" s="379" t="s">
        <v>3859</v>
      </c>
      <c r="C49" s="1192" t="s">
        <v>6107</v>
      </c>
      <c r="D49" s="1192"/>
      <c r="L49" t="b">
        <f>ISBLANK(C49)</f>
        <v>0</v>
      </c>
    </row>
    <row r="50" spans="1:12" x14ac:dyDescent="0.35">
      <c r="A50" s="216"/>
    </row>
    <row r="51" spans="1:12" x14ac:dyDescent="0.35">
      <c r="A51" s="216"/>
    </row>
    <row r="52" spans="1:12" x14ac:dyDescent="0.35">
      <c r="D52" s="383"/>
      <c r="E52" s="384"/>
    </row>
    <row r="53" spans="1:12" x14ac:dyDescent="0.35">
      <c r="A53" s="771" t="s">
        <v>3861</v>
      </c>
      <c r="B53" s="771"/>
      <c r="C53" s="1193" t="s">
        <v>6107</v>
      </c>
      <c r="D53" s="1194"/>
      <c r="E53" s="1194"/>
      <c r="F53" s="1194"/>
      <c r="G53" s="1194"/>
      <c r="H53" s="1194"/>
      <c r="I53" s="1195"/>
    </row>
    <row r="54" spans="1:12" x14ac:dyDescent="0.35">
      <c r="A54" s="771"/>
      <c r="B54" s="771"/>
      <c r="C54" s="1196"/>
      <c r="D54" s="1197"/>
      <c r="E54" s="1197"/>
      <c r="F54" s="1197"/>
      <c r="G54" s="1197"/>
      <c r="H54" s="1197"/>
      <c r="I54" s="1198"/>
    </row>
    <row r="55" spans="1:12" x14ac:dyDescent="0.35">
      <c r="A55" s="771"/>
      <c r="B55" s="771"/>
      <c r="C55" s="1199"/>
      <c r="D55" s="1200"/>
      <c r="E55" s="1200"/>
      <c r="F55" s="1200"/>
      <c r="G55" s="1200"/>
      <c r="H55" s="1200"/>
      <c r="I55" s="1201"/>
    </row>
    <row r="56" spans="1:12" ht="3" customHeight="1" x14ac:dyDescent="0.35">
      <c r="A56" s="216"/>
      <c r="B56" s="216"/>
    </row>
    <row r="57" spans="1:12" x14ac:dyDescent="0.35">
      <c r="A57" s="771" t="s">
        <v>3856</v>
      </c>
      <c r="B57" s="771"/>
      <c r="C57" s="436" t="s">
        <v>6107</v>
      </c>
      <c r="L57" t="b">
        <f>ISBLANK(C57)</f>
        <v>0</v>
      </c>
    </row>
    <row r="58" spans="1:12" ht="3" customHeight="1" x14ac:dyDescent="0.35">
      <c r="A58" s="379"/>
      <c r="B58" s="379"/>
    </row>
    <row r="59" spans="1:12" x14ac:dyDescent="0.35">
      <c r="A59" s="771" t="s">
        <v>3857</v>
      </c>
      <c r="B59" s="771"/>
      <c r="C59" s="436" t="s">
        <v>6107</v>
      </c>
      <c r="L59" t="b">
        <f>ISBLANK(C59)</f>
        <v>0</v>
      </c>
    </row>
    <row r="60" spans="1:12" ht="3" customHeight="1" x14ac:dyDescent="0.35">
      <c r="A60" s="379"/>
      <c r="B60" s="379"/>
    </row>
    <row r="61" spans="1:12" x14ac:dyDescent="0.35">
      <c r="A61" s="771" t="s">
        <v>3858</v>
      </c>
      <c r="B61" s="771"/>
      <c r="C61" s="436" t="s">
        <v>6107</v>
      </c>
      <c r="L61" t="b">
        <f>ISBLANK(C61)</f>
        <v>0</v>
      </c>
    </row>
    <row r="62" spans="1:12" ht="3" customHeight="1" x14ac:dyDescent="0.35">
      <c r="A62" s="379"/>
      <c r="B62" s="379"/>
    </row>
    <row r="63" spans="1:12" x14ac:dyDescent="0.35">
      <c r="A63" s="771" t="s">
        <v>3863</v>
      </c>
      <c r="B63" s="771"/>
      <c r="C63" s="436" t="s">
        <v>6107</v>
      </c>
      <c r="D63" s="1147" t="s">
        <v>4097</v>
      </c>
      <c r="L63" t="b">
        <f>ISBLANK(C63)</f>
        <v>0</v>
      </c>
    </row>
    <row r="64" spans="1:12" ht="3" customHeight="1" x14ac:dyDescent="0.35">
      <c r="A64" s="379"/>
      <c r="B64" s="379"/>
      <c r="D64" s="1147"/>
    </row>
    <row r="65" spans="1:13" x14ac:dyDescent="0.35">
      <c r="A65" s="771" t="s">
        <v>3864</v>
      </c>
      <c r="B65" s="771"/>
      <c r="C65" s="436" t="s">
        <v>6107</v>
      </c>
      <c r="D65" s="1147"/>
      <c r="L65" t="b">
        <f>ISBLANK(C65)</f>
        <v>0</v>
      </c>
    </row>
    <row r="66" spans="1:13" ht="3" customHeight="1" x14ac:dyDescent="0.35">
      <c r="A66" s="379"/>
      <c r="B66" s="379"/>
    </row>
    <row r="67" spans="1:13" x14ac:dyDescent="0.35">
      <c r="A67" s="771" t="s">
        <v>3859</v>
      </c>
      <c r="B67" s="771"/>
      <c r="C67" s="436" t="s">
        <v>6107</v>
      </c>
      <c r="D67" s="380" t="s">
        <v>3865</v>
      </c>
      <c r="E67" s="765"/>
      <c r="F67" s="765"/>
      <c r="G67" s="765"/>
      <c r="H67" s="765"/>
      <c r="I67" s="765"/>
      <c r="L67" t="b">
        <f>ISBLANK(C67)</f>
        <v>0</v>
      </c>
    </row>
    <row r="68" spans="1:13" x14ac:dyDescent="0.35">
      <c r="D68" s="381"/>
    </row>
    <row r="69" spans="1:13" ht="15" customHeight="1" x14ac:dyDescent="0.35"/>
    <row r="71" spans="1:13" x14ac:dyDescent="0.35">
      <c r="C71" s="216" t="s">
        <v>3866</v>
      </c>
    </row>
    <row r="72" spans="1:13" x14ac:dyDescent="0.35">
      <c r="C72" s="1147" t="s">
        <v>3867</v>
      </c>
      <c r="D72" s="1147"/>
      <c r="E72" s="1147"/>
      <c r="F72" s="1147"/>
      <c r="G72" s="1147"/>
      <c r="H72" s="1147"/>
      <c r="I72" s="1147"/>
    </row>
    <row r="74" spans="1:13" x14ac:dyDescent="0.35">
      <c r="C74" s="208" t="s">
        <v>3868</v>
      </c>
      <c r="D74" s="208" t="s">
        <v>3869</v>
      </c>
      <c r="E74" s="1180" t="s">
        <v>3870</v>
      </c>
      <c r="F74" s="1180"/>
      <c r="G74" s="765" t="s">
        <v>4098</v>
      </c>
      <c r="H74" s="765"/>
    </row>
    <row r="75" spans="1:13" x14ac:dyDescent="0.35">
      <c r="B75" s="6">
        <v>1</v>
      </c>
      <c r="C75" s="437" t="s">
        <v>6107</v>
      </c>
      <c r="D75" s="437" t="s">
        <v>6107</v>
      </c>
      <c r="E75" s="1158" t="s">
        <v>6107</v>
      </c>
      <c r="F75" s="1158"/>
      <c r="G75" s="1158" t="s">
        <v>6107</v>
      </c>
      <c r="H75" s="1158"/>
      <c r="L75" t="b">
        <f>AND(OR(LEN(C75)=0,LEN(D75)=0,LEN(E75)=0,LEN(G75)=0),M75)</f>
        <v>0</v>
      </c>
      <c r="M75" s="382" t="b">
        <f>OR(NOT(LEN(C75)=0),NOT(LEN(D75)=0),NOT(LEN(E75)=0),NOT(LEN(G75)=0))</f>
        <v>0</v>
      </c>
    </row>
    <row r="76" spans="1:13" x14ac:dyDescent="0.35">
      <c r="B76" s="6">
        <v>2</v>
      </c>
      <c r="C76" s="437" t="s">
        <v>6107</v>
      </c>
      <c r="D76" s="437" t="s">
        <v>6107</v>
      </c>
      <c r="E76" s="1158" t="s">
        <v>6107</v>
      </c>
      <c r="F76" s="1158"/>
      <c r="G76" s="1158" t="s">
        <v>6107</v>
      </c>
      <c r="H76" s="1158"/>
      <c r="L76" t="b">
        <f>AND(OR(LEN(C76)=0,LEN(D76)=0,LEN(E76)=0,LEN(G76)=0),M76)</f>
        <v>0</v>
      </c>
      <c r="M76" s="382" t="b">
        <f>OR(NOT(LEN(C76)=0),NOT(LEN(D76)=0),NOT(LEN(E76)=0),NOT(LEN(G76)=0))</f>
        <v>0</v>
      </c>
    </row>
    <row r="77" spans="1:13" x14ac:dyDescent="0.35">
      <c r="B77" s="6">
        <v>3</v>
      </c>
      <c r="C77" s="437" t="s">
        <v>6107</v>
      </c>
      <c r="D77" s="437" t="s">
        <v>6107</v>
      </c>
      <c r="E77" s="1158" t="s">
        <v>6107</v>
      </c>
      <c r="F77" s="1158"/>
      <c r="G77" s="1158" t="s">
        <v>6107</v>
      </c>
      <c r="H77" s="1158"/>
      <c r="L77" t="b">
        <f>AND(OR(LEN(C77)=0,LEN(D77)=0,LEN(E77)=0,LEN(G77)=0),M77)</f>
        <v>0</v>
      </c>
      <c r="M77" s="382" t="b">
        <f>OR(NOT(LEN(C77)=0),NOT(LEN(D77)=0),NOT(LEN(E77)=0),NOT(LEN(G77)=0))</f>
        <v>0</v>
      </c>
    </row>
    <row r="78" spans="1:13" x14ac:dyDescent="0.35">
      <c r="B78" s="6">
        <v>4</v>
      </c>
      <c r="C78" s="437" t="s">
        <v>6107</v>
      </c>
      <c r="D78" s="437" t="s">
        <v>6107</v>
      </c>
      <c r="E78" s="1158" t="s">
        <v>6107</v>
      </c>
      <c r="F78" s="1158"/>
      <c r="G78" s="1158" t="s">
        <v>6107</v>
      </c>
      <c r="H78" s="1158"/>
      <c r="L78" t="b">
        <f>AND(OR(LEN(C78)=0,LEN(D78)=0,LEN(E78)=0,LEN(G78)=0),M78)</f>
        <v>0</v>
      </c>
      <c r="M78" s="382" t="b">
        <f>OR(NOT(LEN(C78)=0),NOT(LEN(D78)=0),NOT(LEN(E78)=0),NOT(LEN(G78)=0))</f>
        <v>0</v>
      </c>
    </row>
    <row r="79" spans="1:13" x14ac:dyDescent="0.35">
      <c r="B79" s="6">
        <v>5</v>
      </c>
      <c r="C79" s="437" t="s">
        <v>6107</v>
      </c>
      <c r="D79" s="437" t="s">
        <v>6107</v>
      </c>
      <c r="E79" s="1158" t="s">
        <v>6107</v>
      </c>
      <c r="F79" s="1158"/>
      <c r="G79" s="1158" t="s">
        <v>6107</v>
      </c>
      <c r="H79" s="1158"/>
      <c r="L79" t="b">
        <f>AND(OR(LEN(C79)=0,LEN(D79)=0,LEN(E79)=0,LEN(G79)=0),M79)</f>
        <v>0</v>
      </c>
      <c r="M79" s="382" t="b">
        <f>OR(NOT(LEN(C79)=0),NOT(LEN(D79)=0),NOT(LEN(E79)=0),NOT(LEN(G79)=0))</f>
        <v>0</v>
      </c>
    </row>
    <row r="83" spans="2:14" x14ac:dyDescent="0.35">
      <c r="C83" s="216" t="s">
        <v>3871</v>
      </c>
    </row>
    <row r="84" spans="2:14" x14ac:dyDescent="0.35">
      <c r="C84" s="381"/>
      <c r="N84" s="6" t="s">
        <v>4870</v>
      </c>
    </row>
    <row r="85" spans="2:14" x14ac:dyDescent="0.35">
      <c r="N85">
        <f ca="1">'Verification Report'!$S$1643</f>
        <v>0</v>
      </c>
    </row>
    <row r="86" spans="2:14" ht="26" x14ac:dyDescent="0.35">
      <c r="C86" s="1005" t="s">
        <v>3872</v>
      </c>
      <c r="D86" s="1005"/>
      <c r="E86" s="677" t="s">
        <v>5804</v>
      </c>
      <c r="F86" s="677" t="s">
        <v>2</v>
      </c>
      <c r="G86" s="677" t="s">
        <v>5805</v>
      </c>
      <c r="H86" s="556" t="s">
        <v>3874</v>
      </c>
      <c r="I86" s="555" t="s">
        <v>4869</v>
      </c>
      <c r="J86" s="555" t="s">
        <v>3875</v>
      </c>
      <c r="M86" s="216"/>
    </row>
    <row r="87" spans="2:14" x14ac:dyDescent="0.35">
      <c r="B87" s="6">
        <v>1</v>
      </c>
      <c r="C87" s="1158"/>
      <c r="D87" s="1158"/>
      <c r="E87" s="461"/>
      <c r="F87" s="1188" t="str">
        <f>IF('Rough Summary'!F87="","",'Rough Summary'!F87)</f>
        <v/>
      </c>
      <c r="G87" s="461"/>
      <c r="H87" s="461"/>
      <c r="I87" s="461"/>
      <c r="J87" s="438"/>
      <c r="L87" t="b">
        <f t="shared" ref="L87:L118" ca="1" si="0">AND(OR(LEN(C87)=0,LEN(E87)=0,LEN(G87)=0,LEN(H87)=0,AND($N$85=1,LEN(I87)=0),LEN(J87)=0),M87)</f>
        <v>0</v>
      </c>
      <c r="M87" s="382" t="b">
        <f>OR(NOT(LEN(C87)=0),NOT(LEN(E87)=0),NOT(LEN(G87)=0),NOT(LEN(H87)=0),NOT(LEN(I87)=0),NOT(LEN(J87)=0))</f>
        <v>0</v>
      </c>
    </row>
    <row r="88" spans="2:14" x14ac:dyDescent="0.35">
      <c r="B88" s="6">
        <v>2</v>
      </c>
      <c r="C88" s="1158"/>
      <c r="D88" s="1158"/>
      <c r="E88" s="461"/>
      <c r="F88" s="1189"/>
      <c r="G88" s="461"/>
      <c r="H88" s="461"/>
      <c r="I88" s="461"/>
      <c r="J88" s="438"/>
      <c r="L88" t="b">
        <f t="shared" ca="1" si="0"/>
        <v>0</v>
      </c>
      <c r="M88" s="382" t="b">
        <f>OR(NOT(LEN(C88)=0),NOT(LEN(E88)=0),NOT(LEN(G88)=0),NOT(LEN(H88)=0),NOT(LEN(I88)=0),NOT(LEN(J88)=0))</f>
        <v>0</v>
      </c>
    </row>
    <row r="89" spans="2:14" x14ac:dyDescent="0.35">
      <c r="B89" s="6">
        <v>3</v>
      </c>
      <c r="C89" s="1158"/>
      <c r="D89" s="1158"/>
      <c r="E89" s="461"/>
      <c r="F89" s="1189"/>
      <c r="G89" s="461"/>
      <c r="H89" s="461"/>
      <c r="I89" s="461"/>
      <c r="J89" s="438"/>
      <c r="L89" t="b">
        <f t="shared" ca="1" si="0"/>
        <v>0</v>
      </c>
      <c r="M89" s="382" t="b">
        <f t="shared" ref="M89:M136" si="1">OR(NOT(LEN(D89)=0),NOT(LEN(F89)=0),NOT(LEN(H89)=0),NOT(LEN(I89)=0),NOT(LEN(J89)=0))</f>
        <v>0</v>
      </c>
    </row>
    <row r="90" spans="2:14" x14ac:dyDescent="0.35">
      <c r="B90" s="6">
        <v>4</v>
      </c>
      <c r="C90" s="1158"/>
      <c r="D90" s="1158"/>
      <c r="E90" s="461"/>
      <c r="F90" s="1189"/>
      <c r="G90" s="461"/>
      <c r="H90" s="461"/>
      <c r="I90" s="461"/>
      <c r="J90" s="438"/>
      <c r="L90" t="b">
        <f t="shared" ca="1" si="0"/>
        <v>0</v>
      </c>
      <c r="M90" s="382" t="b">
        <f t="shared" si="1"/>
        <v>0</v>
      </c>
    </row>
    <row r="91" spans="2:14" x14ac:dyDescent="0.35">
      <c r="B91" s="6">
        <v>5</v>
      </c>
      <c r="C91" s="1158"/>
      <c r="D91" s="1158"/>
      <c r="E91" s="461"/>
      <c r="F91" s="1189"/>
      <c r="G91" s="461"/>
      <c r="H91" s="461"/>
      <c r="I91" s="461"/>
      <c r="J91" s="438"/>
      <c r="L91" t="b">
        <f t="shared" ca="1" si="0"/>
        <v>0</v>
      </c>
      <c r="M91" s="382" t="b">
        <f t="shared" si="1"/>
        <v>0</v>
      </c>
    </row>
    <row r="92" spans="2:14" x14ac:dyDescent="0.35">
      <c r="B92" s="6">
        <v>6</v>
      </c>
      <c r="C92" s="1158"/>
      <c r="D92" s="1158"/>
      <c r="E92" s="461"/>
      <c r="F92" s="1189"/>
      <c r="G92" s="461"/>
      <c r="H92" s="461"/>
      <c r="I92" s="461"/>
      <c r="J92" s="438"/>
      <c r="L92" t="b">
        <f t="shared" ca="1" si="0"/>
        <v>0</v>
      </c>
      <c r="M92" s="382" t="b">
        <f t="shared" si="1"/>
        <v>0</v>
      </c>
    </row>
    <row r="93" spans="2:14" x14ac:dyDescent="0.35">
      <c r="B93" s="6">
        <v>7</v>
      </c>
      <c r="C93" s="1158"/>
      <c r="D93" s="1158"/>
      <c r="E93" s="461"/>
      <c r="F93" s="1189"/>
      <c r="G93" s="461"/>
      <c r="H93" s="461"/>
      <c r="I93" s="461"/>
      <c r="J93" s="438"/>
      <c r="L93" t="b">
        <f t="shared" ca="1" si="0"/>
        <v>0</v>
      </c>
      <c r="M93" s="382" t="b">
        <f t="shared" si="1"/>
        <v>0</v>
      </c>
    </row>
    <row r="94" spans="2:14" x14ac:dyDescent="0.35">
      <c r="B94" s="6">
        <v>8</v>
      </c>
      <c r="C94" s="1158"/>
      <c r="D94" s="1158"/>
      <c r="E94" s="461"/>
      <c r="F94" s="1189"/>
      <c r="G94" s="461"/>
      <c r="H94" s="461"/>
      <c r="I94" s="461"/>
      <c r="J94" s="438"/>
      <c r="L94" t="b">
        <f t="shared" ca="1" si="0"/>
        <v>0</v>
      </c>
      <c r="M94" s="382" t="b">
        <f t="shared" si="1"/>
        <v>0</v>
      </c>
    </row>
    <row r="95" spans="2:14" x14ac:dyDescent="0.35">
      <c r="B95" s="6">
        <v>9</v>
      </c>
      <c r="C95" s="1158"/>
      <c r="D95" s="1158"/>
      <c r="E95" s="461"/>
      <c r="F95" s="1189"/>
      <c r="G95" s="461"/>
      <c r="H95" s="461"/>
      <c r="I95" s="461"/>
      <c r="J95" s="438"/>
      <c r="L95" t="b">
        <f t="shared" ca="1" si="0"/>
        <v>0</v>
      </c>
      <c r="M95" s="382" t="b">
        <f t="shared" si="1"/>
        <v>0</v>
      </c>
    </row>
    <row r="96" spans="2:14" x14ac:dyDescent="0.35">
      <c r="B96" s="6">
        <v>10</v>
      </c>
      <c r="C96" s="1158"/>
      <c r="D96" s="1158"/>
      <c r="E96" s="461"/>
      <c r="F96" s="1189"/>
      <c r="G96" s="461"/>
      <c r="H96" s="461"/>
      <c r="I96" s="461"/>
      <c r="J96" s="438"/>
      <c r="L96" t="b">
        <f t="shared" ca="1" si="0"/>
        <v>0</v>
      </c>
      <c r="M96" s="382" t="b">
        <f t="shared" si="1"/>
        <v>0</v>
      </c>
    </row>
    <row r="97" spans="2:13" x14ac:dyDescent="0.35">
      <c r="B97" s="6">
        <v>11</v>
      </c>
      <c r="C97" s="1158"/>
      <c r="D97" s="1158"/>
      <c r="E97" s="461"/>
      <c r="F97" s="1189"/>
      <c r="G97" s="461"/>
      <c r="H97" s="461"/>
      <c r="I97" s="461"/>
      <c r="J97" s="438"/>
      <c r="L97" t="b">
        <f t="shared" ca="1" si="0"/>
        <v>0</v>
      </c>
      <c r="M97" s="382" t="b">
        <f t="shared" si="1"/>
        <v>0</v>
      </c>
    </row>
    <row r="98" spans="2:13" x14ac:dyDescent="0.35">
      <c r="B98" s="6">
        <v>12</v>
      </c>
      <c r="C98" s="1158"/>
      <c r="D98" s="1158"/>
      <c r="E98" s="461"/>
      <c r="F98" s="1189"/>
      <c r="G98" s="461"/>
      <c r="H98" s="461"/>
      <c r="I98" s="461"/>
      <c r="J98" s="438"/>
      <c r="L98" t="b">
        <f t="shared" ca="1" si="0"/>
        <v>0</v>
      </c>
      <c r="M98" s="382" t="b">
        <f t="shared" si="1"/>
        <v>0</v>
      </c>
    </row>
    <row r="99" spans="2:13" x14ac:dyDescent="0.35">
      <c r="B99" s="6">
        <v>13</v>
      </c>
      <c r="C99" s="1158"/>
      <c r="D99" s="1158"/>
      <c r="E99" s="461"/>
      <c r="F99" s="1189"/>
      <c r="G99" s="461"/>
      <c r="H99" s="461"/>
      <c r="I99" s="461"/>
      <c r="J99" s="438"/>
      <c r="L99" t="b">
        <f t="shared" ca="1" si="0"/>
        <v>0</v>
      </c>
      <c r="M99" s="382" t="b">
        <f t="shared" si="1"/>
        <v>0</v>
      </c>
    </row>
    <row r="100" spans="2:13" x14ac:dyDescent="0.35">
      <c r="B100" s="6">
        <v>14</v>
      </c>
      <c r="C100" s="1158"/>
      <c r="D100" s="1158"/>
      <c r="E100" s="461"/>
      <c r="F100" s="1189"/>
      <c r="G100" s="461"/>
      <c r="H100" s="461"/>
      <c r="I100" s="461"/>
      <c r="J100" s="438"/>
      <c r="L100" t="b">
        <f t="shared" ca="1" si="0"/>
        <v>0</v>
      </c>
      <c r="M100" s="382" t="b">
        <f t="shared" si="1"/>
        <v>0</v>
      </c>
    </row>
    <row r="101" spans="2:13" x14ac:dyDescent="0.35">
      <c r="B101" s="6">
        <v>15</v>
      </c>
      <c r="C101" s="1158"/>
      <c r="D101" s="1158"/>
      <c r="E101" s="461"/>
      <c r="F101" s="1189"/>
      <c r="G101" s="461"/>
      <c r="H101" s="461"/>
      <c r="I101" s="461"/>
      <c r="J101" s="438"/>
      <c r="L101" t="b">
        <f t="shared" ca="1" si="0"/>
        <v>0</v>
      </c>
      <c r="M101" s="382" t="b">
        <f t="shared" si="1"/>
        <v>0</v>
      </c>
    </row>
    <row r="102" spans="2:13" x14ac:dyDescent="0.35">
      <c r="B102" s="6">
        <v>16</v>
      </c>
      <c r="C102" s="1158"/>
      <c r="D102" s="1158"/>
      <c r="E102" s="461"/>
      <c r="F102" s="1189"/>
      <c r="G102" s="461"/>
      <c r="H102" s="461"/>
      <c r="I102" s="461"/>
      <c r="J102" s="438"/>
      <c r="L102" t="b">
        <f t="shared" ca="1" si="0"/>
        <v>0</v>
      </c>
      <c r="M102" s="382" t="b">
        <f t="shared" si="1"/>
        <v>0</v>
      </c>
    </row>
    <row r="103" spans="2:13" x14ac:dyDescent="0.35">
      <c r="B103" s="6">
        <v>17</v>
      </c>
      <c r="C103" s="1152"/>
      <c r="D103" s="1153"/>
      <c r="E103" s="461"/>
      <c r="F103" s="1189"/>
      <c r="G103" s="461"/>
      <c r="H103" s="461"/>
      <c r="I103" s="461"/>
      <c r="J103" s="438"/>
      <c r="L103" t="b">
        <f t="shared" ca="1" si="0"/>
        <v>0</v>
      </c>
      <c r="M103" s="382" t="b">
        <f t="shared" si="1"/>
        <v>0</v>
      </c>
    </row>
    <row r="104" spans="2:13" x14ac:dyDescent="0.35">
      <c r="B104" s="6">
        <v>18</v>
      </c>
      <c r="C104" s="1152"/>
      <c r="D104" s="1153"/>
      <c r="E104" s="461"/>
      <c r="F104" s="1189"/>
      <c r="G104" s="461"/>
      <c r="H104" s="461"/>
      <c r="I104" s="461"/>
      <c r="J104" s="438"/>
      <c r="L104" t="b">
        <f t="shared" ca="1" si="0"/>
        <v>0</v>
      </c>
      <c r="M104" s="382" t="b">
        <f t="shared" si="1"/>
        <v>0</v>
      </c>
    </row>
    <row r="105" spans="2:13" x14ac:dyDescent="0.35">
      <c r="B105" s="6">
        <v>19</v>
      </c>
      <c r="C105" s="1152"/>
      <c r="D105" s="1153"/>
      <c r="E105" s="461"/>
      <c r="F105" s="1189"/>
      <c r="G105" s="461"/>
      <c r="H105" s="461"/>
      <c r="I105" s="461"/>
      <c r="J105" s="438"/>
      <c r="L105" t="b">
        <f t="shared" ca="1" si="0"/>
        <v>0</v>
      </c>
      <c r="M105" s="382" t="b">
        <f t="shared" si="1"/>
        <v>0</v>
      </c>
    </row>
    <row r="106" spans="2:13" x14ac:dyDescent="0.35">
      <c r="B106" s="6">
        <v>20</v>
      </c>
      <c r="C106" s="1152"/>
      <c r="D106" s="1153"/>
      <c r="E106" s="461"/>
      <c r="F106" s="1189"/>
      <c r="G106" s="461"/>
      <c r="H106" s="461"/>
      <c r="I106" s="461"/>
      <c r="J106" s="438"/>
      <c r="L106" t="b">
        <f t="shared" ca="1" si="0"/>
        <v>0</v>
      </c>
      <c r="M106" s="382" t="b">
        <f t="shared" si="1"/>
        <v>0</v>
      </c>
    </row>
    <row r="107" spans="2:13" x14ac:dyDescent="0.35">
      <c r="B107" s="6">
        <v>21</v>
      </c>
      <c r="C107" s="1152"/>
      <c r="D107" s="1153"/>
      <c r="E107" s="461"/>
      <c r="F107" s="1189"/>
      <c r="G107" s="461"/>
      <c r="H107" s="461"/>
      <c r="I107" s="461"/>
      <c r="J107" s="438"/>
      <c r="L107" t="b">
        <f t="shared" ca="1" si="0"/>
        <v>0</v>
      </c>
      <c r="M107" s="382" t="b">
        <f t="shared" si="1"/>
        <v>0</v>
      </c>
    </row>
    <row r="108" spans="2:13" x14ac:dyDescent="0.35">
      <c r="B108" s="6">
        <v>22</v>
      </c>
      <c r="C108" s="1152"/>
      <c r="D108" s="1153"/>
      <c r="E108" s="461"/>
      <c r="F108" s="1189"/>
      <c r="G108" s="461"/>
      <c r="H108" s="461"/>
      <c r="I108" s="461"/>
      <c r="J108" s="438"/>
      <c r="L108" t="b">
        <f t="shared" ca="1" si="0"/>
        <v>0</v>
      </c>
      <c r="M108" s="382" t="b">
        <f t="shared" si="1"/>
        <v>0</v>
      </c>
    </row>
    <row r="109" spans="2:13" x14ac:dyDescent="0.35">
      <c r="B109" s="6">
        <v>23</v>
      </c>
      <c r="C109" s="1152"/>
      <c r="D109" s="1153"/>
      <c r="E109" s="461"/>
      <c r="F109" s="1189"/>
      <c r="G109" s="461"/>
      <c r="H109" s="461"/>
      <c r="I109" s="461"/>
      <c r="J109" s="438"/>
      <c r="L109" t="b">
        <f t="shared" ca="1" si="0"/>
        <v>0</v>
      </c>
      <c r="M109" s="382" t="b">
        <f t="shared" si="1"/>
        <v>0</v>
      </c>
    </row>
    <row r="110" spans="2:13" x14ac:dyDescent="0.35">
      <c r="B110" s="6">
        <v>24</v>
      </c>
      <c r="C110" s="1152"/>
      <c r="D110" s="1153"/>
      <c r="E110" s="461"/>
      <c r="F110" s="1189"/>
      <c r="G110" s="461"/>
      <c r="H110" s="461"/>
      <c r="I110" s="461"/>
      <c r="J110" s="438"/>
      <c r="L110" t="b">
        <f t="shared" ca="1" si="0"/>
        <v>0</v>
      </c>
      <c r="M110" s="382" t="b">
        <f t="shared" si="1"/>
        <v>0</v>
      </c>
    </row>
    <row r="111" spans="2:13" x14ac:dyDescent="0.35">
      <c r="B111" s="6">
        <v>25</v>
      </c>
      <c r="C111" s="1152"/>
      <c r="D111" s="1153"/>
      <c r="E111" s="461"/>
      <c r="F111" s="1189"/>
      <c r="G111" s="461"/>
      <c r="H111" s="461"/>
      <c r="I111" s="461"/>
      <c r="J111" s="438"/>
      <c r="L111" t="b">
        <f t="shared" ca="1" si="0"/>
        <v>0</v>
      </c>
      <c r="M111" s="382" t="b">
        <f t="shared" si="1"/>
        <v>0</v>
      </c>
    </row>
    <row r="112" spans="2:13" x14ac:dyDescent="0.35">
      <c r="B112" s="6">
        <v>26</v>
      </c>
      <c r="C112" s="1152"/>
      <c r="D112" s="1153"/>
      <c r="E112" s="461"/>
      <c r="F112" s="1189"/>
      <c r="G112" s="461"/>
      <c r="H112" s="461"/>
      <c r="I112" s="461"/>
      <c r="J112" s="438"/>
      <c r="L112" t="b">
        <f t="shared" ca="1" si="0"/>
        <v>0</v>
      </c>
      <c r="M112" s="382" t="b">
        <f t="shared" si="1"/>
        <v>0</v>
      </c>
    </row>
    <row r="113" spans="2:13" x14ac:dyDescent="0.35">
      <c r="B113" s="6">
        <v>27</v>
      </c>
      <c r="C113" s="1152"/>
      <c r="D113" s="1153"/>
      <c r="E113" s="461"/>
      <c r="F113" s="1189"/>
      <c r="G113" s="461"/>
      <c r="H113" s="461"/>
      <c r="I113" s="461"/>
      <c r="J113" s="438"/>
      <c r="L113" t="b">
        <f t="shared" ca="1" si="0"/>
        <v>0</v>
      </c>
      <c r="M113" s="382" t="b">
        <f t="shared" si="1"/>
        <v>0</v>
      </c>
    </row>
    <row r="114" spans="2:13" x14ac:dyDescent="0.35">
      <c r="B114" s="6">
        <v>28</v>
      </c>
      <c r="C114" s="1152"/>
      <c r="D114" s="1153"/>
      <c r="E114" s="461"/>
      <c r="F114" s="1189"/>
      <c r="G114" s="461"/>
      <c r="H114" s="461"/>
      <c r="I114" s="461"/>
      <c r="J114" s="438"/>
      <c r="L114" t="b">
        <f t="shared" ca="1" si="0"/>
        <v>0</v>
      </c>
      <c r="M114" s="382" t="b">
        <f t="shared" si="1"/>
        <v>0</v>
      </c>
    </row>
    <row r="115" spans="2:13" x14ac:dyDescent="0.35">
      <c r="B115" s="6">
        <v>29</v>
      </c>
      <c r="C115" s="1152"/>
      <c r="D115" s="1153"/>
      <c r="E115" s="461"/>
      <c r="F115" s="1189"/>
      <c r="G115" s="461"/>
      <c r="H115" s="461"/>
      <c r="I115" s="461"/>
      <c r="J115" s="438"/>
      <c r="L115" t="b">
        <f t="shared" ca="1" si="0"/>
        <v>0</v>
      </c>
      <c r="M115" s="382" t="b">
        <f t="shared" si="1"/>
        <v>0</v>
      </c>
    </row>
    <row r="116" spans="2:13" x14ac:dyDescent="0.35">
      <c r="B116" s="6">
        <v>30</v>
      </c>
      <c r="C116" s="1152"/>
      <c r="D116" s="1153"/>
      <c r="E116" s="461"/>
      <c r="F116" s="1189"/>
      <c r="G116" s="461"/>
      <c r="H116" s="461"/>
      <c r="I116" s="461"/>
      <c r="J116" s="438"/>
      <c r="L116" t="b">
        <f t="shared" ca="1" si="0"/>
        <v>0</v>
      </c>
      <c r="M116" s="382" t="b">
        <f t="shared" si="1"/>
        <v>0</v>
      </c>
    </row>
    <row r="117" spans="2:13" x14ac:dyDescent="0.35">
      <c r="B117" s="6">
        <v>31</v>
      </c>
      <c r="C117" s="1152"/>
      <c r="D117" s="1153"/>
      <c r="E117" s="461"/>
      <c r="F117" s="1189"/>
      <c r="G117" s="461"/>
      <c r="H117" s="461"/>
      <c r="I117" s="461"/>
      <c r="J117" s="438"/>
      <c r="L117" t="b">
        <f t="shared" ca="1" si="0"/>
        <v>0</v>
      </c>
      <c r="M117" s="382" t="b">
        <f t="shared" si="1"/>
        <v>0</v>
      </c>
    </row>
    <row r="118" spans="2:13" x14ac:dyDescent="0.35">
      <c r="B118" s="6">
        <v>32</v>
      </c>
      <c r="C118" s="1152"/>
      <c r="D118" s="1153"/>
      <c r="E118" s="461"/>
      <c r="F118" s="1189"/>
      <c r="G118" s="461"/>
      <c r="H118" s="461"/>
      <c r="I118" s="461"/>
      <c r="J118" s="438"/>
      <c r="L118" t="b">
        <f t="shared" ca="1" si="0"/>
        <v>0</v>
      </c>
      <c r="M118" s="382" t="b">
        <f t="shared" si="1"/>
        <v>0</v>
      </c>
    </row>
    <row r="119" spans="2:13" x14ac:dyDescent="0.35">
      <c r="B119" s="6">
        <v>33</v>
      </c>
      <c r="C119" s="1152"/>
      <c r="D119" s="1153"/>
      <c r="E119" s="461"/>
      <c r="F119" s="1189"/>
      <c r="G119" s="461"/>
      <c r="H119" s="461"/>
      <c r="I119" s="461"/>
      <c r="J119" s="438"/>
      <c r="L119" t="b">
        <f t="shared" ref="L119:L136" ca="1" si="2">AND(OR(LEN(C119)=0,LEN(E119)=0,LEN(G119)=0,LEN(H119)=0,AND($N$85=1,LEN(I119)=0),LEN(J119)=0),M119)</f>
        <v>0</v>
      </c>
      <c r="M119" s="382" t="b">
        <f t="shared" si="1"/>
        <v>0</v>
      </c>
    </row>
    <row r="120" spans="2:13" x14ac:dyDescent="0.35">
      <c r="B120" s="6">
        <v>34</v>
      </c>
      <c r="C120" s="1152"/>
      <c r="D120" s="1153"/>
      <c r="E120" s="461"/>
      <c r="F120" s="1189"/>
      <c r="G120" s="461"/>
      <c r="H120" s="461"/>
      <c r="I120" s="461"/>
      <c r="J120" s="438"/>
      <c r="L120" t="b">
        <f t="shared" ca="1" si="2"/>
        <v>0</v>
      </c>
      <c r="M120" s="382" t="b">
        <f t="shared" si="1"/>
        <v>0</v>
      </c>
    </row>
    <row r="121" spans="2:13" x14ac:dyDescent="0.35">
      <c r="B121" s="6">
        <v>35</v>
      </c>
      <c r="C121" s="1152"/>
      <c r="D121" s="1153"/>
      <c r="E121" s="461"/>
      <c r="F121" s="1189"/>
      <c r="G121" s="461"/>
      <c r="H121" s="461"/>
      <c r="I121" s="461"/>
      <c r="J121" s="438"/>
      <c r="L121" t="b">
        <f t="shared" ca="1" si="2"/>
        <v>0</v>
      </c>
      <c r="M121" s="382" t="b">
        <f t="shared" si="1"/>
        <v>0</v>
      </c>
    </row>
    <row r="122" spans="2:13" x14ac:dyDescent="0.35">
      <c r="B122" s="6">
        <v>36</v>
      </c>
      <c r="C122" s="1152"/>
      <c r="D122" s="1153"/>
      <c r="E122" s="461"/>
      <c r="F122" s="1189"/>
      <c r="G122" s="461"/>
      <c r="H122" s="461"/>
      <c r="I122" s="461"/>
      <c r="J122" s="438"/>
      <c r="L122" t="b">
        <f t="shared" ca="1" si="2"/>
        <v>0</v>
      </c>
      <c r="M122" s="382" t="b">
        <f t="shared" si="1"/>
        <v>0</v>
      </c>
    </row>
    <row r="123" spans="2:13" x14ac:dyDescent="0.35">
      <c r="B123" s="6">
        <v>37</v>
      </c>
      <c r="C123" s="1152"/>
      <c r="D123" s="1153"/>
      <c r="E123" s="461"/>
      <c r="F123" s="1189"/>
      <c r="G123" s="461"/>
      <c r="H123" s="461"/>
      <c r="I123" s="461"/>
      <c r="J123" s="438"/>
      <c r="L123" t="b">
        <f t="shared" ca="1" si="2"/>
        <v>0</v>
      </c>
      <c r="M123" s="382" t="b">
        <f t="shared" si="1"/>
        <v>0</v>
      </c>
    </row>
    <row r="124" spans="2:13" x14ac:dyDescent="0.35">
      <c r="B124" s="6">
        <v>38</v>
      </c>
      <c r="C124" s="1152"/>
      <c r="D124" s="1153"/>
      <c r="E124" s="461"/>
      <c r="F124" s="1189"/>
      <c r="G124" s="461"/>
      <c r="H124" s="461"/>
      <c r="I124" s="461"/>
      <c r="J124" s="438"/>
      <c r="L124" t="b">
        <f t="shared" ca="1" si="2"/>
        <v>0</v>
      </c>
      <c r="M124" s="382" t="b">
        <f t="shared" si="1"/>
        <v>0</v>
      </c>
    </row>
    <row r="125" spans="2:13" x14ac:dyDescent="0.35">
      <c r="B125" s="6">
        <v>39</v>
      </c>
      <c r="C125" s="1152"/>
      <c r="D125" s="1153"/>
      <c r="E125" s="461"/>
      <c r="F125" s="1189"/>
      <c r="G125" s="461"/>
      <c r="H125" s="461"/>
      <c r="I125" s="461"/>
      <c r="J125" s="438"/>
      <c r="L125" t="b">
        <f t="shared" ca="1" si="2"/>
        <v>0</v>
      </c>
      <c r="M125" s="382" t="b">
        <f t="shared" si="1"/>
        <v>0</v>
      </c>
    </row>
    <row r="126" spans="2:13" x14ac:dyDescent="0.35">
      <c r="B126" s="6">
        <v>40</v>
      </c>
      <c r="C126" s="1152"/>
      <c r="D126" s="1153"/>
      <c r="E126" s="461"/>
      <c r="F126" s="1189"/>
      <c r="G126" s="461"/>
      <c r="H126" s="461"/>
      <c r="I126" s="461"/>
      <c r="J126" s="438"/>
      <c r="L126" t="b">
        <f t="shared" ca="1" si="2"/>
        <v>0</v>
      </c>
      <c r="M126" s="382" t="b">
        <f t="shared" si="1"/>
        <v>0</v>
      </c>
    </row>
    <row r="127" spans="2:13" x14ac:dyDescent="0.35">
      <c r="B127" s="6">
        <v>41</v>
      </c>
      <c r="C127" s="1152"/>
      <c r="D127" s="1153"/>
      <c r="E127" s="461"/>
      <c r="F127" s="1189"/>
      <c r="G127" s="461"/>
      <c r="H127" s="461"/>
      <c r="I127" s="461"/>
      <c r="J127" s="438"/>
      <c r="L127" t="b">
        <f t="shared" ca="1" si="2"/>
        <v>0</v>
      </c>
      <c r="M127" s="382" t="b">
        <f t="shared" si="1"/>
        <v>0</v>
      </c>
    </row>
    <row r="128" spans="2:13" x14ac:dyDescent="0.35">
      <c r="B128" s="6">
        <v>42</v>
      </c>
      <c r="C128" s="1152"/>
      <c r="D128" s="1153"/>
      <c r="E128" s="461"/>
      <c r="F128" s="1189"/>
      <c r="G128" s="461"/>
      <c r="H128" s="461"/>
      <c r="I128" s="461"/>
      <c r="J128" s="438"/>
      <c r="L128" t="b">
        <f t="shared" ca="1" si="2"/>
        <v>0</v>
      </c>
      <c r="M128" s="382" t="b">
        <f t="shared" si="1"/>
        <v>0</v>
      </c>
    </row>
    <row r="129" spans="2:13" x14ac:dyDescent="0.35">
      <c r="B129" s="6">
        <v>43</v>
      </c>
      <c r="C129" s="1152"/>
      <c r="D129" s="1153"/>
      <c r="E129" s="461"/>
      <c r="F129" s="1189"/>
      <c r="G129" s="461"/>
      <c r="H129" s="461"/>
      <c r="I129" s="461"/>
      <c r="J129" s="438"/>
      <c r="L129" t="b">
        <f t="shared" ca="1" si="2"/>
        <v>0</v>
      </c>
      <c r="M129" s="382" t="b">
        <f t="shared" si="1"/>
        <v>0</v>
      </c>
    </row>
    <row r="130" spans="2:13" x14ac:dyDescent="0.35">
      <c r="B130" s="6">
        <v>44</v>
      </c>
      <c r="C130" s="1152"/>
      <c r="D130" s="1153"/>
      <c r="E130" s="461"/>
      <c r="F130" s="1189"/>
      <c r="G130" s="461"/>
      <c r="H130" s="461"/>
      <c r="I130" s="461"/>
      <c r="J130" s="438"/>
      <c r="L130" t="b">
        <f t="shared" ca="1" si="2"/>
        <v>0</v>
      </c>
      <c r="M130" s="382" t="b">
        <f t="shared" si="1"/>
        <v>0</v>
      </c>
    </row>
    <row r="131" spans="2:13" x14ac:dyDescent="0.35">
      <c r="B131" s="6">
        <v>45</v>
      </c>
      <c r="C131" s="1152"/>
      <c r="D131" s="1153"/>
      <c r="E131" s="461"/>
      <c r="F131" s="1189"/>
      <c r="G131" s="461"/>
      <c r="H131" s="461"/>
      <c r="I131" s="461"/>
      <c r="J131" s="438"/>
      <c r="L131" t="b">
        <f t="shared" ca="1" si="2"/>
        <v>0</v>
      </c>
      <c r="M131" s="382" t="b">
        <f t="shared" si="1"/>
        <v>0</v>
      </c>
    </row>
    <row r="132" spans="2:13" x14ac:dyDescent="0.35">
      <c r="B132" s="6">
        <v>46</v>
      </c>
      <c r="C132" s="1152"/>
      <c r="D132" s="1153"/>
      <c r="E132" s="461"/>
      <c r="F132" s="1189"/>
      <c r="G132" s="461"/>
      <c r="H132" s="461"/>
      <c r="I132" s="461"/>
      <c r="J132" s="438"/>
      <c r="L132" t="b">
        <f t="shared" ca="1" si="2"/>
        <v>0</v>
      </c>
      <c r="M132" s="382" t="b">
        <f t="shared" si="1"/>
        <v>0</v>
      </c>
    </row>
    <row r="133" spans="2:13" x14ac:dyDescent="0.35">
      <c r="B133" s="6">
        <v>47</v>
      </c>
      <c r="C133" s="1152"/>
      <c r="D133" s="1153"/>
      <c r="E133" s="461"/>
      <c r="F133" s="1189"/>
      <c r="G133" s="461"/>
      <c r="H133" s="461"/>
      <c r="I133" s="461"/>
      <c r="J133" s="438"/>
      <c r="L133" t="b">
        <f t="shared" ca="1" si="2"/>
        <v>0</v>
      </c>
      <c r="M133" s="382" t="b">
        <f t="shared" si="1"/>
        <v>0</v>
      </c>
    </row>
    <row r="134" spans="2:13" x14ac:dyDescent="0.35">
      <c r="B134" s="6">
        <v>48</v>
      </c>
      <c r="C134" s="1152"/>
      <c r="D134" s="1153"/>
      <c r="E134" s="461"/>
      <c r="F134" s="1189"/>
      <c r="G134" s="461"/>
      <c r="H134" s="461"/>
      <c r="I134" s="461"/>
      <c r="J134" s="438"/>
      <c r="L134" t="b">
        <f t="shared" ca="1" si="2"/>
        <v>0</v>
      </c>
      <c r="M134" s="382" t="b">
        <f t="shared" si="1"/>
        <v>0</v>
      </c>
    </row>
    <row r="135" spans="2:13" x14ac:dyDescent="0.35">
      <c r="B135" s="6">
        <v>49</v>
      </c>
      <c r="C135" s="1152"/>
      <c r="D135" s="1153"/>
      <c r="E135" s="461"/>
      <c r="F135" s="1189"/>
      <c r="G135" s="461"/>
      <c r="H135" s="461"/>
      <c r="I135" s="461"/>
      <c r="J135" s="438"/>
      <c r="L135" t="b">
        <f t="shared" ca="1" si="2"/>
        <v>0</v>
      </c>
      <c r="M135" s="382" t="b">
        <f t="shared" si="1"/>
        <v>0</v>
      </c>
    </row>
    <row r="136" spans="2:13" x14ac:dyDescent="0.35">
      <c r="B136" s="6">
        <v>50</v>
      </c>
      <c r="C136" s="1152"/>
      <c r="D136" s="1153"/>
      <c r="E136" s="461"/>
      <c r="F136" s="1190"/>
      <c r="G136" s="461"/>
      <c r="H136" s="461"/>
      <c r="I136" s="461"/>
      <c r="J136" s="438"/>
      <c r="L136" t="b">
        <f t="shared" ca="1" si="2"/>
        <v>0</v>
      </c>
      <c r="M136" s="382" t="b">
        <f t="shared" si="1"/>
        <v>0</v>
      </c>
    </row>
    <row r="138" spans="2:13" x14ac:dyDescent="0.35">
      <c r="B138" s="366"/>
      <c r="C138" s="366"/>
      <c r="D138" s="366"/>
      <c r="E138" s="366"/>
      <c r="F138" s="366"/>
      <c r="G138" s="366"/>
      <c r="H138" s="366"/>
      <c r="I138" s="366"/>
    </row>
    <row r="139" spans="2:13" x14ac:dyDescent="0.35">
      <c r="B139" s="366"/>
      <c r="C139" s="561" t="s">
        <v>3876</v>
      </c>
      <c r="D139" s="366"/>
      <c r="E139" s="366"/>
      <c r="F139" s="366"/>
      <c r="G139" s="366"/>
      <c r="H139" s="366"/>
      <c r="I139" s="366"/>
    </row>
    <row r="140" spans="2:13" ht="3" customHeight="1" x14ac:dyDescent="0.35">
      <c r="B140" s="366"/>
      <c r="C140" s="561"/>
      <c r="D140" s="366"/>
      <c r="E140" s="366"/>
      <c r="F140" s="366"/>
      <c r="G140" s="366"/>
      <c r="H140" s="366"/>
      <c r="I140" s="366"/>
    </row>
    <row r="141" spans="2:13" x14ac:dyDescent="0.35">
      <c r="B141" s="366"/>
      <c r="C141" s="562" t="s">
        <v>4859</v>
      </c>
      <c r="D141" s="366"/>
      <c r="E141" s="366"/>
      <c r="F141" s="366"/>
      <c r="G141" s="366"/>
      <c r="H141" s="366"/>
      <c r="I141" s="366"/>
    </row>
    <row r="142" spans="2:13" ht="3" customHeight="1" x14ac:dyDescent="0.35">
      <c r="B142" s="366"/>
      <c r="C142" s="562"/>
      <c r="D142" s="366"/>
      <c r="E142" s="366"/>
      <c r="F142" s="366"/>
      <c r="G142" s="366"/>
      <c r="H142" s="366"/>
      <c r="I142" s="366"/>
    </row>
    <row r="143" spans="2:13" x14ac:dyDescent="0.35">
      <c r="B143" s="366"/>
      <c r="C143" s="562" t="s">
        <v>5806</v>
      </c>
      <c r="D143" s="366"/>
      <c r="E143" s="366"/>
      <c r="F143" s="366"/>
      <c r="G143" s="366"/>
      <c r="H143" s="366"/>
      <c r="I143" s="366"/>
    </row>
    <row r="144" spans="2:13" ht="3" customHeight="1" x14ac:dyDescent="0.35">
      <c r="B144" s="366"/>
      <c r="C144" s="562"/>
      <c r="D144" s="366"/>
      <c r="E144" s="366"/>
      <c r="F144" s="366"/>
      <c r="G144" s="366"/>
      <c r="H144" s="366"/>
      <c r="I144" s="366"/>
    </row>
    <row r="145" spans="2:13" x14ac:dyDescent="0.35">
      <c r="B145" s="366"/>
      <c r="C145" s="1185" t="s">
        <v>5807</v>
      </c>
      <c r="D145" s="1185"/>
      <c r="E145" s="1185"/>
      <c r="F145" s="1185"/>
      <c r="G145" s="1185"/>
      <c r="H145" s="1185"/>
      <c r="I145" s="1185"/>
    </row>
    <row r="146" spans="2:13" ht="3" customHeight="1" x14ac:dyDescent="0.35">
      <c r="B146" s="366"/>
      <c r="C146" s="1185"/>
      <c r="D146" s="1185"/>
      <c r="E146" s="1185"/>
      <c r="F146" s="1185"/>
      <c r="G146" s="1185"/>
      <c r="H146" s="1185"/>
      <c r="I146" s="1185"/>
    </row>
    <row r="147" spans="2:13" x14ac:dyDescent="0.35">
      <c r="B147" s="366"/>
      <c r="C147" s="1151" t="s">
        <v>5808</v>
      </c>
      <c r="D147" s="1151"/>
      <c r="E147" s="1151"/>
      <c r="F147" s="1151"/>
      <c r="G147" s="1151"/>
      <c r="H147" s="1151"/>
      <c r="I147" s="1151"/>
    </row>
    <row r="148" spans="2:13" ht="3" customHeight="1" x14ac:dyDescent="0.35">
      <c r="B148" s="366"/>
      <c r="C148" s="562"/>
      <c r="D148" s="366"/>
      <c r="E148" s="366"/>
      <c r="F148" s="366"/>
      <c r="G148" s="366"/>
      <c r="H148" s="366"/>
      <c r="I148" s="366"/>
    </row>
    <row r="149" spans="2:13" x14ac:dyDescent="0.35">
      <c r="B149" s="366"/>
      <c r="C149" s="562" t="s">
        <v>4860</v>
      </c>
      <c r="D149" s="366"/>
      <c r="E149" s="366"/>
      <c r="F149" s="366"/>
      <c r="G149" s="366"/>
      <c r="H149" s="366"/>
      <c r="I149" s="366"/>
    </row>
    <row r="150" spans="2:13" ht="3" customHeight="1" x14ac:dyDescent="0.35">
      <c r="B150" s="366"/>
      <c r="C150" s="562"/>
      <c r="D150" s="366"/>
      <c r="E150" s="366"/>
      <c r="F150" s="366"/>
      <c r="G150" s="366"/>
      <c r="H150" s="366"/>
      <c r="I150" s="366"/>
    </row>
    <row r="151" spans="2:13" ht="30" customHeight="1" x14ac:dyDescent="0.35">
      <c r="B151" s="366"/>
      <c r="C151" s="1186" t="s">
        <v>4861</v>
      </c>
      <c r="D151" s="1186"/>
      <c r="E151" s="1186"/>
      <c r="F151" s="1186"/>
      <c r="G151" s="1186"/>
      <c r="H151" s="1186"/>
      <c r="I151" s="1186"/>
      <c r="J151" s="565"/>
    </row>
    <row r="152" spans="2:13" ht="3" customHeight="1" x14ac:dyDescent="0.35">
      <c r="B152" s="366"/>
      <c r="C152" s="562"/>
      <c r="D152" s="366"/>
      <c r="E152" s="366"/>
      <c r="F152" s="366"/>
      <c r="G152" s="366"/>
      <c r="H152" s="366"/>
      <c r="I152" s="366"/>
    </row>
    <row r="153" spans="2:13" ht="30" customHeight="1" x14ac:dyDescent="0.35">
      <c r="B153" s="366"/>
      <c r="C153" s="1185" t="s">
        <v>4862</v>
      </c>
      <c r="D153" s="1185"/>
      <c r="E153" s="1185"/>
      <c r="F153" s="1185"/>
      <c r="G153" s="1185"/>
      <c r="H153" s="1185"/>
      <c r="I153" s="1185"/>
      <c r="K153" s="563"/>
      <c r="L153" s="563"/>
      <c r="M153" s="565"/>
    </row>
    <row r="154" spans="2:13" ht="3" customHeight="1" x14ac:dyDescent="0.35">
      <c r="B154" s="366"/>
      <c r="C154" s="562"/>
      <c r="D154" s="366"/>
      <c r="E154" s="366"/>
      <c r="F154" s="366"/>
      <c r="G154" s="366"/>
      <c r="H154" s="366"/>
      <c r="I154" s="366"/>
    </row>
    <row r="155" spans="2:13" x14ac:dyDescent="0.35">
      <c r="B155" s="366"/>
      <c r="C155" s="562" t="s">
        <v>5809</v>
      </c>
      <c r="D155" s="366"/>
      <c r="E155" s="366"/>
      <c r="F155" s="366"/>
      <c r="G155" s="366"/>
      <c r="H155" s="366"/>
      <c r="I155" s="366"/>
    </row>
    <row r="158" spans="2:13" x14ac:dyDescent="0.35">
      <c r="C158" s="216" t="s">
        <v>6091</v>
      </c>
    </row>
    <row r="160" spans="2:13" x14ac:dyDescent="0.35">
      <c r="C160" s="760" t="s">
        <v>4832</v>
      </c>
      <c r="D160" s="760"/>
      <c r="E160" s="760"/>
      <c r="F160" s="760"/>
      <c r="G160" s="760"/>
      <c r="H160" s="760"/>
    </row>
    <row r="161" spans="2:8" x14ac:dyDescent="0.35">
      <c r="C161" s="760"/>
      <c r="D161" s="760"/>
      <c r="E161" s="760"/>
      <c r="F161" s="760"/>
      <c r="G161" s="760"/>
      <c r="H161" s="760"/>
    </row>
    <row r="163" spans="2:8" ht="58" x14ac:dyDescent="0.35">
      <c r="C163" s="367" t="s">
        <v>4829</v>
      </c>
      <c r="D163" s="367" t="s">
        <v>4830</v>
      </c>
      <c r="E163" s="367" t="s">
        <v>4831</v>
      </c>
      <c r="F163" s="1187" t="s">
        <v>1</v>
      </c>
      <c r="G163" s="1187"/>
      <c r="H163" s="1187"/>
    </row>
    <row r="164" spans="2:8" x14ac:dyDescent="0.35">
      <c r="B164" s="6">
        <v>1</v>
      </c>
      <c r="C164" s="558" t="s">
        <v>6107</v>
      </c>
      <c r="D164" s="559"/>
      <c r="E164" s="559"/>
      <c r="F164" s="1154" t="s">
        <v>6107</v>
      </c>
      <c r="G164" s="1154"/>
      <c r="H164" s="1154"/>
    </row>
    <row r="165" spans="2:8" x14ac:dyDescent="0.35">
      <c r="B165" s="6">
        <v>2</v>
      </c>
      <c r="C165" s="558" t="s">
        <v>6107</v>
      </c>
      <c r="D165" s="559"/>
      <c r="E165" s="559"/>
      <c r="F165" s="1154" t="s">
        <v>6107</v>
      </c>
      <c r="G165" s="1154"/>
      <c r="H165" s="1154"/>
    </row>
    <row r="166" spans="2:8" x14ac:dyDescent="0.35">
      <c r="B166" s="6">
        <v>3</v>
      </c>
      <c r="C166" s="558" t="s">
        <v>6107</v>
      </c>
      <c r="D166" s="559"/>
      <c r="E166" s="559"/>
      <c r="F166" s="1154" t="s">
        <v>6107</v>
      </c>
      <c r="G166" s="1154"/>
      <c r="H166" s="1154"/>
    </row>
    <row r="167" spans="2:8" x14ac:dyDescent="0.35">
      <c r="B167" s="6">
        <v>4</v>
      </c>
      <c r="C167" s="558" t="s">
        <v>6107</v>
      </c>
      <c r="D167" s="559"/>
      <c r="E167" s="559"/>
      <c r="F167" s="1154" t="s">
        <v>6107</v>
      </c>
      <c r="G167" s="1154"/>
      <c r="H167" s="1154"/>
    </row>
    <row r="168" spans="2:8" x14ac:dyDescent="0.35">
      <c r="B168" s="6">
        <v>5</v>
      </c>
      <c r="C168" s="558" t="s">
        <v>6107</v>
      </c>
      <c r="D168" s="559"/>
      <c r="E168" s="559"/>
      <c r="F168" s="1154" t="s">
        <v>6107</v>
      </c>
      <c r="G168" s="1154"/>
      <c r="H168" s="1154"/>
    </row>
    <row r="169" spans="2:8" x14ac:dyDescent="0.35">
      <c r="B169" s="6">
        <v>6</v>
      </c>
      <c r="C169" s="558" t="s">
        <v>6107</v>
      </c>
      <c r="D169" s="559"/>
      <c r="E169" s="559"/>
      <c r="F169" s="1154" t="s">
        <v>6107</v>
      </c>
      <c r="G169" s="1154"/>
      <c r="H169" s="1154"/>
    </row>
    <row r="170" spans="2:8" x14ac:dyDescent="0.35">
      <c r="B170" s="6">
        <v>7</v>
      </c>
      <c r="C170" s="558" t="s">
        <v>6107</v>
      </c>
      <c r="D170" s="559"/>
      <c r="E170" s="559"/>
      <c r="F170" s="1154" t="s">
        <v>6107</v>
      </c>
      <c r="G170" s="1154"/>
      <c r="H170" s="1154"/>
    </row>
    <row r="171" spans="2:8" x14ac:dyDescent="0.35">
      <c r="B171" s="6">
        <v>8</v>
      </c>
      <c r="C171" s="558" t="s">
        <v>6107</v>
      </c>
      <c r="D171" s="559"/>
      <c r="E171" s="559"/>
      <c r="F171" s="1154" t="s">
        <v>6107</v>
      </c>
      <c r="G171" s="1154"/>
      <c r="H171" s="1154"/>
    </row>
    <row r="172" spans="2:8" x14ac:dyDescent="0.35">
      <c r="B172" s="6">
        <v>9</v>
      </c>
      <c r="C172" s="558" t="s">
        <v>6107</v>
      </c>
      <c r="D172" s="559"/>
      <c r="E172" s="559"/>
      <c r="F172" s="1154" t="s">
        <v>6107</v>
      </c>
      <c r="G172" s="1154"/>
      <c r="H172" s="1154"/>
    </row>
    <row r="173" spans="2:8" x14ac:dyDescent="0.35">
      <c r="B173" s="6">
        <v>10</v>
      </c>
      <c r="C173" s="558" t="s">
        <v>6107</v>
      </c>
      <c r="D173" s="559"/>
      <c r="E173" s="559"/>
      <c r="F173" s="1154" t="s">
        <v>6107</v>
      </c>
      <c r="G173" s="1154"/>
      <c r="H173" s="1154"/>
    </row>
    <row r="174" spans="2:8" x14ac:dyDescent="0.35">
      <c r="B174" s="6">
        <v>11</v>
      </c>
      <c r="C174" s="558" t="s">
        <v>6107</v>
      </c>
      <c r="D174" s="559"/>
      <c r="E174" s="559"/>
      <c r="F174" s="1154" t="s">
        <v>6107</v>
      </c>
      <c r="G174" s="1154"/>
      <c r="H174" s="1154"/>
    </row>
    <row r="175" spans="2:8" x14ac:dyDescent="0.35">
      <c r="B175" s="6">
        <v>12</v>
      </c>
      <c r="C175" s="558" t="s">
        <v>6107</v>
      </c>
      <c r="D175" s="559"/>
      <c r="E175" s="559"/>
      <c r="F175" s="1154" t="s">
        <v>6107</v>
      </c>
      <c r="G175" s="1154"/>
      <c r="H175" s="1154"/>
    </row>
    <row r="176" spans="2:8" x14ac:dyDescent="0.35">
      <c r="B176" s="6">
        <v>13</v>
      </c>
      <c r="C176" s="558" t="s">
        <v>6107</v>
      </c>
      <c r="D176" s="559"/>
      <c r="E176" s="559"/>
      <c r="F176" s="1154" t="s">
        <v>6107</v>
      </c>
      <c r="G176" s="1154"/>
      <c r="H176" s="1154"/>
    </row>
    <row r="177" spans="2:12" x14ac:dyDescent="0.35">
      <c r="B177" s="6">
        <v>14</v>
      </c>
      <c r="C177" s="558" t="s">
        <v>6107</v>
      </c>
      <c r="D177" s="559"/>
      <c r="E177" s="559"/>
      <c r="F177" s="1154" t="s">
        <v>6107</v>
      </c>
      <c r="G177" s="1154"/>
      <c r="H177" s="1154"/>
    </row>
    <row r="178" spans="2:12" x14ac:dyDescent="0.35">
      <c r="B178" s="6">
        <v>15</v>
      </c>
      <c r="C178" s="558" t="s">
        <v>6107</v>
      </c>
      <c r="D178" s="559"/>
      <c r="E178" s="559"/>
      <c r="F178" s="1154" t="s">
        <v>6107</v>
      </c>
      <c r="G178" s="1154"/>
      <c r="H178" s="1154"/>
    </row>
    <row r="179" spans="2:12" x14ac:dyDescent="0.35">
      <c r="B179" s="6">
        <v>16</v>
      </c>
      <c r="C179" s="558" t="s">
        <v>6107</v>
      </c>
      <c r="D179" s="559"/>
      <c r="E179" s="559"/>
      <c r="F179" s="1154" t="s">
        <v>6107</v>
      </c>
      <c r="G179" s="1154"/>
      <c r="H179" s="1154"/>
    </row>
    <row r="180" spans="2:12" ht="15" customHeight="1" x14ac:dyDescent="0.35">
      <c r="C180" s="1183" t="s">
        <v>4866</v>
      </c>
      <c r="D180" s="360" t="str">
        <f>"TOTAL: "&amp;SUM(D164:D179)</f>
        <v>TOTAL: 0</v>
      </c>
      <c r="E180" s="360" t="str">
        <f>"TOTAL: "&amp;SUM(E164:E179)</f>
        <v>TOTAL: 0</v>
      </c>
      <c r="F180" s="1181" t="s">
        <v>4865</v>
      </c>
      <c r="G180" s="1182"/>
      <c r="H180" s="1182"/>
      <c r="L180" s="279">
        <f>IFERROR(SUM(E164:E179)/SUM(D164:D179),0)</f>
        <v>0</v>
      </c>
    </row>
    <row r="181" spans="2:12" x14ac:dyDescent="0.35">
      <c r="C181" s="1184"/>
      <c r="F181" s="1182"/>
      <c r="G181" s="1182"/>
      <c r="H181" s="1182"/>
    </row>
    <row r="182" spans="2:12" x14ac:dyDescent="0.35">
      <c r="C182" s="1184"/>
      <c r="F182" s="1182"/>
      <c r="G182" s="1182"/>
      <c r="H182" s="1182"/>
    </row>
    <row r="183" spans="2:12" x14ac:dyDescent="0.35">
      <c r="C183" s="565"/>
      <c r="F183" s="1182"/>
      <c r="G183" s="1182"/>
      <c r="H183" s="1182"/>
    </row>
    <row r="184" spans="2:12" x14ac:dyDescent="0.35">
      <c r="F184" s="1182"/>
      <c r="G184" s="1182"/>
      <c r="H184" s="1182"/>
    </row>
    <row r="185" spans="2:12" x14ac:dyDescent="0.35">
      <c r="F185" s="1182"/>
      <c r="G185" s="1182"/>
      <c r="H185" s="1182"/>
    </row>
  </sheetData>
  <sheetProtection algorithmName="SHA-512" hashValue="rZ5zaeVvAgpwVIh0KCCMDjnMTVEJ7ZvxpfTsZ0Vp1fkvVZZCXrC+LPzh8798LWsufAXprNuXLSBBTHBsjBEEWg==" saltValue="IESR/55n9i3sWWZJQbk9ww==" spinCount="100000" sheet="1" objects="1" scenarios="1" selectLockedCells="1"/>
  <mergeCells count="129">
    <mergeCell ref="C180:C182"/>
    <mergeCell ref="F180:H185"/>
    <mergeCell ref="D1:I5"/>
    <mergeCell ref="C18:D18"/>
    <mergeCell ref="F18:I18"/>
    <mergeCell ref="C16:D16"/>
    <mergeCell ref="G16:I16"/>
    <mergeCell ref="C72:I72"/>
    <mergeCell ref="E74:F74"/>
    <mergeCell ref="G74:H74"/>
    <mergeCell ref="C45:D45"/>
    <mergeCell ref="E75:F75"/>
    <mergeCell ref="E76:F76"/>
    <mergeCell ref="E77:F77"/>
    <mergeCell ref="E78:F78"/>
    <mergeCell ref="C87:D87"/>
    <mergeCell ref="C88:D88"/>
    <mergeCell ref="C89:D89"/>
    <mergeCell ref="C90:D90"/>
    <mergeCell ref="C97:D97"/>
    <mergeCell ref="C98:D98"/>
    <mergeCell ref="C99:D99"/>
    <mergeCell ref="C145:I146"/>
    <mergeCell ref="F177:H177"/>
    <mergeCell ref="A8:B8"/>
    <mergeCell ref="G8:I8"/>
    <mergeCell ref="A10:B10"/>
    <mergeCell ref="C10:D10"/>
    <mergeCell ref="G10:I10"/>
    <mergeCell ref="C8:D8"/>
    <mergeCell ref="A67:B67"/>
    <mergeCell ref="G75:H75"/>
    <mergeCell ref="G76:H76"/>
    <mergeCell ref="C43:D43"/>
    <mergeCell ref="A16:B16"/>
    <mergeCell ref="E20:E21"/>
    <mergeCell ref="A39:B39"/>
    <mergeCell ref="C39:I41"/>
    <mergeCell ref="A40:B40"/>
    <mergeCell ref="A41:B41"/>
    <mergeCell ref="C47:D47"/>
    <mergeCell ref="C49:D49"/>
    <mergeCell ref="A53:B53"/>
    <mergeCell ref="A57:B57"/>
    <mergeCell ref="A59:B59"/>
    <mergeCell ref="A61:B61"/>
    <mergeCell ref="C53:I55"/>
    <mergeCell ref="A54:B54"/>
    <mergeCell ref="F166:H166"/>
    <mergeCell ref="C105:D105"/>
    <mergeCell ref="A12:B12"/>
    <mergeCell ref="C12:D12"/>
    <mergeCell ref="G12:I12"/>
    <mergeCell ref="A14:B14"/>
    <mergeCell ref="C14:D14"/>
    <mergeCell ref="G14:I14"/>
    <mergeCell ref="G77:H77"/>
    <mergeCell ref="G78:H78"/>
    <mergeCell ref="G79:H79"/>
    <mergeCell ref="A55:B55"/>
    <mergeCell ref="C34:D34"/>
    <mergeCell ref="E79:F79"/>
    <mergeCell ref="E67:I67"/>
    <mergeCell ref="A63:B63"/>
    <mergeCell ref="D63:D65"/>
    <mergeCell ref="A65:B65"/>
    <mergeCell ref="C115:D115"/>
    <mergeCell ref="C116:D116"/>
    <mergeCell ref="C117:D117"/>
    <mergeCell ref="C118:D118"/>
    <mergeCell ref="C119:D119"/>
    <mergeCell ref="C120:D120"/>
    <mergeCell ref="F178:H178"/>
    <mergeCell ref="F179:H179"/>
    <mergeCell ref="F172:H172"/>
    <mergeCell ref="F173:H173"/>
    <mergeCell ref="F174:H174"/>
    <mergeCell ref="F175:H175"/>
    <mergeCell ref="F176:H176"/>
    <mergeCell ref="F167:H167"/>
    <mergeCell ref="F168:H168"/>
    <mergeCell ref="F169:H169"/>
    <mergeCell ref="F170:H170"/>
    <mergeCell ref="F171:H171"/>
    <mergeCell ref="C133:D133"/>
    <mergeCell ref="C91:D91"/>
    <mergeCell ref="C96:D96"/>
    <mergeCell ref="C130:D130"/>
    <mergeCell ref="C131:D131"/>
    <mergeCell ref="C132:D132"/>
    <mergeCell ref="C103:D103"/>
    <mergeCell ref="C104:D104"/>
    <mergeCell ref="C92:D92"/>
    <mergeCell ref="C93:D93"/>
    <mergeCell ref="C94:D94"/>
    <mergeCell ref="C86:D86"/>
    <mergeCell ref="C106:D106"/>
    <mergeCell ref="C107:D107"/>
    <mergeCell ref="C108:D108"/>
    <mergeCell ref="C109:D109"/>
    <mergeCell ref="C110:D110"/>
    <mergeCell ref="C111:D111"/>
    <mergeCell ref="C112:D112"/>
    <mergeCell ref="C113:D113"/>
    <mergeCell ref="C95:D95"/>
    <mergeCell ref="C160:H161"/>
    <mergeCell ref="F163:H163"/>
    <mergeCell ref="F164:H164"/>
    <mergeCell ref="F165:H165"/>
    <mergeCell ref="C134:D134"/>
    <mergeCell ref="C135:D135"/>
    <mergeCell ref="C147:I147"/>
    <mergeCell ref="C151:I151"/>
    <mergeCell ref="C153:I153"/>
    <mergeCell ref="F87:F136"/>
    <mergeCell ref="C121:D121"/>
    <mergeCell ref="C122:D122"/>
    <mergeCell ref="C123:D123"/>
    <mergeCell ref="C124:D124"/>
    <mergeCell ref="C125:D125"/>
    <mergeCell ref="C126:D126"/>
    <mergeCell ref="C127:D127"/>
    <mergeCell ref="C128:D128"/>
    <mergeCell ref="C129:D129"/>
    <mergeCell ref="C100:D100"/>
    <mergeCell ref="C101:D101"/>
    <mergeCell ref="C102:D102"/>
    <mergeCell ref="C136:D136"/>
    <mergeCell ref="C114:D114"/>
  </mergeCells>
  <conditionalFormatting sqref="F24:I29 F32:I32">
    <cfRule type="cellIs" dxfId="28" priority="95" operator="lessThanOrEqual">
      <formula>$E24</formula>
    </cfRule>
  </conditionalFormatting>
  <conditionalFormatting sqref="C39 C43 C45 C47 C49 C53 C57 C59 C61 C63 C65 C67 F87">
    <cfRule type="notContainsBlanks" dxfId="27" priority="4868">
      <formula>LEN(TRIM(C39))&gt;0</formula>
    </cfRule>
  </conditionalFormatting>
  <conditionalFormatting sqref="G8">
    <cfRule type="expression" dxfId="26" priority="40">
      <formula>G8="Gold"</formula>
    </cfRule>
    <cfRule type="expression" dxfId="25" priority="41">
      <formula>G8="Silver"</formula>
    </cfRule>
    <cfRule type="expression" dxfId="24" priority="42">
      <formula>G8="Bronze"</formula>
    </cfRule>
    <cfRule type="expression" dxfId="23" priority="43">
      <formula>G8="Emerald"</formula>
    </cfRule>
  </conditionalFormatting>
  <conditionalFormatting sqref="F18:I18">
    <cfRule type="expression" dxfId="22" priority="38">
      <formula>$L$18</formula>
    </cfRule>
  </conditionalFormatting>
  <conditionalFormatting sqref="C75:H79">
    <cfRule type="notContainsBlanks" dxfId="21" priority="35">
      <formula>LEN(TRIM(C75))&gt;0</formula>
    </cfRule>
  </conditionalFormatting>
  <conditionalFormatting sqref="C75:H79">
    <cfRule type="expression" dxfId="20" priority="4870">
      <formula>$M75</formula>
    </cfRule>
  </conditionalFormatting>
  <conditionalFormatting sqref="C164:H179">
    <cfRule type="notContainsBlanks" dxfId="19" priority="29">
      <formula>LEN(TRIM(C164))&gt;0</formula>
    </cfRule>
  </conditionalFormatting>
  <conditionalFormatting sqref="F180:H185">
    <cfRule type="expression" dxfId="18" priority="24">
      <formula>AND($L$180&gt;=(1/7),$L$180&lt;0.2)</formula>
    </cfRule>
  </conditionalFormatting>
  <conditionalFormatting sqref="D180:E180">
    <cfRule type="expression" dxfId="17" priority="26">
      <formula>$L$180&gt;=0.2</formula>
    </cfRule>
    <cfRule type="expression" dxfId="16" priority="27">
      <formula>$L$180&gt;=(1/7)</formula>
    </cfRule>
    <cfRule type="expression" dxfId="15" priority="28">
      <formula>$L$180&gt;0</formula>
    </cfRule>
  </conditionalFormatting>
  <conditionalFormatting sqref="C180:C182">
    <cfRule type="expression" dxfId="14" priority="25">
      <formula>AND($L$180&gt;0,$L$180&lt;(1/7))</formula>
    </cfRule>
  </conditionalFormatting>
  <conditionalFormatting sqref="C87:E136 G87:H136">
    <cfRule type="notContainsBlanks" dxfId="13" priority="9">
      <formula>LEN(TRIM(C87))&gt;0</formula>
    </cfRule>
    <cfRule type="expression" dxfId="12" priority="10">
      <formula>$L87</formula>
    </cfRule>
  </conditionalFormatting>
  <conditionalFormatting sqref="J87:J136">
    <cfRule type="notContainsBlanks" dxfId="11" priority="3">
      <formula>LEN(TRIM(J87))&gt;0</formula>
    </cfRule>
    <cfRule type="expression" dxfId="10" priority="8">
      <formula>$L87</formula>
    </cfRule>
  </conditionalFormatting>
  <conditionalFormatting sqref="I87:I136">
    <cfRule type="notContainsBlanks" dxfId="9" priority="15064">
      <formula>LEN(TRIM(I87))&gt;0</formula>
    </cfRule>
    <cfRule type="expression" dxfId="8" priority="15065">
      <formula>AND($L87,$N$85=1)</formula>
    </cfRule>
  </conditionalFormatting>
  <dataValidations disablePrompts="1" count="1">
    <dataValidation type="whole" allowBlank="1" showInputMessage="1" showErrorMessage="1" sqref="D164:E179" xr:uid="{82E200DF-543D-4187-88B0-A0B6CA44769D}">
      <formula1>0</formula1>
      <formula2>10000</formula2>
    </dataValidation>
  </dataValidations>
  <pageMargins left="0.7" right="0.7" top="0.75" bottom="0.75" header="0.3" footer="0.3"/>
  <pageSetup scale="51" fitToHeight="0" orientation="portrait" r:id="rId1"/>
  <rowBreaks count="1" manualBreakCount="1">
    <brk id="82"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94" stopIfTrue="1" id="{08A68B61-7D14-4FFB-8A40-95825A95933B}">
            <xm:f>Points!$Y10&lt;3</xm:f>
            <x14:dxf>
              <fill>
                <patternFill patternType="lightGray"/>
              </fill>
            </x14:dxf>
          </x14:cfRule>
          <xm:sqref>H26</xm:sqref>
        </x14:conditionalFormatting>
        <x14:conditionalFormatting xmlns:xm="http://schemas.microsoft.com/office/excel/2006/main">
          <x14:cfRule type="expression" priority="93" stopIfTrue="1" id="{A2EC195A-93B7-440D-B4EA-6F78072ED82D}">
            <xm:f>Points!$Y10&lt;4</xm:f>
            <x14:dxf>
              <fill>
                <patternFill patternType="lightGray"/>
              </fill>
            </x14:dxf>
          </x14:cfRule>
          <xm:sqref>I26</xm:sqref>
        </x14:conditionalFormatting>
        <x14:conditionalFormatting xmlns:xm="http://schemas.microsoft.com/office/excel/2006/main">
          <x14:cfRule type="expression" priority="39" id="{262860F8-EFFF-465D-9491-0793F5EC5685}">
            <xm:f>OR('Verification Report'!$AI$3,'Verification Report'!$AG$3)</xm:f>
            <x14:dxf>
              <font>
                <b/>
                <i val="0"/>
                <color theme="1"/>
              </font>
              <fill>
                <patternFill>
                  <bgColor rgb="FFFF0000"/>
                </patternFill>
              </fill>
            </x14:dxf>
          </x14:cfRule>
          <xm:sqref>C18:D18</xm:sqref>
        </x14:conditionalFormatting>
        <x14:conditionalFormatting xmlns:xm="http://schemas.microsoft.com/office/excel/2006/main">
          <x14:cfRule type="expression" priority="13472" stopIfTrue="1" id="{08A68B61-7D14-4FFB-8A40-95825A95933B}">
            <xm:f>Points!$Y12&lt;3</xm:f>
            <x14:dxf>
              <fill>
                <patternFill patternType="lightGray"/>
              </fill>
            </x14:dxf>
          </x14:cfRule>
          <xm:sqref>H27</xm:sqref>
        </x14:conditionalFormatting>
        <x14:conditionalFormatting xmlns:xm="http://schemas.microsoft.com/office/excel/2006/main">
          <x14:cfRule type="expression" priority="13474" stopIfTrue="1" id="{A2EC195A-93B7-440D-B4EA-6F78072ED82D}">
            <xm:f>Points!$Y12&lt;4</xm:f>
            <x14:dxf>
              <fill>
                <patternFill patternType="lightGray"/>
              </fill>
            </x14:dxf>
          </x14:cfRule>
          <xm:sqref>I27</xm:sqref>
        </x14:conditionalFormatting>
        <x14:conditionalFormatting xmlns:xm="http://schemas.microsoft.com/office/excel/2006/main">
          <x14:cfRule type="expression" priority="13475" stopIfTrue="1" id="{B4057145-EB82-42DB-B8E6-47B010E15B78}">
            <xm:f>MIN(Points!$Y$10:$Y$12)&lt;3</xm:f>
            <x14:dxf>
              <fill>
                <patternFill patternType="lightGray"/>
              </fill>
            </x14:dxf>
          </x14:cfRule>
          <xm:sqref>H32</xm:sqref>
        </x14:conditionalFormatting>
        <x14:conditionalFormatting xmlns:xm="http://schemas.microsoft.com/office/excel/2006/main">
          <x14:cfRule type="expression" priority="13476" id="{26B4958A-7349-44B2-8E4C-C51891382655}">
            <xm:f>MIN(Points!$Y$10:$Y$12)&lt;4</xm:f>
            <x14:dxf>
              <fill>
                <patternFill patternType="lightGray"/>
              </fill>
            </x14:dxf>
          </x14:cfRule>
          <xm:sqref>I32</xm:sqref>
        </x14:conditionalFormatting>
        <x14:conditionalFormatting xmlns:xm="http://schemas.microsoft.com/office/excel/2006/main">
          <x14:cfRule type="expression" priority="15" id="{EBC06059-07BE-4C9C-951A-7874CCDE7467}">
            <xm:f>('Overview (Verification)'!$P$20="Yes")</xm:f>
            <x14:dxf>
              <font>
                <b/>
                <i val="0"/>
                <color theme="1"/>
              </font>
              <fill>
                <patternFill>
                  <bgColor rgb="FFFFFF00"/>
                </patternFill>
              </fill>
              <border>
                <left style="thin">
                  <color auto="1"/>
                </left>
                <right style="thin">
                  <color auto="1"/>
                </right>
                <top style="thin">
                  <color auto="1"/>
                </top>
                <bottom style="thin">
                  <color auto="1"/>
                </bottom>
              </border>
            </x14:dxf>
          </x14:cfRule>
          <xm:sqref>C34:D34</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pageSetUpPr fitToPage="1"/>
  </sheetPr>
  <dimension ref="B2:L81"/>
  <sheetViews>
    <sheetView showGridLines="0" zoomScaleNormal="100" workbookViewId="0">
      <selection activeCell="S48" sqref="S48"/>
    </sheetView>
  </sheetViews>
  <sheetFormatPr defaultColWidth="9.1796875" defaultRowHeight="14.5" x14ac:dyDescent="0.35"/>
  <sheetData>
    <row r="2" spans="2:12" ht="15.5" x14ac:dyDescent="0.35">
      <c r="B2" s="441" t="s">
        <v>5577</v>
      </c>
    </row>
    <row r="3" spans="2:12" ht="15.5" x14ac:dyDescent="0.35">
      <c r="B3" s="440"/>
    </row>
    <row r="4" spans="2:12" x14ac:dyDescent="0.35">
      <c r="B4" s="1202" t="s">
        <v>4053</v>
      </c>
      <c r="C4" s="1202"/>
      <c r="D4" s="1202"/>
      <c r="E4" s="1202"/>
      <c r="F4" s="1202"/>
      <c r="G4" s="1202"/>
      <c r="H4" s="1202"/>
      <c r="I4" s="1202"/>
    </row>
    <row r="5" spans="2:12" x14ac:dyDescent="0.35">
      <c r="B5" s="1202"/>
      <c r="C5" s="1202"/>
      <c r="D5" s="1202"/>
      <c r="E5" s="1202"/>
      <c r="F5" s="1202"/>
      <c r="G5" s="1202"/>
      <c r="H5" s="1202"/>
      <c r="I5" s="1202"/>
    </row>
    <row r="6" spans="2:12" x14ac:dyDescent="0.35">
      <c r="B6" s="1202"/>
      <c r="C6" s="1202"/>
      <c r="D6" s="1202"/>
      <c r="E6" s="1202"/>
      <c r="F6" s="1202"/>
      <c r="G6" s="1202"/>
      <c r="H6" s="1202"/>
      <c r="I6" s="1202"/>
    </row>
    <row r="7" spans="2:12" x14ac:dyDescent="0.35">
      <c r="B7" s="439"/>
    </row>
    <row r="8" spans="2:12" x14ac:dyDescent="0.35">
      <c r="B8" s="1237" t="s">
        <v>5578</v>
      </c>
      <c r="C8" s="1238"/>
      <c r="D8" s="1238"/>
      <c r="E8" s="1238"/>
      <c r="F8" s="1238"/>
      <c r="G8" s="1238"/>
      <c r="H8" s="1238"/>
      <c r="I8" s="1238"/>
      <c r="J8" s="1238"/>
      <c r="K8" s="1238"/>
      <c r="L8" s="1238"/>
    </row>
    <row r="9" spans="2:12" x14ac:dyDescent="0.35">
      <c r="B9" s="1237" t="s">
        <v>3993</v>
      </c>
      <c r="C9" s="1238"/>
      <c r="D9" s="1238"/>
      <c r="E9" s="1238"/>
      <c r="F9" s="1238"/>
      <c r="G9" s="1238"/>
      <c r="H9" s="1238"/>
      <c r="I9" s="1238"/>
      <c r="J9" s="1238"/>
      <c r="K9" s="1238"/>
      <c r="L9" s="1238"/>
    </row>
    <row r="10" spans="2:12" x14ac:dyDescent="0.35">
      <c r="B10" s="1239"/>
      <c r="C10" s="1239"/>
      <c r="D10" s="1239"/>
      <c r="E10" s="1239"/>
    </row>
    <row r="11" spans="2:12" x14ac:dyDescent="0.35">
      <c r="B11" s="1235" t="s">
        <v>5580</v>
      </c>
      <c r="C11" s="1235"/>
      <c r="D11" s="1235"/>
      <c r="E11" s="1235"/>
      <c r="F11" s="1235"/>
      <c r="G11" s="1235"/>
      <c r="H11" s="1235"/>
      <c r="I11" s="1235"/>
      <c r="J11" s="1235"/>
      <c r="K11" s="1235"/>
      <c r="L11" s="1235"/>
    </row>
    <row r="12" spans="2:12" x14ac:dyDescent="0.35">
      <c r="B12" s="1235"/>
      <c r="C12" s="1235"/>
      <c r="D12" s="1235"/>
      <c r="E12" s="1235"/>
    </row>
    <row r="13" spans="2:12" x14ac:dyDescent="0.35">
      <c r="B13" s="1236" t="s">
        <v>5579</v>
      </c>
      <c r="C13" s="1236"/>
      <c r="D13" s="1236"/>
      <c r="E13" s="1236"/>
      <c r="F13" s="1236"/>
      <c r="G13" s="1236"/>
      <c r="H13" s="1236"/>
      <c r="I13" s="1236"/>
      <c r="J13" s="1236"/>
      <c r="K13" s="1236"/>
      <c r="L13" s="1236"/>
    </row>
    <row r="14" spans="2:12" x14ac:dyDescent="0.35">
      <c r="B14" s="1236"/>
      <c r="C14" s="1236"/>
      <c r="D14" s="1236"/>
      <c r="E14" s="1236"/>
      <c r="F14" s="1236"/>
      <c r="G14" s="1236"/>
      <c r="H14" s="1236"/>
      <c r="I14" s="1236"/>
      <c r="J14" s="1236"/>
      <c r="K14" s="1236"/>
      <c r="L14" s="1236"/>
    </row>
    <row r="15" spans="2:12" x14ac:dyDescent="0.35">
      <c r="B15" s="1235"/>
      <c r="C15" s="1235"/>
      <c r="D15" s="1235"/>
      <c r="E15" s="1235"/>
    </row>
    <row r="16" spans="2:12" x14ac:dyDescent="0.35">
      <c r="B16" s="1237" t="s">
        <v>5582</v>
      </c>
      <c r="C16" s="1238"/>
      <c r="D16" s="1238"/>
      <c r="E16" s="1238"/>
      <c r="F16" s="1238"/>
      <c r="G16" s="1238"/>
      <c r="H16" s="1238"/>
      <c r="I16" s="1238"/>
      <c r="J16" s="1238"/>
      <c r="K16" s="1238"/>
      <c r="L16" s="1238"/>
    </row>
    <row r="17" spans="2:12" x14ac:dyDescent="0.35">
      <c r="B17" s="1237" t="s">
        <v>4052</v>
      </c>
      <c r="C17" s="1238"/>
      <c r="D17" s="1238"/>
      <c r="E17" s="1238"/>
      <c r="F17" s="1238"/>
      <c r="G17" s="1238"/>
      <c r="H17" s="1238"/>
      <c r="I17" s="1238"/>
      <c r="J17" s="1238"/>
      <c r="K17" s="1238"/>
      <c r="L17" s="1238"/>
    </row>
    <row r="18" spans="2:12" x14ac:dyDescent="0.35">
      <c r="B18" s="1235"/>
      <c r="C18" s="1235"/>
      <c r="D18" s="1235"/>
      <c r="E18" s="1235"/>
    </row>
    <row r="19" spans="2:12" x14ac:dyDescent="0.35">
      <c r="B19" s="1240" t="s">
        <v>5581</v>
      </c>
      <c r="C19" s="1240"/>
      <c r="D19" s="1240"/>
      <c r="E19" s="1240"/>
      <c r="F19" s="1240"/>
      <c r="G19" s="1240"/>
      <c r="H19" s="1240"/>
      <c r="I19" s="1240"/>
      <c r="J19" s="1240"/>
      <c r="K19" s="1240"/>
      <c r="L19" s="1240"/>
    </row>
    <row r="20" spans="2:12" ht="15" thickBot="1" x14ac:dyDescent="0.4">
      <c r="B20" s="1230" t="s">
        <v>4051</v>
      </c>
      <c r="C20" s="1230"/>
      <c r="D20" s="1230"/>
      <c r="E20" s="1230"/>
      <c r="F20" s="1230"/>
      <c r="G20" s="1230"/>
      <c r="H20" s="1230"/>
      <c r="I20" s="1230"/>
      <c r="J20" s="1230"/>
      <c r="K20" s="1230"/>
      <c r="L20" s="1230"/>
    </row>
    <row r="21" spans="2:12" ht="15" customHeight="1" x14ac:dyDescent="0.35">
      <c r="B21" s="1226" t="s">
        <v>4050</v>
      </c>
      <c r="C21" s="1227"/>
      <c r="D21" s="1228"/>
      <c r="E21" s="1226" t="s">
        <v>4049</v>
      </c>
      <c r="F21" s="1227"/>
      <c r="G21" s="1227"/>
      <c r="H21" s="1227"/>
      <c r="I21" s="1227"/>
      <c r="J21" s="1227"/>
      <c r="K21" s="1227"/>
      <c r="L21" s="1228"/>
    </row>
    <row r="22" spans="2:12" ht="15" customHeight="1" thickBot="1" x14ac:dyDescent="0.4">
      <c r="B22" s="1229"/>
      <c r="C22" s="1230"/>
      <c r="D22" s="1231"/>
      <c r="E22" s="1229"/>
      <c r="F22" s="1230"/>
      <c r="G22" s="1230"/>
      <c r="H22" s="1230"/>
      <c r="I22" s="1230"/>
      <c r="J22" s="1230"/>
      <c r="K22" s="1230"/>
      <c r="L22" s="1231"/>
    </row>
    <row r="23" spans="2:12" ht="15" customHeight="1" x14ac:dyDescent="0.35">
      <c r="B23" s="1215" t="s">
        <v>4048</v>
      </c>
      <c r="C23" s="1216"/>
      <c r="D23" s="1216"/>
      <c r="E23" s="1216" t="s">
        <v>4047</v>
      </c>
      <c r="F23" s="1216"/>
      <c r="G23" s="1216"/>
      <c r="H23" s="1216"/>
      <c r="I23" s="1216"/>
      <c r="J23" s="1216"/>
      <c r="K23" s="1216"/>
      <c r="L23" s="1241"/>
    </row>
    <row r="24" spans="2:12" ht="15" customHeight="1" x14ac:dyDescent="0.35">
      <c r="B24" s="1217"/>
      <c r="C24" s="1218"/>
      <c r="D24" s="1218"/>
      <c r="E24" s="1218"/>
      <c r="F24" s="1218"/>
      <c r="G24" s="1218"/>
      <c r="H24" s="1218"/>
      <c r="I24" s="1218"/>
      <c r="J24" s="1218"/>
      <c r="K24" s="1218"/>
      <c r="L24" s="1234"/>
    </row>
    <row r="25" spans="2:12" ht="15" customHeight="1" x14ac:dyDescent="0.35">
      <c r="B25" s="1217" t="s">
        <v>4046</v>
      </c>
      <c r="C25" s="1218"/>
      <c r="D25" s="1218"/>
      <c r="E25" s="1218" t="s">
        <v>4026</v>
      </c>
      <c r="F25" s="1218"/>
      <c r="G25" s="1218"/>
      <c r="H25" s="1218"/>
      <c r="I25" s="1218"/>
      <c r="J25" s="1218"/>
      <c r="K25" s="1218"/>
      <c r="L25" s="1234"/>
    </row>
    <row r="26" spans="2:12" ht="15" customHeight="1" x14ac:dyDescent="0.35">
      <c r="B26" s="1217" t="s">
        <v>4045</v>
      </c>
      <c r="C26" s="1218"/>
      <c r="D26" s="1218"/>
      <c r="E26" s="1218" t="s">
        <v>4044</v>
      </c>
      <c r="F26" s="1218"/>
      <c r="G26" s="1218"/>
      <c r="H26" s="1218"/>
      <c r="I26" s="1218"/>
      <c r="J26" s="1218"/>
      <c r="K26" s="1218"/>
      <c r="L26" s="1234"/>
    </row>
    <row r="27" spans="2:12" ht="15" customHeight="1" x14ac:dyDescent="0.35">
      <c r="B27" s="1217"/>
      <c r="C27" s="1218"/>
      <c r="D27" s="1218"/>
      <c r="E27" s="1218"/>
      <c r="F27" s="1218"/>
      <c r="G27" s="1218"/>
      <c r="H27" s="1218"/>
      <c r="I27" s="1218"/>
      <c r="J27" s="1218"/>
      <c r="K27" s="1218"/>
      <c r="L27" s="1234"/>
    </row>
    <row r="28" spans="2:12" ht="15" customHeight="1" x14ac:dyDescent="0.35">
      <c r="B28" s="1217" t="s">
        <v>4043</v>
      </c>
      <c r="C28" s="1218"/>
      <c r="D28" s="1218"/>
      <c r="E28" s="1218" t="s">
        <v>4019</v>
      </c>
      <c r="F28" s="1218"/>
      <c r="G28" s="1218"/>
      <c r="H28" s="1218"/>
      <c r="I28" s="1218"/>
      <c r="J28" s="1218"/>
      <c r="K28" s="1218"/>
      <c r="L28" s="1234"/>
    </row>
    <row r="29" spans="2:12" ht="15" customHeight="1" x14ac:dyDescent="0.35">
      <c r="B29" s="1217"/>
      <c r="C29" s="1218"/>
      <c r="D29" s="1218"/>
      <c r="E29" s="1218" t="s">
        <v>4011</v>
      </c>
      <c r="F29" s="1218"/>
      <c r="G29" s="1218"/>
      <c r="H29" s="1218"/>
      <c r="I29" s="1218"/>
      <c r="J29" s="1218"/>
      <c r="K29" s="1218"/>
      <c r="L29" s="1234"/>
    </row>
    <row r="30" spans="2:12" ht="15" customHeight="1" x14ac:dyDescent="0.35">
      <c r="B30" s="1217" t="s">
        <v>4042</v>
      </c>
      <c r="C30" s="1218"/>
      <c r="D30" s="1218"/>
      <c r="E30" s="1218" t="s">
        <v>4019</v>
      </c>
      <c r="F30" s="1218"/>
      <c r="G30" s="1218"/>
      <c r="H30" s="1218"/>
      <c r="I30" s="1218"/>
      <c r="J30" s="1218"/>
      <c r="K30" s="1218"/>
      <c r="L30" s="1234"/>
    </row>
    <row r="31" spans="2:12" ht="15" customHeight="1" x14ac:dyDescent="0.35">
      <c r="B31" s="1217"/>
      <c r="C31" s="1218"/>
      <c r="D31" s="1218"/>
      <c r="E31" s="1218" t="s">
        <v>4011</v>
      </c>
      <c r="F31" s="1218"/>
      <c r="G31" s="1218"/>
      <c r="H31" s="1218"/>
      <c r="I31" s="1218"/>
      <c r="J31" s="1218"/>
      <c r="K31" s="1218"/>
      <c r="L31" s="1234"/>
    </row>
    <row r="32" spans="2:12" ht="15" customHeight="1" x14ac:dyDescent="0.35">
      <c r="B32" s="1217"/>
      <c r="C32" s="1218"/>
      <c r="D32" s="1218"/>
      <c r="E32" s="1218" t="s">
        <v>4005</v>
      </c>
      <c r="F32" s="1218"/>
      <c r="G32" s="1218"/>
      <c r="H32" s="1218"/>
      <c r="I32" s="1218"/>
      <c r="J32" s="1218"/>
      <c r="K32" s="1218"/>
      <c r="L32" s="1234"/>
    </row>
    <row r="33" spans="2:12" x14ac:dyDescent="0.35">
      <c r="B33" s="1217"/>
      <c r="C33" s="1218"/>
      <c r="D33" s="1218"/>
      <c r="E33" s="1218" t="s">
        <v>3999</v>
      </c>
      <c r="F33" s="1218"/>
      <c r="G33" s="1218"/>
      <c r="H33" s="1218"/>
      <c r="I33" s="1218"/>
      <c r="J33" s="1218"/>
      <c r="K33" s="1218"/>
      <c r="L33" s="1234"/>
    </row>
    <row r="34" spans="2:12" ht="15" customHeight="1" x14ac:dyDescent="0.35">
      <c r="B34" s="1217" t="s">
        <v>4041</v>
      </c>
      <c r="C34" s="1218"/>
      <c r="D34" s="1218"/>
      <c r="E34" s="1218" t="s">
        <v>4040</v>
      </c>
      <c r="F34" s="1218"/>
      <c r="G34" s="1218"/>
      <c r="H34" s="1218"/>
      <c r="I34" s="1218"/>
      <c r="J34" s="1218"/>
      <c r="K34" s="1218"/>
      <c r="L34" s="1234"/>
    </row>
    <row r="35" spans="2:12" ht="15" customHeight="1" x14ac:dyDescent="0.35">
      <c r="B35" s="1217"/>
      <c r="C35" s="1218"/>
      <c r="D35" s="1218"/>
      <c r="E35" s="1218" t="s">
        <v>4039</v>
      </c>
      <c r="F35" s="1218"/>
      <c r="G35" s="1218"/>
      <c r="H35" s="1218"/>
      <c r="I35" s="1218"/>
      <c r="J35" s="1218"/>
      <c r="K35" s="1218"/>
      <c r="L35" s="1234"/>
    </row>
    <row r="36" spans="2:12" ht="15" customHeight="1" x14ac:dyDescent="0.35">
      <c r="B36" s="1217"/>
      <c r="C36" s="1218"/>
      <c r="D36" s="1218"/>
      <c r="E36" s="1218" t="s">
        <v>4026</v>
      </c>
      <c r="F36" s="1218"/>
      <c r="G36" s="1218"/>
      <c r="H36" s="1218"/>
      <c r="I36" s="1218"/>
      <c r="J36" s="1218"/>
      <c r="K36" s="1218"/>
      <c r="L36" s="1234"/>
    </row>
    <row r="37" spans="2:12" ht="15" customHeight="1" x14ac:dyDescent="0.35">
      <c r="B37" s="1217"/>
      <c r="C37" s="1218"/>
      <c r="D37" s="1218"/>
      <c r="E37" s="1218" t="s">
        <v>4016</v>
      </c>
      <c r="F37" s="1218"/>
      <c r="G37" s="1218"/>
      <c r="H37" s="1218"/>
      <c r="I37" s="1218"/>
      <c r="J37" s="1218"/>
      <c r="K37" s="1218"/>
      <c r="L37" s="1234"/>
    </row>
    <row r="38" spans="2:12" ht="15" customHeight="1" x14ac:dyDescent="0.35">
      <c r="B38" s="1217"/>
      <c r="C38" s="1218"/>
      <c r="D38" s="1218"/>
      <c r="E38" s="1218" t="s">
        <v>4038</v>
      </c>
      <c r="F38" s="1218"/>
      <c r="G38" s="1218"/>
      <c r="H38" s="1218"/>
      <c r="I38" s="1218"/>
      <c r="J38" s="1218"/>
      <c r="K38" s="1218"/>
      <c r="L38" s="1234"/>
    </row>
    <row r="39" spans="2:12" ht="15" customHeight="1" x14ac:dyDescent="0.35">
      <c r="B39" s="1217" t="s">
        <v>4037</v>
      </c>
      <c r="C39" s="1218"/>
      <c r="D39" s="1218"/>
      <c r="E39" s="1218" t="s">
        <v>4036</v>
      </c>
      <c r="F39" s="1218"/>
      <c r="G39" s="1218"/>
      <c r="H39" s="1218"/>
      <c r="I39" s="1218"/>
      <c r="J39" s="1218"/>
      <c r="K39" s="1218"/>
      <c r="L39" s="1234"/>
    </row>
    <row r="40" spans="2:12" ht="15" customHeight="1" x14ac:dyDescent="0.35">
      <c r="B40" s="1217"/>
      <c r="C40" s="1218"/>
      <c r="D40" s="1218"/>
      <c r="E40" s="1218"/>
      <c r="F40" s="1218"/>
      <c r="G40" s="1218"/>
      <c r="H40" s="1218"/>
      <c r="I40" s="1218"/>
      <c r="J40" s="1218"/>
      <c r="K40" s="1218"/>
      <c r="L40" s="1234"/>
    </row>
    <row r="41" spans="2:12" ht="15.75" customHeight="1" x14ac:dyDescent="0.35">
      <c r="B41" s="1217" t="s">
        <v>5575</v>
      </c>
      <c r="C41" s="1218"/>
      <c r="D41" s="1218"/>
      <c r="E41" s="1218" t="s">
        <v>5576</v>
      </c>
      <c r="F41" s="1218"/>
      <c r="G41" s="1218"/>
      <c r="H41" s="1218"/>
      <c r="I41" s="1218"/>
      <c r="J41" s="1218"/>
      <c r="K41" s="1218"/>
      <c r="L41" s="1234"/>
    </row>
    <row r="42" spans="2:12" ht="15.75" customHeight="1" thickBot="1" x14ac:dyDescent="0.4">
      <c r="B42" s="1219"/>
      <c r="C42" s="1220"/>
      <c r="D42" s="1220"/>
      <c r="E42" s="1220"/>
      <c r="F42" s="1220"/>
      <c r="G42" s="1220"/>
      <c r="H42" s="1220"/>
      <c r="I42" s="1220"/>
      <c r="J42" s="1220"/>
      <c r="K42" s="1220"/>
      <c r="L42" s="1242"/>
    </row>
    <row r="45" spans="2:12" x14ac:dyDescent="0.35">
      <c r="B45" s="1209" t="s">
        <v>5583</v>
      </c>
      <c r="C45" s="1210"/>
      <c r="D45" s="1210"/>
      <c r="E45" s="1210"/>
      <c r="F45" s="1210"/>
      <c r="G45" s="1210"/>
      <c r="H45" s="1210"/>
      <c r="I45" s="1210"/>
      <c r="J45" s="1210"/>
      <c r="K45" s="1210"/>
      <c r="L45" s="1211"/>
    </row>
    <row r="46" spans="2:12" ht="15" thickBot="1" x14ac:dyDescent="0.4">
      <c r="B46" s="1212" t="s">
        <v>4035</v>
      </c>
      <c r="C46" s="1213"/>
      <c r="D46" s="1213"/>
      <c r="E46" s="1213"/>
      <c r="F46" s="1213"/>
      <c r="G46" s="1213"/>
      <c r="H46" s="1213"/>
      <c r="I46" s="1213"/>
      <c r="J46" s="1213"/>
      <c r="K46" s="1213"/>
      <c r="L46" s="1214"/>
    </row>
    <row r="47" spans="2:12" ht="15" thickBot="1" x14ac:dyDescent="0.4">
      <c r="B47" s="1221" t="s">
        <v>4034</v>
      </c>
      <c r="C47" s="1222"/>
      <c r="D47" s="1222"/>
      <c r="E47" s="1222"/>
      <c r="F47" s="1223"/>
      <c r="G47" s="1221" t="s">
        <v>4033</v>
      </c>
      <c r="H47" s="1222"/>
      <c r="I47" s="1222"/>
      <c r="J47" s="1222"/>
      <c r="K47" s="1222"/>
      <c r="L47" s="1223"/>
    </row>
    <row r="48" spans="2:12" x14ac:dyDescent="0.35">
      <c r="B48" s="1232" t="s">
        <v>4032</v>
      </c>
      <c r="C48" s="1233"/>
      <c r="D48" s="1233"/>
      <c r="E48" s="1233"/>
      <c r="F48" s="1233"/>
      <c r="G48" s="1224" t="s">
        <v>4031</v>
      </c>
      <c r="H48" s="1224"/>
      <c r="I48" s="1224"/>
      <c r="J48" s="1224"/>
      <c r="K48" s="1224"/>
      <c r="L48" s="1225"/>
    </row>
    <row r="49" spans="2:12" x14ac:dyDescent="0.35">
      <c r="B49" s="1217"/>
      <c r="C49" s="1218"/>
      <c r="D49" s="1218"/>
      <c r="E49" s="1218"/>
      <c r="F49" s="1218"/>
      <c r="G49" s="1203" t="s">
        <v>4030</v>
      </c>
      <c r="H49" s="1203"/>
      <c r="I49" s="1203"/>
      <c r="J49" s="1203"/>
      <c r="K49" s="1203"/>
      <c r="L49" s="1204"/>
    </row>
    <row r="50" spans="2:12" x14ac:dyDescent="0.35">
      <c r="B50" s="1217"/>
      <c r="C50" s="1218"/>
      <c r="D50" s="1218"/>
      <c r="E50" s="1218"/>
      <c r="F50" s="1218"/>
      <c r="G50" s="1203" t="s">
        <v>4029</v>
      </c>
      <c r="H50" s="1203"/>
      <c r="I50" s="1203"/>
      <c r="J50" s="1203"/>
      <c r="K50" s="1203"/>
      <c r="L50" s="1204"/>
    </row>
    <row r="51" spans="2:12" x14ac:dyDescent="0.35">
      <c r="B51" s="1217"/>
      <c r="C51" s="1218"/>
      <c r="D51" s="1218"/>
      <c r="E51" s="1218"/>
      <c r="F51" s="1218"/>
      <c r="G51" s="1205" t="s">
        <v>4028</v>
      </c>
      <c r="H51" s="1205"/>
      <c r="I51" s="1205"/>
      <c r="J51" s="1205"/>
      <c r="K51" s="1205"/>
      <c r="L51" s="1206"/>
    </row>
    <row r="52" spans="2:12" x14ac:dyDescent="0.35">
      <c r="B52" s="1217"/>
      <c r="C52" s="1218"/>
      <c r="D52" s="1218"/>
      <c r="E52" s="1218"/>
      <c r="F52" s="1218"/>
      <c r="G52" s="1203" t="s">
        <v>4027</v>
      </c>
      <c r="H52" s="1203"/>
      <c r="I52" s="1203"/>
      <c r="J52" s="1203"/>
      <c r="K52" s="1203"/>
      <c r="L52" s="1204"/>
    </row>
    <row r="53" spans="2:12" x14ac:dyDescent="0.35">
      <c r="B53" s="1217" t="s">
        <v>4026</v>
      </c>
      <c r="C53" s="1218"/>
      <c r="D53" s="1218"/>
      <c r="E53" s="1218"/>
      <c r="F53" s="1218"/>
      <c r="G53" s="1203" t="s">
        <v>4025</v>
      </c>
      <c r="H53" s="1203"/>
      <c r="I53" s="1203"/>
      <c r="J53" s="1203"/>
      <c r="K53" s="1203"/>
      <c r="L53" s="1204"/>
    </row>
    <row r="54" spans="2:12" x14ac:dyDescent="0.35">
      <c r="B54" s="1217"/>
      <c r="C54" s="1218"/>
      <c r="D54" s="1218"/>
      <c r="E54" s="1218"/>
      <c r="F54" s="1218"/>
      <c r="G54" s="1203" t="s">
        <v>4024</v>
      </c>
      <c r="H54" s="1203"/>
      <c r="I54" s="1203"/>
      <c r="J54" s="1203"/>
      <c r="K54" s="1203"/>
      <c r="L54" s="1204"/>
    </row>
    <row r="55" spans="2:12" x14ac:dyDescent="0.35">
      <c r="B55" s="1217"/>
      <c r="C55" s="1218"/>
      <c r="D55" s="1218"/>
      <c r="E55" s="1218"/>
      <c r="F55" s="1218"/>
      <c r="G55" s="1203" t="s">
        <v>4023</v>
      </c>
      <c r="H55" s="1203"/>
      <c r="I55" s="1203"/>
      <c r="J55" s="1203"/>
      <c r="K55" s="1203"/>
      <c r="L55" s="1204"/>
    </row>
    <row r="56" spans="2:12" x14ac:dyDescent="0.35">
      <c r="B56" s="1217"/>
      <c r="C56" s="1218"/>
      <c r="D56" s="1218"/>
      <c r="E56" s="1218"/>
      <c r="F56" s="1218"/>
      <c r="G56" s="1203" t="s">
        <v>4022</v>
      </c>
      <c r="H56" s="1203"/>
      <c r="I56" s="1203"/>
      <c r="J56" s="1203"/>
      <c r="K56" s="1203"/>
      <c r="L56" s="1204"/>
    </row>
    <row r="57" spans="2:12" x14ac:dyDescent="0.35">
      <c r="B57" s="1217"/>
      <c r="C57" s="1218"/>
      <c r="D57" s="1218"/>
      <c r="E57" s="1218"/>
      <c r="F57" s="1218"/>
      <c r="G57" s="1205" t="s">
        <v>4021</v>
      </c>
      <c r="H57" s="1205"/>
      <c r="I57" s="1205"/>
      <c r="J57" s="1205"/>
      <c r="K57" s="1205"/>
      <c r="L57" s="1206"/>
    </row>
    <row r="58" spans="2:12" x14ac:dyDescent="0.35">
      <c r="B58" s="1217"/>
      <c r="C58" s="1218"/>
      <c r="D58" s="1218"/>
      <c r="E58" s="1218"/>
      <c r="F58" s="1218"/>
      <c r="G58" s="1203" t="s">
        <v>4020</v>
      </c>
      <c r="H58" s="1203"/>
      <c r="I58" s="1203"/>
      <c r="J58" s="1203"/>
      <c r="K58" s="1203"/>
      <c r="L58" s="1204"/>
    </row>
    <row r="59" spans="2:12" x14ac:dyDescent="0.35">
      <c r="B59" s="1217" t="s">
        <v>4019</v>
      </c>
      <c r="C59" s="1218"/>
      <c r="D59" s="1218"/>
      <c r="E59" s="1218"/>
      <c r="F59" s="1218"/>
      <c r="G59" s="1203" t="s">
        <v>4018</v>
      </c>
      <c r="H59" s="1203"/>
      <c r="I59" s="1203"/>
      <c r="J59" s="1203"/>
      <c r="K59" s="1203"/>
      <c r="L59" s="1204"/>
    </row>
    <row r="60" spans="2:12" x14ac:dyDescent="0.35">
      <c r="B60" s="1217"/>
      <c r="C60" s="1218"/>
      <c r="D60" s="1218"/>
      <c r="E60" s="1218"/>
      <c r="F60" s="1218"/>
      <c r="G60" s="1203"/>
      <c r="H60" s="1203"/>
      <c r="I60" s="1203"/>
      <c r="J60" s="1203"/>
      <c r="K60" s="1203"/>
      <c r="L60" s="1204"/>
    </row>
    <row r="61" spans="2:12" x14ac:dyDescent="0.35">
      <c r="B61" s="1217"/>
      <c r="C61" s="1218"/>
      <c r="D61" s="1218"/>
      <c r="E61" s="1218"/>
      <c r="F61" s="1218"/>
      <c r="G61" s="1205" t="s">
        <v>4017</v>
      </c>
      <c r="H61" s="1205"/>
      <c r="I61" s="1205"/>
      <c r="J61" s="1205"/>
      <c r="K61" s="1205"/>
      <c r="L61" s="1206"/>
    </row>
    <row r="62" spans="2:12" x14ac:dyDescent="0.35">
      <c r="B62" s="1217"/>
      <c r="C62" s="1218"/>
      <c r="D62" s="1218"/>
      <c r="E62" s="1218"/>
      <c r="F62" s="1218"/>
      <c r="G62" s="1203" t="s">
        <v>3994</v>
      </c>
      <c r="H62" s="1203"/>
      <c r="I62" s="1203"/>
      <c r="J62" s="1203"/>
      <c r="K62" s="1203"/>
      <c r="L62" s="1204"/>
    </row>
    <row r="63" spans="2:12" x14ac:dyDescent="0.35">
      <c r="B63" s="1217" t="s">
        <v>4016</v>
      </c>
      <c r="C63" s="1218"/>
      <c r="D63" s="1218"/>
      <c r="E63" s="1218"/>
      <c r="F63" s="1218"/>
      <c r="G63" s="1203" t="s">
        <v>4015</v>
      </c>
      <c r="H63" s="1203"/>
      <c r="I63" s="1203"/>
      <c r="J63" s="1203"/>
      <c r="K63" s="1203"/>
      <c r="L63" s="1204"/>
    </row>
    <row r="64" spans="2:12" x14ac:dyDescent="0.35">
      <c r="B64" s="1217"/>
      <c r="C64" s="1218"/>
      <c r="D64" s="1218"/>
      <c r="E64" s="1218"/>
      <c r="F64" s="1218"/>
      <c r="G64" s="1203" t="s">
        <v>4014</v>
      </c>
      <c r="H64" s="1203"/>
      <c r="I64" s="1203"/>
      <c r="J64" s="1203"/>
      <c r="K64" s="1203"/>
      <c r="L64" s="1204"/>
    </row>
    <row r="65" spans="2:12" x14ac:dyDescent="0.35">
      <c r="B65" s="1217"/>
      <c r="C65" s="1218"/>
      <c r="D65" s="1218"/>
      <c r="E65" s="1218"/>
      <c r="F65" s="1218"/>
      <c r="G65" s="1203" t="s">
        <v>4013</v>
      </c>
      <c r="H65" s="1203"/>
      <c r="I65" s="1203"/>
      <c r="J65" s="1203"/>
      <c r="K65" s="1203"/>
      <c r="L65" s="1204"/>
    </row>
    <row r="66" spans="2:12" x14ac:dyDescent="0.35">
      <c r="B66" s="1217"/>
      <c r="C66" s="1218"/>
      <c r="D66" s="1218"/>
      <c r="E66" s="1218"/>
      <c r="F66" s="1218"/>
      <c r="G66" s="1205" t="s">
        <v>4012</v>
      </c>
      <c r="H66" s="1205"/>
      <c r="I66" s="1205"/>
      <c r="J66" s="1205"/>
      <c r="K66" s="1205"/>
      <c r="L66" s="1206"/>
    </row>
    <row r="67" spans="2:12" x14ac:dyDescent="0.35">
      <c r="B67" s="1217" t="s">
        <v>4011</v>
      </c>
      <c r="C67" s="1218"/>
      <c r="D67" s="1218"/>
      <c r="E67" s="1218"/>
      <c r="F67" s="1218"/>
      <c r="G67" s="1203" t="s">
        <v>4010</v>
      </c>
      <c r="H67" s="1203"/>
      <c r="I67" s="1203"/>
      <c r="J67" s="1203"/>
      <c r="K67" s="1203"/>
      <c r="L67" s="1204"/>
    </row>
    <row r="68" spans="2:12" x14ac:dyDescent="0.35">
      <c r="B68" s="1217"/>
      <c r="C68" s="1218"/>
      <c r="D68" s="1218"/>
      <c r="E68" s="1218"/>
      <c r="F68" s="1218"/>
      <c r="G68" s="1203" t="s">
        <v>4009</v>
      </c>
      <c r="H68" s="1203"/>
      <c r="I68" s="1203"/>
      <c r="J68" s="1203"/>
      <c r="K68" s="1203"/>
      <c r="L68" s="1204"/>
    </row>
    <row r="69" spans="2:12" x14ac:dyDescent="0.35">
      <c r="B69" s="1217"/>
      <c r="C69" s="1218"/>
      <c r="D69" s="1218"/>
      <c r="E69" s="1218"/>
      <c r="F69" s="1218"/>
      <c r="G69" s="1203" t="s">
        <v>4008</v>
      </c>
      <c r="H69" s="1203"/>
      <c r="I69" s="1203"/>
      <c r="J69" s="1203"/>
      <c r="K69" s="1203"/>
      <c r="L69" s="1204"/>
    </row>
    <row r="70" spans="2:12" x14ac:dyDescent="0.35">
      <c r="B70" s="1217"/>
      <c r="C70" s="1218"/>
      <c r="D70" s="1218"/>
      <c r="E70" s="1218"/>
      <c r="F70" s="1218"/>
      <c r="G70" s="1205" t="s">
        <v>4007</v>
      </c>
      <c r="H70" s="1205"/>
      <c r="I70" s="1205"/>
      <c r="J70" s="1205"/>
      <c r="K70" s="1205"/>
      <c r="L70" s="1206"/>
    </row>
    <row r="71" spans="2:12" x14ac:dyDescent="0.35">
      <c r="B71" s="1217"/>
      <c r="C71" s="1218"/>
      <c r="D71" s="1218"/>
      <c r="E71" s="1218"/>
      <c r="F71" s="1218"/>
      <c r="G71" s="1203" t="s">
        <v>4006</v>
      </c>
      <c r="H71" s="1203"/>
      <c r="I71" s="1203"/>
      <c r="J71" s="1203"/>
      <c r="K71" s="1203"/>
      <c r="L71" s="1204"/>
    </row>
    <row r="72" spans="2:12" x14ac:dyDescent="0.35">
      <c r="B72" s="1217" t="s">
        <v>4005</v>
      </c>
      <c r="C72" s="1218"/>
      <c r="D72" s="1218"/>
      <c r="E72" s="1218"/>
      <c r="F72" s="1218"/>
      <c r="G72" s="1203" t="s">
        <v>4004</v>
      </c>
      <c r="H72" s="1203"/>
      <c r="I72" s="1203"/>
      <c r="J72" s="1203"/>
      <c r="K72" s="1203"/>
      <c r="L72" s="1204"/>
    </row>
    <row r="73" spans="2:12" x14ac:dyDescent="0.35">
      <c r="B73" s="1217"/>
      <c r="C73" s="1218"/>
      <c r="D73" s="1218"/>
      <c r="E73" s="1218"/>
      <c r="F73" s="1218"/>
      <c r="G73" s="1203" t="s">
        <v>4003</v>
      </c>
      <c r="H73" s="1203"/>
      <c r="I73" s="1203"/>
      <c r="J73" s="1203"/>
      <c r="K73" s="1203"/>
      <c r="L73" s="1204"/>
    </row>
    <row r="74" spans="2:12" x14ac:dyDescent="0.35">
      <c r="B74" s="1217"/>
      <c r="C74" s="1218"/>
      <c r="D74" s="1218"/>
      <c r="E74" s="1218"/>
      <c r="F74" s="1218"/>
      <c r="G74" s="1203" t="s">
        <v>4002</v>
      </c>
      <c r="H74" s="1203"/>
      <c r="I74" s="1203"/>
      <c r="J74" s="1203"/>
      <c r="K74" s="1203"/>
      <c r="L74" s="1204"/>
    </row>
    <row r="75" spans="2:12" x14ac:dyDescent="0.35">
      <c r="B75" s="1217"/>
      <c r="C75" s="1218"/>
      <c r="D75" s="1218"/>
      <c r="E75" s="1218"/>
      <c r="F75" s="1218"/>
      <c r="G75" s="1205" t="s">
        <v>4001</v>
      </c>
      <c r="H75" s="1205"/>
      <c r="I75" s="1205"/>
      <c r="J75" s="1205"/>
      <c r="K75" s="1205"/>
      <c r="L75" s="1206"/>
    </row>
    <row r="76" spans="2:12" x14ac:dyDescent="0.35">
      <c r="B76" s="1217"/>
      <c r="C76" s="1218"/>
      <c r="D76" s="1218"/>
      <c r="E76" s="1218"/>
      <c r="F76" s="1218"/>
      <c r="G76" s="1203" t="s">
        <v>4000</v>
      </c>
      <c r="H76" s="1203"/>
      <c r="I76" s="1203"/>
      <c r="J76" s="1203"/>
      <c r="K76" s="1203"/>
      <c r="L76" s="1204"/>
    </row>
    <row r="77" spans="2:12" x14ac:dyDescent="0.35">
      <c r="B77" s="1217" t="s">
        <v>3999</v>
      </c>
      <c r="C77" s="1218"/>
      <c r="D77" s="1218"/>
      <c r="E77" s="1218"/>
      <c r="F77" s="1218"/>
      <c r="G77" s="1203" t="s">
        <v>3998</v>
      </c>
      <c r="H77" s="1203"/>
      <c r="I77" s="1203"/>
      <c r="J77" s="1203"/>
      <c r="K77" s="1203"/>
      <c r="L77" s="1204"/>
    </row>
    <row r="78" spans="2:12" x14ac:dyDescent="0.35">
      <c r="B78" s="1217"/>
      <c r="C78" s="1218"/>
      <c r="D78" s="1218"/>
      <c r="E78" s="1218"/>
      <c r="F78" s="1218"/>
      <c r="G78" s="1203" t="s">
        <v>3997</v>
      </c>
      <c r="H78" s="1203"/>
      <c r="I78" s="1203"/>
      <c r="J78" s="1203"/>
      <c r="K78" s="1203"/>
      <c r="L78" s="1204"/>
    </row>
    <row r="79" spans="2:12" x14ac:dyDescent="0.35">
      <c r="B79" s="1217"/>
      <c r="C79" s="1218"/>
      <c r="D79" s="1218"/>
      <c r="E79" s="1218"/>
      <c r="F79" s="1218"/>
      <c r="G79" s="1203" t="s">
        <v>3996</v>
      </c>
      <c r="H79" s="1203"/>
      <c r="I79" s="1203"/>
      <c r="J79" s="1203"/>
      <c r="K79" s="1203"/>
      <c r="L79" s="1204"/>
    </row>
    <row r="80" spans="2:12" x14ac:dyDescent="0.35">
      <c r="B80" s="1217"/>
      <c r="C80" s="1218"/>
      <c r="D80" s="1218"/>
      <c r="E80" s="1218"/>
      <c r="F80" s="1218"/>
      <c r="G80" s="1205" t="s">
        <v>3995</v>
      </c>
      <c r="H80" s="1205"/>
      <c r="I80" s="1205"/>
      <c r="J80" s="1205"/>
      <c r="K80" s="1205"/>
      <c r="L80" s="1206"/>
    </row>
    <row r="81" spans="2:12" ht="15" thickBot="1" x14ac:dyDescent="0.4">
      <c r="B81" s="1219"/>
      <c r="C81" s="1220"/>
      <c r="D81" s="1220"/>
      <c r="E81" s="1220"/>
      <c r="F81" s="1220"/>
      <c r="G81" s="1207" t="s">
        <v>3994</v>
      </c>
      <c r="H81" s="1207"/>
      <c r="I81" s="1207"/>
      <c r="J81" s="1207"/>
      <c r="K81" s="1207"/>
      <c r="L81" s="1208"/>
    </row>
  </sheetData>
  <sheetProtection algorithmName="SHA-512" hashValue="/qLwBPSsFFfa/jeAQQxn7tg3O1j28jYNVExfrbQem+/TPm6ft08xKjykWIwLwf2lnufhsyLxxnYuCVQbx/zAqw==" saltValue="f5ScwPMw2TbWB91vXaiiZw==" spinCount="100000" sheet="1" objects="1" scenarios="1" selectLockedCells="1" selectUnlockedCells="1"/>
  <mergeCells count="83">
    <mergeCell ref="B67:F71"/>
    <mergeCell ref="B72:F76"/>
    <mergeCell ref="B63:F66"/>
    <mergeCell ref="B19:L19"/>
    <mergeCell ref="B34:D38"/>
    <mergeCell ref="B28:D29"/>
    <mergeCell ref="B30:D33"/>
    <mergeCell ref="E25:L25"/>
    <mergeCell ref="E34:L34"/>
    <mergeCell ref="E35:L35"/>
    <mergeCell ref="E36:L36"/>
    <mergeCell ref="E37:L37"/>
    <mergeCell ref="E33:L33"/>
    <mergeCell ref="E23:L24"/>
    <mergeCell ref="E26:L27"/>
    <mergeCell ref="E41:L42"/>
    <mergeCell ref="B18:E18"/>
    <mergeCell ref="B20:L20"/>
    <mergeCell ref="B11:L11"/>
    <mergeCell ref="B13:L14"/>
    <mergeCell ref="B8:L8"/>
    <mergeCell ref="B9:L9"/>
    <mergeCell ref="B16:L16"/>
    <mergeCell ref="B17:L17"/>
    <mergeCell ref="B10:E10"/>
    <mergeCell ref="B12:E12"/>
    <mergeCell ref="B15:E15"/>
    <mergeCell ref="B25:D25"/>
    <mergeCell ref="B21:D22"/>
    <mergeCell ref="E21:L22"/>
    <mergeCell ref="B47:F47"/>
    <mergeCell ref="B48:F52"/>
    <mergeCell ref="E38:L38"/>
    <mergeCell ref="B41:D42"/>
    <mergeCell ref="E28:L28"/>
    <mergeCell ref="E29:L29"/>
    <mergeCell ref="E30:L30"/>
    <mergeCell ref="E31:L31"/>
    <mergeCell ref="E32:L32"/>
    <mergeCell ref="B39:D40"/>
    <mergeCell ref="E39:L40"/>
    <mergeCell ref="B53:F58"/>
    <mergeCell ref="B59:F62"/>
    <mergeCell ref="G56:L56"/>
    <mergeCell ref="G57:L57"/>
    <mergeCell ref="G58:L58"/>
    <mergeCell ref="B77:F81"/>
    <mergeCell ref="G47:L47"/>
    <mergeCell ref="G48:L48"/>
    <mergeCell ref="G49:L49"/>
    <mergeCell ref="G50:L50"/>
    <mergeCell ref="G51:L51"/>
    <mergeCell ref="G52:L52"/>
    <mergeCell ref="G53:L53"/>
    <mergeCell ref="G54:L54"/>
    <mergeCell ref="G55:L55"/>
    <mergeCell ref="G72:L72"/>
    <mergeCell ref="G61:L61"/>
    <mergeCell ref="G62:L62"/>
    <mergeCell ref="G63:L63"/>
    <mergeCell ref="G64:L64"/>
    <mergeCell ref="G65:L65"/>
    <mergeCell ref="G66:L66"/>
    <mergeCell ref="G74:L74"/>
    <mergeCell ref="G75:L75"/>
    <mergeCell ref="G76:L76"/>
    <mergeCell ref="G77:L77"/>
    <mergeCell ref="B4:I6"/>
    <mergeCell ref="G79:L79"/>
    <mergeCell ref="G80:L80"/>
    <mergeCell ref="G81:L81"/>
    <mergeCell ref="B45:L45"/>
    <mergeCell ref="B46:L46"/>
    <mergeCell ref="B23:D24"/>
    <mergeCell ref="B26:D27"/>
    <mergeCell ref="G59:L60"/>
    <mergeCell ref="G73:L73"/>
    <mergeCell ref="G78:L78"/>
    <mergeCell ref="G67:L67"/>
    <mergeCell ref="G68:L68"/>
    <mergeCell ref="G69:L69"/>
    <mergeCell ref="G70:L70"/>
    <mergeCell ref="G71:L71"/>
  </mergeCells>
  <hyperlinks>
    <hyperlink ref="G51" r:id="rId1" display="http://www.kcma.org/" xr:uid="{00000000-0004-0000-1500-000000000000}"/>
    <hyperlink ref="G57" r:id="rId2" display="http://www.carpet-rug.org/" xr:uid="{00000000-0004-0000-1500-000001000000}"/>
    <hyperlink ref="G61" r:id="rId3" display="http://www.ul.com/" xr:uid="{00000000-0004-0000-1500-000002000000}"/>
    <hyperlink ref="G66" r:id="rId4" display="http://www.rfci.com/" xr:uid="{00000000-0004-0000-1500-000003000000}"/>
    <hyperlink ref="G70" r:id="rId5" display="http://www.scscertified.com/" xr:uid="{00000000-0004-0000-1500-000004000000}"/>
    <hyperlink ref="G75" r:id="rId6" display="http://www.greenseal.org/" xr:uid="{00000000-0004-0000-1500-000005000000}"/>
    <hyperlink ref="G80" r:id="rId7" display="http://www.ul.com/" xr:uid="{00000000-0004-0000-1500-000006000000}"/>
  </hyperlinks>
  <pageMargins left="0.7" right="0.7" top="0.75" bottom="0.75" header="0.3" footer="0.3"/>
  <pageSetup scale="82" fitToHeight="0" orientation="portrait" r:id="rId8"/>
  <rowBreaks count="1" manualBreakCount="1">
    <brk id="4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pageSetUpPr fitToPage="1"/>
  </sheetPr>
  <dimension ref="B2:H12"/>
  <sheetViews>
    <sheetView showGridLines="0" zoomScaleNormal="100" workbookViewId="0">
      <selection activeCell="S48" sqref="S48"/>
    </sheetView>
  </sheetViews>
  <sheetFormatPr defaultColWidth="9.1796875" defaultRowHeight="14.5" x14ac:dyDescent="0.35"/>
  <cols>
    <col min="8" max="8" width="10.1796875" customWidth="1"/>
  </cols>
  <sheetData>
    <row r="2" spans="2:8" x14ac:dyDescent="0.35">
      <c r="B2" s="1255" t="s">
        <v>3034</v>
      </c>
      <c r="C2" s="1255"/>
      <c r="F2" s="1252" t="s">
        <v>4068</v>
      </c>
      <c r="G2" s="1253"/>
      <c r="H2" s="1254"/>
    </row>
    <row r="4" spans="2:8" x14ac:dyDescent="0.35">
      <c r="C4" s="951" t="s">
        <v>3007</v>
      </c>
      <c r="D4" s="951"/>
      <c r="E4" s="951"/>
      <c r="F4" s="951"/>
      <c r="G4" s="951"/>
      <c r="H4" s="951"/>
    </row>
    <row r="5" spans="2:8" ht="15" customHeight="1" x14ac:dyDescent="0.35">
      <c r="C5" s="1250" t="s">
        <v>3006</v>
      </c>
      <c r="D5" s="1250"/>
      <c r="E5" s="1250"/>
      <c r="F5" s="1250"/>
      <c r="G5" s="1250"/>
      <c r="H5" s="1250"/>
    </row>
    <row r="6" spans="2:8" ht="25.5" customHeight="1" x14ac:dyDescent="0.35">
      <c r="C6" s="1244" t="s">
        <v>3005</v>
      </c>
      <c r="D6" s="1245"/>
      <c r="E6" s="1244" t="s">
        <v>3004</v>
      </c>
      <c r="F6" s="1245"/>
      <c r="G6" s="1248" t="s">
        <v>3003</v>
      </c>
      <c r="H6" s="1248"/>
    </row>
    <row r="7" spans="2:8" x14ac:dyDescent="0.35">
      <c r="C7" s="1246" t="s">
        <v>3002</v>
      </c>
      <c r="D7" s="1247"/>
      <c r="E7" s="1246">
        <v>12</v>
      </c>
      <c r="F7" s="1247"/>
      <c r="G7" s="1249">
        <v>12</v>
      </c>
      <c r="H7" s="1249"/>
    </row>
    <row r="8" spans="2:8" x14ac:dyDescent="0.35">
      <c r="C8" s="1246" t="s">
        <v>3001</v>
      </c>
      <c r="D8" s="1247"/>
      <c r="E8" s="1246">
        <v>18</v>
      </c>
      <c r="F8" s="1247"/>
      <c r="G8" s="1249">
        <v>12</v>
      </c>
      <c r="H8" s="1249"/>
    </row>
    <row r="9" spans="2:8" x14ac:dyDescent="0.35">
      <c r="C9" s="1246" t="s">
        <v>3000</v>
      </c>
      <c r="D9" s="1247"/>
      <c r="E9" s="1246">
        <v>24</v>
      </c>
      <c r="F9" s="1247"/>
      <c r="G9" s="1249">
        <v>12</v>
      </c>
      <c r="H9" s="1249"/>
    </row>
    <row r="10" spans="2:8" ht="15" customHeight="1" x14ac:dyDescent="0.35">
      <c r="C10" s="1069" t="s">
        <v>3037</v>
      </c>
      <c r="D10" s="1069"/>
      <c r="E10" s="1069"/>
      <c r="F10" s="1069"/>
      <c r="G10" s="1069"/>
      <c r="H10" s="1069"/>
    </row>
    <row r="11" spans="2:8" x14ac:dyDescent="0.35">
      <c r="C11" s="1251" t="s">
        <v>3036</v>
      </c>
      <c r="D11" s="1251"/>
      <c r="E11" s="1251"/>
      <c r="F11" s="1251"/>
      <c r="G11" s="1251"/>
      <c r="H11" s="1251"/>
    </row>
    <row r="12" spans="2:8" x14ac:dyDescent="0.35">
      <c r="C12" s="1243" t="s">
        <v>2999</v>
      </c>
      <c r="D12" s="1243"/>
      <c r="E12" s="1243"/>
    </row>
  </sheetData>
  <sheetProtection algorithmName="SHA-512" hashValue="fOlLEozboKWsYn8484p7q/tzV2hKdEDgLuV2KNDu6CMdqLPeLvyQ5NuB7H2CoIjUTN/tMu+lW6+R58kBYV1G/A==" saltValue="EMK3o74NAlGXgyXX9hFIdg==" spinCount="100000" sheet="1" objects="1" scenarios="1" selectLockedCells="1"/>
  <mergeCells count="19">
    <mergeCell ref="F2:H2"/>
    <mergeCell ref="E7:F7"/>
    <mergeCell ref="E8:F8"/>
    <mergeCell ref="E9:F9"/>
    <mergeCell ref="B2:C2"/>
    <mergeCell ref="C12:E12"/>
    <mergeCell ref="C4:H4"/>
    <mergeCell ref="C6:D6"/>
    <mergeCell ref="C8:D8"/>
    <mergeCell ref="C7:D7"/>
    <mergeCell ref="C9:D9"/>
    <mergeCell ref="E6:F6"/>
    <mergeCell ref="G6:H6"/>
    <mergeCell ref="G7:H7"/>
    <mergeCell ref="G8:H8"/>
    <mergeCell ref="G9:H9"/>
    <mergeCell ref="C5:H5"/>
    <mergeCell ref="C10:H10"/>
    <mergeCell ref="C11:H11"/>
  </mergeCells>
  <hyperlinks>
    <hyperlink ref="C11:H11" location="'Figure 6(2)'!A1" display="Figure 6(2)" xr:uid="{00000000-0004-0000-1600-000000000000}"/>
    <hyperlink ref="B2:C2" location="hyptarg3" display="back to 602.1.12" xr:uid="{00000000-0004-0000-1600-000001000000}"/>
    <hyperlink ref="F2:G2" location="'Verification Report'!A1" display="back to Verification Report" xr:uid="{00000000-0004-0000-1600-000002000000}"/>
    <hyperlink ref="F2:H2" location="'Verification Report'!A1" display="back to Verification Report" xr:uid="{00000000-0004-0000-1600-000003000000}"/>
  </hyperlinks>
  <pageMargins left="0.7" right="0.7" top="0.75" bottom="0.75" header="0.3" footer="0.3"/>
  <pageSetup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pageSetUpPr fitToPage="1"/>
  </sheetPr>
  <dimension ref="B2:H9"/>
  <sheetViews>
    <sheetView showGridLines="0" zoomScaleNormal="100" workbookViewId="0">
      <selection activeCell="S48" sqref="S48"/>
    </sheetView>
  </sheetViews>
  <sheetFormatPr defaultColWidth="9.1796875" defaultRowHeight="14.5" x14ac:dyDescent="0.35"/>
  <cols>
    <col min="2" max="2" width="9.1796875" customWidth="1"/>
    <col min="4" max="4" width="11.54296875" customWidth="1"/>
    <col min="6" max="6" width="10.54296875" customWidth="1"/>
    <col min="8" max="8" width="11.26953125" customWidth="1"/>
  </cols>
  <sheetData>
    <row r="2" spans="2:8" x14ac:dyDescent="0.35">
      <c r="B2" s="1255" t="s">
        <v>3064</v>
      </c>
      <c r="C2" s="1255"/>
      <c r="F2" s="1252" t="s">
        <v>4068</v>
      </c>
      <c r="G2" s="1253"/>
      <c r="H2" s="1254"/>
    </row>
    <row r="4" spans="2:8" x14ac:dyDescent="0.35">
      <c r="C4" s="951" t="s">
        <v>3014</v>
      </c>
      <c r="D4" s="951"/>
      <c r="E4" s="951"/>
      <c r="F4" s="951"/>
      <c r="G4" s="951"/>
      <c r="H4" s="951"/>
    </row>
    <row r="5" spans="2:8" x14ac:dyDescent="0.35">
      <c r="C5" s="1250" t="s">
        <v>3013</v>
      </c>
      <c r="D5" s="1250"/>
      <c r="E5" s="1250"/>
      <c r="F5" s="1250"/>
      <c r="G5" s="1250"/>
      <c r="H5" s="1250"/>
    </row>
    <row r="6" spans="2:8" ht="24.75" customHeight="1" x14ac:dyDescent="0.35">
      <c r="C6" s="1244" t="s">
        <v>3057</v>
      </c>
      <c r="D6" s="1245"/>
      <c r="E6" s="1244" t="s">
        <v>3012</v>
      </c>
      <c r="F6" s="1245"/>
      <c r="G6" s="1248" t="s">
        <v>3011</v>
      </c>
      <c r="H6" s="1248"/>
    </row>
    <row r="7" spans="2:8" x14ac:dyDescent="0.35">
      <c r="C7" s="1246" t="s">
        <v>3010</v>
      </c>
      <c r="D7" s="1247"/>
      <c r="E7" s="1256">
        <v>1</v>
      </c>
      <c r="F7" s="1257"/>
      <c r="G7" s="1248">
        <v>2</v>
      </c>
      <c r="H7" s="1248"/>
    </row>
    <row r="8" spans="2:8" x14ac:dyDescent="0.35">
      <c r="C8" s="1246" t="s">
        <v>3009</v>
      </c>
      <c r="D8" s="1247"/>
      <c r="E8" s="1256">
        <v>2</v>
      </c>
      <c r="F8" s="1257"/>
      <c r="G8" s="1248">
        <v>4</v>
      </c>
      <c r="H8" s="1248"/>
    </row>
    <row r="9" spans="2:8" x14ac:dyDescent="0.35">
      <c r="C9" s="1246" t="s">
        <v>3008</v>
      </c>
      <c r="D9" s="1247"/>
      <c r="E9" s="1256">
        <v>3</v>
      </c>
      <c r="F9" s="1257"/>
      <c r="G9" s="1248">
        <v>6</v>
      </c>
      <c r="H9" s="1248"/>
    </row>
  </sheetData>
  <sheetProtection algorithmName="SHA-512" hashValue="JKhEFKdNewCy1i0/nCLJWztKPcEvXOU2t8OPSLIhCR/8vbP6tM+0Tl/SoSSWIDEjkF/D/i4ES5uJrciogKW6Jg==" saltValue="ZDTjo8+yr2mXqkpmSgjODQ==" spinCount="100000" sheet="1" objects="1" scenarios="1" selectLockedCells="1"/>
  <mergeCells count="16">
    <mergeCell ref="F2:H2"/>
    <mergeCell ref="B2:C2"/>
    <mergeCell ref="C8:D8"/>
    <mergeCell ref="E8:F8"/>
    <mergeCell ref="G8:H8"/>
    <mergeCell ref="C4:H4"/>
    <mergeCell ref="C5:H5"/>
    <mergeCell ref="C6:D6"/>
    <mergeCell ref="E6:F6"/>
    <mergeCell ref="G6:H6"/>
    <mergeCell ref="C9:D9"/>
    <mergeCell ref="E9:F9"/>
    <mergeCell ref="G9:H9"/>
    <mergeCell ref="C7:D7"/>
    <mergeCell ref="E7:F7"/>
    <mergeCell ref="G7:H7"/>
  </mergeCells>
  <hyperlinks>
    <hyperlink ref="B2:C2" location="hyptarg4" display="back to 604.1" xr:uid="{00000000-0004-0000-1700-000000000000}"/>
    <hyperlink ref="F2:G2" location="'Verification Report'!A1" display="back to Verification Report" xr:uid="{00000000-0004-0000-1700-000001000000}"/>
    <hyperlink ref="F2:H2" location="'Verification Report'!A1" display="back to Verification Report" xr:uid="{00000000-0004-0000-1700-000002000000}"/>
  </hyperlinks>
  <pageMargins left="0.7" right="0.7" top="0.75" bottom="0.75" header="0.3" footer="0.3"/>
  <pageSetup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pageSetUpPr fitToPage="1"/>
  </sheetPr>
  <dimension ref="B2:G8"/>
  <sheetViews>
    <sheetView showGridLines="0" zoomScaleNormal="100" workbookViewId="0">
      <selection activeCell="S48" sqref="S48"/>
    </sheetView>
  </sheetViews>
  <sheetFormatPr defaultColWidth="9.1796875" defaultRowHeight="14.5" x14ac:dyDescent="0.35"/>
  <cols>
    <col min="4" max="4" width="15.54296875" customWidth="1"/>
    <col min="6" max="6" width="18.54296875" customWidth="1"/>
  </cols>
  <sheetData>
    <row r="2" spans="2:7" x14ac:dyDescent="0.35">
      <c r="B2" s="1255" t="s">
        <v>3122</v>
      </c>
      <c r="C2" s="1255"/>
      <c r="E2" s="1252" t="s">
        <v>4068</v>
      </c>
      <c r="F2" s="1253"/>
      <c r="G2" s="1254"/>
    </row>
    <row r="4" spans="2:7" x14ac:dyDescent="0.35">
      <c r="C4" s="951" t="s">
        <v>3019</v>
      </c>
      <c r="D4" s="951"/>
      <c r="E4" s="951"/>
      <c r="F4" s="951"/>
    </row>
    <row r="5" spans="2:7" x14ac:dyDescent="0.35">
      <c r="C5" s="1250" t="s">
        <v>3018</v>
      </c>
      <c r="D5" s="1250"/>
      <c r="E5" s="1250"/>
      <c r="F5" s="1250"/>
    </row>
    <row r="6" spans="2:7" x14ac:dyDescent="0.35">
      <c r="C6" s="1244" t="s">
        <v>3017</v>
      </c>
      <c r="D6" s="1245"/>
      <c r="E6" s="1244" t="s">
        <v>3016</v>
      </c>
      <c r="F6" s="1245"/>
    </row>
    <row r="7" spans="2:7" x14ac:dyDescent="0.35">
      <c r="C7" s="1258" t="s">
        <v>3015</v>
      </c>
      <c r="D7" s="1259"/>
      <c r="E7" s="1259"/>
      <c r="F7" s="1260"/>
    </row>
    <row r="8" spans="2:7" x14ac:dyDescent="0.35">
      <c r="C8" s="1256">
        <v>2</v>
      </c>
      <c r="D8" s="1257"/>
      <c r="E8" s="1256">
        <v>3</v>
      </c>
      <c r="F8" s="1257"/>
    </row>
  </sheetData>
  <sheetProtection algorithmName="SHA-512" hashValue="Z8sNyGuNC2G/wHTj9GrHSiamEvcEsARvhLpDrFY9x8YT/yh15R5c5zh+Ijs2puTM+nrv+TUqmdZ2K8b1uiVgbg==" saltValue="bp+IfhE1ez6T1xNc6Mgqag==" spinCount="100000" sheet="1" objects="1" scenarios="1" selectLockedCells="1"/>
  <mergeCells count="9">
    <mergeCell ref="B2:C2"/>
    <mergeCell ref="C8:D8"/>
    <mergeCell ref="E8:F8"/>
    <mergeCell ref="C7:F7"/>
    <mergeCell ref="C4:F4"/>
    <mergeCell ref="C5:F5"/>
    <mergeCell ref="C6:D6"/>
    <mergeCell ref="E6:F6"/>
    <mergeCell ref="E2:G2"/>
  </mergeCells>
  <hyperlinks>
    <hyperlink ref="B2:C2" location="hyptarg5" display="back to 610.1.2.1" xr:uid="{00000000-0004-0000-1800-000000000000}"/>
    <hyperlink ref="E2:F2" location="'Verification Report'!A1" display="back to Verification Report" xr:uid="{00000000-0004-0000-1800-000001000000}"/>
    <hyperlink ref="E2:G2" location="'Verification Report'!A1" display="back to Verification Report" xr:uid="{00000000-0004-0000-1800-000002000000}"/>
  </hyperlinks>
  <pageMargins left="0.7" right="0.7" top="0.75" bottom="0.75" header="0.3" footer="0.3"/>
  <pageSetup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1"/>
    <pageSetUpPr fitToPage="1"/>
  </sheetPr>
  <dimension ref="A1:J3255"/>
  <sheetViews>
    <sheetView topLeftCell="K1" zoomScaleNormal="100" workbookViewId="0"/>
  </sheetViews>
  <sheetFormatPr defaultRowHeight="14.5" x14ac:dyDescent="0.35"/>
  <cols>
    <col min="1" max="2" width="0" hidden="1" customWidth="1"/>
    <col min="3" max="3" width="23.26953125" hidden="1" customWidth="1"/>
    <col min="4" max="10" width="0" hidden="1" customWidth="1"/>
    <col min="13" max="13" width="18.7265625" customWidth="1"/>
    <col min="14" max="14" width="19" bestFit="1" customWidth="1"/>
  </cols>
  <sheetData>
    <row r="1" spans="1:10" x14ac:dyDescent="0.35">
      <c r="A1" t="s">
        <v>2</v>
      </c>
      <c r="B1" t="s">
        <v>3</v>
      </c>
      <c r="C1" t="s">
        <v>4</v>
      </c>
      <c r="D1" t="s">
        <v>5</v>
      </c>
      <c r="E1" t="s">
        <v>6</v>
      </c>
      <c r="F1" t="s">
        <v>7</v>
      </c>
      <c r="G1" t="s">
        <v>8</v>
      </c>
      <c r="H1" t="s">
        <v>3455</v>
      </c>
      <c r="J1" t="s">
        <v>2</v>
      </c>
    </row>
    <row r="2" spans="1:10" x14ac:dyDescent="0.35">
      <c r="A2" t="s">
        <v>12</v>
      </c>
      <c r="B2" t="s">
        <v>114</v>
      </c>
      <c r="C2" t="s">
        <v>1113</v>
      </c>
      <c r="D2">
        <v>2</v>
      </c>
      <c r="E2">
        <v>3</v>
      </c>
      <c r="F2" t="s">
        <v>7</v>
      </c>
      <c r="G2" t="s">
        <v>115</v>
      </c>
      <c r="H2" t="s">
        <v>11</v>
      </c>
      <c r="J2" t="s">
        <v>12</v>
      </c>
    </row>
    <row r="3" spans="1:10" x14ac:dyDescent="0.35">
      <c r="A3" t="s">
        <v>12</v>
      </c>
      <c r="B3" t="s">
        <v>114</v>
      </c>
      <c r="C3" t="s">
        <v>1114</v>
      </c>
      <c r="D3">
        <v>3</v>
      </c>
      <c r="E3">
        <v>2</v>
      </c>
      <c r="F3" t="s">
        <v>7</v>
      </c>
      <c r="G3" t="s">
        <v>115</v>
      </c>
      <c r="H3" t="s">
        <v>11</v>
      </c>
      <c r="J3" t="s">
        <v>9</v>
      </c>
    </row>
    <row r="4" spans="1:10" x14ac:dyDescent="0.35">
      <c r="A4" t="s">
        <v>12</v>
      </c>
      <c r="B4" t="s">
        <v>114</v>
      </c>
      <c r="C4" t="s">
        <v>1115</v>
      </c>
      <c r="D4">
        <v>2</v>
      </c>
      <c r="E4">
        <v>3</v>
      </c>
      <c r="F4" t="s">
        <v>7</v>
      </c>
      <c r="G4" t="s">
        <v>115</v>
      </c>
      <c r="H4" t="s">
        <v>11</v>
      </c>
      <c r="J4" t="s">
        <v>14</v>
      </c>
    </row>
    <row r="5" spans="1:10" x14ac:dyDescent="0.35">
      <c r="A5" t="s">
        <v>12</v>
      </c>
      <c r="B5" t="s">
        <v>114</v>
      </c>
      <c r="C5" t="s">
        <v>1116</v>
      </c>
      <c r="D5">
        <v>2</v>
      </c>
      <c r="E5">
        <v>3</v>
      </c>
      <c r="F5" t="s">
        <v>7</v>
      </c>
      <c r="G5" t="s">
        <v>11</v>
      </c>
      <c r="H5" t="s">
        <v>11</v>
      </c>
      <c r="J5" t="s">
        <v>13</v>
      </c>
    </row>
    <row r="6" spans="1:10" x14ac:dyDescent="0.35">
      <c r="A6" t="s">
        <v>12</v>
      </c>
      <c r="B6" t="s">
        <v>114</v>
      </c>
      <c r="C6" t="s">
        <v>1117</v>
      </c>
      <c r="D6">
        <v>2</v>
      </c>
      <c r="E6">
        <v>3</v>
      </c>
      <c r="F6" t="s">
        <v>7</v>
      </c>
      <c r="G6" t="s">
        <v>11</v>
      </c>
      <c r="H6" t="s">
        <v>11</v>
      </c>
      <c r="J6" t="s">
        <v>15</v>
      </c>
    </row>
    <row r="7" spans="1:10" x14ac:dyDescent="0.35">
      <c r="A7" t="s">
        <v>12</v>
      </c>
      <c r="B7" t="s">
        <v>114</v>
      </c>
      <c r="C7" t="s">
        <v>1118</v>
      </c>
      <c r="D7">
        <v>2</v>
      </c>
      <c r="E7">
        <v>3</v>
      </c>
      <c r="F7" t="s">
        <v>7</v>
      </c>
      <c r="G7" t="s">
        <v>115</v>
      </c>
      <c r="H7" t="s">
        <v>11</v>
      </c>
      <c r="J7" t="s">
        <v>16</v>
      </c>
    </row>
    <row r="8" spans="1:10" x14ac:dyDescent="0.35">
      <c r="A8" t="s">
        <v>12</v>
      </c>
      <c r="B8" t="s">
        <v>114</v>
      </c>
      <c r="C8" t="s">
        <v>1119</v>
      </c>
      <c r="D8">
        <v>3</v>
      </c>
      <c r="E8">
        <v>3</v>
      </c>
      <c r="F8" t="s">
        <v>7</v>
      </c>
      <c r="G8" t="s">
        <v>115</v>
      </c>
      <c r="H8" t="s">
        <v>11</v>
      </c>
      <c r="J8" t="s">
        <v>17</v>
      </c>
    </row>
    <row r="9" spans="1:10" x14ac:dyDescent="0.35">
      <c r="A9" t="s">
        <v>12</v>
      </c>
      <c r="B9" t="s">
        <v>114</v>
      </c>
      <c r="C9" t="s">
        <v>1120</v>
      </c>
      <c r="D9">
        <v>1</v>
      </c>
      <c r="E9">
        <v>3</v>
      </c>
      <c r="F9" t="s">
        <v>7</v>
      </c>
      <c r="G9" t="s">
        <v>11</v>
      </c>
      <c r="H9" t="s">
        <v>11</v>
      </c>
      <c r="J9" t="s">
        <v>19</v>
      </c>
    </row>
    <row r="10" spans="1:10" x14ac:dyDescent="0.35">
      <c r="A10" t="s">
        <v>12</v>
      </c>
      <c r="B10" t="s">
        <v>114</v>
      </c>
      <c r="C10" t="s">
        <v>1121</v>
      </c>
      <c r="D10">
        <v>3</v>
      </c>
      <c r="E10">
        <v>3</v>
      </c>
      <c r="F10" t="s">
        <v>7</v>
      </c>
      <c r="G10" t="s">
        <v>11</v>
      </c>
      <c r="H10" t="s">
        <v>11</v>
      </c>
      <c r="J10" t="s">
        <v>18</v>
      </c>
    </row>
    <row r="11" spans="1:10" x14ac:dyDescent="0.35">
      <c r="A11" t="s">
        <v>12</v>
      </c>
      <c r="B11" t="s">
        <v>114</v>
      </c>
      <c r="C11" t="s">
        <v>1122</v>
      </c>
      <c r="D11">
        <v>2</v>
      </c>
      <c r="E11">
        <v>3</v>
      </c>
      <c r="F11" t="s">
        <v>7</v>
      </c>
      <c r="G11" t="s">
        <v>11</v>
      </c>
      <c r="H11" t="s">
        <v>11</v>
      </c>
      <c r="J11" t="s">
        <v>20</v>
      </c>
    </row>
    <row r="12" spans="1:10" x14ac:dyDescent="0.35">
      <c r="A12" t="s">
        <v>12</v>
      </c>
      <c r="B12" t="s">
        <v>114</v>
      </c>
      <c r="C12" t="s">
        <v>1123</v>
      </c>
      <c r="D12">
        <v>2</v>
      </c>
      <c r="E12">
        <v>3</v>
      </c>
      <c r="F12" t="s">
        <v>7</v>
      </c>
      <c r="G12" t="s">
        <v>11</v>
      </c>
      <c r="H12" t="s">
        <v>11</v>
      </c>
      <c r="J12" t="s">
        <v>21</v>
      </c>
    </row>
    <row r="13" spans="1:10" x14ac:dyDescent="0.35">
      <c r="A13" t="s">
        <v>12</v>
      </c>
      <c r="B13" t="s">
        <v>114</v>
      </c>
      <c r="C13" t="s">
        <v>1124</v>
      </c>
      <c r="D13">
        <v>3</v>
      </c>
      <c r="E13">
        <v>3</v>
      </c>
      <c r="F13" t="s">
        <v>7</v>
      </c>
      <c r="G13" t="s">
        <v>115</v>
      </c>
      <c r="H13" t="s">
        <v>11</v>
      </c>
      <c r="J13" t="s">
        <v>22</v>
      </c>
    </row>
    <row r="14" spans="1:10" x14ac:dyDescent="0.35">
      <c r="A14" t="s">
        <v>12</v>
      </c>
      <c r="B14" t="s">
        <v>114</v>
      </c>
      <c r="C14" t="s">
        <v>1125</v>
      </c>
      <c r="D14">
        <v>3</v>
      </c>
      <c r="E14">
        <v>3</v>
      </c>
      <c r="F14" t="s">
        <v>7</v>
      </c>
      <c r="G14" t="s">
        <v>115</v>
      </c>
      <c r="H14" t="s">
        <v>11</v>
      </c>
      <c r="J14" t="s">
        <v>24</v>
      </c>
    </row>
    <row r="15" spans="1:10" x14ac:dyDescent="0.35">
      <c r="A15" t="s">
        <v>12</v>
      </c>
      <c r="B15" t="s">
        <v>114</v>
      </c>
      <c r="C15" t="s">
        <v>1126</v>
      </c>
      <c r="D15">
        <v>1</v>
      </c>
      <c r="E15">
        <v>3</v>
      </c>
      <c r="F15" t="s">
        <v>7</v>
      </c>
      <c r="G15" t="s">
        <v>11</v>
      </c>
      <c r="H15" t="s">
        <v>11</v>
      </c>
      <c r="J15" t="s">
        <v>25</v>
      </c>
    </row>
    <row r="16" spans="1:10" x14ac:dyDescent="0.35">
      <c r="A16" t="s">
        <v>12</v>
      </c>
      <c r="B16" t="s">
        <v>114</v>
      </c>
      <c r="C16" t="s">
        <v>1127</v>
      </c>
      <c r="D16">
        <v>1</v>
      </c>
      <c r="E16">
        <v>3</v>
      </c>
      <c r="F16" t="s">
        <v>7</v>
      </c>
      <c r="G16" t="s">
        <v>11</v>
      </c>
      <c r="H16" t="s">
        <v>11</v>
      </c>
      <c r="J16" t="s">
        <v>26</v>
      </c>
    </row>
    <row r="17" spans="1:10" x14ac:dyDescent="0.35">
      <c r="A17" t="s">
        <v>12</v>
      </c>
      <c r="B17" t="s">
        <v>114</v>
      </c>
      <c r="C17" t="s">
        <v>1128</v>
      </c>
      <c r="D17">
        <v>3</v>
      </c>
      <c r="E17">
        <v>3</v>
      </c>
      <c r="F17" t="s">
        <v>7</v>
      </c>
      <c r="G17" t="s">
        <v>115</v>
      </c>
      <c r="H17" t="s">
        <v>11</v>
      </c>
      <c r="J17" t="s">
        <v>23</v>
      </c>
    </row>
    <row r="18" spans="1:10" x14ac:dyDescent="0.35">
      <c r="A18" t="s">
        <v>12</v>
      </c>
      <c r="B18" t="s">
        <v>114</v>
      </c>
      <c r="C18" t="s">
        <v>1129</v>
      </c>
      <c r="D18">
        <v>1</v>
      </c>
      <c r="E18">
        <v>3</v>
      </c>
      <c r="F18" t="s">
        <v>7</v>
      </c>
      <c r="G18" t="s">
        <v>11</v>
      </c>
      <c r="H18" t="s">
        <v>11</v>
      </c>
      <c r="J18" t="s">
        <v>27</v>
      </c>
    </row>
    <row r="19" spans="1:10" x14ac:dyDescent="0.35">
      <c r="A19" t="s">
        <v>12</v>
      </c>
      <c r="B19" t="s">
        <v>114</v>
      </c>
      <c r="C19" t="s">
        <v>1130</v>
      </c>
      <c r="D19">
        <v>3</v>
      </c>
      <c r="E19">
        <v>3</v>
      </c>
      <c r="F19" t="s">
        <v>7</v>
      </c>
      <c r="G19" t="s">
        <v>115</v>
      </c>
      <c r="H19" t="s">
        <v>11</v>
      </c>
      <c r="J19" t="s">
        <v>28</v>
      </c>
    </row>
    <row r="20" spans="1:10" x14ac:dyDescent="0.35">
      <c r="A20" t="s">
        <v>12</v>
      </c>
      <c r="B20" t="s">
        <v>114</v>
      </c>
      <c r="C20" t="s">
        <v>1131</v>
      </c>
      <c r="D20">
        <v>1</v>
      </c>
      <c r="E20">
        <v>3</v>
      </c>
      <c r="F20" t="s">
        <v>7</v>
      </c>
      <c r="G20" t="s">
        <v>11</v>
      </c>
      <c r="H20" t="s">
        <v>11</v>
      </c>
      <c r="J20" t="s">
        <v>29</v>
      </c>
    </row>
    <row r="21" spans="1:10" x14ac:dyDescent="0.35">
      <c r="A21" t="s">
        <v>12</v>
      </c>
      <c r="B21" t="s">
        <v>114</v>
      </c>
      <c r="C21" t="s">
        <v>1132</v>
      </c>
      <c r="D21">
        <v>3</v>
      </c>
      <c r="E21">
        <v>3</v>
      </c>
      <c r="F21" t="s">
        <v>7</v>
      </c>
      <c r="G21" t="s">
        <v>115</v>
      </c>
      <c r="H21" t="s">
        <v>11</v>
      </c>
      <c r="J21" t="s">
        <v>32</v>
      </c>
    </row>
    <row r="22" spans="1:10" x14ac:dyDescent="0.35">
      <c r="A22" t="s">
        <v>12</v>
      </c>
      <c r="B22" t="s">
        <v>114</v>
      </c>
      <c r="C22" t="s">
        <v>1133</v>
      </c>
      <c r="D22">
        <v>3</v>
      </c>
      <c r="E22">
        <v>3</v>
      </c>
      <c r="F22" t="s">
        <v>7</v>
      </c>
      <c r="G22" t="s">
        <v>115</v>
      </c>
      <c r="H22" t="s">
        <v>11</v>
      </c>
      <c r="J22" t="s">
        <v>31</v>
      </c>
    </row>
    <row r="23" spans="1:10" x14ac:dyDescent="0.35">
      <c r="A23" t="s">
        <v>12</v>
      </c>
      <c r="B23" t="s">
        <v>114</v>
      </c>
      <c r="C23" t="s">
        <v>1134</v>
      </c>
      <c r="D23">
        <v>2</v>
      </c>
      <c r="E23">
        <v>3</v>
      </c>
      <c r="F23" t="s">
        <v>7</v>
      </c>
      <c r="G23" t="s">
        <v>11</v>
      </c>
      <c r="H23" t="s">
        <v>11</v>
      </c>
      <c r="J23" t="s">
        <v>30</v>
      </c>
    </row>
    <row r="24" spans="1:10" x14ac:dyDescent="0.35">
      <c r="A24" t="s">
        <v>12</v>
      </c>
      <c r="B24" t="s">
        <v>114</v>
      </c>
      <c r="C24" t="s">
        <v>1135</v>
      </c>
      <c r="D24">
        <v>3</v>
      </c>
      <c r="E24">
        <v>3</v>
      </c>
      <c r="F24" t="s">
        <v>7</v>
      </c>
      <c r="G24" t="s">
        <v>115</v>
      </c>
      <c r="H24" t="s">
        <v>11</v>
      </c>
      <c r="J24" t="s">
        <v>33</v>
      </c>
    </row>
    <row r="25" spans="1:10" x14ac:dyDescent="0.35">
      <c r="A25" t="s">
        <v>12</v>
      </c>
      <c r="B25" t="s">
        <v>114</v>
      </c>
      <c r="C25" t="s">
        <v>1136</v>
      </c>
      <c r="D25">
        <v>2</v>
      </c>
      <c r="E25">
        <v>3</v>
      </c>
      <c r="F25" t="s">
        <v>7</v>
      </c>
      <c r="G25" t="s">
        <v>115</v>
      </c>
      <c r="H25" t="s">
        <v>11</v>
      </c>
      <c r="J25" t="s">
        <v>34</v>
      </c>
    </row>
    <row r="26" spans="1:10" x14ac:dyDescent="0.35">
      <c r="A26" t="s">
        <v>12</v>
      </c>
      <c r="B26" t="s">
        <v>114</v>
      </c>
      <c r="C26" t="s">
        <v>1137</v>
      </c>
      <c r="D26">
        <v>2</v>
      </c>
      <c r="E26">
        <v>3</v>
      </c>
      <c r="F26" t="s">
        <v>7</v>
      </c>
      <c r="G26" t="s">
        <v>11</v>
      </c>
      <c r="H26" t="s">
        <v>11</v>
      </c>
      <c r="J26" t="s">
        <v>36</v>
      </c>
    </row>
    <row r="27" spans="1:10" x14ac:dyDescent="0.35">
      <c r="A27" t="s">
        <v>12</v>
      </c>
      <c r="B27" t="s">
        <v>114</v>
      </c>
      <c r="C27" t="s">
        <v>1138</v>
      </c>
      <c r="D27">
        <v>2</v>
      </c>
      <c r="E27">
        <v>3</v>
      </c>
      <c r="F27" t="s">
        <v>7</v>
      </c>
      <c r="G27" t="s">
        <v>115</v>
      </c>
      <c r="H27" t="s">
        <v>11</v>
      </c>
      <c r="J27" t="s">
        <v>35</v>
      </c>
    </row>
    <row r="28" spans="1:10" x14ac:dyDescent="0.35">
      <c r="A28" t="s">
        <v>12</v>
      </c>
      <c r="B28" t="s">
        <v>114</v>
      </c>
      <c r="C28" t="s">
        <v>1139</v>
      </c>
      <c r="D28">
        <v>3</v>
      </c>
      <c r="E28">
        <v>3</v>
      </c>
      <c r="F28" t="s">
        <v>7</v>
      </c>
      <c r="G28" t="s">
        <v>115</v>
      </c>
      <c r="H28" t="s">
        <v>11</v>
      </c>
      <c r="J28" t="s">
        <v>37</v>
      </c>
    </row>
    <row r="29" spans="1:10" x14ac:dyDescent="0.35">
      <c r="A29" t="s">
        <v>12</v>
      </c>
      <c r="B29" t="s">
        <v>114</v>
      </c>
      <c r="C29" t="s">
        <v>1140</v>
      </c>
      <c r="D29">
        <v>2</v>
      </c>
      <c r="E29">
        <v>3</v>
      </c>
      <c r="F29" t="s">
        <v>7</v>
      </c>
      <c r="G29" t="s">
        <v>11</v>
      </c>
      <c r="H29" t="s">
        <v>11</v>
      </c>
      <c r="J29" t="s">
        <v>41</v>
      </c>
    </row>
    <row r="30" spans="1:10" x14ac:dyDescent="0.35">
      <c r="A30" t="s">
        <v>12</v>
      </c>
      <c r="B30" t="s">
        <v>114</v>
      </c>
      <c r="C30" t="s">
        <v>1141</v>
      </c>
      <c r="D30">
        <v>2</v>
      </c>
      <c r="E30">
        <v>3</v>
      </c>
      <c r="F30" t="s">
        <v>7</v>
      </c>
      <c r="G30" t="s">
        <v>11</v>
      </c>
      <c r="H30" t="s">
        <v>11</v>
      </c>
      <c r="J30" t="s">
        <v>45</v>
      </c>
    </row>
    <row r="31" spans="1:10" x14ac:dyDescent="0.35">
      <c r="A31" t="s">
        <v>12</v>
      </c>
      <c r="B31" t="s">
        <v>114</v>
      </c>
      <c r="C31" t="s">
        <v>1142</v>
      </c>
      <c r="D31">
        <v>1</v>
      </c>
      <c r="E31">
        <v>3</v>
      </c>
      <c r="F31" t="s">
        <v>7</v>
      </c>
      <c r="G31" t="s">
        <v>11</v>
      </c>
      <c r="H31" t="s">
        <v>11</v>
      </c>
      <c r="J31" t="s">
        <v>42</v>
      </c>
    </row>
    <row r="32" spans="1:10" x14ac:dyDescent="0.35">
      <c r="A32" t="s">
        <v>12</v>
      </c>
      <c r="B32" t="s">
        <v>114</v>
      </c>
      <c r="C32" t="s">
        <v>1143</v>
      </c>
      <c r="D32">
        <v>3</v>
      </c>
      <c r="E32">
        <v>3</v>
      </c>
      <c r="F32" t="s">
        <v>7</v>
      </c>
      <c r="G32" t="s">
        <v>115</v>
      </c>
      <c r="H32" t="s">
        <v>11</v>
      </c>
      <c r="J32" t="s">
        <v>43</v>
      </c>
    </row>
    <row r="33" spans="1:10" x14ac:dyDescent="0.35">
      <c r="A33" t="s">
        <v>12</v>
      </c>
      <c r="B33" t="s">
        <v>114</v>
      </c>
      <c r="C33" t="s">
        <v>1144</v>
      </c>
      <c r="D33">
        <v>2</v>
      </c>
      <c r="E33">
        <v>3</v>
      </c>
      <c r="F33" t="s">
        <v>7</v>
      </c>
      <c r="G33" t="s">
        <v>11</v>
      </c>
      <c r="H33" t="s">
        <v>11</v>
      </c>
      <c r="J33" t="s">
        <v>44</v>
      </c>
    </row>
    <row r="34" spans="1:10" x14ac:dyDescent="0.35">
      <c r="A34" t="s">
        <v>12</v>
      </c>
      <c r="B34" t="s">
        <v>114</v>
      </c>
      <c r="C34" t="s">
        <v>1145</v>
      </c>
      <c r="D34">
        <v>2</v>
      </c>
      <c r="E34">
        <v>3</v>
      </c>
      <c r="F34" t="s">
        <v>7</v>
      </c>
      <c r="G34" t="s">
        <v>11</v>
      </c>
      <c r="H34" t="s">
        <v>11</v>
      </c>
      <c r="J34" t="s">
        <v>46</v>
      </c>
    </row>
    <row r="35" spans="1:10" x14ac:dyDescent="0.35">
      <c r="A35" t="s">
        <v>12</v>
      </c>
      <c r="B35" t="s">
        <v>114</v>
      </c>
      <c r="C35" t="s">
        <v>1146</v>
      </c>
      <c r="D35">
        <v>3</v>
      </c>
      <c r="E35">
        <v>3</v>
      </c>
      <c r="F35" t="s">
        <v>7</v>
      </c>
      <c r="G35" t="s">
        <v>115</v>
      </c>
      <c r="H35" t="s">
        <v>11</v>
      </c>
      <c r="J35" t="s">
        <v>38</v>
      </c>
    </row>
    <row r="36" spans="1:10" x14ac:dyDescent="0.35">
      <c r="A36" t="s">
        <v>12</v>
      </c>
      <c r="B36" t="s">
        <v>114</v>
      </c>
      <c r="C36" t="s">
        <v>1147</v>
      </c>
      <c r="D36">
        <v>3</v>
      </c>
      <c r="E36">
        <v>3</v>
      </c>
      <c r="F36" t="s">
        <v>7</v>
      </c>
      <c r="G36" t="s">
        <v>115</v>
      </c>
      <c r="H36" t="s">
        <v>11</v>
      </c>
      <c r="J36" t="s">
        <v>39</v>
      </c>
    </row>
    <row r="37" spans="1:10" x14ac:dyDescent="0.35">
      <c r="A37" t="s">
        <v>12</v>
      </c>
      <c r="B37" t="s">
        <v>114</v>
      </c>
      <c r="C37" t="s">
        <v>1148</v>
      </c>
      <c r="D37">
        <v>1</v>
      </c>
      <c r="E37">
        <v>3</v>
      </c>
      <c r="F37" t="s">
        <v>7</v>
      </c>
      <c r="G37" t="s">
        <v>11</v>
      </c>
      <c r="H37" t="s">
        <v>11</v>
      </c>
      <c r="J37" t="s">
        <v>47</v>
      </c>
    </row>
    <row r="38" spans="1:10" x14ac:dyDescent="0.35">
      <c r="A38" t="s">
        <v>12</v>
      </c>
      <c r="B38" t="s">
        <v>114</v>
      </c>
      <c r="C38" t="s">
        <v>1149</v>
      </c>
      <c r="D38">
        <v>2</v>
      </c>
      <c r="E38">
        <v>3</v>
      </c>
      <c r="F38" t="s">
        <v>7</v>
      </c>
      <c r="G38" t="s">
        <v>11</v>
      </c>
      <c r="H38" t="s">
        <v>11</v>
      </c>
      <c r="J38" t="s">
        <v>48</v>
      </c>
    </row>
    <row r="39" spans="1:10" x14ac:dyDescent="0.35">
      <c r="A39" t="s">
        <v>12</v>
      </c>
      <c r="B39" t="s">
        <v>114</v>
      </c>
      <c r="C39" t="s">
        <v>1150</v>
      </c>
      <c r="D39">
        <v>2</v>
      </c>
      <c r="E39">
        <v>3</v>
      </c>
      <c r="F39" t="s">
        <v>7</v>
      </c>
      <c r="G39" t="s">
        <v>11</v>
      </c>
      <c r="H39" t="s">
        <v>11</v>
      </c>
      <c r="J39" t="s">
        <v>49</v>
      </c>
    </row>
    <row r="40" spans="1:10" x14ac:dyDescent="0.35">
      <c r="A40" t="s">
        <v>12</v>
      </c>
      <c r="B40" t="s">
        <v>114</v>
      </c>
      <c r="C40" t="s">
        <v>1151</v>
      </c>
      <c r="D40">
        <v>1</v>
      </c>
      <c r="E40">
        <v>3</v>
      </c>
      <c r="F40" t="s">
        <v>7</v>
      </c>
      <c r="G40" t="s">
        <v>11</v>
      </c>
      <c r="H40" t="s">
        <v>11</v>
      </c>
      <c r="J40" t="s">
        <v>50</v>
      </c>
    </row>
    <row r="41" spans="1:10" x14ac:dyDescent="0.35">
      <c r="A41" t="s">
        <v>12</v>
      </c>
      <c r="B41" t="s">
        <v>114</v>
      </c>
      <c r="C41" t="s">
        <v>1152</v>
      </c>
      <c r="D41">
        <v>1</v>
      </c>
      <c r="E41">
        <v>3</v>
      </c>
      <c r="F41" t="s">
        <v>7</v>
      </c>
      <c r="G41" t="s">
        <v>11</v>
      </c>
      <c r="H41" t="s">
        <v>11</v>
      </c>
      <c r="J41" t="s">
        <v>51</v>
      </c>
    </row>
    <row r="42" spans="1:10" x14ac:dyDescent="0.35">
      <c r="A42" t="s">
        <v>12</v>
      </c>
      <c r="B42" t="s">
        <v>114</v>
      </c>
      <c r="C42" t="s">
        <v>1153</v>
      </c>
      <c r="D42">
        <v>2</v>
      </c>
      <c r="E42">
        <v>3</v>
      </c>
      <c r="F42" t="s">
        <v>7</v>
      </c>
      <c r="G42" t="s">
        <v>11</v>
      </c>
      <c r="H42" t="s">
        <v>11</v>
      </c>
      <c r="J42" t="s">
        <v>52</v>
      </c>
    </row>
    <row r="43" spans="1:10" x14ac:dyDescent="0.35">
      <c r="A43" t="s">
        <v>12</v>
      </c>
      <c r="B43" t="s">
        <v>114</v>
      </c>
      <c r="C43" t="s">
        <v>1154</v>
      </c>
      <c r="D43">
        <v>1</v>
      </c>
      <c r="E43">
        <v>3</v>
      </c>
      <c r="F43" t="s">
        <v>7</v>
      </c>
      <c r="G43" t="s">
        <v>11</v>
      </c>
      <c r="H43" t="s">
        <v>11</v>
      </c>
      <c r="J43" t="s">
        <v>53</v>
      </c>
    </row>
    <row r="44" spans="1:10" x14ac:dyDescent="0.35">
      <c r="A44" t="s">
        <v>12</v>
      </c>
      <c r="B44" t="s">
        <v>114</v>
      </c>
      <c r="C44" t="s">
        <v>1155</v>
      </c>
      <c r="D44">
        <v>2</v>
      </c>
      <c r="E44">
        <v>3</v>
      </c>
      <c r="F44" t="s">
        <v>7</v>
      </c>
      <c r="G44" t="s">
        <v>115</v>
      </c>
      <c r="H44" t="s">
        <v>11</v>
      </c>
      <c r="J44" t="s">
        <v>55</v>
      </c>
    </row>
    <row r="45" spans="1:10" x14ac:dyDescent="0.35">
      <c r="A45" t="s">
        <v>12</v>
      </c>
      <c r="B45" t="s">
        <v>114</v>
      </c>
      <c r="C45" t="s">
        <v>1156</v>
      </c>
      <c r="D45">
        <v>2</v>
      </c>
      <c r="E45">
        <v>3</v>
      </c>
      <c r="F45" t="s">
        <v>7</v>
      </c>
      <c r="G45" t="s">
        <v>115</v>
      </c>
      <c r="H45" t="s">
        <v>11</v>
      </c>
      <c r="J45" t="s">
        <v>57</v>
      </c>
    </row>
    <row r="46" spans="1:10" x14ac:dyDescent="0.35">
      <c r="A46" t="s">
        <v>12</v>
      </c>
      <c r="B46" t="s">
        <v>114</v>
      </c>
      <c r="C46" t="s">
        <v>1157</v>
      </c>
      <c r="D46">
        <v>1</v>
      </c>
      <c r="E46">
        <v>3</v>
      </c>
      <c r="F46" t="s">
        <v>7</v>
      </c>
      <c r="G46" t="s">
        <v>11</v>
      </c>
      <c r="H46" t="s">
        <v>11</v>
      </c>
      <c r="J46" t="s">
        <v>58</v>
      </c>
    </row>
    <row r="47" spans="1:10" x14ac:dyDescent="0.35">
      <c r="A47" t="s">
        <v>12</v>
      </c>
      <c r="B47" t="s">
        <v>114</v>
      </c>
      <c r="C47" t="s">
        <v>1158</v>
      </c>
      <c r="D47">
        <v>3</v>
      </c>
      <c r="E47">
        <v>3</v>
      </c>
      <c r="F47" t="s">
        <v>7</v>
      </c>
      <c r="G47" t="s">
        <v>115</v>
      </c>
      <c r="H47" t="s">
        <v>11</v>
      </c>
      <c r="J47" t="s">
        <v>60</v>
      </c>
    </row>
    <row r="48" spans="1:10" x14ac:dyDescent="0.35">
      <c r="A48" t="s">
        <v>12</v>
      </c>
      <c r="B48" t="s">
        <v>114</v>
      </c>
      <c r="C48" t="s">
        <v>1159</v>
      </c>
      <c r="D48">
        <v>2</v>
      </c>
      <c r="E48">
        <v>3</v>
      </c>
      <c r="F48" t="s">
        <v>7</v>
      </c>
      <c r="G48" t="s">
        <v>11</v>
      </c>
      <c r="H48" t="s">
        <v>11</v>
      </c>
      <c r="J48" t="s">
        <v>59</v>
      </c>
    </row>
    <row r="49" spans="1:10" x14ac:dyDescent="0.35">
      <c r="A49" t="s">
        <v>12</v>
      </c>
      <c r="B49" t="s">
        <v>114</v>
      </c>
      <c r="C49" t="s">
        <v>1160</v>
      </c>
      <c r="D49">
        <v>2</v>
      </c>
      <c r="E49">
        <v>3</v>
      </c>
      <c r="F49" t="s">
        <v>7</v>
      </c>
      <c r="G49" t="s">
        <v>11</v>
      </c>
      <c r="H49" t="s">
        <v>11</v>
      </c>
      <c r="J49" t="s">
        <v>61</v>
      </c>
    </row>
    <row r="50" spans="1:10" x14ac:dyDescent="0.35">
      <c r="A50" t="s">
        <v>12</v>
      </c>
      <c r="B50" t="s">
        <v>114</v>
      </c>
      <c r="C50" t="s">
        <v>1161</v>
      </c>
      <c r="D50">
        <v>3</v>
      </c>
      <c r="E50">
        <v>2</v>
      </c>
      <c r="F50" t="s">
        <v>7</v>
      </c>
      <c r="G50" t="s">
        <v>115</v>
      </c>
      <c r="H50" t="s">
        <v>11</v>
      </c>
      <c r="J50" t="s">
        <v>63</v>
      </c>
    </row>
    <row r="51" spans="1:10" x14ac:dyDescent="0.35">
      <c r="A51" t="s">
        <v>12</v>
      </c>
      <c r="B51" t="s">
        <v>114</v>
      </c>
      <c r="C51" t="s">
        <v>1162</v>
      </c>
      <c r="D51">
        <v>3</v>
      </c>
      <c r="E51">
        <v>3</v>
      </c>
      <c r="F51" t="s">
        <v>7</v>
      </c>
      <c r="G51" t="s">
        <v>115</v>
      </c>
      <c r="H51" t="s">
        <v>11</v>
      </c>
      <c r="J51" t="s">
        <v>62</v>
      </c>
    </row>
    <row r="52" spans="1:10" x14ac:dyDescent="0.35">
      <c r="A52" t="s">
        <v>12</v>
      </c>
      <c r="B52" t="s">
        <v>114</v>
      </c>
      <c r="C52" t="s">
        <v>1163</v>
      </c>
      <c r="D52">
        <v>2</v>
      </c>
      <c r="E52">
        <v>3</v>
      </c>
      <c r="F52" t="s">
        <v>7</v>
      </c>
      <c r="G52" t="s">
        <v>115</v>
      </c>
      <c r="H52" t="s">
        <v>11</v>
      </c>
      <c r="J52" t="s">
        <v>64</v>
      </c>
    </row>
    <row r="53" spans="1:10" x14ac:dyDescent="0.35">
      <c r="A53" t="s">
        <v>12</v>
      </c>
      <c r="B53" t="s">
        <v>114</v>
      </c>
      <c r="C53" t="s">
        <v>1164</v>
      </c>
      <c r="D53">
        <v>1</v>
      </c>
      <c r="E53">
        <v>3</v>
      </c>
      <c r="F53" t="s">
        <v>7</v>
      </c>
      <c r="G53" t="s">
        <v>11</v>
      </c>
      <c r="H53" t="s">
        <v>11</v>
      </c>
      <c r="J53" t="s">
        <v>65</v>
      </c>
    </row>
    <row r="54" spans="1:10" x14ac:dyDescent="0.35">
      <c r="A54" t="s">
        <v>12</v>
      </c>
      <c r="B54" t="s">
        <v>114</v>
      </c>
      <c r="C54" t="s">
        <v>1165</v>
      </c>
      <c r="D54">
        <v>2</v>
      </c>
      <c r="E54">
        <v>3</v>
      </c>
      <c r="F54" t="s">
        <v>7</v>
      </c>
      <c r="G54" t="s">
        <v>115</v>
      </c>
      <c r="H54" t="s">
        <v>11</v>
      </c>
      <c r="J54" t="s">
        <v>66</v>
      </c>
    </row>
    <row r="55" spans="1:10" x14ac:dyDescent="0.35">
      <c r="A55" t="s">
        <v>12</v>
      </c>
      <c r="B55" t="s">
        <v>114</v>
      </c>
      <c r="C55" t="s">
        <v>1166</v>
      </c>
      <c r="D55">
        <v>2</v>
      </c>
      <c r="E55">
        <v>3</v>
      </c>
      <c r="F55" t="s">
        <v>7</v>
      </c>
      <c r="G55" t="s">
        <v>11</v>
      </c>
      <c r="H55" t="s">
        <v>11</v>
      </c>
      <c r="J55" t="s">
        <v>68</v>
      </c>
    </row>
    <row r="56" spans="1:10" x14ac:dyDescent="0.35">
      <c r="A56" t="s">
        <v>12</v>
      </c>
      <c r="B56" t="s">
        <v>114</v>
      </c>
      <c r="C56" t="s">
        <v>1167</v>
      </c>
      <c r="D56">
        <v>3</v>
      </c>
      <c r="E56">
        <v>3</v>
      </c>
      <c r="F56" t="s">
        <v>7</v>
      </c>
      <c r="G56" t="s">
        <v>115</v>
      </c>
      <c r="H56" t="s">
        <v>11</v>
      </c>
      <c r="J56" t="s">
        <v>69</v>
      </c>
    </row>
    <row r="57" spans="1:10" x14ac:dyDescent="0.35">
      <c r="A57" t="s">
        <v>12</v>
      </c>
      <c r="B57" t="s">
        <v>114</v>
      </c>
      <c r="C57" t="s">
        <v>1168</v>
      </c>
      <c r="D57">
        <v>2</v>
      </c>
      <c r="E57">
        <v>3</v>
      </c>
      <c r="F57" t="s">
        <v>7</v>
      </c>
      <c r="G57" t="s">
        <v>11</v>
      </c>
      <c r="H57" t="s">
        <v>11</v>
      </c>
      <c r="J57" t="s">
        <v>70</v>
      </c>
    </row>
    <row r="58" spans="1:10" x14ac:dyDescent="0.35">
      <c r="A58" t="s">
        <v>12</v>
      </c>
      <c r="B58" t="s">
        <v>114</v>
      </c>
      <c r="C58" t="s">
        <v>1169</v>
      </c>
      <c r="D58">
        <v>2</v>
      </c>
      <c r="E58">
        <v>3</v>
      </c>
      <c r="F58" t="s">
        <v>7</v>
      </c>
      <c r="G58" t="s">
        <v>115</v>
      </c>
      <c r="H58" t="s">
        <v>11</v>
      </c>
      <c r="J58" t="s">
        <v>5817</v>
      </c>
    </row>
    <row r="59" spans="1:10" x14ac:dyDescent="0.35">
      <c r="A59" t="s">
        <v>12</v>
      </c>
      <c r="B59" t="s">
        <v>114</v>
      </c>
      <c r="C59" t="s">
        <v>1170</v>
      </c>
      <c r="D59">
        <v>2</v>
      </c>
      <c r="E59">
        <v>3</v>
      </c>
      <c r="F59" t="s">
        <v>7</v>
      </c>
      <c r="G59" t="s">
        <v>11</v>
      </c>
      <c r="H59" t="s">
        <v>11</v>
      </c>
    </row>
    <row r="60" spans="1:10" x14ac:dyDescent="0.35">
      <c r="A60" t="s">
        <v>12</v>
      </c>
      <c r="B60" t="s">
        <v>114</v>
      </c>
      <c r="C60" t="s">
        <v>1171</v>
      </c>
      <c r="D60">
        <v>2</v>
      </c>
      <c r="E60">
        <v>3</v>
      </c>
      <c r="F60" t="s">
        <v>7</v>
      </c>
      <c r="G60" t="s">
        <v>11</v>
      </c>
      <c r="H60" t="s">
        <v>11</v>
      </c>
    </row>
    <row r="61" spans="1:10" x14ac:dyDescent="0.35">
      <c r="A61" t="s">
        <v>12</v>
      </c>
      <c r="B61" t="s">
        <v>114</v>
      </c>
      <c r="C61" t="s">
        <v>1172</v>
      </c>
      <c r="D61">
        <v>2</v>
      </c>
      <c r="E61">
        <v>3</v>
      </c>
      <c r="F61" t="s">
        <v>7</v>
      </c>
      <c r="G61" t="s">
        <v>11</v>
      </c>
      <c r="H61" t="s">
        <v>11</v>
      </c>
    </row>
    <row r="62" spans="1:10" x14ac:dyDescent="0.35">
      <c r="A62" t="s">
        <v>12</v>
      </c>
      <c r="B62" t="s">
        <v>114</v>
      </c>
      <c r="C62" t="s">
        <v>1173</v>
      </c>
      <c r="D62">
        <v>1</v>
      </c>
      <c r="E62">
        <v>3</v>
      </c>
      <c r="F62" t="s">
        <v>7</v>
      </c>
      <c r="G62" t="s">
        <v>11</v>
      </c>
      <c r="H62" t="s">
        <v>11</v>
      </c>
    </row>
    <row r="63" spans="1:10" x14ac:dyDescent="0.35">
      <c r="A63" t="s">
        <v>12</v>
      </c>
      <c r="B63" t="s">
        <v>114</v>
      </c>
      <c r="C63" t="s">
        <v>1174</v>
      </c>
      <c r="D63">
        <v>3</v>
      </c>
      <c r="E63">
        <v>3</v>
      </c>
      <c r="F63" t="s">
        <v>7</v>
      </c>
      <c r="G63" t="s">
        <v>11</v>
      </c>
      <c r="H63" t="s">
        <v>11</v>
      </c>
    </row>
    <row r="64" spans="1:10" x14ac:dyDescent="0.35">
      <c r="A64" t="s">
        <v>12</v>
      </c>
      <c r="B64" t="s">
        <v>114</v>
      </c>
      <c r="C64" t="s">
        <v>1175</v>
      </c>
      <c r="D64">
        <v>2</v>
      </c>
      <c r="E64">
        <v>3</v>
      </c>
      <c r="F64" t="s">
        <v>7</v>
      </c>
      <c r="G64" t="s">
        <v>11</v>
      </c>
      <c r="H64" t="s">
        <v>11</v>
      </c>
    </row>
    <row r="65" spans="1:8" x14ac:dyDescent="0.35">
      <c r="A65" t="s">
        <v>12</v>
      </c>
      <c r="B65" t="s">
        <v>114</v>
      </c>
      <c r="C65" t="s">
        <v>1176</v>
      </c>
      <c r="D65">
        <v>2</v>
      </c>
      <c r="E65">
        <v>3</v>
      </c>
      <c r="F65" t="s">
        <v>7</v>
      </c>
      <c r="G65" t="s">
        <v>11</v>
      </c>
      <c r="H65" t="s">
        <v>11</v>
      </c>
    </row>
    <row r="66" spans="1:8" x14ac:dyDescent="0.35">
      <c r="A66" t="s">
        <v>12</v>
      </c>
      <c r="B66" t="s">
        <v>114</v>
      </c>
      <c r="C66" t="s">
        <v>1177</v>
      </c>
      <c r="D66">
        <v>3</v>
      </c>
      <c r="E66">
        <v>3</v>
      </c>
      <c r="F66" t="s">
        <v>7</v>
      </c>
      <c r="G66" t="s">
        <v>115</v>
      </c>
      <c r="H66" t="s">
        <v>11</v>
      </c>
    </row>
    <row r="67" spans="1:8" x14ac:dyDescent="0.35">
      <c r="A67" t="s">
        <v>12</v>
      </c>
      <c r="B67" t="s">
        <v>114</v>
      </c>
      <c r="C67" t="s">
        <v>1178</v>
      </c>
      <c r="D67">
        <v>3</v>
      </c>
      <c r="E67">
        <v>3</v>
      </c>
      <c r="F67" t="s">
        <v>7</v>
      </c>
      <c r="G67" t="s">
        <v>115</v>
      </c>
      <c r="H67" t="s">
        <v>11</v>
      </c>
    </row>
    <row r="68" spans="1:8" x14ac:dyDescent="0.35">
      <c r="A68" t="s">
        <v>12</v>
      </c>
      <c r="B68" t="s">
        <v>114</v>
      </c>
      <c r="C68" t="s">
        <v>1179</v>
      </c>
      <c r="D68">
        <v>2</v>
      </c>
      <c r="E68">
        <v>3</v>
      </c>
      <c r="F68" t="s">
        <v>7</v>
      </c>
      <c r="G68" t="s">
        <v>11</v>
      </c>
      <c r="H68" t="s">
        <v>11</v>
      </c>
    </row>
    <row r="69" spans="1:8" x14ac:dyDescent="0.35">
      <c r="A69" t="s">
        <v>9</v>
      </c>
      <c r="B69" t="s">
        <v>10</v>
      </c>
      <c r="C69" t="s">
        <v>1180</v>
      </c>
      <c r="D69">
        <v>3</v>
      </c>
      <c r="E69">
        <v>7</v>
      </c>
      <c r="F69" t="s">
        <v>11</v>
      </c>
      <c r="G69" t="s">
        <v>11</v>
      </c>
      <c r="H69" t="s">
        <v>11</v>
      </c>
    </row>
    <row r="70" spans="1:8" x14ac:dyDescent="0.35">
      <c r="A70" t="s">
        <v>9</v>
      </c>
      <c r="B70" t="s">
        <v>10</v>
      </c>
      <c r="C70" t="s">
        <v>1181</v>
      </c>
      <c r="D70">
        <v>3</v>
      </c>
      <c r="E70">
        <v>7</v>
      </c>
      <c r="F70" t="s">
        <v>11</v>
      </c>
      <c r="G70" t="s">
        <v>11</v>
      </c>
      <c r="H70" t="s">
        <v>11</v>
      </c>
    </row>
    <row r="71" spans="1:8" x14ac:dyDescent="0.35">
      <c r="A71" t="s">
        <v>9</v>
      </c>
      <c r="B71" t="s">
        <v>10</v>
      </c>
      <c r="C71" t="s">
        <v>1182</v>
      </c>
      <c r="D71">
        <v>2</v>
      </c>
      <c r="E71">
        <v>7</v>
      </c>
      <c r="F71" t="s">
        <v>11</v>
      </c>
      <c r="G71" t="s">
        <v>11</v>
      </c>
      <c r="H71" t="s">
        <v>11</v>
      </c>
    </row>
    <row r="72" spans="1:8" x14ac:dyDescent="0.35">
      <c r="A72" t="s">
        <v>9</v>
      </c>
      <c r="B72" t="s">
        <v>10</v>
      </c>
      <c r="C72" t="s">
        <v>1183</v>
      </c>
      <c r="D72">
        <v>3</v>
      </c>
      <c r="E72">
        <v>8</v>
      </c>
      <c r="F72" t="s">
        <v>11</v>
      </c>
      <c r="G72" t="s">
        <v>11</v>
      </c>
      <c r="H72" t="s">
        <v>11</v>
      </c>
    </row>
    <row r="73" spans="1:8" x14ac:dyDescent="0.35">
      <c r="A73" t="s">
        <v>9</v>
      </c>
      <c r="B73" t="s">
        <v>10</v>
      </c>
      <c r="C73" t="s">
        <v>1184</v>
      </c>
      <c r="D73">
        <v>3</v>
      </c>
      <c r="E73">
        <v>7</v>
      </c>
      <c r="F73" t="s">
        <v>11</v>
      </c>
      <c r="G73" t="s">
        <v>11</v>
      </c>
      <c r="H73" t="s">
        <v>11</v>
      </c>
    </row>
    <row r="74" spans="1:8" x14ac:dyDescent="0.35">
      <c r="A74" t="s">
        <v>9</v>
      </c>
      <c r="B74" t="s">
        <v>10</v>
      </c>
      <c r="C74" t="s">
        <v>1185</v>
      </c>
      <c r="D74">
        <v>3</v>
      </c>
      <c r="E74">
        <v>7</v>
      </c>
      <c r="F74" t="s">
        <v>11</v>
      </c>
      <c r="G74" t="s">
        <v>11</v>
      </c>
      <c r="H74" t="s">
        <v>11</v>
      </c>
    </row>
    <row r="75" spans="1:8" x14ac:dyDescent="0.35">
      <c r="A75" t="s">
        <v>9</v>
      </c>
      <c r="B75" t="s">
        <v>10</v>
      </c>
      <c r="C75" t="s">
        <v>1186</v>
      </c>
      <c r="D75">
        <v>3</v>
      </c>
      <c r="E75">
        <v>8</v>
      </c>
      <c r="F75" t="s">
        <v>11</v>
      </c>
      <c r="G75" t="s">
        <v>11</v>
      </c>
      <c r="H75" t="s">
        <v>11</v>
      </c>
    </row>
    <row r="76" spans="1:8" x14ac:dyDescent="0.35">
      <c r="A76" t="s">
        <v>9</v>
      </c>
      <c r="B76" t="s">
        <v>10</v>
      </c>
      <c r="C76" t="s">
        <v>1187</v>
      </c>
      <c r="D76">
        <v>2</v>
      </c>
      <c r="E76">
        <v>8</v>
      </c>
      <c r="F76" t="s">
        <v>11</v>
      </c>
      <c r="G76" t="s">
        <v>11</v>
      </c>
      <c r="H76" t="s">
        <v>11</v>
      </c>
    </row>
    <row r="77" spans="1:8" x14ac:dyDescent="0.35">
      <c r="A77" t="s">
        <v>9</v>
      </c>
      <c r="B77" t="s">
        <v>10</v>
      </c>
      <c r="C77" t="s">
        <v>1188</v>
      </c>
      <c r="D77">
        <v>3</v>
      </c>
      <c r="E77">
        <v>7</v>
      </c>
      <c r="F77" t="s">
        <v>11</v>
      </c>
      <c r="G77" t="s">
        <v>11</v>
      </c>
      <c r="H77" t="s">
        <v>11</v>
      </c>
    </row>
    <row r="78" spans="1:8" x14ac:dyDescent="0.35">
      <c r="A78" t="s">
        <v>9</v>
      </c>
      <c r="B78" t="s">
        <v>10</v>
      </c>
      <c r="C78" t="s">
        <v>1189</v>
      </c>
      <c r="D78">
        <v>3</v>
      </c>
      <c r="E78">
        <v>7</v>
      </c>
      <c r="F78" t="s">
        <v>11</v>
      </c>
      <c r="G78" t="s">
        <v>11</v>
      </c>
      <c r="H78" t="s">
        <v>11</v>
      </c>
    </row>
    <row r="79" spans="1:8" x14ac:dyDescent="0.35">
      <c r="A79" t="s">
        <v>9</v>
      </c>
      <c r="B79" t="s">
        <v>10</v>
      </c>
      <c r="C79" t="s">
        <v>1190</v>
      </c>
      <c r="D79">
        <v>3</v>
      </c>
      <c r="E79">
        <v>7</v>
      </c>
      <c r="F79" t="s">
        <v>11</v>
      </c>
      <c r="G79" t="s">
        <v>11</v>
      </c>
      <c r="H79" t="s">
        <v>11</v>
      </c>
    </row>
    <row r="80" spans="1:8" x14ac:dyDescent="0.35">
      <c r="A80" t="s">
        <v>9</v>
      </c>
      <c r="B80" t="s">
        <v>10</v>
      </c>
      <c r="C80" t="s">
        <v>1191</v>
      </c>
      <c r="D80">
        <v>2</v>
      </c>
      <c r="E80">
        <v>7</v>
      </c>
      <c r="F80" t="s">
        <v>11</v>
      </c>
      <c r="G80" t="s">
        <v>11</v>
      </c>
      <c r="H80" t="s">
        <v>11</v>
      </c>
    </row>
    <row r="81" spans="1:8" x14ac:dyDescent="0.35">
      <c r="A81" t="s">
        <v>9</v>
      </c>
      <c r="B81" t="s">
        <v>10</v>
      </c>
      <c r="C81" t="s">
        <v>1192</v>
      </c>
      <c r="D81">
        <v>3</v>
      </c>
      <c r="E81">
        <v>7</v>
      </c>
      <c r="F81" t="s">
        <v>11</v>
      </c>
      <c r="G81" t="s">
        <v>11</v>
      </c>
      <c r="H81" t="s">
        <v>11</v>
      </c>
    </row>
    <row r="82" spans="1:8" x14ac:dyDescent="0.35">
      <c r="A82" t="s">
        <v>9</v>
      </c>
      <c r="B82" t="s">
        <v>10</v>
      </c>
      <c r="C82" t="s">
        <v>1193</v>
      </c>
      <c r="D82">
        <v>3</v>
      </c>
      <c r="E82">
        <v>7</v>
      </c>
      <c r="F82" t="s">
        <v>11</v>
      </c>
      <c r="G82" t="s">
        <v>11</v>
      </c>
      <c r="H82" t="s">
        <v>11</v>
      </c>
    </row>
    <row r="83" spans="1:8" x14ac:dyDescent="0.35">
      <c r="A83" t="s">
        <v>9</v>
      </c>
      <c r="B83" t="s">
        <v>10</v>
      </c>
      <c r="C83" t="s">
        <v>1194</v>
      </c>
      <c r="D83">
        <v>3</v>
      </c>
      <c r="E83">
        <v>7</v>
      </c>
      <c r="F83" t="s">
        <v>11</v>
      </c>
      <c r="G83" t="s">
        <v>11</v>
      </c>
      <c r="H83" t="s">
        <v>11</v>
      </c>
    </row>
    <row r="84" spans="1:8" x14ac:dyDescent="0.35">
      <c r="A84" t="s">
        <v>9</v>
      </c>
      <c r="B84" t="s">
        <v>10</v>
      </c>
      <c r="C84" t="s">
        <v>1195</v>
      </c>
      <c r="D84">
        <v>2</v>
      </c>
      <c r="E84">
        <v>7</v>
      </c>
      <c r="F84" t="s">
        <v>11</v>
      </c>
      <c r="G84" t="s">
        <v>11</v>
      </c>
      <c r="H84" t="s">
        <v>11</v>
      </c>
    </row>
    <row r="85" spans="1:8" x14ac:dyDescent="0.35">
      <c r="A85" t="s">
        <v>9</v>
      </c>
      <c r="B85" t="s">
        <v>10</v>
      </c>
      <c r="C85" t="s">
        <v>1196</v>
      </c>
      <c r="D85">
        <v>3</v>
      </c>
      <c r="E85">
        <v>8</v>
      </c>
      <c r="F85" t="s">
        <v>11</v>
      </c>
      <c r="G85" t="s">
        <v>11</v>
      </c>
      <c r="H85" t="s">
        <v>11</v>
      </c>
    </row>
    <row r="86" spans="1:8" x14ac:dyDescent="0.35">
      <c r="A86" t="s">
        <v>9</v>
      </c>
      <c r="B86" t="s">
        <v>10</v>
      </c>
      <c r="C86" t="s">
        <v>1197</v>
      </c>
      <c r="D86">
        <v>3</v>
      </c>
      <c r="E86">
        <v>8</v>
      </c>
      <c r="F86" t="s">
        <v>11</v>
      </c>
      <c r="G86" t="s">
        <v>11</v>
      </c>
      <c r="H86" t="s">
        <v>11</v>
      </c>
    </row>
    <row r="87" spans="1:8" x14ac:dyDescent="0.35">
      <c r="A87" t="s">
        <v>9</v>
      </c>
      <c r="B87" t="s">
        <v>10</v>
      </c>
      <c r="C87" t="s">
        <v>1198</v>
      </c>
      <c r="D87">
        <v>3</v>
      </c>
      <c r="E87">
        <v>8</v>
      </c>
      <c r="F87" t="s">
        <v>11</v>
      </c>
      <c r="G87" t="s">
        <v>11</v>
      </c>
      <c r="H87" t="s">
        <v>11</v>
      </c>
    </row>
    <row r="88" spans="1:8" x14ac:dyDescent="0.35">
      <c r="A88" t="s">
        <v>9</v>
      </c>
      <c r="B88" t="s">
        <v>10</v>
      </c>
      <c r="C88" t="s">
        <v>1199</v>
      </c>
      <c r="D88">
        <v>3</v>
      </c>
      <c r="E88">
        <v>7</v>
      </c>
      <c r="F88" t="s">
        <v>11</v>
      </c>
      <c r="G88" t="s">
        <v>11</v>
      </c>
      <c r="H88" t="s">
        <v>11</v>
      </c>
    </row>
    <row r="89" spans="1:8" x14ac:dyDescent="0.35">
      <c r="A89" t="s">
        <v>9</v>
      </c>
      <c r="B89" t="s">
        <v>10</v>
      </c>
      <c r="C89" t="s">
        <v>1200</v>
      </c>
      <c r="D89">
        <v>3</v>
      </c>
      <c r="E89">
        <v>7</v>
      </c>
      <c r="F89" t="s">
        <v>11</v>
      </c>
      <c r="G89" t="s">
        <v>11</v>
      </c>
      <c r="H89" t="s">
        <v>11</v>
      </c>
    </row>
    <row r="90" spans="1:8" x14ac:dyDescent="0.35">
      <c r="A90" t="s">
        <v>9</v>
      </c>
      <c r="B90" t="s">
        <v>10</v>
      </c>
      <c r="C90" t="s">
        <v>1201</v>
      </c>
      <c r="D90">
        <v>3</v>
      </c>
      <c r="E90">
        <v>7</v>
      </c>
      <c r="F90" t="s">
        <v>11</v>
      </c>
      <c r="G90" t="s">
        <v>11</v>
      </c>
      <c r="H90" t="s">
        <v>11</v>
      </c>
    </row>
    <row r="91" spans="1:8" x14ac:dyDescent="0.35">
      <c r="A91" t="s">
        <v>9</v>
      </c>
      <c r="B91" t="s">
        <v>10</v>
      </c>
      <c r="C91" t="s">
        <v>1202</v>
      </c>
      <c r="D91">
        <v>3</v>
      </c>
      <c r="E91">
        <v>7</v>
      </c>
      <c r="F91" t="s">
        <v>11</v>
      </c>
      <c r="G91" t="s">
        <v>11</v>
      </c>
      <c r="H91" t="s">
        <v>11</v>
      </c>
    </row>
    <row r="92" spans="1:8" x14ac:dyDescent="0.35">
      <c r="A92" t="s">
        <v>9</v>
      </c>
      <c r="B92" t="s">
        <v>10</v>
      </c>
      <c r="C92" t="s">
        <v>1203</v>
      </c>
      <c r="D92">
        <v>2</v>
      </c>
      <c r="E92">
        <v>8</v>
      </c>
      <c r="F92" t="s">
        <v>11</v>
      </c>
      <c r="G92" t="s">
        <v>11</v>
      </c>
      <c r="H92" t="s">
        <v>11</v>
      </c>
    </row>
    <row r="93" spans="1:8" x14ac:dyDescent="0.35">
      <c r="A93" t="s">
        <v>9</v>
      </c>
      <c r="B93" t="s">
        <v>10</v>
      </c>
      <c r="C93" t="s">
        <v>1204</v>
      </c>
      <c r="D93">
        <v>3</v>
      </c>
      <c r="E93">
        <v>7</v>
      </c>
      <c r="F93" t="s">
        <v>11</v>
      </c>
      <c r="G93" t="s">
        <v>11</v>
      </c>
      <c r="H93" t="s">
        <v>11</v>
      </c>
    </row>
    <row r="94" spans="1:8" x14ac:dyDescent="0.35">
      <c r="A94" t="s">
        <v>9</v>
      </c>
      <c r="B94" t="s">
        <v>10</v>
      </c>
      <c r="C94" t="s">
        <v>1205</v>
      </c>
      <c r="D94">
        <v>3</v>
      </c>
      <c r="E94">
        <v>8</v>
      </c>
      <c r="F94" t="s">
        <v>11</v>
      </c>
      <c r="G94" t="s">
        <v>11</v>
      </c>
      <c r="H94" t="s">
        <v>11</v>
      </c>
    </row>
    <row r="95" spans="1:8" x14ac:dyDescent="0.35">
      <c r="A95" t="s">
        <v>9</v>
      </c>
      <c r="B95" t="s">
        <v>10</v>
      </c>
      <c r="C95" t="s">
        <v>1206</v>
      </c>
      <c r="D95">
        <v>3</v>
      </c>
      <c r="E95">
        <v>7</v>
      </c>
      <c r="F95" t="s">
        <v>11</v>
      </c>
      <c r="G95" t="s">
        <v>11</v>
      </c>
      <c r="H95" t="s">
        <v>11</v>
      </c>
    </row>
    <row r="96" spans="1:8" x14ac:dyDescent="0.35">
      <c r="A96" t="s">
        <v>9</v>
      </c>
      <c r="B96" t="s">
        <v>10</v>
      </c>
      <c r="C96" t="s">
        <v>1207</v>
      </c>
      <c r="D96">
        <v>3</v>
      </c>
      <c r="E96">
        <v>7</v>
      </c>
      <c r="F96" t="s">
        <v>11</v>
      </c>
      <c r="G96" t="s">
        <v>11</v>
      </c>
      <c r="H96" t="s">
        <v>11</v>
      </c>
    </row>
    <row r="97" spans="1:8" x14ac:dyDescent="0.35">
      <c r="A97" t="s">
        <v>9</v>
      </c>
      <c r="B97" t="s">
        <v>10</v>
      </c>
      <c r="C97" t="s">
        <v>1208</v>
      </c>
      <c r="D97">
        <v>3</v>
      </c>
      <c r="E97">
        <v>8</v>
      </c>
      <c r="F97" t="s">
        <v>11</v>
      </c>
      <c r="G97" t="s">
        <v>11</v>
      </c>
      <c r="H97" t="s">
        <v>11</v>
      </c>
    </row>
    <row r="98" spans="1:8" x14ac:dyDescent="0.35">
      <c r="A98" t="s">
        <v>65</v>
      </c>
      <c r="C98" t="s">
        <v>1209</v>
      </c>
      <c r="D98" t="s">
        <v>11</v>
      </c>
      <c r="E98">
        <v>1</v>
      </c>
      <c r="F98" t="s">
        <v>7</v>
      </c>
      <c r="G98" t="s">
        <v>115</v>
      </c>
      <c r="H98" t="s">
        <v>3455</v>
      </c>
    </row>
    <row r="99" spans="1:8" x14ac:dyDescent="0.35">
      <c r="A99" t="s">
        <v>14</v>
      </c>
      <c r="B99" t="s">
        <v>86</v>
      </c>
      <c r="C99" t="s">
        <v>1210</v>
      </c>
      <c r="D99">
        <v>2</v>
      </c>
      <c r="E99">
        <v>5</v>
      </c>
      <c r="F99" t="s">
        <v>75</v>
      </c>
      <c r="G99" t="s">
        <v>11</v>
      </c>
      <c r="H99" t="s">
        <v>11</v>
      </c>
    </row>
    <row r="100" spans="1:8" x14ac:dyDescent="0.35">
      <c r="A100" t="s">
        <v>14</v>
      </c>
      <c r="B100" t="s">
        <v>86</v>
      </c>
      <c r="C100" t="s">
        <v>1211</v>
      </c>
      <c r="D100">
        <v>2</v>
      </c>
      <c r="E100">
        <v>3</v>
      </c>
      <c r="F100" t="s">
        <v>75</v>
      </c>
      <c r="G100" t="s">
        <v>11</v>
      </c>
      <c r="H100" t="s">
        <v>11</v>
      </c>
    </row>
    <row r="101" spans="1:8" x14ac:dyDescent="0.35">
      <c r="A101" t="s">
        <v>14</v>
      </c>
      <c r="B101" t="s">
        <v>86</v>
      </c>
      <c r="C101" t="s">
        <v>1212</v>
      </c>
      <c r="D101">
        <v>2</v>
      </c>
      <c r="E101">
        <v>5</v>
      </c>
      <c r="F101" t="s">
        <v>75</v>
      </c>
      <c r="G101" t="s">
        <v>11</v>
      </c>
      <c r="H101" t="s">
        <v>11</v>
      </c>
    </row>
    <row r="102" spans="1:8" x14ac:dyDescent="0.35">
      <c r="A102" t="s">
        <v>14</v>
      </c>
      <c r="B102" t="s">
        <v>86</v>
      </c>
      <c r="C102" t="s">
        <v>1213</v>
      </c>
      <c r="D102">
        <v>2</v>
      </c>
      <c r="E102">
        <v>4</v>
      </c>
      <c r="F102" t="s">
        <v>75</v>
      </c>
      <c r="G102" t="s">
        <v>11</v>
      </c>
      <c r="H102" t="s">
        <v>11</v>
      </c>
    </row>
    <row r="103" spans="1:8" x14ac:dyDescent="0.35">
      <c r="A103" t="s">
        <v>14</v>
      </c>
      <c r="B103" t="s">
        <v>86</v>
      </c>
      <c r="C103" t="s">
        <v>1214</v>
      </c>
      <c r="D103">
        <v>2</v>
      </c>
      <c r="E103">
        <v>3</v>
      </c>
      <c r="F103" t="s">
        <v>75</v>
      </c>
      <c r="G103" t="s">
        <v>11</v>
      </c>
      <c r="H103" t="s">
        <v>11</v>
      </c>
    </row>
    <row r="104" spans="1:8" x14ac:dyDescent="0.35">
      <c r="A104" t="s">
        <v>14</v>
      </c>
      <c r="B104" t="s">
        <v>86</v>
      </c>
      <c r="C104" t="s">
        <v>1215</v>
      </c>
      <c r="D104">
        <v>2</v>
      </c>
      <c r="E104">
        <v>3</v>
      </c>
      <c r="F104" t="s">
        <v>75</v>
      </c>
      <c r="G104" t="s">
        <v>11</v>
      </c>
      <c r="H104" t="s">
        <v>11</v>
      </c>
    </row>
    <row r="105" spans="1:8" x14ac:dyDescent="0.35">
      <c r="A105" t="s">
        <v>14</v>
      </c>
      <c r="B105" t="s">
        <v>86</v>
      </c>
      <c r="C105" t="s">
        <v>1216</v>
      </c>
      <c r="D105">
        <v>2</v>
      </c>
      <c r="E105">
        <v>2</v>
      </c>
      <c r="F105" t="s">
        <v>75</v>
      </c>
      <c r="G105" t="s">
        <v>11</v>
      </c>
      <c r="H105" t="s">
        <v>11</v>
      </c>
    </row>
    <row r="106" spans="1:8" x14ac:dyDescent="0.35">
      <c r="A106" t="s">
        <v>14</v>
      </c>
      <c r="B106" t="s">
        <v>86</v>
      </c>
      <c r="C106" t="s">
        <v>1217</v>
      </c>
      <c r="D106">
        <v>2</v>
      </c>
      <c r="E106">
        <v>2</v>
      </c>
      <c r="F106" t="s">
        <v>75</v>
      </c>
      <c r="G106" t="s">
        <v>11</v>
      </c>
      <c r="H106" t="s">
        <v>11</v>
      </c>
    </row>
    <row r="107" spans="1:8" x14ac:dyDescent="0.35">
      <c r="A107" t="s">
        <v>14</v>
      </c>
      <c r="B107" t="s">
        <v>86</v>
      </c>
      <c r="C107" t="s">
        <v>1218</v>
      </c>
      <c r="D107">
        <v>2</v>
      </c>
      <c r="E107">
        <v>3</v>
      </c>
      <c r="F107" t="s">
        <v>75</v>
      </c>
      <c r="G107" t="s">
        <v>11</v>
      </c>
      <c r="H107" t="s">
        <v>11</v>
      </c>
    </row>
    <row r="108" spans="1:8" x14ac:dyDescent="0.35">
      <c r="A108" t="s">
        <v>14</v>
      </c>
      <c r="B108" t="s">
        <v>86</v>
      </c>
      <c r="C108" t="s">
        <v>1219</v>
      </c>
      <c r="D108">
        <v>2</v>
      </c>
      <c r="E108">
        <v>5</v>
      </c>
      <c r="F108" t="s">
        <v>75</v>
      </c>
      <c r="G108" t="s">
        <v>11</v>
      </c>
      <c r="H108" t="s">
        <v>11</v>
      </c>
    </row>
    <row r="109" spans="1:8" x14ac:dyDescent="0.35">
      <c r="A109" t="s">
        <v>14</v>
      </c>
      <c r="B109" t="s">
        <v>86</v>
      </c>
      <c r="C109" t="s">
        <v>1220</v>
      </c>
      <c r="D109">
        <v>2</v>
      </c>
      <c r="E109">
        <v>2</v>
      </c>
      <c r="F109" t="s">
        <v>75</v>
      </c>
      <c r="G109" t="s">
        <v>11</v>
      </c>
      <c r="H109" t="s">
        <v>11</v>
      </c>
    </row>
    <row r="110" spans="1:8" x14ac:dyDescent="0.35">
      <c r="A110" t="s">
        <v>14</v>
      </c>
      <c r="B110" t="s">
        <v>86</v>
      </c>
      <c r="C110" t="s">
        <v>1221</v>
      </c>
      <c r="D110">
        <v>2</v>
      </c>
      <c r="E110">
        <v>2</v>
      </c>
      <c r="F110" t="s">
        <v>75</v>
      </c>
      <c r="G110" t="s">
        <v>11</v>
      </c>
      <c r="H110" t="s">
        <v>11</v>
      </c>
    </row>
    <row r="111" spans="1:8" x14ac:dyDescent="0.35">
      <c r="A111" t="s">
        <v>14</v>
      </c>
      <c r="B111" t="s">
        <v>86</v>
      </c>
      <c r="C111" t="s">
        <v>1222</v>
      </c>
      <c r="D111">
        <v>2</v>
      </c>
      <c r="E111">
        <v>3</v>
      </c>
      <c r="F111" t="s">
        <v>75</v>
      </c>
      <c r="G111" t="s">
        <v>11</v>
      </c>
      <c r="H111" t="s">
        <v>11</v>
      </c>
    </row>
    <row r="112" spans="1:8" x14ac:dyDescent="0.35">
      <c r="A112" t="s">
        <v>14</v>
      </c>
      <c r="B112" t="s">
        <v>86</v>
      </c>
      <c r="C112" t="s">
        <v>1223</v>
      </c>
      <c r="D112">
        <v>2</v>
      </c>
      <c r="E112">
        <v>4</v>
      </c>
      <c r="F112" t="s">
        <v>75</v>
      </c>
      <c r="G112" t="s">
        <v>11</v>
      </c>
      <c r="H112" t="s">
        <v>11</v>
      </c>
    </row>
    <row r="113" spans="1:8" x14ac:dyDescent="0.35">
      <c r="A113" t="s">
        <v>14</v>
      </c>
      <c r="B113" t="s">
        <v>86</v>
      </c>
      <c r="C113" t="s">
        <v>1224</v>
      </c>
      <c r="D113">
        <v>2</v>
      </c>
      <c r="E113">
        <v>2</v>
      </c>
      <c r="F113" t="s">
        <v>75</v>
      </c>
      <c r="G113" t="s">
        <v>11</v>
      </c>
      <c r="H113" t="s">
        <v>11</v>
      </c>
    </row>
    <row r="114" spans="1:8" x14ac:dyDescent="0.35">
      <c r="A114" t="s">
        <v>13</v>
      </c>
      <c r="B114" t="s">
        <v>104</v>
      </c>
      <c r="C114" t="s">
        <v>1225</v>
      </c>
      <c r="D114">
        <v>3</v>
      </c>
      <c r="E114">
        <v>3</v>
      </c>
      <c r="F114" t="s">
        <v>7</v>
      </c>
      <c r="G114" t="s">
        <v>11</v>
      </c>
      <c r="H114" t="s">
        <v>11</v>
      </c>
    </row>
    <row r="115" spans="1:8" x14ac:dyDescent="0.35">
      <c r="A115" t="s">
        <v>13</v>
      </c>
      <c r="B115" t="s">
        <v>104</v>
      </c>
      <c r="C115" t="s">
        <v>1226</v>
      </c>
      <c r="D115">
        <v>3</v>
      </c>
      <c r="E115">
        <v>3</v>
      </c>
      <c r="F115" t="s">
        <v>7</v>
      </c>
      <c r="G115" t="s">
        <v>11</v>
      </c>
      <c r="H115" t="s">
        <v>11</v>
      </c>
    </row>
    <row r="116" spans="1:8" x14ac:dyDescent="0.35">
      <c r="A116" t="s">
        <v>13</v>
      </c>
      <c r="B116" t="s">
        <v>104</v>
      </c>
      <c r="C116" t="s">
        <v>1227</v>
      </c>
      <c r="D116">
        <v>2</v>
      </c>
      <c r="E116">
        <v>4</v>
      </c>
      <c r="F116" t="s">
        <v>7</v>
      </c>
      <c r="G116" t="s">
        <v>11</v>
      </c>
      <c r="H116" t="s">
        <v>11</v>
      </c>
    </row>
    <row r="117" spans="1:8" x14ac:dyDescent="0.35">
      <c r="A117" t="s">
        <v>13</v>
      </c>
      <c r="B117" t="s">
        <v>104</v>
      </c>
      <c r="C117" t="s">
        <v>1228</v>
      </c>
      <c r="D117">
        <v>2</v>
      </c>
      <c r="E117">
        <v>4</v>
      </c>
      <c r="F117" t="s">
        <v>7</v>
      </c>
      <c r="G117" t="s">
        <v>11</v>
      </c>
      <c r="H117" t="s">
        <v>11</v>
      </c>
    </row>
    <row r="118" spans="1:8" x14ac:dyDescent="0.35">
      <c r="A118" t="s">
        <v>13</v>
      </c>
      <c r="B118" t="s">
        <v>104</v>
      </c>
      <c r="C118" t="s">
        <v>1229</v>
      </c>
      <c r="D118">
        <v>2</v>
      </c>
      <c r="E118">
        <v>4</v>
      </c>
      <c r="F118" t="s">
        <v>7</v>
      </c>
      <c r="G118" t="s">
        <v>11</v>
      </c>
      <c r="H118" t="s">
        <v>11</v>
      </c>
    </row>
    <row r="119" spans="1:8" x14ac:dyDescent="0.35">
      <c r="A119" t="s">
        <v>13</v>
      </c>
      <c r="B119" t="s">
        <v>104</v>
      </c>
      <c r="C119" t="s">
        <v>1230</v>
      </c>
      <c r="D119">
        <v>3</v>
      </c>
      <c r="E119">
        <v>3</v>
      </c>
      <c r="F119" t="s">
        <v>7</v>
      </c>
      <c r="G119" t="s">
        <v>11</v>
      </c>
      <c r="H119" t="s">
        <v>11</v>
      </c>
    </row>
    <row r="120" spans="1:8" x14ac:dyDescent="0.35">
      <c r="A120" t="s">
        <v>13</v>
      </c>
      <c r="B120" t="s">
        <v>104</v>
      </c>
      <c r="C120" t="s">
        <v>1120</v>
      </c>
      <c r="D120">
        <v>3</v>
      </c>
      <c r="E120">
        <v>3</v>
      </c>
      <c r="F120" t="s">
        <v>7</v>
      </c>
      <c r="G120" t="s">
        <v>11</v>
      </c>
      <c r="H120" t="s">
        <v>11</v>
      </c>
    </row>
    <row r="121" spans="1:8" x14ac:dyDescent="0.35">
      <c r="A121" t="s">
        <v>13</v>
      </c>
      <c r="B121" t="s">
        <v>104</v>
      </c>
      <c r="C121" t="s">
        <v>1231</v>
      </c>
      <c r="D121">
        <v>2</v>
      </c>
      <c r="E121">
        <v>4</v>
      </c>
      <c r="F121" t="s">
        <v>7</v>
      </c>
      <c r="G121" t="s">
        <v>11</v>
      </c>
      <c r="H121" t="s">
        <v>11</v>
      </c>
    </row>
    <row r="122" spans="1:8" x14ac:dyDescent="0.35">
      <c r="A122" t="s">
        <v>13</v>
      </c>
      <c r="B122" t="s">
        <v>104</v>
      </c>
      <c r="C122" t="s">
        <v>1232</v>
      </c>
      <c r="D122">
        <v>3</v>
      </c>
      <c r="E122">
        <v>3</v>
      </c>
      <c r="F122" t="s">
        <v>7</v>
      </c>
      <c r="G122" t="s">
        <v>11</v>
      </c>
      <c r="H122" t="s">
        <v>11</v>
      </c>
    </row>
    <row r="123" spans="1:8" x14ac:dyDescent="0.35">
      <c r="A123" t="s">
        <v>13</v>
      </c>
      <c r="B123" t="s">
        <v>104</v>
      </c>
      <c r="C123" t="s">
        <v>1233</v>
      </c>
      <c r="D123">
        <v>3</v>
      </c>
      <c r="E123">
        <v>3</v>
      </c>
      <c r="F123" t="s">
        <v>7</v>
      </c>
      <c r="G123" t="s">
        <v>11</v>
      </c>
      <c r="H123" t="s">
        <v>11</v>
      </c>
    </row>
    <row r="124" spans="1:8" x14ac:dyDescent="0.35">
      <c r="A124" t="s">
        <v>13</v>
      </c>
      <c r="B124" t="s">
        <v>104</v>
      </c>
      <c r="C124" t="s">
        <v>1126</v>
      </c>
      <c r="D124">
        <v>3</v>
      </c>
      <c r="E124">
        <v>3</v>
      </c>
      <c r="F124" t="s">
        <v>7</v>
      </c>
      <c r="G124" t="s">
        <v>11</v>
      </c>
      <c r="H124" t="s">
        <v>11</v>
      </c>
    </row>
    <row r="125" spans="1:8" x14ac:dyDescent="0.35">
      <c r="A125" t="s">
        <v>13</v>
      </c>
      <c r="B125" t="s">
        <v>104</v>
      </c>
      <c r="C125" t="s">
        <v>1127</v>
      </c>
      <c r="D125">
        <v>3</v>
      </c>
      <c r="E125">
        <v>3</v>
      </c>
      <c r="F125" t="s">
        <v>7</v>
      </c>
      <c r="G125" t="s">
        <v>11</v>
      </c>
      <c r="H125" t="s">
        <v>11</v>
      </c>
    </row>
    <row r="126" spans="1:8" x14ac:dyDescent="0.35">
      <c r="A126" t="s">
        <v>13</v>
      </c>
      <c r="B126" t="s">
        <v>104</v>
      </c>
      <c r="C126" t="s">
        <v>1234</v>
      </c>
      <c r="D126">
        <v>3</v>
      </c>
      <c r="E126">
        <v>3</v>
      </c>
      <c r="F126" t="s">
        <v>7</v>
      </c>
      <c r="G126" t="s">
        <v>11</v>
      </c>
      <c r="H126" t="s">
        <v>11</v>
      </c>
    </row>
    <row r="127" spans="1:8" x14ac:dyDescent="0.35">
      <c r="A127" t="s">
        <v>13</v>
      </c>
      <c r="B127" t="s">
        <v>104</v>
      </c>
      <c r="C127" t="s">
        <v>1235</v>
      </c>
      <c r="D127">
        <v>3</v>
      </c>
      <c r="E127">
        <v>3</v>
      </c>
      <c r="F127" t="s">
        <v>7</v>
      </c>
      <c r="G127" t="s">
        <v>115</v>
      </c>
      <c r="H127" t="s">
        <v>11</v>
      </c>
    </row>
    <row r="128" spans="1:8" x14ac:dyDescent="0.35">
      <c r="A128" t="s">
        <v>13</v>
      </c>
      <c r="B128" t="s">
        <v>104</v>
      </c>
      <c r="C128" t="s">
        <v>1236</v>
      </c>
      <c r="D128">
        <v>3</v>
      </c>
      <c r="E128">
        <v>3</v>
      </c>
      <c r="F128" t="s">
        <v>7</v>
      </c>
      <c r="G128" t="s">
        <v>11</v>
      </c>
      <c r="H128" t="s">
        <v>11</v>
      </c>
    </row>
    <row r="129" spans="1:8" x14ac:dyDescent="0.35">
      <c r="A129" t="s">
        <v>13</v>
      </c>
      <c r="B129" t="s">
        <v>104</v>
      </c>
      <c r="C129" t="s">
        <v>1237</v>
      </c>
      <c r="D129">
        <v>3</v>
      </c>
      <c r="E129">
        <v>3</v>
      </c>
      <c r="F129" t="s">
        <v>7</v>
      </c>
      <c r="G129" t="s">
        <v>11</v>
      </c>
      <c r="H129" t="s">
        <v>11</v>
      </c>
    </row>
    <row r="130" spans="1:8" x14ac:dyDescent="0.35">
      <c r="A130" t="s">
        <v>13</v>
      </c>
      <c r="B130" t="s">
        <v>104</v>
      </c>
      <c r="C130" t="s">
        <v>1238</v>
      </c>
      <c r="D130">
        <v>3</v>
      </c>
      <c r="E130">
        <v>3</v>
      </c>
      <c r="F130" t="s">
        <v>7</v>
      </c>
      <c r="G130" t="s">
        <v>11</v>
      </c>
      <c r="H130" t="s">
        <v>11</v>
      </c>
    </row>
    <row r="131" spans="1:8" x14ac:dyDescent="0.35">
      <c r="A131" t="s">
        <v>13</v>
      </c>
      <c r="B131" t="s">
        <v>104</v>
      </c>
      <c r="C131" t="s">
        <v>1239</v>
      </c>
      <c r="D131">
        <v>3</v>
      </c>
      <c r="E131">
        <v>3</v>
      </c>
      <c r="F131" t="s">
        <v>7</v>
      </c>
      <c r="G131" t="s">
        <v>11</v>
      </c>
      <c r="H131" t="s">
        <v>11</v>
      </c>
    </row>
    <row r="132" spans="1:8" x14ac:dyDescent="0.35">
      <c r="A132" t="s">
        <v>13</v>
      </c>
      <c r="B132" t="s">
        <v>104</v>
      </c>
      <c r="C132" t="s">
        <v>1240</v>
      </c>
      <c r="D132">
        <v>3</v>
      </c>
      <c r="E132">
        <v>3</v>
      </c>
      <c r="F132" t="s">
        <v>7</v>
      </c>
      <c r="G132" t="s">
        <v>11</v>
      </c>
      <c r="H132" t="s">
        <v>11</v>
      </c>
    </row>
    <row r="133" spans="1:8" x14ac:dyDescent="0.35">
      <c r="A133" t="s">
        <v>13</v>
      </c>
      <c r="B133" t="s">
        <v>104</v>
      </c>
      <c r="C133" t="s">
        <v>1136</v>
      </c>
      <c r="D133">
        <v>3</v>
      </c>
      <c r="E133">
        <v>3</v>
      </c>
      <c r="F133" t="s">
        <v>7</v>
      </c>
      <c r="G133" t="s">
        <v>11</v>
      </c>
      <c r="H133" t="s">
        <v>11</v>
      </c>
    </row>
    <row r="134" spans="1:8" x14ac:dyDescent="0.35">
      <c r="A134" t="s">
        <v>13</v>
      </c>
      <c r="B134" t="s">
        <v>104</v>
      </c>
      <c r="C134" t="s">
        <v>1241</v>
      </c>
      <c r="D134">
        <v>3</v>
      </c>
      <c r="E134">
        <v>3</v>
      </c>
      <c r="F134" t="s">
        <v>7</v>
      </c>
      <c r="G134" t="s">
        <v>11</v>
      </c>
      <c r="H134" t="s">
        <v>11</v>
      </c>
    </row>
    <row r="135" spans="1:8" x14ac:dyDescent="0.35">
      <c r="A135" t="s">
        <v>13</v>
      </c>
      <c r="B135" t="s">
        <v>104</v>
      </c>
      <c r="C135" t="s">
        <v>1242</v>
      </c>
      <c r="D135">
        <v>3</v>
      </c>
      <c r="E135">
        <v>3</v>
      </c>
      <c r="F135" t="s">
        <v>7</v>
      </c>
      <c r="G135" t="s">
        <v>11</v>
      </c>
      <c r="H135" t="s">
        <v>11</v>
      </c>
    </row>
    <row r="136" spans="1:8" x14ac:dyDescent="0.35">
      <c r="A136" t="s">
        <v>13</v>
      </c>
      <c r="B136" t="s">
        <v>104</v>
      </c>
      <c r="C136" t="s">
        <v>1243</v>
      </c>
      <c r="D136">
        <v>3</v>
      </c>
      <c r="E136">
        <v>3</v>
      </c>
      <c r="F136" t="s">
        <v>7</v>
      </c>
      <c r="G136" t="s">
        <v>11</v>
      </c>
      <c r="H136" t="s">
        <v>11</v>
      </c>
    </row>
    <row r="137" spans="1:8" x14ac:dyDescent="0.35">
      <c r="A137" t="s">
        <v>13</v>
      </c>
      <c r="B137" t="s">
        <v>104</v>
      </c>
      <c r="C137" t="s">
        <v>1142</v>
      </c>
      <c r="D137">
        <v>3</v>
      </c>
      <c r="E137">
        <v>3</v>
      </c>
      <c r="F137" t="s">
        <v>7</v>
      </c>
      <c r="G137" t="s">
        <v>11</v>
      </c>
      <c r="H137" t="s">
        <v>11</v>
      </c>
    </row>
    <row r="138" spans="1:8" x14ac:dyDescent="0.35">
      <c r="A138" t="s">
        <v>13</v>
      </c>
      <c r="B138" t="s">
        <v>104</v>
      </c>
      <c r="C138" t="s">
        <v>1244</v>
      </c>
      <c r="D138">
        <v>2</v>
      </c>
      <c r="E138">
        <v>4</v>
      </c>
      <c r="F138" t="s">
        <v>7</v>
      </c>
      <c r="G138" t="s">
        <v>11</v>
      </c>
      <c r="H138" t="s">
        <v>11</v>
      </c>
    </row>
    <row r="139" spans="1:8" x14ac:dyDescent="0.35">
      <c r="A139" t="s">
        <v>13</v>
      </c>
      <c r="B139" t="s">
        <v>104</v>
      </c>
      <c r="C139" t="s">
        <v>1245</v>
      </c>
      <c r="D139">
        <v>2</v>
      </c>
      <c r="E139">
        <v>3</v>
      </c>
      <c r="F139" t="s">
        <v>7</v>
      </c>
      <c r="G139" t="s">
        <v>11</v>
      </c>
      <c r="H139" t="s">
        <v>11</v>
      </c>
    </row>
    <row r="140" spans="1:8" x14ac:dyDescent="0.35">
      <c r="A140" t="s">
        <v>13</v>
      </c>
      <c r="B140" t="s">
        <v>104</v>
      </c>
      <c r="C140" t="s">
        <v>1246</v>
      </c>
      <c r="D140">
        <v>3</v>
      </c>
      <c r="E140">
        <v>3</v>
      </c>
      <c r="F140" t="s">
        <v>7</v>
      </c>
      <c r="G140" t="s">
        <v>11</v>
      </c>
      <c r="H140" t="s">
        <v>11</v>
      </c>
    </row>
    <row r="141" spans="1:8" x14ac:dyDescent="0.35">
      <c r="A141" t="s">
        <v>13</v>
      </c>
      <c r="B141" t="s">
        <v>104</v>
      </c>
      <c r="C141" t="s">
        <v>1144</v>
      </c>
      <c r="D141">
        <v>3</v>
      </c>
      <c r="E141">
        <v>3</v>
      </c>
      <c r="F141" t="s">
        <v>7</v>
      </c>
      <c r="G141" t="s">
        <v>11</v>
      </c>
      <c r="H141" t="s">
        <v>11</v>
      </c>
    </row>
    <row r="142" spans="1:8" x14ac:dyDescent="0.35">
      <c r="A142" t="s">
        <v>13</v>
      </c>
      <c r="B142" t="s">
        <v>104</v>
      </c>
      <c r="C142" t="s">
        <v>1247</v>
      </c>
      <c r="D142">
        <v>3</v>
      </c>
      <c r="E142">
        <v>3</v>
      </c>
      <c r="F142" t="s">
        <v>7</v>
      </c>
      <c r="G142" t="s">
        <v>115</v>
      </c>
      <c r="H142" t="s">
        <v>11</v>
      </c>
    </row>
    <row r="143" spans="1:8" x14ac:dyDescent="0.35">
      <c r="A143" t="s">
        <v>13</v>
      </c>
      <c r="B143" t="s">
        <v>104</v>
      </c>
      <c r="C143" t="s">
        <v>1248</v>
      </c>
      <c r="D143">
        <v>3</v>
      </c>
      <c r="E143">
        <v>3</v>
      </c>
      <c r="F143" t="s">
        <v>7</v>
      </c>
      <c r="G143" t="s">
        <v>11</v>
      </c>
      <c r="H143" t="s">
        <v>11</v>
      </c>
    </row>
    <row r="144" spans="1:8" x14ac:dyDescent="0.35">
      <c r="A144" t="s">
        <v>13</v>
      </c>
      <c r="B144" t="s">
        <v>104</v>
      </c>
      <c r="C144" t="s">
        <v>1249</v>
      </c>
      <c r="D144">
        <v>3</v>
      </c>
      <c r="E144">
        <v>3</v>
      </c>
      <c r="F144" t="s">
        <v>7</v>
      </c>
      <c r="G144" t="s">
        <v>11</v>
      </c>
      <c r="H144" t="s">
        <v>11</v>
      </c>
    </row>
    <row r="145" spans="1:8" x14ac:dyDescent="0.35">
      <c r="A145" t="s">
        <v>13</v>
      </c>
      <c r="B145" t="s">
        <v>104</v>
      </c>
      <c r="C145" t="s">
        <v>1250</v>
      </c>
      <c r="D145">
        <v>2</v>
      </c>
      <c r="E145">
        <v>3</v>
      </c>
      <c r="F145" t="s">
        <v>7</v>
      </c>
      <c r="G145" t="s">
        <v>11</v>
      </c>
      <c r="H145" t="s">
        <v>11</v>
      </c>
    </row>
    <row r="146" spans="1:8" x14ac:dyDescent="0.35">
      <c r="A146" t="s">
        <v>13</v>
      </c>
      <c r="B146" t="s">
        <v>104</v>
      </c>
      <c r="C146" t="s">
        <v>1251</v>
      </c>
      <c r="D146">
        <v>2</v>
      </c>
      <c r="E146">
        <v>4</v>
      </c>
      <c r="F146" t="s">
        <v>7</v>
      </c>
      <c r="G146" t="s">
        <v>11</v>
      </c>
      <c r="H146" t="s">
        <v>11</v>
      </c>
    </row>
    <row r="147" spans="1:8" x14ac:dyDescent="0.35">
      <c r="A147" t="s">
        <v>13</v>
      </c>
      <c r="B147" t="s">
        <v>104</v>
      </c>
      <c r="C147" t="s">
        <v>1148</v>
      </c>
      <c r="D147">
        <v>3</v>
      </c>
      <c r="E147">
        <v>3</v>
      </c>
      <c r="F147" t="s">
        <v>7</v>
      </c>
      <c r="G147" t="s">
        <v>11</v>
      </c>
      <c r="H147" t="s">
        <v>11</v>
      </c>
    </row>
    <row r="148" spans="1:8" x14ac:dyDescent="0.35">
      <c r="A148" t="s">
        <v>13</v>
      </c>
      <c r="B148" t="s">
        <v>104</v>
      </c>
      <c r="C148" t="s">
        <v>1149</v>
      </c>
      <c r="D148">
        <v>3</v>
      </c>
      <c r="E148">
        <v>3</v>
      </c>
      <c r="F148" t="s">
        <v>7</v>
      </c>
      <c r="G148" t="s">
        <v>11</v>
      </c>
      <c r="H148" t="s">
        <v>11</v>
      </c>
    </row>
    <row r="149" spans="1:8" x14ac:dyDescent="0.35">
      <c r="A149" t="s">
        <v>13</v>
      </c>
      <c r="B149" t="s">
        <v>104</v>
      </c>
      <c r="C149" t="s">
        <v>1252</v>
      </c>
      <c r="D149">
        <v>3</v>
      </c>
      <c r="E149">
        <v>3</v>
      </c>
      <c r="F149" t="s">
        <v>7</v>
      </c>
      <c r="G149" t="s">
        <v>11</v>
      </c>
      <c r="H149" t="s">
        <v>11</v>
      </c>
    </row>
    <row r="150" spans="1:8" x14ac:dyDescent="0.35">
      <c r="A150" t="s">
        <v>13</v>
      </c>
      <c r="B150" t="s">
        <v>104</v>
      </c>
      <c r="C150" t="s">
        <v>1253</v>
      </c>
      <c r="D150">
        <v>3</v>
      </c>
      <c r="E150">
        <v>3</v>
      </c>
      <c r="F150" t="s">
        <v>7</v>
      </c>
      <c r="G150" t="s">
        <v>115</v>
      </c>
      <c r="H150" t="s">
        <v>11</v>
      </c>
    </row>
    <row r="151" spans="1:8" x14ac:dyDescent="0.35">
      <c r="A151" t="s">
        <v>13</v>
      </c>
      <c r="B151" t="s">
        <v>104</v>
      </c>
      <c r="C151" t="s">
        <v>1152</v>
      </c>
      <c r="D151">
        <v>3</v>
      </c>
      <c r="E151">
        <v>3</v>
      </c>
      <c r="F151" t="s">
        <v>7</v>
      </c>
      <c r="G151" t="s">
        <v>11</v>
      </c>
      <c r="H151" t="s">
        <v>11</v>
      </c>
    </row>
    <row r="152" spans="1:8" x14ac:dyDescent="0.35">
      <c r="A152" t="s">
        <v>13</v>
      </c>
      <c r="B152" t="s">
        <v>104</v>
      </c>
      <c r="C152" t="s">
        <v>1153</v>
      </c>
      <c r="D152">
        <v>3</v>
      </c>
      <c r="E152">
        <v>3</v>
      </c>
      <c r="F152" t="s">
        <v>7</v>
      </c>
      <c r="G152" t="s">
        <v>11</v>
      </c>
      <c r="H152" t="s">
        <v>11</v>
      </c>
    </row>
    <row r="153" spans="1:8" x14ac:dyDescent="0.35">
      <c r="A153" t="s">
        <v>13</v>
      </c>
      <c r="B153" t="s">
        <v>104</v>
      </c>
      <c r="C153" t="s">
        <v>1254</v>
      </c>
      <c r="D153">
        <v>3</v>
      </c>
      <c r="E153">
        <v>3</v>
      </c>
      <c r="F153" t="s">
        <v>7</v>
      </c>
      <c r="G153" t="s">
        <v>11</v>
      </c>
      <c r="H153" t="s">
        <v>11</v>
      </c>
    </row>
    <row r="154" spans="1:8" x14ac:dyDescent="0.35">
      <c r="A154" t="s">
        <v>13</v>
      </c>
      <c r="B154" t="s">
        <v>104</v>
      </c>
      <c r="C154" t="s">
        <v>1255</v>
      </c>
      <c r="D154">
        <v>3</v>
      </c>
      <c r="E154">
        <v>3</v>
      </c>
      <c r="F154" t="s">
        <v>7</v>
      </c>
      <c r="G154" t="s">
        <v>115</v>
      </c>
      <c r="H154" t="s">
        <v>11</v>
      </c>
    </row>
    <row r="155" spans="1:8" x14ac:dyDescent="0.35">
      <c r="A155" t="s">
        <v>13</v>
      </c>
      <c r="B155" t="s">
        <v>104</v>
      </c>
      <c r="C155" t="s">
        <v>1256</v>
      </c>
      <c r="D155">
        <v>3</v>
      </c>
      <c r="E155">
        <v>3</v>
      </c>
      <c r="F155" t="s">
        <v>7</v>
      </c>
      <c r="G155" t="s">
        <v>11</v>
      </c>
      <c r="H155" t="s">
        <v>11</v>
      </c>
    </row>
    <row r="156" spans="1:8" x14ac:dyDescent="0.35">
      <c r="A156" t="s">
        <v>13</v>
      </c>
      <c r="B156" t="s">
        <v>104</v>
      </c>
      <c r="C156" t="s">
        <v>1257</v>
      </c>
      <c r="D156">
        <v>3</v>
      </c>
      <c r="E156">
        <v>3</v>
      </c>
      <c r="F156" t="s">
        <v>7</v>
      </c>
      <c r="G156" t="s">
        <v>11</v>
      </c>
      <c r="H156" t="s">
        <v>11</v>
      </c>
    </row>
    <row r="157" spans="1:8" x14ac:dyDescent="0.35">
      <c r="A157" t="s">
        <v>13</v>
      </c>
      <c r="B157" t="s">
        <v>104</v>
      </c>
      <c r="C157" t="s">
        <v>1157</v>
      </c>
      <c r="D157">
        <v>3</v>
      </c>
      <c r="E157">
        <v>4</v>
      </c>
      <c r="F157" t="s">
        <v>7</v>
      </c>
      <c r="G157" t="s">
        <v>11</v>
      </c>
      <c r="H157" t="s">
        <v>11</v>
      </c>
    </row>
    <row r="158" spans="1:8" x14ac:dyDescent="0.35">
      <c r="A158" t="s">
        <v>13</v>
      </c>
      <c r="B158" t="s">
        <v>104</v>
      </c>
      <c r="C158" t="s">
        <v>1159</v>
      </c>
      <c r="D158">
        <v>2</v>
      </c>
      <c r="E158">
        <v>4</v>
      </c>
      <c r="F158" t="s">
        <v>7</v>
      </c>
      <c r="G158" t="s">
        <v>11</v>
      </c>
      <c r="H158" t="s">
        <v>11</v>
      </c>
    </row>
    <row r="159" spans="1:8" x14ac:dyDescent="0.35">
      <c r="A159" t="s">
        <v>13</v>
      </c>
      <c r="B159" t="s">
        <v>104</v>
      </c>
      <c r="C159" t="s">
        <v>1258</v>
      </c>
      <c r="D159">
        <v>3</v>
      </c>
      <c r="E159">
        <v>3</v>
      </c>
      <c r="F159" t="s">
        <v>7</v>
      </c>
      <c r="G159" t="s">
        <v>115</v>
      </c>
      <c r="H159" t="s">
        <v>11</v>
      </c>
    </row>
    <row r="160" spans="1:8" x14ac:dyDescent="0.35">
      <c r="A160" t="s">
        <v>13</v>
      </c>
      <c r="B160" t="s">
        <v>104</v>
      </c>
      <c r="C160" t="s">
        <v>1259</v>
      </c>
      <c r="D160">
        <v>3</v>
      </c>
      <c r="E160">
        <v>3</v>
      </c>
      <c r="F160" t="s">
        <v>7</v>
      </c>
      <c r="G160" t="s">
        <v>11</v>
      </c>
      <c r="H160" t="s">
        <v>11</v>
      </c>
    </row>
    <row r="161" spans="1:8" x14ac:dyDescent="0.35">
      <c r="A161" t="s">
        <v>13</v>
      </c>
      <c r="B161" t="s">
        <v>104</v>
      </c>
      <c r="C161" t="s">
        <v>1162</v>
      </c>
      <c r="D161">
        <v>3</v>
      </c>
      <c r="E161">
        <v>3</v>
      </c>
      <c r="F161" t="s">
        <v>7</v>
      </c>
      <c r="G161" t="s">
        <v>11</v>
      </c>
      <c r="H161" t="s">
        <v>11</v>
      </c>
    </row>
    <row r="162" spans="1:8" x14ac:dyDescent="0.35">
      <c r="A162" t="s">
        <v>13</v>
      </c>
      <c r="B162" t="s">
        <v>104</v>
      </c>
      <c r="C162" t="s">
        <v>1163</v>
      </c>
      <c r="D162">
        <v>2</v>
      </c>
      <c r="E162">
        <v>3</v>
      </c>
      <c r="F162" t="s">
        <v>7</v>
      </c>
      <c r="G162" t="s">
        <v>11</v>
      </c>
      <c r="H162" t="s">
        <v>11</v>
      </c>
    </row>
    <row r="163" spans="1:8" x14ac:dyDescent="0.35">
      <c r="A163" t="s">
        <v>13</v>
      </c>
      <c r="B163" t="s">
        <v>104</v>
      </c>
      <c r="C163" t="s">
        <v>1260</v>
      </c>
      <c r="D163">
        <v>3</v>
      </c>
      <c r="E163">
        <v>3</v>
      </c>
      <c r="F163" t="s">
        <v>7</v>
      </c>
      <c r="G163" t="s">
        <v>11</v>
      </c>
      <c r="H163" t="s">
        <v>11</v>
      </c>
    </row>
    <row r="164" spans="1:8" x14ac:dyDescent="0.35">
      <c r="A164" t="s">
        <v>13</v>
      </c>
      <c r="B164" t="s">
        <v>104</v>
      </c>
      <c r="C164" t="s">
        <v>1261</v>
      </c>
      <c r="D164">
        <v>3</v>
      </c>
      <c r="E164">
        <v>4</v>
      </c>
      <c r="F164" t="s">
        <v>7</v>
      </c>
      <c r="G164" t="s">
        <v>11</v>
      </c>
      <c r="H164" t="s">
        <v>11</v>
      </c>
    </row>
    <row r="165" spans="1:8" x14ac:dyDescent="0.35">
      <c r="A165" t="s">
        <v>13</v>
      </c>
      <c r="B165" t="s">
        <v>104</v>
      </c>
      <c r="C165" t="s">
        <v>1262</v>
      </c>
      <c r="D165">
        <v>3</v>
      </c>
      <c r="E165">
        <v>3</v>
      </c>
      <c r="F165" t="s">
        <v>7</v>
      </c>
      <c r="G165" t="s">
        <v>11</v>
      </c>
      <c r="H165" t="s">
        <v>11</v>
      </c>
    </row>
    <row r="166" spans="1:8" x14ac:dyDescent="0.35">
      <c r="A166" t="s">
        <v>13</v>
      </c>
      <c r="B166" t="s">
        <v>104</v>
      </c>
      <c r="C166" t="s">
        <v>1165</v>
      </c>
      <c r="D166">
        <v>3</v>
      </c>
      <c r="E166">
        <v>3</v>
      </c>
      <c r="F166" t="s">
        <v>7</v>
      </c>
      <c r="G166" t="s">
        <v>11</v>
      </c>
      <c r="H166" t="s">
        <v>11</v>
      </c>
    </row>
    <row r="167" spans="1:8" x14ac:dyDescent="0.35">
      <c r="A167" t="s">
        <v>13</v>
      </c>
      <c r="B167" t="s">
        <v>104</v>
      </c>
      <c r="C167" t="s">
        <v>1263</v>
      </c>
      <c r="D167">
        <v>3</v>
      </c>
      <c r="E167">
        <v>3</v>
      </c>
      <c r="F167" t="s">
        <v>7</v>
      </c>
      <c r="G167" t="s">
        <v>11</v>
      </c>
      <c r="H167" t="s">
        <v>11</v>
      </c>
    </row>
    <row r="168" spans="1:8" x14ac:dyDescent="0.35">
      <c r="A168" t="s">
        <v>13</v>
      </c>
      <c r="B168" t="s">
        <v>104</v>
      </c>
      <c r="C168" t="s">
        <v>1167</v>
      </c>
      <c r="D168">
        <v>3</v>
      </c>
      <c r="E168">
        <v>3</v>
      </c>
      <c r="F168" t="s">
        <v>7</v>
      </c>
      <c r="G168" t="s">
        <v>11</v>
      </c>
      <c r="H168" t="s">
        <v>11</v>
      </c>
    </row>
    <row r="169" spans="1:8" x14ac:dyDescent="0.35">
      <c r="A169" t="s">
        <v>13</v>
      </c>
      <c r="B169" t="s">
        <v>104</v>
      </c>
      <c r="C169" t="s">
        <v>1264</v>
      </c>
      <c r="D169">
        <v>3</v>
      </c>
      <c r="E169">
        <v>3</v>
      </c>
      <c r="F169" t="s">
        <v>7</v>
      </c>
      <c r="G169" t="s">
        <v>11</v>
      </c>
      <c r="H169" t="s">
        <v>11</v>
      </c>
    </row>
    <row r="170" spans="1:8" x14ac:dyDescent="0.35">
      <c r="A170" t="s">
        <v>13</v>
      </c>
      <c r="B170" t="s">
        <v>104</v>
      </c>
      <c r="C170" t="s">
        <v>1265</v>
      </c>
      <c r="D170">
        <v>3</v>
      </c>
      <c r="E170">
        <v>3</v>
      </c>
      <c r="F170" t="s">
        <v>7</v>
      </c>
      <c r="G170" t="s">
        <v>11</v>
      </c>
      <c r="H170" t="s">
        <v>11</v>
      </c>
    </row>
    <row r="171" spans="1:8" x14ac:dyDescent="0.35">
      <c r="A171" t="s">
        <v>13</v>
      </c>
      <c r="B171" t="s">
        <v>104</v>
      </c>
      <c r="C171" t="s">
        <v>1266</v>
      </c>
      <c r="D171">
        <v>3</v>
      </c>
      <c r="E171">
        <v>3</v>
      </c>
      <c r="F171" t="s">
        <v>7</v>
      </c>
      <c r="G171" t="s">
        <v>11</v>
      </c>
      <c r="H171" t="s">
        <v>11</v>
      </c>
    </row>
    <row r="172" spans="1:8" x14ac:dyDescent="0.35">
      <c r="A172" t="s">
        <v>13</v>
      </c>
      <c r="B172" t="s">
        <v>104</v>
      </c>
      <c r="C172" t="s">
        <v>1267</v>
      </c>
      <c r="D172">
        <v>3</v>
      </c>
      <c r="E172">
        <v>3</v>
      </c>
      <c r="F172" t="s">
        <v>7</v>
      </c>
      <c r="G172" t="s">
        <v>11</v>
      </c>
      <c r="H172" t="s">
        <v>11</v>
      </c>
    </row>
    <row r="173" spans="1:8" x14ac:dyDescent="0.35">
      <c r="A173" t="s">
        <v>13</v>
      </c>
      <c r="B173" t="s">
        <v>104</v>
      </c>
      <c r="C173" t="s">
        <v>1268</v>
      </c>
      <c r="D173">
        <v>3</v>
      </c>
      <c r="E173">
        <v>3</v>
      </c>
      <c r="F173" t="s">
        <v>7</v>
      </c>
      <c r="G173" t="s">
        <v>11</v>
      </c>
      <c r="H173" t="s">
        <v>11</v>
      </c>
    </row>
    <row r="174" spans="1:8" x14ac:dyDescent="0.35">
      <c r="A174" t="s">
        <v>13</v>
      </c>
      <c r="B174" t="s">
        <v>104</v>
      </c>
      <c r="C174" t="s">
        <v>1168</v>
      </c>
      <c r="D174">
        <v>2</v>
      </c>
      <c r="E174">
        <v>3</v>
      </c>
      <c r="F174" t="s">
        <v>7</v>
      </c>
      <c r="G174" t="s">
        <v>11</v>
      </c>
      <c r="H174" t="s">
        <v>11</v>
      </c>
    </row>
    <row r="175" spans="1:8" x14ac:dyDescent="0.35">
      <c r="A175" t="s">
        <v>13</v>
      </c>
      <c r="B175" t="s">
        <v>104</v>
      </c>
      <c r="C175" t="s">
        <v>1269</v>
      </c>
      <c r="D175">
        <v>3</v>
      </c>
      <c r="E175">
        <v>3</v>
      </c>
      <c r="F175" t="s">
        <v>7</v>
      </c>
      <c r="G175" t="s">
        <v>11</v>
      </c>
      <c r="H175" t="s">
        <v>11</v>
      </c>
    </row>
    <row r="176" spans="1:8" x14ac:dyDescent="0.35">
      <c r="A176" t="s">
        <v>13</v>
      </c>
      <c r="B176" t="s">
        <v>104</v>
      </c>
      <c r="C176" t="s">
        <v>1270</v>
      </c>
      <c r="D176">
        <v>3</v>
      </c>
      <c r="E176">
        <v>3</v>
      </c>
      <c r="F176" t="s">
        <v>7</v>
      </c>
      <c r="G176" t="s">
        <v>11</v>
      </c>
      <c r="H176" t="s">
        <v>11</v>
      </c>
    </row>
    <row r="177" spans="1:8" x14ac:dyDescent="0.35">
      <c r="A177" t="s">
        <v>13</v>
      </c>
      <c r="B177" t="s">
        <v>104</v>
      </c>
      <c r="C177" t="s">
        <v>1271</v>
      </c>
      <c r="D177">
        <v>3</v>
      </c>
      <c r="E177">
        <v>3</v>
      </c>
      <c r="F177" t="s">
        <v>7</v>
      </c>
      <c r="G177" t="s">
        <v>11</v>
      </c>
      <c r="H177" t="s">
        <v>11</v>
      </c>
    </row>
    <row r="178" spans="1:8" x14ac:dyDescent="0.35">
      <c r="A178" t="s">
        <v>13</v>
      </c>
      <c r="B178" t="s">
        <v>104</v>
      </c>
      <c r="C178" t="s">
        <v>1272</v>
      </c>
      <c r="D178">
        <v>2</v>
      </c>
      <c r="E178">
        <v>4</v>
      </c>
      <c r="F178" t="s">
        <v>7</v>
      </c>
      <c r="G178" t="s">
        <v>11</v>
      </c>
      <c r="H178" t="s">
        <v>11</v>
      </c>
    </row>
    <row r="179" spans="1:8" x14ac:dyDescent="0.35">
      <c r="A179" t="s">
        <v>13</v>
      </c>
      <c r="B179" t="s">
        <v>104</v>
      </c>
      <c r="C179" t="s">
        <v>1273</v>
      </c>
      <c r="D179">
        <v>3</v>
      </c>
      <c r="E179">
        <v>3</v>
      </c>
      <c r="F179" t="s">
        <v>7</v>
      </c>
      <c r="G179" t="s">
        <v>11</v>
      </c>
      <c r="H179" t="s">
        <v>11</v>
      </c>
    </row>
    <row r="180" spans="1:8" x14ac:dyDescent="0.35">
      <c r="A180" t="s">
        <v>13</v>
      </c>
      <c r="B180" t="s">
        <v>104</v>
      </c>
      <c r="C180" t="s">
        <v>1274</v>
      </c>
      <c r="D180">
        <v>3</v>
      </c>
      <c r="E180">
        <v>3</v>
      </c>
      <c r="F180" t="s">
        <v>7</v>
      </c>
      <c r="G180" t="s">
        <v>115</v>
      </c>
      <c r="H180" t="s">
        <v>11</v>
      </c>
    </row>
    <row r="181" spans="1:8" x14ac:dyDescent="0.35">
      <c r="A181" t="s">
        <v>13</v>
      </c>
      <c r="B181" t="s">
        <v>104</v>
      </c>
      <c r="C181" t="s">
        <v>1275</v>
      </c>
      <c r="D181">
        <v>2</v>
      </c>
      <c r="E181">
        <v>3</v>
      </c>
      <c r="F181" t="s">
        <v>7</v>
      </c>
      <c r="G181" t="s">
        <v>11</v>
      </c>
      <c r="H181" t="s">
        <v>11</v>
      </c>
    </row>
    <row r="182" spans="1:8" x14ac:dyDescent="0.35">
      <c r="A182" t="s">
        <v>13</v>
      </c>
      <c r="B182" t="s">
        <v>104</v>
      </c>
      <c r="C182" t="s">
        <v>1276</v>
      </c>
      <c r="D182">
        <v>2</v>
      </c>
      <c r="E182">
        <v>4</v>
      </c>
      <c r="F182" t="s">
        <v>7</v>
      </c>
      <c r="G182" t="s">
        <v>11</v>
      </c>
      <c r="H182" t="s">
        <v>11</v>
      </c>
    </row>
    <row r="183" spans="1:8" x14ac:dyDescent="0.35">
      <c r="A183" t="s">
        <v>13</v>
      </c>
      <c r="B183" t="s">
        <v>104</v>
      </c>
      <c r="C183" t="s">
        <v>1277</v>
      </c>
      <c r="D183">
        <v>3</v>
      </c>
      <c r="E183">
        <v>3</v>
      </c>
      <c r="F183" t="s">
        <v>7</v>
      </c>
      <c r="G183" t="s">
        <v>115</v>
      </c>
      <c r="H183" t="s">
        <v>11</v>
      </c>
    </row>
    <row r="184" spans="1:8" x14ac:dyDescent="0.35">
      <c r="A184" t="s">
        <v>13</v>
      </c>
      <c r="B184" t="s">
        <v>104</v>
      </c>
      <c r="C184" t="s">
        <v>1278</v>
      </c>
      <c r="D184">
        <v>3</v>
      </c>
      <c r="E184">
        <v>3</v>
      </c>
      <c r="F184" t="s">
        <v>7</v>
      </c>
      <c r="G184" t="s">
        <v>11</v>
      </c>
      <c r="H184" t="s">
        <v>11</v>
      </c>
    </row>
    <row r="185" spans="1:8" x14ac:dyDescent="0.35">
      <c r="A185" t="s">
        <v>13</v>
      </c>
      <c r="B185" t="s">
        <v>104</v>
      </c>
      <c r="C185" t="s">
        <v>1177</v>
      </c>
      <c r="D185">
        <v>3</v>
      </c>
      <c r="E185">
        <v>4</v>
      </c>
      <c r="F185" t="s">
        <v>7</v>
      </c>
      <c r="G185" t="s">
        <v>11</v>
      </c>
      <c r="H185" t="s">
        <v>11</v>
      </c>
    </row>
    <row r="186" spans="1:8" x14ac:dyDescent="0.35">
      <c r="A186" t="s">
        <v>13</v>
      </c>
      <c r="B186" t="s">
        <v>104</v>
      </c>
      <c r="C186" t="s">
        <v>1279</v>
      </c>
      <c r="D186">
        <v>3</v>
      </c>
      <c r="E186">
        <v>3</v>
      </c>
      <c r="F186" t="s">
        <v>7</v>
      </c>
      <c r="G186" t="s">
        <v>11</v>
      </c>
      <c r="H186" t="s">
        <v>11</v>
      </c>
    </row>
    <row r="187" spans="1:8" x14ac:dyDescent="0.35">
      <c r="A187" t="s">
        <v>13</v>
      </c>
      <c r="B187" t="s">
        <v>104</v>
      </c>
      <c r="C187" t="s">
        <v>1280</v>
      </c>
      <c r="D187">
        <v>3</v>
      </c>
      <c r="E187">
        <v>3</v>
      </c>
      <c r="F187" t="s">
        <v>7</v>
      </c>
      <c r="G187" t="s">
        <v>11</v>
      </c>
      <c r="H187" t="s">
        <v>11</v>
      </c>
    </row>
    <row r="188" spans="1:8" x14ac:dyDescent="0.35">
      <c r="A188" t="s">
        <v>13</v>
      </c>
      <c r="B188" t="s">
        <v>104</v>
      </c>
      <c r="C188" t="s">
        <v>1281</v>
      </c>
      <c r="D188">
        <v>3</v>
      </c>
      <c r="E188">
        <v>3</v>
      </c>
      <c r="F188" t="s">
        <v>7</v>
      </c>
      <c r="G188" t="s">
        <v>11</v>
      </c>
      <c r="H188" t="s">
        <v>11</v>
      </c>
    </row>
    <row r="189" spans="1:8" x14ac:dyDescent="0.35">
      <c r="A189" t="s">
        <v>15</v>
      </c>
      <c r="B189" t="s">
        <v>74</v>
      </c>
      <c r="C189" t="s">
        <v>1282</v>
      </c>
      <c r="D189">
        <v>2</v>
      </c>
      <c r="E189">
        <v>3</v>
      </c>
      <c r="F189" t="s">
        <v>105</v>
      </c>
      <c r="G189" t="s">
        <v>11</v>
      </c>
      <c r="H189" t="s">
        <v>11</v>
      </c>
    </row>
    <row r="190" spans="1:8" x14ac:dyDescent="0.35">
      <c r="A190" t="s">
        <v>15</v>
      </c>
      <c r="B190" t="s">
        <v>74</v>
      </c>
      <c r="C190" t="s">
        <v>1283</v>
      </c>
      <c r="D190">
        <v>2</v>
      </c>
      <c r="E190">
        <v>6</v>
      </c>
      <c r="F190" t="s">
        <v>75</v>
      </c>
      <c r="G190" t="s">
        <v>11</v>
      </c>
      <c r="H190" t="s">
        <v>11</v>
      </c>
    </row>
    <row r="191" spans="1:8" x14ac:dyDescent="0.35">
      <c r="A191" t="s">
        <v>15</v>
      </c>
      <c r="B191" t="s">
        <v>74</v>
      </c>
      <c r="C191" t="s">
        <v>1284</v>
      </c>
      <c r="D191">
        <v>2</v>
      </c>
      <c r="E191">
        <v>4</v>
      </c>
      <c r="F191" t="s">
        <v>75</v>
      </c>
      <c r="G191" t="s">
        <v>11</v>
      </c>
      <c r="H191" t="s">
        <v>11</v>
      </c>
    </row>
    <row r="192" spans="1:8" x14ac:dyDescent="0.35">
      <c r="A192" t="s">
        <v>15</v>
      </c>
      <c r="B192" t="s">
        <v>74</v>
      </c>
      <c r="C192" t="s">
        <v>1285</v>
      </c>
      <c r="D192">
        <v>3</v>
      </c>
      <c r="E192">
        <v>3</v>
      </c>
      <c r="F192" t="s">
        <v>75</v>
      </c>
      <c r="G192" t="s">
        <v>11</v>
      </c>
      <c r="H192" t="s">
        <v>11</v>
      </c>
    </row>
    <row r="193" spans="1:8" x14ac:dyDescent="0.35">
      <c r="A193" t="s">
        <v>15</v>
      </c>
      <c r="B193" t="s">
        <v>74</v>
      </c>
      <c r="C193" t="s">
        <v>1286</v>
      </c>
      <c r="D193">
        <v>2</v>
      </c>
      <c r="E193">
        <v>4</v>
      </c>
      <c r="F193" t="s">
        <v>75</v>
      </c>
      <c r="G193" t="s">
        <v>11</v>
      </c>
      <c r="H193" t="s">
        <v>11</v>
      </c>
    </row>
    <row r="194" spans="1:8" x14ac:dyDescent="0.35">
      <c r="A194" t="s">
        <v>15</v>
      </c>
      <c r="B194" t="s">
        <v>74</v>
      </c>
      <c r="C194" t="s">
        <v>1287</v>
      </c>
      <c r="D194">
        <v>3</v>
      </c>
      <c r="E194">
        <v>3</v>
      </c>
      <c r="F194" t="s">
        <v>75</v>
      </c>
      <c r="G194" t="s">
        <v>11</v>
      </c>
      <c r="H194" t="s">
        <v>11</v>
      </c>
    </row>
    <row r="195" spans="1:8" x14ac:dyDescent="0.35">
      <c r="A195" t="s">
        <v>15</v>
      </c>
      <c r="B195" t="s">
        <v>74</v>
      </c>
      <c r="C195" t="s">
        <v>1288</v>
      </c>
      <c r="D195">
        <v>2</v>
      </c>
      <c r="E195">
        <v>3</v>
      </c>
      <c r="F195" t="s">
        <v>75</v>
      </c>
      <c r="G195" t="s">
        <v>11</v>
      </c>
      <c r="H195" t="s">
        <v>11</v>
      </c>
    </row>
    <row r="196" spans="1:8" x14ac:dyDescent="0.35">
      <c r="A196" t="s">
        <v>15</v>
      </c>
      <c r="B196" t="s">
        <v>74</v>
      </c>
      <c r="C196" t="s">
        <v>1289</v>
      </c>
      <c r="D196">
        <v>3</v>
      </c>
      <c r="E196">
        <v>4</v>
      </c>
      <c r="F196" t="s">
        <v>105</v>
      </c>
      <c r="G196" t="s">
        <v>11</v>
      </c>
      <c r="H196" t="s">
        <v>11</v>
      </c>
    </row>
    <row r="197" spans="1:8" x14ac:dyDescent="0.35">
      <c r="A197" t="s">
        <v>15</v>
      </c>
      <c r="B197" t="s">
        <v>74</v>
      </c>
      <c r="C197" t="s">
        <v>1290</v>
      </c>
      <c r="D197">
        <v>2</v>
      </c>
      <c r="E197">
        <v>4</v>
      </c>
      <c r="F197" t="s">
        <v>75</v>
      </c>
      <c r="G197" t="s">
        <v>11</v>
      </c>
      <c r="H197" t="s">
        <v>11</v>
      </c>
    </row>
    <row r="198" spans="1:8" x14ac:dyDescent="0.35">
      <c r="A198" t="s">
        <v>15</v>
      </c>
      <c r="B198" t="s">
        <v>74</v>
      </c>
      <c r="C198" t="s">
        <v>1291</v>
      </c>
      <c r="D198">
        <v>2</v>
      </c>
      <c r="E198">
        <v>3</v>
      </c>
      <c r="F198" t="s">
        <v>75</v>
      </c>
      <c r="G198" t="s">
        <v>11</v>
      </c>
      <c r="H198" t="s">
        <v>11</v>
      </c>
    </row>
    <row r="199" spans="1:8" x14ac:dyDescent="0.35">
      <c r="A199" t="s">
        <v>15</v>
      </c>
      <c r="B199" t="s">
        <v>74</v>
      </c>
      <c r="C199" t="s">
        <v>1292</v>
      </c>
      <c r="D199">
        <v>3</v>
      </c>
      <c r="E199">
        <v>3</v>
      </c>
      <c r="F199" t="s">
        <v>75</v>
      </c>
      <c r="G199" t="s">
        <v>11</v>
      </c>
      <c r="H199" t="s">
        <v>11</v>
      </c>
    </row>
    <row r="200" spans="1:8" x14ac:dyDescent="0.35">
      <c r="A200" t="s">
        <v>15</v>
      </c>
      <c r="B200" t="s">
        <v>74</v>
      </c>
      <c r="C200" t="s">
        <v>1293</v>
      </c>
      <c r="D200">
        <v>3</v>
      </c>
      <c r="E200">
        <v>4</v>
      </c>
      <c r="F200" t="s">
        <v>105</v>
      </c>
      <c r="G200" t="s">
        <v>11</v>
      </c>
      <c r="H200" t="s">
        <v>11</v>
      </c>
    </row>
    <row r="201" spans="1:8" x14ac:dyDescent="0.35">
      <c r="A201" t="s">
        <v>15</v>
      </c>
      <c r="B201" t="s">
        <v>74</v>
      </c>
      <c r="C201" t="s">
        <v>1294</v>
      </c>
      <c r="D201">
        <v>3</v>
      </c>
      <c r="E201">
        <v>2</v>
      </c>
      <c r="F201" t="s">
        <v>75</v>
      </c>
      <c r="G201" t="s">
        <v>11</v>
      </c>
      <c r="H201" t="s">
        <v>11</v>
      </c>
    </row>
    <row r="202" spans="1:8" x14ac:dyDescent="0.35">
      <c r="A202" t="s">
        <v>15</v>
      </c>
      <c r="B202" t="s">
        <v>74</v>
      </c>
      <c r="C202" t="s">
        <v>1295</v>
      </c>
      <c r="D202">
        <v>2</v>
      </c>
      <c r="E202">
        <v>4</v>
      </c>
      <c r="F202" t="s">
        <v>75</v>
      </c>
      <c r="G202" t="s">
        <v>11</v>
      </c>
      <c r="H202" t="s">
        <v>11</v>
      </c>
    </row>
    <row r="203" spans="1:8" x14ac:dyDescent="0.35">
      <c r="A203" t="s">
        <v>15</v>
      </c>
      <c r="B203" t="s">
        <v>74</v>
      </c>
      <c r="C203" t="s">
        <v>1296</v>
      </c>
      <c r="D203">
        <v>2</v>
      </c>
      <c r="E203">
        <v>3</v>
      </c>
      <c r="F203" t="s">
        <v>75</v>
      </c>
      <c r="G203" t="s">
        <v>11</v>
      </c>
      <c r="H203" t="s">
        <v>11</v>
      </c>
    </row>
    <row r="204" spans="1:8" x14ac:dyDescent="0.35">
      <c r="A204" t="s">
        <v>15</v>
      </c>
      <c r="B204" t="s">
        <v>74</v>
      </c>
      <c r="C204" t="s">
        <v>1297</v>
      </c>
      <c r="D204">
        <v>3</v>
      </c>
      <c r="E204">
        <v>3</v>
      </c>
      <c r="F204" t="s">
        <v>75</v>
      </c>
      <c r="G204" t="s">
        <v>11</v>
      </c>
      <c r="H204" t="s">
        <v>11</v>
      </c>
    </row>
    <row r="205" spans="1:8" x14ac:dyDescent="0.35">
      <c r="A205" t="s">
        <v>15</v>
      </c>
      <c r="B205" t="s">
        <v>74</v>
      </c>
      <c r="C205" t="s">
        <v>1298</v>
      </c>
      <c r="D205">
        <v>3</v>
      </c>
      <c r="E205">
        <v>4</v>
      </c>
      <c r="F205" t="s">
        <v>75</v>
      </c>
      <c r="G205" t="s">
        <v>11</v>
      </c>
      <c r="H205" t="s">
        <v>11</v>
      </c>
    </row>
    <row r="206" spans="1:8" x14ac:dyDescent="0.35">
      <c r="A206" t="s">
        <v>15</v>
      </c>
      <c r="B206" t="s">
        <v>74</v>
      </c>
      <c r="C206" t="s">
        <v>1299</v>
      </c>
      <c r="D206">
        <v>3</v>
      </c>
      <c r="E206">
        <v>5</v>
      </c>
      <c r="F206" t="s">
        <v>75</v>
      </c>
      <c r="G206" t="s">
        <v>11</v>
      </c>
      <c r="H206" t="s">
        <v>11</v>
      </c>
    </row>
    <row r="207" spans="1:8" x14ac:dyDescent="0.35">
      <c r="A207" t="s">
        <v>15</v>
      </c>
      <c r="B207" t="s">
        <v>74</v>
      </c>
      <c r="C207" t="s">
        <v>1300</v>
      </c>
      <c r="D207">
        <v>2</v>
      </c>
      <c r="E207">
        <v>3</v>
      </c>
      <c r="F207" t="s">
        <v>75</v>
      </c>
      <c r="G207" t="s">
        <v>11</v>
      </c>
      <c r="H207" t="s">
        <v>11</v>
      </c>
    </row>
    <row r="208" spans="1:8" x14ac:dyDescent="0.35">
      <c r="A208" t="s">
        <v>15</v>
      </c>
      <c r="B208" t="s">
        <v>74</v>
      </c>
      <c r="C208" t="s">
        <v>1301</v>
      </c>
      <c r="D208">
        <v>2</v>
      </c>
      <c r="E208">
        <v>3</v>
      </c>
      <c r="F208" t="s">
        <v>75</v>
      </c>
      <c r="G208" t="s">
        <v>11</v>
      </c>
      <c r="H208" t="s">
        <v>11</v>
      </c>
    </row>
    <row r="209" spans="1:8" x14ac:dyDescent="0.35">
      <c r="A209" t="s">
        <v>15</v>
      </c>
      <c r="B209" t="s">
        <v>74</v>
      </c>
      <c r="C209" t="s">
        <v>1302</v>
      </c>
      <c r="D209">
        <v>3</v>
      </c>
      <c r="E209">
        <v>3</v>
      </c>
      <c r="F209" t="s">
        <v>105</v>
      </c>
      <c r="G209" t="s">
        <v>11</v>
      </c>
      <c r="H209" t="s">
        <v>11</v>
      </c>
    </row>
    <row r="210" spans="1:8" x14ac:dyDescent="0.35">
      <c r="A210" t="s">
        <v>15</v>
      </c>
      <c r="B210" t="s">
        <v>74</v>
      </c>
      <c r="C210" t="s">
        <v>1303</v>
      </c>
      <c r="D210">
        <v>2</v>
      </c>
      <c r="E210">
        <v>4</v>
      </c>
      <c r="F210" t="s">
        <v>75</v>
      </c>
      <c r="G210" t="s">
        <v>11</v>
      </c>
      <c r="H210" t="s">
        <v>11</v>
      </c>
    </row>
    <row r="211" spans="1:8" x14ac:dyDescent="0.35">
      <c r="A211" t="s">
        <v>15</v>
      </c>
      <c r="B211" t="s">
        <v>74</v>
      </c>
      <c r="C211" t="s">
        <v>1304</v>
      </c>
      <c r="D211">
        <v>3</v>
      </c>
      <c r="E211">
        <v>3</v>
      </c>
      <c r="F211" t="s">
        <v>105</v>
      </c>
      <c r="G211" t="s">
        <v>11</v>
      </c>
      <c r="H211" t="s">
        <v>11</v>
      </c>
    </row>
    <row r="212" spans="1:8" x14ac:dyDescent="0.35">
      <c r="A212" t="s">
        <v>15</v>
      </c>
      <c r="B212" t="s">
        <v>74</v>
      </c>
      <c r="C212" t="s">
        <v>1305</v>
      </c>
      <c r="D212">
        <v>3</v>
      </c>
      <c r="E212">
        <v>3</v>
      </c>
      <c r="F212" t="s">
        <v>75</v>
      </c>
      <c r="G212" t="s">
        <v>11</v>
      </c>
      <c r="H212" t="s">
        <v>11</v>
      </c>
    </row>
    <row r="213" spans="1:8" x14ac:dyDescent="0.35">
      <c r="A213" t="s">
        <v>15</v>
      </c>
      <c r="B213" t="s">
        <v>74</v>
      </c>
      <c r="C213" t="s">
        <v>1306</v>
      </c>
      <c r="D213">
        <v>3</v>
      </c>
      <c r="E213">
        <v>5</v>
      </c>
      <c r="F213" t="s">
        <v>75</v>
      </c>
      <c r="G213" t="s">
        <v>11</v>
      </c>
      <c r="H213" t="s">
        <v>11</v>
      </c>
    </row>
    <row r="214" spans="1:8" x14ac:dyDescent="0.35">
      <c r="A214" t="s">
        <v>15</v>
      </c>
      <c r="B214" t="s">
        <v>74</v>
      </c>
      <c r="C214" t="s">
        <v>1307</v>
      </c>
      <c r="D214">
        <v>2</v>
      </c>
      <c r="E214">
        <v>6</v>
      </c>
      <c r="F214" t="s">
        <v>75</v>
      </c>
      <c r="G214" t="s">
        <v>11</v>
      </c>
      <c r="H214" t="s">
        <v>11</v>
      </c>
    </row>
    <row r="215" spans="1:8" x14ac:dyDescent="0.35">
      <c r="A215" t="s">
        <v>15</v>
      </c>
      <c r="B215" t="s">
        <v>74</v>
      </c>
      <c r="C215" t="s">
        <v>1308</v>
      </c>
      <c r="D215">
        <v>2</v>
      </c>
      <c r="E215">
        <v>3</v>
      </c>
      <c r="F215" t="s">
        <v>105</v>
      </c>
      <c r="G215" t="s">
        <v>11</v>
      </c>
      <c r="H215" t="s">
        <v>11</v>
      </c>
    </row>
    <row r="216" spans="1:8" x14ac:dyDescent="0.35">
      <c r="A216" t="s">
        <v>15</v>
      </c>
      <c r="B216" t="s">
        <v>74</v>
      </c>
      <c r="C216" t="s">
        <v>1309</v>
      </c>
      <c r="D216">
        <v>3</v>
      </c>
      <c r="E216">
        <v>3</v>
      </c>
      <c r="F216" t="s">
        <v>105</v>
      </c>
      <c r="G216" t="s">
        <v>11</v>
      </c>
      <c r="H216" t="s">
        <v>11</v>
      </c>
    </row>
    <row r="217" spans="1:8" x14ac:dyDescent="0.35">
      <c r="A217" t="s">
        <v>15</v>
      </c>
      <c r="B217" t="s">
        <v>74</v>
      </c>
      <c r="C217" t="s">
        <v>1260</v>
      </c>
      <c r="D217">
        <v>2</v>
      </c>
      <c r="E217">
        <v>5</v>
      </c>
      <c r="F217" t="s">
        <v>75</v>
      </c>
      <c r="G217" t="s">
        <v>11</v>
      </c>
      <c r="H217" t="s">
        <v>11</v>
      </c>
    </row>
    <row r="218" spans="1:8" x14ac:dyDescent="0.35">
      <c r="A218" t="s">
        <v>15</v>
      </c>
      <c r="B218" t="s">
        <v>74</v>
      </c>
      <c r="C218" t="s">
        <v>1310</v>
      </c>
      <c r="D218">
        <v>3</v>
      </c>
      <c r="E218">
        <v>3</v>
      </c>
      <c r="F218" t="s">
        <v>75</v>
      </c>
      <c r="G218" t="s">
        <v>11</v>
      </c>
      <c r="H218" t="s">
        <v>11</v>
      </c>
    </row>
    <row r="219" spans="1:8" x14ac:dyDescent="0.35">
      <c r="A219" t="s">
        <v>15</v>
      </c>
      <c r="B219" t="s">
        <v>74</v>
      </c>
      <c r="C219" t="s">
        <v>1311</v>
      </c>
      <c r="D219">
        <v>2</v>
      </c>
      <c r="E219">
        <v>3</v>
      </c>
      <c r="F219" t="s">
        <v>75</v>
      </c>
      <c r="G219" t="s">
        <v>11</v>
      </c>
      <c r="H219" t="s">
        <v>11</v>
      </c>
    </row>
    <row r="220" spans="1:8" x14ac:dyDescent="0.35">
      <c r="A220" t="s">
        <v>15</v>
      </c>
      <c r="B220" t="s">
        <v>74</v>
      </c>
      <c r="C220" t="s">
        <v>1312</v>
      </c>
      <c r="D220">
        <v>2</v>
      </c>
      <c r="E220">
        <v>5</v>
      </c>
      <c r="F220" t="s">
        <v>75</v>
      </c>
      <c r="G220" t="s">
        <v>11</v>
      </c>
      <c r="H220" t="s">
        <v>11</v>
      </c>
    </row>
    <row r="221" spans="1:8" x14ac:dyDescent="0.35">
      <c r="A221" t="s">
        <v>15</v>
      </c>
      <c r="B221" t="s">
        <v>74</v>
      </c>
      <c r="C221" t="s">
        <v>1313</v>
      </c>
      <c r="D221">
        <v>2</v>
      </c>
      <c r="E221">
        <v>3</v>
      </c>
      <c r="F221" t="s">
        <v>75</v>
      </c>
      <c r="G221" t="s">
        <v>11</v>
      </c>
      <c r="H221" t="s">
        <v>11</v>
      </c>
    </row>
    <row r="222" spans="1:8" x14ac:dyDescent="0.35">
      <c r="A222" t="s">
        <v>15</v>
      </c>
      <c r="B222" t="s">
        <v>74</v>
      </c>
      <c r="C222" t="s">
        <v>1314</v>
      </c>
      <c r="D222">
        <v>3</v>
      </c>
      <c r="E222">
        <v>3</v>
      </c>
      <c r="F222" t="s">
        <v>75</v>
      </c>
      <c r="G222" t="s">
        <v>11</v>
      </c>
      <c r="H222" t="s">
        <v>11</v>
      </c>
    </row>
    <row r="223" spans="1:8" x14ac:dyDescent="0.35">
      <c r="A223" t="s">
        <v>15</v>
      </c>
      <c r="B223" t="s">
        <v>74</v>
      </c>
      <c r="C223" t="s">
        <v>1315</v>
      </c>
      <c r="D223">
        <v>2</v>
      </c>
      <c r="E223">
        <v>3</v>
      </c>
      <c r="F223" t="s">
        <v>105</v>
      </c>
      <c r="G223" t="s">
        <v>11</v>
      </c>
      <c r="H223" t="s">
        <v>11</v>
      </c>
    </row>
    <row r="224" spans="1:8" x14ac:dyDescent="0.35">
      <c r="A224" t="s">
        <v>15</v>
      </c>
      <c r="B224" t="s">
        <v>74</v>
      </c>
      <c r="C224" t="s">
        <v>1316</v>
      </c>
      <c r="D224">
        <v>2</v>
      </c>
      <c r="E224">
        <v>3</v>
      </c>
      <c r="F224" t="s">
        <v>75</v>
      </c>
      <c r="G224" t="s">
        <v>11</v>
      </c>
      <c r="H224" t="s">
        <v>11</v>
      </c>
    </row>
    <row r="225" spans="1:8" x14ac:dyDescent="0.35">
      <c r="A225" t="s">
        <v>15</v>
      </c>
      <c r="B225" t="s">
        <v>74</v>
      </c>
      <c r="C225" t="s">
        <v>1317</v>
      </c>
      <c r="D225">
        <v>3</v>
      </c>
      <c r="E225">
        <v>3</v>
      </c>
      <c r="F225" t="s">
        <v>75</v>
      </c>
      <c r="G225" t="s">
        <v>11</v>
      </c>
      <c r="H225" t="s">
        <v>11</v>
      </c>
    </row>
    <row r="226" spans="1:8" x14ac:dyDescent="0.35">
      <c r="A226" t="s">
        <v>15</v>
      </c>
      <c r="B226" t="s">
        <v>74</v>
      </c>
      <c r="C226" t="s">
        <v>1318</v>
      </c>
      <c r="D226">
        <v>2</v>
      </c>
      <c r="E226">
        <v>3</v>
      </c>
      <c r="F226" t="s">
        <v>105</v>
      </c>
      <c r="G226" t="s">
        <v>11</v>
      </c>
      <c r="H226" t="s">
        <v>11</v>
      </c>
    </row>
    <row r="227" spans="1:8" x14ac:dyDescent="0.35">
      <c r="A227" t="s">
        <v>15</v>
      </c>
      <c r="B227" t="s">
        <v>74</v>
      </c>
      <c r="C227" t="s">
        <v>1319</v>
      </c>
      <c r="D227">
        <v>3</v>
      </c>
      <c r="E227">
        <v>3</v>
      </c>
      <c r="F227" t="s">
        <v>75</v>
      </c>
      <c r="G227" t="s">
        <v>11</v>
      </c>
      <c r="H227" t="s">
        <v>11</v>
      </c>
    </row>
    <row r="228" spans="1:8" x14ac:dyDescent="0.35">
      <c r="A228" t="s">
        <v>15</v>
      </c>
      <c r="B228" t="s">
        <v>74</v>
      </c>
      <c r="C228" t="s">
        <v>1320</v>
      </c>
      <c r="D228">
        <v>2</v>
      </c>
      <c r="E228">
        <v>3</v>
      </c>
      <c r="F228" t="s">
        <v>105</v>
      </c>
      <c r="G228" t="s">
        <v>11</v>
      </c>
      <c r="H228" t="s">
        <v>11</v>
      </c>
    </row>
    <row r="229" spans="1:8" x14ac:dyDescent="0.35">
      <c r="A229" t="s">
        <v>15</v>
      </c>
      <c r="B229" t="s">
        <v>74</v>
      </c>
      <c r="C229" t="s">
        <v>1321</v>
      </c>
      <c r="D229">
        <v>2</v>
      </c>
      <c r="E229">
        <v>3</v>
      </c>
      <c r="F229" t="s">
        <v>105</v>
      </c>
      <c r="G229" t="s">
        <v>11</v>
      </c>
      <c r="H229" t="s">
        <v>11</v>
      </c>
    </row>
    <row r="230" spans="1:8" x14ac:dyDescent="0.35">
      <c r="A230" t="s">
        <v>15</v>
      </c>
      <c r="B230" t="s">
        <v>74</v>
      </c>
      <c r="C230" t="s">
        <v>1322</v>
      </c>
      <c r="D230">
        <v>1</v>
      </c>
      <c r="E230">
        <v>3</v>
      </c>
      <c r="F230" t="s">
        <v>105</v>
      </c>
      <c r="G230" t="s">
        <v>11</v>
      </c>
      <c r="H230" t="s">
        <v>11</v>
      </c>
    </row>
    <row r="231" spans="1:8" x14ac:dyDescent="0.35">
      <c r="A231" t="s">
        <v>15</v>
      </c>
      <c r="B231" t="s">
        <v>74</v>
      </c>
      <c r="C231" t="s">
        <v>1323</v>
      </c>
      <c r="D231">
        <v>2</v>
      </c>
      <c r="E231">
        <v>3</v>
      </c>
      <c r="F231" t="s">
        <v>105</v>
      </c>
      <c r="G231" t="s">
        <v>11</v>
      </c>
      <c r="H231" t="s">
        <v>11</v>
      </c>
    </row>
    <row r="232" spans="1:8" x14ac:dyDescent="0.35">
      <c r="A232" t="s">
        <v>15</v>
      </c>
      <c r="B232" t="s">
        <v>74</v>
      </c>
      <c r="C232" t="s">
        <v>1222</v>
      </c>
      <c r="D232">
        <v>2</v>
      </c>
      <c r="E232">
        <v>3</v>
      </c>
      <c r="F232" t="s">
        <v>105</v>
      </c>
      <c r="G232" t="s">
        <v>11</v>
      </c>
      <c r="H232" t="s">
        <v>11</v>
      </c>
    </row>
    <row r="233" spans="1:8" x14ac:dyDescent="0.35">
      <c r="A233" t="s">
        <v>15</v>
      </c>
      <c r="B233" t="s">
        <v>74</v>
      </c>
      <c r="C233" t="s">
        <v>1324</v>
      </c>
      <c r="D233">
        <v>3</v>
      </c>
      <c r="E233">
        <v>3</v>
      </c>
      <c r="F233" t="s">
        <v>75</v>
      </c>
      <c r="G233" t="s">
        <v>11</v>
      </c>
      <c r="H233" t="s">
        <v>11</v>
      </c>
    </row>
    <row r="234" spans="1:8" x14ac:dyDescent="0.35">
      <c r="A234" t="s">
        <v>15</v>
      </c>
      <c r="B234" t="s">
        <v>74</v>
      </c>
      <c r="C234" t="s">
        <v>1325</v>
      </c>
      <c r="D234">
        <v>2</v>
      </c>
      <c r="E234">
        <v>5</v>
      </c>
      <c r="F234" t="s">
        <v>75</v>
      </c>
      <c r="G234" t="s">
        <v>11</v>
      </c>
      <c r="H234" t="s">
        <v>11</v>
      </c>
    </row>
    <row r="235" spans="1:8" x14ac:dyDescent="0.35">
      <c r="A235" t="s">
        <v>15</v>
      </c>
      <c r="B235" t="s">
        <v>74</v>
      </c>
      <c r="C235" t="s">
        <v>1326</v>
      </c>
      <c r="D235">
        <v>3</v>
      </c>
      <c r="E235">
        <v>5</v>
      </c>
      <c r="F235" t="s">
        <v>75</v>
      </c>
      <c r="G235" t="s">
        <v>11</v>
      </c>
      <c r="H235" t="s">
        <v>11</v>
      </c>
    </row>
    <row r="236" spans="1:8" x14ac:dyDescent="0.35">
      <c r="A236" t="s">
        <v>15</v>
      </c>
      <c r="B236" t="s">
        <v>74</v>
      </c>
      <c r="C236" t="s">
        <v>1327</v>
      </c>
      <c r="D236">
        <v>3</v>
      </c>
      <c r="E236">
        <v>3</v>
      </c>
      <c r="F236" t="s">
        <v>75</v>
      </c>
      <c r="G236" t="s">
        <v>11</v>
      </c>
      <c r="H236" t="s">
        <v>11</v>
      </c>
    </row>
    <row r="237" spans="1:8" x14ac:dyDescent="0.35">
      <c r="A237" t="s">
        <v>15</v>
      </c>
      <c r="B237" t="s">
        <v>74</v>
      </c>
      <c r="C237" t="s">
        <v>1328</v>
      </c>
      <c r="D237">
        <v>3</v>
      </c>
      <c r="E237">
        <v>3</v>
      </c>
      <c r="F237" t="s">
        <v>105</v>
      </c>
      <c r="G237" t="s">
        <v>11</v>
      </c>
      <c r="H237" t="s">
        <v>11</v>
      </c>
    </row>
    <row r="238" spans="1:8" x14ac:dyDescent="0.35">
      <c r="A238" t="s">
        <v>15</v>
      </c>
      <c r="B238" t="s">
        <v>74</v>
      </c>
      <c r="C238" t="s">
        <v>1329</v>
      </c>
      <c r="D238">
        <v>3</v>
      </c>
      <c r="E238">
        <v>3</v>
      </c>
      <c r="F238" t="s">
        <v>75</v>
      </c>
      <c r="G238" t="s">
        <v>11</v>
      </c>
      <c r="H238" t="s">
        <v>11</v>
      </c>
    </row>
    <row r="239" spans="1:8" x14ac:dyDescent="0.35">
      <c r="A239" t="s">
        <v>15</v>
      </c>
      <c r="B239" t="s">
        <v>74</v>
      </c>
      <c r="C239" t="s">
        <v>1330</v>
      </c>
      <c r="D239">
        <v>3</v>
      </c>
      <c r="E239">
        <v>3</v>
      </c>
      <c r="F239" t="s">
        <v>75</v>
      </c>
      <c r="G239" t="s">
        <v>11</v>
      </c>
      <c r="H239" t="s">
        <v>11</v>
      </c>
    </row>
    <row r="240" spans="1:8" x14ac:dyDescent="0.35">
      <c r="A240" t="s">
        <v>15</v>
      </c>
      <c r="B240" t="s">
        <v>74</v>
      </c>
      <c r="C240" t="s">
        <v>1331</v>
      </c>
      <c r="D240">
        <v>3</v>
      </c>
      <c r="E240">
        <v>3</v>
      </c>
      <c r="F240" t="s">
        <v>75</v>
      </c>
      <c r="G240" t="s">
        <v>11</v>
      </c>
      <c r="H240" t="s">
        <v>11</v>
      </c>
    </row>
    <row r="241" spans="1:8" x14ac:dyDescent="0.35">
      <c r="A241" t="s">
        <v>15</v>
      </c>
      <c r="B241" t="s">
        <v>74</v>
      </c>
      <c r="C241" t="s">
        <v>1332</v>
      </c>
      <c r="D241">
        <v>3</v>
      </c>
      <c r="E241">
        <v>4</v>
      </c>
      <c r="F241" t="s">
        <v>75</v>
      </c>
      <c r="G241" t="s">
        <v>11</v>
      </c>
      <c r="H241" t="s">
        <v>11</v>
      </c>
    </row>
    <row r="242" spans="1:8" x14ac:dyDescent="0.35">
      <c r="A242" t="s">
        <v>15</v>
      </c>
      <c r="B242" t="s">
        <v>74</v>
      </c>
      <c r="C242" t="s">
        <v>1333</v>
      </c>
      <c r="D242">
        <v>2</v>
      </c>
      <c r="E242">
        <v>3</v>
      </c>
      <c r="F242" t="s">
        <v>75</v>
      </c>
      <c r="G242" t="s">
        <v>11</v>
      </c>
      <c r="H242" t="s">
        <v>11</v>
      </c>
    </row>
    <row r="243" spans="1:8" x14ac:dyDescent="0.35">
      <c r="A243" t="s">
        <v>15</v>
      </c>
      <c r="B243" t="s">
        <v>74</v>
      </c>
      <c r="C243" t="s">
        <v>1334</v>
      </c>
      <c r="D243">
        <v>2</v>
      </c>
      <c r="E243">
        <v>4</v>
      </c>
      <c r="F243" t="s">
        <v>75</v>
      </c>
      <c r="G243" t="s">
        <v>11</v>
      </c>
      <c r="H243" t="s">
        <v>11</v>
      </c>
    </row>
    <row r="244" spans="1:8" x14ac:dyDescent="0.35">
      <c r="A244" t="s">
        <v>15</v>
      </c>
      <c r="B244" t="s">
        <v>74</v>
      </c>
      <c r="C244" t="s">
        <v>1335</v>
      </c>
      <c r="D244">
        <v>1</v>
      </c>
      <c r="E244">
        <v>3</v>
      </c>
      <c r="F244" t="s">
        <v>105</v>
      </c>
      <c r="G244" t="s">
        <v>11</v>
      </c>
      <c r="H244" t="s">
        <v>11</v>
      </c>
    </row>
    <row r="245" spans="1:8" x14ac:dyDescent="0.35">
      <c r="A245" t="s">
        <v>15</v>
      </c>
      <c r="B245" t="s">
        <v>74</v>
      </c>
      <c r="C245" t="s">
        <v>1336</v>
      </c>
      <c r="D245">
        <v>3</v>
      </c>
      <c r="E245">
        <v>3</v>
      </c>
      <c r="F245" t="s">
        <v>75</v>
      </c>
      <c r="G245" t="s">
        <v>11</v>
      </c>
      <c r="H245" t="s">
        <v>11</v>
      </c>
    </row>
    <row r="246" spans="1:8" x14ac:dyDescent="0.35">
      <c r="A246" t="s">
        <v>15</v>
      </c>
      <c r="B246" t="s">
        <v>74</v>
      </c>
      <c r="C246" t="s">
        <v>1337</v>
      </c>
      <c r="D246">
        <v>2</v>
      </c>
      <c r="E246">
        <v>3</v>
      </c>
      <c r="F246" t="s">
        <v>75</v>
      </c>
      <c r="G246" t="s">
        <v>11</v>
      </c>
      <c r="H246" t="s">
        <v>11</v>
      </c>
    </row>
    <row r="247" spans="1:8" x14ac:dyDescent="0.35">
      <c r="A247" t="s">
        <v>16</v>
      </c>
      <c r="B247" t="s">
        <v>40</v>
      </c>
      <c r="C247" t="s">
        <v>1338</v>
      </c>
      <c r="D247">
        <v>1</v>
      </c>
      <c r="E247">
        <v>5</v>
      </c>
      <c r="F247" t="s">
        <v>75</v>
      </c>
      <c r="G247" t="s">
        <v>11</v>
      </c>
      <c r="H247" t="s">
        <v>11</v>
      </c>
    </row>
    <row r="248" spans="1:8" x14ac:dyDescent="0.35">
      <c r="A248" t="s">
        <v>16</v>
      </c>
      <c r="B248" t="s">
        <v>40</v>
      </c>
      <c r="C248" t="s">
        <v>1339</v>
      </c>
      <c r="D248">
        <v>2</v>
      </c>
      <c r="E248">
        <v>6</v>
      </c>
      <c r="F248" t="s">
        <v>75</v>
      </c>
      <c r="G248" t="s">
        <v>11</v>
      </c>
      <c r="H248" t="s">
        <v>11</v>
      </c>
    </row>
    <row r="249" spans="1:8" x14ac:dyDescent="0.35">
      <c r="A249" t="s">
        <v>16</v>
      </c>
      <c r="B249" t="s">
        <v>40</v>
      </c>
      <c r="C249" t="s">
        <v>1340</v>
      </c>
      <c r="D249">
        <v>1</v>
      </c>
      <c r="E249">
        <v>5</v>
      </c>
      <c r="F249" t="s">
        <v>75</v>
      </c>
      <c r="G249" t="s">
        <v>11</v>
      </c>
      <c r="H249" t="s">
        <v>11</v>
      </c>
    </row>
    <row r="250" spans="1:8" x14ac:dyDescent="0.35">
      <c r="A250" t="s">
        <v>16</v>
      </c>
      <c r="B250" t="s">
        <v>40</v>
      </c>
      <c r="C250" t="s">
        <v>1341</v>
      </c>
      <c r="D250">
        <v>2</v>
      </c>
      <c r="E250">
        <v>6</v>
      </c>
      <c r="F250" t="s">
        <v>75</v>
      </c>
      <c r="G250" t="s">
        <v>11</v>
      </c>
      <c r="H250" t="s">
        <v>11</v>
      </c>
    </row>
    <row r="251" spans="1:8" x14ac:dyDescent="0.35">
      <c r="A251" t="s">
        <v>16</v>
      </c>
      <c r="B251" t="s">
        <v>40</v>
      </c>
      <c r="C251" t="s">
        <v>1342</v>
      </c>
      <c r="D251">
        <v>1</v>
      </c>
      <c r="E251">
        <v>4</v>
      </c>
      <c r="F251" t="s">
        <v>75</v>
      </c>
      <c r="G251" t="s">
        <v>11</v>
      </c>
      <c r="H251" t="s">
        <v>11</v>
      </c>
    </row>
    <row r="252" spans="1:8" x14ac:dyDescent="0.35">
      <c r="A252" t="s">
        <v>16</v>
      </c>
      <c r="B252" t="s">
        <v>40</v>
      </c>
      <c r="C252" t="s">
        <v>1343</v>
      </c>
      <c r="D252">
        <v>1</v>
      </c>
      <c r="E252">
        <v>5</v>
      </c>
      <c r="F252" t="s">
        <v>75</v>
      </c>
      <c r="G252" t="s">
        <v>11</v>
      </c>
      <c r="H252" t="s">
        <v>11</v>
      </c>
    </row>
    <row r="253" spans="1:8" x14ac:dyDescent="0.35">
      <c r="A253" t="s">
        <v>16</v>
      </c>
      <c r="B253" t="s">
        <v>40</v>
      </c>
      <c r="C253" t="s">
        <v>1344</v>
      </c>
      <c r="D253">
        <v>1</v>
      </c>
      <c r="E253">
        <v>5</v>
      </c>
      <c r="F253" t="s">
        <v>75</v>
      </c>
      <c r="G253" t="s">
        <v>11</v>
      </c>
      <c r="H253" t="s">
        <v>11</v>
      </c>
    </row>
    <row r="254" spans="1:8" x14ac:dyDescent="0.35">
      <c r="A254" t="s">
        <v>16</v>
      </c>
      <c r="B254" t="s">
        <v>40</v>
      </c>
      <c r="C254" t="s">
        <v>1345</v>
      </c>
      <c r="D254">
        <v>1</v>
      </c>
      <c r="E254">
        <v>5</v>
      </c>
      <c r="F254" t="s">
        <v>75</v>
      </c>
      <c r="G254" t="s">
        <v>11</v>
      </c>
      <c r="H254" t="s">
        <v>11</v>
      </c>
    </row>
    <row r="255" spans="1:8" x14ac:dyDescent="0.35">
      <c r="A255" t="s">
        <v>16</v>
      </c>
      <c r="B255" t="s">
        <v>40</v>
      </c>
      <c r="C255" t="s">
        <v>1346</v>
      </c>
      <c r="D255">
        <v>1</v>
      </c>
      <c r="E255">
        <v>6</v>
      </c>
      <c r="F255" t="s">
        <v>75</v>
      </c>
      <c r="G255" t="s">
        <v>11</v>
      </c>
      <c r="H255" t="s">
        <v>11</v>
      </c>
    </row>
    <row r="256" spans="1:8" x14ac:dyDescent="0.35">
      <c r="A256" t="s">
        <v>16</v>
      </c>
      <c r="B256" t="s">
        <v>40</v>
      </c>
      <c r="C256" t="s">
        <v>1347</v>
      </c>
      <c r="D256">
        <v>1</v>
      </c>
      <c r="E256">
        <v>5</v>
      </c>
      <c r="F256" t="s">
        <v>75</v>
      </c>
      <c r="G256" t="s">
        <v>11</v>
      </c>
      <c r="H256" t="s">
        <v>11</v>
      </c>
    </row>
    <row r="257" spans="1:8" x14ac:dyDescent="0.35">
      <c r="A257" t="s">
        <v>16</v>
      </c>
      <c r="B257" t="s">
        <v>40</v>
      </c>
      <c r="C257" t="s">
        <v>1348</v>
      </c>
      <c r="D257">
        <v>1</v>
      </c>
      <c r="E257">
        <v>7</v>
      </c>
      <c r="F257" t="s">
        <v>11</v>
      </c>
      <c r="G257" t="s">
        <v>11</v>
      </c>
      <c r="H257" t="s">
        <v>11</v>
      </c>
    </row>
    <row r="258" spans="1:8" x14ac:dyDescent="0.35">
      <c r="A258" t="s">
        <v>16</v>
      </c>
      <c r="B258" t="s">
        <v>40</v>
      </c>
      <c r="C258" t="s">
        <v>1349</v>
      </c>
      <c r="D258">
        <v>2</v>
      </c>
      <c r="E258">
        <v>6</v>
      </c>
      <c r="F258" t="s">
        <v>75</v>
      </c>
      <c r="G258" t="s">
        <v>11</v>
      </c>
      <c r="H258" t="s">
        <v>11</v>
      </c>
    </row>
    <row r="259" spans="1:8" x14ac:dyDescent="0.35">
      <c r="A259" t="s">
        <v>16</v>
      </c>
      <c r="B259" t="s">
        <v>40</v>
      </c>
      <c r="C259" t="s">
        <v>1350</v>
      </c>
      <c r="D259">
        <v>2</v>
      </c>
      <c r="E259">
        <v>6</v>
      </c>
      <c r="F259" t="s">
        <v>75</v>
      </c>
      <c r="G259" t="s">
        <v>11</v>
      </c>
      <c r="H259" t="s">
        <v>11</v>
      </c>
    </row>
    <row r="260" spans="1:8" x14ac:dyDescent="0.35">
      <c r="A260" t="s">
        <v>16</v>
      </c>
      <c r="B260" t="s">
        <v>40</v>
      </c>
      <c r="C260" t="s">
        <v>1351</v>
      </c>
      <c r="D260">
        <v>1</v>
      </c>
      <c r="E260">
        <v>5</v>
      </c>
      <c r="F260" t="s">
        <v>75</v>
      </c>
      <c r="G260" t="s">
        <v>11</v>
      </c>
      <c r="H260" t="s">
        <v>11</v>
      </c>
    </row>
    <row r="261" spans="1:8" x14ac:dyDescent="0.35">
      <c r="A261" t="s">
        <v>16</v>
      </c>
      <c r="B261" t="s">
        <v>40</v>
      </c>
      <c r="C261" t="s">
        <v>1352</v>
      </c>
      <c r="D261">
        <v>1</v>
      </c>
      <c r="E261">
        <v>6</v>
      </c>
      <c r="F261" t="s">
        <v>75</v>
      </c>
      <c r="G261" t="s">
        <v>11</v>
      </c>
      <c r="H261" t="s">
        <v>11</v>
      </c>
    </row>
    <row r="262" spans="1:8" x14ac:dyDescent="0.35">
      <c r="A262" t="s">
        <v>16</v>
      </c>
      <c r="B262" t="s">
        <v>40</v>
      </c>
      <c r="C262" t="s">
        <v>1353</v>
      </c>
      <c r="D262">
        <v>1</v>
      </c>
      <c r="E262">
        <v>5</v>
      </c>
      <c r="F262" t="s">
        <v>75</v>
      </c>
      <c r="G262" t="s">
        <v>11</v>
      </c>
      <c r="H262" t="s">
        <v>11</v>
      </c>
    </row>
    <row r="263" spans="1:8" x14ac:dyDescent="0.35">
      <c r="A263" t="s">
        <v>16</v>
      </c>
      <c r="B263" t="s">
        <v>40</v>
      </c>
      <c r="C263" t="s">
        <v>1354</v>
      </c>
      <c r="D263">
        <v>1</v>
      </c>
      <c r="E263">
        <v>5</v>
      </c>
      <c r="F263" t="s">
        <v>75</v>
      </c>
      <c r="G263" t="s">
        <v>11</v>
      </c>
      <c r="H263" t="s">
        <v>11</v>
      </c>
    </row>
    <row r="264" spans="1:8" x14ac:dyDescent="0.35">
      <c r="A264" t="s">
        <v>16</v>
      </c>
      <c r="B264" t="s">
        <v>40</v>
      </c>
      <c r="C264" t="s">
        <v>1355</v>
      </c>
      <c r="D264">
        <v>1</v>
      </c>
      <c r="E264">
        <v>6</v>
      </c>
      <c r="F264" t="s">
        <v>75</v>
      </c>
      <c r="G264" t="s">
        <v>11</v>
      </c>
      <c r="H264" t="s">
        <v>11</v>
      </c>
    </row>
    <row r="265" spans="1:8" x14ac:dyDescent="0.35">
      <c r="A265" t="s">
        <v>16</v>
      </c>
      <c r="B265" t="s">
        <v>40</v>
      </c>
      <c r="C265" t="s">
        <v>1356</v>
      </c>
      <c r="D265">
        <v>1</v>
      </c>
      <c r="E265">
        <v>5</v>
      </c>
      <c r="F265" t="s">
        <v>75</v>
      </c>
      <c r="G265" t="s">
        <v>11</v>
      </c>
      <c r="H265" t="s">
        <v>11</v>
      </c>
    </row>
    <row r="266" spans="1:8" x14ac:dyDescent="0.35">
      <c r="A266" t="s">
        <v>16</v>
      </c>
      <c r="B266" t="s">
        <v>40</v>
      </c>
      <c r="C266" t="s">
        <v>1357</v>
      </c>
      <c r="D266">
        <v>2</v>
      </c>
      <c r="E266">
        <v>6</v>
      </c>
      <c r="F266" t="s">
        <v>75</v>
      </c>
      <c r="G266" t="s">
        <v>11</v>
      </c>
      <c r="H266" t="s">
        <v>11</v>
      </c>
    </row>
    <row r="267" spans="1:8" x14ac:dyDescent="0.35">
      <c r="A267" t="s">
        <v>16</v>
      </c>
      <c r="B267" t="s">
        <v>40</v>
      </c>
      <c r="C267" t="s">
        <v>1358</v>
      </c>
      <c r="D267">
        <v>1</v>
      </c>
      <c r="E267">
        <v>5</v>
      </c>
      <c r="F267" t="s">
        <v>75</v>
      </c>
      <c r="G267" t="s">
        <v>11</v>
      </c>
      <c r="H267" t="s">
        <v>11</v>
      </c>
    </row>
    <row r="268" spans="1:8" x14ac:dyDescent="0.35">
      <c r="A268" t="s">
        <v>16</v>
      </c>
      <c r="B268" t="s">
        <v>40</v>
      </c>
      <c r="C268" t="s">
        <v>1359</v>
      </c>
      <c r="D268">
        <v>1</v>
      </c>
      <c r="E268">
        <v>5</v>
      </c>
      <c r="F268" t="s">
        <v>75</v>
      </c>
      <c r="G268" t="s">
        <v>11</v>
      </c>
      <c r="H268" t="s">
        <v>11</v>
      </c>
    </row>
    <row r="269" spans="1:8" x14ac:dyDescent="0.35">
      <c r="A269" t="s">
        <v>16</v>
      </c>
      <c r="B269" t="s">
        <v>40</v>
      </c>
      <c r="C269" t="s">
        <v>1360</v>
      </c>
      <c r="D269">
        <v>1</v>
      </c>
      <c r="E269">
        <v>5</v>
      </c>
      <c r="F269" t="s">
        <v>75</v>
      </c>
      <c r="G269" t="s">
        <v>11</v>
      </c>
      <c r="H269" t="s">
        <v>11</v>
      </c>
    </row>
    <row r="270" spans="1:8" x14ac:dyDescent="0.35">
      <c r="A270" t="s">
        <v>16</v>
      </c>
      <c r="B270" t="s">
        <v>40</v>
      </c>
      <c r="C270" t="s">
        <v>1361</v>
      </c>
      <c r="D270">
        <v>1</v>
      </c>
      <c r="E270">
        <v>5</v>
      </c>
      <c r="F270" t="s">
        <v>75</v>
      </c>
      <c r="G270" t="s">
        <v>11</v>
      </c>
      <c r="H270" t="s">
        <v>11</v>
      </c>
    </row>
    <row r="271" spans="1:8" x14ac:dyDescent="0.35">
      <c r="A271" t="s">
        <v>16</v>
      </c>
      <c r="B271" t="s">
        <v>40</v>
      </c>
      <c r="C271" t="s">
        <v>1362</v>
      </c>
      <c r="D271">
        <v>1</v>
      </c>
      <c r="E271">
        <v>5</v>
      </c>
      <c r="F271" t="s">
        <v>75</v>
      </c>
      <c r="G271" t="s">
        <v>11</v>
      </c>
      <c r="H271" t="s">
        <v>11</v>
      </c>
    </row>
    <row r="272" spans="1:8" x14ac:dyDescent="0.35">
      <c r="A272" t="s">
        <v>16</v>
      </c>
      <c r="B272" t="s">
        <v>40</v>
      </c>
      <c r="C272" t="s">
        <v>1363</v>
      </c>
      <c r="D272">
        <v>1</v>
      </c>
      <c r="E272">
        <v>7</v>
      </c>
      <c r="F272" t="s">
        <v>11</v>
      </c>
      <c r="G272" t="s">
        <v>11</v>
      </c>
      <c r="H272" t="s">
        <v>11</v>
      </c>
    </row>
    <row r="273" spans="1:8" x14ac:dyDescent="0.35">
      <c r="A273" t="s">
        <v>16</v>
      </c>
      <c r="B273" t="s">
        <v>40</v>
      </c>
      <c r="C273" t="s">
        <v>1364</v>
      </c>
      <c r="D273">
        <v>1</v>
      </c>
      <c r="E273">
        <v>7</v>
      </c>
      <c r="F273" t="s">
        <v>11</v>
      </c>
      <c r="G273" t="s">
        <v>11</v>
      </c>
      <c r="H273" t="s">
        <v>11</v>
      </c>
    </row>
    <row r="274" spans="1:8" x14ac:dyDescent="0.35">
      <c r="A274" t="s">
        <v>16</v>
      </c>
      <c r="B274" t="s">
        <v>40</v>
      </c>
      <c r="C274" t="s">
        <v>1365</v>
      </c>
      <c r="D274">
        <v>2</v>
      </c>
      <c r="E274">
        <v>7</v>
      </c>
      <c r="F274" t="s">
        <v>11</v>
      </c>
      <c r="G274" t="s">
        <v>11</v>
      </c>
      <c r="H274" t="s">
        <v>11</v>
      </c>
    </row>
    <row r="275" spans="1:8" x14ac:dyDescent="0.35">
      <c r="A275" t="s">
        <v>16</v>
      </c>
      <c r="B275" t="s">
        <v>40</v>
      </c>
      <c r="C275" t="s">
        <v>1366</v>
      </c>
      <c r="D275">
        <v>1</v>
      </c>
      <c r="E275">
        <v>5</v>
      </c>
      <c r="F275" t="s">
        <v>75</v>
      </c>
      <c r="G275" t="s">
        <v>11</v>
      </c>
      <c r="H275" t="s">
        <v>11</v>
      </c>
    </row>
    <row r="276" spans="1:8" x14ac:dyDescent="0.35">
      <c r="A276" t="s">
        <v>16</v>
      </c>
      <c r="B276" t="s">
        <v>40</v>
      </c>
      <c r="C276" t="s">
        <v>1148</v>
      </c>
      <c r="D276">
        <v>1</v>
      </c>
      <c r="E276">
        <v>7</v>
      </c>
      <c r="F276" t="s">
        <v>11</v>
      </c>
      <c r="G276" t="s">
        <v>11</v>
      </c>
      <c r="H276" t="s">
        <v>11</v>
      </c>
    </row>
    <row r="277" spans="1:8" x14ac:dyDescent="0.35">
      <c r="A277" t="s">
        <v>16</v>
      </c>
      <c r="B277" t="s">
        <v>40</v>
      </c>
      <c r="C277" t="s">
        <v>1149</v>
      </c>
      <c r="D277">
        <v>1</v>
      </c>
      <c r="E277">
        <v>5</v>
      </c>
      <c r="F277" t="s">
        <v>75</v>
      </c>
      <c r="G277" t="s">
        <v>11</v>
      </c>
      <c r="H277" t="s">
        <v>11</v>
      </c>
    </row>
    <row r="278" spans="1:8" x14ac:dyDescent="0.35">
      <c r="A278" t="s">
        <v>16</v>
      </c>
      <c r="B278" t="s">
        <v>40</v>
      </c>
      <c r="C278" t="s">
        <v>1367</v>
      </c>
      <c r="D278">
        <v>1</v>
      </c>
      <c r="E278">
        <v>5</v>
      </c>
      <c r="F278" t="s">
        <v>75</v>
      </c>
      <c r="G278" t="s">
        <v>11</v>
      </c>
      <c r="H278" t="s">
        <v>11</v>
      </c>
    </row>
    <row r="279" spans="1:8" x14ac:dyDescent="0.35">
      <c r="A279" t="s">
        <v>16</v>
      </c>
      <c r="B279" t="s">
        <v>40</v>
      </c>
      <c r="C279" t="s">
        <v>1368</v>
      </c>
      <c r="D279">
        <v>1</v>
      </c>
      <c r="E279">
        <v>5</v>
      </c>
      <c r="F279" t="s">
        <v>75</v>
      </c>
      <c r="G279" t="s">
        <v>11</v>
      </c>
      <c r="H279" t="s">
        <v>11</v>
      </c>
    </row>
    <row r="280" spans="1:8" x14ac:dyDescent="0.35">
      <c r="A280" t="s">
        <v>16</v>
      </c>
      <c r="B280" t="s">
        <v>40</v>
      </c>
      <c r="C280" t="s">
        <v>1369</v>
      </c>
      <c r="D280">
        <v>2</v>
      </c>
      <c r="E280">
        <v>5</v>
      </c>
      <c r="F280" t="s">
        <v>75</v>
      </c>
      <c r="G280" t="s">
        <v>11</v>
      </c>
      <c r="H280" t="s">
        <v>11</v>
      </c>
    </row>
    <row r="281" spans="1:8" x14ac:dyDescent="0.35">
      <c r="A281" t="s">
        <v>16</v>
      </c>
      <c r="B281" t="s">
        <v>40</v>
      </c>
      <c r="C281" t="s">
        <v>1298</v>
      </c>
      <c r="D281">
        <v>1</v>
      </c>
      <c r="E281">
        <v>7</v>
      </c>
      <c r="F281" t="s">
        <v>11</v>
      </c>
      <c r="G281" t="s">
        <v>11</v>
      </c>
      <c r="H281" t="s">
        <v>11</v>
      </c>
    </row>
    <row r="282" spans="1:8" x14ac:dyDescent="0.35">
      <c r="A282" t="s">
        <v>16</v>
      </c>
      <c r="B282" t="s">
        <v>40</v>
      </c>
      <c r="C282" t="s">
        <v>1370</v>
      </c>
      <c r="D282">
        <v>1</v>
      </c>
      <c r="E282">
        <v>5</v>
      </c>
      <c r="F282" t="s">
        <v>75</v>
      </c>
      <c r="G282" t="s">
        <v>11</v>
      </c>
      <c r="H282" t="s">
        <v>11</v>
      </c>
    </row>
    <row r="283" spans="1:8" x14ac:dyDescent="0.35">
      <c r="A283" t="s">
        <v>16</v>
      </c>
      <c r="B283" t="s">
        <v>40</v>
      </c>
      <c r="C283" t="s">
        <v>1371</v>
      </c>
      <c r="D283">
        <v>1</v>
      </c>
      <c r="E283">
        <v>4</v>
      </c>
      <c r="F283" t="s">
        <v>75</v>
      </c>
      <c r="G283" t="s">
        <v>11</v>
      </c>
      <c r="H283" t="s">
        <v>11</v>
      </c>
    </row>
    <row r="284" spans="1:8" x14ac:dyDescent="0.35">
      <c r="A284" t="s">
        <v>16</v>
      </c>
      <c r="B284" t="s">
        <v>40</v>
      </c>
      <c r="C284" t="s">
        <v>1254</v>
      </c>
      <c r="D284">
        <v>1</v>
      </c>
      <c r="E284">
        <v>5</v>
      </c>
      <c r="F284" t="s">
        <v>75</v>
      </c>
      <c r="G284" t="s">
        <v>11</v>
      </c>
      <c r="H284" t="s">
        <v>11</v>
      </c>
    </row>
    <row r="285" spans="1:8" x14ac:dyDescent="0.35">
      <c r="A285" t="s">
        <v>16</v>
      </c>
      <c r="B285" t="s">
        <v>40</v>
      </c>
      <c r="C285" t="s">
        <v>1256</v>
      </c>
      <c r="D285">
        <v>1</v>
      </c>
      <c r="E285">
        <v>5</v>
      </c>
      <c r="F285" t="s">
        <v>75</v>
      </c>
      <c r="G285" t="s">
        <v>11</v>
      </c>
      <c r="H285" t="s">
        <v>11</v>
      </c>
    </row>
    <row r="286" spans="1:8" x14ac:dyDescent="0.35">
      <c r="A286" t="s">
        <v>16</v>
      </c>
      <c r="B286" t="s">
        <v>40</v>
      </c>
      <c r="C286" t="s">
        <v>1372</v>
      </c>
      <c r="D286">
        <v>1</v>
      </c>
      <c r="E286">
        <v>5</v>
      </c>
      <c r="F286" t="s">
        <v>75</v>
      </c>
      <c r="G286" t="s">
        <v>11</v>
      </c>
      <c r="H286" t="s">
        <v>11</v>
      </c>
    </row>
    <row r="287" spans="1:8" x14ac:dyDescent="0.35">
      <c r="A287" t="s">
        <v>16</v>
      </c>
      <c r="B287" t="s">
        <v>40</v>
      </c>
      <c r="C287" t="s">
        <v>1373</v>
      </c>
      <c r="D287">
        <v>2</v>
      </c>
      <c r="E287">
        <v>7</v>
      </c>
      <c r="F287" t="s">
        <v>11</v>
      </c>
      <c r="G287" t="s">
        <v>11</v>
      </c>
      <c r="H287" t="s">
        <v>11</v>
      </c>
    </row>
    <row r="288" spans="1:8" x14ac:dyDescent="0.35">
      <c r="A288" t="s">
        <v>16</v>
      </c>
      <c r="B288" t="s">
        <v>40</v>
      </c>
      <c r="C288" t="s">
        <v>1374</v>
      </c>
      <c r="D288">
        <v>1</v>
      </c>
      <c r="E288">
        <v>6</v>
      </c>
      <c r="F288" t="s">
        <v>75</v>
      </c>
      <c r="G288" t="s">
        <v>11</v>
      </c>
      <c r="H288" t="s">
        <v>11</v>
      </c>
    </row>
    <row r="289" spans="1:8" x14ac:dyDescent="0.35">
      <c r="A289" t="s">
        <v>16</v>
      </c>
      <c r="B289" t="s">
        <v>40</v>
      </c>
      <c r="C289" t="s">
        <v>1375</v>
      </c>
      <c r="D289">
        <v>1</v>
      </c>
      <c r="E289">
        <v>5</v>
      </c>
      <c r="F289" t="s">
        <v>75</v>
      </c>
      <c r="G289" t="s">
        <v>11</v>
      </c>
      <c r="H289" t="s">
        <v>11</v>
      </c>
    </row>
    <row r="290" spans="1:8" x14ac:dyDescent="0.35">
      <c r="A290" t="s">
        <v>16</v>
      </c>
      <c r="B290" t="s">
        <v>40</v>
      </c>
      <c r="C290" t="s">
        <v>1376</v>
      </c>
      <c r="D290">
        <v>1</v>
      </c>
      <c r="E290">
        <v>5</v>
      </c>
      <c r="F290" t="s">
        <v>75</v>
      </c>
      <c r="G290" t="s">
        <v>11</v>
      </c>
      <c r="H290" t="s">
        <v>11</v>
      </c>
    </row>
    <row r="291" spans="1:8" x14ac:dyDescent="0.35">
      <c r="A291" t="s">
        <v>16</v>
      </c>
      <c r="B291" t="s">
        <v>40</v>
      </c>
      <c r="C291" t="s">
        <v>1164</v>
      </c>
      <c r="D291">
        <v>1</v>
      </c>
      <c r="E291">
        <v>5</v>
      </c>
      <c r="F291" t="s">
        <v>75</v>
      </c>
      <c r="G291" t="s">
        <v>11</v>
      </c>
      <c r="H291" t="s">
        <v>11</v>
      </c>
    </row>
    <row r="292" spans="1:8" x14ac:dyDescent="0.35">
      <c r="A292" t="s">
        <v>16</v>
      </c>
      <c r="B292" t="s">
        <v>40</v>
      </c>
      <c r="C292" t="s">
        <v>1377</v>
      </c>
      <c r="D292">
        <v>1</v>
      </c>
      <c r="E292">
        <v>4</v>
      </c>
      <c r="F292" t="s">
        <v>75</v>
      </c>
      <c r="G292" t="s">
        <v>11</v>
      </c>
      <c r="H292" t="s">
        <v>11</v>
      </c>
    </row>
    <row r="293" spans="1:8" x14ac:dyDescent="0.35">
      <c r="A293" t="s">
        <v>16</v>
      </c>
      <c r="B293" t="s">
        <v>40</v>
      </c>
      <c r="C293" t="s">
        <v>1378</v>
      </c>
      <c r="D293">
        <v>1</v>
      </c>
      <c r="E293">
        <v>6</v>
      </c>
      <c r="F293" t="s">
        <v>75</v>
      </c>
      <c r="G293" t="s">
        <v>11</v>
      </c>
      <c r="H293" t="s">
        <v>11</v>
      </c>
    </row>
    <row r="294" spans="1:8" x14ac:dyDescent="0.35">
      <c r="A294" t="s">
        <v>16</v>
      </c>
      <c r="B294" t="s">
        <v>40</v>
      </c>
      <c r="C294" t="s">
        <v>1379</v>
      </c>
      <c r="D294">
        <v>1</v>
      </c>
      <c r="E294">
        <v>7</v>
      </c>
      <c r="F294" t="s">
        <v>11</v>
      </c>
      <c r="G294" t="s">
        <v>11</v>
      </c>
      <c r="H294" t="s">
        <v>11</v>
      </c>
    </row>
    <row r="295" spans="1:8" x14ac:dyDescent="0.35">
      <c r="A295" t="s">
        <v>16</v>
      </c>
      <c r="B295" t="s">
        <v>40</v>
      </c>
      <c r="C295" t="s">
        <v>1263</v>
      </c>
      <c r="D295">
        <v>1</v>
      </c>
      <c r="E295">
        <v>5</v>
      </c>
      <c r="F295" t="s">
        <v>75</v>
      </c>
      <c r="G295" t="s">
        <v>11</v>
      </c>
      <c r="H295" t="s">
        <v>11</v>
      </c>
    </row>
    <row r="296" spans="1:8" x14ac:dyDescent="0.35">
      <c r="A296" t="s">
        <v>16</v>
      </c>
      <c r="B296" t="s">
        <v>40</v>
      </c>
      <c r="C296" t="s">
        <v>1380</v>
      </c>
      <c r="D296">
        <v>1</v>
      </c>
      <c r="E296">
        <v>7</v>
      </c>
      <c r="F296" t="s">
        <v>11</v>
      </c>
      <c r="G296" t="s">
        <v>11</v>
      </c>
      <c r="H296" t="s">
        <v>11</v>
      </c>
    </row>
    <row r="297" spans="1:8" x14ac:dyDescent="0.35">
      <c r="A297" t="s">
        <v>16</v>
      </c>
      <c r="B297" t="s">
        <v>40</v>
      </c>
      <c r="C297" t="s">
        <v>1381</v>
      </c>
      <c r="D297">
        <v>1</v>
      </c>
      <c r="E297">
        <v>5</v>
      </c>
      <c r="F297" t="s">
        <v>75</v>
      </c>
      <c r="G297" t="s">
        <v>11</v>
      </c>
      <c r="H297" t="s">
        <v>11</v>
      </c>
    </row>
    <row r="298" spans="1:8" x14ac:dyDescent="0.35">
      <c r="A298" t="s">
        <v>16</v>
      </c>
      <c r="B298" t="s">
        <v>40</v>
      </c>
      <c r="C298" t="s">
        <v>1382</v>
      </c>
      <c r="D298">
        <v>1</v>
      </c>
      <c r="E298">
        <v>5</v>
      </c>
      <c r="F298" t="s">
        <v>75</v>
      </c>
      <c r="G298" t="s">
        <v>11</v>
      </c>
      <c r="H298" t="s">
        <v>11</v>
      </c>
    </row>
    <row r="299" spans="1:8" x14ac:dyDescent="0.35">
      <c r="A299" t="s">
        <v>16</v>
      </c>
      <c r="B299" t="s">
        <v>40</v>
      </c>
      <c r="C299" t="s">
        <v>1383</v>
      </c>
      <c r="D299">
        <v>1</v>
      </c>
      <c r="E299">
        <v>6</v>
      </c>
      <c r="F299" t="s">
        <v>75</v>
      </c>
      <c r="G299" t="s">
        <v>11</v>
      </c>
      <c r="H299" t="s">
        <v>11</v>
      </c>
    </row>
    <row r="300" spans="1:8" x14ac:dyDescent="0.35">
      <c r="A300" t="s">
        <v>16</v>
      </c>
      <c r="B300" t="s">
        <v>40</v>
      </c>
      <c r="C300" t="s">
        <v>1384</v>
      </c>
      <c r="D300">
        <v>2</v>
      </c>
      <c r="E300">
        <v>7</v>
      </c>
      <c r="F300" t="s">
        <v>11</v>
      </c>
      <c r="G300" t="s">
        <v>11</v>
      </c>
      <c r="H300" t="s">
        <v>11</v>
      </c>
    </row>
    <row r="301" spans="1:8" x14ac:dyDescent="0.35">
      <c r="A301" t="s">
        <v>16</v>
      </c>
      <c r="B301" t="s">
        <v>40</v>
      </c>
      <c r="C301" t="s">
        <v>1385</v>
      </c>
      <c r="D301">
        <v>2</v>
      </c>
      <c r="E301">
        <v>7</v>
      </c>
      <c r="F301" t="s">
        <v>11</v>
      </c>
      <c r="G301" t="s">
        <v>11</v>
      </c>
      <c r="H301" t="s">
        <v>11</v>
      </c>
    </row>
    <row r="302" spans="1:8" x14ac:dyDescent="0.35">
      <c r="A302" t="s">
        <v>16</v>
      </c>
      <c r="B302" t="s">
        <v>40</v>
      </c>
      <c r="C302" t="s">
        <v>1386</v>
      </c>
      <c r="D302">
        <v>2</v>
      </c>
      <c r="E302">
        <v>6</v>
      </c>
      <c r="F302" t="s">
        <v>75</v>
      </c>
      <c r="G302" t="s">
        <v>11</v>
      </c>
      <c r="H302" t="s">
        <v>11</v>
      </c>
    </row>
    <row r="303" spans="1:8" x14ac:dyDescent="0.35">
      <c r="A303" t="s">
        <v>16</v>
      </c>
      <c r="B303" t="s">
        <v>40</v>
      </c>
      <c r="C303" t="s">
        <v>1387</v>
      </c>
      <c r="D303">
        <v>2</v>
      </c>
      <c r="E303">
        <v>7</v>
      </c>
      <c r="F303" t="s">
        <v>11</v>
      </c>
      <c r="G303" t="s">
        <v>11</v>
      </c>
      <c r="H303" t="s">
        <v>11</v>
      </c>
    </row>
    <row r="304" spans="1:8" x14ac:dyDescent="0.35">
      <c r="A304" t="s">
        <v>16</v>
      </c>
      <c r="B304" t="s">
        <v>40</v>
      </c>
      <c r="C304" t="s">
        <v>1388</v>
      </c>
      <c r="D304">
        <v>1</v>
      </c>
      <c r="E304">
        <v>6</v>
      </c>
      <c r="F304" t="s">
        <v>75</v>
      </c>
      <c r="G304" t="s">
        <v>11</v>
      </c>
      <c r="H304" t="s">
        <v>11</v>
      </c>
    </row>
    <row r="305" spans="1:8" x14ac:dyDescent="0.35">
      <c r="A305" t="s">
        <v>16</v>
      </c>
      <c r="B305" t="s">
        <v>40</v>
      </c>
      <c r="C305" t="s">
        <v>1389</v>
      </c>
      <c r="D305">
        <v>1</v>
      </c>
      <c r="E305">
        <v>5</v>
      </c>
      <c r="F305" t="s">
        <v>75</v>
      </c>
      <c r="G305" t="s">
        <v>11</v>
      </c>
      <c r="H305" t="s">
        <v>11</v>
      </c>
    </row>
    <row r="306" spans="1:8" x14ac:dyDescent="0.35">
      <c r="A306" t="s">
        <v>16</v>
      </c>
      <c r="B306" t="s">
        <v>40</v>
      </c>
      <c r="C306" t="s">
        <v>1390</v>
      </c>
      <c r="D306">
        <v>1</v>
      </c>
      <c r="E306">
        <v>7</v>
      </c>
      <c r="F306" t="s">
        <v>11</v>
      </c>
      <c r="G306" t="s">
        <v>11</v>
      </c>
      <c r="H306" t="s">
        <v>11</v>
      </c>
    </row>
    <row r="307" spans="1:8" x14ac:dyDescent="0.35">
      <c r="A307" t="s">
        <v>16</v>
      </c>
      <c r="B307" t="s">
        <v>40</v>
      </c>
      <c r="C307" t="s">
        <v>1391</v>
      </c>
      <c r="D307">
        <v>1</v>
      </c>
      <c r="E307">
        <v>5</v>
      </c>
      <c r="F307" t="s">
        <v>75</v>
      </c>
      <c r="G307" t="s">
        <v>11</v>
      </c>
      <c r="H307" t="s">
        <v>11</v>
      </c>
    </row>
    <row r="308" spans="1:8" x14ac:dyDescent="0.35">
      <c r="A308" t="s">
        <v>16</v>
      </c>
      <c r="B308" t="s">
        <v>40</v>
      </c>
      <c r="C308" t="s">
        <v>1177</v>
      </c>
      <c r="D308">
        <v>1</v>
      </c>
      <c r="E308">
        <v>5</v>
      </c>
      <c r="F308" t="s">
        <v>75</v>
      </c>
      <c r="G308" t="s">
        <v>11</v>
      </c>
      <c r="H308" t="s">
        <v>11</v>
      </c>
    </row>
    <row r="309" spans="1:8" x14ac:dyDescent="0.35">
      <c r="A309" t="s">
        <v>16</v>
      </c>
      <c r="B309" t="s">
        <v>40</v>
      </c>
      <c r="C309" t="s">
        <v>1392</v>
      </c>
      <c r="D309">
        <v>1</v>
      </c>
      <c r="E309">
        <v>5</v>
      </c>
      <c r="F309" t="s">
        <v>75</v>
      </c>
      <c r="G309" t="s">
        <v>11</v>
      </c>
      <c r="H309" t="s">
        <v>11</v>
      </c>
    </row>
    <row r="310" spans="1:8" x14ac:dyDescent="0.35">
      <c r="A310" t="s">
        <v>16</v>
      </c>
      <c r="B310" t="s">
        <v>40</v>
      </c>
      <c r="C310" t="s">
        <v>1224</v>
      </c>
      <c r="D310">
        <v>1</v>
      </c>
      <c r="E310">
        <v>5</v>
      </c>
      <c r="F310" t="s">
        <v>75</v>
      </c>
      <c r="G310" t="s">
        <v>11</v>
      </c>
      <c r="H310" t="s">
        <v>11</v>
      </c>
    </row>
    <row r="311" spans="1:8" x14ac:dyDescent="0.35">
      <c r="A311" t="s">
        <v>17</v>
      </c>
      <c r="B311" t="s">
        <v>87</v>
      </c>
      <c r="C311" t="s">
        <v>1393</v>
      </c>
      <c r="D311">
        <v>1</v>
      </c>
      <c r="E311">
        <v>5</v>
      </c>
      <c r="F311" t="s">
        <v>7</v>
      </c>
      <c r="G311" t="s">
        <v>11</v>
      </c>
      <c r="H311" t="s">
        <v>11</v>
      </c>
    </row>
    <row r="312" spans="1:8" x14ac:dyDescent="0.35">
      <c r="A312" t="s">
        <v>17</v>
      </c>
      <c r="B312" t="s">
        <v>87</v>
      </c>
      <c r="C312" t="s">
        <v>1394</v>
      </c>
      <c r="D312">
        <v>3</v>
      </c>
      <c r="E312">
        <v>5</v>
      </c>
      <c r="F312" t="s">
        <v>7</v>
      </c>
      <c r="G312" t="s">
        <v>11</v>
      </c>
      <c r="H312" t="s">
        <v>11</v>
      </c>
    </row>
    <row r="313" spans="1:8" x14ac:dyDescent="0.35">
      <c r="A313" t="s">
        <v>17</v>
      </c>
      <c r="B313" t="s">
        <v>87</v>
      </c>
      <c r="C313" t="s">
        <v>1395</v>
      </c>
      <c r="D313">
        <v>2</v>
      </c>
      <c r="E313">
        <v>5</v>
      </c>
      <c r="F313" t="s">
        <v>7</v>
      </c>
      <c r="G313" t="s">
        <v>11</v>
      </c>
      <c r="H313" t="s">
        <v>11</v>
      </c>
    </row>
    <row r="314" spans="1:8" x14ac:dyDescent="0.35">
      <c r="A314" t="s">
        <v>17</v>
      </c>
      <c r="B314" t="s">
        <v>87</v>
      </c>
      <c r="C314" t="s">
        <v>1396</v>
      </c>
      <c r="D314">
        <v>1</v>
      </c>
      <c r="E314">
        <v>5</v>
      </c>
      <c r="F314" t="s">
        <v>7</v>
      </c>
      <c r="G314" t="s">
        <v>11</v>
      </c>
      <c r="H314" t="s">
        <v>11</v>
      </c>
    </row>
    <row r="315" spans="1:8" x14ac:dyDescent="0.35">
      <c r="A315" t="s">
        <v>17</v>
      </c>
      <c r="B315" t="s">
        <v>87</v>
      </c>
      <c r="C315" t="s">
        <v>1397</v>
      </c>
      <c r="D315">
        <v>1</v>
      </c>
      <c r="E315">
        <v>5</v>
      </c>
      <c r="F315" t="s">
        <v>7</v>
      </c>
      <c r="G315" t="s">
        <v>11</v>
      </c>
      <c r="H315" t="s">
        <v>11</v>
      </c>
    </row>
    <row r="316" spans="1:8" x14ac:dyDescent="0.35">
      <c r="A316" t="s">
        <v>17</v>
      </c>
      <c r="B316" t="s">
        <v>87</v>
      </c>
      <c r="C316" t="s">
        <v>1398</v>
      </c>
      <c r="D316">
        <v>1</v>
      </c>
      <c r="E316">
        <v>5</v>
      </c>
      <c r="F316" t="s">
        <v>7</v>
      </c>
      <c r="G316" t="s">
        <v>11</v>
      </c>
      <c r="H316" t="s">
        <v>11</v>
      </c>
    </row>
    <row r="317" spans="1:8" x14ac:dyDescent="0.35">
      <c r="A317" t="s">
        <v>17</v>
      </c>
      <c r="B317" t="s">
        <v>87</v>
      </c>
      <c r="C317" t="s">
        <v>1399</v>
      </c>
      <c r="D317">
        <v>2</v>
      </c>
      <c r="E317">
        <v>5</v>
      </c>
      <c r="F317" t="s">
        <v>7</v>
      </c>
      <c r="G317" t="s">
        <v>11</v>
      </c>
      <c r="H317" t="s">
        <v>11</v>
      </c>
    </row>
    <row r="318" spans="1:8" x14ac:dyDescent="0.35">
      <c r="A318" t="s">
        <v>17</v>
      </c>
      <c r="B318" t="s">
        <v>87</v>
      </c>
      <c r="C318" t="s">
        <v>1400</v>
      </c>
      <c r="D318">
        <v>2</v>
      </c>
      <c r="E318">
        <v>5</v>
      </c>
      <c r="F318" t="s">
        <v>7</v>
      </c>
      <c r="G318" t="s">
        <v>11</v>
      </c>
      <c r="H318" t="s">
        <v>11</v>
      </c>
    </row>
    <row r="319" spans="1:8" x14ac:dyDescent="0.35">
      <c r="A319" t="s">
        <v>19</v>
      </c>
      <c r="B319" t="s">
        <v>106</v>
      </c>
      <c r="C319" t="s">
        <v>1401</v>
      </c>
      <c r="D319">
        <v>3</v>
      </c>
      <c r="E319">
        <v>4</v>
      </c>
      <c r="F319" t="s">
        <v>7</v>
      </c>
      <c r="G319" t="s">
        <v>11</v>
      </c>
      <c r="H319" t="s">
        <v>11</v>
      </c>
    </row>
    <row r="320" spans="1:8" x14ac:dyDescent="0.35">
      <c r="A320" t="s">
        <v>19</v>
      </c>
      <c r="B320" t="s">
        <v>106</v>
      </c>
      <c r="C320" t="s">
        <v>1402</v>
      </c>
      <c r="D320">
        <v>2</v>
      </c>
      <c r="E320">
        <v>4</v>
      </c>
      <c r="F320" t="s">
        <v>7</v>
      </c>
      <c r="G320" t="s">
        <v>11</v>
      </c>
      <c r="H320" t="s">
        <v>11</v>
      </c>
    </row>
    <row r="321" spans="1:8" x14ac:dyDescent="0.35">
      <c r="A321" t="s">
        <v>19</v>
      </c>
      <c r="B321" t="s">
        <v>106</v>
      </c>
      <c r="C321" t="s">
        <v>1403</v>
      </c>
      <c r="D321">
        <v>3</v>
      </c>
      <c r="E321">
        <v>4</v>
      </c>
      <c r="F321" t="s">
        <v>7</v>
      </c>
      <c r="G321" t="s">
        <v>11</v>
      </c>
      <c r="H321" t="s">
        <v>11</v>
      </c>
    </row>
    <row r="322" spans="1:8" x14ac:dyDescent="0.35">
      <c r="A322" t="s">
        <v>18</v>
      </c>
      <c r="B322" t="s">
        <v>107</v>
      </c>
      <c r="C322" t="s">
        <v>1404</v>
      </c>
      <c r="D322">
        <v>3</v>
      </c>
      <c r="E322">
        <v>4</v>
      </c>
      <c r="F322" t="s">
        <v>7</v>
      </c>
      <c r="G322" t="s">
        <v>11</v>
      </c>
      <c r="H322" t="s">
        <v>11</v>
      </c>
    </row>
    <row r="323" spans="1:8" x14ac:dyDescent="0.35">
      <c r="A323" t="s">
        <v>5817</v>
      </c>
      <c r="B323" t="s">
        <v>5818</v>
      </c>
      <c r="C323" t="s">
        <v>5819</v>
      </c>
      <c r="D323">
        <v>2</v>
      </c>
      <c r="E323">
        <v>1</v>
      </c>
      <c r="F323" t="s">
        <v>7</v>
      </c>
      <c r="G323" t="s">
        <v>115</v>
      </c>
      <c r="H323" t="s">
        <v>3455</v>
      </c>
    </row>
    <row r="324" spans="1:8" x14ac:dyDescent="0.35">
      <c r="A324" t="s">
        <v>5817</v>
      </c>
      <c r="B324" t="s">
        <v>5818</v>
      </c>
      <c r="C324" t="s">
        <v>5820</v>
      </c>
      <c r="D324">
        <v>2</v>
      </c>
      <c r="E324">
        <v>1</v>
      </c>
      <c r="F324" t="s">
        <v>7</v>
      </c>
      <c r="G324" t="s">
        <v>115</v>
      </c>
      <c r="H324" t="s">
        <v>3455</v>
      </c>
    </row>
    <row r="325" spans="1:8" x14ac:dyDescent="0.35">
      <c r="A325" t="s">
        <v>5817</v>
      </c>
      <c r="B325" t="s">
        <v>5818</v>
      </c>
      <c r="C325" t="s">
        <v>5821</v>
      </c>
      <c r="D325">
        <v>2</v>
      </c>
      <c r="E325">
        <v>1</v>
      </c>
      <c r="F325" t="s">
        <v>7</v>
      </c>
      <c r="G325" t="s">
        <v>115</v>
      </c>
      <c r="H325" t="s">
        <v>3455</v>
      </c>
    </row>
    <row r="326" spans="1:8" x14ac:dyDescent="0.35">
      <c r="A326" t="s">
        <v>5817</v>
      </c>
      <c r="B326" t="s">
        <v>5818</v>
      </c>
      <c r="C326" t="s">
        <v>5822</v>
      </c>
      <c r="D326">
        <v>2</v>
      </c>
      <c r="E326">
        <v>1</v>
      </c>
      <c r="F326" t="s">
        <v>7</v>
      </c>
      <c r="G326" t="s">
        <v>115</v>
      </c>
      <c r="H326" t="s">
        <v>3455</v>
      </c>
    </row>
    <row r="327" spans="1:8" x14ac:dyDescent="0.35">
      <c r="A327" t="s">
        <v>5817</v>
      </c>
      <c r="B327" t="s">
        <v>5818</v>
      </c>
      <c r="C327" t="s">
        <v>5823</v>
      </c>
      <c r="D327">
        <v>2</v>
      </c>
      <c r="E327">
        <v>1</v>
      </c>
      <c r="F327" t="s">
        <v>7</v>
      </c>
      <c r="G327" t="s">
        <v>115</v>
      </c>
      <c r="H327" t="s">
        <v>3455</v>
      </c>
    </row>
    <row r="328" spans="1:8" x14ac:dyDescent="0.35">
      <c r="A328" t="s">
        <v>5817</v>
      </c>
      <c r="B328" t="s">
        <v>5818</v>
      </c>
      <c r="C328" t="s">
        <v>5824</v>
      </c>
      <c r="D328">
        <v>2</v>
      </c>
      <c r="E328">
        <v>1</v>
      </c>
      <c r="F328" t="s">
        <v>7</v>
      </c>
      <c r="G328" t="s">
        <v>115</v>
      </c>
      <c r="H328" t="s">
        <v>3455</v>
      </c>
    </row>
    <row r="329" spans="1:8" x14ac:dyDescent="0.35">
      <c r="A329" t="s">
        <v>5817</v>
      </c>
      <c r="B329" t="s">
        <v>5818</v>
      </c>
      <c r="C329" t="s">
        <v>5825</v>
      </c>
      <c r="D329">
        <v>2</v>
      </c>
      <c r="E329">
        <v>1</v>
      </c>
      <c r="F329" t="s">
        <v>7</v>
      </c>
      <c r="G329" t="s">
        <v>115</v>
      </c>
      <c r="H329" t="s">
        <v>3455</v>
      </c>
    </row>
    <row r="330" spans="1:8" x14ac:dyDescent="0.35">
      <c r="A330" t="s">
        <v>5817</v>
      </c>
      <c r="B330" t="s">
        <v>5818</v>
      </c>
      <c r="C330" t="s">
        <v>5826</v>
      </c>
      <c r="D330">
        <v>2</v>
      </c>
      <c r="E330">
        <v>1</v>
      </c>
      <c r="F330" t="s">
        <v>7</v>
      </c>
      <c r="G330" t="s">
        <v>115</v>
      </c>
      <c r="H330" t="s">
        <v>3455</v>
      </c>
    </row>
    <row r="331" spans="1:8" x14ac:dyDescent="0.35">
      <c r="A331" t="s">
        <v>5817</v>
      </c>
      <c r="B331" t="s">
        <v>5818</v>
      </c>
      <c r="C331" t="s">
        <v>5827</v>
      </c>
      <c r="D331">
        <v>2</v>
      </c>
      <c r="E331">
        <v>1</v>
      </c>
      <c r="F331" t="s">
        <v>7</v>
      </c>
      <c r="G331" t="s">
        <v>115</v>
      </c>
      <c r="H331" t="s">
        <v>3455</v>
      </c>
    </row>
    <row r="332" spans="1:8" x14ac:dyDescent="0.35">
      <c r="A332" t="s">
        <v>5817</v>
      </c>
      <c r="B332" t="s">
        <v>5818</v>
      </c>
      <c r="C332" t="s">
        <v>5828</v>
      </c>
      <c r="D332">
        <v>2</v>
      </c>
      <c r="E332">
        <v>1</v>
      </c>
      <c r="F332" t="s">
        <v>7</v>
      </c>
      <c r="G332" t="s">
        <v>115</v>
      </c>
      <c r="H332" t="s">
        <v>3455</v>
      </c>
    </row>
    <row r="333" spans="1:8" x14ac:dyDescent="0.35">
      <c r="A333" t="s">
        <v>5817</v>
      </c>
      <c r="B333" t="s">
        <v>5818</v>
      </c>
      <c r="C333" t="s">
        <v>5829</v>
      </c>
      <c r="D333">
        <v>2</v>
      </c>
      <c r="E333">
        <v>1</v>
      </c>
      <c r="F333" t="s">
        <v>7</v>
      </c>
      <c r="G333" t="s">
        <v>115</v>
      </c>
      <c r="H333" t="s">
        <v>3455</v>
      </c>
    </row>
    <row r="334" spans="1:8" x14ac:dyDescent="0.35">
      <c r="A334" t="s">
        <v>5817</v>
      </c>
      <c r="B334" t="s">
        <v>5818</v>
      </c>
      <c r="C334" t="s">
        <v>5830</v>
      </c>
      <c r="D334">
        <v>2</v>
      </c>
      <c r="E334">
        <v>1</v>
      </c>
      <c r="F334" t="s">
        <v>7</v>
      </c>
      <c r="G334" t="s">
        <v>115</v>
      </c>
      <c r="H334" t="s">
        <v>3455</v>
      </c>
    </row>
    <row r="335" spans="1:8" x14ac:dyDescent="0.35">
      <c r="A335" t="s">
        <v>5817</v>
      </c>
      <c r="B335" t="s">
        <v>5818</v>
      </c>
      <c r="C335" t="s">
        <v>5831</v>
      </c>
      <c r="D335">
        <v>2</v>
      </c>
      <c r="E335">
        <v>1</v>
      </c>
      <c r="F335" t="s">
        <v>7</v>
      </c>
      <c r="G335" t="s">
        <v>115</v>
      </c>
      <c r="H335" t="s">
        <v>3455</v>
      </c>
    </row>
    <row r="336" spans="1:8" x14ac:dyDescent="0.35">
      <c r="A336" t="s">
        <v>5817</v>
      </c>
      <c r="B336" t="s">
        <v>5818</v>
      </c>
      <c r="C336" t="s">
        <v>5832</v>
      </c>
      <c r="D336">
        <v>2</v>
      </c>
      <c r="E336">
        <v>1</v>
      </c>
      <c r="F336" t="s">
        <v>7</v>
      </c>
      <c r="G336" t="s">
        <v>115</v>
      </c>
      <c r="H336" t="s">
        <v>3455</v>
      </c>
    </row>
    <row r="337" spans="1:8" x14ac:dyDescent="0.35">
      <c r="A337" t="s">
        <v>5817</v>
      </c>
      <c r="B337" t="s">
        <v>5818</v>
      </c>
      <c r="C337" t="s">
        <v>5833</v>
      </c>
      <c r="D337">
        <v>2</v>
      </c>
      <c r="E337">
        <v>1</v>
      </c>
      <c r="F337" t="s">
        <v>7</v>
      </c>
      <c r="G337" t="s">
        <v>115</v>
      </c>
      <c r="H337" t="s">
        <v>3455</v>
      </c>
    </row>
    <row r="338" spans="1:8" x14ac:dyDescent="0.35">
      <c r="A338" t="s">
        <v>5817</v>
      </c>
      <c r="B338" t="s">
        <v>5818</v>
      </c>
      <c r="C338" t="s">
        <v>5834</v>
      </c>
      <c r="D338">
        <v>2</v>
      </c>
      <c r="E338">
        <v>1</v>
      </c>
      <c r="F338" t="s">
        <v>7</v>
      </c>
      <c r="G338" t="s">
        <v>115</v>
      </c>
      <c r="H338" t="s">
        <v>3455</v>
      </c>
    </row>
    <row r="339" spans="1:8" x14ac:dyDescent="0.35">
      <c r="A339" t="s">
        <v>5817</v>
      </c>
      <c r="B339" t="s">
        <v>5818</v>
      </c>
      <c r="C339" t="s">
        <v>5835</v>
      </c>
      <c r="D339">
        <v>2</v>
      </c>
      <c r="E339">
        <v>1</v>
      </c>
      <c r="F339" t="s">
        <v>7</v>
      </c>
      <c r="G339" t="s">
        <v>115</v>
      </c>
      <c r="H339" t="s">
        <v>3455</v>
      </c>
    </row>
    <row r="340" spans="1:8" x14ac:dyDescent="0.35">
      <c r="A340" t="s">
        <v>5817</v>
      </c>
      <c r="B340" t="s">
        <v>5818</v>
      </c>
      <c r="C340" t="s">
        <v>5836</v>
      </c>
      <c r="D340">
        <v>2</v>
      </c>
      <c r="E340">
        <v>1</v>
      </c>
      <c r="F340" t="s">
        <v>7</v>
      </c>
      <c r="G340" t="s">
        <v>115</v>
      </c>
      <c r="H340" t="s">
        <v>3455</v>
      </c>
    </row>
    <row r="341" spans="1:8" x14ac:dyDescent="0.35">
      <c r="A341" t="s">
        <v>5817</v>
      </c>
      <c r="B341" t="s">
        <v>5818</v>
      </c>
      <c r="C341" t="s">
        <v>5837</v>
      </c>
      <c r="D341">
        <v>2</v>
      </c>
      <c r="E341">
        <v>1</v>
      </c>
      <c r="F341" t="s">
        <v>7</v>
      </c>
      <c r="G341" t="s">
        <v>115</v>
      </c>
      <c r="H341" t="s">
        <v>3455</v>
      </c>
    </row>
    <row r="342" spans="1:8" x14ac:dyDescent="0.35">
      <c r="A342" t="s">
        <v>5817</v>
      </c>
      <c r="B342" t="s">
        <v>5818</v>
      </c>
      <c r="C342" t="s">
        <v>5838</v>
      </c>
      <c r="D342">
        <v>2</v>
      </c>
      <c r="E342">
        <v>1</v>
      </c>
      <c r="F342" t="s">
        <v>7</v>
      </c>
      <c r="G342" t="s">
        <v>115</v>
      </c>
      <c r="H342" t="s">
        <v>3455</v>
      </c>
    </row>
    <row r="343" spans="1:8" x14ac:dyDescent="0.35">
      <c r="A343" t="s">
        <v>5817</v>
      </c>
      <c r="B343" t="s">
        <v>5818</v>
      </c>
      <c r="C343" t="s">
        <v>5839</v>
      </c>
      <c r="D343">
        <v>2</v>
      </c>
      <c r="E343">
        <v>1</v>
      </c>
      <c r="F343" t="s">
        <v>7</v>
      </c>
      <c r="G343" t="s">
        <v>115</v>
      </c>
      <c r="H343" t="s">
        <v>3455</v>
      </c>
    </row>
    <row r="344" spans="1:8" x14ac:dyDescent="0.35">
      <c r="A344" t="s">
        <v>5817</v>
      </c>
      <c r="B344" t="s">
        <v>5818</v>
      </c>
      <c r="C344" t="s">
        <v>5840</v>
      </c>
      <c r="D344">
        <v>2</v>
      </c>
      <c r="E344">
        <v>1</v>
      </c>
      <c r="F344" t="s">
        <v>7</v>
      </c>
      <c r="G344" t="s">
        <v>115</v>
      </c>
      <c r="H344" t="s">
        <v>3455</v>
      </c>
    </row>
    <row r="345" spans="1:8" x14ac:dyDescent="0.35">
      <c r="A345" t="s">
        <v>5817</v>
      </c>
      <c r="B345" t="s">
        <v>5818</v>
      </c>
      <c r="C345" t="s">
        <v>5841</v>
      </c>
      <c r="D345">
        <v>2</v>
      </c>
      <c r="E345">
        <v>1</v>
      </c>
      <c r="F345" t="s">
        <v>7</v>
      </c>
      <c r="G345" t="s">
        <v>115</v>
      </c>
      <c r="H345" t="s">
        <v>3455</v>
      </c>
    </row>
    <row r="346" spans="1:8" x14ac:dyDescent="0.35">
      <c r="A346" t="s">
        <v>5817</v>
      </c>
      <c r="B346" t="s">
        <v>5818</v>
      </c>
      <c r="C346" t="s">
        <v>5842</v>
      </c>
      <c r="D346">
        <v>2</v>
      </c>
      <c r="E346">
        <v>1</v>
      </c>
      <c r="F346" t="s">
        <v>7</v>
      </c>
      <c r="G346" t="s">
        <v>115</v>
      </c>
      <c r="H346" t="s">
        <v>3455</v>
      </c>
    </row>
    <row r="347" spans="1:8" x14ac:dyDescent="0.35">
      <c r="A347" t="s">
        <v>5817</v>
      </c>
      <c r="B347" t="s">
        <v>5818</v>
      </c>
      <c r="C347" t="s">
        <v>5843</v>
      </c>
      <c r="D347">
        <v>2</v>
      </c>
      <c r="E347">
        <v>1</v>
      </c>
      <c r="F347" t="s">
        <v>7</v>
      </c>
      <c r="G347" t="s">
        <v>115</v>
      </c>
      <c r="H347" t="s">
        <v>3455</v>
      </c>
    </row>
    <row r="348" spans="1:8" x14ac:dyDescent="0.35">
      <c r="A348" t="s">
        <v>5817</v>
      </c>
      <c r="B348" t="s">
        <v>5818</v>
      </c>
      <c r="C348" t="s">
        <v>5844</v>
      </c>
      <c r="D348">
        <v>2</v>
      </c>
      <c r="E348">
        <v>1</v>
      </c>
      <c r="F348" t="s">
        <v>7</v>
      </c>
      <c r="G348" t="s">
        <v>115</v>
      </c>
      <c r="H348" t="s">
        <v>3455</v>
      </c>
    </row>
    <row r="349" spans="1:8" x14ac:dyDescent="0.35">
      <c r="A349" t="s">
        <v>5817</v>
      </c>
      <c r="B349" t="s">
        <v>5818</v>
      </c>
      <c r="C349" t="s">
        <v>5218</v>
      </c>
      <c r="D349">
        <v>2</v>
      </c>
      <c r="E349">
        <v>1</v>
      </c>
      <c r="F349" t="s">
        <v>7</v>
      </c>
      <c r="G349" t="s">
        <v>115</v>
      </c>
      <c r="H349" t="s">
        <v>3455</v>
      </c>
    </row>
    <row r="350" spans="1:8" x14ac:dyDescent="0.35">
      <c r="A350" t="s">
        <v>5817</v>
      </c>
      <c r="B350" t="s">
        <v>5818</v>
      </c>
      <c r="C350" t="s">
        <v>5845</v>
      </c>
      <c r="D350">
        <v>2</v>
      </c>
      <c r="E350">
        <v>1</v>
      </c>
      <c r="F350" t="s">
        <v>7</v>
      </c>
      <c r="G350" t="s">
        <v>115</v>
      </c>
      <c r="H350" t="s">
        <v>3455</v>
      </c>
    </row>
    <row r="351" spans="1:8" x14ac:dyDescent="0.35">
      <c r="A351" t="s">
        <v>5817</v>
      </c>
      <c r="B351" t="s">
        <v>5818</v>
      </c>
      <c r="C351" t="s">
        <v>5846</v>
      </c>
      <c r="D351">
        <v>2</v>
      </c>
      <c r="E351">
        <v>1</v>
      </c>
      <c r="F351" t="s">
        <v>7</v>
      </c>
      <c r="G351" t="s">
        <v>115</v>
      </c>
      <c r="H351" t="s">
        <v>3455</v>
      </c>
    </row>
    <row r="352" spans="1:8" x14ac:dyDescent="0.35">
      <c r="A352" t="s">
        <v>5817</v>
      </c>
      <c r="B352" t="s">
        <v>5818</v>
      </c>
      <c r="C352" t="s">
        <v>5847</v>
      </c>
      <c r="D352">
        <v>2</v>
      </c>
      <c r="E352">
        <v>1</v>
      </c>
      <c r="F352" t="s">
        <v>7</v>
      </c>
      <c r="G352" t="s">
        <v>115</v>
      </c>
      <c r="H352" t="s">
        <v>3455</v>
      </c>
    </row>
    <row r="353" spans="1:8" x14ac:dyDescent="0.35">
      <c r="A353" t="s">
        <v>5817</v>
      </c>
      <c r="B353" t="s">
        <v>5818</v>
      </c>
      <c r="C353" t="s">
        <v>5848</v>
      </c>
      <c r="D353">
        <v>2</v>
      </c>
      <c r="E353">
        <v>1</v>
      </c>
      <c r="F353" t="s">
        <v>7</v>
      </c>
      <c r="G353" t="s">
        <v>115</v>
      </c>
      <c r="H353" t="s">
        <v>3455</v>
      </c>
    </row>
    <row r="354" spans="1:8" x14ac:dyDescent="0.35">
      <c r="A354" t="s">
        <v>5817</v>
      </c>
      <c r="B354" t="s">
        <v>5818</v>
      </c>
      <c r="C354" t="s">
        <v>5849</v>
      </c>
      <c r="D354">
        <v>2</v>
      </c>
      <c r="E354">
        <v>1</v>
      </c>
      <c r="F354" t="s">
        <v>7</v>
      </c>
      <c r="G354" t="s">
        <v>115</v>
      </c>
      <c r="H354" t="s">
        <v>3455</v>
      </c>
    </row>
    <row r="355" spans="1:8" x14ac:dyDescent="0.35">
      <c r="A355" t="s">
        <v>20</v>
      </c>
      <c r="B355" t="s">
        <v>119</v>
      </c>
      <c r="C355" t="s">
        <v>1405</v>
      </c>
      <c r="D355">
        <v>2</v>
      </c>
      <c r="E355">
        <v>2</v>
      </c>
      <c r="F355" t="s">
        <v>7</v>
      </c>
      <c r="G355" t="s">
        <v>115</v>
      </c>
      <c r="H355" t="s">
        <v>11</v>
      </c>
    </row>
    <row r="356" spans="1:8" x14ac:dyDescent="0.35">
      <c r="A356" t="s">
        <v>20</v>
      </c>
      <c r="B356" t="s">
        <v>119</v>
      </c>
      <c r="C356" t="s">
        <v>1406</v>
      </c>
      <c r="D356">
        <v>3</v>
      </c>
      <c r="E356">
        <v>2</v>
      </c>
      <c r="F356" t="s">
        <v>7</v>
      </c>
      <c r="G356" t="s">
        <v>115</v>
      </c>
      <c r="H356" t="s">
        <v>11</v>
      </c>
    </row>
    <row r="357" spans="1:8" x14ac:dyDescent="0.35">
      <c r="A357" t="s">
        <v>20</v>
      </c>
      <c r="B357" t="s">
        <v>119</v>
      </c>
      <c r="C357" t="s">
        <v>1407</v>
      </c>
      <c r="D357">
        <v>3</v>
      </c>
      <c r="E357">
        <v>2</v>
      </c>
      <c r="F357" t="s">
        <v>7</v>
      </c>
      <c r="G357" t="s">
        <v>115</v>
      </c>
      <c r="H357" t="s">
        <v>11</v>
      </c>
    </row>
    <row r="358" spans="1:8" x14ac:dyDescent="0.35">
      <c r="A358" t="s">
        <v>20</v>
      </c>
      <c r="B358" t="s">
        <v>119</v>
      </c>
      <c r="C358" t="s">
        <v>1408</v>
      </c>
      <c r="D358">
        <v>3</v>
      </c>
      <c r="E358">
        <v>2</v>
      </c>
      <c r="F358" t="s">
        <v>7</v>
      </c>
      <c r="G358" t="s">
        <v>115</v>
      </c>
      <c r="H358" t="s">
        <v>11</v>
      </c>
    </row>
    <row r="359" spans="1:8" x14ac:dyDescent="0.35">
      <c r="A359" t="s">
        <v>20</v>
      </c>
      <c r="B359" t="s">
        <v>119</v>
      </c>
      <c r="C359" t="s">
        <v>1409</v>
      </c>
      <c r="D359">
        <v>3</v>
      </c>
      <c r="E359">
        <v>2</v>
      </c>
      <c r="F359" t="s">
        <v>7</v>
      </c>
      <c r="G359" t="s">
        <v>115</v>
      </c>
      <c r="H359" t="s">
        <v>11</v>
      </c>
    </row>
    <row r="360" spans="1:8" x14ac:dyDescent="0.35">
      <c r="A360" t="s">
        <v>20</v>
      </c>
      <c r="B360" t="s">
        <v>119</v>
      </c>
      <c r="C360" t="s">
        <v>1410</v>
      </c>
      <c r="D360">
        <v>3</v>
      </c>
      <c r="E360">
        <v>1</v>
      </c>
      <c r="F360" t="s">
        <v>7</v>
      </c>
      <c r="G360" t="s">
        <v>115</v>
      </c>
      <c r="H360" t="s">
        <v>11</v>
      </c>
    </row>
    <row r="361" spans="1:8" x14ac:dyDescent="0.35">
      <c r="A361" t="s">
        <v>20</v>
      </c>
      <c r="B361" t="s">
        <v>119</v>
      </c>
      <c r="C361" t="s">
        <v>1120</v>
      </c>
      <c r="D361">
        <v>3</v>
      </c>
      <c r="E361">
        <v>2</v>
      </c>
      <c r="F361" t="s">
        <v>7</v>
      </c>
      <c r="G361" t="s">
        <v>115</v>
      </c>
      <c r="H361" t="s">
        <v>11</v>
      </c>
    </row>
    <row r="362" spans="1:8" x14ac:dyDescent="0.35">
      <c r="A362" t="s">
        <v>20</v>
      </c>
      <c r="B362" t="s">
        <v>119</v>
      </c>
      <c r="C362" t="s">
        <v>1411</v>
      </c>
      <c r="D362">
        <v>3</v>
      </c>
      <c r="E362">
        <v>2</v>
      </c>
      <c r="F362" t="s">
        <v>7</v>
      </c>
      <c r="G362" t="s">
        <v>115</v>
      </c>
      <c r="H362" t="s">
        <v>11</v>
      </c>
    </row>
    <row r="363" spans="1:8" x14ac:dyDescent="0.35">
      <c r="A363" t="s">
        <v>20</v>
      </c>
      <c r="B363" t="s">
        <v>119</v>
      </c>
      <c r="C363" t="s">
        <v>1412</v>
      </c>
      <c r="D363">
        <v>2</v>
      </c>
      <c r="E363">
        <v>2</v>
      </c>
      <c r="F363" t="s">
        <v>7</v>
      </c>
      <c r="G363" t="s">
        <v>115</v>
      </c>
      <c r="H363" t="s">
        <v>11</v>
      </c>
    </row>
    <row r="364" spans="1:8" x14ac:dyDescent="0.35">
      <c r="A364" t="s">
        <v>20</v>
      </c>
      <c r="B364" t="s">
        <v>119</v>
      </c>
      <c r="C364" t="s">
        <v>1126</v>
      </c>
      <c r="D364">
        <v>3</v>
      </c>
      <c r="E364">
        <v>2</v>
      </c>
      <c r="F364" t="s">
        <v>7</v>
      </c>
      <c r="G364" t="s">
        <v>115</v>
      </c>
      <c r="H364" t="s">
        <v>11</v>
      </c>
    </row>
    <row r="365" spans="1:8" x14ac:dyDescent="0.35">
      <c r="A365" t="s">
        <v>20</v>
      </c>
      <c r="B365" t="s">
        <v>119</v>
      </c>
      <c r="C365" t="s">
        <v>1413</v>
      </c>
      <c r="D365">
        <v>3</v>
      </c>
      <c r="E365">
        <v>2</v>
      </c>
      <c r="F365" t="s">
        <v>7</v>
      </c>
      <c r="G365" t="s">
        <v>115</v>
      </c>
      <c r="H365" t="s">
        <v>11</v>
      </c>
    </row>
    <row r="366" spans="1:8" x14ac:dyDescent="0.35">
      <c r="A366" t="s">
        <v>20</v>
      </c>
      <c r="B366" t="s">
        <v>119</v>
      </c>
      <c r="C366" t="s">
        <v>1235</v>
      </c>
      <c r="D366">
        <v>2</v>
      </c>
      <c r="E366">
        <v>2</v>
      </c>
      <c r="F366" t="s">
        <v>7</v>
      </c>
      <c r="G366" t="s">
        <v>115</v>
      </c>
      <c r="H366" t="s">
        <v>11</v>
      </c>
    </row>
    <row r="367" spans="1:8" x14ac:dyDescent="0.35">
      <c r="A367" t="s">
        <v>20</v>
      </c>
      <c r="B367" t="s">
        <v>119</v>
      </c>
      <c r="C367" t="s">
        <v>1414</v>
      </c>
      <c r="D367">
        <v>3</v>
      </c>
      <c r="E367">
        <v>2</v>
      </c>
      <c r="F367" t="s">
        <v>7</v>
      </c>
      <c r="G367" t="s">
        <v>115</v>
      </c>
      <c r="H367" t="s">
        <v>11</v>
      </c>
    </row>
    <row r="368" spans="1:8" x14ac:dyDescent="0.35">
      <c r="A368" t="s">
        <v>20</v>
      </c>
      <c r="B368" t="s">
        <v>119</v>
      </c>
      <c r="C368" t="s">
        <v>1415</v>
      </c>
      <c r="D368">
        <v>3</v>
      </c>
      <c r="E368">
        <v>2</v>
      </c>
      <c r="F368" t="s">
        <v>7</v>
      </c>
      <c r="G368" t="s">
        <v>115</v>
      </c>
      <c r="H368" t="s">
        <v>11</v>
      </c>
    </row>
    <row r="369" spans="1:8" x14ac:dyDescent="0.35">
      <c r="A369" t="s">
        <v>20</v>
      </c>
      <c r="B369" t="s">
        <v>119</v>
      </c>
      <c r="C369" t="s">
        <v>1416</v>
      </c>
      <c r="D369">
        <v>3</v>
      </c>
      <c r="E369">
        <v>2</v>
      </c>
      <c r="F369" t="s">
        <v>7</v>
      </c>
      <c r="G369" t="s">
        <v>115</v>
      </c>
      <c r="H369" t="s">
        <v>11</v>
      </c>
    </row>
    <row r="370" spans="1:8" x14ac:dyDescent="0.35">
      <c r="A370" t="s">
        <v>20</v>
      </c>
      <c r="B370" t="s">
        <v>119</v>
      </c>
      <c r="C370" t="s">
        <v>1139</v>
      </c>
      <c r="D370">
        <v>3</v>
      </c>
      <c r="E370">
        <v>2</v>
      </c>
      <c r="F370" t="s">
        <v>7</v>
      </c>
      <c r="G370" t="s">
        <v>115</v>
      </c>
      <c r="H370" t="s">
        <v>11</v>
      </c>
    </row>
    <row r="371" spans="1:8" x14ac:dyDescent="0.35">
      <c r="A371" t="s">
        <v>20</v>
      </c>
      <c r="B371" t="s">
        <v>119</v>
      </c>
      <c r="C371" t="s">
        <v>1417</v>
      </c>
      <c r="D371">
        <v>3</v>
      </c>
      <c r="E371">
        <v>2</v>
      </c>
      <c r="F371" t="s">
        <v>7</v>
      </c>
      <c r="G371" t="s">
        <v>115</v>
      </c>
      <c r="H371" t="s">
        <v>11</v>
      </c>
    </row>
    <row r="372" spans="1:8" x14ac:dyDescent="0.35">
      <c r="A372" t="s">
        <v>20</v>
      </c>
      <c r="B372" t="s">
        <v>119</v>
      </c>
      <c r="C372" t="s">
        <v>1142</v>
      </c>
      <c r="D372">
        <v>3</v>
      </c>
      <c r="E372">
        <v>2</v>
      </c>
      <c r="F372" t="s">
        <v>7</v>
      </c>
      <c r="G372" t="s">
        <v>115</v>
      </c>
      <c r="H372" t="s">
        <v>11</v>
      </c>
    </row>
    <row r="373" spans="1:8" x14ac:dyDescent="0.35">
      <c r="A373" t="s">
        <v>20</v>
      </c>
      <c r="B373" t="s">
        <v>119</v>
      </c>
      <c r="C373" t="s">
        <v>1418</v>
      </c>
      <c r="D373">
        <v>3</v>
      </c>
      <c r="E373">
        <v>2</v>
      </c>
      <c r="F373" t="s">
        <v>7</v>
      </c>
      <c r="G373" t="s">
        <v>115</v>
      </c>
      <c r="H373" t="s">
        <v>11</v>
      </c>
    </row>
    <row r="374" spans="1:8" x14ac:dyDescent="0.35">
      <c r="A374" t="s">
        <v>20</v>
      </c>
      <c r="B374" t="s">
        <v>119</v>
      </c>
      <c r="C374" t="s">
        <v>1419</v>
      </c>
      <c r="D374">
        <v>3</v>
      </c>
      <c r="E374">
        <v>2</v>
      </c>
      <c r="F374" t="s">
        <v>7</v>
      </c>
      <c r="G374" t="s">
        <v>115</v>
      </c>
      <c r="H374" t="s">
        <v>11</v>
      </c>
    </row>
    <row r="375" spans="1:8" x14ac:dyDescent="0.35">
      <c r="A375" t="s">
        <v>20</v>
      </c>
      <c r="B375" t="s">
        <v>119</v>
      </c>
      <c r="C375" t="s">
        <v>1420</v>
      </c>
      <c r="D375">
        <v>3</v>
      </c>
      <c r="E375">
        <v>2</v>
      </c>
      <c r="F375" t="s">
        <v>7</v>
      </c>
      <c r="G375" t="s">
        <v>115</v>
      </c>
      <c r="H375" t="s">
        <v>11</v>
      </c>
    </row>
    <row r="376" spans="1:8" x14ac:dyDescent="0.35">
      <c r="A376" t="s">
        <v>20</v>
      </c>
      <c r="B376" t="s">
        <v>119</v>
      </c>
      <c r="C376" t="s">
        <v>1421</v>
      </c>
      <c r="D376">
        <v>3</v>
      </c>
      <c r="E376">
        <v>2</v>
      </c>
      <c r="F376" t="s">
        <v>7</v>
      </c>
      <c r="G376" t="s">
        <v>115</v>
      </c>
      <c r="H376" t="s">
        <v>11</v>
      </c>
    </row>
    <row r="377" spans="1:8" x14ac:dyDescent="0.35">
      <c r="A377" t="s">
        <v>20</v>
      </c>
      <c r="B377" t="s">
        <v>119</v>
      </c>
      <c r="C377" t="s">
        <v>1422</v>
      </c>
      <c r="D377">
        <v>3</v>
      </c>
      <c r="E377">
        <v>2</v>
      </c>
      <c r="F377" t="s">
        <v>7</v>
      </c>
      <c r="G377" t="s">
        <v>115</v>
      </c>
      <c r="H377" t="s">
        <v>11</v>
      </c>
    </row>
    <row r="378" spans="1:8" x14ac:dyDescent="0.35">
      <c r="A378" t="s">
        <v>20</v>
      </c>
      <c r="B378" t="s">
        <v>119</v>
      </c>
      <c r="C378" t="s">
        <v>1423</v>
      </c>
      <c r="D378">
        <v>3</v>
      </c>
      <c r="E378">
        <v>2</v>
      </c>
      <c r="F378" t="s">
        <v>7</v>
      </c>
      <c r="G378" t="s">
        <v>115</v>
      </c>
      <c r="H378" t="s">
        <v>11</v>
      </c>
    </row>
    <row r="379" spans="1:8" x14ac:dyDescent="0.35">
      <c r="A379" t="s">
        <v>20</v>
      </c>
      <c r="B379" t="s">
        <v>119</v>
      </c>
      <c r="C379" t="s">
        <v>1424</v>
      </c>
      <c r="D379">
        <v>3</v>
      </c>
      <c r="E379">
        <v>2</v>
      </c>
      <c r="F379" t="s">
        <v>7</v>
      </c>
      <c r="G379" t="s">
        <v>115</v>
      </c>
      <c r="H379" t="s">
        <v>11</v>
      </c>
    </row>
    <row r="380" spans="1:8" x14ac:dyDescent="0.35">
      <c r="A380" t="s">
        <v>20</v>
      </c>
      <c r="B380" t="s">
        <v>119</v>
      </c>
      <c r="C380" t="s">
        <v>1425</v>
      </c>
      <c r="D380">
        <v>3</v>
      </c>
      <c r="E380">
        <v>2</v>
      </c>
      <c r="F380" t="s">
        <v>7</v>
      </c>
      <c r="G380" t="s">
        <v>115</v>
      </c>
      <c r="H380" t="s">
        <v>11</v>
      </c>
    </row>
    <row r="381" spans="1:8" x14ac:dyDescent="0.35">
      <c r="A381" t="s">
        <v>20</v>
      </c>
      <c r="B381" t="s">
        <v>119</v>
      </c>
      <c r="C381" t="s">
        <v>1426</v>
      </c>
      <c r="D381">
        <v>3</v>
      </c>
      <c r="E381">
        <v>2</v>
      </c>
      <c r="F381" t="s">
        <v>7</v>
      </c>
      <c r="G381" t="s">
        <v>115</v>
      </c>
      <c r="H381" t="s">
        <v>11</v>
      </c>
    </row>
    <row r="382" spans="1:8" x14ac:dyDescent="0.35">
      <c r="A382" t="s">
        <v>20</v>
      </c>
      <c r="B382" t="s">
        <v>119</v>
      </c>
      <c r="C382" t="s">
        <v>1427</v>
      </c>
      <c r="D382">
        <v>2</v>
      </c>
      <c r="E382">
        <v>2</v>
      </c>
      <c r="F382" t="s">
        <v>7</v>
      </c>
      <c r="G382" t="s">
        <v>115</v>
      </c>
      <c r="H382" t="s">
        <v>11</v>
      </c>
    </row>
    <row r="383" spans="1:8" x14ac:dyDescent="0.35">
      <c r="A383" t="s">
        <v>20</v>
      </c>
      <c r="B383" t="s">
        <v>119</v>
      </c>
      <c r="C383" t="s">
        <v>1428</v>
      </c>
      <c r="D383">
        <v>3</v>
      </c>
      <c r="E383">
        <v>2</v>
      </c>
      <c r="F383" t="s">
        <v>7</v>
      </c>
      <c r="G383" t="s">
        <v>115</v>
      </c>
      <c r="H383" t="s">
        <v>11</v>
      </c>
    </row>
    <row r="384" spans="1:8" x14ac:dyDescent="0.35">
      <c r="A384" t="s">
        <v>20</v>
      </c>
      <c r="B384" t="s">
        <v>119</v>
      </c>
      <c r="C384" t="s">
        <v>1429</v>
      </c>
      <c r="D384">
        <v>3</v>
      </c>
      <c r="E384">
        <v>2</v>
      </c>
      <c r="F384" t="s">
        <v>7</v>
      </c>
      <c r="G384" t="s">
        <v>115</v>
      </c>
      <c r="H384" t="s">
        <v>11</v>
      </c>
    </row>
    <row r="385" spans="1:8" x14ac:dyDescent="0.35">
      <c r="A385" t="s">
        <v>20</v>
      </c>
      <c r="B385" t="s">
        <v>119</v>
      </c>
      <c r="C385" t="s">
        <v>1148</v>
      </c>
      <c r="D385">
        <v>3</v>
      </c>
      <c r="E385">
        <v>2</v>
      </c>
      <c r="F385" t="s">
        <v>7</v>
      </c>
      <c r="G385" t="s">
        <v>115</v>
      </c>
      <c r="H385" t="s">
        <v>11</v>
      </c>
    </row>
    <row r="386" spans="1:8" x14ac:dyDescent="0.35">
      <c r="A386" t="s">
        <v>20</v>
      </c>
      <c r="B386" t="s">
        <v>119</v>
      </c>
      <c r="C386" t="s">
        <v>1149</v>
      </c>
      <c r="D386">
        <v>3</v>
      </c>
      <c r="E386">
        <v>2</v>
      </c>
      <c r="F386" t="s">
        <v>7</v>
      </c>
      <c r="G386" t="s">
        <v>115</v>
      </c>
      <c r="H386" t="s">
        <v>11</v>
      </c>
    </row>
    <row r="387" spans="1:8" x14ac:dyDescent="0.35">
      <c r="A387" t="s">
        <v>20</v>
      </c>
      <c r="B387" t="s">
        <v>119</v>
      </c>
      <c r="C387" t="s">
        <v>1253</v>
      </c>
      <c r="D387">
        <v>3</v>
      </c>
      <c r="E387">
        <v>2</v>
      </c>
      <c r="F387" t="s">
        <v>7</v>
      </c>
      <c r="G387" t="s">
        <v>115</v>
      </c>
      <c r="H387" t="s">
        <v>11</v>
      </c>
    </row>
    <row r="388" spans="1:8" x14ac:dyDescent="0.35">
      <c r="A388" t="s">
        <v>20</v>
      </c>
      <c r="B388" t="s">
        <v>119</v>
      </c>
      <c r="C388" t="s">
        <v>1298</v>
      </c>
      <c r="D388">
        <v>3</v>
      </c>
      <c r="E388">
        <v>2</v>
      </c>
      <c r="F388" t="s">
        <v>7</v>
      </c>
      <c r="G388" t="s">
        <v>115</v>
      </c>
      <c r="H388" t="s">
        <v>11</v>
      </c>
    </row>
    <row r="389" spans="1:8" x14ac:dyDescent="0.35">
      <c r="A389" t="s">
        <v>20</v>
      </c>
      <c r="B389" t="s">
        <v>119</v>
      </c>
      <c r="C389" t="s">
        <v>1153</v>
      </c>
      <c r="D389">
        <v>3</v>
      </c>
      <c r="E389">
        <v>2</v>
      </c>
      <c r="F389" t="s">
        <v>7</v>
      </c>
      <c r="G389" t="s">
        <v>115</v>
      </c>
      <c r="H389" t="s">
        <v>11</v>
      </c>
    </row>
    <row r="390" spans="1:8" x14ac:dyDescent="0.35">
      <c r="A390" t="s">
        <v>20</v>
      </c>
      <c r="B390" t="s">
        <v>119</v>
      </c>
      <c r="C390" t="s">
        <v>1430</v>
      </c>
      <c r="D390">
        <v>2</v>
      </c>
      <c r="E390">
        <v>2</v>
      </c>
      <c r="F390" t="s">
        <v>7</v>
      </c>
      <c r="G390" t="s">
        <v>115</v>
      </c>
      <c r="H390" t="s">
        <v>11</v>
      </c>
    </row>
    <row r="391" spans="1:8" x14ac:dyDescent="0.35">
      <c r="A391" t="s">
        <v>20</v>
      </c>
      <c r="B391" t="s">
        <v>119</v>
      </c>
      <c r="C391" t="s">
        <v>1431</v>
      </c>
      <c r="D391">
        <v>3</v>
      </c>
      <c r="E391">
        <v>2</v>
      </c>
      <c r="F391" t="s">
        <v>7</v>
      </c>
      <c r="G391" t="s">
        <v>115</v>
      </c>
      <c r="H391" t="s">
        <v>11</v>
      </c>
    </row>
    <row r="392" spans="1:8" x14ac:dyDescent="0.35">
      <c r="A392" t="s">
        <v>20</v>
      </c>
      <c r="B392" t="s">
        <v>119</v>
      </c>
      <c r="C392" t="s">
        <v>1432</v>
      </c>
      <c r="D392">
        <v>3</v>
      </c>
      <c r="E392">
        <v>2</v>
      </c>
      <c r="F392" t="s">
        <v>7</v>
      </c>
      <c r="G392" t="s">
        <v>115</v>
      </c>
      <c r="H392" t="s">
        <v>11</v>
      </c>
    </row>
    <row r="393" spans="1:8" x14ac:dyDescent="0.35">
      <c r="A393" t="s">
        <v>20</v>
      </c>
      <c r="B393" t="s">
        <v>119</v>
      </c>
      <c r="C393" t="s">
        <v>1157</v>
      </c>
      <c r="D393">
        <v>3</v>
      </c>
      <c r="E393">
        <v>2</v>
      </c>
      <c r="F393" t="s">
        <v>7</v>
      </c>
      <c r="G393" t="s">
        <v>115</v>
      </c>
      <c r="H393" t="s">
        <v>11</v>
      </c>
    </row>
    <row r="394" spans="1:8" x14ac:dyDescent="0.35">
      <c r="A394" t="s">
        <v>20</v>
      </c>
      <c r="B394" t="s">
        <v>119</v>
      </c>
      <c r="C394" t="s">
        <v>1433</v>
      </c>
      <c r="D394">
        <v>3</v>
      </c>
      <c r="E394">
        <v>2</v>
      </c>
      <c r="F394" t="s">
        <v>7</v>
      </c>
      <c r="G394" t="s">
        <v>115</v>
      </c>
      <c r="H394" t="s">
        <v>11</v>
      </c>
    </row>
    <row r="395" spans="1:8" x14ac:dyDescent="0.35">
      <c r="A395" t="s">
        <v>20</v>
      </c>
      <c r="B395" t="s">
        <v>119</v>
      </c>
      <c r="C395" t="s">
        <v>1159</v>
      </c>
      <c r="D395">
        <v>2</v>
      </c>
      <c r="E395">
        <v>2</v>
      </c>
      <c r="F395" t="s">
        <v>7</v>
      </c>
      <c r="G395" t="s">
        <v>115</v>
      </c>
      <c r="H395" t="s">
        <v>11</v>
      </c>
    </row>
    <row r="396" spans="1:8" x14ac:dyDescent="0.35">
      <c r="A396" t="s">
        <v>20</v>
      </c>
      <c r="B396" t="s">
        <v>119</v>
      </c>
      <c r="C396" t="s">
        <v>1434</v>
      </c>
      <c r="D396">
        <v>3</v>
      </c>
      <c r="E396">
        <v>2</v>
      </c>
      <c r="F396" t="s">
        <v>7</v>
      </c>
      <c r="G396" t="s">
        <v>115</v>
      </c>
      <c r="H396" t="s">
        <v>11</v>
      </c>
    </row>
    <row r="397" spans="1:8" x14ac:dyDescent="0.35">
      <c r="A397" t="s">
        <v>20</v>
      </c>
      <c r="B397" t="s">
        <v>119</v>
      </c>
      <c r="C397" t="s">
        <v>1435</v>
      </c>
      <c r="D397">
        <v>2</v>
      </c>
      <c r="E397">
        <v>1</v>
      </c>
      <c r="F397" t="s">
        <v>7</v>
      </c>
      <c r="G397" t="s">
        <v>115</v>
      </c>
      <c r="H397" t="s">
        <v>11</v>
      </c>
    </row>
    <row r="398" spans="1:8" x14ac:dyDescent="0.35">
      <c r="A398" t="s">
        <v>20</v>
      </c>
      <c r="B398" t="s">
        <v>119</v>
      </c>
      <c r="C398" t="s">
        <v>1162</v>
      </c>
      <c r="D398">
        <v>3</v>
      </c>
      <c r="E398">
        <v>1</v>
      </c>
      <c r="F398" t="s">
        <v>7</v>
      </c>
      <c r="G398" t="s">
        <v>115</v>
      </c>
      <c r="H398" t="s">
        <v>11</v>
      </c>
    </row>
    <row r="399" spans="1:8" x14ac:dyDescent="0.35">
      <c r="A399" t="s">
        <v>20</v>
      </c>
      <c r="B399" t="s">
        <v>119</v>
      </c>
      <c r="C399" t="s">
        <v>1436</v>
      </c>
      <c r="D399">
        <v>3</v>
      </c>
      <c r="E399">
        <v>2</v>
      </c>
      <c r="F399" t="s">
        <v>7</v>
      </c>
      <c r="G399" t="s">
        <v>115</v>
      </c>
      <c r="H399" t="s">
        <v>11</v>
      </c>
    </row>
    <row r="400" spans="1:8" x14ac:dyDescent="0.35">
      <c r="A400" t="s">
        <v>20</v>
      </c>
      <c r="B400" t="s">
        <v>119</v>
      </c>
      <c r="C400" t="s">
        <v>1437</v>
      </c>
      <c r="D400">
        <v>3</v>
      </c>
      <c r="E400">
        <v>2</v>
      </c>
      <c r="F400" t="s">
        <v>7</v>
      </c>
      <c r="G400" t="s">
        <v>115</v>
      </c>
      <c r="H400" t="s">
        <v>11</v>
      </c>
    </row>
    <row r="401" spans="1:8" x14ac:dyDescent="0.35">
      <c r="A401" t="s">
        <v>20</v>
      </c>
      <c r="B401" t="s">
        <v>119</v>
      </c>
      <c r="C401" t="s">
        <v>1438</v>
      </c>
      <c r="D401">
        <v>3</v>
      </c>
      <c r="E401">
        <v>2</v>
      </c>
      <c r="F401" t="s">
        <v>7</v>
      </c>
      <c r="G401" t="s">
        <v>115</v>
      </c>
      <c r="H401" t="s">
        <v>11</v>
      </c>
    </row>
    <row r="402" spans="1:8" x14ac:dyDescent="0.35">
      <c r="A402" t="s">
        <v>20</v>
      </c>
      <c r="B402" t="s">
        <v>119</v>
      </c>
      <c r="C402" t="s">
        <v>1310</v>
      </c>
      <c r="D402">
        <v>3</v>
      </c>
      <c r="E402">
        <v>2</v>
      </c>
      <c r="F402" t="s">
        <v>7</v>
      </c>
      <c r="G402" t="s">
        <v>115</v>
      </c>
      <c r="H402" t="s">
        <v>11</v>
      </c>
    </row>
    <row r="403" spans="1:8" x14ac:dyDescent="0.35">
      <c r="A403" t="s">
        <v>20</v>
      </c>
      <c r="B403" t="s">
        <v>119</v>
      </c>
      <c r="C403" t="s">
        <v>1439</v>
      </c>
      <c r="D403">
        <v>3</v>
      </c>
      <c r="E403">
        <v>2</v>
      </c>
      <c r="F403" t="s">
        <v>7</v>
      </c>
      <c r="G403" t="s">
        <v>115</v>
      </c>
      <c r="H403" t="s">
        <v>11</v>
      </c>
    </row>
    <row r="404" spans="1:8" x14ac:dyDescent="0.35">
      <c r="A404" t="s">
        <v>20</v>
      </c>
      <c r="B404" t="s">
        <v>119</v>
      </c>
      <c r="C404" t="s">
        <v>1440</v>
      </c>
      <c r="D404">
        <v>3</v>
      </c>
      <c r="E404">
        <v>2</v>
      </c>
      <c r="F404" t="s">
        <v>7</v>
      </c>
      <c r="G404" t="s">
        <v>115</v>
      </c>
      <c r="H404" t="s">
        <v>11</v>
      </c>
    </row>
    <row r="405" spans="1:8" x14ac:dyDescent="0.35">
      <c r="A405" t="s">
        <v>20</v>
      </c>
      <c r="B405" t="s">
        <v>119</v>
      </c>
      <c r="C405" t="s">
        <v>1441</v>
      </c>
      <c r="D405">
        <v>3</v>
      </c>
      <c r="E405">
        <v>2</v>
      </c>
      <c r="F405" t="s">
        <v>7</v>
      </c>
      <c r="G405" t="s">
        <v>115</v>
      </c>
      <c r="H405" t="s">
        <v>11</v>
      </c>
    </row>
    <row r="406" spans="1:8" x14ac:dyDescent="0.35">
      <c r="A406" t="s">
        <v>20</v>
      </c>
      <c r="B406" t="s">
        <v>119</v>
      </c>
      <c r="C406" t="s">
        <v>1442</v>
      </c>
      <c r="D406">
        <v>2</v>
      </c>
      <c r="E406">
        <v>2</v>
      </c>
      <c r="F406" t="s">
        <v>7</v>
      </c>
      <c r="G406" t="s">
        <v>115</v>
      </c>
      <c r="H406" t="s">
        <v>11</v>
      </c>
    </row>
    <row r="407" spans="1:8" x14ac:dyDescent="0.35">
      <c r="A407" t="s">
        <v>20</v>
      </c>
      <c r="B407" t="s">
        <v>119</v>
      </c>
      <c r="C407" t="s">
        <v>1265</v>
      </c>
      <c r="D407">
        <v>2</v>
      </c>
      <c r="E407">
        <v>2</v>
      </c>
      <c r="F407" t="s">
        <v>7</v>
      </c>
      <c r="G407" t="s">
        <v>115</v>
      </c>
      <c r="H407" t="s">
        <v>11</v>
      </c>
    </row>
    <row r="408" spans="1:8" x14ac:dyDescent="0.35">
      <c r="A408" t="s">
        <v>20</v>
      </c>
      <c r="B408" t="s">
        <v>119</v>
      </c>
      <c r="C408" t="s">
        <v>1443</v>
      </c>
      <c r="D408">
        <v>3</v>
      </c>
      <c r="E408">
        <v>2</v>
      </c>
      <c r="F408" t="s">
        <v>7</v>
      </c>
      <c r="G408" t="s">
        <v>115</v>
      </c>
      <c r="H408" t="s">
        <v>11</v>
      </c>
    </row>
    <row r="409" spans="1:8" x14ac:dyDescent="0.35">
      <c r="A409" t="s">
        <v>20</v>
      </c>
      <c r="B409" t="s">
        <v>119</v>
      </c>
      <c r="C409" t="s">
        <v>1444</v>
      </c>
      <c r="D409">
        <v>3</v>
      </c>
      <c r="E409">
        <v>2</v>
      </c>
      <c r="F409" t="s">
        <v>7</v>
      </c>
      <c r="G409" t="s">
        <v>115</v>
      </c>
      <c r="H409" t="s">
        <v>11</v>
      </c>
    </row>
    <row r="410" spans="1:8" x14ac:dyDescent="0.35">
      <c r="A410" t="s">
        <v>20</v>
      </c>
      <c r="B410" t="s">
        <v>119</v>
      </c>
      <c r="C410" t="s">
        <v>1445</v>
      </c>
      <c r="D410">
        <v>3</v>
      </c>
      <c r="E410">
        <v>2</v>
      </c>
      <c r="F410" t="s">
        <v>7</v>
      </c>
      <c r="G410" t="s">
        <v>115</v>
      </c>
      <c r="H410" t="s">
        <v>11</v>
      </c>
    </row>
    <row r="411" spans="1:8" x14ac:dyDescent="0.35">
      <c r="A411" t="s">
        <v>20</v>
      </c>
      <c r="B411" t="s">
        <v>119</v>
      </c>
      <c r="C411" t="s">
        <v>1446</v>
      </c>
      <c r="D411">
        <v>3</v>
      </c>
      <c r="E411">
        <v>2</v>
      </c>
      <c r="F411" t="s">
        <v>7</v>
      </c>
      <c r="G411" t="s">
        <v>115</v>
      </c>
      <c r="H411" t="s">
        <v>11</v>
      </c>
    </row>
    <row r="412" spans="1:8" x14ac:dyDescent="0.35">
      <c r="A412" t="s">
        <v>20</v>
      </c>
      <c r="B412" t="s">
        <v>119</v>
      </c>
      <c r="C412" t="s">
        <v>1447</v>
      </c>
      <c r="D412">
        <v>3</v>
      </c>
      <c r="E412">
        <v>2</v>
      </c>
      <c r="F412" t="s">
        <v>7</v>
      </c>
      <c r="G412" t="s">
        <v>115</v>
      </c>
      <c r="H412" t="s">
        <v>11</v>
      </c>
    </row>
    <row r="413" spans="1:8" x14ac:dyDescent="0.35">
      <c r="A413" t="s">
        <v>20</v>
      </c>
      <c r="B413" t="s">
        <v>119</v>
      </c>
      <c r="C413" t="s">
        <v>1448</v>
      </c>
      <c r="D413">
        <v>3</v>
      </c>
      <c r="E413">
        <v>2</v>
      </c>
      <c r="F413" t="s">
        <v>7</v>
      </c>
      <c r="G413" t="s">
        <v>115</v>
      </c>
      <c r="H413" t="s">
        <v>11</v>
      </c>
    </row>
    <row r="414" spans="1:8" x14ac:dyDescent="0.35">
      <c r="A414" t="s">
        <v>20</v>
      </c>
      <c r="B414" t="s">
        <v>119</v>
      </c>
      <c r="C414" t="s">
        <v>1172</v>
      </c>
      <c r="D414">
        <v>3</v>
      </c>
      <c r="E414">
        <v>2</v>
      </c>
      <c r="F414" t="s">
        <v>7</v>
      </c>
      <c r="G414" t="s">
        <v>115</v>
      </c>
      <c r="H414" t="s">
        <v>11</v>
      </c>
    </row>
    <row r="415" spans="1:8" x14ac:dyDescent="0.35">
      <c r="A415" t="s">
        <v>20</v>
      </c>
      <c r="B415" t="s">
        <v>119</v>
      </c>
      <c r="C415" t="s">
        <v>1449</v>
      </c>
      <c r="D415">
        <v>3</v>
      </c>
      <c r="E415">
        <v>2</v>
      </c>
      <c r="F415" t="s">
        <v>7</v>
      </c>
      <c r="G415" t="s">
        <v>115</v>
      </c>
      <c r="H415" t="s">
        <v>11</v>
      </c>
    </row>
    <row r="416" spans="1:8" x14ac:dyDescent="0.35">
      <c r="A416" t="s">
        <v>20</v>
      </c>
      <c r="B416" t="s">
        <v>119</v>
      </c>
      <c r="C416" t="s">
        <v>1450</v>
      </c>
      <c r="D416">
        <v>3</v>
      </c>
      <c r="E416">
        <v>2</v>
      </c>
      <c r="F416" t="s">
        <v>7</v>
      </c>
      <c r="G416" t="s">
        <v>115</v>
      </c>
      <c r="H416" t="s">
        <v>11</v>
      </c>
    </row>
    <row r="417" spans="1:8" x14ac:dyDescent="0.35">
      <c r="A417" t="s">
        <v>20</v>
      </c>
      <c r="B417" t="s">
        <v>119</v>
      </c>
      <c r="C417" t="s">
        <v>1277</v>
      </c>
      <c r="D417">
        <v>2</v>
      </c>
      <c r="E417">
        <v>2</v>
      </c>
      <c r="F417" t="s">
        <v>7</v>
      </c>
      <c r="G417" t="s">
        <v>115</v>
      </c>
      <c r="H417" t="s">
        <v>11</v>
      </c>
    </row>
    <row r="418" spans="1:8" x14ac:dyDescent="0.35">
      <c r="A418" t="s">
        <v>20</v>
      </c>
      <c r="B418" t="s">
        <v>119</v>
      </c>
      <c r="C418" t="s">
        <v>1451</v>
      </c>
      <c r="D418">
        <v>3</v>
      </c>
      <c r="E418">
        <v>2</v>
      </c>
      <c r="F418" t="s">
        <v>7</v>
      </c>
      <c r="G418" t="s">
        <v>115</v>
      </c>
      <c r="H418" t="s">
        <v>11</v>
      </c>
    </row>
    <row r="419" spans="1:8" x14ac:dyDescent="0.35">
      <c r="A419" t="s">
        <v>20</v>
      </c>
      <c r="B419" t="s">
        <v>119</v>
      </c>
      <c r="C419" t="s">
        <v>1452</v>
      </c>
      <c r="D419">
        <v>3</v>
      </c>
      <c r="E419">
        <v>2</v>
      </c>
      <c r="F419" t="s">
        <v>7</v>
      </c>
      <c r="G419" t="s">
        <v>115</v>
      </c>
      <c r="H419" t="s">
        <v>11</v>
      </c>
    </row>
    <row r="420" spans="1:8" x14ac:dyDescent="0.35">
      <c r="A420" t="s">
        <v>20</v>
      </c>
      <c r="B420" t="s">
        <v>119</v>
      </c>
      <c r="C420" t="s">
        <v>1453</v>
      </c>
      <c r="D420">
        <v>3</v>
      </c>
      <c r="E420">
        <v>2</v>
      </c>
      <c r="F420" t="s">
        <v>7</v>
      </c>
      <c r="G420" t="s">
        <v>115</v>
      </c>
      <c r="H420" t="s">
        <v>11</v>
      </c>
    </row>
    <row r="421" spans="1:8" x14ac:dyDescent="0.35">
      <c r="A421" t="s">
        <v>20</v>
      </c>
      <c r="B421" t="s">
        <v>119</v>
      </c>
      <c r="C421" t="s">
        <v>1177</v>
      </c>
      <c r="D421">
        <v>3</v>
      </c>
      <c r="E421">
        <v>2</v>
      </c>
      <c r="F421" t="s">
        <v>7</v>
      </c>
      <c r="G421" t="s">
        <v>115</v>
      </c>
      <c r="H421" t="s">
        <v>11</v>
      </c>
    </row>
    <row r="422" spans="1:8" x14ac:dyDescent="0.35">
      <c r="A422" t="s">
        <v>21</v>
      </c>
      <c r="B422" t="s">
        <v>108</v>
      </c>
      <c r="C422" t="s">
        <v>1454</v>
      </c>
      <c r="D422">
        <v>3</v>
      </c>
      <c r="E422">
        <v>2</v>
      </c>
      <c r="F422" t="s">
        <v>7</v>
      </c>
      <c r="G422" t="s">
        <v>115</v>
      </c>
      <c r="H422" t="s">
        <v>11</v>
      </c>
    </row>
    <row r="423" spans="1:8" x14ac:dyDescent="0.35">
      <c r="A423" t="s">
        <v>21</v>
      </c>
      <c r="B423" t="s">
        <v>108</v>
      </c>
      <c r="C423" t="s">
        <v>1455</v>
      </c>
      <c r="D423">
        <v>3</v>
      </c>
      <c r="E423">
        <v>2</v>
      </c>
      <c r="F423" t="s">
        <v>7</v>
      </c>
      <c r="G423" t="s">
        <v>115</v>
      </c>
      <c r="H423" t="s">
        <v>11</v>
      </c>
    </row>
    <row r="424" spans="1:8" x14ac:dyDescent="0.35">
      <c r="A424" t="s">
        <v>21</v>
      </c>
      <c r="B424" t="s">
        <v>108</v>
      </c>
      <c r="C424" t="s">
        <v>1456</v>
      </c>
      <c r="D424">
        <v>3</v>
      </c>
      <c r="E424">
        <v>2</v>
      </c>
      <c r="F424" t="s">
        <v>7</v>
      </c>
      <c r="G424" t="s">
        <v>115</v>
      </c>
      <c r="H424" t="s">
        <v>11</v>
      </c>
    </row>
    <row r="425" spans="1:8" x14ac:dyDescent="0.35">
      <c r="A425" t="s">
        <v>21</v>
      </c>
      <c r="B425" t="s">
        <v>108</v>
      </c>
      <c r="C425" t="s">
        <v>1406</v>
      </c>
      <c r="D425">
        <v>3</v>
      </c>
      <c r="E425">
        <v>2</v>
      </c>
      <c r="F425" t="s">
        <v>7</v>
      </c>
      <c r="G425" t="s">
        <v>115</v>
      </c>
      <c r="H425" t="s">
        <v>11</v>
      </c>
    </row>
    <row r="426" spans="1:8" x14ac:dyDescent="0.35">
      <c r="A426" t="s">
        <v>21</v>
      </c>
      <c r="B426" t="s">
        <v>108</v>
      </c>
      <c r="C426" t="s">
        <v>1114</v>
      </c>
      <c r="D426">
        <v>3</v>
      </c>
      <c r="E426">
        <v>3</v>
      </c>
      <c r="F426" t="s">
        <v>7</v>
      </c>
      <c r="G426" t="s">
        <v>11</v>
      </c>
      <c r="H426" t="s">
        <v>11</v>
      </c>
    </row>
    <row r="427" spans="1:8" x14ac:dyDescent="0.35">
      <c r="A427" t="s">
        <v>21</v>
      </c>
      <c r="B427" t="s">
        <v>108</v>
      </c>
      <c r="C427" t="s">
        <v>1457</v>
      </c>
      <c r="D427">
        <v>2</v>
      </c>
      <c r="E427">
        <v>4</v>
      </c>
      <c r="F427" t="s">
        <v>7</v>
      </c>
      <c r="G427" t="s">
        <v>11</v>
      </c>
      <c r="H427" t="s">
        <v>11</v>
      </c>
    </row>
    <row r="428" spans="1:8" x14ac:dyDescent="0.35">
      <c r="A428" t="s">
        <v>21</v>
      </c>
      <c r="B428" t="s">
        <v>108</v>
      </c>
      <c r="C428" t="s">
        <v>1458</v>
      </c>
      <c r="D428">
        <v>2</v>
      </c>
      <c r="E428">
        <v>3</v>
      </c>
      <c r="F428" t="s">
        <v>7</v>
      </c>
      <c r="G428" t="s">
        <v>11</v>
      </c>
      <c r="H428" t="s">
        <v>11</v>
      </c>
    </row>
    <row r="429" spans="1:8" x14ac:dyDescent="0.35">
      <c r="A429" t="s">
        <v>21</v>
      </c>
      <c r="B429" t="s">
        <v>108</v>
      </c>
      <c r="C429" t="s">
        <v>1459</v>
      </c>
      <c r="D429">
        <v>2</v>
      </c>
      <c r="E429">
        <v>3</v>
      </c>
      <c r="F429" t="s">
        <v>7</v>
      </c>
      <c r="G429" t="s">
        <v>11</v>
      </c>
      <c r="H429" t="s">
        <v>11</v>
      </c>
    </row>
    <row r="430" spans="1:8" x14ac:dyDescent="0.35">
      <c r="A430" t="s">
        <v>21</v>
      </c>
      <c r="B430" t="s">
        <v>108</v>
      </c>
      <c r="C430" t="s">
        <v>1460</v>
      </c>
      <c r="D430">
        <v>3</v>
      </c>
      <c r="E430">
        <v>3</v>
      </c>
      <c r="F430" t="s">
        <v>7</v>
      </c>
      <c r="G430" t="s">
        <v>115</v>
      </c>
      <c r="H430" t="s">
        <v>11</v>
      </c>
    </row>
    <row r="431" spans="1:8" x14ac:dyDescent="0.35">
      <c r="A431" t="s">
        <v>21</v>
      </c>
      <c r="B431" t="s">
        <v>108</v>
      </c>
      <c r="C431" t="s">
        <v>1461</v>
      </c>
      <c r="D431">
        <v>3</v>
      </c>
      <c r="E431">
        <v>2</v>
      </c>
      <c r="F431" t="s">
        <v>7</v>
      </c>
      <c r="G431" t="s">
        <v>115</v>
      </c>
      <c r="H431" t="s">
        <v>11</v>
      </c>
    </row>
    <row r="432" spans="1:8" x14ac:dyDescent="0.35">
      <c r="A432" t="s">
        <v>21</v>
      </c>
      <c r="B432" t="s">
        <v>108</v>
      </c>
      <c r="C432" t="s">
        <v>1116</v>
      </c>
      <c r="D432">
        <v>3</v>
      </c>
      <c r="E432">
        <v>3</v>
      </c>
      <c r="F432" t="s">
        <v>7</v>
      </c>
      <c r="G432" t="s">
        <v>11</v>
      </c>
      <c r="H432" t="s">
        <v>11</v>
      </c>
    </row>
    <row r="433" spans="1:8" x14ac:dyDescent="0.35">
      <c r="A433" t="s">
        <v>21</v>
      </c>
      <c r="B433" t="s">
        <v>108</v>
      </c>
      <c r="C433" t="s">
        <v>1462</v>
      </c>
      <c r="D433">
        <v>3</v>
      </c>
      <c r="E433">
        <v>3</v>
      </c>
      <c r="F433" t="s">
        <v>7</v>
      </c>
      <c r="G433" t="s">
        <v>115</v>
      </c>
      <c r="H433" t="s">
        <v>11</v>
      </c>
    </row>
    <row r="434" spans="1:8" x14ac:dyDescent="0.35">
      <c r="A434" t="s">
        <v>21</v>
      </c>
      <c r="B434" t="s">
        <v>108</v>
      </c>
      <c r="C434" t="s">
        <v>1463</v>
      </c>
      <c r="D434">
        <v>3</v>
      </c>
      <c r="E434">
        <v>2</v>
      </c>
      <c r="F434" t="s">
        <v>7</v>
      </c>
      <c r="G434" t="s">
        <v>115</v>
      </c>
      <c r="H434" t="s">
        <v>11</v>
      </c>
    </row>
    <row r="435" spans="1:8" x14ac:dyDescent="0.35">
      <c r="A435" t="s">
        <v>21</v>
      </c>
      <c r="B435" t="s">
        <v>108</v>
      </c>
      <c r="C435" t="s">
        <v>1464</v>
      </c>
      <c r="D435">
        <v>3</v>
      </c>
      <c r="E435">
        <v>2</v>
      </c>
      <c r="F435" t="s">
        <v>7</v>
      </c>
      <c r="G435" t="s">
        <v>115</v>
      </c>
      <c r="H435" t="s">
        <v>11</v>
      </c>
    </row>
    <row r="436" spans="1:8" x14ac:dyDescent="0.35">
      <c r="A436" t="s">
        <v>21</v>
      </c>
      <c r="B436" t="s">
        <v>108</v>
      </c>
      <c r="C436" t="s">
        <v>1465</v>
      </c>
      <c r="D436">
        <v>3</v>
      </c>
      <c r="E436">
        <v>2</v>
      </c>
      <c r="F436" t="s">
        <v>7</v>
      </c>
      <c r="G436" t="s">
        <v>115</v>
      </c>
      <c r="H436" t="s">
        <v>11</v>
      </c>
    </row>
    <row r="437" spans="1:8" x14ac:dyDescent="0.35">
      <c r="A437" t="s">
        <v>21</v>
      </c>
      <c r="B437" t="s">
        <v>108</v>
      </c>
      <c r="C437" t="s">
        <v>1466</v>
      </c>
      <c r="D437">
        <v>3</v>
      </c>
      <c r="E437">
        <v>3</v>
      </c>
      <c r="F437" t="s">
        <v>7</v>
      </c>
      <c r="G437" t="s">
        <v>115</v>
      </c>
      <c r="H437" t="s">
        <v>11</v>
      </c>
    </row>
    <row r="438" spans="1:8" x14ac:dyDescent="0.35">
      <c r="A438" t="s">
        <v>21</v>
      </c>
      <c r="B438" t="s">
        <v>108</v>
      </c>
      <c r="C438" t="s">
        <v>1467</v>
      </c>
      <c r="D438">
        <v>3</v>
      </c>
      <c r="E438">
        <v>3</v>
      </c>
      <c r="F438" t="s">
        <v>7</v>
      </c>
      <c r="G438" t="s">
        <v>11</v>
      </c>
      <c r="H438" t="s">
        <v>11</v>
      </c>
    </row>
    <row r="439" spans="1:8" x14ac:dyDescent="0.35">
      <c r="A439" t="s">
        <v>21</v>
      </c>
      <c r="B439" t="s">
        <v>108</v>
      </c>
      <c r="C439" t="s">
        <v>1468</v>
      </c>
      <c r="D439">
        <v>2</v>
      </c>
      <c r="E439">
        <v>3</v>
      </c>
      <c r="F439" t="s">
        <v>7</v>
      </c>
      <c r="G439" t="s">
        <v>11</v>
      </c>
      <c r="H439" t="s">
        <v>11</v>
      </c>
    </row>
    <row r="440" spans="1:8" x14ac:dyDescent="0.35">
      <c r="A440" t="s">
        <v>21</v>
      </c>
      <c r="B440" t="s">
        <v>108</v>
      </c>
      <c r="C440" t="s">
        <v>1120</v>
      </c>
      <c r="D440">
        <v>3</v>
      </c>
      <c r="E440">
        <v>3</v>
      </c>
      <c r="F440" t="s">
        <v>7</v>
      </c>
      <c r="G440" t="s">
        <v>115</v>
      </c>
      <c r="H440" t="s">
        <v>11</v>
      </c>
    </row>
    <row r="441" spans="1:8" x14ac:dyDescent="0.35">
      <c r="A441" t="s">
        <v>21</v>
      </c>
      <c r="B441" t="s">
        <v>108</v>
      </c>
      <c r="C441" t="s">
        <v>1469</v>
      </c>
      <c r="D441">
        <v>3</v>
      </c>
      <c r="E441">
        <v>2</v>
      </c>
      <c r="F441" t="s">
        <v>7</v>
      </c>
      <c r="G441" t="s">
        <v>115</v>
      </c>
      <c r="H441" t="s">
        <v>11</v>
      </c>
    </row>
    <row r="442" spans="1:8" x14ac:dyDescent="0.35">
      <c r="A442" t="s">
        <v>21</v>
      </c>
      <c r="B442" t="s">
        <v>108</v>
      </c>
      <c r="C442" t="s">
        <v>1470</v>
      </c>
      <c r="D442">
        <v>3</v>
      </c>
      <c r="E442">
        <v>3</v>
      </c>
      <c r="F442" t="s">
        <v>7</v>
      </c>
      <c r="G442" t="s">
        <v>115</v>
      </c>
      <c r="H442" t="s">
        <v>11</v>
      </c>
    </row>
    <row r="443" spans="1:8" x14ac:dyDescent="0.35">
      <c r="A443" t="s">
        <v>21</v>
      </c>
      <c r="B443" t="s">
        <v>108</v>
      </c>
      <c r="C443" t="s">
        <v>1231</v>
      </c>
      <c r="D443">
        <v>2</v>
      </c>
      <c r="E443">
        <v>3</v>
      </c>
      <c r="F443" t="s">
        <v>7</v>
      </c>
      <c r="G443" t="s">
        <v>11</v>
      </c>
      <c r="H443" t="s">
        <v>11</v>
      </c>
    </row>
    <row r="444" spans="1:8" x14ac:dyDescent="0.35">
      <c r="A444" t="s">
        <v>21</v>
      </c>
      <c r="B444" t="s">
        <v>108</v>
      </c>
      <c r="C444" t="s">
        <v>1471</v>
      </c>
      <c r="D444">
        <v>2</v>
      </c>
      <c r="E444">
        <v>4</v>
      </c>
      <c r="F444" t="s">
        <v>7</v>
      </c>
      <c r="G444" t="s">
        <v>11</v>
      </c>
      <c r="H444" t="s">
        <v>11</v>
      </c>
    </row>
    <row r="445" spans="1:8" x14ac:dyDescent="0.35">
      <c r="A445" t="s">
        <v>21</v>
      </c>
      <c r="B445" t="s">
        <v>108</v>
      </c>
      <c r="C445" t="s">
        <v>1472</v>
      </c>
      <c r="D445">
        <v>3</v>
      </c>
      <c r="E445">
        <v>2</v>
      </c>
      <c r="F445" t="s">
        <v>7</v>
      </c>
      <c r="G445" t="s">
        <v>115</v>
      </c>
      <c r="H445" t="s">
        <v>11</v>
      </c>
    </row>
    <row r="446" spans="1:8" x14ac:dyDescent="0.35">
      <c r="A446" t="s">
        <v>21</v>
      </c>
      <c r="B446" t="s">
        <v>108</v>
      </c>
      <c r="C446" t="s">
        <v>1473</v>
      </c>
      <c r="D446">
        <v>3</v>
      </c>
      <c r="E446">
        <v>2</v>
      </c>
      <c r="F446" t="s">
        <v>7</v>
      </c>
      <c r="G446" t="s">
        <v>115</v>
      </c>
      <c r="H446" t="s">
        <v>11</v>
      </c>
    </row>
    <row r="447" spans="1:8" x14ac:dyDescent="0.35">
      <c r="A447" t="s">
        <v>21</v>
      </c>
      <c r="B447" t="s">
        <v>108</v>
      </c>
      <c r="C447" t="s">
        <v>1474</v>
      </c>
      <c r="D447">
        <v>3</v>
      </c>
      <c r="E447">
        <v>3</v>
      </c>
      <c r="F447" t="s">
        <v>7</v>
      </c>
      <c r="G447" t="s">
        <v>115</v>
      </c>
      <c r="H447" t="s">
        <v>11</v>
      </c>
    </row>
    <row r="448" spans="1:8" x14ac:dyDescent="0.35">
      <c r="A448" t="s">
        <v>21</v>
      </c>
      <c r="B448" t="s">
        <v>108</v>
      </c>
      <c r="C448" t="s">
        <v>1475</v>
      </c>
      <c r="D448">
        <v>3</v>
      </c>
      <c r="E448">
        <v>4</v>
      </c>
      <c r="F448" t="s">
        <v>7</v>
      </c>
      <c r="G448" t="s">
        <v>11</v>
      </c>
      <c r="H448" t="s">
        <v>11</v>
      </c>
    </row>
    <row r="449" spans="1:8" x14ac:dyDescent="0.35">
      <c r="A449" t="s">
        <v>21</v>
      </c>
      <c r="B449" t="s">
        <v>108</v>
      </c>
      <c r="C449" t="s">
        <v>1122</v>
      </c>
      <c r="D449">
        <v>2</v>
      </c>
      <c r="E449">
        <v>3</v>
      </c>
      <c r="F449" t="s">
        <v>7</v>
      </c>
      <c r="G449" t="s">
        <v>11</v>
      </c>
      <c r="H449" t="s">
        <v>11</v>
      </c>
    </row>
    <row r="450" spans="1:8" x14ac:dyDescent="0.35">
      <c r="A450" t="s">
        <v>21</v>
      </c>
      <c r="B450" t="s">
        <v>108</v>
      </c>
      <c r="C450" t="s">
        <v>1125</v>
      </c>
      <c r="D450">
        <v>2</v>
      </c>
      <c r="E450">
        <v>3</v>
      </c>
      <c r="F450" t="s">
        <v>7</v>
      </c>
      <c r="G450" t="s">
        <v>11</v>
      </c>
      <c r="H450" t="s">
        <v>11</v>
      </c>
    </row>
    <row r="451" spans="1:8" x14ac:dyDescent="0.35">
      <c r="A451" t="s">
        <v>21</v>
      </c>
      <c r="B451" t="s">
        <v>108</v>
      </c>
      <c r="C451" t="s">
        <v>1126</v>
      </c>
      <c r="D451">
        <v>3</v>
      </c>
      <c r="E451">
        <v>3</v>
      </c>
      <c r="F451" t="s">
        <v>7</v>
      </c>
      <c r="G451" t="s">
        <v>115</v>
      </c>
      <c r="H451" t="s">
        <v>11</v>
      </c>
    </row>
    <row r="452" spans="1:8" x14ac:dyDescent="0.35">
      <c r="A452" t="s">
        <v>21</v>
      </c>
      <c r="B452" t="s">
        <v>108</v>
      </c>
      <c r="C452" t="s">
        <v>1476</v>
      </c>
      <c r="D452">
        <v>2</v>
      </c>
      <c r="E452">
        <v>3</v>
      </c>
      <c r="F452" t="s">
        <v>7</v>
      </c>
      <c r="G452" t="s">
        <v>11</v>
      </c>
      <c r="H452" t="s">
        <v>11</v>
      </c>
    </row>
    <row r="453" spans="1:8" x14ac:dyDescent="0.35">
      <c r="A453" t="s">
        <v>21</v>
      </c>
      <c r="B453" t="s">
        <v>108</v>
      </c>
      <c r="C453" t="s">
        <v>1477</v>
      </c>
      <c r="D453">
        <v>3</v>
      </c>
      <c r="E453">
        <v>2</v>
      </c>
      <c r="F453" t="s">
        <v>7</v>
      </c>
      <c r="G453" t="s">
        <v>115</v>
      </c>
      <c r="H453" t="s">
        <v>11</v>
      </c>
    </row>
    <row r="454" spans="1:8" x14ac:dyDescent="0.35">
      <c r="A454" t="s">
        <v>21</v>
      </c>
      <c r="B454" t="s">
        <v>108</v>
      </c>
      <c r="C454" t="s">
        <v>1478</v>
      </c>
      <c r="D454">
        <v>1</v>
      </c>
      <c r="E454">
        <v>3</v>
      </c>
      <c r="F454" t="s">
        <v>7</v>
      </c>
      <c r="G454" t="s">
        <v>11</v>
      </c>
      <c r="H454" t="s">
        <v>11</v>
      </c>
    </row>
    <row r="455" spans="1:8" x14ac:dyDescent="0.35">
      <c r="A455" t="s">
        <v>21</v>
      </c>
      <c r="B455" t="s">
        <v>108</v>
      </c>
      <c r="C455" t="s">
        <v>1128</v>
      </c>
      <c r="D455">
        <v>3</v>
      </c>
      <c r="E455">
        <v>3</v>
      </c>
      <c r="F455" t="s">
        <v>7</v>
      </c>
      <c r="G455" t="s">
        <v>115</v>
      </c>
      <c r="H455" t="s">
        <v>11</v>
      </c>
    </row>
    <row r="456" spans="1:8" x14ac:dyDescent="0.35">
      <c r="A456" t="s">
        <v>21</v>
      </c>
      <c r="B456" t="s">
        <v>108</v>
      </c>
      <c r="C456" t="s">
        <v>1479</v>
      </c>
      <c r="D456">
        <v>3</v>
      </c>
      <c r="E456">
        <v>2</v>
      </c>
      <c r="F456" t="s">
        <v>7</v>
      </c>
      <c r="G456" t="s">
        <v>115</v>
      </c>
      <c r="H456" t="s">
        <v>11</v>
      </c>
    </row>
    <row r="457" spans="1:8" x14ac:dyDescent="0.35">
      <c r="A457" t="s">
        <v>21</v>
      </c>
      <c r="B457" t="s">
        <v>108</v>
      </c>
      <c r="C457" t="s">
        <v>1235</v>
      </c>
      <c r="D457">
        <v>3</v>
      </c>
      <c r="E457">
        <v>3</v>
      </c>
      <c r="F457" t="s">
        <v>7</v>
      </c>
      <c r="G457" t="s">
        <v>11</v>
      </c>
      <c r="H457" t="s">
        <v>11</v>
      </c>
    </row>
    <row r="458" spans="1:8" x14ac:dyDescent="0.35">
      <c r="A458" t="s">
        <v>21</v>
      </c>
      <c r="B458" t="s">
        <v>108</v>
      </c>
      <c r="C458" t="s">
        <v>1480</v>
      </c>
      <c r="D458">
        <v>3</v>
      </c>
      <c r="E458">
        <v>2</v>
      </c>
      <c r="F458" t="s">
        <v>7</v>
      </c>
      <c r="G458" t="s">
        <v>115</v>
      </c>
      <c r="H458" t="s">
        <v>11</v>
      </c>
    </row>
    <row r="459" spans="1:8" x14ac:dyDescent="0.35">
      <c r="A459" t="s">
        <v>21</v>
      </c>
      <c r="B459" t="s">
        <v>108</v>
      </c>
      <c r="C459" t="s">
        <v>1481</v>
      </c>
      <c r="D459">
        <v>2</v>
      </c>
      <c r="E459">
        <v>3</v>
      </c>
      <c r="F459" t="s">
        <v>7</v>
      </c>
      <c r="G459" t="s">
        <v>11</v>
      </c>
      <c r="H459" t="s">
        <v>11</v>
      </c>
    </row>
    <row r="460" spans="1:8" x14ac:dyDescent="0.35">
      <c r="A460" t="s">
        <v>21</v>
      </c>
      <c r="B460" t="s">
        <v>108</v>
      </c>
      <c r="C460" t="s">
        <v>1238</v>
      </c>
      <c r="D460">
        <v>3</v>
      </c>
      <c r="E460">
        <v>3</v>
      </c>
      <c r="F460" t="s">
        <v>7</v>
      </c>
      <c r="G460" t="s">
        <v>11</v>
      </c>
      <c r="H460" t="s">
        <v>11</v>
      </c>
    </row>
    <row r="461" spans="1:8" x14ac:dyDescent="0.35">
      <c r="A461" t="s">
        <v>21</v>
      </c>
      <c r="B461" t="s">
        <v>108</v>
      </c>
      <c r="C461" t="s">
        <v>1482</v>
      </c>
      <c r="D461">
        <v>3</v>
      </c>
      <c r="E461">
        <v>3</v>
      </c>
      <c r="F461" t="s">
        <v>7</v>
      </c>
      <c r="G461" t="s">
        <v>115</v>
      </c>
      <c r="H461" t="s">
        <v>11</v>
      </c>
    </row>
    <row r="462" spans="1:8" x14ac:dyDescent="0.35">
      <c r="A462" t="s">
        <v>21</v>
      </c>
      <c r="B462" t="s">
        <v>108</v>
      </c>
      <c r="C462" t="s">
        <v>1483</v>
      </c>
      <c r="D462">
        <v>3</v>
      </c>
      <c r="E462">
        <v>4</v>
      </c>
      <c r="F462" t="s">
        <v>7</v>
      </c>
      <c r="G462" t="s">
        <v>11</v>
      </c>
      <c r="H462" t="s">
        <v>11</v>
      </c>
    </row>
    <row r="463" spans="1:8" x14ac:dyDescent="0.35">
      <c r="A463" t="s">
        <v>21</v>
      </c>
      <c r="B463" t="s">
        <v>108</v>
      </c>
      <c r="C463" t="s">
        <v>1484</v>
      </c>
      <c r="D463">
        <v>2</v>
      </c>
      <c r="E463">
        <v>4</v>
      </c>
      <c r="F463" t="s">
        <v>7</v>
      </c>
      <c r="G463" t="s">
        <v>11</v>
      </c>
      <c r="H463" t="s">
        <v>11</v>
      </c>
    </row>
    <row r="464" spans="1:8" x14ac:dyDescent="0.35">
      <c r="A464" t="s">
        <v>21</v>
      </c>
      <c r="B464" t="s">
        <v>108</v>
      </c>
      <c r="C464" t="s">
        <v>1485</v>
      </c>
      <c r="D464">
        <v>3</v>
      </c>
      <c r="E464">
        <v>2</v>
      </c>
      <c r="F464" t="s">
        <v>7</v>
      </c>
      <c r="G464" t="s">
        <v>115</v>
      </c>
      <c r="H464" t="s">
        <v>11</v>
      </c>
    </row>
    <row r="465" spans="1:8" x14ac:dyDescent="0.35">
      <c r="A465" t="s">
        <v>21</v>
      </c>
      <c r="B465" t="s">
        <v>108</v>
      </c>
      <c r="C465" t="s">
        <v>1486</v>
      </c>
      <c r="D465">
        <v>1</v>
      </c>
      <c r="E465">
        <v>3</v>
      </c>
      <c r="F465" t="s">
        <v>7</v>
      </c>
      <c r="G465" t="s">
        <v>11</v>
      </c>
      <c r="H465" t="s">
        <v>11</v>
      </c>
    </row>
    <row r="466" spans="1:8" x14ac:dyDescent="0.35">
      <c r="A466" t="s">
        <v>21</v>
      </c>
      <c r="B466" t="s">
        <v>108</v>
      </c>
      <c r="C466" t="s">
        <v>1487</v>
      </c>
      <c r="D466">
        <v>3</v>
      </c>
      <c r="E466">
        <v>3</v>
      </c>
      <c r="F466" t="s">
        <v>7</v>
      </c>
      <c r="G466" t="s">
        <v>115</v>
      </c>
      <c r="H466" t="s">
        <v>11</v>
      </c>
    </row>
    <row r="467" spans="1:8" x14ac:dyDescent="0.35">
      <c r="A467" t="s">
        <v>21</v>
      </c>
      <c r="B467" t="s">
        <v>108</v>
      </c>
      <c r="C467" t="s">
        <v>1488</v>
      </c>
      <c r="D467">
        <v>3</v>
      </c>
      <c r="E467">
        <v>3</v>
      </c>
      <c r="F467" t="s">
        <v>7</v>
      </c>
      <c r="G467" t="s">
        <v>115</v>
      </c>
      <c r="H467" t="s">
        <v>11</v>
      </c>
    </row>
    <row r="468" spans="1:8" x14ac:dyDescent="0.35">
      <c r="A468" t="s">
        <v>21</v>
      </c>
      <c r="B468" t="s">
        <v>108</v>
      </c>
      <c r="C468" t="s">
        <v>1489</v>
      </c>
      <c r="D468">
        <v>3</v>
      </c>
      <c r="E468">
        <v>3</v>
      </c>
      <c r="F468" t="s">
        <v>7</v>
      </c>
      <c r="G468" t="s">
        <v>115</v>
      </c>
      <c r="H468" t="s">
        <v>11</v>
      </c>
    </row>
    <row r="469" spans="1:8" x14ac:dyDescent="0.35">
      <c r="A469" t="s">
        <v>21</v>
      </c>
      <c r="B469" t="s">
        <v>108</v>
      </c>
      <c r="C469" t="s">
        <v>1356</v>
      </c>
      <c r="D469">
        <v>2</v>
      </c>
      <c r="E469">
        <v>3</v>
      </c>
      <c r="F469" t="s">
        <v>7</v>
      </c>
      <c r="G469" t="s">
        <v>11</v>
      </c>
      <c r="H469" t="s">
        <v>11</v>
      </c>
    </row>
    <row r="470" spans="1:8" x14ac:dyDescent="0.35">
      <c r="A470" t="s">
        <v>21</v>
      </c>
      <c r="B470" t="s">
        <v>108</v>
      </c>
      <c r="C470" t="s">
        <v>1490</v>
      </c>
      <c r="D470">
        <v>3</v>
      </c>
      <c r="E470">
        <v>3</v>
      </c>
      <c r="F470" t="s">
        <v>7</v>
      </c>
      <c r="G470" t="s">
        <v>115</v>
      </c>
      <c r="H470" t="s">
        <v>11</v>
      </c>
    </row>
    <row r="471" spans="1:8" x14ac:dyDescent="0.35">
      <c r="A471" t="s">
        <v>21</v>
      </c>
      <c r="B471" t="s">
        <v>108</v>
      </c>
      <c r="C471" t="s">
        <v>1491</v>
      </c>
      <c r="D471">
        <v>3</v>
      </c>
      <c r="E471">
        <v>2</v>
      </c>
      <c r="F471" t="s">
        <v>7</v>
      </c>
      <c r="G471" t="s">
        <v>115</v>
      </c>
      <c r="H471" t="s">
        <v>11</v>
      </c>
    </row>
    <row r="472" spans="1:8" x14ac:dyDescent="0.35">
      <c r="A472" t="s">
        <v>21</v>
      </c>
      <c r="B472" t="s">
        <v>108</v>
      </c>
      <c r="C472" t="s">
        <v>1492</v>
      </c>
      <c r="D472">
        <v>3</v>
      </c>
      <c r="E472">
        <v>2</v>
      </c>
      <c r="F472" t="s">
        <v>7</v>
      </c>
      <c r="G472" t="s">
        <v>115</v>
      </c>
      <c r="H472" t="s">
        <v>11</v>
      </c>
    </row>
    <row r="473" spans="1:8" x14ac:dyDescent="0.35">
      <c r="A473" t="s">
        <v>21</v>
      </c>
      <c r="B473" t="s">
        <v>108</v>
      </c>
      <c r="C473" t="s">
        <v>1359</v>
      </c>
      <c r="D473">
        <v>2</v>
      </c>
      <c r="E473">
        <v>3</v>
      </c>
      <c r="F473" t="s">
        <v>7</v>
      </c>
      <c r="G473" t="s">
        <v>11</v>
      </c>
      <c r="H473" t="s">
        <v>11</v>
      </c>
    </row>
    <row r="474" spans="1:8" x14ac:dyDescent="0.35">
      <c r="A474" t="s">
        <v>21</v>
      </c>
      <c r="B474" t="s">
        <v>108</v>
      </c>
      <c r="C474" t="s">
        <v>1493</v>
      </c>
      <c r="D474">
        <v>3</v>
      </c>
      <c r="E474">
        <v>3</v>
      </c>
      <c r="F474" t="s">
        <v>7</v>
      </c>
      <c r="G474" t="s">
        <v>115</v>
      </c>
      <c r="H474" t="s">
        <v>11</v>
      </c>
    </row>
    <row r="475" spans="1:8" x14ac:dyDescent="0.35">
      <c r="A475" t="s">
        <v>21</v>
      </c>
      <c r="B475" t="s">
        <v>108</v>
      </c>
      <c r="C475" t="s">
        <v>1494</v>
      </c>
      <c r="D475">
        <v>3</v>
      </c>
      <c r="E475">
        <v>2</v>
      </c>
      <c r="F475" t="s">
        <v>7</v>
      </c>
      <c r="G475" t="s">
        <v>115</v>
      </c>
      <c r="H475" t="s">
        <v>11</v>
      </c>
    </row>
    <row r="476" spans="1:8" x14ac:dyDescent="0.35">
      <c r="A476" t="s">
        <v>21</v>
      </c>
      <c r="B476" t="s">
        <v>108</v>
      </c>
      <c r="C476" t="s">
        <v>1495</v>
      </c>
      <c r="D476">
        <v>2</v>
      </c>
      <c r="E476">
        <v>4</v>
      </c>
      <c r="F476" t="s">
        <v>7</v>
      </c>
      <c r="G476" t="s">
        <v>11</v>
      </c>
      <c r="H476" t="s">
        <v>11</v>
      </c>
    </row>
    <row r="477" spans="1:8" x14ac:dyDescent="0.35">
      <c r="A477" t="s">
        <v>21</v>
      </c>
      <c r="B477" t="s">
        <v>108</v>
      </c>
      <c r="C477" t="s">
        <v>1141</v>
      </c>
      <c r="D477">
        <v>2</v>
      </c>
      <c r="E477">
        <v>3</v>
      </c>
      <c r="F477" t="s">
        <v>7</v>
      </c>
      <c r="G477" t="s">
        <v>11</v>
      </c>
      <c r="H477" t="s">
        <v>11</v>
      </c>
    </row>
    <row r="478" spans="1:8" x14ac:dyDescent="0.35">
      <c r="A478" t="s">
        <v>21</v>
      </c>
      <c r="B478" t="s">
        <v>108</v>
      </c>
      <c r="C478" t="s">
        <v>1496</v>
      </c>
      <c r="D478">
        <v>2</v>
      </c>
      <c r="E478">
        <v>4</v>
      </c>
      <c r="F478" t="s">
        <v>7</v>
      </c>
      <c r="G478" t="s">
        <v>11</v>
      </c>
      <c r="H478" t="s">
        <v>11</v>
      </c>
    </row>
    <row r="479" spans="1:8" x14ac:dyDescent="0.35">
      <c r="A479" t="s">
        <v>21</v>
      </c>
      <c r="B479" t="s">
        <v>108</v>
      </c>
      <c r="C479" t="s">
        <v>1497</v>
      </c>
      <c r="D479">
        <v>2</v>
      </c>
      <c r="E479">
        <v>3</v>
      </c>
      <c r="F479" t="s">
        <v>7</v>
      </c>
      <c r="G479" t="s">
        <v>11</v>
      </c>
      <c r="H479" t="s">
        <v>11</v>
      </c>
    </row>
    <row r="480" spans="1:8" x14ac:dyDescent="0.35">
      <c r="A480" t="s">
        <v>21</v>
      </c>
      <c r="B480" t="s">
        <v>108</v>
      </c>
      <c r="C480" t="s">
        <v>1142</v>
      </c>
      <c r="D480">
        <v>2</v>
      </c>
      <c r="E480">
        <v>4</v>
      </c>
      <c r="F480" t="s">
        <v>7</v>
      </c>
      <c r="G480" t="s">
        <v>11</v>
      </c>
      <c r="H480" t="s">
        <v>11</v>
      </c>
    </row>
    <row r="481" spans="1:8" x14ac:dyDescent="0.35">
      <c r="A481" t="s">
        <v>21</v>
      </c>
      <c r="B481" t="s">
        <v>108</v>
      </c>
      <c r="C481" t="s">
        <v>1244</v>
      </c>
      <c r="D481">
        <v>1</v>
      </c>
      <c r="E481">
        <v>3</v>
      </c>
      <c r="F481" t="s">
        <v>7</v>
      </c>
      <c r="G481" t="s">
        <v>11</v>
      </c>
      <c r="H481" t="s">
        <v>11</v>
      </c>
    </row>
    <row r="482" spans="1:8" x14ac:dyDescent="0.35">
      <c r="A482" t="s">
        <v>21</v>
      </c>
      <c r="B482" t="s">
        <v>108</v>
      </c>
      <c r="C482" t="s">
        <v>1498</v>
      </c>
      <c r="D482">
        <v>2</v>
      </c>
      <c r="E482">
        <v>4</v>
      </c>
      <c r="F482" t="s">
        <v>7</v>
      </c>
      <c r="G482" t="s">
        <v>11</v>
      </c>
      <c r="H482" t="s">
        <v>11</v>
      </c>
    </row>
    <row r="483" spans="1:8" x14ac:dyDescent="0.35">
      <c r="A483" t="s">
        <v>21</v>
      </c>
      <c r="B483" t="s">
        <v>108</v>
      </c>
      <c r="C483" t="s">
        <v>1499</v>
      </c>
      <c r="D483">
        <v>3</v>
      </c>
      <c r="E483">
        <v>3</v>
      </c>
      <c r="F483" t="s">
        <v>7</v>
      </c>
      <c r="G483" t="s">
        <v>11</v>
      </c>
      <c r="H483" t="s">
        <v>11</v>
      </c>
    </row>
    <row r="484" spans="1:8" x14ac:dyDescent="0.35">
      <c r="A484" t="s">
        <v>21</v>
      </c>
      <c r="B484" t="s">
        <v>108</v>
      </c>
      <c r="C484" t="s">
        <v>1500</v>
      </c>
      <c r="D484">
        <v>3</v>
      </c>
      <c r="E484">
        <v>2</v>
      </c>
      <c r="F484" t="s">
        <v>7</v>
      </c>
      <c r="G484" t="s">
        <v>115</v>
      </c>
      <c r="H484" t="s">
        <v>11</v>
      </c>
    </row>
    <row r="485" spans="1:8" x14ac:dyDescent="0.35">
      <c r="A485" t="s">
        <v>21</v>
      </c>
      <c r="B485" t="s">
        <v>108</v>
      </c>
      <c r="C485" t="s">
        <v>1501</v>
      </c>
      <c r="D485">
        <v>3</v>
      </c>
      <c r="E485">
        <v>4</v>
      </c>
      <c r="F485" t="s">
        <v>7</v>
      </c>
      <c r="G485" t="s">
        <v>11</v>
      </c>
      <c r="H485" t="s">
        <v>11</v>
      </c>
    </row>
    <row r="486" spans="1:8" x14ac:dyDescent="0.35">
      <c r="A486" t="s">
        <v>21</v>
      </c>
      <c r="B486" t="s">
        <v>108</v>
      </c>
      <c r="C486" t="s">
        <v>1502</v>
      </c>
      <c r="D486">
        <v>3</v>
      </c>
      <c r="E486">
        <v>2</v>
      </c>
      <c r="F486" t="s">
        <v>7</v>
      </c>
      <c r="G486" t="s">
        <v>115</v>
      </c>
      <c r="H486" t="s">
        <v>11</v>
      </c>
    </row>
    <row r="487" spans="1:8" x14ac:dyDescent="0.35">
      <c r="A487" t="s">
        <v>21</v>
      </c>
      <c r="B487" t="s">
        <v>108</v>
      </c>
      <c r="C487" t="s">
        <v>1144</v>
      </c>
      <c r="D487">
        <v>2</v>
      </c>
      <c r="E487">
        <v>3</v>
      </c>
      <c r="F487" t="s">
        <v>7</v>
      </c>
      <c r="G487" t="s">
        <v>11</v>
      </c>
      <c r="H487" t="s">
        <v>11</v>
      </c>
    </row>
    <row r="488" spans="1:8" x14ac:dyDescent="0.35">
      <c r="A488" t="s">
        <v>21</v>
      </c>
      <c r="B488" t="s">
        <v>108</v>
      </c>
      <c r="C488" t="s">
        <v>1503</v>
      </c>
      <c r="D488">
        <v>1</v>
      </c>
      <c r="E488">
        <v>3</v>
      </c>
      <c r="F488" t="s">
        <v>7</v>
      </c>
      <c r="G488" t="s">
        <v>11</v>
      </c>
      <c r="H488" t="s">
        <v>11</v>
      </c>
    </row>
    <row r="489" spans="1:8" x14ac:dyDescent="0.35">
      <c r="A489" t="s">
        <v>21</v>
      </c>
      <c r="B489" t="s">
        <v>108</v>
      </c>
      <c r="C489" t="s">
        <v>1504</v>
      </c>
      <c r="D489">
        <v>2</v>
      </c>
      <c r="E489">
        <v>4</v>
      </c>
      <c r="F489" t="s">
        <v>7</v>
      </c>
      <c r="G489" t="s">
        <v>11</v>
      </c>
      <c r="H489" t="s">
        <v>11</v>
      </c>
    </row>
    <row r="490" spans="1:8" x14ac:dyDescent="0.35">
      <c r="A490" t="s">
        <v>21</v>
      </c>
      <c r="B490" t="s">
        <v>108</v>
      </c>
      <c r="C490" t="s">
        <v>1505</v>
      </c>
      <c r="D490">
        <v>2</v>
      </c>
      <c r="E490">
        <v>4</v>
      </c>
      <c r="F490" t="s">
        <v>7</v>
      </c>
      <c r="G490" t="s">
        <v>11</v>
      </c>
      <c r="H490" t="s">
        <v>11</v>
      </c>
    </row>
    <row r="491" spans="1:8" x14ac:dyDescent="0.35">
      <c r="A491" t="s">
        <v>21</v>
      </c>
      <c r="B491" t="s">
        <v>108</v>
      </c>
      <c r="C491" t="s">
        <v>1506</v>
      </c>
      <c r="D491">
        <v>3</v>
      </c>
      <c r="E491">
        <v>3</v>
      </c>
      <c r="F491" t="s">
        <v>7</v>
      </c>
      <c r="G491" t="s">
        <v>11</v>
      </c>
      <c r="H491" t="s">
        <v>11</v>
      </c>
    </row>
    <row r="492" spans="1:8" x14ac:dyDescent="0.35">
      <c r="A492" t="s">
        <v>21</v>
      </c>
      <c r="B492" t="s">
        <v>108</v>
      </c>
      <c r="C492" t="s">
        <v>1507</v>
      </c>
      <c r="D492">
        <v>2</v>
      </c>
      <c r="E492">
        <v>3</v>
      </c>
      <c r="F492" t="s">
        <v>7</v>
      </c>
      <c r="G492" t="s">
        <v>11</v>
      </c>
      <c r="H492" t="s">
        <v>11</v>
      </c>
    </row>
    <row r="493" spans="1:8" x14ac:dyDescent="0.35">
      <c r="A493" t="s">
        <v>21</v>
      </c>
      <c r="B493" t="s">
        <v>108</v>
      </c>
      <c r="C493" t="s">
        <v>1508</v>
      </c>
      <c r="D493">
        <v>2</v>
      </c>
      <c r="E493">
        <v>3</v>
      </c>
      <c r="F493" t="s">
        <v>7</v>
      </c>
      <c r="G493" t="s">
        <v>11</v>
      </c>
      <c r="H493" t="s">
        <v>11</v>
      </c>
    </row>
    <row r="494" spans="1:8" x14ac:dyDescent="0.35">
      <c r="A494" t="s">
        <v>21</v>
      </c>
      <c r="B494" t="s">
        <v>108</v>
      </c>
      <c r="C494" t="s">
        <v>1509</v>
      </c>
      <c r="D494">
        <v>2</v>
      </c>
      <c r="E494">
        <v>3</v>
      </c>
      <c r="F494" t="s">
        <v>7</v>
      </c>
      <c r="G494" t="s">
        <v>11</v>
      </c>
      <c r="H494" t="s">
        <v>11</v>
      </c>
    </row>
    <row r="495" spans="1:8" x14ac:dyDescent="0.35">
      <c r="A495" t="s">
        <v>21</v>
      </c>
      <c r="B495" t="s">
        <v>108</v>
      </c>
      <c r="C495" t="s">
        <v>1510</v>
      </c>
      <c r="D495">
        <v>2</v>
      </c>
      <c r="E495">
        <v>3</v>
      </c>
      <c r="F495" t="s">
        <v>7</v>
      </c>
      <c r="G495" t="s">
        <v>11</v>
      </c>
      <c r="H495" t="s">
        <v>11</v>
      </c>
    </row>
    <row r="496" spans="1:8" x14ac:dyDescent="0.35">
      <c r="A496" t="s">
        <v>21</v>
      </c>
      <c r="B496" t="s">
        <v>108</v>
      </c>
      <c r="C496" t="s">
        <v>1146</v>
      </c>
      <c r="D496">
        <v>2</v>
      </c>
      <c r="E496">
        <v>3</v>
      </c>
      <c r="F496" t="s">
        <v>7</v>
      </c>
      <c r="G496" t="s">
        <v>11</v>
      </c>
      <c r="H496" t="s">
        <v>11</v>
      </c>
    </row>
    <row r="497" spans="1:8" x14ac:dyDescent="0.35">
      <c r="A497" t="s">
        <v>21</v>
      </c>
      <c r="B497" t="s">
        <v>108</v>
      </c>
      <c r="C497" t="s">
        <v>1147</v>
      </c>
      <c r="D497">
        <v>3</v>
      </c>
      <c r="E497">
        <v>3</v>
      </c>
      <c r="F497" t="s">
        <v>7</v>
      </c>
      <c r="G497" t="s">
        <v>115</v>
      </c>
      <c r="H497" t="s">
        <v>11</v>
      </c>
    </row>
    <row r="498" spans="1:8" x14ac:dyDescent="0.35">
      <c r="A498" t="s">
        <v>21</v>
      </c>
      <c r="B498" t="s">
        <v>108</v>
      </c>
      <c r="C498" t="s">
        <v>1511</v>
      </c>
      <c r="D498">
        <v>3</v>
      </c>
      <c r="E498">
        <v>3</v>
      </c>
      <c r="F498" t="s">
        <v>7</v>
      </c>
      <c r="G498" t="s">
        <v>115</v>
      </c>
      <c r="H498" t="s">
        <v>11</v>
      </c>
    </row>
    <row r="499" spans="1:8" x14ac:dyDescent="0.35">
      <c r="A499" t="s">
        <v>21</v>
      </c>
      <c r="B499" t="s">
        <v>108</v>
      </c>
      <c r="C499" t="s">
        <v>1148</v>
      </c>
      <c r="D499">
        <v>2</v>
      </c>
      <c r="E499">
        <v>3</v>
      </c>
      <c r="F499" t="s">
        <v>7</v>
      </c>
      <c r="G499" t="s">
        <v>11</v>
      </c>
      <c r="H499" t="s">
        <v>11</v>
      </c>
    </row>
    <row r="500" spans="1:8" x14ac:dyDescent="0.35">
      <c r="A500" t="s">
        <v>21</v>
      </c>
      <c r="B500" t="s">
        <v>108</v>
      </c>
      <c r="C500" t="s">
        <v>1512</v>
      </c>
      <c r="D500">
        <v>2</v>
      </c>
      <c r="E500">
        <v>3</v>
      </c>
      <c r="F500" t="s">
        <v>7</v>
      </c>
      <c r="G500" t="s">
        <v>11</v>
      </c>
      <c r="H500" t="s">
        <v>11</v>
      </c>
    </row>
    <row r="501" spans="1:8" x14ac:dyDescent="0.35">
      <c r="A501" t="s">
        <v>21</v>
      </c>
      <c r="B501" t="s">
        <v>108</v>
      </c>
      <c r="C501" t="s">
        <v>1513</v>
      </c>
      <c r="D501">
        <v>3</v>
      </c>
      <c r="E501">
        <v>2</v>
      </c>
      <c r="F501" t="s">
        <v>7</v>
      </c>
      <c r="G501" t="s">
        <v>115</v>
      </c>
      <c r="H501" t="s">
        <v>11</v>
      </c>
    </row>
    <row r="502" spans="1:8" x14ac:dyDescent="0.35">
      <c r="A502" t="s">
        <v>21</v>
      </c>
      <c r="B502" t="s">
        <v>108</v>
      </c>
      <c r="C502" t="s">
        <v>1149</v>
      </c>
      <c r="D502">
        <v>3</v>
      </c>
      <c r="E502">
        <v>3</v>
      </c>
      <c r="F502" t="s">
        <v>7</v>
      </c>
      <c r="G502" t="s">
        <v>11</v>
      </c>
      <c r="H502" t="s">
        <v>11</v>
      </c>
    </row>
    <row r="503" spans="1:8" x14ac:dyDescent="0.35">
      <c r="A503" t="s">
        <v>21</v>
      </c>
      <c r="B503" t="s">
        <v>108</v>
      </c>
      <c r="C503" t="s">
        <v>1514</v>
      </c>
      <c r="D503">
        <v>3</v>
      </c>
      <c r="E503">
        <v>3</v>
      </c>
      <c r="F503" t="s">
        <v>7</v>
      </c>
      <c r="G503" t="s">
        <v>115</v>
      </c>
      <c r="H503" t="s">
        <v>11</v>
      </c>
    </row>
    <row r="504" spans="1:8" x14ac:dyDescent="0.35">
      <c r="A504" t="s">
        <v>21</v>
      </c>
      <c r="B504" t="s">
        <v>108</v>
      </c>
      <c r="C504" t="s">
        <v>1252</v>
      </c>
      <c r="D504">
        <v>3</v>
      </c>
      <c r="E504">
        <v>3</v>
      </c>
      <c r="F504" t="s">
        <v>7</v>
      </c>
      <c r="G504" t="s">
        <v>115</v>
      </c>
      <c r="H504" t="s">
        <v>11</v>
      </c>
    </row>
    <row r="505" spans="1:8" x14ac:dyDescent="0.35">
      <c r="A505" t="s">
        <v>21</v>
      </c>
      <c r="B505" t="s">
        <v>108</v>
      </c>
      <c r="C505" t="s">
        <v>1515</v>
      </c>
      <c r="D505">
        <v>3</v>
      </c>
      <c r="E505">
        <v>3</v>
      </c>
      <c r="F505" t="s">
        <v>7</v>
      </c>
      <c r="G505" t="s">
        <v>11</v>
      </c>
      <c r="H505" t="s">
        <v>11</v>
      </c>
    </row>
    <row r="506" spans="1:8" x14ac:dyDescent="0.35">
      <c r="A506" t="s">
        <v>21</v>
      </c>
      <c r="B506" t="s">
        <v>108</v>
      </c>
      <c r="C506" t="s">
        <v>1150</v>
      </c>
      <c r="D506">
        <v>2</v>
      </c>
      <c r="E506">
        <v>3</v>
      </c>
      <c r="F506" t="s">
        <v>7</v>
      </c>
      <c r="G506" t="s">
        <v>11</v>
      </c>
      <c r="H506" t="s">
        <v>11</v>
      </c>
    </row>
    <row r="507" spans="1:8" x14ac:dyDescent="0.35">
      <c r="A507" t="s">
        <v>21</v>
      </c>
      <c r="B507" t="s">
        <v>108</v>
      </c>
      <c r="C507" t="s">
        <v>1516</v>
      </c>
      <c r="D507">
        <v>3</v>
      </c>
      <c r="E507">
        <v>2</v>
      </c>
      <c r="F507" t="s">
        <v>7</v>
      </c>
      <c r="G507" t="s">
        <v>115</v>
      </c>
      <c r="H507" t="s">
        <v>11</v>
      </c>
    </row>
    <row r="508" spans="1:8" x14ac:dyDescent="0.35">
      <c r="A508" t="s">
        <v>21</v>
      </c>
      <c r="B508" t="s">
        <v>108</v>
      </c>
      <c r="C508" t="s">
        <v>1517</v>
      </c>
      <c r="D508">
        <v>3</v>
      </c>
      <c r="E508">
        <v>3</v>
      </c>
      <c r="F508" t="s">
        <v>7</v>
      </c>
      <c r="G508" t="s">
        <v>115</v>
      </c>
      <c r="H508" t="s">
        <v>11</v>
      </c>
    </row>
    <row r="509" spans="1:8" x14ac:dyDescent="0.35">
      <c r="A509" t="s">
        <v>21</v>
      </c>
      <c r="B509" t="s">
        <v>108</v>
      </c>
      <c r="C509" t="s">
        <v>1153</v>
      </c>
      <c r="D509">
        <v>3</v>
      </c>
      <c r="E509">
        <v>3</v>
      </c>
      <c r="F509" t="s">
        <v>7</v>
      </c>
      <c r="G509" t="s">
        <v>115</v>
      </c>
      <c r="H509" t="s">
        <v>11</v>
      </c>
    </row>
    <row r="510" spans="1:8" x14ac:dyDescent="0.35">
      <c r="A510" t="s">
        <v>21</v>
      </c>
      <c r="B510" t="s">
        <v>108</v>
      </c>
      <c r="C510" t="s">
        <v>1432</v>
      </c>
      <c r="D510">
        <v>3</v>
      </c>
      <c r="E510">
        <v>2</v>
      </c>
      <c r="F510" t="s">
        <v>7</v>
      </c>
      <c r="G510" t="s">
        <v>115</v>
      </c>
      <c r="H510" t="s">
        <v>11</v>
      </c>
    </row>
    <row r="511" spans="1:8" x14ac:dyDescent="0.35">
      <c r="A511" t="s">
        <v>21</v>
      </c>
      <c r="B511" t="s">
        <v>108</v>
      </c>
      <c r="C511" t="s">
        <v>1254</v>
      </c>
      <c r="D511">
        <v>3</v>
      </c>
      <c r="E511">
        <v>3</v>
      </c>
      <c r="F511" t="s">
        <v>7</v>
      </c>
      <c r="G511" t="s">
        <v>11</v>
      </c>
      <c r="H511" t="s">
        <v>11</v>
      </c>
    </row>
    <row r="512" spans="1:8" x14ac:dyDescent="0.35">
      <c r="A512" t="s">
        <v>21</v>
      </c>
      <c r="B512" t="s">
        <v>108</v>
      </c>
      <c r="C512" t="s">
        <v>1518</v>
      </c>
      <c r="D512">
        <v>3</v>
      </c>
      <c r="E512">
        <v>2</v>
      </c>
      <c r="F512" t="s">
        <v>7</v>
      </c>
      <c r="G512" t="s">
        <v>115</v>
      </c>
      <c r="H512" t="s">
        <v>11</v>
      </c>
    </row>
    <row r="513" spans="1:8" x14ac:dyDescent="0.35">
      <c r="A513" t="s">
        <v>21</v>
      </c>
      <c r="B513" t="s">
        <v>108</v>
      </c>
      <c r="C513" t="s">
        <v>1155</v>
      </c>
      <c r="D513">
        <v>3</v>
      </c>
      <c r="E513">
        <v>2</v>
      </c>
      <c r="F513" t="s">
        <v>7</v>
      </c>
      <c r="G513" t="s">
        <v>115</v>
      </c>
      <c r="H513" t="s">
        <v>11</v>
      </c>
    </row>
    <row r="514" spans="1:8" x14ac:dyDescent="0.35">
      <c r="A514" t="s">
        <v>21</v>
      </c>
      <c r="B514" t="s">
        <v>108</v>
      </c>
      <c r="C514" t="s">
        <v>1519</v>
      </c>
      <c r="D514">
        <v>2</v>
      </c>
      <c r="E514">
        <v>4</v>
      </c>
      <c r="F514" t="s">
        <v>7</v>
      </c>
      <c r="G514" t="s">
        <v>11</v>
      </c>
      <c r="H514" t="s">
        <v>11</v>
      </c>
    </row>
    <row r="515" spans="1:8" x14ac:dyDescent="0.35">
      <c r="A515" t="s">
        <v>21</v>
      </c>
      <c r="B515" t="s">
        <v>108</v>
      </c>
      <c r="C515" t="s">
        <v>1156</v>
      </c>
      <c r="D515">
        <v>3</v>
      </c>
      <c r="E515">
        <v>3</v>
      </c>
      <c r="F515" t="s">
        <v>7</v>
      </c>
      <c r="G515" t="s">
        <v>115</v>
      </c>
      <c r="H515" t="s">
        <v>11</v>
      </c>
    </row>
    <row r="516" spans="1:8" x14ac:dyDescent="0.35">
      <c r="A516" t="s">
        <v>21</v>
      </c>
      <c r="B516" t="s">
        <v>108</v>
      </c>
      <c r="C516" t="s">
        <v>1157</v>
      </c>
      <c r="D516">
        <v>2</v>
      </c>
      <c r="E516">
        <v>3</v>
      </c>
      <c r="F516" t="s">
        <v>7</v>
      </c>
      <c r="G516" t="s">
        <v>11</v>
      </c>
      <c r="H516" t="s">
        <v>11</v>
      </c>
    </row>
    <row r="517" spans="1:8" x14ac:dyDescent="0.35">
      <c r="A517" t="s">
        <v>21</v>
      </c>
      <c r="B517" t="s">
        <v>108</v>
      </c>
      <c r="C517" t="s">
        <v>1159</v>
      </c>
      <c r="D517">
        <v>3</v>
      </c>
      <c r="E517">
        <v>3</v>
      </c>
      <c r="F517" t="s">
        <v>7</v>
      </c>
      <c r="G517" t="s">
        <v>115</v>
      </c>
      <c r="H517" t="s">
        <v>11</v>
      </c>
    </row>
    <row r="518" spans="1:8" x14ac:dyDescent="0.35">
      <c r="A518" t="s">
        <v>21</v>
      </c>
      <c r="B518" t="s">
        <v>108</v>
      </c>
      <c r="C518" t="s">
        <v>1520</v>
      </c>
      <c r="D518">
        <v>3</v>
      </c>
      <c r="E518">
        <v>3</v>
      </c>
      <c r="F518" t="s">
        <v>7</v>
      </c>
      <c r="G518" t="s">
        <v>11</v>
      </c>
      <c r="H518" t="s">
        <v>11</v>
      </c>
    </row>
    <row r="519" spans="1:8" x14ac:dyDescent="0.35">
      <c r="A519" t="s">
        <v>21</v>
      </c>
      <c r="B519" t="s">
        <v>108</v>
      </c>
      <c r="C519" t="s">
        <v>1521</v>
      </c>
      <c r="D519">
        <v>3</v>
      </c>
      <c r="E519">
        <v>2</v>
      </c>
      <c r="F519" t="s">
        <v>7</v>
      </c>
      <c r="G519" t="s">
        <v>115</v>
      </c>
      <c r="H519" t="s">
        <v>11</v>
      </c>
    </row>
    <row r="520" spans="1:8" x14ac:dyDescent="0.35">
      <c r="A520" t="s">
        <v>21</v>
      </c>
      <c r="B520" t="s">
        <v>108</v>
      </c>
      <c r="C520" t="s">
        <v>1522</v>
      </c>
      <c r="D520">
        <v>2</v>
      </c>
      <c r="E520">
        <v>3</v>
      </c>
      <c r="F520" t="s">
        <v>7</v>
      </c>
      <c r="G520" t="s">
        <v>11</v>
      </c>
      <c r="H520" t="s">
        <v>11</v>
      </c>
    </row>
    <row r="521" spans="1:8" x14ac:dyDescent="0.35">
      <c r="A521" t="s">
        <v>21</v>
      </c>
      <c r="B521" t="s">
        <v>108</v>
      </c>
      <c r="C521" t="s">
        <v>1258</v>
      </c>
      <c r="D521">
        <v>3</v>
      </c>
      <c r="E521">
        <v>2</v>
      </c>
      <c r="F521" t="s">
        <v>7</v>
      </c>
      <c r="G521" t="s">
        <v>115</v>
      </c>
      <c r="H521" t="s">
        <v>11</v>
      </c>
    </row>
    <row r="522" spans="1:8" x14ac:dyDescent="0.35">
      <c r="A522" t="s">
        <v>21</v>
      </c>
      <c r="B522" t="s">
        <v>108</v>
      </c>
      <c r="C522" t="s">
        <v>1523</v>
      </c>
      <c r="D522">
        <v>3</v>
      </c>
      <c r="E522">
        <v>2</v>
      </c>
      <c r="F522" t="s">
        <v>7</v>
      </c>
      <c r="G522" t="s">
        <v>115</v>
      </c>
      <c r="H522" t="s">
        <v>11</v>
      </c>
    </row>
    <row r="523" spans="1:8" x14ac:dyDescent="0.35">
      <c r="A523" t="s">
        <v>21</v>
      </c>
      <c r="B523" t="s">
        <v>108</v>
      </c>
      <c r="C523" t="s">
        <v>1162</v>
      </c>
      <c r="D523">
        <v>2</v>
      </c>
      <c r="E523">
        <v>3</v>
      </c>
      <c r="F523" t="s">
        <v>7</v>
      </c>
      <c r="G523" t="s">
        <v>11</v>
      </c>
      <c r="H523" t="s">
        <v>11</v>
      </c>
    </row>
    <row r="524" spans="1:8" x14ac:dyDescent="0.35">
      <c r="A524" t="s">
        <v>21</v>
      </c>
      <c r="B524" t="s">
        <v>108</v>
      </c>
      <c r="C524" t="s">
        <v>1163</v>
      </c>
      <c r="D524">
        <v>3</v>
      </c>
      <c r="E524">
        <v>3</v>
      </c>
      <c r="F524" t="s">
        <v>7</v>
      </c>
      <c r="G524" t="s">
        <v>115</v>
      </c>
      <c r="H524" t="s">
        <v>11</v>
      </c>
    </row>
    <row r="525" spans="1:8" x14ac:dyDescent="0.35">
      <c r="A525" t="s">
        <v>21</v>
      </c>
      <c r="B525" t="s">
        <v>108</v>
      </c>
      <c r="C525" t="s">
        <v>1164</v>
      </c>
      <c r="D525">
        <v>2</v>
      </c>
      <c r="E525">
        <v>3</v>
      </c>
      <c r="F525" t="s">
        <v>7</v>
      </c>
      <c r="G525" t="s">
        <v>11</v>
      </c>
      <c r="H525" t="s">
        <v>11</v>
      </c>
    </row>
    <row r="526" spans="1:8" x14ac:dyDescent="0.35">
      <c r="A526" t="s">
        <v>21</v>
      </c>
      <c r="B526" t="s">
        <v>108</v>
      </c>
      <c r="C526" t="s">
        <v>1524</v>
      </c>
      <c r="D526">
        <v>3</v>
      </c>
      <c r="E526">
        <v>4</v>
      </c>
      <c r="F526" t="s">
        <v>7</v>
      </c>
      <c r="G526" t="s">
        <v>11</v>
      </c>
      <c r="H526" t="s">
        <v>11</v>
      </c>
    </row>
    <row r="527" spans="1:8" x14ac:dyDescent="0.35">
      <c r="A527" t="s">
        <v>21</v>
      </c>
      <c r="B527" t="s">
        <v>108</v>
      </c>
      <c r="C527" t="s">
        <v>1525</v>
      </c>
      <c r="D527">
        <v>3</v>
      </c>
      <c r="E527">
        <v>3</v>
      </c>
      <c r="F527" t="s">
        <v>7</v>
      </c>
      <c r="G527" t="s">
        <v>11</v>
      </c>
      <c r="H527" t="s">
        <v>11</v>
      </c>
    </row>
    <row r="528" spans="1:8" x14ac:dyDescent="0.35">
      <c r="A528" t="s">
        <v>21</v>
      </c>
      <c r="B528" t="s">
        <v>108</v>
      </c>
      <c r="C528" t="s">
        <v>1261</v>
      </c>
      <c r="D528">
        <v>2</v>
      </c>
      <c r="E528">
        <v>3</v>
      </c>
      <c r="F528" t="s">
        <v>7</v>
      </c>
      <c r="G528" t="s">
        <v>11</v>
      </c>
      <c r="H528" t="s">
        <v>11</v>
      </c>
    </row>
    <row r="529" spans="1:8" x14ac:dyDescent="0.35">
      <c r="A529" t="s">
        <v>21</v>
      </c>
      <c r="B529" t="s">
        <v>108</v>
      </c>
      <c r="C529" t="s">
        <v>1526</v>
      </c>
      <c r="D529">
        <v>2</v>
      </c>
      <c r="E529">
        <v>3</v>
      </c>
      <c r="F529" t="s">
        <v>7</v>
      </c>
      <c r="G529" t="s">
        <v>11</v>
      </c>
      <c r="H529" t="s">
        <v>11</v>
      </c>
    </row>
    <row r="530" spans="1:8" x14ac:dyDescent="0.35">
      <c r="A530" t="s">
        <v>21</v>
      </c>
      <c r="B530" t="s">
        <v>108</v>
      </c>
      <c r="C530" t="s">
        <v>1527</v>
      </c>
      <c r="D530">
        <v>2</v>
      </c>
      <c r="E530">
        <v>3</v>
      </c>
      <c r="F530" t="s">
        <v>7</v>
      </c>
      <c r="G530" t="s">
        <v>11</v>
      </c>
      <c r="H530" t="s">
        <v>11</v>
      </c>
    </row>
    <row r="531" spans="1:8" x14ac:dyDescent="0.35">
      <c r="A531" t="s">
        <v>21</v>
      </c>
      <c r="B531" t="s">
        <v>108</v>
      </c>
      <c r="C531" t="s">
        <v>1528</v>
      </c>
      <c r="D531">
        <v>2</v>
      </c>
      <c r="E531">
        <v>3</v>
      </c>
      <c r="F531" t="s">
        <v>7</v>
      </c>
      <c r="G531" t="s">
        <v>11</v>
      </c>
      <c r="H531" t="s">
        <v>11</v>
      </c>
    </row>
    <row r="532" spans="1:8" x14ac:dyDescent="0.35">
      <c r="A532" t="s">
        <v>21</v>
      </c>
      <c r="B532" t="s">
        <v>108</v>
      </c>
      <c r="C532" t="s">
        <v>1529</v>
      </c>
      <c r="D532">
        <v>3</v>
      </c>
      <c r="E532">
        <v>3</v>
      </c>
      <c r="F532" t="s">
        <v>7</v>
      </c>
      <c r="G532" t="s">
        <v>115</v>
      </c>
      <c r="H532" t="s">
        <v>11</v>
      </c>
    </row>
    <row r="533" spans="1:8" x14ac:dyDescent="0.35">
      <c r="A533" t="s">
        <v>21</v>
      </c>
      <c r="B533" t="s">
        <v>108</v>
      </c>
      <c r="C533" t="s">
        <v>1166</v>
      </c>
      <c r="D533">
        <v>2</v>
      </c>
      <c r="E533">
        <v>4</v>
      </c>
      <c r="F533" t="s">
        <v>7</v>
      </c>
      <c r="G533" t="s">
        <v>11</v>
      </c>
      <c r="H533" t="s">
        <v>11</v>
      </c>
    </row>
    <row r="534" spans="1:8" x14ac:dyDescent="0.35">
      <c r="A534" t="s">
        <v>21</v>
      </c>
      <c r="B534" t="s">
        <v>108</v>
      </c>
      <c r="C534" t="s">
        <v>1530</v>
      </c>
      <c r="D534">
        <v>3</v>
      </c>
      <c r="E534">
        <v>2</v>
      </c>
      <c r="F534" t="s">
        <v>7</v>
      </c>
      <c r="G534" t="s">
        <v>115</v>
      </c>
      <c r="H534" t="s">
        <v>11</v>
      </c>
    </row>
    <row r="535" spans="1:8" x14ac:dyDescent="0.35">
      <c r="A535" t="s">
        <v>21</v>
      </c>
      <c r="B535" t="s">
        <v>108</v>
      </c>
      <c r="C535" t="s">
        <v>1167</v>
      </c>
      <c r="D535">
        <v>2</v>
      </c>
      <c r="E535">
        <v>3</v>
      </c>
      <c r="F535" t="s">
        <v>7</v>
      </c>
      <c r="G535" t="s">
        <v>11</v>
      </c>
      <c r="H535" t="s">
        <v>11</v>
      </c>
    </row>
    <row r="536" spans="1:8" x14ac:dyDescent="0.35">
      <c r="A536" t="s">
        <v>21</v>
      </c>
      <c r="B536" t="s">
        <v>108</v>
      </c>
      <c r="C536" t="s">
        <v>1265</v>
      </c>
      <c r="D536">
        <v>3</v>
      </c>
      <c r="E536">
        <v>3</v>
      </c>
      <c r="F536" t="s">
        <v>7</v>
      </c>
      <c r="G536" t="s">
        <v>11</v>
      </c>
      <c r="H536" t="s">
        <v>11</v>
      </c>
    </row>
    <row r="537" spans="1:8" x14ac:dyDescent="0.35">
      <c r="A537" t="s">
        <v>21</v>
      </c>
      <c r="B537" t="s">
        <v>108</v>
      </c>
      <c r="C537" t="s">
        <v>1268</v>
      </c>
      <c r="D537">
        <v>3</v>
      </c>
      <c r="E537">
        <v>3</v>
      </c>
      <c r="F537" t="s">
        <v>7</v>
      </c>
      <c r="G537" t="s">
        <v>115</v>
      </c>
      <c r="H537" t="s">
        <v>11</v>
      </c>
    </row>
    <row r="538" spans="1:8" x14ac:dyDescent="0.35">
      <c r="A538" t="s">
        <v>21</v>
      </c>
      <c r="B538" t="s">
        <v>108</v>
      </c>
      <c r="C538" t="s">
        <v>1443</v>
      </c>
      <c r="D538">
        <v>3</v>
      </c>
      <c r="E538">
        <v>3</v>
      </c>
      <c r="F538" t="s">
        <v>7</v>
      </c>
      <c r="G538" t="s">
        <v>11</v>
      </c>
      <c r="H538" t="s">
        <v>11</v>
      </c>
    </row>
    <row r="539" spans="1:8" x14ac:dyDescent="0.35">
      <c r="A539" t="s">
        <v>21</v>
      </c>
      <c r="B539" t="s">
        <v>108</v>
      </c>
      <c r="C539" t="s">
        <v>1531</v>
      </c>
      <c r="D539">
        <v>3</v>
      </c>
      <c r="E539">
        <v>3</v>
      </c>
      <c r="F539" t="s">
        <v>7</v>
      </c>
      <c r="G539" t="s">
        <v>115</v>
      </c>
      <c r="H539" t="s">
        <v>11</v>
      </c>
    </row>
    <row r="540" spans="1:8" x14ac:dyDescent="0.35">
      <c r="A540" t="s">
        <v>21</v>
      </c>
      <c r="B540" t="s">
        <v>108</v>
      </c>
      <c r="C540" t="s">
        <v>1532</v>
      </c>
      <c r="D540">
        <v>2</v>
      </c>
      <c r="E540">
        <v>4</v>
      </c>
      <c r="F540" t="s">
        <v>7</v>
      </c>
      <c r="G540" t="s">
        <v>11</v>
      </c>
      <c r="H540" t="s">
        <v>11</v>
      </c>
    </row>
    <row r="541" spans="1:8" x14ac:dyDescent="0.35">
      <c r="A541" t="s">
        <v>21</v>
      </c>
      <c r="B541" t="s">
        <v>108</v>
      </c>
      <c r="C541" t="s">
        <v>1168</v>
      </c>
      <c r="D541">
        <v>3</v>
      </c>
      <c r="E541">
        <v>3</v>
      </c>
      <c r="F541" t="s">
        <v>7</v>
      </c>
      <c r="G541" t="s">
        <v>115</v>
      </c>
      <c r="H541" t="s">
        <v>11</v>
      </c>
    </row>
    <row r="542" spans="1:8" x14ac:dyDescent="0.35">
      <c r="A542" t="s">
        <v>21</v>
      </c>
      <c r="B542" t="s">
        <v>108</v>
      </c>
      <c r="C542" t="s">
        <v>1533</v>
      </c>
      <c r="D542">
        <v>2</v>
      </c>
      <c r="E542">
        <v>3</v>
      </c>
      <c r="F542" t="s">
        <v>7</v>
      </c>
      <c r="G542" t="s">
        <v>11</v>
      </c>
      <c r="H542" t="s">
        <v>11</v>
      </c>
    </row>
    <row r="543" spans="1:8" x14ac:dyDescent="0.35">
      <c r="A543" t="s">
        <v>21</v>
      </c>
      <c r="B543" t="s">
        <v>108</v>
      </c>
      <c r="C543" t="s">
        <v>1534</v>
      </c>
      <c r="D543">
        <v>2</v>
      </c>
      <c r="E543">
        <v>3</v>
      </c>
      <c r="F543" t="s">
        <v>7</v>
      </c>
      <c r="G543" t="s">
        <v>11</v>
      </c>
      <c r="H543" t="s">
        <v>11</v>
      </c>
    </row>
    <row r="544" spans="1:8" x14ac:dyDescent="0.35">
      <c r="A544" t="s">
        <v>21</v>
      </c>
      <c r="B544" t="s">
        <v>108</v>
      </c>
      <c r="C544" t="s">
        <v>1535</v>
      </c>
      <c r="D544">
        <v>3</v>
      </c>
      <c r="E544">
        <v>3</v>
      </c>
      <c r="F544" t="s">
        <v>7</v>
      </c>
      <c r="G544" t="s">
        <v>115</v>
      </c>
      <c r="H544" t="s">
        <v>11</v>
      </c>
    </row>
    <row r="545" spans="1:8" x14ac:dyDescent="0.35">
      <c r="A545" t="s">
        <v>21</v>
      </c>
      <c r="B545" t="s">
        <v>108</v>
      </c>
      <c r="C545" t="s">
        <v>1536</v>
      </c>
      <c r="D545">
        <v>3</v>
      </c>
      <c r="E545">
        <v>3</v>
      </c>
      <c r="F545" t="s">
        <v>7</v>
      </c>
      <c r="G545" t="s">
        <v>115</v>
      </c>
      <c r="H545" t="s">
        <v>11</v>
      </c>
    </row>
    <row r="546" spans="1:8" x14ac:dyDescent="0.35">
      <c r="A546" t="s">
        <v>21</v>
      </c>
      <c r="B546" t="s">
        <v>108</v>
      </c>
      <c r="C546" t="s">
        <v>1448</v>
      </c>
      <c r="D546">
        <v>3</v>
      </c>
      <c r="E546">
        <v>2</v>
      </c>
      <c r="F546" t="s">
        <v>7</v>
      </c>
      <c r="G546" t="s">
        <v>115</v>
      </c>
      <c r="H546" t="s">
        <v>11</v>
      </c>
    </row>
    <row r="547" spans="1:8" x14ac:dyDescent="0.35">
      <c r="A547" t="s">
        <v>21</v>
      </c>
      <c r="B547" t="s">
        <v>108</v>
      </c>
      <c r="C547" t="s">
        <v>1537</v>
      </c>
      <c r="D547">
        <v>2</v>
      </c>
      <c r="E547">
        <v>3</v>
      </c>
      <c r="F547" t="s">
        <v>7</v>
      </c>
      <c r="G547" t="s">
        <v>11</v>
      </c>
      <c r="H547" t="s">
        <v>11</v>
      </c>
    </row>
    <row r="548" spans="1:8" x14ac:dyDescent="0.35">
      <c r="A548" t="s">
        <v>21</v>
      </c>
      <c r="B548" t="s">
        <v>108</v>
      </c>
      <c r="C548" t="s">
        <v>1538</v>
      </c>
      <c r="D548">
        <v>2</v>
      </c>
      <c r="E548">
        <v>4</v>
      </c>
      <c r="F548" t="s">
        <v>7</v>
      </c>
      <c r="G548" t="s">
        <v>11</v>
      </c>
      <c r="H548" t="s">
        <v>11</v>
      </c>
    </row>
    <row r="549" spans="1:8" x14ac:dyDescent="0.35">
      <c r="A549" t="s">
        <v>21</v>
      </c>
      <c r="B549" t="s">
        <v>108</v>
      </c>
      <c r="C549" t="s">
        <v>1539</v>
      </c>
      <c r="D549">
        <v>3</v>
      </c>
      <c r="E549">
        <v>3</v>
      </c>
      <c r="F549" t="s">
        <v>7</v>
      </c>
      <c r="G549" t="s">
        <v>115</v>
      </c>
      <c r="H549" t="s">
        <v>11</v>
      </c>
    </row>
    <row r="550" spans="1:8" x14ac:dyDescent="0.35">
      <c r="A550" t="s">
        <v>21</v>
      </c>
      <c r="B550" t="s">
        <v>108</v>
      </c>
      <c r="C550" t="s">
        <v>1172</v>
      </c>
      <c r="D550">
        <v>3</v>
      </c>
      <c r="E550">
        <v>3</v>
      </c>
      <c r="F550" t="s">
        <v>7</v>
      </c>
      <c r="G550" t="s">
        <v>115</v>
      </c>
      <c r="H550" t="s">
        <v>11</v>
      </c>
    </row>
    <row r="551" spans="1:8" x14ac:dyDescent="0.35">
      <c r="A551" t="s">
        <v>21</v>
      </c>
      <c r="B551" t="s">
        <v>108</v>
      </c>
      <c r="C551" t="s">
        <v>1540</v>
      </c>
      <c r="D551">
        <v>2</v>
      </c>
      <c r="E551">
        <v>3</v>
      </c>
      <c r="F551" t="s">
        <v>7</v>
      </c>
      <c r="G551" t="s">
        <v>11</v>
      </c>
      <c r="H551" t="s">
        <v>11</v>
      </c>
    </row>
    <row r="552" spans="1:8" x14ac:dyDescent="0.35">
      <c r="A552" t="s">
        <v>21</v>
      </c>
      <c r="B552" t="s">
        <v>108</v>
      </c>
      <c r="C552" t="s">
        <v>1541</v>
      </c>
      <c r="D552">
        <v>3</v>
      </c>
      <c r="E552">
        <v>3</v>
      </c>
      <c r="F552" t="s">
        <v>7</v>
      </c>
      <c r="G552" t="s">
        <v>11</v>
      </c>
      <c r="H552" t="s">
        <v>11</v>
      </c>
    </row>
    <row r="553" spans="1:8" x14ac:dyDescent="0.35">
      <c r="A553" t="s">
        <v>21</v>
      </c>
      <c r="B553" t="s">
        <v>108</v>
      </c>
      <c r="C553" t="s">
        <v>1542</v>
      </c>
      <c r="D553">
        <v>3</v>
      </c>
      <c r="E553">
        <v>2</v>
      </c>
      <c r="F553" t="s">
        <v>7</v>
      </c>
      <c r="G553" t="s">
        <v>115</v>
      </c>
      <c r="H553" t="s">
        <v>11</v>
      </c>
    </row>
    <row r="554" spans="1:8" x14ac:dyDescent="0.35">
      <c r="A554" t="s">
        <v>21</v>
      </c>
      <c r="B554" t="s">
        <v>108</v>
      </c>
      <c r="C554" t="s">
        <v>1450</v>
      </c>
      <c r="D554">
        <v>3</v>
      </c>
      <c r="E554">
        <v>3</v>
      </c>
      <c r="F554" t="s">
        <v>7</v>
      </c>
      <c r="G554" t="s">
        <v>115</v>
      </c>
      <c r="H554" t="s">
        <v>11</v>
      </c>
    </row>
    <row r="555" spans="1:8" x14ac:dyDescent="0.35">
      <c r="A555" t="s">
        <v>21</v>
      </c>
      <c r="B555" t="s">
        <v>108</v>
      </c>
      <c r="C555" t="s">
        <v>1543</v>
      </c>
      <c r="D555">
        <v>3</v>
      </c>
      <c r="E555">
        <v>3</v>
      </c>
      <c r="F555" t="s">
        <v>7</v>
      </c>
      <c r="G555" t="s">
        <v>115</v>
      </c>
      <c r="H555" t="s">
        <v>11</v>
      </c>
    </row>
    <row r="556" spans="1:8" x14ac:dyDescent="0.35">
      <c r="A556" t="s">
        <v>21</v>
      </c>
      <c r="B556" t="s">
        <v>108</v>
      </c>
      <c r="C556" t="s">
        <v>1544</v>
      </c>
      <c r="D556">
        <v>3</v>
      </c>
      <c r="E556">
        <v>3</v>
      </c>
      <c r="F556" t="s">
        <v>7</v>
      </c>
      <c r="G556" t="s">
        <v>115</v>
      </c>
      <c r="H556" t="s">
        <v>11</v>
      </c>
    </row>
    <row r="557" spans="1:8" x14ac:dyDescent="0.35">
      <c r="A557" t="s">
        <v>21</v>
      </c>
      <c r="B557" t="s">
        <v>108</v>
      </c>
      <c r="C557" t="s">
        <v>1545</v>
      </c>
      <c r="D557">
        <v>3</v>
      </c>
      <c r="E557">
        <v>2</v>
      </c>
      <c r="F557" t="s">
        <v>7</v>
      </c>
      <c r="G557" t="s">
        <v>115</v>
      </c>
      <c r="H557" t="s">
        <v>11</v>
      </c>
    </row>
    <row r="558" spans="1:8" x14ac:dyDescent="0.35">
      <c r="A558" t="s">
        <v>21</v>
      </c>
      <c r="B558" t="s">
        <v>108</v>
      </c>
      <c r="C558" t="s">
        <v>1546</v>
      </c>
      <c r="D558">
        <v>3</v>
      </c>
      <c r="E558">
        <v>3</v>
      </c>
      <c r="F558" t="s">
        <v>7</v>
      </c>
      <c r="G558" t="s">
        <v>115</v>
      </c>
      <c r="H558" t="s">
        <v>11</v>
      </c>
    </row>
    <row r="559" spans="1:8" x14ac:dyDescent="0.35">
      <c r="A559" t="s">
        <v>21</v>
      </c>
      <c r="B559" t="s">
        <v>108</v>
      </c>
      <c r="C559" t="s">
        <v>1547</v>
      </c>
      <c r="D559">
        <v>3</v>
      </c>
      <c r="E559">
        <v>2</v>
      </c>
      <c r="F559" t="s">
        <v>7</v>
      </c>
      <c r="G559" t="s">
        <v>115</v>
      </c>
      <c r="H559" t="s">
        <v>11</v>
      </c>
    </row>
    <row r="560" spans="1:8" x14ac:dyDescent="0.35">
      <c r="A560" t="s">
        <v>21</v>
      </c>
      <c r="B560" t="s">
        <v>108</v>
      </c>
      <c r="C560" t="s">
        <v>1548</v>
      </c>
      <c r="D560">
        <v>2</v>
      </c>
      <c r="E560">
        <v>4</v>
      </c>
      <c r="F560" t="s">
        <v>7</v>
      </c>
      <c r="G560" t="s">
        <v>11</v>
      </c>
      <c r="H560" t="s">
        <v>11</v>
      </c>
    </row>
    <row r="561" spans="1:8" x14ac:dyDescent="0.35">
      <c r="A561" t="s">
        <v>21</v>
      </c>
      <c r="B561" t="s">
        <v>108</v>
      </c>
      <c r="C561" t="s">
        <v>1549</v>
      </c>
      <c r="D561">
        <v>3</v>
      </c>
      <c r="E561">
        <v>3</v>
      </c>
      <c r="F561" t="s">
        <v>7</v>
      </c>
      <c r="G561" t="s">
        <v>115</v>
      </c>
      <c r="H561" t="s">
        <v>11</v>
      </c>
    </row>
    <row r="562" spans="1:8" x14ac:dyDescent="0.35">
      <c r="A562" t="s">
        <v>21</v>
      </c>
      <c r="B562" t="s">
        <v>108</v>
      </c>
      <c r="C562" t="s">
        <v>1550</v>
      </c>
      <c r="D562">
        <v>2</v>
      </c>
      <c r="E562">
        <v>3</v>
      </c>
      <c r="F562" t="s">
        <v>7</v>
      </c>
      <c r="G562" t="s">
        <v>11</v>
      </c>
      <c r="H562" t="s">
        <v>11</v>
      </c>
    </row>
    <row r="563" spans="1:8" x14ac:dyDescent="0.35">
      <c r="A563" t="s">
        <v>21</v>
      </c>
      <c r="B563" t="s">
        <v>108</v>
      </c>
      <c r="C563" t="s">
        <v>1551</v>
      </c>
      <c r="D563">
        <v>3</v>
      </c>
      <c r="E563">
        <v>3</v>
      </c>
      <c r="F563" t="s">
        <v>7</v>
      </c>
      <c r="G563" t="s">
        <v>115</v>
      </c>
      <c r="H563" t="s">
        <v>11</v>
      </c>
    </row>
    <row r="564" spans="1:8" x14ac:dyDescent="0.35">
      <c r="A564" t="s">
        <v>21</v>
      </c>
      <c r="B564" t="s">
        <v>108</v>
      </c>
      <c r="C564" t="s">
        <v>1552</v>
      </c>
      <c r="D564">
        <v>3</v>
      </c>
      <c r="E564">
        <v>3</v>
      </c>
      <c r="F564" t="s">
        <v>7</v>
      </c>
      <c r="G564" t="s">
        <v>115</v>
      </c>
      <c r="H564" t="s">
        <v>11</v>
      </c>
    </row>
    <row r="565" spans="1:8" x14ac:dyDescent="0.35">
      <c r="A565" t="s">
        <v>21</v>
      </c>
      <c r="B565" t="s">
        <v>108</v>
      </c>
      <c r="C565" t="s">
        <v>1277</v>
      </c>
      <c r="D565">
        <v>2</v>
      </c>
      <c r="E565">
        <v>4</v>
      </c>
      <c r="F565" t="s">
        <v>7</v>
      </c>
      <c r="G565" t="s">
        <v>11</v>
      </c>
      <c r="H565" t="s">
        <v>11</v>
      </c>
    </row>
    <row r="566" spans="1:8" x14ac:dyDescent="0.35">
      <c r="A566" t="s">
        <v>21</v>
      </c>
      <c r="B566" t="s">
        <v>108</v>
      </c>
      <c r="C566" t="s">
        <v>1553</v>
      </c>
      <c r="D566">
        <v>2</v>
      </c>
      <c r="E566">
        <v>3</v>
      </c>
      <c r="F566" t="s">
        <v>7</v>
      </c>
      <c r="G566" t="s">
        <v>11</v>
      </c>
      <c r="H566" t="s">
        <v>11</v>
      </c>
    </row>
    <row r="567" spans="1:8" x14ac:dyDescent="0.35">
      <c r="A567" t="s">
        <v>21</v>
      </c>
      <c r="B567" t="s">
        <v>108</v>
      </c>
      <c r="C567" t="s">
        <v>1176</v>
      </c>
      <c r="D567">
        <v>2</v>
      </c>
      <c r="E567">
        <v>4</v>
      </c>
      <c r="F567" t="s">
        <v>7</v>
      </c>
      <c r="G567" t="s">
        <v>11</v>
      </c>
      <c r="H567" t="s">
        <v>11</v>
      </c>
    </row>
    <row r="568" spans="1:8" x14ac:dyDescent="0.35">
      <c r="A568" t="s">
        <v>21</v>
      </c>
      <c r="B568" t="s">
        <v>108</v>
      </c>
      <c r="C568" t="s">
        <v>1453</v>
      </c>
      <c r="D568">
        <v>2</v>
      </c>
      <c r="E568">
        <v>3</v>
      </c>
      <c r="F568" t="s">
        <v>7</v>
      </c>
      <c r="G568" t="s">
        <v>11</v>
      </c>
      <c r="H568" t="s">
        <v>11</v>
      </c>
    </row>
    <row r="569" spans="1:8" x14ac:dyDescent="0.35">
      <c r="A569" t="s">
        <v>21</v>
      </c>
      <c r="B569" t="s">
        <v>108</v>
      </c>
      <c r="C569" t="s">
        <v>1554</v>
      </c>
      <c r="D569">
        <v>3</v>
      </c>
      <c r="E569">
        <v>2</v>
      </c>
      <c r="F569" t="s">
        <v>7</v>
      </c>
      <c r="G569" t="s">
        <v>115</v>
      </c>
      <c r="H569" t="s">
        <v>11</v>
      </c>
    </row>
    <row r="570" spans="1:8" x14ac:dyDescent="0.35">
      <c r="A570" t="s">
        <v>21</v>
      </c>
      <c r="B570" t="s">
        <v>108</v>
      </c>
      <c r="C570" t="s">
        <v>1555</v>
      </c>
      <c r="D570">
        <v>3</v>
      </c>
      <c r="E570">
        <v>3</v>
      </c>
      <c r="F570" t="s">
        <v>7</v>
      </c>
      <c r="G570" t="s">
        <v>11</v>
      </c>
      <c r="H570" t="s">
        <v>11</v>
      </c>
    </row>
    <row r="571" spans="1:8" x14ac:dyDescent="0.35">
      <c r="A571" t="s">
        <v>21</v>
      </c>
      <c r="B571" t="s">
        <v>108</v>
      </c>
      <c r="C571" t="s">
        <v>1177</v>
      </c>
      <c r="D571">
        <v>3</v>
      </c>
      <c r="E571">
        <v>3</v>
      </c>
      <c r="F571" t="s">
        <v>7</v>
      </c>
      <c r="G571" t="s">
        <v>11</v>
      </c>
      <c r="H571" t="s">
        <v>11</v>
      </c>
    </row>
    <row r="572" spans="1:8" x14ac:dyDescent="0.35">
      <c r="A572" t="s">
        <v>21</v>
      </c>
      <c r="B572" t="s">
        <v>108</v>
      </c>
      <c r="C572" t="s">
        <v>1556</v>
      </c>
      <c r="D572">
        <v>3</v>
      </c>
      <c r="E572">
        <v>2</v>
      </c>
      <c r="F572" t="s">
        <v>7</v>
      </c>
      <c r="G572" t="s">
        <v>115</v>
      </c>
      <c r="H572" t="s">
        <v>11</v>
      </c>
    </row>
    <row r="573" spans="1:8" x14ac:dyDescent="0.35">
      <c r="A573" t="s">
        <v>21</v>
      </c>
      <c r="B573" t="s">
        <v>108</v>
      </c>
      <c r="C573" t="s">
        <v>1557</v>
      </c>
      <c r="D573">
        <v>3</v>
      </c>
      <c r="E573">
        <v>3</v>
      </c>
      <c r="F573" t="s">
        <v>7</v>
      </c>
      <c r="G573" t="s">
        <v>115</v>
      </c>
      <c r="H573" t="s">
        <v>11</v>
      </c>
    </row>
    <row r="574" spans="1:8" x14ac:dyDescent="0.35">
      <c r="A574" t="s">
        <v>21</v>
      </c>
      <c r="B574" t="s">
        <v>108</v>
      </c>
      <c r="C574" t="s">
        <v>1558</v>
      </c>
      <c r="D574">
        <v>3</v>
      </c>
      <c r="E574">
        <v>3</v>
      </c>
      <c r="F574" t="s">
        <v>7</v>
      </c>
      <c r="G574" t="s">
        <v>115</v>
      </c>
      <c r="H574" t="s">
        <v>11</v>
      </c>
    </row>
    <row r="575" spans="1:8" x14ac:dyDescent="0.35">
      <c r="A575" t="s">
        <v>21</v>
      </c>
      <c r="B575" t="s">
        <v>108</v>
      </c>
      <c r="C575" t="s">
        <v>1279</v>
      </c>
      <c r="D575">
        <v>2</v>
      </c>
      <c r="E575">
        <v>4</v>
      </c>
      <c r="F575" t="s">
        <v>7</v>
      </c>
      <c r="G575" t="s">
        <v>11</v>
      </c>
      <c r="H575" t="s">
        <v>11</v>
      </c>
    </row>
    <row r="576" spans="1:8" x14ac:dyDescent="0.35">
      <c r="A576" t="s">
        <v>21</v>
      </c>
      <c r="B576" t="s">
        <v>108</v>
      </c>
      <c r="C576" t="s">
        <v>1559</v>
      </c>
      <c r="D576">
        <v>2</v>
      </c>
      <c r="E576">
        <v>4</v>
      </c>
      <c r="F576" t="s">
        <v>7</v>
      </c>
      <c r="G576" t="s">
        <v>11</v>
      </c>
      <c r="H576" t="s">
        <v>11</v>
      </c>
    </row>
    <row r="577" spans="1:8" x14ac:dyDescent="0.35">
      <c r="A577" t="s">
        <v>21</v>
      </c>
      <c r="B577" t="s">
        <v>108</v>
      </c>
      <c r="C577" t="s">
        <v>1178</v>
      </c>
      <c r="D577">
        <v>3</v>
      </c>
      <c r="E577">
        <v>3</v>
      </c>
      <c r="F577" t="s">
        <v>7</v>
      </c>
      <c r="G577" t="s">
        <v>115</v>
      </c>
      <c r="H577" t="s">
        <v>11</v>
      </c>
    </row>
    <row r="578" spans="1:8" x14ac:dyDescent="0.35">
      <c r="A578" t="s">
        <v>21</v>
      </c>
      <c r="B578" t="s">
        <v>108</v>
      </c>
      <c r="C578" t="s">
        <v>1560</v>
      </c>
      <c r="D578">
        <v>3</v>
      </c>
      <c r="E578">
        <v>3</v>
      </c>
      <c r="F578" t="s">
        <v>7</v>
      </c>
      <c r="G578" t="s">
        <v>11</v>
      </c>
      <c r="H578" t="s">
        <v>11</v>
      </c>
    </row>
    <row r="579" spans="1:8" x14ac:dyDescent="0.35">
      <c r="A579" t="s">
        <v>21</v>
      </c>
      <c r="B579" t="s">
        <v>108</v>
      </c>
      <c r="C579" t="s">
        <v>1561</v>
      </c>
      <c r="D579">
        <v>3</v>
      </c>
      <c r="E579">
        <v>3</v>
      </c>
      <c r="F579" t="s">
        <v>7</v>
      </c>
      <c r="G579" t="s">
        <v>11</v>
      </c>
      <c r="H579" t="s">
        <v>11</v>
      </c>
    </row>
    <row r="580" spans="1:8" x14ac:dyDescent="0.35">
      <c r="A580" t="s">
        <v>21</v>
      </c>
      <c r="B580" t="s">
        <v>108</v>
      </c>
      <c r="C580" t="s">
        <v>1562</v>
      </c>
      <c r="D580">
        <v>3</v>
      </c>
      <c r="E580">
        <v>3</v>
      </c>
      <c r="F580" t="s">
        <v>7</v>
      </c>
      <c r="G580" t="s">
        <v>115</v>
      </c>
      <c r="H580" t="s">
        <v>11</v>
      </c>
    </row>
    <row r="581" spans="1:8" x14ac:dyDescent="0.35">
      <c r="A581" t="s">
        <v>66</v>
      </c>
      <c r="C581" t="s">
        <v>1563</v>
      </c>
      <c r="D581" t="s">
        <v>11</v>
      </c>
      <c r="E581">
        <v>1</v>
      </c>
      <c r="F581" t="s">
        <v>7</v>
      </c>
      <c r="G581" t="s">
        <v>115</v>
      </c>
      <c r="H581" t="s">
        <v>3455</v>
      </c>
    </row>
    <row r="582" spans="1:8" x14ac:dyDescent="0.35">
      <c r="A582" t="s">
        <v>22</v>
      </c>
      <c r="B582" t="s">
        <v>120</v>
      </c>
      <c r="C582" t="s">
        <v>1564</v>
      </c>
      <c r="D582">
        <v>3</v>
      </c>
      <c r="E582">
        <v>1</v>
      </c>
      <c r="F582" t="s">
        <v>7</v>
      </c>
      <c r="G582" t="s">
        <v>115</v>
      </c>
      <c r="H582" t="s">
        <v>3455</v>
      </c>
    </row>
    <row r="583" spans="1:8" x14ac:dyDescent="0.35">
      <c r="A583" t="s">
        <v>22</v>
      </c>
      <c r="B583" t="s">
        <v>120</v>
      </c>
      <c r="C583" t="s">
        <v>1565</v>
      </c>
      <c r="D583">
        <v>3</v>
      </c>
      <c r="E583">
        <v>1</v>
      </c>
      <c r="F583" t="s">
        <v>7</v>
      </c>
      <c r="G583" t="s">
        <v>115</v>
      </c>
      <c r="H583" t="s">
        <v>3455</v>
      </c>
    </row>
    <row r="584" spans="1:8" x14ac:dyDescent="0.35">
      <c r="A584" t="s">
        <v>22</v>
      </c>
      <c r="B584" t="s">
        <v>120</v>
      </c>
      <c r="C584" t="s">
        <v>1566</v>
      </c>
      <c r="D584">
        <v>3</v>
      </c>
      <c r="E584">
        <v>1</v>
      </c>
      <c r="F584" t="s">
        <v>7</v>
      </c>
      <c r="G584" t="s">
        <v>115</v>
      </c>
      <c r="H584" t="s">
        <v>3455</v>
      </c>
    </row>
    <row r="585" spans="1:8" x14ac:dyDescent="0.35">
      <c r="A585" t="s">
        <v>22</v>
      </c>
      <c r="B585" t="s">
        <v>120</v>
      </c>
      <c r="C585" t="s">
        <v>1567</v>
      </c>
      <c r="D585">
        <v>3</v>
      </c>
      <c r="E585">
        <v>1</v>
      </c>
      <c r="F585" t="s">
        <v>7</v>
      </c>
      <c r="G585" t="s">
        <v>115</v>
      </c>
      <c r="H585" t="s">
        <v>3455</v>
      </c>
    </row>
    <row r="586" spans="1:8" x14ac:dyDescent="0.35">
      <c r="A586" t="s">
        <v>24</v>
      </c>
      <c r="B586" t="s">
        <v>76</v>
      </c>
      <c r="C586" t="s">
        <v>1568</v>
      </c>
      <c r="D586">
        <v>2</v>
      </c>
      <c r="E586">
        <v>5</v>
      </c>
      <c r="F586" t="s">
        <v>75</v>
      </c>
      <c r="G586" t="s">
        <v>11</v>
      </c>
      <c r="H586" t="s">
        <v>11</v>
      </c>
    </row>
    <row r="587" spans="1:8" x14ac:dyDescent="0.35">
      <c r="A587" t="s">
        <v>24</v>
      </c>
      <c r="B587" t="s">
        <v>76</v>
      </c>
      <c r="C587" t="s">
        <v>1338</v>
      </c>
      <c r="D587">
        <v>3</v>
      </c>
      <c r="E587">
        <v>6</v>
      </c>
      <c r="F587" t="s">
        <v>75</v>
      </c>
      <c r="G587" t="s">
        <v>11</v>
      </c>
      <c r="H587" t="s">
        <v>11</v>
      </c>
    </row>
    <row r="588" spans="1:8" x14ac:dyDescent="0.35">
      <c r="A588" t="s">
        <v>24</v>
      </c>
      <c r="B588" t="s">
        <v>76</v>
      </c>
      <c r="C588" t="s">
        <v>1569</v>
      </c>
      <c r="D588">
        <v>2</v>
      </c>
      <c r="E588">
        <v>6</v>
      </c>
      <c r="F588" t="s">
        <v>75</v>
      </c>
      <c r="G588" t="s">
        <v>11</v>
      </c>
      <c r="H588" t="s">
        <v>11</v>
      </c>
    </row>
    <row r="589" spans="1:8" x14ac:dyDescent="0.35">
      <c r="A589" t="s">
        <v>24</v>
      </c>
      <c r="B589" t="s">
        <v>76</v>
      </c>
      <c r="C589" t="s">
        <v>1570</v>
      </c>
      <c r="D589">
        <v>2</v>
      </c>
      <c r="E589">
        <v>6</v>
      </c>
      <c r="F589" t="s">
        <v>75</v>
      </c>
      <c r="G589" t="s">
        <v>11</v>
      </c>
      <c r="H589" t="s">
        <v>11</v>
      </c>
    </row>
    <row r="590" spans="1:8" x14ac:dyDescent="0.35">
      <c r="A590" t="s">
        <v>24</v>
      </c>
      <c r="B590" t="s">
        <v>76</v>
      </c>
      <c r="C590" t="s">
        <v>1571</v>
      </c>
      <c r="D590">
        <v>1</v>
      </c>
      <c r="E590">
        <v>5</v>
      </c>
      <c r="F590" t="s">
        <v>75</v>
      </c>
      <c r="G590" t="s">
        <v>11</v>
      </c>
      <c r="H590" t="s">
        <v>11</v>
      </c>
    </row>
    <row r="591" spans="1:8" x14ac:dyDescent="0.35">
      <c r="A591" t="s">
        <v>24</v>
      </c>
      <c r="B591" t="s">
        <v>76</v>
      </c>
      <c r="C591" t="s">
        <v>1572</v>
      </c>
      <c r="D591">
        <v>2</v>
      </c>
      <c r="E591">
        <v>6</v>
      </c>
      <c r="F591" t="s">
        <v>75</v>
      </c>
      <c r="G591" t="s">
        <v>11</v>
      </c>
      <c r="H591" t="s">
        <v>11</v>
      </c>
    </row>
    <row r="592" spans="1:8" x14ac:dyDescent="0.35">
      <c r="A592" t="s">
        <v>24</v>
      </c>
      <c r="B592" t="s">
        <v>76</v>
      </c>
      <c r="C592" t="s">
        <v>1573</v>
      </c>
      <c r="D592">
        <v>1</v>
      </c>
      <c r="E592">
        <v>6</v>
      </c>
      <c r="F592" t="s">
        <v>75</v>
      </c>
      <c r="G592" t="s">
        <v>11</v>
      </c>
      <c r="H592" t="s">
        <v>11</v>
      </c>
    </row>
    <row r="593" spans="1:8" x14ac:dyDescent="0.35">
      <c r="A593" t="s">
        <v>24</v>
      </c>
      <c r="B593" t="s">
        <v>76</v>
      </c>
      <c r="C593" t="s">
        <v>1574</v>
      </c>
      <c r="D593">
        <v>1</v>
      </c>
      <c r="E593">
        <v>6</v>
      </c>
      <c r="F593" t="s">
        <v>75</v>
      </c>
      <c r="G593" t="s">
        <v>11</v>
      </c>
      <c r="H593" t="s">
        <v>11</v>
      </c>
    </row>
    <row r="594" spans="1:8" x14ac:dyDescent="0.35">
      <c r="A594" t="s">
        <v>24</v>
      </c>
      <c r="B594" t="s">
        <v>76</v>
      </c>
      <c r="C594" t="s">
        <v>1575</v>
      </c>
      <c r="D594">
        <v>1</v>
      </c>
      <c r="E594">
        <v>6</v>
      </c>
      <c r="F594" t="s">
        <v>75</v>
      </c>
      <c r="G594" t="s">
        <v>11</v>
      </c>
      <c r="H594" t="s">
        <v>11</v>
      </c>
    </row>
    <row r="595" spans="1:8" x14ac:dyDescent="0.35">
      <c r="A595" t="s">
        <v>24</v>
      </c>
      <c r="B595" t="s">
        <v>76</v>
      </c>
      <c r="C595" t="s">
        <v>1576</v>
      </c>
      <c r="D595">
        <v>2</v>
      </c>
      <c r="E595">
        <v>6</v>
      </c>
      <c r="F595" t="s">
        <v>75</v>
      </c>
      <c r="G595" t="s">
        <v>11</v>
      </c>
      <c r="H595" t="s">
        <v>11</v>
      </c>
    </row>
    <row r="596" spans="1:8" x14ac:dyDescent="0.35">
      <c r="A596" t="s">
        <v>24</v>
      </c>
      <c r="B596" t="s">
        <v>76</v>
      </c>
      <c r="C596" t="s">
        <v>1577</v>
      </c>
      <c r="D596">
        <v>1</v>
      </c>
      <c r="E596">
        <v>6</v>
      </c>
      <c r="F596" t="s">
        <v>75</v>
      </c>
      <c r="G596" t="s">
        <v>11</v>
      </c>
      <c r="H596" t="s">
        <v>11</v>
      </c>
    </row>
    <row r="597" spans="1:8" x14ac:dyDescent="0.35">
      <c r="A597" t="s">
        <v>24</v>
      </c>
      <c r="B597" t="s">
        <v>76</v>
      </c>
      <c r="C597" t="s">
        <v>1285</v>
      </c>
      <c r="D597">
        <v>1</v>
      </c>
      <c r="E597">
        <v>6</v>
      </c>
      <c r="F597" t="s">
        <v>75</v>
      </c>
      <c r="G597" t="s">
        <v>11</v>
      </c>
      <c r="H597" t="s">
        <v>11</v>
      </c>
    </row>
    <row r="598" spans="1:8" x14ac:dyDescent="0.35">
      <c r="A598" t="s">
        <v>24</v>
      </c>
      <c r="B598" t="s">
        <v>76</v>
      </c>
      <c r="C598" t="s">
        <v>1578</v>
      </c>
      <c r="D598">
        <v>1</v>
      </c>
      <c r="E598">
        <v>6</v>
      </c>
      <c r="F598" t="s">
        <v>75</v>
      </c>
      <c r="G598" t="s">
        <v>11</v>
      </c>
      <c r="H598" t="s">
        <v>11</v>
      </c>
    </row>
    <row r="599" spans="1:8" x14ac:dyDescent="0.35">
      <c r="A599" t="s">
        <v>24</v>
      </c>
      <c r="B599" t="s">
        <v>76</v>
      </c>
      <c r="C599" t="s">
        <v>1579</v>
      </c>
      <c r="D599">
        <v>2</v>
      </c>
      <c r="E599">
        <v>5</v>
      </c>
      <c r="F599" t="s">
        <v>75</v>
      </c>
      <c r="G599" t="s">
        <v>11</v>
      </c>
      <c r="H599" t="s">
        <v>11</v>
      </c>
    </row>
    <row r="600" spans="1:8" x14ac:dyDescent="0.35">
      <c r="A600" t="s">
        <v>24</v>
      </c>
      <c r="B600" t="s">
        <v>76</v>
      </c>
      <c r="C600" t="s">
        <v>1580</v>
      </c>
      <c r="D600">
        <v>2</v>
      </c>
      <c r="E600">
        <v>6</v>
      </c>
      <c r="F600" t="s">
        <v>75</v>
      </c>
      <c r="G600" t="s">
        <v>11</v>
      </c>
      <c r="H600" t="s">
        <v>11</v>
      </c>
    </row>
    <row r="601" spans="1:8" x14ac:dyDescent="0.35">
      <c r="A601" t="s">
        <v>24</v>
      </c>
      <c r="B601" t="s">
        <v>76</v>
      </c>
      <c r="C601" t="s">
        <v>1581</v>
      </c>
      <c r="D601">
        <v>2</v>
      </c>
      <c r="E601">
        <v>5</v>
      </c>
      <c r="F601" t="s">
        <v>75</v>
      </c>
      <c r="G601" t="s">
        <v>11</v>
      </c>
      <c r="H601" t="s">
        <v>11</v>
      </c>
    </row>
    <row r="602" spans="1:8" x14ac:dyDescent="0.35">
      <c r="A602" t="s">
        <v>24</v>
      </c>
      <c r="B602" t="s">
        <v>76</v>
      </c>
      <c r="C602" t="s">
        <v>1233</v>
      </c>
      <c r="D602">
        <v>1</v>
      </c>
      <c r="E602">
        <v>6</v>
      </c>
      <c r="F602" t="s">
        <v>75</v>
      </c>
      <c r="G602" t="s">
        <v>11</v>
      </c>
      <c r="H602" t="s">
        <v>11</v>
      </c>
    </row>
    <row r="603" spans="1:8" x14ac:dyDescent="0.35">
      <c r="A603" t="s">
        <v>24</v>
      </c>
      <c r="B603" t="s">
        <v>76</v>
      </c>
      <c r="C603" t="s">
        <v>1582</v>
      </c>
      <c r="D603">
        <v>1</v>
      </c>
      <c r="E603">
        <v>5</v>
      </c>
      <c r="F603" t="s">
        <v>75</v>
      </c>
      <c r="G603" t="s">
        <v>11</v>
      </c>
      <c r="H603" t="s">
        <v>11</v>
      </c>
    </row>
    <row r="604" spans="1:8" x14ac:dyDescent="0.35">
      <c r="A604" t="s">
        <v>24</v>
      </c>
      <c r="B604" t="s">
        <v>76</v>
      </c>
      <c r="C604" t="s">
        <v>1352</v>
      </c>
      <c r="D604">
        <v>1</v>
      </c>
      <c r="E604">
        <v>6</v>
      </c>
      <c r="F604" t="s">
        <v>75</v>
      </c>
      <c r="G604" t="s">
        <v>11</v>
      </c>
      <c r="H604" t="s">
        <v>11</v>
      </c>
    </row>
    <row r="605" spans="1:8" x14ac:dyDescent="0.35">
      <c r="A605" t="s">
        <v>24</v>
      </c>
      <c r="B605" t="s">
        <v>76</v>
      </c>
      <c r="C605" t="s">
        <v>1138</v>
      </c>
      <c r="D605">
        <v>1</v>
      </c>
      <c r="E605">
        <v>5</v>
      </c>
      <c r="F605" t="s">
        <v>75</v>
      </c>
      <c r="G605" t="s">
        <v>11</v>
      </c>
      <c r="H605" t="s">
        <v>11</v>
      </c>
    </row>
    <row r="606" spans="1:8" x14ac:dyDescent="0.35">
      <c r="A606" t="s">
        <v>24</v>
      </c>
      <c r="B606" t="s">
        <v>76</v>
      </c>
      <c r="C606" t="s">
        <v>1142</v>
      </c>
      <c r="D606">
        <v>2</v>
      </c>
      <c r="E606">
        <v>6</v>
      </c>
      <c r="F606" t="s">
        <v>75</v>
      </c>
      <c r="G606" t="s">
        <v>11</v>
      </c>
      <c r="H606" t="s">
        <v>11</v>
      </c>
    </row>
    <row r="607" spans="1:8" x14ac:dyDescent="0.35">
      <c r="A607" t="s">
        <v>24</v>
      </c>
      <c r="B607" t="s">
        <v>76</v>
      </c>
      <c r="C607" t="s">
        <v>1360</v>
      </c>
      <c r="D607">
        <v>1</v>
      </c>
      <c r="E607">
        <v>6</v>
      </c>
      <c r="F607" t="s">
        <v>75</v>
      </c>
      <c r="G607" t="s">
        <v>11</v>
      </c>
      <c r="H607" t="s">
        <v>11</v>
      </c>
    </row>
    <row r="608" spans="1:8" x14ac:dyDescent="0.35">
      <c r="A608" t="s">
        <v>24</v>
      </c>
      <c r="B608" t="s">
        <v>76</v>
      </c>
      <c r="C608" t="s">
        <v>1583</v>
      </c>
      <c r="D608">
        <v>3</v>
      </c>
      <c r="E608">
        <v>5</v>
      </c>
      <c r="F608" t="s">
        <v>75</v>
      </c>
      <c r="G608" t="s">
        <v>11</v>
      </c>
      <c r="H608" t="s">
        <v>11</v>
      </c>
    </row>
    <row r="609" spans="1:8" x14ac:dyDescent="0.35">
      <c r="A609" t="s">
        <v>24</v>
      </c>
      <c r="B609" t="s">
        <v>76</v>
      </c>
      <c r="C609" t="s">
        <v>1584</v>
      </c>
      <c r="D609">
        <v>1</v>
      </c>
      <c r="E609">
        <v>5</v>
      </c>
      <c r="F609" t="s">
        <v>75</v>
      </c>
      <c r="G609" t="s">
        <v>11</v>
      </c>
      <c r="H609" t="s">
        <v>11</v>
      </c>
    </row>
    <row r="610" spans="1:8" x14ac:dyDescent="0.35">
      <c r="A610" t="s">
        <v>24</v>
      </c>
      <c r="B610" t="s">
        <v>76</v>
      </c>
      <c r="C610" t="s">
        <v>1585</v>
      </c>
      <c r="D610">
        <v>1</v>
      </c>
      <c r="E610">
        <v>5</v>
      </c>
      <c r="F610" t="s">
        <v>75</v>
      </c>
      <c r="G610" t="s">
        <v>11</v>
      </c>
      <c r="H610" t="s">
        <v>11</v>
      </c>
    </row>
    <row r="611" spans="1:8" x14ac:dyDescent="0.35">
      <c r="A611" t="s">
        <v>24</v>
      </c>
      <c r="B611" t="s">
        <v>76</v>
      </c>
      <c r="C611" t="s">
        <v>1149</v>
      </c>
      <c r="D611">
        <v>2</v>
      </c>
      <c r="E611">
        <v>6</v>
      </c>
      <c r="F611" t="s">
        <v>75</v>
      </c>
      <c r="G611" t="s">
        <v>11</v>
      </c>
      <c r="H611" t="s">
        <v>11</v>
      </c>
    </row>
    <row r="612" spans="1:8" x14ac:dyDescent="0.35">
      <c r="A612" t="s">
        <v>24</v>
      </c>
      <c r="B612" t="s">
        <v>76</v>
      </c>
      <c r="C612" t="s">
        <v>1586</v>
      </c>
      <c r="D612">
        <v>2</v>
      </c>
      <c r="E612">
        <v>5</v>
      </c>
      <c r="F612" t="s">
        <v>75</v>
      </c>
      <c r="G612" t="s">
        <v>11</v>
      </c>
      <c r="H612" t="s">
        <v>11</v>
      </c>
    </row>
    <row r="613" spans="1:8" x14ac:dyDescent="0.35">
      <c r="A613" t="s">
        <v>24</v>
      </c>
      <c r="B613" t="s">
        <v>76</v>
      </c>
      <c r="C613" t="s">
        <v>1587</v>
      </c>
      <c r="D613">
        <v>1</v>
      </c>
      <c r="E613">
        <v>5</v>
      </c>
      <c r="F613" t="s">
        <v>75</v>
      </c>
      <c r="G613" t="s">
        <v>11</v>
      </c>
      <c r="H613" t="s">
        <v>11</v>
      </c>
    </row>
    <row r="614" spans="1:8" x14ac:dyDescent="0.35">
      <c r="A614" t="s">
        <v>24</v>
      </c>
      <c r="B614" t="s">
        <v>76</v>
      </c>
      <c r="C614" t="s">
        <v>1588</v>
      </c>
      <c r="D614">
        <v>1</v>
      </c>
      <c r="E614">
        <v>5</v>
      </c>
      <c r="F614" t="s">
        <v>75</v>
      </c>
      <c r="G614" t="s">
        <v>11</v>
      </c>
      <c r="H614" t="s">
        <v>11</v>
      </c>
    </row>
    <row r="615" spans="1:8" x14ac:dyDescent="0.35">
      <c r="A615" t="s">
        <v>24</v>
      </c>
      <c r="B615" t="s">
        <v>76</v>
      </c>
      <c r="C615" t="s">
        <v>1589</v>
      </c>
      <c r="D615">
        <v>1</v>
      </c>
      <c r="E615">
        <v>6</v>
      </c>
      <c r="F615" t="s">
        <v>75</v>
      </c>
      <c r="G615" t="s">
        <v>11</v>
      </c>
      <c r="H615" t="s">
        <v>11</v>
      </c>
    </row>
    <row r="616" spans="1:8" x14ac:dyDescent="0.35">
      <c r="A616" t="s">
        <v>24</v>
      </c>
      <c r="B616" t="s">
        <v>76</v>
      </c>
      <c r="C616" t="s">
        <v>1590</v>
      </c>
      <c r="D616">
        <v>3</v>
      </c>
      <c r="E616">
        <v>5</v>
      </c>
      <c r="F616" t="s">
        <v>75</v>
      </c>
      <c r="G616" t="s">
        <v>11</v>
      </c>
      <c r="H616" t="s">
        <v>11</v>
      </c>
    </row>
    <row r="617" spans="1:8" x14ac:dyDescent="0.35">
      <c r="A617" t="s">
        <v>24</v>
      </c>
      <c r="B617" t="s">
        <v>76</v>
      </c>
      <c r="C617" t="s">
        <v>1254</v>
      </c>
      <c r="D617">
        <v>2</v>
      </c>
      <c r="E617">
        <v>5</v>
      </c>
      <c r="F617" t="s">
        <v>75</v>
      </c>
      <c r="G617" t="s">
        <v>11</v>
      </c>
      <c r="H617" t="s">
        <v>11</v>
      </c>
    </row>
    <row r="618" spans="1:8" x14ac:dyDescent="0.35">
      <c r="A618" t="s">
        <v>24</v>
      </c>
      <c r="B618" t="s">
        <v>76</v>
      </c>
      <c r="C618" t="s">
        <v>1157</v>
      </c>
      <c r="D618">
        <v>2</v>
      </c>
      <c r="E618">
        <v>6</v>
      </c>
      <c r="F618" t="s">
        <v>75</v>
      </c>
      <c r="G618" t="s">
        <v>11</v>
      </c>
      <c r="H618" t="s">
        <v>11</v>
      </c>
    </row>
    <row r="619" spans="1:8" x14ac:dyDescent="0.35">
      <c r="A619" t="s">
        <v>24</v>
      </c>
      <c r="B619" t="s">
        <v>76</v>
      </c>
      <c r="C619" t="s">
        <v>1591</v>
      </c>
      <c r="D619">
        <v>2</v>
      </c>
      <c r="E619">
        <v>5</v>
      </c>
      <c r="F619" t="s">
        <v>75</v>
      </c>
      <c r="G619" t="s">
        <v>11</v>
      </c>
      <c r="H619" t="s">
        <v>11</v>
      </c>
    </row>
    <row r="620" spans="1:8" x14ac:dyDescent="0.35">
      <c r="A620" t="s">
        <v>24</v>
      </c>
      <c r="B620" t="s">
        <v>76</v>
      </c>
      <c r="C620" t="s">
        <v>1592</v>
      </c>
      <c r="D620">
        <v>3</v>
      </c>
      <c r="E620">
        <v>5</v>
      </c>
      <c r="F620" t="s">
        <v>75</v>
      </c>
      <c r="G620" t="s">
        <v>11</v>
      </c>
      <c r="H620" t="s">
        <v>11</v>
      </c>
    </row>
    <row r="621" spans="1:8" x14ac:dyDescent="0.35">
      <c r="A621" t="s">
        <v>24</v>
      </c>
      <c r="B621" t="s">
        <v>76</v>
      </c>
      <c r="C621" t="s">
        <v>1593</v>
      </c>
      <c r="D621">
        <v>2</v>
      </c>
      <c r="E621">
        <v>6</v>
      </c>
      <c r="F621" t="s">
        <v>75</v>
      </c>
      <c r="G621" t="s">
        <v>11</v>
      </c>
      <c r="H621" t="s">
        <v>11</v>
      </c>
    </row>
    <row r="622" spans="1:8" x14ac:dyDescent="0.35">
      <c r="A622" t="s">
        <v>24</v>
      </c>
      <c r="B622" t="s">
        <v>76</v>
      </c>
      <c r="C622" t="s">
        <v>1594</v>
      </c>
      <c r="D622">
        <v>2</v>
      </c>
      <c r="E622">
        <v>5</v>
      </c>
      <c r="F622" t="s">
        <v>75</v>
      </c>
      <c r="G622" t="s">
        <v>11</v>
      </c>
      <c r="H622" t="s">
        <v>11</v>
      </c>
    </row>
    <row r="623" spans="1:8" x14ac:dyDescent="0.35">
      <c r="A623" t="s">
        <v>24</v>
      </c>
      <c r="B623" t="s">
        <v>76</v>
      </c>
      <c r="C623" t="s">
        <v>1595</v>
      </c>
      <c r="D623">
        <v>2</v>
      </c>
      <c r="E623">
        <v>5</v>
      </c>
      <c r="F623" t="s">
        <v>75</v>
      </c>
      <c r="G623" t="s">
        <v>11</v>
      </c>
      <c r="H623" t="s">
        <v>11</v>
      </c>
    </row>
    <row r="624" spans="1:8" x14ac:dyDescent="0.35">
      <c r="A624" t="s">
        <v>24</v>
      </c>
      <c r="B624" t="s">
        <v>76</v>
      </c>
      <c r="C624" t="s">
        <v>1596</v>
      </c>
      <c r="D624">
        <v>2</v>
      </c>
      <c r="E624">
        <v>5</v>
      </c>
      <c r="F624" t="s">
        <v>75</v>
      </c>
      <c r="G624" t="s">
        <v>11</v>
      </c>
      <c r="H624" t="s">
        <v>11</v>
      </c>
    </row>
    <row r="625" spans="1:8" x14ac:dyDescent="0.35">
      <c r="A625" t="s">
        <v>24</v>
      </c>
      <c r="B625" t="s">
        <v>76</v>
      </c>
      <c r="C625" t="s">
        <v>1597</v>
      </c>
      <c r="D625">
        <v>1</v>
      </c>
      <c r="E625">
        <v>5</v>
      </c>
      <c r="F625" t="s">
        <v>75</v>
      </c>
      <c r="G625" t="s">
        <v>11</v>
      </c>
      <c r="H625" t="s">
        <v>11</v>
      </c>
    </row>
    <row r="626" spans="1:8" x14ac:dyDescent="0.35">
      <c r="A626" t="s">
        <v>24</v>
      </c>
      <c r="B626" t="s">
        <v>76</v>
      </c>
      <c r="C626" t="s">
        <v>1598</v>
      </c>
      <c r="D626">
        <v>2</v>
      </c>
      <c r="E626">
        <v>6</v>
      </c>
      <c r="F626" t="s">
        <v>75</v>
      </c>
      <c r="G626" t="s">
        <v>11</v>
      </c>
      <c r="H626" t="s">
        <v>11</v>
      </c>
    </row>
    <row r="627" spans="1:8" x14ac:dyDescent="0.35">
      <c r="A627" t="s">
        <v>24</v>
      </c>
      <c r="B627" t="s">
        <v>76</v>
      </c>
      <c r="C627" t="s">
        <v>1599</v>
      </c>
      <c r="D627">
        <v>2</v>
      </c>
      <c r="E627">
        <v>5</v>
      </c>
      <c r="F627" t="s">
        <v>75</v>
      </c>
      <c r="G627" t="s">
        <v>11</v>
      </c>
      <c r="H627" t="s">
        <v>11</v>
      </c>
    </row>
    <row r="628" spans="1:8" x14ac:dyDescent="0.35">
      <c r="A628" t="s">
        <v>24</v>
      </c>
      <c r="B628" t="s">
        <v>76</v>
      </c>
      <c r="C628" t="s">
        <v>1600</v>
      </c>
      <c r="D628">
        <v>1</v>
      </c>
      <c r="E628">
        <v>6</v>
      </c>
      <c r="F628" t="s">
        <v>75</v>
      </c>
      <c r="G628" t="s">
        <v>11</v>
      </c>
      <c r="H628" t="s">
        <v>11</v>
      </c>
    </row>
    <row r="629" spans="1:8" x14ac:dyDescent="0.35">
      <c r="A629" t="s">
        <v>24</v>
      </c>
      <c r="B629" t="s">
        <v>76</v>
      </c>
      <c r="C629" t="s">
        <v>1177</v>
      </c>
      <c r="D629">
        <v>3</v>
      </c>
      <c r="E629">
        <v>5</v>
      </c>
      <c r="F629" t="s">
        <v>75</v>
      </c>
      <c r="G629" t="s">
        <v>11</v>
      </c>
      <c r="H629" t="s">
        <v>11</v>
      </c>
    </row>
    <row r="630" spans="1:8" x14ac:dyDescent="0.35">
      <c r="A630" t="s">
        <v>25</v>
      </c>
      <c r="B630" t="s">
        <v>88</v>
      </c>
      <c r="C630" t="s">
        <v>1338</v>
      </c>
      <c r="D630">
        <v>1</v>
      </c>
      <c r="E630">
        <v>5</v>
      </c>
      <c r="F630" t="s">
        <v>7</v>
      </c>
      <c r="G630" t="s">
        <v>11</v>
      </c>
      <c r="H630" t="s">
        <v>11</v>
      </c>
    </row>
    <row r="631" spans="1:8" x14ac:dyDescent="0.35">
      <c r="A631" t="s">
        <v>25</v>
      </c>
      <c r="B631" t="s">
        <v>88</v>
      </c>
      <c r="C631" t="s">
        <v>1601</v>
      </c>
      <c r="D631">
        <v>3</v>
      </c>
      <c r="E631">
        <v>4</v>
      </c>
      <c r="F631" t="s">
        <v>7</v>
      </c>
      <c r="G631" t="s">
        <v>11</v>
      </c>
      <c r="H631" t="s">
        <v>11</v>
      </c>
    </row>
    <row r="632" spans="1:8" x14ac:dyDescent="0.35">
      <c r="A632" t="s">
        <v>25</v>
      </c>
      <c r="B632" t="s">
        <v>88</v>
      </c>
      <c r="C632" t="s">
        <v>1602</v>
      </c>
      <c r="D632">
        <v>2</v>
      </c>
      <c r="E632">
        <v>4</v>
      </c>
      <c r="F632" t="s">
        <v>7</v>
      </c>
      <c r="G632" t="s">
        <v>11</v>
      </c>
      <c r="H632" t="s">
        <v>11</v>
      </c>
    </row>
    <row r="633" spans="1:8" x14ac:dyDescent="0.35">
      <c r="A633" t="s">
        <v>25</v>
      </c>
      <c r="B633" t="s">
        <v>88</v>
      </c>
      <c r="C633" t="s">
        <v>1229</v>
      </c>
      <c r="D633">
        <v>1</v>
      </c>
      <c r="E633">
        <v>5</v>
      </c>
      <c r="F633" t="s">
        <v>7</v>
      </c>
      <c r="G633" t="s">
        <v>11</v>
      </c>
      <c r="H633" t="s">
        <v>11</v>
      </c>
    </row>
    <row r="634" spans="1:8" x14ac:dyDescent="0.35">
      <c r="A634" t="s">
        <v>25</v>
      </c>
      <c r="B634" t="s">
        <v>88</v>
      </c>
      <c r="C634" t="s">
        <v>1603</v>
      </c>
      <c r="D634">
        <v>1</v>
      </c>
      <c r="E634">
        <v>5</v>
      </c>
      <c r="F634" t="s">
        <v>7</v>
      </c>
      <c r="G634" t="s">
        <v>11</v>
      </c>
      <c r="H634" t="s">
        <v>11</v>
      </c>
    </row>
    <row r="635" spans="1:8" x14ac:dyDescent="0.35">
      <c r="A635" t="s">
        <v>25</v>
      </c>
      <c r="B635" t="s">
        <v>88</v>
      </c>
      <c r="C635" t="s">
        <v>1604</v>
      </c>
      <c r="D635">
        <v>1</v>
      </c>
      <c r="E635">
        <v>5</v>
      </c>
      <c r="F635" t="s">
        <v>7</v>
      </c>
      <c r="G635" t="s">
        <v>11</v>
      </c>
      <c r="H635" t="s">
        <v>11</v>
      </c>
    </row>
    <row r="636" spans="1:8" x14ac:dyDescent="0.35">
      <c r="A636" t="s">
        <v>25</v>
      </c>
      <c r="B636" t="s">
        <v>88</v>
      </c>
      <c r="C636" t="s">
        <v>1120</v>
      </c>
      <c r="D636">
        <v>1</v>
      </c>
      <c r="E636">
        <v>5</v>
      </c>
      <c r="F636" t="s">
        <v>7</v>
      </c>
      <c r="G636" t="s">
        <v>11</v>
      </c>
      <c r="H636" t="s">
        <v>11</v>
      </c>
    </row>
    <row r="637" spans="1:8" x14ac:dyDescent="0.35">
      <c r="A637" t="s">
        <v>25</v>
      </c>
      <c r="B637" t="s">
        <v>88</v>
      </c>
      <c r="C637" t="s">
        <v>1231</v>
      </c>
      <c r="D637">
        <v>1</v>
      </c>
      <c r="E637">
        <v>5</v>
      </c>
      <c r="F637" t="s">
        <v>7</v>
      </c>
      <c r="G637" t="s">
        <v>11</v>
      </c>
      <c r="H637" t="s">
        <v>11</v>
      </c>
    </row>
    <row r="638" spans="1:8" x14ac:dyDescent="0.35">
      <c r="A638" t="s">
        <v>25</v>
      </c>
      <c r="B638" t="s">
        <v>88</v>
      </c>
      <c r="C638" t="s">
        <v>1605</v>
      </c>
      <c r="D638">
        <v>1</v>
      </c>
      <c r="E638">
        <v>5</v>
      </c>
      <c r="F638" t="s">
        <v>7</v>
      </c>
      <c r="G638" t="s">
        <v>11</v>
      </c>
      <c r="H638" t="s">
        <v>11</v>
      </c>
    </row>
    <row r="639" spans="1:8" x14ac:dyDescent="0.35">
      <c r="A639" t="s">
        <v>25</v>
      </c>
      <c r="B639" t="s">
        <v>88</v>
      </c>
      <c r="C639" t="s">
        <v>1606</v>
      </c>
      <c r="D639">
        <v>1</v>
      </c>
      <c r="E639">
        <v>5</v>
      </c>
      <c r="F639" t="s">
        <v>7</v>
      </c>
      <c r="G639" t="s">
        <v>11</v>
      </c>
      <c r="H639" t="s">
        <v>11</v>
      </c>
    </row>
    <row r="640" spans="1:8" x14ac:dyDescent="0.35">
      <c r="A640" t="s">
        <v>25</v>
      </c>
      <c r="B640" t="s">
        <v>88</v>
      </c>
      <c r="C640" t="s">
        <v>1607</v>
      </c>
      <c r="D640">
        <v>2</v>
      </c>
      <c r="E640">
        <v>4</v>
      </c>
      <c r="F640" t="s">
        <v>7</v>
      </c>
      <c r="G640" t="s">
        <v>11</v>
      </c>
      <c r="H640" t="s">
        <v>11</v>
      </c>
    </row>
    <row r="641" spans="1:8" x14ac:dyDescent="0.35">
      <c r="A641" t="s">
        <v>25</v>
      </c>
      <c r="B641" t="s">
        <v>88</v>
      </c>
      <c r="C641" t="s">
        <v>1233</v>
      </c>
      <c r="D641">
        <v>2</v>
      </c>
      <c r="E641">
        <v>5</v>
      </c>
      <c r="F641" t="s">
        <v>7</v>
      </c>
      <c r="G641" t="s">
        <v>11</v>
      </c>
      <c r="H641" t="s">
        <v>11</v>
      </c>
    </row>
    <row r="642" spans="1:8" x14ac:dyDescent="0.35">
      <c r="A642" t="s">
        <v>25</v>
      </c>
      <c r="B642" t="s">
        <v>88</v>
      </c>
      <c r="C642" t="s">
        <v>1126</v>
      </c>
      <c r="D642">
        <v>2</v>
      </c>
      <c r="E642">
        <v>4</v>
      </c>
      <c r="F642" t="s">
        <v>7</v>
      </c>
      <c r="G642" t="s">
        <v>11</v>
      </c>
      <c r="H642" t="s">
        <v>11</v>
      </c>
    </row>
    <row r="643" spans="1:8" x14ac:dyDescent="0.35">
      <c r="A643" t="s">
        <v>25</v>
      </c>
      <c r="B643" t="s">
        <v>88</v>
      </c>
      <c r="C643" t="s">
        <v>1608</v>
      </c>
      <c r="D643">
        <v>2</v>
      </c>
      <c r="E643">
        <v>4</v>
      </c>
      <c r="F643" t="s">
        <v>7</v>
      </c>
      <c r="G643" t="s">
        <v>11</v>
      </c>
      <c r="H643" t="s">
        <v>11</v>
      </c>
    </row>
    <row r="644" spans="1:8" x14ac:dyDescent="0.35">
      <c r="A644" t="s">
        <v>25</v>
      </c>
      <c r="B644" t="s">
        <v>88</v>
      </c>
      <c r="C644" t="s">
        <v>1609</v>
      </c>
      <c r="D644">
        <v>1</v>
      </c>
      <c r="E644">
        <v>5</v>
      </c>
      <c r="F644" t="s">
        <v>7</v>
      </c>
      <c r="G644" t="s">
        <v>11</v>
      </c>
      <c r="H644" t="s">
        <v>11</v>
      </c>
    </row>
    <row r="645" spans="1:8" x14ac:dyDescent="0.35">
      <c r="A645" t="s">
        <v>25</v>
      </c>
      <c r="B645" t="s">
        <v>88</v>
      </c>
      <c r="C645" t="s">
        <v>1480</v>
      </c>
      <c r="D645">
        <v>2</v>
      </c>
      <c r="E645">
        <v>5</v>
      </c>
      <c r="F645" t="s">
        <v>7</v>
      </c>
      <c r="G645" t="s">
        <v>11</v>
      </c>
      <c r="H645" t="s">
        <v>11</v>
      </c>
    </row>
    <row r="646" spans="1:8" x14ac:dyDescent="0.35">
      <c r="A646" t="s">
        <v>25</v>
      </c>
      <c r="B646" t="s">
        <v>88</v>
      </c>
      <c r="C646" t="s">
        <v>1238</v>
      </c>
      <c r="D646">
        <v>2</v>
      </c>
      <c r="E646">
        <v>4</v>
      </c>
      <c r="F646" t="s">
        <v>7</v>
      </c>
      <c r="G646" t="s">
        <v>11</v>
      </c>
      <c r="H646" t="s">
        <v>11</v>
      </c>
    </row>
    <row r="647" spans="1:8" x14ac:dyDescent="0.35">
      <c r="A647" t="s">
        <v>25</v>
      </c>
      <c r="B647" t="s">
        <v>88</v>
      </c>
      <c r="C647" t="s">
        <v>1610</v>
      </c>
      <c r="D647">
        <v>2</v>
      </c>
      <c r="E647">
        <v>5</v>
      </c>
      <c r="F647" t="s">
        <v>7</v>
      </c>
      <c r="G647" t="s">
        <v>11</v>
      </c>
      <c r="H647" t="s">
        <v>11</v>
      </c>
    </row>
    <row r="648" spans="1:8" x14ac:dyDescent="0.35">
      <c r="A648" t="s">
        <v>25</v>
      </c>
      <c r="B648" t="s">
        <v>88</v>
      </c>
      <c r="C648" t="s">
        <v>1486</v>
      </c>
      <c r="D648">
        <v>1</v>
      </c>
      <c r="E648">
        <v>5</v>
      </c>
      <c r="F648" t="s">
        <v>7</v>
      </c>
      <c r="G648" t="s">
        <v>11</v>
      </c>
      <c r="H648" t="s">
        <v>11</v>
      </c>
    </row>
    <row r="649" spans="1:8" x14ac:dyDescent="0.35">
      <c r="A649" t="s">
        <v>25</v>
      </c>
      <c r="B649" t="s">
        <v>88</v>
      </c>
      <c r="C649" t="s">
        <v>1611</v>
      </c>
      <c r="D649">
        <v>1</v>
      </c>
      <c r="E649">
        <v>5</v>
      </c>
      <c r="F649" t="s">
        <v>7</v>
      </c>
      <c r="G649" t="s">
        <v>11</v>
      </c>
      <c r="H649" t="s">
        <v>11</v>
      </c>
    </row>
    <row r="650" spans="1:8" x14ac:dyDescent="0.35">
      <c r="A650" t="s">
        <v>25</v>
      </c>
      <c r="B650" t="s">
        <v>88</v>
      </c>
      <c r="C650" t="s">
        <v>1356</v>
      </c>
      <c r="D650">
        <v>1</v>
      </c>
      <c r="E650">
        <v>5</v>
      </c>
      <c r="F650" t="s">
        <v>7</v>
      </c>
      <c r="G650" t="s">
        <v>11</v>
      </c>
      <c r="H650" t="s">
        <v>11</v>
      </c>
    </row>
    <row r="651" spans="1:8" x14ac:dyDescent="0.35">
      <c r="A651" t="s">
        <v>25</v>
      </c>
      <c r="B651" t="s">
        <v>88</v>
      </c>
      <c r="C651" t="s">
        <v>1612</v>
      </c>
      <c r="D651">
        <v>2</v>
      </c>
      <c r="E651">
        <v>5</v>
      </c>
      <c r="F651" t="s">
        <v>7</v>
      </c>
      <c r="G651" t="s">
        <v>11</v>
      </c>
      <c r="H651" t="s">
        <v>11</v>
      </c>
    </row>
    <row r="652" spans="1:8" x14ac:dyDescent="0.35">
      <c r="A652" t="s">
        <v>25</v>
      </c>
      <c r="B652" t="s">
        <v>88</v>
      </c>
      <c r="C652" t="s">
        <v>1613</v>
      </c>
      <c r="D652">
        <v>1</v>
      </c>
      <c r="E652">
        <v>5</v>
      </c>
      <c r="F652" t="s">
        <v>7</v>
      </c>
      <c r="G652" t="s">
        <v>11</v>
      </c>
      <c r="H652" t="s">
        <v>11</v>
      </c>
    </row>
    <row r="653" spans="1:8" x14ac:dyDescent="0.35">
      <c r="A653" t="s">
        <v>25</v>
      </c>
      <c r="B653" t="s">
        <v>88</v>
      </c>
      <c r="C653" t="s">
        <v>1614</v>
      </c>
      <c r="D653">
        <v>2</v>
      </c>
      <c r="E653">
        <v>4</v>
      </c>
      <c r="F653" t="s">
        <v>7</v>
      </c>
      <c r="G653" t="s">
        <v>11</v>
      </c>
      <c r="H653" t="s">
        <v>11</v>
      </c>
    </row>
    <row r="654" spans="1:8" x14ac:dyDescent="0.35">
      <c r="A654" t="s">
        <v>25</v>
      </c>
      <c r="B654" t="s">
        <v>88</v>
      </c>
      <c r="C654" t="s">
        <v>1492</v>
      </c>
      <c r="D654">
        <v>2</v>
      </c>
      <c r="E654">
        <v>4</v>
      </c>
      <c r="F654" t="s">
        <v>7</v>
      </c>
      <c r="G654" t="s">
        <v>11</v>
      </c>
      <c r="H654" t="s">
        <v>11</v>
      </c>
    </row>
    <row r="655" spans="1:8" x14ac:dyDescent="0.35">
      <c r="A655" t="s">
        <v>25</v>
      </c>
      <c r="B655" t="s">
        <v>88</v>
      </c>
      <c r="C655" t="s">
        <v>1141</v>
      </c>
      <c r="D655">
        <v>2</v>
      </c>
      <c r="E655">
        <v>4</v>
      </c>
      <c r="F655" t="s">
        <v>7</v>
      </c>
      <c r="G655" t="s">
        <v>11</v>
      </c>
      <c r="H655" t="s">
        <v>11</v>
      </c>
    </row>
    <row r="656" spans="1:8" x14ac:dyDescent="0.35">
      <c r="A656" t="s">
        <v>25</v>
      </c>
      <c r="B656" t="s">
        <v>88</v>
      </c>
      <c r="C656" t="s">
        <v>1615</v>
      </c>
      <c r="D656">
        <v>1</v>
      </c>
      <c r="E656">
        <v>5</v>
      </c>
      <c r="F656" t="s">
        <v>7</v>
      </c>
      <c r="G656" t="s">
        <v>11</v>
      </c>
      <c r="H656" t="s">
        <v>11</v>
      </c>
    </row>
    <row r="657" spans="1:8" x14ac:dyDescent="0.35">
      <c r="A657" t="s">
        <v>25</v>
      </c>
      <c r="B657" t="s">
        <v>88</v>
      </c>
      <c r="C657" t="s">
        <v>1142</v>
      </c>
      <c r="D657">
        <v>2</v>
      </c>
      <c r="E657">
        <v>4</v>
      </c>
      <c r="F657" t="s">
        <v>7</v>
      </c>
      <c r="G657" t="s">
        <v>11</v>
      </c>
      <c r="H657" t="s">
        <v>11</v>
      </c>
    </row>
    <row r="658" spans="1:8" x14ac:dyDescent="0.35">
      <c r="A658" t="s">
        <v>25</v>
      </c>
      <c r="B658" t="s">
        <v>88</v>
      </c>
      <c r="C658" t="s">
        <v>1244</v>
      </c>
      <c r="D658">
        <v>1</v>
      </c>
      <c r="E658">
        <v>5</v>
      </c>
      <c r="F658" t="s">
        <v>7</v>
      </c>
      <c r="G658" t="s">
        <v>11</v>
      </c>
      <c r="H658" t="s">
        <v>11</v>
      </c>
    </row>
    <row r="659" spans="1:8" x14ac:dyDescent="0.35">
      <c r="A659" t="s">
        <v>25</v>
      </c>
      <c r="B659" t="s">
        <v>88</v>
      </c>
      <c r="C659" t="s">
        <v>1616</v>
      </c>
      <c r="D659">
        <v>2</v>
      </c>
      <c r="E659">
        <v>4</v>
      </c>
      <c r="F659" t="s">
        <v>7</v>
      </c>
      <c r="G659" t="s">
        <v>11</v>
      </c>
      <c r="H659" t="s">
        <v>11</v>
      </c>
    </row>
    <row r="660" spans="1:8" x14ac:dyDescent="0.35">
      <c r="A660" t="s">
        <v>25</v>
      </c>
      <c r="B660" t="s">
        <v>88</v>
      </c>
      <c r="C660" t="s">
        <v>1144</v>
      </c>
      <c r="D660">
        <v>1</v>
      </c>
      <c r="E660">
        <v>5</v>
      </c>
      <c r="F660" t="s">
        <v>7</v>
      </c>
      <c r="G660" t="s">
        <v>11</v>
      </c>
      <c r="H660" t="s">
        <v>11</v>
      </c>
    </row>
    <row r="661" spans="1:8" x14ac:dyDescent="0.35">
      <c r="A661" t="s">
        <v>25</v>
      </c>
      <c r="B661" t="s">
        <v>88</v>
      </c>
      <c r="C661" t="s">
        <v>1617</v>
      </c>
      <c r="D661">
        <v>1</v>
      </c>
      <c r="E661">
        <v>5</v>
      </c>
      <c r="F661" t="s">
        <v>7</v>
      </c>
      <c r="G661" t="s">
        <v>11</v>
      </c>
      <c r="H661" t="s">
        <v>11</v>
      </c>
    </row>
    <row r="662" spans="1:8" x14ac:dyDescent="0.35">
      <c r="A662" t="s">
        <v>25</v>
      </c>
      <c r="B662" t="s">
        <v>88</v>
      </c>
      <c r="C662" t="s">
        <v>1422</v>
      </c>
      <c r="D662">
        <v>2</v>
      </c>
      <c r="E662">
        <v>4</v>
      </c>
      <c r="F662" t="s">
        <v>7</v>
      </c>
      <c r="G662" t="s">
        <v>11</v>
      </c>
      <c r="H662" t="s">
        <v>11</v>
      </c>
    </row>
    <row r="663" spans="1:8" x14ac:dyDescent="0.35">
      <c r="A663" t="s">
        <v>25</v>
      </c>
      <c r="B663" t="s">
        <v>88</v>
      </c>
      <c r="C663" t="s">
        <v>1506</v>
      </c>
      <c r="D663">
        <v>1</v>
      </c>
      <c r="E663">
        <v>5</v>
      </c>
      <c r="F663" t="s">
        <v>7</v>
      </c>
      <c r="G663" t="s">
        <v>11</v>
      </c>
      <c r="H663" t="s">
        <v>11</v>
      </c>
    </row>
    <row r="664" spans="1:8" x14ac:dyDescent="0.35">
      <c r="A664" t="s">
        <v>25</v>
      </c>
      <c r="B664" t="s">
        <v>88</v>
      </c>
      <c r="C664" t="s">
        <v>1618</v>
      </c>
      <c r="D664">
        <v>2</v>
      </c>
      <c r="E664">
        <v>4</v>
      </c>
      <c r="F664" t="s">
        <v>7</v>
      </c>
      <c r="G664" t="s">
        <v>11</v>
      </c>
      <c r="H664" t="s">
        <v>11</v>
      </c>
    </row>
    <row r="665" spans="1:8" x14ac:dyDescent="0.35">
      <c r="A665" t="s">
        <v>25</v>
      </c>
      <c r="B665" t="s">
        <v>88</v>
      </c>
      <c r="C665" t="s">
        <v>1619</v>
      </c>
      <c r="D665">
        <v>1</v>
      </c>
      <c r="E665">
        <v>5</v>
      </c>
      <c r="F665" t="s">
        <v>7</v>
      </c>
      <c r="G665" t="s">
        <v>11</v>
      </c>
      <c r="H665" t="s">
        <v>11</v>
      </c>
    </row>
    <row r="666" spans="1:8" x14ac:dyDescent="0.35">
      <c r="A666" t="s">
        <v>25</v>
      </c>
      <c r="B666" t="s">
        <v>88</v>
      </c>
      <c r="C666" t="s">
        <v>1146</v>
      </c>
      <c r="D666">
        <v>1</v>
      </c>
      <c r="E666">
        <v>5</v>
      </c>
      <c r="F666" t="s">
        <v>7</v>
      </c>
      <c r="G666" t="s">
        <v>11</v>
      </c>
      <c r="H666" t="s">
        <v>11</v>
      </c>
    </row>
    <row r="667" spans="1:8" x14ac:dyDescent="0.35">
      <c r="A667" t="s">
        <v>25</v>
      </c>
      <c r="B667" t="s">
        <v>88</v>
      </c>
      <c r="C667" t="s">
        <v>1620</v>
      </c>
      <c r="D667">
        <v>1</v>
      </c>
      <c r="E667">
        <v>5</v>
      </c>
      <c r="F667" t="s">
        <v>7</v>
      </c>
      <c r="G667" t="s">
        <v>11</v>
      </c>
      <c r="H667" t="s">
        <v>11</v>
      </c>
    </row>
    <row r="668" spans="1:8" x14ac:dyDescent="0.35">
      <c r="A668" t="s">
        <v>25</v>
      </c>
      <c r="B668" t="s">
        <v>88</v>
      </c>
      <c r="C668" t="s">
        <v>1148</v>
      </c>
      <c r="D668">
        <v>2</v>
      </c>
      <c r="E668">
        <v>4</v>
      </c>
      <c r="F668" t="s">
        <v>7</v>
      </c>
      <c r="G668" t="s">
        <v>11</v>
      </c>
      <c r="H668" t="s">
        <v>11</v>
      </c>
    </row>
    <row r="669" spans="1:8" x14ac:dyDescent="0.35">
      <c r="A669" t="s">
        <v>25</v>
      </c>
      <c r="B669" t="s">
        <v>88</v>
      </c>
      <c r="C669" t="s">
        <v>1512</v>
      </c>
      <c r="D669">
        <v>2</v>
      </c>
      <c r="E669">
        <v>4</v>
      </c>
      <c r="F669" t="s">
        <v>7</v>
      </c>
      <c r="G669" t="s">
        <v>11</v>
      </c>
      <c r="H669" t="s">
        <v>11</v>
      </c>
    </row>
    <row r="670" spans="1:8" x14ac:dyDescent="0.35">
      <c r="A670" t="s">
        <v>25</v>
      </c>
      <c r="B670" t="s">
        <v>88</v>
      </c>
      <c r="C670" t="s">
        <v>1149</v>
      </c>
      <c r="D670">
        <v>2</v>
      </c>
      <c r="E670">
        <v>4</v>
      </c>
      <c r="F670" t="s">
        <v>7</v>
      </c>
      <c r="G670" t="s">
        <v>11</v>
      </c>
      <c r="H670" t="s">
        <v>11</v>
      </c>
    </row>
    <row r="671" spans="1:8" x14ac:dyDescent="0.35">
      <c r="A671" t="s">
        <v>25</v>
      </c>
      <c r="B671" t="s">
        <v>88</v>
      </c>
      <c r="C671" t="s">
        <v>1621</v>
      </c>
      <c r="D671">
        <v>1</v>
      </c>
      <c r="E671">
        <v>5</v>
      </c>
      <c r="F671" t="s">
        <v>7</v>
      </c>
      <c r="G671" t="s">
        <v>11</v>
      </c>
      <c r="H671" t="s">
        <v>11</v>
      </c>
    </row>
    <row r="672" spans="1:8" x14ac:dyDescent="0.35">
      <c r="A672" t="s">
        <v>25</v>
      </c>
      <c r="B672" t="s">
        <v>88</v>
      </c>
      <c r="C672" t="s">
        <v>1622</v>
      </c>
      <c r="D672">
        <v>1</v>
      </c>
      <c r="E672">
        <v>5</v>
      </c>
      <c r="F672" t="s">
        <v>7</v>
      </c>
      <c r="G672" t="s">
        <v>11</v>
      </c>
      <c r="H672" t="s">
        <v>11</v>
      </c>
    </row>
    <row r="673" spans="1:8" x14ac:dyDescent="0.35">
      <c r="A673" t="s">
        <v>25</v>
      </c>
      <c r="B673" t="s">
        <v>88</v>
      </c>
      <c r="C673" t="s">
        <v>1252</v>
      </c>
      <c r="D673">
        <v>2</v>
      </c>
      <c r="E673">
        <v>4</v>
      </c>
      <c r="F673" t="s">
        <v>7</v>
      </c>
      <c r="G673" t="s">
        <v>11</v>
      </c>
      <c r="H673" t="s">
        <v>11</v>
      </c>
    </row>
    <row r="674" spans="1:8" x14ac:dyDescent="0.35">
      <c r="A674" t="s">
        <v>25</v>
      </c>
      <c r="B674" t="s">
        <v>88</v>
      </c>
      <c r="C674" t="s">
        <v>1623</v>
      </c>
      <c r="D674">
        <v>1</v>
      </c>
      <c r="E674">
        <v>5</v>
      </c>
      <c r="F674" t="s">
        <v>7</v>
      </c>
      <c r="G674" t="s">
        <v>11</v>
      </c>
      <c r="H674" t="s">
        <v>11</v>
      </c>
    </row>
    <row r="675" spans="1:8" x14ac:dyDescent="0.35">
      <c r="A675" t="s">
        <v>25</v>
      </c>
      <c r="B675" t="s">
        <v>88</v>
      </c>
      <c r="C675" t="s">
        <v>1624</v>
      </c>
      <c r="D675">
        <v>2</v>
      </c>
      <c r="E675">
        <v>5</v>
      </c>
      <c r="F675" t="s">
        <v>7</v>
      </c>
      <c r="G675" t="s">
        <v>11</v>
      </c>
      <c r="H675" t="s">
        <v>11</v>
      </c>
    </row>
    <row r="676" spans="1:8" x14ac:dyDescent="0.35">
      <c r="A676" t="s">
        <v>25</v>
      </c>
      <c r="B676" t="s">
        <v>88</v>
      </c>
      <c r="C676" t="s">
        <v>1625</v>
      </c>
      <c r="D676">
        <v>1</v>
      </c>
      <c r="E676">
        <v>5</v>
      </c>
      <c r="F676" t="s">
        <v>7</v>
      </c>
      <c r="G676" t="s">
        <v>11</v>
      </c>
      <c r="H676" t="s">
        <v>11</v>
      </c>
    </row>
    <row r="677" spans="1:8" x14ac:dyDescent="0.35">
      <c r="A677" t="s">
        <v>25</v>
      </c>
      <c r="B677" t="s">
        <v>88</v>
      </c>
      <c r="C677" t="s">
        <v>1626</v>
      </c>
      <c r="D677">
        <v>1</v>
      </c>
      <c r="E677">
        <v>5</v>
      </c>
      <c r="F677" t="s">
        <v>7</v>
      </c>
      <c r="G677" t="s">
        <v>11</v>
      </c>
      <c r="H677" t="s">
        <v>11</v>
      </c>
    </row>
    <row r="678" spans="1:8" x14ac:dyDescent="0.35">
      <c r="A678" t="s">
        <v>25</v>
      </c>
      <c r="B678" t="s">
        <v>88</v>
      </c>
      <c r="C678" t="s">
        <v>1627</v>
      </c>
      <c r="D678">
        <v>1</v>
      </c>
      <c r="E678">
        <v>5</v>
      </c>
      <c r="F678" t="s">
        <v>7</v>
      </c>
      <c r="G678" t="s">
        <v>11</v>
      </c>
      <c r="H678" t="s">
        <v>11</v>
      </c>
    </row>
    <row r="679" spans="1:8" x14ac:dyDescent="0.35">
      <c r="A679" t="s">
        <v>25</v>
      </c>
      <c r="B679" t="s">
        <v>88</v>
      </c>
      <c r="C679" t="s">
        <v>1298</v>
      </c>
      <c r="D679">
        <v>2</v>
      </c>
      <c r="E679">
        <v>5</v>
      </c>
      <c r="F679" t="s">
        <v>7</v>
      </c>
      <c r="G679" t="s">
        <v>11</v>
      </c>
      <c r="H679" t="s">
        <v>11</v>
      </c>
    </row>
    <row r="680" spans="1:8" x14ac:dyDescent="0.35">
      <c r="A680" t="s">
        <v>25</v>
      </c>
      <c r="B680" t="s">
        <v>88</v>
      </c>
      <c r="C680" t="s">
        <v>1152</v>
      </c>
      <c r="D680">
        <v>2</v>
      </c>
      <c r="E680">
        <v>4</v>
      </c>
      <c r="F680" t="s">
        <v>7</v>
      </c>
      <c r="G680" t="s">
        <v>11</v>
      </c>
      <c r="H680" t="s">
        <v>11</v>
      </c>
    </row>
    <row r="681" spans="1:8" x14ac:dyDescent="0.35">
      <c r="A681" t="s">
        <v>25</v>
      </c>
      <c r="B681" t="s">
        <v>88</v>
      </c>
      <c r="C681" t="s">
        <v>1153</v>
      </c>
      <c r="D681">
        <v>1</v>
      </c>
      <c r="E681">
        <v>5</v>
      </c>
      <c r="F681" t="s">
        <v>7</v>
      </c>
      <c r="G681" t="s">
        <v>11</v>
      </c>
      <c r="H681" t="s">
        <v>11</v>
      </c>
    </row>
    <row r="682" spans="1:8" x14ac:dyDescent="0.35">
      <c r="A682" t="s">
        <v>25</v>
      </c>
      <c r="B682" t="s">
        <v>88</v>
      </c>
      <c r="C682" t="s">
        <v>1628</v>
      </c>
      <c r="D682">
        <v>1</v>
      </c>
      <c r="E682">
        <v>5</v>
      </c>
      <c r="F682" t="s">
        <v>7</v>
      </c>
      <c r="G682" t="s">
        <v>11</v>
      </c>
      <c r="H682" t="s">
        <v>11</v>
      </c>
    </row>
    <row r="683" spans="1:8" x14ac:dyDescent="0.35">
      <c r="A683" t="s">
        <v>25</v>
      </c>
      <c r="B683" t="s">
        <v>88</v>
      </c>
      <c r="C683" t="s">
        <v>1256</v>
      </c>
      <c r="D683">
        <v>1</v>
      </c>
      <c r="E683">
        <v>5</v>
      </c>
      <c r="F683" t="s">
        <v>7</v>
      </c>
      <c r="G683" t="s">
        <v>11</v>
      </c>
      <c r="H683" t="s">
        <v>11</v>
      </c>
    </row>
    <row r="684" spans="1:8" x14ac:dyDescent="0.35">
      <c r="A684" t="s">
        <v>25</v>
      </c>
      <c r="B684" t="s">
        <v>88</v>
      </c>
      <c r="C684" t="s">
        <v>1156</v>
      </c>
      <c r="D684">
        <v>1</v>
      </c>
      <c r="E684">
        <v>5</v>
      </c>
      <c r="F684" t="s">
        <v>7</v>
      </c>
      <c r="G684" t="s">
        <v>11</v>
      </c>
      <c r="H684" t="s">
        <v>11</v>
      </c>
    </row>
    <row r="685" spans="1:8" x14ac:dyDescent="0.35">
      <c r="A685" t="s">
        <v>25</v>
      </c>
      <c r="B685" t="s">
        <v>88</v>
      </c>
      <c r="C685" t="s">
        <v>1629</v>
      </c>
      <c r="D685">
        <v>2</v>
      </c>
      <c r="E685">
        <v>4</v>
      </c>
      <c r="F685" t="s">
        <v>7</v>
      </c>
      <c r="G685" t="s">
        <v>11</v>
      </c>
      <c r="H685" t="s">
        <v>11</v>
      </c>
    </row>
    <row r="686" spans="1:8" x14ac:dyDescent="0.35">
      <c r="A686" t="s">
        <v>25</v>
      </c>
      <c r="B686" t="s">
        <v>88</v>
      </c>
      <c r="C686" t="s">
        <v>1157</v>
      </c>
      <c r="D686">
        <v>2</v>
      </c>
      <c r="E686">
        <v>4</v>
      </c>
      <c r="F686" t="s">
        <v>7</v>
      </c>
      <c r="G686" t="s">
        <v>11</v>
      </c>
      <c r="H686" t="s">
        <v>11</v>
      </c>
    </row>
    <row r="687" spans="1:8" x14ac:dyDescent="0.35">
      <c r="A687" t="s">
        <v>25</v>
      </c>
      <c r="B687" t="s">
        <v>88</v>
      </c>
      <c r="C687" t="s">
        <v>1159</v>
      </c>
      <c r="D687">
        <v>2</v>
      </c>
      <c r="E687">
        <v>4</v>
      </c>
      <c r="F687" t="s">
        <v>7</v>
      </c>
      <c r="G687" t="s">
        <v>11</v>
      </c>
      <c r="H687" t="s">
        <v>11</v>
      </c>
    </row>
    <row r="688" spans="1:8" x14ac:dyDescent="0.35">
      <c r="A688" t="s">
        <v>25</v>
      </c>
      <c r="B688" t="s">
        <v>88</v>
      </c>
      <c r="C688" t="s">
        <v>1160</v>
      </c>
      <c r="D688">
        <v>1</v>
      </c>
      <c r="E688">
        <v>5</v>
      </c>
      <c r="F688" t="s">
        <v>7</v>
      </c>
      <c r="G688" t="s">
        <v>11</v>
      </c>
      <c r="H688" t="s">
        <v>11</v>
      </c>
    </row>
    <row r="689" spans="1:8" x14ac:dyDescent="0.35">
      <c r="A689" t="s">
        <v>25</v>
      </c>
      <c r="B689" t="s">
        <v>88</v>
      </c>
      <c r="C689" t="s">
        <v>1630</v>
      </c>
      <c r="D689">
        <v>1</v>
      </c>
      <c r="E689">
        <v>5</v>
      </c>
      <c r="F689" t="s">
        <v>7</v>
      </c>
      <c r="G689" t="s">
        <v>11</v>
      </c>
      <c r="H689" t="s">
        <v>11</v>
      </c>
    </row>
    <row r="690" spans="1:8" x14ac:dyDescent="0.35">
      <c r="A690" t="s">
        <v>25</v>
      </c>
      <c r="B690" t="s">
        <v>88</v>
      </c>
      <c r="C690" t="s">
        <v>1631</v>
      </c>
      <c r="D690">
        <v>3</v>
      </c>
      <c r="E690">
        <v>4</v>
      </c>
      <c r="F690" t="s">
        <v>7</v>
      </c>
      <c r="G690" t="s">
        <v>11</v>
      </c>
      <c r="H690" t="s">
        <v>11</v>
      </c>
    </row>
    <row r="691" spans="1:8" x14ac:dyDescent="0.35">
      <c r="A691" t="s">
        <v>25</v>
      </c>
      <c r="B691" t="s">
        <v>88</v>
      </c>
      <c r="C691" t="s">
        <v>1632</v>
      </c>
      <c r="D691">
        <v>1</v>
      </c>
      <c r="E691">
        <v>5</v>
      </c>
      <c r="F691" t="s">
        <v>7</v>
      </c>
      <c r="G691" t="s">
        <v>11</v>
      </c>
      <c r="H691" t="s">
        <v>11</v>
      </c>
    </row>
    <row r="692" spans="1:8" x14ac:dyDescent="0.35">
      <c r="A692" t="s">
        <v>25</v>
      </c>
      <c r="B692" t="s">
        <v>88</v>
      </c>
      <c r="C692" t="s">
        <v>1633</v>
      </c>
      <c r="D692">
        <v>2</v>
      </c>
      <c r="E692">
        <v>5</v>
      </c>
      <c r="F692" t="s">
        <v>7</v>
      </c>
      <c r="G692" t="s">
        <v>11</v>
      </c>
      <c r="H692" t="s">
        <v>11</v>
      </c>
    </row>
    <row r="693" spans="1:8" x14ac:dyDescent="0.35">
      <c r="A693" t="s">
        <v>25</v>
      </c>
      <c r="B693" t="s">
        <v>88</v>
      </c>
      <c r="C693" t="s">
        <v>1634</v>
      </c>
      <c r="D693">
        <v>1</v>
      </c>
      <c r="E693">
        <v>5</v>
      </c>
      <c r="F693" t="s">
        <v>7</v>
      </c>
      <c r="G693" t="s">
        <v>11</v>
      </c>
      <c r="H693" t="s">
        <v>11</v>
      </c>
    </row>
    <row r="694" spans="1:8" x14ac:dyDescent="0.35">
      <c r="A694" t="s">
        <v>25</v>
      </c>
      <c r="B694" t="s">
        <v>88</v>
      </c>
      <c r="C694" t="s">
        <v>1635</v>
      </c>
      <c r="D694">
        <v>1</v>
      </c>
      <c r="E694">
        <v>5</v>
      </c>
      <c r="F694" t="s">
        <v>7</v>
      </c>
      <c r="G694" t="s">
        <v>11</v>
      </c>
      <c r="H694" t="s">
        <v>11</v>
      </c>
    </row>
    <row r="695" spans="1:8" x14ac:dyDescent="0.35">
      <c r="A695" t="s">
        <v>25</v>
      </c>
      <c r="B695" t="s">
        <v>88</v>
      </c>
      <c r="C695" t="s">
        <v>1636</v>
      </c>
      <c r="D695">
        <v>1</v>
      </c>
      <c r="E695">
        <v>5</v>
      </c>
      <c r="F695" t="s">
        <v>7</v>
      </c>
      <c r="G695" t="s">
        <v>11</v>
      </c>
      <c r="H695" t="s">
        <v>11</v>
      </c>
    </row>
    <row r="696" spans="1:8" x14ac:dyDescent="0.35">
      <c r="A696" t="s">
        <v>25</v>
      </c>
      <c r="B696" t="s">
        <v>88</v>
      </c>
      <c r="C696" t="s">
        <v>1162</v>
      </c>
      <c r="D696">
        <v>2</v>
      </c>
      <c r="E696">
        <v>4</v>
      </c>
      <c r="F696" t="s">
        <v>7</v>
      </c>
      <c r="G696" t="s">
        <v>11</v>
      </c>
      <c r="H696" t="s">
        <v>11</v>
      </c>
    </row>
    <row r="697" spans="1:8" x14ac:dyDescent="0.35">
      <c r="A697" t="s">
        <v>25</v>
      </c>
      <c r="B697" t="s">
        <v>88</v>
      </c>
      <c r="C697" t="s">
        <v>1163</v>
      </c>
      <c r="D697">
        <v>2</v>
      </c>
      <c r="E697">
        <v>4</v>
      </c>
      <c r="F697" t="s">
        <v>7</v>
      </c>
      <c r="G697" t="s">
        <v>11</v>
      </c>
      <c r="H697" t="s">
        <v>11</v>
      </c>
    </row>
    <row r="698" spans="1:8" x14ac:dyDescent="0.35">
      <c r="A698" t="s">
        <v>25</v>
      </c>
      <c r="B698" t="s">
        <v>88</v>
      </c>
      <c r="C698" t="s">
        <v>1164</v>
      </c>
      <c r="D698">
        <v>1</v>
      </c>
      <c r="E698">
        <v>5</v>
      </c>
      <c r="F698" t="s">
        <v>7</v>
      </c>
      <c r="G698" t="s">
        <v>11</v>
      </c>
      <c r="H698" t="s">
        <v>11</v>
      </c>
    </row>
    <row r="699" spans="1:8" x14ac:dyDescent="0.35">
      <c r="A699" t="s">
        <v>25</v>
      </c>
      <c r="B699" t="s">
        <v>88</v>
      </c>
      <c r="C699" t="s">
        <v>1637</v>
      </c>
      <c r="D699">
        <v>1</v>
      </c>
      <c r="E699">
        <v>5</v>
      </c>
      <c r="F699" t="s">
        <v>7</v>
      </c>
      <c r="G699" t="s">
        <v>11</v>
      </c>
      <c r="H699" t="s">
        <v>11</v>
      </c>
    </row>
    <row r="700" spans="1:8" x14ac:dyDescent="0.35">
      <c r="A700" t="s">
        <v>25</v>
      </c>
      <c r="B700" t="s">
        <v>88</v>
      </c>
      <c r="C700" t="s">
        <v>1638</v>
      </c>
      <c r="D700">
        <v>1</v>
      </c>
      <c r="E700">
        <v>5</v>
      </c>
      <c r="F700" t="s">
        <v>7</v>
      </c>
      <c r="G700" t="s">
        <v>11</v>
      </c>
      <c r="H700" t="s">
        <v>11</v>
      </c>
    </row>
    <row r="701" spans="1:8" x14ac:dyDescent="0.35">
      <c r="A701" t="s">
        <v>25</v>
      </c>
      <c r="B701" t="s">
        <v>88</v>
      </c>
      <c r="C701" t="s">
        <v>1639</v>
      </c>
      <c r="D701">
        <v>1</v>
      </c>
      <c r="E701">
        <v>5</v>
      </c>
      <c r="F701" t="s">
        <v>7</v>
      </c>
      <c r="G701" t="s">
        <v>11</v>
      </c>
      <c r="H701" t="s">
        <v>11</v>
      </c>
    </row>
    <row r="702" spans="1:8" x14ac:dyDescent="0.35">
      <c r="A702" t="s">
        <v>25</v>
      </c>
      <c r="B702" t="s">
        <v>88</v>
      </c>
      <c r="C702" t="s">
        <v>1165</v>
      </c>
      <c r="D702">
        <v>2</v>
      </c>
      <c r="E702">
        <v>4</v>
      </c>
      <c r="F702" t="s">
        <v>7</v>
      </c>
      <c r="G702" t="s">
        <v>11</v>
      </c>
      <c r="H702" t="s">
        <v>11</v>
      </c>
    </row>
    <row r="703" spans="1:8" x14ac:dyDescent="0.35">
      <c r="A703" t="s">
        <v>25</v>
      </c>
      <c r="B703" t="s">
        <v>88</v>
      </c>
      <c r="C703" t="s">
        <v>1640</v>
      </c>
      <c r="D703">
        <v>1</v>
      </c>
      <c r="E703">
        <v>5</v>
      </c>
      <c r="F703" t="s">
        <v>7</v>
      </c>
      <c r="G703" t="s">
        <v>11</v>
      </c>
      <c r="H703" t="s">
        <v>11</v>
      </c>
    </row>
    <row r="704" spans="1:8" x14ac:dyDescent="0.35">
      <c r="A704" t="s">
        <v>25</v>
      </c>
      <c r="B704" t="s">
        <v>88</v>
      </c>
      <c r="C704" t="s">
        <v>1167</v>
      </c>
      <c r="D704">
        <v>1</v>
      </c>
      <c r="E704">
        <v>5</v>
      </c>
      <c r="F704" t="s">
        <v>7</v>
      </c>
      <c r="G704" t="s">
        <v>11</v>
      </c>
      <c r="H704" t="s">
        <v>11</v>
      </c>
    </row>
    <row r="705" spans="1:8" x14ac:dyDescent="0.35">
      <c r="A705" t="s">
        <v>25</v>
      </c>
      <c r="B705" t="s">
        <v>88</v>
      </c>
      <c r="C705" t="s">
        <v>1266</v>
      </c>
      <c r="D705">
        <v>2</v>
      </c>
      <c r="E705">
        <v>4</v>
      </c>
      <c r="F705" t="s">
        <v>7</v>
      </c>
      <c r="G705" t="s">
        <v>11</v>
      </c>
      <c r="H705" t="s">
        <v>11</v>
      </c>
    </row>
    <row r="706" spans="1:8" x14ac:dyDescent="0.35">
      <c r="A706" t="s">
        <v>25</v>
      </c>
      <c r="B706" t="s">
        <v>88</v>
      </c>
      <c r="C706" t="s">
        <v>1268</v>
      </c>
      <c r="D706">
        <v>3</v>
      </c>
      <c r="E706">
        <v>4</v>
      </c>
      <c r="F706" t="s">
        <v>7</v>
      </c>
      <c r="G706" t="s">
        <v>11</v>
      </c>
      <c r="H706" t="s">
        <v>11</v>
      </c>
    </row>
    <row r="707" spans="1:8" x14ac:dyDescent="0.35">
      <c r="A707" t="s">
        <v>25</v>
      </c>
      <c r="B707" t="s">
        <v>88</v>
      </c>
      <c r="C707" t="s">
        <v>1443</v>
      </c>
      <c r="D707">
        <v>1</v>
      </c>
      <c r="E707">
        <v>5</v>
      </c>
      <c r="F707" t="s">
        <v>7</v>
      </c>
      <c r="G707" t="s">
        <v>11</v>
      </c>
      <c r="H707" t="s">
        <v>11</v>
      </c>
    </row>
    <row r="708" spans="1:8" x14ac:dyDescent="0.35">
      <c r="A708" t="s">
        <v>25</v>
      </c>
      <c r="B708" t="s">
        <v>88</v>
      </c>
      <c r="C708" t="s">
        <v>1168</v>
      </c>
      <c r="D708">
        <v>2</v>
      </c>
      <c r="E708">
        <v>4</v>
      </c>
      <c r="F708" t="s">
        <v>7</v>
      </c>
      <c r="G708" t="s">
        <v>11</v>
      </c>
      <c r="H708" t="s">
        <v>11</v>
      </c>
    </row>
    <row r="709" spans="1:8" x14ac:dyDescent="0.35">
      <c r="A709" t="s">
        <v>25</v>
      </c>
      <c r="B709" t="s">
        <v>88</v>
      </c>
      <c r="C709" t="s">
        <v>1641</v>
      </c>
      <c r="D709">
        <v>2</v>
      </c>
      <c r="E709">
        <v>4</v>
      </c>
      <c r="F709" t="s">
        <v>7</v>
      </c>
      <c r="G709" t="s">
        <v>11</v>
      </c>
      <c r="H709" t="s">
        <v>11</v>
      </c>
    </row>
    <row r="710" spans="1:8" x14ac:dyDescent="0.35">
      <c r="A710" t="s">
        <v>25</v>
      </c>
      <c r="B710" t="s">
        <v>88</v>
      </c>
      <c r="C710" t="s">
        <v>1642</v>
      </c>
      <c r="D710">
        <v>1</v>
      </c>
      <c r="E710">
        <v>5</v>
      </c>
      <c r="F710" t="s">
        <v>7</v>
      </c>
      <c r="G710" t="s">
        <v>11</v>
      </c>
      <c r="H710" t="s">
        <v>11</v>
      </c>
    </row>
    <row r="711" spans="1:8" x14ac:dyDescent="0.35">
      <c r="A711" t="s">
        <v>25</v>
      </c>
      <c r="B711" t="s">
        <v>88</v>
      </c>
      <c r="C711" t="s">
        <v>1170</v>
      </c>
      <c r="D711">
        <v>2</v>
      </c>
      <c r="E711">
        <v>4</v>
      </c>
      <c r="F711" t="s">
        <v>7</v>
      </c>
      <c r="G711" t="s">
        <v>11</v>
      </c>
      <c r="H711" t="s">
        <v>11</v>
      </c>
    </row>
    <row r="712" spans="1:8" x14ac:dyDescent="0.35">
      <c r="A712" t="s">
        <v>25</v>
      </c>
      <c r="B712" t="s">
        <v>88</v>
      </c>
      <c r="C712" t="s">
        <v>1270</v>
      </c>
      <c r="D712">
        <v>2</v>
      </c>
      <c r="E712">
        <v>4</v>
      </c>
      <c r="F712" t="s">
        <v>7</v>
      </c>
      <c r="G712" t="s">
        <v>11</v>
      </c>
      <c r="H712" t="s">
        <v>11</v>
      </c>
    </row>
    <row r="713" spans="1:8" x14ac:dyDescent="0.35">
      <c r="A713" t="s">
        <v>25</v>
      </c>
      <c r="B713" t="s">
        <v>88</v>
      </c>
      <c r="C713" t="s">
        <v>1643</v>
      </c>
      <c r="D713">
        <v>1</v>
      </c>
      <c r="E713">
        <v>5</v>
      </c>
      <c r="F713" t="s">
        <v>7</v>
      </c>
      <c r="G713" t="s">
        <v>11</v>
      </c>
      <c r="H713" t="s">
        <v>11</v>
      </c>
    </row>
    <row r="714" spans="1:8" x14ac:dyDescent="0.35">
      <c r="A714" t="s">
        <v>25</v>
      </c>
      <c r="B714" t="s">
        <v>88</v>
      </c>
      <c r="C714" t="s">
        <v>1644</v>
      </c>
      <c r="D714">
        <v>1</v>
      </c>
      <c r="E714">
        <v>5</v>
      </c>
      <c r="F714" t="s">
        <v>7</v>
      </c>
      <c r="G714" t="s">
        <v>11</v>
      </c>
      <c r="H714" t="s">
        <v>11</v>
      </c>
    </row>
    <row r="715" spans="1:8" x14ac:dyDescent="0.35">
      <c r="A715" t="s">
        <v>25</v>
      </c>
      <c r="B715" t="s">
        <v>88</v>
      </c>
      <c r="C715" t="s">
        <v>1271</v>
      </c>
      <c r="D715">
        <v>1</v>
      </c>
      <c r="E715">
        <v>5</v>
      </c>
      <c r="F715" t="s">
        <v>7</v>
      </c>
      <c r="G715" t="s">
        <v>11</v>
      </c>
      <c r="H715" t="s">
        <v>11</v>
      </c>
    </row>
    <row r="716" spans="1:8" x14ac:dyDescent="0.35">
      <c r="A716" t="s">
        <v>25</v>
      </c>
      <c r="B716" t="s">
        <v>88</v>
      </c>
      <c r="C716" t="s">
        <v>1171</v>
      </c>
      <c r="D716">
        <v>2</v>
      </c>
      <c r="E716">
        <v>4</v>
      </c>
      <c r="F716" t="s">
        <v>7</v>
      </c>
      <c r="G716" t="s">
        <v>11</v>
      </c>
      <c r="H716" t="s">
        <v>11</v>
      </c>
    </row>
    <row r="717" spans="1:8" x14ac:dyDescent="0.35">
      <c r="A717" t="s">
        <v>25</v>
      </c>
      <c r="B717" t="s">
        <v>88</v>
      </c>
      <c r="C717" t="s">
        <v>1645</v>
      </c>
      <c r="D717">
        <v>1</v>
      </c>
      <c r="E717">
        <v>5</v>
      </c>
      <c r="F717" t="s">
        <v>7</v>
      </c>
      <c r="G717" t="s">
        <v>11</v>
      </c>
      <c r="H717" t="s">
        <v>11</v>
      </c>
    </row>
    <row r="718" spans="1:8" x14ac:dyDescent="0.35">
      <c r="A718" t="s">
        <v>25</v>
      </c>
      <c r="B718" t="s">
        <v>88</v>
      </c>
      <c r="C718" t="s">
        <v>1646</v>
      </c>
      <c r="D718">
        <v>1</v>
      </c>
      <c r="E718">
        <v>5</v>
      </c>
      <c r="F718" t="s">
        <v>7</v>
      </c>
      <c r="G718" t="s">
        <v>11</v>
      </c>
      <c r="H718" t="s">
        <v>11</v>
      </c>
    </row>
    <row r="719" spans="1:8" x14ac:dyDescent="0.35">
      <c r="A719" t="s">
        <v>25</v>
      </c>
      <c r="B719" t="s">
        <v>88</v>
      </c>
      <c r="C719" t="s">
        <v>1647</v>
      </c>
      <c r="D719">
        <v>1</v>
      </c>
      <c r="E719">
        <v>5</v>
      </c>
      <c r="F719" t="s">
        <v>7</v>
      </c>
      <c r="G719" t="s">
        <v>11</v>
      </c>
      <c r="H719" t="s">
        <v>11</v>
      </c>
    </row>
    <row r="720" spans="1:8" x14ac:dyDescent="0.35">
      <c r="A720" t="s">
        <v>25</v>
      </c>
      <c r="B720" t="s">
        <v>88</v>
      </c>
      <c r="C720" t="s">
        <v>1277</v>
      </c>
      <c r="D720">
        <v>2</v>
      </c>
      <c r="E720">
        <v>4</v>
      </c>
      <c r="F720" t="s">
        <v>7</v>
      </c>
      <c r="G720" t="s">
        <v>11</v>
      </c>
      <c r="H720" t="s">
        <v>11</v>
      </c>
    </row>
    <row r="721" spans="1:8" x14ac:dyDescent="0.35">
      <c r="A721" t="s">
        <v>25</v>
      </c>
      <c r="B721" t="s">
        <v>88</v>
      </c>
      <c r="C721" t="s">
        <v>1648</v>
      </c>
      <c r="D721">
        <v>1</v>
      </c>
      <c r="E721">
        <v>5</v>
      </c>
      <c r="F721" t="s">
        <v>7</v>
      </c>
      <c r="G721" t="s">
        <v>11</v>
      </c>
      <c r="H721" t="s">
        <v>11</v>
      </c>
    </row>
    <row r="722" spans="1:8" x14ac:dyDescent="0.35">
      <c r="A722" t="s">
        <v>25</v>
      </c>
      <c r="B722" t="s">
        <v>88</v>
      </c>
      <c r="C722" t="s">
        <v>1649</v>
      </c>
      <c r="D722">
        <v>2</v>
      </c>
      <c r="E722">
        <v>4</v>
      </c>
      <c r="F722" t="s">
        <v>7</v>
      </c>
      <c r="G722" t="s">
        <v>11</v>
      </c>
      <c r="H722" t="s">
        <v>11</v>
      </c>
    </row>
    <row r="723" spans="1:8" x14ac:dyDescent="0.35">
      <c r="A723" t="s">
        <v>25</v>
      </c>
      <c r="B723" t="s">
        <v>88</v>
      </c>
      <c r="C723" t="s">
        <v>1555</v>
      </c>
      <c r="D723">
        <v>1</v>
      </c>
      <c r="E723">
        <v>5</v>
      </c>
      <c r="F723" t="s">
        <v>7</v>
      </c>
      <c r="G723" t="s">
        <v>11</v>
      </c>
      <c r="H723" t="s">
        <v>11</v>
      </c>
    </row>
    <row r="724" spans="1:8" x14ac:dyDescent="0.35">
      <c r="A724" t="s">
        <v>25</v>
      </c>
      <c r="B724" t="s">
        <v>88</v>
      </c>
      <c r="C724" t="s">
        <v>1177</v>
      </c>
      <c r="D724">
        <v>2</v>
      </c>
      <c r="E724">
        <v>4</v>
      </c>
      <c r="F724" t="s">
        <v>7</v>
      </c>
      <c r="G724" t="s">
        <v>11</v>
      </c>
      <c r="H724" t="s">
        <v>11</v>
      </c>
    </row>
    <row r="725" spans="1:8" x14ac:dyDescent="0.35">
      <c r="A725" t="s">
        <v>25</v>
      </c>
      <c r="B725" t="s">
        <v>88</v>
      </c>
      <c r="C725" t="s">
        <v>1556</v>
      </c>
      <c r="D725">
        <v>2</v>
      </c>
      <c r="E725">
        <v>4</v>
      </c>
      <c r="F725" t="s">
        <v>7</v>
      </c>
      <c r="G725" t="s">
        <v>11</v>
      </c>
      <c r="H725" t="s">
        <v>11</v>
      </c>
    </row>
    <row r="726" spans="1:8" x14ac:dyDescent="0.35">
      <c r="A726" t="s">
        <v>25</v>
      </c>
      <c r="B726" t="s">
        <v>88</v>
      </c>
      <c r="C726" t="s">
        <v>1279</v>
      </c>
      <c r="D726">
        <v>2</v>
      </c>
      <c r="E726">
        <v>4</v>
      </c>
      <c r="F726" t="s">
        <v>7</v>
      </c>
      <c r="G726" t="s">
        <v>11</v>
      </c>
      <c r="H726" t="s">
        <v>11</v>
      </c>
    </row>
    <row r="727" spans="1:8" x14ac:dyDescent="0.35">
      <c r="A727" t="s">
        <v>25</v>
      </c>
      <c r="B727" t="s">
        <v>88</v>
      </c>
      <c r="C727" t="s">
        <v>1650</v>
      </c>
      <c r="D727">
        <v>1</v>
      </c>
      <c r="E727">
        <v>5</v>
      </c>
      <c r="F727" t="s">
        <v>7</v>
      </c>
      <c r="G727" t="s">
        <v>11</v>
      </c>
      <c r="H727" t="s">
        <v>11</v>
      </c>
    </row>
    <row r="728" spans="1:8" x14ac:dyDescent="0.35">
      <c r="A728" t="s">
        <v>25</v>
      </c>
      <c r="B728" t="s">
        <v>88</v>
      </c>
      <c r="C728" t="s">
        <v>1651</v>
      </c>
      <c r="D728">
        <v>2</v>
      </c>
      <c r="E728">
        <v>5</v>
      </c>
      <c r="F728" t="s">
        <v>7</v>
      </c>
      <c r="G728" t="s">
        <v>11</v>
      </c>
      <c r="H728" t="s">
        <v>11</v>
      </c>
    </row>
    <row r="729" spans="1:8" x14ac:dyDescent="0.35">
      <c r="A729" t="s">
        <v>25</v>
      </c>
      <c r="B729" t="s">
        <v>88</v>
      </c>
      <c r="C729" t="s">
        <v>1652</v>
      </c>
      <c r="D729">
        <v>2</v>
      </c>
      <c r="E729">
        <v>4</v>
      </c>
      <c r="F729" t="s">
        <v>7</v>
      </c>
      <c r="G729" t="s">
        <v>11</v>
      </c>
      <c r="H729" t="s">
        <v>11</v>
      </c>
    </row>
    <row r="730" spans="1:8" x14ac:dyDescent="0.35">
      <c r="A730" t="s">
        <v>25</v>
      </c>
      <c r="B730" t="s">
        <v>88</v>
      </c>
      <c r="C730" t="s">
        <v>1653</v>
      </c>
      <c r="D730">
        <v>1</v>
      </c>
      <c r="E730">
        <v>5</v>
      </c>
      <c r="F730" t="s">
        <v>7</v>
      </c>
      <c r="G730" t="s">
        <v>11</v>
      </c>
      <c r="H730" t="s">
        <v>11</v>
      </c>
    </row>
    <row r="731" spans="1:8" x14ac:dyDescent="0.35">
      <c r="A731" t="s">
        <v>25</v>
      </c>
      <c r="B731" t="s">
        <v>88</v>
      </c>
      <c r="C731" t="s">
        <v>1654</v>
      </c>
      <c r="D731">
        <v>1</v>
      </c>
      <c r="E731">
        <v>5</v>
      </c>
      <c r="F731" t="s">
        <v>7</v>
      </c>
      <c r="G731" t="s">
        <v>11</v>
      </c>
      <c r="H731" t="s">
        <v>11</v>
      </c>
    </row>
    <row r="732" spans="1:8" x14ac:dyDescent="0.35">
      <c r="A732" t="s">
        <v>26</v>
      </c>
      <c r="B732" t="s">
        <v>89</v>
      </c>
      <c r="C732" t="s">
        <v>1338</v>
      </c>
      <c r="D732">
        <v>1</v>
      </c>
      <c r="E732">
        <v>5</v>
      </c>
      <c r="F732" t="s">
        <v>7</v>
      </c>
      <c r="G732" t="s">
        <v>11</v>
      </c>
      <c r="H732" t="s">
        <v>11</v>
      </c>
    </row>
    <row r="733" spans="1:8" x14ac:dyDescent="0.35">
      <c r="A733" t="s">
        <v>26</v>
      </c>
      <c r="B733" t="s">
        <v>89</v>
      </c>
      <c r="C733" t="s">
        <v>1655</v>
      </c>
      <c r="D733">
        <v>1</v>
      </c>
      <c r="E733">
        <v>5</v>
      </c>
      <c r="F733" t="s">
        <v>7</v>
      </c>
      <c r="G733" t="s">
        <v>11</v>
      </c>
      <c r="H733" t="s">
        <v>11</v>
      </c>
    </row>
    <row r="734" spans="1:8" x14ac:dyDescent="0.35">
      <c r="A734" t="s">
        <v>26</v>
      </c>
      <c r="B734" t="s">
        <v>89</v>
      </c>
      <c r="C734" t="s">
        <v>1656</v>
      </c>
      <c r="D734">
        <v>1</v>
      </c>
      <c r="E734">
        <v>5</v>
      </c>
      <c r="F734" t="s">
        <v>7</v>
      </c>
      <c r="G734" t="s">
        <v>11</v>
      </c>
      <c r="H734" t="s">
        <v>11</v>
      </c>
    </row>
    <row r="735" spans="1:8" x14ac:dyDescent="0.35">
      <c r="A735" t="s">
        <v>26</v>
      </c>
      <c r="B735" t="s">
        <v>89</v>
      </c>
      <c r="C735" t="s">
        <v>1228</v>
      </c>
      <c r="D735">
        <v>1</v>
      </c>
      <c r="E735">
        <v>5</v>
      </c>
      <c r="F735" t="s">
        <v>7</v>
      </c>
      <c r="G735" t="s">
        <v>11</v>
      </c>
      <c r="H735" t="s">
        <v>11</v>
      </c>
    </row>
    <row r="736" spans="1:8" x14ac:dyDescent="0.35">
      <c r="A736" t="s">
        <v>26</v>
      </c>
      <c r="B736" t="s">
        <v>89</v>
      </c>
      <c r="C736" t="s">
        <v>1657</v>
      </c>
      <c r="D736">
        <v>1</v>
      </c>
      <c r="E736">
        <v>5</v>
      </c>
      <c r="F736" t="s">
        <v>7</v>
      </c>
      <c r="G736" t="s">
        <v>11</v>
      </c>
      <c r="H736" t="s">
        <v>11</v>
      </c>
    </row>
    <row r="737" spans="1:8" x14ac:dyDescent="0.35">
      <c r="A737" t="s">
        <v>26</v>
      </c>
      <c r="B737" t="s">
        <v>89</v>
      </c>
      <c r="C737" t="s">
        <v>1229</v>
      </c>
      <c r="D737">
        <v>1</v>
      </c>
      <c r="E737">
        <v>5</v>
      </c>
      <c r="F737" t="s">
        <v>7</v>
      </c>
      <c r="G737" t="s">
        <v>11</v>
      </c>
      <c r="H737" t="s">
        <v>11</v>
      </c>
    </row>
    <row r="738" spans="1:8" x14ac:dyDescent="0.35">
      <c r="A738" t="s">
        <v>26</v>
      </c>
      <c r="B738" t="s">
        <v>89</v>
      </c>
      <c r="C738" t="s">
        <v>1603</v>
      </c>
      <c r="D738">
        <v>2</v>
      </c>
      <c r="E738">
        <v>4</v>
      </c>
      <c r="F738" t="s">
        <v>7</v>
      </c>
      <c r="G738" t="s">
        <v>11</v>
      </c>
      <c r="H738" t="s">
        <v>11</v>
      </c>
    </row>
    <row r="739" spans="1:8" x14ac:dyDescent="0.35">
      <c r="A739" t="s">
        <v>26</v>
      </c>
      <c r="B739" t="s">
        <v>89</v>
      </c>
      <c r="C739" t="s">
        <v>1231</v>
      </c>
      <c r="D739">
        <v>1</v>
      </c>
      <c r="E739">
        <v>5</v>
      </c>
      <c r="F739" t="s">
        <v>7</v>
      </c>
      <c r="G739" t="s">
        <v>11</v>
      </c>
      <c r="H739" t="s">
        <v>11</v>
      </c>
    </row>
    <row r="740" spans="1:8" x14ac:dyDescent="0.35">
      <c r="A740" t="s">
        <v>26</v>
      </c>
      <c r="B740" t="s">
        <v>89</v>
      </c>
      <c r="C740" t="s">
        <v>1605</v>
      </c>
      <c r="D740">
        <v>1</v>
      </c>
      <c r="E740">
        <v>5</v>
      </c>
      <c r="F740" t="s">
        <v>7</v>
      </c>
      <c r="G740" t="s">
        <v>11</v>
      </c>
      <c r="H740" t="s">
        <v>11</v>
      </c>
    </row>
    <row r="741" spans="1:8" x14ac:dyDescent="0.35">
      <c r="A741" t="s">
        <v>26</v>
      </c>
      <c r="B741" t="s">
        <v>89</v>
      </c>
      <c r="C741" t="s">
        <v>1233</v>
      </c>
      <c r="D741">
        <v>1</v>
      </c>
      <c r="E741">
        <v>4</v>
      </c>
      <c r="F741" t="s">
        <v>7</v>
      </c>
      <c r="G741" t="s">
        <v>11</v>
      </c>
      <c r="H741" t="s">
        <v>11</v>
      </c>
    </row>
    <row r="742" spans="1:8" x14ac:dyDescent="0.35">
      <c r="A742" t="s">
        <v>26</v>
      </c>
      <c r="B742" t="s">
        <v>89</v>
      </c>
      <c r="C742" t="s">
        <v>1126</v>
      </c>
      <c r="D742">
        <v>2</v>
      </c>
      <c r="E742">
        <v>5</v>
      </c>
      <c r="F742" t="s">
        <v>7</v>
      </c>
      <c r="G742" t="s">
        <v>11</v>
      </c>
      <c r="H742" t="s">
        <v>11</v>
      </c>
    </row>
    <row r="743" spans="1:8" x14ac:dyDescent="0.35">
      <c r="A743" t="s">
        <v>26</v>
      </c>
      <c r="B743" t="s">
        <v>89</v>
      </c>
      <c r="C743" t="s">
        <v>1608</v>
      </c>
      <c r="D743">
        <v>1</v>
      </c>
      <c r="E743">
        <v>5</v>
      </c>
      <c r="F743" t="s">
        <v>7</v>
      </c>
      <c r="G743" t="s">
        <v>11</v>
      </c>
      <c r="H743" t="s">
        <v>11</v>
      </c>
    </row>
    <row r="744" spans="1:8" x14ac:dyDescent="0.35">
      <c r="A744" t="s">
        <v>26</v>
      </c>
      <c r="B744" t="s">
        <v>89</v>
      </c>
      <c r="C744" t="s">
        <v>1238</v>
      </c>
      <c r="D744">
        <v>2</v>
      </c>
      <c r="E744">
        <v>4</v>
      </c>
      <c r="F744" t="s">
        <v>7</v>
      </c>
      <c r="G744" t="s">
        <v>11</v>
      </c>
      <c r="H744" t="s">
        <v>11</v>
      </c>
    </row>
    <row r="745" spans="1:8" x14ac:dyDescent="0.35">
      <c r="A745" t="s">
        <v>26</v>
      </c>
      <c r="B745" t="s">
        <v>89</v>
      </c>
      <c r="C745" t="s">
        <v>1658</v>
      </c>
      <c r="D745">
        <v>2</v>
      </c>
      <c r="E745">
        <v>4</v>
      </c>
      <c r="F745" t="s">
        <v>7</v>
      </c>
      <c r="G745" t="s">
        <v>11</v>
      </c>
      <c r="H745" t="s">
        <v>11</v>
      </c>
    </row>
    <row r="746" spans="1:8" x14ac:dyDescent="0.35">
      <c r="A746" t="s">
        <v>26</v>
      </c>
      <c r="B746" t="s">
        <v>89</v>
      </c>
      <c r="C746" t="s">
        <v>1137</v>
      </c>
      <c r="D746">
        <v>1</v>
      </c>
      <c r="E746">
        <v>5</v>
      </c>
      <c r="F746" t="s">
        <v>7</v>
      </c>
      <c r="G746" t="s">
        <v>11</v>
      </c>
      <c r="H746" t="s">
        <v>11</v>
      </c>
    </row>
    <row r="747" spans="1:8" x14ac:dyDescent="0.35">
      <c r="A747" t="s">
        <v>26</v>
      </c>
      <c r="B747" t="s">
        <v>89</v>
      </c>
      <c r="C747" t="s">
        <v>1659</v>
      </c>
      <c r="D747">
        <v>2</v>
      </c>
      <c r="E747">
        <v>4</v>
      </c>
      <c r="F747" t="s">
        <v>7</v>
      </c>
      <c r="G747" t="s">
        <v>11</v>
      </c>
      <c r="H747" t="s">
        <v>11</v>
      </c>
    </row>
    <row r="748" spans="1:8" x14ac:dyDescent="0.35">
      <c r="A748" t="s">
        <v>26</v>
      </c>
      <c r="B748" t="s">
        <v>89</v>
      </c>
      <c r="C748" t="s">
        <v>1485</v>
      </c>
      <c r="D748">
        <v>1</v>
      </c>
      <c r="E748">
        <v>5</v>
      </c>
      <c r="F748" t="s">
        <v>7</v>
      </c>
      <c r="G748" t="s">
        <v>11</v>
      </c>
      <c r="H748" t="s">
        <v>11</v>
      </c>
    </row>
    <row r="749" spans="1:8" x14ac:dyDescent="0.35">
      <c r="A749" t="s">
        <v>26</v>
      </c>
      <c r="B749" t="s">
        <v>89</v>
      </c>
      <c r="C749" t="s">
        <v>1660</v>
      </c>
      <c r="D749">
        <v>1</v>
      </c>
      <c r="E749">
        <v>5</v>
      </c>
      <c r="F749" t="s">
        <v>7</v>
      </c>
      <c r="G749" t="s">
        <v>11</v>
      </c>
      <c r="H749" t="s">
        <v>11</v>
      </c>
    </row>
    <row r="750" spans="1:8" x14ac:dyDescent="0.35">
      <c r="A750" t="s">
        <v>26</v>
      </c>
      <c r="B750" t="s">
        <v>89</v>
      </c>
      <c r="C750" t="s">
        <v>1661</v>
      </c>
      <c r="D750">
        <v>2</v>
      </c>
      <c r="E750">
        <v>4</v>
      </c>
      <c r="F750" t="s">
        <v>7</v>
      </c>
      <c r="G750" t="s">
        <v>11</v>
      </c>
      <c r="H750" t="s">
        <v>11</v>
      </c>
    </row>
    <row r="751" spans="1:8" x14ac:dyDescent="0.35">
      <c r="A751" t="s">
        <v>26</v>
      </c>
      <c r="B751" t="s">
        <v>89</v>
      </c>
      <c r="C751" t="s">
        <v>1662</v>
      </c>
      <c r="D751">
        <v>1</v>
      </c>
      <c r="E751">
        <v>5</v>
      </c>
      <c r="F751" t="s">
        <v>7</v>
      </c>
      <c r="G751" t="s">
        <v>11</v>
      </c>
      <c r="H751" t="s">
        <v>11</v>
      </c>
    </row>
    <row r="752" spans="1:8" x14ac:dyDescent="0.35">
      <c r="A752" t="s">
        <v>26</v>
      </c>
      <c r="B752" t="s">
        <v>89</v>
      </c>
      <c r="C752" t="s">
        <v>1141</v>
      </c>
      <c r="D752">
        <v>1</v>
      </c>
      <c r="E752">
        <v>5</v>
      </c>
      <c r="F752" t="s">
        <v>7</v>
      </c>
      <c r="G752" t="s">
        <v>11</v>
      </c>
      <c r="H752" t="s">
        <v>11</v>
      </c>
    </row>
    <row r="753" spans="1:8" x14ac:dyDescent="0.35">
      <c r="A753" t="s">
        <v>26</v>
      </c>
      <c r="B753" t="s">
        <v>89</v>
      </c>
      <c r="C753" t="s">
        <v>1496</v>
      </c>
      <c r="D753">
        <v>2</v>
      </c>
      <c r="E753">
        <v>4</v>
      </c>
      <c r="F753" t="s">
        <v>7</v>
      </c>
      <c r="G753" t="s">
        <v>11</v>
      </c>
      <c r="H753" t="s">
        <v>11</v>
      </c>
    </row>
    <row r="754" spans="1:8" x14ac:dyDescent="0.35">
      <c r="A754" t="s">
        <v>26</v>
      </c>
      <c r="B754" t="s">
        <v>89</v>
      </c>
      <c r="C754" t="s">
        <v>1663</v>
      </c>
      <c r="D754">
        <v>1</v>
      </c>
      <c r="E754">
        <v>5</v>
      </c>
      <c r="F754" t="s">
        <v>7</v>
      </c>
      <c r="G754" t="s">
        <v>11</v>
      </c>
      <c r="H754" t="s">
        <v>11</v>
      </c>
    </row>
    <row r="755" spans="1:8" x14ac:dyDescent="0.35">
      <c r="A755" t="s">
        <v>26</v>
      </c>
      <c r="B755" t="s">
        <v>89</v>
      </c>
      <c r="C755" t="s">
        <v>1142</v>
      </c>
      <c r="D755">
        <v>2</v>
      </c>
      <c r="E755">
        <v>5</v>
      </c>
      <c r="F755" t="s">
        <v>7</v>
      </c>
      <c r="G755" t="s">
        <v>11</v>
      </c>
      <c r="H755" t="s">
        <v>11</v>
      </c>
    </row>
    <row r="756" spans="1:8" x14ac:dyDescent="0.35">
      <c r="A756" t="s">
        <v>26</v>
      </c>
      <c r="B756" t="s">
        <v>89</v>
      </c>
      <c r="C756" t="s">
        <v>1244</v>
      </c>
      <c r="D756">
        <v>1</v>
      </c>
      <c r="E756">
        <v>5</v>
      </c>
      <c r="F756" t="s">
        <v>7</v>
      </c>
      <c r="G756" t="s">
        <v>11</v>
      </c>
      <c r="H756" t="s">
        <v>11</v>
      </c>
    </row>
    <row r="757" spans="1:8" x14ac:dyDescent="0.35">
      <c r="A757" t="s">
        <v>26</v>
      </c>
      <c r="B757" t="s">
        <v>89</v>
      </c>
      <c r="C757" t="s">
        <v>1664</v>
      </c>
      <c r="D757">
        <v>2</v>
      </c>
      <c r="E757">
        <v>4</v>
      </c>
      <c r="F757" t="s">
        <v>7</v>
      </c>
      <c r="G757" t="s">
        <v>11</v>
      </c>
      <c r="H757" t="s">
        <v>11</v>
      </c>
    </row>
    <row r="758" spans="1:8" x14ac:dyDescent="0.35">
      <c r="A758" t="s">
        <v>26</v>
      </c>
      <c r="B758" t="s">
        <v>89</v>
      </c>
      <c r="C758" t="s">
        <v>1246</v>
      </c>
      <c r="D758">
        <v>1</v>
      </c>
      <c r="E758">
        <v>5</v>
      </c>
      <c r="F758" t="s">
        <v>7</v>
      </c>
      <c r="G758" t="s">
        <v>11</v>
      </c>
      <c r="H758" t="s">
        <v>11</v>
      </c>
    </row>
    <row r="759" spans="1:8" x14ac:dyDescent="0.35">
      <c r="A759" t="s">
        <v>26</v>
      </c>
      <c r="B759" t="s">
        <v>89</v>
      </c>
      <c r="C759" t="s">
        <v>1144</v>
      </c>
      <c r="D759">
        <v>2</v>
      </c>
      <c r="E759">
        <v>4</v>
      </c>
      <c r="F759" t="s">
        <v>7</v>
      </c>
      <c r="G759" t="s">
        <v>11</v>
      </c>
      <c r="H759" t="s">
        <v>11</v>
      </c>
    </row>
    <row r="760" spans="1:8" x14ac:dyDescent="0.35">
      <c r="A760" t="s">
        <v>26</v>
      </c>
      <c r="B760" t="s">
        <v>89</v>
      </c>
      <c r="C760" t="s">
        <v>1422</v>
      </c>
      <c r="D760">
        <v>1</v>
      </c>
      <c r="E760">
        <v>5</v>
      </c>
      <c r="F760" t="s">
        <v>7</v>
      </c>
      <c r="G760" t="s">
        <v>11</v>
      </c>
      <c r="H760" t="s">
        <v>11</v>
      </c>
    </row>
    <row r="761" spans="1:8" x14ac:dyDescent="0.35">
      <c r="A761" t="s">
        <v>26</v>
      </c>
      <c r="B761" t="s">
        <v>89</v>
      </c>
      <c r="C761" t="s">
        <v>1506</v>
      </c>
      <c r="D761">
        <v>1</v>
      </c>
      <c r="E761">
        <v>5</v>
      </c>
      <c r="F761" t="s">
        <v>7</v>
      </c>
      <c r="G761" t="s">
        <v>11</v>
      </c>
      <c r="H761" t="s">
        <v>11</v>
      </c>
    </row>
    <row r="762" spans="1:8" x14ac:dyDescent="0.35">
      <c r="A762" t="s">
        <v>26</v>
      </c>
      <c r="B762" t="s">
        <v>89</v>
      </c>
      <c r="C762" t="s">
        <v>1665</v>
      </c>
      <c r="D762">
        <v>1</v>
      </c>
      <c r="E762">
        <v>4</v>
      </c>
      <c r="F762" t="s">
        <v>7</v>
      </c>
      <c r="G762" t="s">
        <v>11</v>
      </c>
      <c r="H762" t="s">
        <v>11</v>
      </c>
    </row>
    <row r="763" spans="1:8" x14ac:dyDescent="0.35">
      <c r="A763" t="s">
        <v>26</v>
      </c>
      <c r="B763" t="s">
        <v>89</v>
      </c>
      <c r="C763" t="s">
        <v>1666</v>
      </c>
      <c r="D763">
        <v>1</v>
      </c>
      <c r="E763">
        <v>5</v>
      </c>
      <c r="F763" t="s">
        <v>7</v>
      </c>
      <c r="G763" t="s">
        <v>11</v>
      </c>
      <c r="H763" t="s">
        <v>11</v>
      </c>
    </row>
    <row r="764" spans="1:8" x14ac:dyDescent="0.35">
      <c r="A764" t="s">
        <v>26</v>
      </c>
      <c r="B764" t="s">
        <v>89</v>
      </c>
      <c r="C764" t="s">
        <v>1146</v>
      </c>
      <c r="D764">
        <v>1</v>
      </c>
      <c r="E764">
        <v>5</v>
      </c>
      <c r="F764" t="s">
        <v>7</v>
      </c>
      <c r="G764" t="s">
        <v>11</v>
      </c>
      <c r="H764" t="s">
        <v>11</v>
      </c>
    </row>
    <row r="765" spans="1:8" x14ac:dyDescent="0.35">
      <c r="A765" t="s">
        <v>26</v>
      </c>
      <c r="B765" t="s">
        <v>89</v>
      </c>
      <c r="C765" t="s">
        <v>1249</v>
      </c>
      <c r="D765">
        <v>1</v>
      </c>
      <c r="E765">
        <v>5</v>
      </c>
      <c r="F765" t="s">
        <v>7</v>
      </c>
      <c r="G765" t="s">
        <v>11</v>
      </c>
      <c r="H765" t="s">
        <v>11</v>
      </c>
    </row>
    <row r="766" spans="1:8" x14ac:dyDescent="0.35">
      <c r="A766" t="s">
        <v>26</v>
      </c>
      <c r="B766" t="s">
        <v>89</v>
      </c>
      <c r="C766" t="s">
        <v>1667</v>
      </c>
      <c r="D766">
        <v>1</v>
      </c>
      <c r="E766">
        <v>5</v>
      </c>
      <c r="F766" t="s">
        <v>7</v>
      </c>
      <c r="G766" t="s">
        <v>11</v>
      </c>
      <c r="H766" t="s">
        <v>11</v>
      </c>
    </row>
    <row r="767" spans="1:8" x14ac:dyDescent="0.35">
      <c r="A767" t="s">
        <v>26</v>
      </c>
      <c r="B767" t="s">
        <v>89</v>
      </c>
      <c r="C767" t="s">
        <v>1148</v>
      </c>
      <c r="D767">
        <v>2</v>
      </c>
      <c r="E767">
        <v>4</v>
      </c>
      <c r="F767" t="s">
        <v>7</v>
      </c>
      <c r="G767" t="s">
        <v>11</v>
      </c>
      <c r="H767" t="s">
        <v>11</v>
      </c>
    </row>
    <row r="768" spans="1:8" x14ac:dyDescent="0.35">
      <c r="A768" t="s">
        <v>26</v>
      </c>
      <c r="B768" t="s">
        <v>89</v>
      </c>
      <c r="C768" t="s">
        <v>1512</v>
      </c>
      <c r="D768">
        <v>2</v>
      </c>
      <c r="E768">
        <v>5</v>
      </c>
      <c r="F768" t="s">
        <v>7</v>
      </c>
      <c r="G768" t="s">
        <v>11</v>
      </c>
      <c r="H768" t="s">
        <v>11</v>
      </c>
    </row>
    <row r="769" spans="1:8" x14ac:dyDescent="0.35">
      <c r="A769" t="s">
        <v>26</v>
      </c>
      <c r="B769" t="s">
        <v>89</v>
      </c>
      <c r="C769" t="s">
        <v>1668</v>
      </c>
      <c r="D769">
        <v>1</v>
      </c>
      <c r="E769">
        <v>5</v>
      </c>
      <c r="F769" t="s">
        <v>7</v>
      </c>
      <c r="G769" t="s">
        <v>11</v>
      </c>
      <c r="H769" t="s">
        <v>11</v>
      </c>
    </row>
    <row r="770" spans="1:8" x14ac:dyDescent="0.35">
      <c r="A770" t="s">
        <v>26</v>
      </c>
      <c r="B770" t="s">
        <v>89</v>
      </c>
      <c r="C770" t="s">
        <v>1149</v>
      </c>
      <c r="D770">
        <v>2</v>
      </c>
      <c r="E770">
        <v>4</v>
      </c>
      <c r="F770" t="s">
        <v>7</v>
      </c>
      <c r="G770" t="s">
        <v>11</v>
      </c>
      <c r="H770" t="s">
        <v>11</v>
      </c>
    </row>
    <row r="771" spans="1:8" x14ac:dyDescent="0.35">
      <c r="A771" t="s">
        <v>26</v>
      </c>
      <c r="B771" t="s">
        <v>89</v>
      </c>
      <c r="C771" t="s">
        <v>1669</v>
      </c>
      <c r="D771">
        <v>1</v>
      </c>
      <c r="E771">
        <v>4</v>
      </c>
      <c r="F771" t="s">
        <v>7</v>
      </c>
      <c r="G771" t="s">
        <v>11</v>
      </c>
      <c r="H771" t="s">
        <v>11</v>
      </c>
    </row>
    <row r="772" spans="1:8" x14ac:dyDescent="0.35">
      <c r="A772" t="s">
        <v>26</v>
      </c>
      <c r="B772" t="s">
        <v>89</v>
      </c>
      <c r="C772" t="s">
        <v>1252</v>
      </c>
      <c r="D772">
        <v>1</v>
      </c>
      <c r="E772">
        <v>5</v>
      </c>
      <c r="F772" t="s">
        <v>7</v>
      </c>
      <c r="G772" t="s">
        <v>11</v>
      </c>
      <c r="H772" t="s">
        <v>11</v>
      </c>
    </row>
    <row r="773" spans="1:8" x14ac:dyDescent="0.35">
      <c r="A773" t="s">
        <v>26</v>
      </c>
      <c r="B773" t="s">
        <v>89</v>
      </c>
      <c r="C773" t="s">
        <v>1626</v>
      </c>
      <c r="D773">
        <v>2</v>
      </c>
      <c r="E773">
        <v>4</v>
      </c>
      <c r="F773" t="s">
        <v>7</v>
      </c>
      <c r="G773" t="s">
        <v>11</v>
      </c>
      <c r="H773" t="s">
        <v>11</v>
      </c>
    </row>
    <row r="774" spans="1:8" x14ac:dyDescent="0.35">
      <c r="A774" t="s">
        <v>26</v>
      </c>
      <c r="B774" t="s">
        <v>89</v>
      </c>
      <c r="C774" t="s">
        <v>1670</v>
      </c>
      <c r="D774">
        <v>1</v>
      </c>
      <c r="E774">
        <v>5</v>
      </c>
      <c r="F774" t="s">
        <v>7</v>
      </c>
      <c r="G774" t="s">
        <v>11</v>
      </c>
      <c r="H774" t="s">
        <v>11</v>
      </c>
    </row>
    <row r="775" spans="1:8" x14ac:dyDescent="0.35">
      <c r="A775" t="s">
        <v>26</v>
      </c>
      <c r="B775" t="s">
        <v>89</v>
      </c>
      <c r="C775" t="s">
        <v>1671</v>
      </c>
      <c r="D775">
        <v>2</v>
      </c>
      <c r="E775">
        <v>5</v>
      </c>
      <c r="F775" t="s">
        <v>7</v>
      </c>
      <c r="G775" t="s">
        <v>11</v>
      </c>
      <c r="H775" t="s">
        <v>11</v>
      </c>
    </row>
    <row r="776" spans="1:8" x14ac:dyDescent="0.35">
      <c r="A776" t="s">
        <v>26</v>
      </c>
      <c r="B776" t="s">
        <v>89</v>
      </c>
      <c r="C776" t="s">
        <v>1672</v>
      </c>
      <c r="D776">
        <v>1</v>
      </c>
      <c r="E776">
        <v>5</v>
      </c>
      <c r="F776" t="s">
        <v>7</v>
      </c>
      <c r="G776" t="s">
        <v>11</v>
      </c>
      <c r="H776" t="s">
        <v>11</v>
      </c>
    </row>
    <row r="777" spans="1:8" x14ac:dyDescent="0.35">
      <c r="A777" t="s">
        <v>26</v>
      </c>
      <c r="B777" t="s">
        <v>89</v>
      </c>
      <c r="C777" t="s">
        <v>1298</v>
      </c>
      <c r="D777">
        <v>2</v>
      </c>
      <c r="E777">
        <v>5</v>
      </c>
      <c r="F777" t="s">
        <v>7</v>
      </c>
      <c r="G777" t="s">
        <v>11</v>
      </c>
      <c r="H777" t="s">
        <v>11</v>
      </c>
    </row>
    <row r="778" spans="1:8" x14ac:dyDescent="0.35">
      <c r="A778" t="s">
        <v>26</v>
      </c>
      <c r="B778" t="s">
        <v>89</v>
      </c>
      <c r="C778" t="s">
        <v>1152</v>
      </c>
      <c r="D778">
        <v>1</v>
      </c>
      <c r="E778">
        <v>4</v>
      </c>
      <c r="F778" t="s">
        <v>7</v>
      </c>
      <c r="G778" t="s">
        <v>11</v>
      </c>
      <c r="H778" t="s">
        <v>11</v>
      </c>
    </row>
    <row r="779" spans="1:8" x14ac:dyDescent="0.35">
      <c r="A779" t="s">
        <v>26</v>
      </c>
      <c r="B779" t="s">
        <v>89</v>
      </c>
      <c r="C779" t="s">
        <v>1157</v>
      </c>
      <c r="D779">
        <v>1</v>
      </c>
      <c r="E779">
        <v>5</v>
      </c>
      <c r="F779" t="s">
        <v>7</v>
      </c>
      <c r="G779" t="s">
        <v>11</v>
      </c>
      <c r="H779" t="s">
        <v>11</v>
      </c>
    </row>
    <row r="780" spans="1:8" x14ac:dyDescent="0.35">
      <c r="A780" t="s">
        <v>26</v>
      </c>
      <c r="B780" t="s">
        <v>89</v>
      </c>
      <c r="C780" t="s">
        <v>1159</v>
      </c>
      <c r="D780">
        <v>1</v>
      </c>
      <c r="E780">
        <v>5</v>
      </c>
      <c r="F780" t="s">
        <v>7</v>
      </c>
      <c r="G780" t="s">
        <v>11</v>
      </c>
      <c r="H780" t="s">
        <v>11</v>
      </c>
    </row>
    <row r="781" spans="1:8" x14ac:dyDescent="0.35">
      <c r="A781" t="s">
        <v>26</v>
      </c>
      <c r="B781" t="s">
        <v>89</v>
      </c>
      <c r="C781" t="s">
        <v>1160</v>
      </c>
      <c r="D781">
        <v>1</v>
      </c>
      <c r="E781">
        <v>5</v>
      </c>
      <c r="F781" t="s">
        <v>7</v>
      </c>
      <c r="G781" t="s">
        <v>11</v>
      </c>
      <c r="H781" t="s">
        <v>11</v>
      </c>
    </row>
    <row r="782" spans="1:8" x14ac:dyDescent="0.35">
      <c r="A782" t="s">
        <v>26</v>
      </c>
      <c r="B782" t="s">
        <v>89</v>
      </c>
      <c r="C782" t="s">
        <v>1434</v>
      </c>
      <c r="D782">
        <v>2</v>
      </c>
      <c r="E782">
        <v>4</v>
      </c>
      <c r="F782" t="s">
        <v>7</v>
      </c>
      <c r="G782" t="s">
        <v>11</v>
      </c>
      <c r="H782" t="s">
        <v>11</v>
      </c>
    </row>
    <row r="783" spans="1:8" x14ac:dyDescent="0.35">
      <c r="A783" t="s">
        <v>26</v>
      </c>
      <c r="B783" t="s">
        <v>89</v>
      </c>
      <c r="C783" t="s">
        <v>1673</v>
      </c>
      <c r="D783">
        <v>1</v>
      </c>
      <c r="E783">
        <v>5</v>
      </c>
      <c r="F783" t="s">
        <v>7</v>
      </c>
      <c r="G783" t="s">
        <v>11</v>
      </c>
      <c r="H783" t="s">
        <v>11</v>
      </c>
    </row>
    <row r="784" spans="1:8" x14ac:dyDescent="0.35">
      <c r="A784" t="s">
        <v>26</v>
      </c>
      <c r="B784" t="s">
        <v>89</v>
      </c>
      <c r="C784" t="s">
        <v>1162</v>
      </c>
      <c r="D784">
        <v>1</v>
      </c>
      <c r="E784">
        <v>4</v>
      </c>
      <c r="F784" t="s">
        <v>7</v>
      </c>
      <c r="G784" t="s">
        <v>11</v>
      </c>
      <c r="H784" t="s">
        <v>11</v>
      </c>
    </row>
    <row r="785" spans="1:8" x14ac:dyDescent="0.35">
      <c r="A785" t="s">
        <v>26</v>
      </c>
      <c r="B785" t="s">
        <v>89</v>
      </c>
      <c r="C785" t="s">
        <v>1163</v>
      </c>
      <c r="D785">
        <v>1</v>
      </c>
      <c r="E785">
        <v>5</v>
      </c>
      <c r="F785" t="s">
        <v>7</v>
      </c>
      <c r="G785" t="s">
        <v>11</v>
      </c>
      <c r="H785" t="s">
        <v>11</v>
      </c>
    </row>
    <row r="786" spans="1:8" x14ac:dyDescent="0.35">
      <c r="A786" t="s">
        <v>26</v>
      </c>
      <c r="B786" t="s">
        <v>89</v>
      </c>
      <c r="C786" t="s">
        <v>1164</v>
      </c>
      <c r="D786">
        <v>2</v>
      </c>
      <c r="E786">
        <v>5</v>
      </c>
      <c r="F786" t="s">
        <v>7</v>
      </c>
      <c r="G786" t="s">
        <v>11</v>
      </c>
      <c r="H786" t="s">
        <v>11</v>
      </c>
    </row>
    <row r="787" spans="1:8" x14ac:dyDescent="0.35">
      <c r="A787" t="s">
        <v>26</v>
      </c>
      <c r="B787" t="s">
        <v>89</v>
      </c>
      <c r="C787" t="s">
        <v>1261</v>
      </c>
      <c r="D787">
        <v>2</v>
      </c>
      <c r="E787">
        <v>5</v>
      </c>
      <c r="F787" t="s">
        <v>7</v>
      </c>
      <c r="G787" t="s">
        <v>11</v>
      </c>
      <c r="H787" t="s">
        <v>11</v>
      </c>
    </row>
    <row r="788" spans="1:8" x14ac:dyDescent="0.35">
      <c r="A788" t="s">
        <v>26</v>
      </c>
      <c r="B788" t="s">
        <v>89</v>
      </c>
      <c r="C788" t="s">
        <v>1674</v>
      </c>
      <c r="D788">
        <v>1</v>
      </c>
      <c r="E788">
        <v>5</v>
      </c>
      <c r="F788" t="s">
        <v>7</v>
      </c>
      <c r="G788" t="s">
        <v>11</v>
      </c>
      <c r="H788" t="s">
        <v>11</v>
      </c>
    </row>
    <row r="789" spans="1:8" x14ac:dyDescent="0.35">
      <c r="A789" t="s">
        <v>26</v>
      </c>
      <c r="B789" t="s">
        <v>89</v>
      </c>
      <c r="C789" t="s">
        <v>1675</v>
      </c>
      <c r="D789">
        <v>2</v>
      </c>
      <c r="E789">
        <v>4</v>
      </c>
      <c r="F789" t="s">
        <v>7</v>
      </c>
      <c r="G789" t="s">
        <v>11</v>
      </c>
      <c r="H789" t="s">
        <v>11</v>
      </c>
    </row>
    <row r="790" spans="1:8" x14ac:dyDescent="0.35">
      <c r="A790" t="s">
        <v>26</v>
      </c>
      <c r="B790" t="s">
        <v>89</v>
      </c>
      <c r="C790" t="s">
        <v>1310</v>
      </c>
      <c r="D790">
        <v>1</v>
      </c>
      <c r="E790">
        <v>4</v>
      </c>
      <c r="F790" t="s">
        <v>7</v>
      </c>
      <c r="G790" t="s">
        <v>11</v>
      </c>
      <c r="H790" t="s">
        <v>11</v>
      </c>
    </row>
    <row r="791" spans="1:8" x14ac:dyDescent="0.35">
      <c r="A791" t="s">
        <v>26</v>
      </c>
      <c r="B791" t="s">
        <v>89</v>
      </c>
      <c r="C791" t="s">
        <v>1676</v>
      </c>
      <c r="D791">
        <v>2</v>
      </c>
      <c r="E791">
        <v>5</v>
      </c>
      <c r="F791" t="s">
        <v>7</v>
      </c>
      <c r="G791" t="s">
        <v>11</v>
      </c>
      <c r="H791" t="s">
        <v>11</v>
      </c>
    </row>
    <row r="792" spans="1:8" x14ac:dyDescent="0.35">
      <c r="A792" t="s">
        <v>26</v>
      </c>
      <c r="B792" t="s">
        <v>89</v>
      </c>
      <c r="C792" t="s">
        <v>1677</v>
      </c>
      <c r="D792">
        <v>2</v>
      </c>
      <c r="E792">
        <v>5</v>
      </c>
      <c r="F792" t="s">
        <v>7</v>
      </c>
      <c r="G792" t="s">
        <v>11</v>
      </c>
      <c r="H792" t="s">
        <v>11</v>
      </c>
    </row>
    <row r="793" spans="1:8" x14ac:dyDescent="0.35">
      <c r="A793" t="s">
        <v>26</v>
      </c>
      <c r="B793" t="s">
        <v>89</v>
      </c>
      <c r="C793" t="s">
        <v>1165</v>
      </c>
      <c r="D793">
        <v>2</v>
      </c>
      <c r="E793">
        <v>4</v>
      </c>
      <c r="F793" t="s">
        <v>7</v>
      </c>
      <c r="G793" t="s">
        <v>11</v>
      </c>
      <c r="H793" t="s">
        <v>11</v>
      </c>
    </row>
    <row r="794" spans="1:8" x14ac:dyDescent="0.35">
      <c r="A794" t="s">
        <v>26</v>
      </c>
      <c r="B794" t="s">
        <v>89</v>
      </c>
      <c r="C794" t="s">
        <v>1167</v>
      </c>
      <c r="D794">
        <v>2</v>
      </c>
      <c r="E794">
        <v>4</v>
      </c>
      <c r="F794" t="s">
        <v>7</v>
      </c>
      <c r="G794" t="s">
        <v>11</v>
      </c>
      <c r="H794" t="s">
        <v>11</v>
      </c>
    </row>
    <row r="795" spans="1:8" x14ac:dyDescent="0.35">
      <c r="A795" t="s">
        <v>26</v>
      </c>
      <c r="B795" t="s">
        <v>89</v>
      </c>
      <c r="C795" t="s">
        <v>1678</v>
      </c>
      <c r="D795">
        <v>2</v>
      </c>
      <c r="E795">
        <v>5</v>
      </c>
      <c r="F795" t="s">
        <v>7</v>
      </c>
      <c r="G795" t="s">
        <v>11</v>
      </c>
      <c r="H795" t="s">
        <v>11</v>
      </c>
    </row>
    <row r="796" spans="1:8" x14ac:dyDescent="0.35">
      <c r="A796" t="s">
        <v>26</v>
      </c>
      <c r="B796" t="s">
        <v>89</v>
      </c>
      <c r="C796" t="s">
        <v>1679</v>
      </c>
      <c r="D796">
        <v>2</v>
      </c>
      <c r="E796">
        <v>4</v>
      </c>
      <c r="F796" t="s">
        <v>7</v>
      </c>
      <c r="G796" t="s">
        <v>11</v>
      </c>
      <c r="H796" t="s">
        <v>11</v>
      </c>
    </row>
    <row r="797" spans="1:8" x14ac:dyDescent="0.35">
      <c r="A797" t="s">
        <v>26</v>
      </c>
      <c r="B797" t="s">
        <v>89</v>
      </c>
      <c r="C797" t="s">
        <v>1268</v>
      </c>
      <c r="D797">
        <v>2</v>
      </c>
      <c r="E797">
        <v>5</v>
      </c>
      <c r="F797" t="s">
        <v>7</v>
      </c>
      <c r="G797" t="s">
        <v>11</v>
      </c>
      <c r="H797" t="s">
        <v>11</v>
      </c>
    </row>
    <row r="798" spans="1:8" x14ac:dyDescent="0.35">
      <c r="A798" t="s">
        <v>26</v>
      </c>
      <c r="B798" t="s">
        <v>89</v>
      </c>
      <c r="C798" t="s">
        <v>1443</v>
      </c>
      <c r="D798">
        <v>1</v>
      </c>
      <c r="E798">
        <v>5</v>
      </c>
      <c r="F798" t="s">
        <v>7</v>
      </c>
      <c r="G798" t="s">
        <v>11</v>
      </c>
      <c r="H798" t="s">
        <v>11</v>
      </c>
    </row>
    <row r="799" spans="1:8" x14ac:dyDescent="0.35">
      <c r="A799" t="s">
        <v>26</v>
      </c>
      <c r="B799" t="s">
        <v>89</v>
      </c>
      <c r="C799" t="s">
        <v>1168</v>
      </c>
      <c r="D799">
        <v>1</v>
      </c>
      <c r="E799">
        <v>5</v>
      </c>
      <c r="F799" t="s">
        <v>7</v>
      </c>
      <c r="G799" t="s">
        <v>11</v>
      </c>
      <c r="H799" t="s">
        <v>11</v>
      </c>
    </row>
    <row r="800" spans="1:8" x14ac:dyDescent="0.35">
      <c r="A800" t="s">
        <v>26</v>
      </c>
      <c r="B800" t="s">
        <v>89</v>
      </c>
      <c r="C800" t="s">
        <v>1680</v>
      </c>
      <c r="D800">
        <v>2</v>
      </c>
      <c r="E800">
        <v>4</v>
      </c>
      <c r="F800" t="s">
        <v>7</v>
      </c>
      <c r="G800" t="s">
        <v>11</v>
      </c>
      <c r="H800" t="s">
        <v>11</v>
      </c>
    </row>
    <row r="801" spans="1:8" x14ac:dyDescent="0.35">
      <c r="A801" t="s">
        <v>26</v>
      </c>
      <c r="B801" t="s">
        <v>89</v>
      </c>
      <c r="C801" t="s">
        <v>1681</v>
      </c>
      <c r="D801">
        <v>1</v>
      </c>
      <c r="E801">
        <v>5</v>
      </c>
      <c r="F801" t="s">
        <v>7</v>
      </c>
      <c r="G801" t="s">
        <v>11</v>
      </c>
      <c r="H801" t="s">
        <v>11</v>
      </c>
    </row>
    <row r="802" spans="1:8" x14ac:dyDescent="0.35">
      <c r="A802" t="s">
        <v>26</v>
      </c>
      <c r="B802" t="s">
        <v>89</v>
      </c>
      <c r="C802" t="s">
        <v>1271</v>
      </c>
      <c r="D802">
        <v>1</v>
      </c>
      <c r="E802">
        <v>4</v>
      </c>
      <c r="F802" t="s">
        <v>7</v>
      </c>
      <c r="G802" t="s">
        <v>11</v>
      </c>
      <c r="H802" t="s">
        <v>11</v>
      </c>
    </row>
    <row r="803" spans="1:8" x14ac:dyDescent="0.35">
      <c r="A803" t="s">
        <v>26</v>
      </c>
      <c r="B803" t="s">
        <v>89</v>
      </c>
      <c r="C803" t="s">
        <v>1171</v>
      </c>
      <c r="D803">
        <v>1</v>
      </c>
      <c r="E803">
        <v>5</v>
      </c>
      <c r="F803" t="s">
        <v>7</v>
      </c>
      <c r="G803" t="s">
        <v>11</v>
      </c>
      <c r="H803" t="s">
        <v>11</v>
      </c>
    </row>
    <row r="804" spans="1:8" x14ac:dyDescent="0.35">
      <c r="A804" t="s">
        <v>26</v>
      </c>
      <c r="B804" t="s">
        <v>89</v>
      </c>
      <c r="C804" t="s">
        <v>1682</v>
      </c>
      <c r="D804">
        <v>2</v>
      </c>
      <c r="E804">
        <v>4</v>
      </c>
      <c r="F804" t="s">
        <v>7</v>
      </c>
      <c r="G804" t="s">
        <v>11</v>
      </c>
      <c r="H804" t="s">
        <v>11</v>
      </c>
    </row>
    <row r="805" spans="1:8" x14ac:dyDescent="0.35">
      <c r="A805" t="s">
        <v>26</v>
      </c>
      <c r="B805" t="s">
        <v>89</v>
      </c>
      <c r="C805" t="s">
        <v>1683</v>
      </c>
      <c r="D805">
        <v>1</v>
      </c>
      <c r="E805">
        <v>5</v>
      </c>
      <c r="F805" t="s">
        <v>7</v>
      </c>
      <c r="G805" t="s">
        <v>11</v>
      </c>
      <c r="H805" t="s">
        <v>11</v>
      </c>
    </row>
    <row r="806" spans="1:8" x14ac:dyDescent="0.35">
      <c r="A806" t="s">
        <v>26</v>
      </c>
      <c r="B806" t="s">
        <v>89</v>
      </c>
      <c r="C806" t="s">
        <v>1684</v>
      </c>
      <c r="D806">
        <v>2</v>
      </c>
      <c r="E806">
        <v>5</v>
      </c>
      <c r="F806" t="s">
        <v>7</v>
      </c>
      <c r="G806" t="s">
        <v>11</v>
      </c>
      <c r="H806" t="s">
        <v>11</v>
      </c>
    </row>
    <row r="807" spans="1:8" x14ac:dyDescent="0.35">
      <c r="A807" t="s">
        <v>26</v>
      </c>
      <c r="B807" t="s">
        <v>89</v>
      </c>
      <c r="C807" t="s">
        <v>1685</v>
      </c>
      <c r="D807">
        <v>1</v>
      </c>
      <c r="E807">
        <v>5</v>
      </c>
      <c r="F807" t="s">
        <v>7</v>
      </c>
      <c r="G807" t="s">
        <v>11</v>
      </c>
      <c r="H807" t="s">
        <v>11</v>
      </c>
    </row>
    <row r="808" spans="1:8" x14ac:dyDescent="0.35">
      <c r="A808" t="s">
        <v>26</v>
      </c>
      <c r="B808" t="s">
        <v>89</v>
      </c>
      <c r="C808" t="s">
        <v>1686</v>
      </c>
      <c r="D808">
        <v>2</v>
      </c>
      <c r="E808">
        <v>4</v>
      </c>
      <c r="F808" t="s">
        <v>7</v>
      </c>
      <c r="G808" t="s">
        <v>11</v>
      </c>
      <c r="H808" t="s">
        <v>11</v>
      </c>
    </row>
    <row r="809" spans="1:8" x14ac:dyDescent="0.35">
      <c r="A809" t="s">
        <v>26</v>
      </c>
      <c r="B809" t="s">
        <v>89</v>
      </c>
      <c r="C809" t="s">
        <v>1687</v>
      </c>
      <c r="D809">
        <v>2</v>
      </c>
      <c r="E809">
        <v>4</v>
      </c>
      <c r="F809" t="s">
        <v>7</v>
      </c>
      <c r="G809" t="s">
        <v>11</v>
      </c>
      <c r="H809" t="s">
        <v>11</v>
      </c>
    </row>
    <row r="810" spans="1:8" x14ac:dyDescent="0.35">
      <c r="A810" t="s">
        <v>26</v>
      </c>
      <c r="B810" t="s">
        <v>89</v>
      </c>
      <c r="C810" t="s">
        <v>1688</v>
      </c>
      <c r="D810">
        <v>1</v>
      </c>
      <c r="E810">
        <v>5</v>
      </c>
      <c r="F810" t="s">
        <v>7</v>
      </c>
      <c r="G810" t="s">
        <v>11</v>
      </c>
      <c r="H810" t="s">
        <v>11</v>
      </c>
    </row>
    <row r="811" spans="1:8" x14ac:dyDescent="0.35">
      <c r="A811" t="s">
        <v>26</v>
      </c>
      <c r="B811" t="s">
        <v>89</v>
      </c>
      <c r="C811" t="s">
        <v>1689</v>
      </c>
      <c r="D811">
        <v>1</v>
      </c>
      <c r="E811">
        <v>5</v>
      </c>
      <c r="F811" t="s">
        <v>7</v>
      </c>
      <c r="G811" t="s">
        <v>11</v>
      </c>
      <c r="H811" t="s">
        <v>11</v>
      </c>
    </row>
    <row r="812" spans="1:8" x14ac:dyDescent="0.35">
      <c r="A812" t="s">
        <v>26</v>
      </c>
      <c r="B812" t="s">
        <v>89</v>
      </c>
      <c r="C812" t="s">
        <v>1277</v>
      </c>
      <c r="D812">
        <v>1</v>
      </c>
      <c r="E812">
        <v>5</v>
      </c>
      <c r="F812" t="s">
        <v>7</v>
      </c>
      <c r="G812" t="s">
        <v>11</v>
      </c>
      <c r="H812" t="s">
        <v>11</v>
      </c>
    </row>
    <row r="813" spans="1:8" x14ac:dyDescent="0.35">
      <c r="A813" t="s">
        <v>26</v>
      </c>
      <c r="B813" t="s">
        <v>89</v>
      </c>
      <c r="C813" t="s">
        <v>1690</v>
      </c>
      <c r="D813">
        <v>2</v>
      </c>
      <c r="E813">
        <v>4</v>
      </c>
      <c r="F813" t="s">
        <v>7</v>
      </c>
      <c r="G813" t="s">
        <v>11</v>
      </c>
      <c r="H813" t="s">
        <v>11</v>
      </c>
    </row>
    <row r="814" spans="1:8" x14ac:dyDescent="0.35">
      <c r="A814" t="s">
        <v>26</v>
      </c>
      <c r="B814" t="s">
        <v>89</v>
      </c>
      <c r="C814" t="s">
        <v>1691</v>
      </c>
      <c r="D814">
        <v>1</v>
      </c>
      <c r="E814">
        <v>5</v>
      </c>
      <c r="F814" t="s">
        <v>7</v>
      </c>
      <c r="G814" t="s">
        <v>11</v>
      </c>
      <c r="H814" t="s">
        <v>11</v>
      </c>
    </row>
    <row r="815" spans="1:8" x14ac:dyDescent="0.35">
      <c r="A815" t="s">
        <v>26</v>
      </c>
      <c r="B815" t="s">
        <v>89</v>
      </c>
      <c r="C815" t="s">
        <v>1692</v>
      </c>
      <c r="D815">
        <v>2</v>
      </c>
      <c r="E815">
        <v>5</v>
      </c>
      <c r="F815" t="s">
        <v>7</v>
      </c>
      <c r="G815" t="s">
        <v>11</v>
      </c>
      <c r="H815" t="s">
        <v>11</v>
      </c>
    </row>
    <row r="816" spans="1:8" x14ac:dyDescent="0.35">
      <c r="A816" t="s">
        <v>26</v>
      </c>
      <c r="B816" t="s">
        <v>89</v>
      </c>
      <c r="C816" t="s">
        <v>1649</v>
      </c>
      <c r="D816">
        <v>1</v>
      </c>
      <c r="E816">
        <v>5</v>
      </c>
      <c r="F816" t="s">
        <v>7</v>
      </c>
      <c r="G816" t="s">
        <v>11</v>
      </c>
      <c r="H816" t="s">
        <v>11</v>
      </c>
    </row>
    <row r="817" spans="1:8" x14ac:dyDescent="0.35">
      <c r="A817" t="s">
        <v>26</v>
      </c>
      <c r="B817" t="s">
        <v>89</v>
      </c>
      <c r="C817" t="s">
        <v>1555</v>
      </c>
      <c r="D817">
        <v>1</v>
      </c>
      <c r="E817">
        <v>5</v>
      </c>
      <c r="F817" t="s">
        <v>7</v>
      </c>
      <c r="G817" t="s">
        <v>11</v>
      </c>
      <c r="H817" t="s">
        <v>11</v>
      </c>
    </row>
    <row r="818" spans="1:8" x14ac:dyDescent="0.35">
      <c r="A818" t="s">
        <v>26</v>
      </c>
      <c r="B818" t="s">
        <v>89</v>
      </c>
      <c r="C818" t="s">
        <v>1693</v>
      </c>
      <c r="D818">
        <v>2</v>
      </c>
      <c r="E818">
        <v>4</v>
      </c>
      <c r="F818" t="s">
        <v>7</v>
      </c>
      <c r="G818" t="s">
        <v>11</v>
      </c>
      <c r="H818" t="s">
        <v>11</v>
      </c>
    </row>
    <row r="819" spans="1:8" x14ac:dyDescent="0.35">
      <c r="A819" t="s">
        <v>26</v>
      </c>
      <c r="B819" t="s">
        <v>89</v>
      </c>
      <c r="C819" t="s">
        <v>1177</v>
      </c>
      <c r="D819">
        <v>1</v>
      </c>
      <c r="E819">
        <v>4</v>
      </c>
      <c r="F819" t="s">
        <v>7</v>
      </c>
      <c r="G819" t="s">
        <v>11</v>
      </c>
      <c r="H819" t="s">
        <v>11</v>
      </c>
    </row>
    <row r="820" spans="1:8" x14ac:dyDescent="0.35">
      <c r="A820" t="s">
        <v>26</v>
      </c>
      <c r="B820" t="s">
        <v>89</v>
      </c>
      <c r="C820" t="s">
        <v>1556</v>
      </c>
      <c r="D820">
        <v>1</v>
      </c>
      <c r="E820">
        <v>5</v>
      </c>
      <c r="F820" t="s">
        <v>7</v>
      </c>
      <c r="G820" t="s">
        <v>11</v>
      </c>
      <c r="H820" t="s">
        <v>11</v>
      </c>
    </row>
    <row r="821" spans="1:8" x14ac:dyDescent="0.35">
      <c r="A821" t="s">
        <v>26</v>
      </c>
      <c r="B821" t="s">
        <v>89</v>
      </c>
      <c r="C821" t="s">
        <v>1694</v>
      </c>
      <c r="D821">
        <v>1</v>
      </c>
      <c r="E821">
        <v>5</v>
      </c>
      <c r="F821" t="s">
        <v>7</v>
      </c>
      <c r="G821" t="s">
        <v>11</v>
      </c>
      <c r="H821" t="s">
        <v>11</v>
      </c>
    </row>
    <row r="822" spans="1:8" x14ac:dyDescent="0.35">
      <c r="A822" t="s">
        <v>26</v>
      </c>
      <c r="B822" t="s">
        <v>89</v>
      </c>
      <c r="C822" t="s">
        <v>1279</v>
      </c>
      <c r="D822">
        <v>1</v>
      </c>
      <c r="E822">
        <v>5</v>
      </c>
      <c r="F822" t="s">
        <v>7</v>
      </c>
      <c r="G822" t="s">
        <v>11</v>
      </c>
      <c r="H822" t="s">
        <v>11</v>
      </c>
    </row>
    <row r="823" spans="1:8" x14ac:dyDescent="0.35">
      <c r="A823" t="s">
        <v>26</v>
      </c>
      <c r="B823" t="s">
        <v>89</v>
      </c>
      <c r="C823" t="s">
        <v>1695</v>
      </c>
      <c r="D823">
        <v>1</v>
      </c>
      <c r="E823">
        <v>5</v>
      </c>
      <c r="F823" t="s">
        <v>7</v>
      </c>
      <c r="G823" t="s">
        <v>11</v>
      </c>
      <c r="H823" t="s">
        <v>11</v>
      </c>
    </row>
    <row r="824" spans="1:8" x14ac:dyDescent="0.35">
      <c r="A824" t="s">
        <v>23</v>
      </c>
      <c r="B824" t="s">
        <v>77</v>
      </c>
      <c r="C824" t="s">
        <v>1696</v>
      </c>
      <c r="D824">
        <v>1</v>
      </c>
      <c r="E824">
        <v>5</v>
      </c>
      <c r="F824" t="s">
        <v>7</v>
      </c>
      <c r="G824" t="s">
        <v>11</v>
      </c>
      <c r="H824" t="s">
        <v>11</v>
      </c>
    </row>
    <row r="825" spans="1:8" x14ac:dyDescent="0.35">
      <c r="A825" t="s">
        <v>23</v>
      </c>
      <c r="B825" t="s">
        <v>77</v>
      </c>
      <c r="C825" t="s">
        <v>1338</v>
      </c>
      <c r="D825">
        <v>1</v>
      </c>
      <c r="E825">
        <v>5</v>
      </c>
      <c r="F825" t="s">
        <v>7</v>
      </c>
      <c r="G825" t="s">
        <v>11</v>
      </c>
      <c r="H825" t="s">
        <v>11</v>
      </c>
    </row>
    <row r="826" spans="1:8" x14ac:dyDescent="0.35">
      <c r="A826" t="s">
        <v>23</v>
      </c>
      <c r="B826" t="s">
        <v>77</v>
      </c>
      <c r="C826" t="s">
        <v>1697</v>
      </c>
      <c r="D826">
        <v>1</v>
      </c>
      <c r="E826">
        <v>6</v>
      </c>
      <c r="F826" t="s">
        <v>7</v>
      </c>
      <c r="G826" t="s">
        <v>11</v>
      </c>
      <c r="H826" t="s">
        <v>11</v>
      </c>
    </row>
    <row r="827" spans="1:8" x14ac:dyDescent="0.35">
      <c r="A827" t="s">
        <v>23</v>
      </c>
      <c r="B827" t="s">
        <v>77</v>
      </c>
      <c r="C827" t="s">
        <v>1698</v>
      </c>
      <c r="D827">
        <v>1</v>
      </c>
      <c r="E827">
        <v>5</v>
      </c>
      <c r="F827" t="s">
        <v>7</v>
      </c>
      <c r="G827" t="s">
        <v>11</v>
      </c>
      <c r="H827" t="s">
        <v>11</v>
      </c>
    </row>
    <row r="828" spans="1:8" x14ac:dyDescent="0.35">
      <c r="A828" t="s">
        <v>23</v>
      </c>
      <c r="B828" t="s">
        <v>77</v>
      </c>
      <c r="C828" t="s">
        <v>1699</v>
      </c>
      <c r="D828">
        <v>1</v>
      </c>
      <c r="E828">
        <v>5</v>
      </c>
      <c r="F828" t="s">
        <v>7</v>
      </c>
      <c r="G828" t="s">
        <v>11</v>
      </c>
      <c r="H828" t="s">
        <v>11</v>
      </c>
    </row>
    <row r="829" spans="1:8" x14ac:dyDescent="0.35">
      <c r="A829" t="s">
        <v>23</v>
      </c>
      <c r="B829" t="s">
        <v>77</v>
      </c>
      <c r="C829" t="s">
        <v>1228</v>
      </c>
      <c r="D829">
        <v>1</v>
      </c>
      <c r="E829">
        <v>5</v>
      </c>
      <c r="F829" t="s">
        <v>7</v>
      </c>
      <c r="G829" t="s">
        <v>11</v>
      </c>
      <c r="H829" t="s">
        <v>11</v>
      </c>
    </row>
    <row r="830" spans="1:8" x14ac:dyDescent="0.35">
      <c r="A830" t="s">
        <v>23</v>
      </c>
      <c r="B830" t="s">
        <v>77</v>
      </c>
      <c r="C830" t="s">
        <v>1700</v>
      </c>
      <c r="D830">
        <v>1</v>
      </c>
      <c r="E830">
        <v>6</v>
      </c>
      <c r="F830" t="s">
        <v>7</v>
      </c>
      <c r="G830" t="s">
        <v>11</v>
      </c>
      <c r="H830" t="s">
        <v>11</v>
      </c>
    </row>
    <row r="831" spans="1:8" x14ac:dyDescent="0.35">
      <c r="A831" t="s">
        <v>23</v>
      </c>
      <c r="B831" t="s">
        <v>77</v>
      </c>
      <c r="C831" t="s">
        <v>1229</v>
      </c>
      <c r="D831">
        <v>1</v>
      </c>
      <c r="E831">
        <v>5</v>
      </c>
      <c r="F831" t="s">
        <v>7</v>
      </c>
      <c r="G831" t="s">
        <v>11</v>
      </c>
      <c r="H831" t="s">
        <v>11</v>
      </c>
    </row>
    <row r="832" spans="1:8" x14ac:dyDescent="0.35">
      <c r="A832" t="s">
        <v>23</v>
      </c>
      <c r="B832" t="s">
        <v>77</v>
      </c>
      <c r="C832" t="s">
        <v>1701</v>
      </c>
      <c r="D832">
        <v>1</v>
      </c>
      <c r="E832">
        <v>6</v>
      </c>
      <c r="F832" t="s">
        <v>7</v>
      </c>
      <c r="G832" t="s">
        <v>11</v>
      </c>
      <c r="H832" t="s">
        <v>11</v>
      </c>
    </row>
    <row r="833" spans="1:8" x14ac:dyDescent="0.35">
      <c r="A833" t="s">
        <v>23</v>
      </c>
      <c r="B833" t="s">
        <v>77</v>
      </c>
      <c r="C833" t="s">
        <v>1702</v>
      </c>
      <c r="D833">
        <v>1</v>
      </c>
      <c r="E833">
        <v>6</v>
      </c>
      <c r="F833" t="s">
        <v>7</v>
      </c>
      <c r="G833" t="s">
        <v>11</v>
      </c>
      <c r="H833" t="s">
        <v>11</v>
      </c>
    </row>
    <row r="834" spans="1:8" x14ac:dyDescent="0.35">
      <c r="A834" t="s">
        <v>23</v>
      </c>
      <c r="B834" t="s">
        <v>77</v>
      </c>
      <c r="C834" t="s">
        <v>1703</v>
      </c>
      <c r="D834">
        <v>1</v>
      </c>
      <c r="E834">
        <v>6</v>
      </c>
      <c r="F834" t="s">
        <v>7</v>
      </c>
      <c r="G834" t="s">
        <v>11</v>
      </c>
      <c r="H834" t="s">
        <v>11</v>
      </c>
    </row>
    <row r="835" spans="1:8" x14ac:dyDescent="0.35">
      <c r="A835" t="s">
        <v>23</v>
      </c>
      <c r="B835" t="s">
        <v>77</v>
      </c>
      <c r="C835" t="s">
        <v>1119</v>
      </c>
      <c r="D835">
        <v>1</v>
      </c>
      <c r="E835">
        <v>6</v>
      </c>
      <c r="F835" t="s">
        <v>7</v>
      </c>
      <c r="G835" t="s">
        <v>11</v>
      </c>
      <c r="H835" t="s">
        <v>11</v>
      </c>
    </row>
    <row r="836" spans="1:8" x14ac:dyDescent="0.35">
      <c r="A836" t="s">
        <v>23</v>
      </c>
      <c r="B836" t="s">
        <v>77</v>
      </c>
      <c r="C836" t="s">
        <v>1120</v>
      </c>
      <c r="D836">
        <v>1</v>
      </c>
      <c r="E836">
        <v>6</v>
      </c>
      <c r="F836" t="s">
        <v>7</v>
      </c>
      <c r="G836" t="s">
        <v>11</v>
      </c>
      <c r="H836" t="s">
        <v>11</v>
      </c>
    </row>
    <row r="837" spans="1:8" x14ac:dyDescent="0.35">
      <c r="A837" t="s">
        <v>23</v>
      </c>
      <c r="B837" t="s">
        <v>77</v>
      </c>
      <c r="C837" t="s">
        <v>1231</v>
      </c>
      <c r="D837">
        <v>1</v>
      </c>
      <c r="E837">
        <v>5</v>
      </c>
      <c r="F837" t="s">
        <v>7</v>
      </c>
      <c r="G837" t="s">
        <v>11</v>
      </c>
      <c r="H837" t="s">
        <v>11</v>
      </c>
    </row>
    <row r="838" spans="1:8" x14ac:dyDescent="0.35">
      <c r="A838" t="s">
        <v>23</v>
      </c>
      <c r="B838" t="s">
        <v>77</v>
      </c>
      <c r="C838" t="s">
        <v>1605</v>
      </c>
      <c r="D838">
        <v>1</v>
      </c>
      <c r="E838">
        <v>5</v>
      </c>
      <c r="F838" t="s">
        <v>7</v>
      </c>
      <c r="G838" t="s">
        <v>11</v>
      </c>
      <c r="H838" t="s">
        <v>11</v>
      </c>
    </row>
    <row r="839" spans="1:8" x14ac:dyDescent="0.35">
      <c r="A839" t="s">
        <v>23</v>
      </c>
      <c r="B839" t="s">
        <v>77</v>
      </c>
      <c r="C839" t="s">
        <v>1704</v>
      </c>
      <c r="D839">
        <v>1</v>
      </c>
      <c r="E839">
        <v>5</v>
      </c>
      <c r="F839" t="s">
        <v>7</v>
      </c>
      <c r="G839" t="s">
        <v>11</v>
      </c>
      <c r="H839" t="s">
        <v>11</v>
      </c>
    </row>
    <row r="840" spans="1:8" x14ac:dyDescent="0.35">
      <c r="A840" t="s">
        <v>23</v>
      </c>
      <c r="B840" t="s">
        <v>77</v>
      </c>
      <c r="C840" t="s">
        <v>1705</v>
      </c>
      <c r="D840">
        <v>1</v>
      </c>
      <c r="E840">
        <v>6</v>
      </c>
      <c r="F840" t="s">
        <v>7</v>
      </c>
      <c r="G840" t="s">
        <v>11</v>
      </c>
      <c r="H840" t="s">
        <v>11</v>
      </c>
    </row>
    <row r="841" spans="1:8" x14ac:dyDescent="0.35">
      <c r="A841" t="s">
        <v>23</v>
      </c>
      <c r="B841" t="s">
        <v>77</v>
      </c>
      <c r="C841" t="s">
        <v>1122</v>
      </c>
      <c r="D841">
        <v>1</v>
      </c>
      <c r="E841">
        <v>6</v>
      </c>
      <c r="F841" t="s">
        <v>7</v>
      </c>
      <c r="G841" t="s">
        <v>11</v>
      </c>
      <c r="H841" t="s">
        <v>11</v>
      </c>
    </row>
    <row r="842" spans="1:8" x14ac:dyDescent="0.35">
      <c r="A842" t="s">
        <v>23</v>
      </c>
      <c r="B842" t="s">
        <v>77</v>
      </c>
      <c r="C842" t="s">
        <v>1706</v>
      </c>
      <c r="D842">
        <v>1</v>
      </c>
      <c r="E842">
        <v>6</v>
      </c>
      <c r="F842" t="s">
        <v>7</v>
      </c>
      <c r="G842" t="s">
        <v>11</v>
      </c>
      <c r="H842" t="s">
        <v>11</v>
      </c>
    </row>
    <row r="843" spans="1:8" x14ac:dyDescent="0.35">
      <c r="A843" t="s">
        <v>23</v>
      </c>
      <c r="B843" t="s">
        <v>77</v>
      </c>
      <c r="C843" t="s">
        <v>1125</v>
      </c>
      <c r="D843">
        <v>1</v>
      </c>
      <c r="E843">
        <v>5</v>
      </c>
      <c r="F843" t="s">
        <v>7</v>
      </c>
      <c r="G843" t="s">
        <v>11</v>
      </c>
      <c r="H843" t="s">
        <v>11</v>
      </c>
    </row>
    <row r="844" spans="1:8" x14ac:dyDescent="0.35">
      <c r="A844" t="s">
        <v>23</v>
      </c>
      <c r="B844" t="s">
        <v>77</v>
      </c>
      <c r="C844" t="s">
        <v>1126</v>
      </c>
      <c r="D844">
        <v>1</v>
      </c>
      <c r="E844">
        <v>6</v>
      </c>
      <c r="F844" t="s">
        <v>7</v>
      </c>
      <c r="G844" t="s">
        <v>11</v>
      </c>
      <c r="H844" t="s">
        <v>11</v>
      </c>
    </row>
    <row r="845" spans="1:8" x14ac:dyDescent="0.35">
      <c r="A845" t="s">
        <v>23</v>
      </c>
      <c r="B845" t="s">
        <v>77</v>
      </c>
      <c r="C845" t="s">
        <v>1476</v>
      </c>
      <c r="D845">
        <v>1</v>
      </c>
      <c r="E845">
        <v>6</v>
      </c>
      <c r="F845" t="s">
        <v>7</v>
      </c>
      <c r="G845" t="s">
        <v>11</v>
      </c>
      <c r="H845" t="s">
        <v>11</v>
      </c>
    </row>
    <row r="846" spans="1:8" x14ac:dyDescent="0.35">
      <c r="A846" t="s">
        <v>23</v>
      </c>
      <c r="B846" t="s">
        <v>77</v>
      </c>
      <c r="C846" t="s">
        <v>1608</v>
      </c>
      <c r="D846">
        <v>1</v>
      </c>
      <c r="E846">
        <v>5</v>
      </c>
      <c r="F846" t="s">
        <v>7</v>
      </c>
      <c r="G846" t="s">
        <v>11</v>
      </c>
      <c r="H846" t="s">
        <v>11</v>
      </c>
    </row>
    <row r="847" spans="1:8" x14ac:dyDescent="0.35">
      <c r="A847" t="s">
        <v>23</v>
      </c>
      <c r="B847" t="s">
        <v>77</v>
      </c>
      <c r="C847" t="s">
        <v>1238</v>
      </c>
      <c r="D847">
        <v>1</v>
      </c>
      <c r="E847">
        <v>5</v>
      </c>
      <c r="F847" t="s">
        <v>7</v>
      </c>
      <c r="G847" t="s">
        <v>11</v>
      </c>
      <c r="H847" t="s">
        <v>11</v>
      </c>
    </row>
    <row r="848" spans="1:8" x14ac:dyDescent="0.35">
      <c r="A848" t="s">
        <v>23</v>
      </c>
      <c r="B848" t="s">
        <v>77</v>
      </c>
      <c r="C848" t="s">
        <v>1136</v>
      </c>
      <c r="D848">
        <v>1</v>
      </c>
      <c r="E848">
        <v>5</v>
      </c>
      <c r="F848" t="s">
        <v>7</v>
      </c>
      <c r="G848" t="s">
        <v>11</v>
      </c>
      <c r="H848" t="s">
        <v>11</v>
      </c>
    </row>
    <row r="849" spans="1:8" x14ac:dyDescent="0.35">
      <c r="A849" t="s">
        <v>23</v>
      </c>
      <c r="B849" t="s">
        <v>77</v>
      </c>
      <c r="C849" t="s">
        <v>1707</v>
      </c>
      <c r="D849">
        <v>1</v>
      </c>
      <c r="E849">
        <v>5</v>
      </c>
      <c r="F849" t="s">
        <v>7</v>
      </c>
      <c r="G849" t="s">
        <v>11</v>
      </c>
      <c r="H849" t="s">
        <v>11</v>
      </c>
    </row>
    <row r="850" spans="1:8" x14ac:dyDescent="0.35">
      <c r="A850" t="s">
        <v>23</v>
      </c>
      <c r="B850" t="s">
        <v>77</v>
      </c>
      <c r="C850" t="s">
        <v>1485</v>
      </c>
      <c r="D850">
        <v>1</v>
      </c>
      <c r="E850">
        <v>5</v>
      </c>
      <c r="F850" t="s">
        <v>7</v>
      </c>
      <c r="G850" t="s">
        <v>11</v>
      </c>
      <c r="H850" t="s">
        <v>11</v>
      </c>
    </row>
    <row r="851" spans="1:8" x14ac:dyDescent="0.35">
      <c r="A851" t="s">
        <v>23</v>
      </c>
      <c r="B851" t="s">
        <v>77</v>
      </c>
      <c r="C851" t="s">
        <v>1660</v>
      </c>
      <c r="D851">
        <v>1</v>
      </c>
      <c r="E851">
        <v>6</v>
      </c>
      <c r="F851" t="s">
        <v>7</v>
      </c>
      <c r="G851" t="s">
        <v>11</v>
      </c>
      <c r="H851" t="s">
        <v>11</v>
      </c>
    </row>
    <row r="852" spans="1:8" x14ac:dyDescent="0.35">
      <c r="A852" t="s">
        <v>23</v>
      </c>
      <c r="B852" t="s">
        <v>77</v>
      </c>
      <c r="C852" t="s">
        <v>1708</v>
      </c>
      <c r="D852">
        <v>1</v>
      </c>
      <c r="E852">
        <v>5</v>
      </c>
      <c r="F852" t="s">
        <v>7</v>
      </c>
      <c r="G852" t="s">
        <v>11</v>
      </c>
      <c r="H852" t="s">
        <v>11</v>
      </c>
    </row>
    <row r="853" spans="1:8" x14ac:dyDescent="0.35">
      <c r="A853" t="s">
        <v>23</v>
      </c>
      <c r="B853" t="s">
        <v>77</v>
      </c>
      <c r="C853" t="s">
        <v>1709</v>
      </c>
      <c r="D853">
        <v>1</v>
      </c>
      <c r="E853">
        <v>6</v>
      </c>
      <c r="F853" t="s">
        <v>7</v>
      </c>
      <c r="G853" t="s">
        <v>11</v>
      </c>
      <c r="H853" t="s">
        <v>11</v>
      </c>
    </row>
    <row r="854" spans="1:8" x14ac:dyDescent="0.35">
      <c r="A854" t="s">
        <v>23</v>
      </c>
      <c r="B854" t="s">
        <v>77</v>
      </c>
      <c r="C854" t="s">
        <v>1710</v>
      </c>
      <c r="D854">
        <v>1</v>
      </c>
      <c r="E854">
        <v>5</v>
      </c>
      <c r="F854" t="s">
        <v>7</v>
      </c>
      <c r="G854" t="s">
        <v>11</v>
      </c>
      <c r="H854" t="s">
        <v>11</v>
      </c>
    </row>
    <row r="855" spans="1:8" x14ac:dyDescent="0.35">
      <c r="A855" t="s">
        <v>23</v>
      </c>
      <c r="B855" t="s">
        <v>77</v>
      </c>
      <c r="C855" t="s">
        <v>1711</v>
      </c>
      <c r="D855">
        <v>1</v>
      </c>
      <c r="E855">
        <v>6</v>
      </c>
      <c r="F855" t="s">
        <v>7</v>
      </c>
      <c r="G855" t="s">
        <v>11</v>
      </c>
      <c r="H855" t="s">
        <v>11</v>
      </c>
    </row>
    <row r="856" spans="1:8" x14ac:dyDescent="0.35">
      <c r="A856" t="s">
        <v>23</v>
      </c>
      <c r="B856" t="s">
        <v>77</v>
      </c>
      <c r="C856" t="s">
        <v>1141</v>
      </c>
      <c r="D856">
        <v>1</v>
      </c>
      <c r="E856">
        <v>6</v>
      </c>
      <c r="F856" t="s">
        <v>7</v>
      </c>
      <c r="G856" t="s">
        <v>11</v>
      </c>
      <c r="H856" t="s">
        <v>11</v>
      </c>
    </row>
    <row r="857" spans="1:8" x14ac:dyDescent="0.35">
      <c r="A857" t="s">
        <v>23</v>
      </c>
      <c r="B857" t="s">
        <v>77</v>
      </c>
      <c r="C857" t="s">
        <v>1496</v>
      </c>
      <c r="D857">
        <v>1</v>
      </c>
      <c r="E857">
        <v>6</v>
      </c>
      <c r="F857" t="s">
        <v>7</v>
      </c>
      <c r="G857" t="s">
        <v>11</v>
      </c>
      <c r="H857" t="s">
        <v>11</v>
      </c>
    </row>
    <row r="858" spans="1:8" x14ac:dyDescent="0.35">
      <c r="A858" t="s">
        <v>23</v>
      </c>
      <c r="B858" t="s">
        <v>77</v>
      </c>
      <c r="C858" t="s">
        <v>1142</v>
      </c>
      <c r="D858">
        <v>1</v>
      </c>
      <c r="E858">
        <v>6</v>
      </c>
      <c r="F858" t="s">
        <v>7</v>
      </c>
      <c r="G858" t="s">
        <v>11</v>
      </c>
      <c r="H858" t="s">
        <v>11</v>
      </c>
    </row>
    <row r="859" spans="1:8" x14ac:dyDescent="0.35">
      <c r="A859" t="s">
        <v>23</v>
      </c>
      <c r="B859" t="s">
        <v>77</v>
      </c>
      <c r="C859" t="s">
        <v>1360</v>
      </c>
      <c r="D859">
        <v>1</v>
      </c>
      <c r="E859">
        <v>5</v>
      </c>
      <c r="F859" t="s">
        <v>7</v>
      </c>
      <c r="G859" t="s">
        <v>11</v>
      </c>
      <c r="H859" t="s">
        <v>11</v>
      </c>
    </row>
    <row r="860" spans="1:8" x14ac:dyDescent="0.35">
      <c r="A860" t="s">
        <v>23</v>
      </c>
      <c r="B860" t="s">
        <v>77</v>
      </c>
      <c r="C860" t="s">
        <v>1144</v>
      </c>
      <c r="D860">
        <v>1</v>
      </c>
      <c r="E860">
        <v>5</v>
      </c>
      <c r="F860" t="s">
        <v>7</v>
      </c>
      <c r="G860" t="s">
        <v>11</v>
      </c>
      <c r="H860" t="s">
        <v>11</v>
      </c>
    </row>
    <row r="861" spans="1:8" x14ac:dyDescent="0.35">
      <c r="A861" t="s">
        <v>23</v>
      </c>
      <c r="B861" t="s">
        <v>77</v>
      </c>
      <c r="C861" t="s">
        <v>1617</v>
      </c>
      <c r="D861">
        <v>1</v>
      </c>
      <c r="E861">
        <v>6</v>
      </c>
      <c r="F861" t="s">
        <v>7</v>
      </c>
      <c r="G861" t="s">
        <v>11</v>
      </c>
      <c r="H861" t="s">
        <v>11</v>
      </c>
    </row>
    <row r="862" spans="1:8" x14ac:dyDescent="0.35">
      <c r="A862" t="s">
        <v>23</v>
      </c>
      <c r="B862" t="s">
        <v>77</v>
      </c>
      <c r="C862" t="s">
        <v>1712</v>
      </c>
      <c r="D862">
        <v>1</v>
      </c>
      <c r="E862">
        <v>5</v>
      </c>
      <c r="F862" t="s">
        <v>7</v>
      </c>
      <c r="G862" t="s">
        <v>11</v>
      </c>
      <c r="H862" t="s">
        <v>11</v>
      </c>
    </row>
    <row r="863" spans="1:8" x14ac:dyDescent="0.35">
      <c r="A863" t="s">
        <v>23</v>
      </c>
      <c r="B863" t="s">
        <v>77</v>
      </c>
      <c r="C863" t="s">
        <v>1422</v>
      </c>
      <c r="D863">
        <v>1</v>
      </c>
      <c r="E863">
        <v>6</v>
      </c>
      <c r="F863" t="s">
        <v>7</v>
      </c>
      <c r="G863" t="s">
        <v>11</v>
      </c>
      <c r="H863" t="s">
        <v>11</v>
      </c>
    </row>
    <row r="864" spans="1:8" x14ac:dyDescent="0.35">
      <c r="A864" t="s">
        <v>23</v>
      </c>
      <c r="B864" t="s">
        <v>77</v>
      </c>
      <c r="C864" t="s">
        <v>1506</v>
      </c>
      <c r="D864">
        <v>1</v>
      </c>
      <c r="E864">
        <v>6</v>
      </c>
      <c r="F864" t="s">
        <v>7</v>
      </c>
      <c r="G864" t="s">
        <v>11</v>
      </c>
      <c r="H864" t="s">
        <v>11</v>
      </c>
    </row>
    <row r="865" spans="1:8" x14ac:dyDescent="0.35">
      <c r="A865" t="s">
        <v>23</v>
      </c>
      <c r="B865" t="s">
        <v>77</v>
      </c>
      <c r="C865" t="s">
        <v>1618</v>
      </c>
      <c r="D865">
        <v>1</v>
      </c>
      <c r="E865">
        <v>6</v>
      </c>
      <c r="F865" t="s">
        <v>7</v>
      </c>
      <c r="G865" t="s">
        <v>11</v>
      </c>
      <c r="H865" t="s">
        <v>11</v>
      </c>
    </row>
    <row r="866" spans="1:8" x14ac:dyDescent="0.35">
      <c r="A866" t="s">
        <v>23</v>
      </c>
      <c r="B866" t="s">
        <v>77</v>
      </c>
      <c r="C866" t="s">
        <v>1665</v>
      </c>
      <c r="D866">
        <v>1</v>
      </c>
      <c r="E866">
        <v>5</v>
      </c>
      <c r="F866" t="s">
        <v>7</v>
      </c>
      <c r="G866" t="s">
        <v>11</v>
      </c>
      <c r="H866" t="s">
        <v>11</v>
      </c>
    </row>
    <row r="867" spans="1:8" x14ac:dyDescent="0.35">
      <c r="A867" t="s">
        <v>23</v>
      </c>
      <c r="B867" t="s">
        <v>77</v>
      </c>
      <c r="C867" t="s">
        <v>1146</v>
      </c>
      <c r="D867">
        <v>1</v>
      </c>
      <c r="E867">
        <v>5</v>
      </c>
      <c r="F867" t="s">
        <v>7</v>
      </c>
      <c r="G867" t="s">
        <v>11</v>
      </c>
      <c r="H867" t="s">
        <v>11</v>
      </c>
    </row>
    <row r="868" spans="1:8" x14ac:dyDescent="0.35">
      <c r="A868" t="s">
        <v>23</v>
      </c>
      <c r="B868" t="s">
        <v>77</v>
      </c>
      <c r="C868" t="s">
        <v>1249</v>
      </c>
      <c r="D868">
        <v>1</v>
      </c>
      <c r="E868">
        <v>6</v>
      </c>
      <c r="F868" t="s">
        <v>7</v>
      </c>
      <c r="G868" t="s">
        <v>11</v>
      </c>
      <c r="H868" t="s">
        <v>11</v>
      </c>
    </row>
    <row r="869" spans="1:8" x14ac:dyDescent="0.35">
      <c r="A869" t="s">
        <v>23</v>
      </c>
      <c r="B869" t="s">
        <v>77</v>
      </c>
      <c r="C869" t="s">
        <v>1293</v>
      </c>
      <c r="D869">
        <v>1</v>
      </c>
      <c r="E869">
        <v>6</v>
      </c>
      <c r="F869" t="s">
        <v>7</v>
      </c>
      <c r="G869" t="s">
        <v>11</v>
      </c>
      <c r="H869" t="s">
        <v>11</v>
      </c>
    </row>
    <row r="870" spans="1:8" x14ac:dyDescent="0.35">
      <c r="A870" t="s">
        <v>23</v>
      </c>
      <c r="B870" t="s">
        <v>77</v>
      </c>
      <c r="C870" t="s">
        <v>1713</v>
      </c>
      <c r="D870">
        <v>1</v>
      </c>
      <c r="E870">
        <v>6</v>
      </c>
      <c r="F870" t="s">
        <v>7</v>
      </c>
      <c r="G870" t="s">
        <v>11</v>
      </c>
      <c r="H870" t="s">
        <v>11</v>
      </c>
    </row>
    <row r="871" spans="1:8" x14ac:dyDescent="0.35">
      <c r="A871" t="s">
        <v>23</v>
      </c>
      <c r="B871" t="s">
        <v>77</v>
      </c>
      <c r="C871" t="s">
        <v>1714</v>
      </c>
      <c r="D871">
        <v>1</v>
      </c>
      <c r="E871">
        <v>5</v>
      </c>
      <c r="F871" t="s">
        <v>7</v>
      </c>
      <c r="G871" t="s">
        <v>11</v>
      </c>
      <c r="H871" t="s">
        <v>11</v>
      </c>
    </row>
    <row r="872" spans="1:8" x14ac:dyDescent="0.35">
      <c r="A872" t="s">
        <v>23</v>
      </c>
      <c r="B872" t="s">
        <v>77</v>
      </c>
      <c r="C872" t="s">
        <v>1148</v>
      </c>
      <c r="D872">
        <v>1</v>
      </c>
      <c r="E872">
        <v>5</v>
      </c>
      <c r="F872" t="s">
        <v>7</v>
      </c>
      <c r="G872" t="s">
        <v>11</v>
      </c>
      <c r="H872" t="s">
        <v>11</v>
      </c>
    </row>
    <row r="873" spans="1:8" x14ac:dyDescent="0.35">
      <c r="A873" t="s">
        <v>23</v>
      </c>
      <c r="B873" t="s">
        <v>77</v>
      </c>
      <c r="C873" t="s">
        <v>1512</v>
      </c>
      <c r="D873">
        <v>1</v>
      </c>
      <c r="E873">
        <v>5</v>
      </c>
      <c r="F873" t="s">
        <v>7</v>
      </c>
      <c r="G873" t="s">
        <v>11</v>
      </c>
      <c r="H873" t="s">
        <v>11</v>
      </c>
    </row>
    <row r="874" spans="1:8" x14ac:dyDescent="0.35">
      <c r="A874" t="s">
        <v>23</v>
      </c>
      <c r="B874" t="s">
        <v>77</v>
      </c>
      <c r="C874" t="s">
        <v>1149</v>
      </c>
      <c r="D874">
        <v>1</v>
      </c>
      <c r="E874">
        <v>5</v>
      </c>
      <c r="F874" t="s">
        <v>7</v>
      </c>
      <c r="G874" t="s">
        <v>11</v>
      </c>
      <c r="H874" t="s">
        <v>11</v>
      </c>
    </row>
    <row r="875" spans="1:8" x14ac:dyDescent="0.35">
      <c r="A875" t="s">
        <v>23</v>
      </c>
      <c r="B875" t="s">
        <v>77</v>
      </c>
      <c r="C875" t="s">
        <v>1252</v>
      </c>
      <c r="D875">
        <v>1</v>
      </c>
      <c r="E875">
        <v>5</v>
      </c>
      <c r="F875" t="s">
        <v>7</v>
      </c>
      <c r="G875" t="s">
        <v>11</v>
      </c>
      <c r="H875" t="s">
        <v>11</v>
      </c>
    </row>
    <row r="876" spans="1:8" x14ac:dyDescent="0.35">
      <c r="A876" t="s">
        <v>23</v>
      </c>
      <c r="B876" t="s">
        <v>77</v>
      </c>
      <c r="C876" t="s">
        <v>1515</v>
      </c>
      <c r="D876">
        <v>1</v>
      </c>
      <c r="E876">
        <v>5</v>
      </c>
      <c r="F876" t="s">
        <v>7</v>
      </c>
      <c r="G876" t="s">
        <v>11</v>
      </c>
      <c r="H876" t="s">
        <v>11</v>
      </c>
    </row>
    <row r="877" spans="1:8" x14ac:dyDescent="0.35">
      <c r="A877" t="s">
        <v>23</v>
      </c>
      <c r="B877" t="s">
        <v>77</v>
      </c>
      <c r="C877" t="s">
        <v>1715</v>
      </c>
      <c r="D877">
        <v>1</v>
      </c>
      <c r="E877">
        <v>5</v>
      </c>
      <c r="F877" t="s">
        <v>7</v>
      </c>
      <c r="G877" t="s">
        <v>11</v>
      </c>
      <c r="H877" t="s">
        <v>11</v>
      </c>
    </row>
    <row r="878" spans="1:8" x14ac:dyDescent="0.35">
      <c r="A878" t="s">
        <v>23</v>
      </c>
      <c r="B878" t="s">
        <v>77</v>
      </c>
      <c r="C878" t="s">
        <v>1716</v>
      </c>
      <c r="D878">
        <v>1</v>
      </c>
      <c r="E878">
        <v>6</v>
      </c>
      <c r="F878" t="s">
        <v>7</v>
      </c>
      <c r="G878" t="s">
        <v>11</v>
      </c>
      <c r="H878" t="s">
        <v>11</v>
      </c>
    </row>
    <row r="879" spans="1:8" x14ac:dyDescent="0.35">
      <c r="A879" t="s">
        <v>23</v>
      </c>
      <c r="B879" t="s">
        <v>77</v>
      </c>
      <c r="C879" t="s">
        <v>1153</v>
      </c>
      <c r="D879">
        <v>1</v>
      </c>
      <c r="E879">
        <v>5</v>
      </c>
      <c r="F879" t="s">
        <v>7</v>
      </c>
      <c r="G879" t="s">
        <v>11</v>
      </c>
      <c r="H879" t="s">
        <v>11</v>
      </c>
    </row>
    <row r="880" spans="1:8" x14ac:dyDescent="0.35">
      <c r="A880" t="s">
        <v>23</v>
      </c>
      <c r="B880" t="s">
        <v>77</v>
      </c>
      <c r="C880" t="s">
        <v>1717</v>
      </c>
      <c r="D880">
        <v>1</v>
      </c>
      <c r="E880">
        <v>5</v>
      </c>
      <c r="F880" t="s">
        <v>7</v>
      </c>
      <c r="G880" t="s">
        <v>11</v>
      </c>
      <c r="H880" t="s">
        <v>11</v>
      </c>
    </row>
    <row r="881" spans="1:8" x14ac:dyDescent="0.35">
      <c r="A881" t="s">
        <v>23</v>
      </c>
      <c r="B881" t="s">
        <v>77</v>
      </c>
      <c r="C881" t="s">
        <v>1718</v>
      </c>
      <c r="D881">
        <v>1</v>
      </c>
      <c r="E881">
        <v>5</v>
      </c>
      <c r="F881" t="s">
        <v>7</v>
      </c>
      <c r="G881" t="s">
        <v>11</v>
      </c>
      <c r="H881" t="s">
        <v>11</v>
      </c>
    </row>
    <row r="882" spans="1:8" x14ac:dyDescent="0.35">
      <c r="A882" t="s">
        <v>23</v>
      </c>
      <c r="B882" t="s">
        <v>77</v>
      </c>
      <c r="C882" t="s">
        <v>1719</v>
      </c>
      <c r="D882">
        <v>1</v>
      </c>
      <c r="E882">
        <v>5</v>
      </c>
      <c r="F882" t="s">
        <v>7</v>
      </c>
      <c r="G882" t="s">
        <v>11</v>
      </c>
      <c r="H882" t="s">
        <v>11</v>
      </c>
    </row>
    <row r="883" spans="1:8" x14ac:dyDescent="0.35">
      <c r="A883" t="s">
        <v>23</v>
      </c>
      <c r="B883" t="s">
        <v>77</v>
      </c>
      <c r="C883" t="s">
        <v>1720</v>
      </c>
      <c r="D883">
        <v>1</v>
      </c>
      <c r="E883">
        <v>6</v>
      </c>
      <c r="F883" t="s">
        <v>7</v>
      </c>
      <c r="G883" t="s">
        <v>11</v>
      </c>
      <c r="H883" t="s">
        <v>11</v>
      </c>
    </row>
    <row r="884" spans="1:8" x14ac:dyDescent="0.35">
      <c r="A884" t="s">
        <v>23</v>
      </c>
      <c r="B884" t="s">
        <v>77</v>
      </c>
      <c r="C884" t="s">
        <v>1157</v>
      </c>
      <c r="D884">
        <v>1</v>
      </c>
      <c r="E884">
        <v>5</v>
      </c>
      <c r="F884" t="s">
        <v>7</v>
      </c>
      <c r="G884" t="s">
        <v>11</v>
      </c>
      <c r="H884" t="s">
        <v>11</v>
      </c>
    </row>
    <row r="885" spans="1:8" x14ac:dyDescent="0.35">
      <c r="A885" t="s">
        <v>23</v>
      </c>
      <c r="B885" t="s">
        <v>77</v>
      </c>
      <c r="C885" t="s">
        <v>1721</v>
      </c>
      <c r="D885">
        <v>1</v>
      </c>
      <c r="E885">
        <v>5</v>
      </c>
      <c r="F885" t="s">
        <v>7</v>
      </c>
      <c r="G885" t="s">
        <v>11</v>
      </c>
      <c r="H885" t="s">
        <v>11</v>
      </c>
    </row>
    <row r="886" spans="1:8" x14ac:dyDescent="0.35">
      <c r="A886" t="s">
        <v>23</v>
      </c>
      <c r="B886" t="s">
        <v>77</v>
      </c>
      <c r="C886" t="s">
        <v>1159</v>
      </c>
      <c r="D886">
        <v>1</v>
      </c>
      <c r="E886">
        <v>5</v>
      </c>
      <c r="F886" t="s">
        <v>7</v>
      </c>
      <c r="G886" t="s">
        <v>11</v>
      </c>
      <c r="H886" t="s">
        <v>11</v>
      </c>
    </row>
    <row r="887" spans="1:8" x14ac:dyDescent="0.35">
      <c r="A887" t="s">
        <v>23</v>
      </c>
      <c r="B887" t="s">
        <v>77</v>
      </c>
      <c r="C887" t="s">
        <v>1160</v>
      </c>
      <c r="D887">
        <v>1</v>
      </c>
      <c r="E887">
        <v>5</v>
      </c>
      <c r="F887" t="s">
        <v>7</v>
      </c>
      <c r="G887" t="s">
        <v>11</v>
      </c>
      <c r="H887" t="s">
        <v>11</v>
      </c>
    </row>
    <row r="888" spans="1:8" x14ac:dyDescent="0.35">
      <c r="A888" t="s">
        <v>23</v>
      </c>
      <c r="B888" t="s">
        <v>77</v>
      </c>
      <c r="C888" t="s">
        <v>1722</v>
      </c>
      <c r="D888">
        <v>1</v>
      </c>
      <c r="E888">
        <v>5</v>
      </c>
      <c r="F888" t="s">
        <v>7</v>
      </c>
      <c r="G888" t="s">
        <v>11</v>
      </c>
      <c r="H888" t="s">
        <v>11</v>
      </c>
    </row>
    <row r="889" spans="1:8" x14ac:dyDescent="0.35">
      <c r="A889" t="s">
        <v>23</v>
      </c>
      <c r="B889" t="s">
        <v>77</v>
      </c>
      <c r="C889" t="s">
        <v>1523</v>
      </c>
      <c r="D889">
        <v>1</v>
      </c>
      <c r="E889">
        <v>6</v>
      </c>
      <c r="F889" t="s">
        <v>7</v>
      </c>
      <c r="G889" t="s">
        <v>11</v>
      </c>
      <c r="H889" t="s">
        <v>11</v>
      </c>
    </row>
    <row r="890" spans="1:8" x14ac:dyDescent="0.35">
      <c r="A890" t="s">
        <v>23</v>
      </c>
      <c r="B890" t="s">
        <v>77</v>
      </c>
      <c r="C890" t="s">
        <v>1723</v>
      </c>
      <c r="D890">
        <v>1</v>
      </c>
      <c r="E890">
        <v>5</v>
      </c>
      <c r="F890" t="s">
        <v>7</v>
      </c>
      <c r="G890" t="s">
        <v>11</v>
      </c>
      <c r="H890" t="s">
        <v>11</v>
      </c>
    </row>
    <row r="891" spans="1:8" x14ac:dyDescent="0.35">
      <c r="A891" t="s">
        <v>23</v>
      </c>
      <c r="B891" t="s">
        <v>77</v>
      </c>
      <c r="C891" t="s">
        <v>1162</v>
      </c>
      <c r="D891">
        <v>1</v>
      </c>
      <c r="E891">
        <v>5</v>
      </c>
      <c r="F891" t="s">
        <v>7</v>
      </c>
      <c r="G891" t="s">
        <v>11</v>
      </c>
      <c r="H891" t="s">
        <v>11</v>
      </c>
    </row>
    <row r="892" spans="1:8" x14ac:dyDescent="0.35">
      <c r="A892" t="s">
        <v>23</v>
      </c>
      <c r="B892" t="s">
        <v>77</v>
      </c>
      <c r="C892" t="s">
        <v>1163</v>
      </c>
      <c r="D892">
        <v>1</v>
      </c>
      <c r="E892">
        <v>5</v>
      </c>
      <c r="F892" t="s">
        <v>7</v>
      </c>
      <c r="G892" t="s">
        <v>11</v>
      </c>
      <c r="H892" t="s">
        <v>11</v>
      </c>
    </row>
    <row r="893" spans="1:8" x14ac:dyDescent="0.35">
      <c r="A893" t="s">
        <v>23</v>
      </c>
      <c r="B893" t="s">
        <v>77</v>
      </c>
      <c r="C893" t="s">
        <v>1724</v>
      </c>
      <c r="D893">
        <v>1</v>
      </c>
      <c r="E893">
        <v>5</v>
      </c>
      <c r="F893" t="s">
        <v>7</v>
      </c>
      <c r="G893" t="s">
        <v>11</v>
      </c>
      <c r="H893" t="s">
        <v>11</v>
      </c>
    </row>
    <row r="894" spans="1:8" x14ac:dyDescent="0.35">
      <c r="A894" t="s">
        <v>23</v>
      </c>
      <c r="B894" t="s">
        <v>77</v>
      </c>
      <c r="C894" t="s">
        <v>1725</v>
      </c>
      <c r="D894">
        <v>1</v>
      </c>
      <c r="E894">
        <v>6</v>
      </c>
      <c r="F894" t="s">
        <v>7</v>
      </c>
      <c r="G894" t="s">
        <v>11</v>
      </c>
      <c r="H894" t="s">
        <v>11</v>
      </c>
    </row>
    <row r="895" spans="1:8" x14ac:dyDescent="0.35">
      <c r="A895" t="s">
        <v>23</v>
      </c>
      <c r="B895" t="s">
        <v>77</v>
      </c>
      <c r="C895" t="s">
        <v>1439</v>
      </c>
      <c r="D895">
        <v>1</v>
      </c>
      <c r="E895">
        <v>6</v>
      </c>
      <c r="F895" t="s">
        <v>7</v>
      </c>
      <c r="G895" t="s">
        <v>11</v>
      </c>
      <c r="H895" t="s">
        <v>11</v>
      </c>
    </row>
    <row r="896" spans="1:8" x14ac:dyDescent="0.35">
      <c r="A896" t="s">
        <v>23</v>
      </c>
      <c r="B896" t="s">
        <v>77</v>
      </c>
      <c r="C896" t="s">
        <v>1726</v>
      </c>
      <c r="D896">
        <v>1</v>
      </c>
      <c r="E896">
        <v>5</v>
      </c>
      <c r="F896" t="s">
        <v>7</v>
      </c>
      <c r="G896" t="s">
        <v>11</v>
      </c>
      <c r="H896" t="s">
        <v>11</v>
      </c>
    </row>
    <row r="897" spans="1:8" x14ac:dyDescent="0.35">
      <c r="A897" t="s">
        <v>23</v>
      </c>
      <c r="B897" t="s">
        <v>77</v>
      </c>
      <c r="C897" t="s">
        <v>1727</v>
      </c>
      <c r="D897">
        <v>1</v>
      </c>
      <c r="E897">
        <v>6</v>
      </c>
      <c r="F897" t="s">
        <v>7</v>
      </c>
      <c r="G897" t="s">
        <v>11</v>
      </c>
      <c r="H897" t="s">
        <v>11</v>
      </c>
    </row>
    <row r="898" spans="1:8" x14ac:dyDescent="0.35">
      <c r="A898" t="s">
        <v>23</v>
      </c>
      <c r="B898" t="s">
        <v>77</v>
      </c>
      <c r="C898" t="s">
        <v>1728</v>
      </c>
      <c r="D898">
        <v>1</v>
      </c>
      <c r="E898">
        <v>6</v>
      </c>
      <c r="F898" t="s">
        <v>7</v>
      </c>
      <c r="G898" t="s">
        <v>11</v>
      </c>
      <c r="H898" t="s">
        <v>11</v>
      </c>
    </row>
    <row r="899" spans="1:8" x14ac:dyDescent="0.35">
      <c r="A899" t="s">
        <v>23</v>
      </c>
      <c r="B899" t="s">
        <v>77</v>
      </c>
      <c r="C899" t="s">
        <v>1729</v>
      </c>
      <c r="D899">
        <v>1</v>
      </c>
      <c r="E899">
        <v>6</v>
      </c>
      <c r="F899" t="s">
        <v>7</v>
      </c>
      <c r="G899" t="s">
        <v>11</v>
      </c>
      <c r="H899" t="s">
        <v>11</v>
      </c>
    </row>
    <row r="900" spans="1:8" x14ac:dyDescent="0.35">
      <c r="A900" t="s">
        <v>23</v>
      </c>
      <c r="B900" t="s">
        <v>77</v>
      </c>
      <c r="C900" t="s">
        <v>1265</v>
      </c>
      <c r="D900">
        <v>1</v>
      </c>
      <c r="E900">
        <v>5</v>
      </c>
      <c r="F900" t="s">
        <v>7</v>
      </c>
      <c r="G900" t="s">
        <v>11</v>
      </c>
      <c r="H900" t="s">
        <v>11</v>
      </c>
    </row>
    <row r="901" spans="1:8" x14ac:dyDescent="0.35">
      <c r="A901" t="s">
        <v>23</v>
      </c>
      <c r="B901" t="s">
        <v>77</v>
      </c>
      <c r="C901" t="s">
        <v>1730</v>
      </c>
      <c r="D901">
        <v>1</v>
      </c>
      <c r="E901">
        <v>5</v>
      </c>
      <c r="F901" t="s">
        <v>7</v>
      </c>
      <c r="G901" t="s">
        <v>11</v>
      </c>
      <c r="H901" t="s">
        <v>11</v>
      </c>
    </row>
    <row r="902" spans="1:8" x14ac:dyDescent="0.35">
      <c r="A902" t="s">
        <v>23</v>
      </c>
      <c r="B902" t="s">
        <v>77</v>
      </c>
      <c r="C902" t="s">
        <v>1731</v>
      </c>
      <c r="D902">
        <v>1</v>
      </c>
      <c r="E902">
        <v>5</v>
      </c>
      <c r="F902" t="s">
        <v>7</v>
      </c>
      <c r="G902" t="s">
        <v>11</v>
      </c>
      <c r="H902" t="s">
        <v>11</v>
      </c>
    </row>
    <row r="903" spans="1:8" x14ac:dyDescent="0.35">
      <c r="A903" t="s">
        <v>23</v>
      </c>
      <c r="B903" t="s">
        <v>77</v>
      </c>
      <c r="C903" t="s">
        <v>1732</v>
      </c>
      <c r="D903">
        <v>1</v>
      </c>
      <c r="E903">
        <v>5</v>
      </c>
      <c r="F903" t="s">
        <v>7</v>
      </c>
      <c r="G903" t="s">
        <v>11</v>
      </c>
      <c r="H903" t="s">
        <v>11</v>
      </c>
    </row>
    <row r="904" spans="1:8" x14ac:dyDescent="0.35">
      <c r="A904" t="s">
        <v>23</v>
      </c>
      <c r="B904" t="s">
        <v>77</v>
      </c>
      <c r="C904" t="s">
        <v>1733</v>
      </c>
      <c r="D904">
        <v>1</v>
      </c>
      <c r="E904">
        <v>6</v>
      </c>
      <c r="F904" t="s">
        <v>7</v>
      </c>
      <c r="G904" t="s">
        <v>11</v>
      </c>
      <c r="H904" t="s">
        <v>11</v>
      </c>
    </row>
    <row r="905" spans="1:8" x14ac:dyDescent="0.35">
      <c r="A905" t="s">
        <v>23</v>
      </c>
      <c r="B905" t="s">
        <v>77</v>
      </c>
      <c r="C905" t="s">
        <v>1271</v>
      </c>
      <c r="D905">
        <v>1</v>
      </c>
      <c r="E905">
        <v>5</v>
      </c>
      <c r="F905" t="s">
        <v>7</v>
      </c>
      <c r="G905" t="s">
        <v>11</v>
      </c>
      <c r="H905" t="s">
        <v>11</v>
      </c>
    </row>
    <row r="906" spans="1:8" x14ac:dyDescent="0.35">
      <c r="A906" t="s">
        <v>23</v>
      </c>
      <c r="B906" t="s">
        <v>77</v>
      </c>
      <c r="C906" t="s">
        <v>1171</v>
      </c>
      <c r="D906">
        <v>1</v>
      </c>
      <c r="E906">
        <v>5</v>
      </c>
      <c r="F906" t="s">
        <v>7</v>
      </c>
      <c r="G906" t="s">
        <v>11</v>
      </c>
      <c r="H906" t="s">
        <v>11</v>
      </c>
    </row>
    <row r="907" spans="1:8" x14ac:dyDescent="0.35">
      <c r="A907" t="s">
        <v>23</v>
      </c>
      <c r="B907" t="s">
        <v>77</v>
      </c>
      <c r="C907" t="s">
        <v>1734</v>
      </c>
      <c r="D907">
        <v>1</v>
      </c>
      <c r="E907">
        <v>6</v>
      </c>
      <c r="F907" t="s">
        <v>7</v>
      </c>
      <c r="G907" t="s">
        <v>11</v>
      </c>
      <c r="H907" t="s">
        <v>11</v>
      </c>
    </row>
    <row r="908" spans="1:8" x14ac:dyDescent="0.35">
      <c r="A908" t="s">
        <v>23</v>
      </c>
      <c r="B908" t="s">
        <v>77</v>
      </c>
      <c r="C908" t="s">
        <v>1735</v>
      </c>
      <c r="D908">
        <v>1</v>
      </c>
      <c r="E908">
        <v>5</v>
      </c>
      <c r="F908" t="s">
        <v>7</v>
      </c>
      <c r="G908" t="s">
        <v>11</v>
      </c>
      <c r="H908" t="s">
        <v>11</v>
      </c>
    </row>
    <row r="909" spans="1:8" x14ac:dyDescent="0.35">
      <c r="A909" t="s">
        <v>23</v>
      </c>
      <c r="B909" t="s">
        <v>77</v>
      </c>
      <c r="C909" t="s">
        <v>1736</v>
      </c>
      <c r="D909">
        <v>1</v>
      </c>
      <c r="E909">
        <v>5</v>
      </c>
      <c r="F909" t="s">
        <v>7</v>
      </c>
      <c r="G909" t="s">
        <v>11</v>
      </c>
      <c r="H909" t="s">
        <v>11</v>
      </c>
    </row>
    <row r="910" spans="1:8" x14ac:dyDescent="0.35">
      <c r="A910" t="s">
        <v>23</v>
      </c>
      <c r="B910" t="s">
        <v>77</v>
      </c>
      <c r="C910" t="s">
        <v>1450</v>
      </c>
      <c r="D910">
        <v>1</v>
      </c>
      <c r="E910">
        <v>5</v>
      </c>
      <c r="F910" t="s">
        <v>7</v>
      </c>
      <c r="G910" t="s">
        <v>11</v>
      </c>
      <c r="H910" t="s">
        <v>11</v>
      </c>
    </row>
    <row r="911" spans="1:8" x14ac:dyDescent="0.35">
      <c r="A911" t="s">
        <v>23</v>
      </c>
      <c r="B911" t="s">
        <v>77</v>
      </c>
      <c r="C911" t="s">
        <v>1277</v>
      </c>
      <c r="D911">
        <v>1</v>
      </c>
      <c r="E911">
        <v>5</v>
      </c>
      <c r="F911" t="s">
        <v>7</v>
      </c>
      <c r="G911" t="s">
        <v>11</v>
      </c>
      <c r="H911" t="s">
        <v>11</v>
      </c>
    </row>
    <row r="912" spans="1:8" x14ac:dyDescent="0.35">
      <c r="A912" t="s">
        <v>23</v>
      </c>
      <c r="B912" t="s">
        <v>77</v>
      </c>
      <c r="C912" t="s">
        <v>1278</v>
      </c>
      <c r="D912">
        <v>1</v>
      </c>
      <c r="E912">
        <v>5</v>
      </c>
      <c r="F912" t="s">
        <v>7</v>
      </c>
      <c r="G912" t="s">
        <v>11</v>
      </c>
      <c r="H912" t="s">
        <v>11</v>
      </c>
    </row>
    <row r="913" spans="1:8" x14ac:dyDescent="0.35">
      <c r="A913" t="s">
        <v>23</v>
      </c>
      <c r="B913" t="s">
        <v>77</v>
      </c>
      <c r="C913" t="s">
        <v>1737</v>
      </c>
      <c r="D913">
        <v>1</v>
      </c>
      <c r="E913">
        <v>5</v>
      </c>
      <c r="F913" t="s">
        <v>7</v>
      </c>
      <c r="G913" t="s">
        <v>11</v>
      </c>
      <c r="H913" t="s">
        <v>11</v>
      </c>
    </row>
    <row r="914" spans="1:8" x14ac:dyDescent="0.35">
      <c r="A914" t="s">
        <v>23</v>
      </c>
      <c r="B914" t="s">
        <v>77</v>
      </c>
      <c r="C914" t="s">
        <v>1555</v>
      </c>
      <c r="D914">
        <v>1</v>
      </c>
      <c r="E914">
        <v>5</v>
      </c>
      <c r="F914" t="s">
        <v>7</v>
      </c>
      <c r="G914" t="s">
        <v>11</v>
      </c>
      <c r="H914" t="s">
        <v>11</v>
      </c>
    </row>
    <row r="915" spans="1:8" x14ac:dyDescent="0.35">
      <c r="A915" t="s">
        <v>23</v>
      </c>
      <c r="B915" t="s">
        <v>77</v>
      </c>
      <c r="C915" t="s">
        <v>1177</v>
      </c>
      <c r="D915">
        <v>1</v>
      </c>
      <c r="E915">
        <v>5</v>
      </c>
      <c r="F915" t="s">
        <v>7</v>
      </c>
      <c r="G915" t="s">
        <v>11</v>
      </c>
      <c r="H915" t="s">
        <v>11</v>
      </c>
    </row>
    <row r="916" spans="1:8" x14ac:dyDescent="0.35">
      <c r="A916" t="s">
        <v>23</v>
      </c>
      <c r="B916" t="s">
        <v>77</v>
      </c>
      <c r="C916" t="s">
        <v>1556</v>
      </c>
      <c r="D916">
        <v>1</v>
      </c>
      <c r="E916">
        <v>5</v>
      </c>
      <c r="F916" t="s">
        <v>7</v>
      </c>
      <c r="G916" t="s">
        <v>11</v>
      </c>
      <c r="H916" t="s">
        <v>11</v>
      </c>
    </row>
    <row r="917" spans="1:8" x14ac:dyDescent="0.35">
      <c r="A917" t="s">
        <v>23</v>
      </c>
      <c r="B917" t="s">
        <v>77</v>
      </c>
      <c r="C917" t="s">
        <v>1557</v>
      </c>
      <c r="D917">
        <v>1</v>
      </c>
      <c r="E917">
        <v>6</v>
      </c>
      <c r="F917" t="s">
        <v>7</v>
      </c>
      <c r="G917" t="s">
        <v>11</v>
      </c>
      <c r="H917" t="s">
        <v>11</v>
      </c>
    </row>
    <row r="918" spans="1:8" x14ac:dyDescent="0.35">
      <c r="A918" t="s">
        <v>23</v>
      </c>
      <c r="B918" t="s">
        <v>77</v>
      </c>
      <c r="C918" t="s">
        <v>1653</v>
      </c>
      <c r="D918">
        <v>1</v>
      </c>
      <c r="E918">
        <v>6</v>
      </c>
      <c r="F918" t="s">
        <v>7</v>
      </c>
      <c r="G918" t="s">
        <v>11</v>
      </c>
      <c r="H918" t="s">
        <v>11</v>
      </c>
    </row>
    <row r="919" spans="1:8" x14ac:dyDescent="0.35">
      <c r="A919" t="s">
        <v>23</v>
      </c>
      <c r="B919" t="s">
        <v>77</v>
      </c>
      <c r="C919" t="s">
        <v>1738</v>
      </c>
      <c r="D919">
        <v>1</v>
      </c>
      <c r="E919">
        <v>6</v>
      </c>
      <c r="F919" t="s">
        <v>7</v>
      </c>
      <c r="G919" t="s">
        <v>11</v>
      </c>
      <c r="H919" t="s">
        <v>11</v>
      </c>
    </row>
    <row r="920" spans="1:8" x14ac:dyDescent="0.35">
      <c r="A920" t="s">
        <v>23</v>
      </c>
      <c r="B920" t="s">
        <v>77</v>
      </c>
      <c r="C920" t="s">
        <v>1739</v>
      </c>
      <c r="D920">
        <v>1</v>
      </c>
      <c r="E920">
        <v>5</v>
      </c>
      <c r="F920" t="s">
        <v>7</v>
      </c>
      <c r="G920" t="s">
        <v>11</v>
      </c>
      <c r="H920" t="s">
        <v>11</v>
      </c>
    </row>
    <row r="921" spans="1:8" x14ac:dyDescent="0.35">
      <c r="A921" t="s">
        <v>23</v>
      </c>
      <c r="B921" t="s">
        <v>77</v>
      </c>
      <c r="C921" t="s">
        <v>1562</v>
      </c>
      <c r="D921">
        <v>1</v>
      </c>
      <c r="E921">
        <v>6</v>
      </c>
      <c r="F921" t="s">
        <v>7</v>
      </c>
      <c r="G921" t="s">
        <v>11</v>
      </c>
      <c r="H921" t="s">
        <v>11</v>
      </c>
    </row>
    <row r="922" spans="1:8" x14ac:dyDescent="0.35">
      <c r="A922" t="s">
        <v>23</v>
      </c>
      <c r="B922" t="s">
        <v>77</v>
      </c>
      <c r="C922" t="s">
        <v>1740</v>
      </c>
      <c r="D922">
        <v>1</v>
      </c>
      <c r="E922">
        <v>6</v>
      </c>
      <c r="F922" t="s">
        <v>7</v>
      </c>
      <c r="G922" t="s">
        <v>11</v>
      </c>
      <c r="H922" t="s">
        <v>11</v>
      </c>
    </row>
    <row r="923" spans="1:8" x14ac:dyDescent="0.35">
      <c r="A923" t="s">
        <v>27</v>
      </c>
      <c r="B923" t="s">
        <v>91</v>
      </c>
      <c r="C923" t="s">
        <v>1655</v>
      </c>
      <c r="D923">
        <v>2</v>
      </c>
      <c r="E923">
        <v>4</v>
      </c>
      <c r="F923" t="s">
        <v>7</v>
      </c>
      <c r="G923" t="s">
        <v>11</v>
      </c>
      <c r="H923" t="s">
        <v>11</v>
      </c>
    </row>
    <row r="924" spans="1:8" x14ac:dyDescent="0.35">
      <c r="A924" t="s">
        <v>27</v>
      </c>
      <c r="B924" t="s">
        <v>91</v>
      </c>
      <c r="C924" t="s">
        <v>1741</v>
      </c>
      <c r="D924">
        <v>2</v>
      </c>
      <c r="E924">
        <v>4</v>
      </c>
      <c r="F924" t="s">
        <v>7</v>
      </c>
      <c r="G924" t="s">
        <v>11</v>
      </c>
      <c r="H924" t="s">
        <v>11</v>
      </c>
    </row>
    <row r="925" spans="1:8" x14ac:dyDescent="0.35">
      <c r="A925" t="s">
        <v>27</v>
      </c>
      <c r="B925" t="s">
        <v>91</v>
      </c>
      <c r="C925" t="s">
        <v>1742</v>
      </c>
      <c r="D925">
        <v>1</v>
      </c>
      <c r="E925">
        <v>4</v>
      </c>
      <c r="F925" t="s">
        <v>7</v>
      </c>
      <c r="G925" t="s">
        <v>11</v>
      </c>
      <c r="H925" t="s">
        <v>11</v>
      </c>
    </row>
    <row r="926" spans="1:8" x14ac:dyDescent="0.35">
      <c r="A926" t="s">
        <v>27</v>
      </c>
      <c r="B926" t="s">
        <v>91</v>
      </c>
      <c r="C926" t="s">
        <v>1743</v>
      </c>
      <c r="D926">
        <v>2</v>
      </c>
      <c r="E926">
        <v>4</v>
      </c>
      <c r="F926" t="s">
        <v>7</v>
      </c>
      <c r="G926" t="s">
        <v>11</v>
      </c>
      <c r="H926" t="s">
        <v>11</v>
      </c>
    </row>
    <row r="927" spans="1:8" x14ac:dyDescent="0.35">
      <c r="A927" t="s">
        <v>27</v>
      </c>
      <c r="B927" t="s">
        <v>91</v>
      </c>
      <c r="C927" t="s">
        <v>1744</v>
      </c>
      <c r="D927">
        <v>1</v>
      </c>
      <c r="E927">
        <v>4</v>
      </c>
      <c r="F927" t="s">
        <v>7</v>
      </c>
      <c r="G927" t="s">
        <v>11</v>
      </c>
      <c r="H927" t="s">
        <v>11</v>
      </c>
    </row>
    <row r="928" spans="1:8" x14ac:dyDescent="0.35">
      <c r="A928" t="s">
        <v>27</v>
      </c>
      <c r="B928" t="s">
        <v>91</v>
      </c>
      <c r="C928" t="s">
        <v>1745</v>
      </c>
      <c r="D928">
        <v>2</v>
      </c>
      <c r="E928">
        <v>4</v>
      </c>
      <c r="F928" t="s">
        <v>7</v>
      </c>
      <c r="G928" t="s">
        <v>11</v>
      </c>
      <c r="H928" t="s">
        <v>11</v>
      </c>
    </row>
    <row r="929" spans="1:8" x14ac:dyDescent="0.35">
      <c r="A929" t="s">
        <v>27</v>
      </c>
      <c r="B929" t="s">
        <v>91</v>
      </c>
      <c r="C929" t="s">
        <v>1603</v>
      </c>
      <c r="D929">
        <v>1</v>
      </c>
      <c r="E929">
        <v>4</v>
      </c>
      <c r="F929" t="s">
        <v>7</v>
      </c>
      <c r="G929" t="s">
        <v>11</v>
      </c>
      <c r="H929" t="s">
        <v>11</v>
      </c>
    </row>
    <row r="930" spans="1:8" x14ac:dyDescent="0.35">
      <c r="A930" t="s">
        <v>27</v>
      </c>
      <c r="B930" t="s">
        <v>91</v>
      </c>
      <c r="C930" t="s">
        <v>1119</v>
      </c>
      <c r="D930">
        <v>2</v>
      </c>
      <c r="E930">
        <v>4</v>
      </c>
      <c r="F930" t="s">
        <v>7</v>
      </c>
      <c r="G930" t="s">
        <v>11</v>
      </c>
      <c r="H930" t="s">
        <v>11</v>
      </c>
    </row>
    <row r="931" spans="1:8" x14ac:dyDescent="0.35">
      <c r="A931" t="s">
        <v>27</v>
      </c>
      <c r="B931" t="s">
        <v>91</v>
      </c>
      <c r="C931" t="s">
        <v>1746</v>
      </c>
      <c r="D931">
        <v>2</v>
      </c>
      <c r="E931">
        <v>4</v>
      </c>
      <c r="F931" t="s">
        <v>7</v>
      </c>
      <c r="G931" t="s">
        <v>11</v>
      </c>
      <c r="H931" t="s">
        <v>11</v>
      </c>
    </row>
    <row r="932" spans="1:8" x14ac:dyDescent="0.35">
      <c r="A932" t="s">
        <v>27</v>
      </c>
      <c r="B932" t="s">
        <v>91</v>
      </c>
      <c r="C932" t="s">
        <v>1747</v>
      </c>
      <c r="D932">
        <v>2</v>
      </c>
      <c r="E932">
        <v>4</v>
      </c>
      <c r="F932" t="s">
        <v>7</v>
      </c>
      <c r="G932" t="s">
        <v>11</v>
      </c>
      <c r="H932" t="s">
        <v>11</v>
      </c>
    </row>
    <row r="933" spans="1:8" x14ac:dyDescent="0.35">
      <c r="A933" t="s">
        <v>27</v>
      </c>
      <c r="B933" t="s">
        <v>91</v>
      </c>
      <c r="C933" t="s">
        <v>1122</v>
      </c>
      <c r="D933">
        <v>2</v>
      </c>
      <c r="E933">
        <v>4</v>
      </c>
      <c r="F933" t="s">
        <v>7</v>
      </c>
      <c r="G933" t="s">
        <v>11</v>
      </c>
      <c r="H933" t="s">
        <v>11</v>
      </c>
    </row>
    <row r="934" spans="1:8" x14ac:dyDescent="0.35">
      <c r="A934" t="s">
        <v>27</v>
      </c>
      <c r="B934" t="s">
        <v>91</v>
      </c>
      <c r="C934" t="s">
        <v>1347</v>
      </c>
      <c r="D934">
        <v>1</v>
      </c>
      <c r="E934">
        <v>5</v>
      </c>
      <c r="F934" t="s">
        <v>7</v>
      </c>
      <c r="G934" t="s">
        <v>11</v>
      </c>
      <c r="H934" t="s">
        <v>11</v>
      </c>
    </row>
    <row r="935" spans="1:8" x14ac:dyDescent="0.35">
      <c r="A935" t="s">
        <v>27</v>
      </c>
      <c r="B935" t="s">
        <v>91</v>
      </c>
      <c r="C935" t="s">
        <v>1233</v>
      </c>
      <c r="D935">
        <v>2</v>
      </c>
      <c r="E935">
        <v>4</v>
      </c>
      <c r="F935" t="s">
        <v>7</v>
      </c>
      <c r="G935" t="s">
        <v>11</v>
      </c>
      <c r="H935" t="s">
        <v>11</v>
      </c>
    </row>
    <row r="936" spans="1:8" x14ac:dyDescent="0.35">
      <c r="A936" t="s">
        <v>27</v>
      </c>
      <c r="B936" t="s">
        <v>91</v>
      </c>
      <c r="C936" t="s">
        <v>1126</v>
      </c>
      <c r="D936">
        <v>1</v>
      </c>
      <c r="E936">
        <v>4</v>
      </c>
      <c r="F936" t="s">
        <v>7</v>
      </c>
      <c r="G936" t="s">
        <v>11</v>
      </c>
      <c r="H936" t="s">
        <v>11</v>
      </c>
    </row>
    <row r="937" spans="1:8" x14ac:dyDescent="0.35">
      <c r="A937" t="s">
        <v>27</v>
      </c>
      <c r="B937" t="s">
        <v>91</v>
      </c>
      <c r="C937" t="s">
        <v>1748</v>
      </c>
      <c r="D937">
        <v>1</v>
      </c>
      <c r="E937">
        <v>5</v>
      </c>
      <c r="F937" t="s">
        <v>7</v>
      </c>
      <c r="G937" t="s">
        <v>11</v>
      </c>
      <c r="H937" t="s">
        <v>11</v>
      </c>
    </row>
    <row r="938" spans="1:8" x14ac:dyDescent="0.35">
      <c r="A938" t="s">
        <v>27</v>
      </c>
      <c r="B938" t="s">
        <v>91</v>
      </c>
      <c r="C938" t="s">
        <v>1749</v>
      </c>
      <c r="D938">
        <v>2</v>
      </c>
      <c r="E938">
        <v>4</v>
      </c>
      <c r="F938" t="s">
        <v>7</v>
      </c>
      <c r="G938" t="s">
        <v>11</v>
      </c>
      <c r="H938" t="s">
        <v>11</v>
      </c>
    </row>
    <row r="939" spans="1:8" x14ac:dyDescent="0.35">
      <c r="A939" t="s">
        <v>27</v>
      </c>
      <c r="B939" t="s">
        <v>91</v>
      </c>
      <c r="C939" t="s">
        <v>1750</v>
      </c>
      <c r="D939">
        <v>2</v>
      </c>
      <c r="E939">
        <v>4</v>
      </c>
      <c r="F939" t="s">
        <v>7</v>
      </c>
      <c r="G939" t="s">
        <v>11</v>
      </c>
      <c r="H939" t="s">
        <v>11</v>
      </c>
    </row>
    <row r="940" spans="1:8" x14ac:dyDescent="0.35">
      <c r="A940" t="s">
        <v>27</v>
      </c>
      <c r="B940" t="s">
        <v>91</v>
      </c>
      <c r="C940" t="s">
        <v>1751</v>
      </c>
      <c r="D940">
        <v>2</v>
      </c>
      <c r="E940">
        <v>4</v>
      </c>
      <c r="F940" t="s">
        <v>7</v>
      </c>
      <c r="G940" t="s">
        <v>11</v>
      </c>
      <c r="H940" t="s">
        <v>11</v>
      </c>
    </row>
    <row r="941" spans="1:8" x14ac:dyDescent="0.35">
      <c r="A941" t="s">
        <v>27</v>
      </c>
      <c r="B941" t="s">
        <v>91</v>
      </c>
      <c r="C941" t="s">
        <v>1238</v>
      </c>
      <c r="D941">
        <v>2</v>
      </c>
      <c r="E941">
        <v>4</v>
      </c>
      <c r="F941" t="s">
        <v>7</v>
      </c>
      <c r="G941" t="s">
        <v>11</v>
      </c>
      <c r="H941" t="s">
        <v>11</v>
      </c>
    </row>
    <row r="942" spans="1:8" x14ac:dyDescent="0.35">
      <c r="A942" t="s">
        <v>27</v>
      </c>
      <c r="B942" t="s">
        <v>91</v>
      </c>
      <c r="C942" t="s">
        <v>1485</v>
      </c>
      <c r="D942">
        <v>1</v>
      </c>
      <c r="E942">
        <v>5</v>
      </c>
      <c r="F942" t="s">
        <v>7</v>
      </c>
      <c r="G942" t="s">
        <v>11</v>
      </c>
      <c r="H942" t="s">
        <v>11</v>
      </c>
    </row>
    <row r="943" spans="1:8" x14ac:dyDescent="0.35">
      <c r="A943" t="s">
        <v>27</v>
      </c>
      <c r="B943" t="s">
        <v>91</v>
      </c>
      <c r="C943" t="s">
        <v>1709</v>
      </c>
      <c r="D943">
        <v>1</v>
      </c>
      <c r="E943">
        <v>4</v>
      </c>
      <c r="F943" t="s">
        <v>7</v>
      </c>
      <c r="G943" t="s">
        <v>11</v>
      </c>
      <c r="H943" t="s">
        <v>11</v>
      </c>
    </row>
    <row r="944" spans="1:8" x14ac:dyDescent="0.35">
      <c r="A944" t="s">
        <v>27</v>
      </c>
      <c r="B944" t="s">
        <v>91</v>
      </c>
      <c r="C944" t="s">
        <v>1752</v>
      </c>
      <c r="D944">
        <v>2</v>
      </c>
      <c r="E944">
        <v>4</v>
      </c>
      <c r="F944" t="s">
        <v>7</v>
      </c>
      <c r="G944" t="s">
        <v>11</v>
      </c>
      <c r="H944" t="s">
        <v>11</v>
      </c>
    </row>
    <row r="945" spans="1:8" x14ac:dyDescent="0.35">
      <c r="A945" t="s">
        <v>27</v>
      </c>
      <c r="B945" t="s">
        <v>91</v>
      </c>
      <c r="C945" t="s">
        <v>1356</v>
      </c>
      <c r="D945">
        <v>1</v>
      </c>
      <c r="E945">
        <v>4</v>
      </c>
      <c r="F945" t="s">
        <v>7</v>
      </c>
      <c r="G945" t="s">
        <v>11</v>
      </c>
      <c r="H945" t="s">
        <v>11</v>
      </c>
    </row>
    <row r="946" spans="1:8" x14ac:dyDescent="0.35">
      <c r="A946" t="s">
        <v>27</v>
      </c>
      <c r="B946" t="s">
        <v>91</v>
      </c>
      <c r="C946" t="s">
        <v>1614</v>
      </c>
      <c r="D946">
        <v>2</v>
      </c>
      <c r="E946">
        <v>4</v>
      </c>
      <c r="F946" t="s">
        <v>7</v>
      </c>
      <c r="G946" t="s">
        <v>11</v>
      </c>
      <c r="H946" t="s">
        <v>11</v>
      </c>
    </row>
    <row r="947" spans="1:8" x14ac:dyDescent="0.35">
      <c r="A947" t="s">
        <v>27</v>
      </c>
      <c r="B947" t="s">
        <v>91</v>
      </c>
      <c r="C947" t="s">
        <v>1753</v>
      </c>
      <c r="D947">
        <v>2</v>
      </c>
      <c r="E947">
        <v>4</v>
      </c>
      <c r="F947" t="s">
        <v>7</v>
      </c>
      <c r="G947" t="s">
        <v>11</v>
      </c>
      <c r="H947" t="s">
        <v>11</v>
      </c>
    </row>
    <row r="948" spans="1:8" x14ac:dyDescent="0.35">
      <c r="A948" t="s">
        <v>27</v>
      </c>
      <c r="B948" t="s">
        <v>91</v>
      </c>
      <c r="C948" t="s">
        <v>1754</v>
      </c>
      <c r="D948">
        <v>1</v>
      </c>
      <c r="E948">
        <v>5</v>
      </c>
      <c r="F948" t="s">
        <v>7</v>
      </c>
      <c r="G948" t="s">
        <v>11</v>
      </c>
      <c r="H948" t="s">
        <v>11</v>
      </c>
    </row>
    <row r="949" spans="1:8" x14ac:dyDescent="0.35">
      <c r="A949" t="s">
        <v>27</v>
      </c>
      <c r="B949" t="s">
        <v>91</v>
      </c>
      <c r="C949" t="s">
        <v>1755</v>
      </c>
      <c r="D949">
        <v>1</v>
      </c>
      <c r="E949">
        <v>4</v>
      </c>
      <c r="F949" t="s">
        <v>7</v>
      </c>
      <c r="G949" t="s">
        <v>11</v>
      </c>
      <c r="H949" t="s">
        <v>11</v>
      </c>
    </row>
    <row r="950" spans="1:8" x14ac:dyDescent="0.35">
      <c r="A950" t="s">
        <v>27</v>
      </c>
      <c r="B950" t="s">
        <v>91</v>
      </c>
      <c r="C950" t="s">
        <v>1756</v>
      </c>
      <c r="D950">
        <v>1</v>
      </c>
      <c r="E950">
        <v>4</v>
      </c>
      <c r="F950" t="s">
        <v>7</v>
      </c>
      <c r="G950" t="s">
        <v>11</v>
      </c>
      <c r="H950" t="s">
        <v>11</v>
      </c>
    </row>
    <row r="951" spans="1:8" x14ac:dyDescent="0.35">
      <c r="A951" t="s">
        <v>27</v>
      </c>
      <c r="B951" t="s">
        <v>91</v>
      </c>
      <c r="C951" t="s">
        <v>1615</v>
      </c>
      <c r="D951">
        <v>1</v>
      </c>
      <c r="E951">
        <v>4</v>
      </c>
      <c r="F951" t="s">
        <v>7</v>
      </c>
      <c r="G951" t="s">
        <v>11</v>
      </c>
      <c r="H951" t="s">
        <v>11</v>
      </c>
    </row>
    <row r="952" spans="1:8" x14ac:dyDescent="0.35">
      <c r="A952" t="s">
        <v>27</v>
      </c>
      <c r="B952" t="s">
        <v>91</v>
      </c>
      <c r="C952" t="s">
        <v>1142</v>
      </c>
      <c r="D952">
        <v>2</v>
      </c>
      <c r="E952">
        <v>4</v>
      </c>
      <c r="F952" t="s">
        <v>7</v>
      </c>
      <c r="G952" t="s">
        <v>11</v>
      </c>
      <c r="H952" t="s">
        <v>11</v>
      </c>
    </row>
    <row r="953" spans="1:8" x14ac:dyDescent="0.35">
      <c r="A953" t="s">
        <v>27</v>
      </c>
      <c r="B953" t="s">
        <v>91</v>
      </c>
      <c r="C953" t="s">
        <v>1757</v>
      </c>
      <c r="D953">
        <v>1</v>
      </c>
      <c r="E953">
        <v>4</v>
      </c>
      <c r="F953" t="s">
        <v>7</v>
      </c>
      <c r="G953" t="s">
        <v>11</v>
      </c>
      <c r="H953" t="s">
        <v>11</v>
      </c>
    </row>
    <row r="954" spans="1:8" x14ac:dyDescent="0.35">
      <c r="A954" t="s">
        <v>27</v>
      </c>
      <c r="B954" t="s">
        <v>91</v>
      </c>
      <c r="C954" t="s">
        <v>1758</v>
      </c>
      <c r="D954">
        <v>1</v>
      </c>
      <c r="E954">
        <v>5</v>
      </c>
      <c r="F954" t="s">
        <v>7</v>
      </c>
      <c r="G954" t="s">
        <v>11</v>
      </c>
      <c r="H954" t="s">
        <v>11</v>
      </c>
    </row>
    <row r="955" spans="1:8" x14ac:dyDescent="0.35">
      <c r="A955" t="s">
        <v>27</v>
      </c>
      <c r="B955" t="s">
        <v>91</v>
      </c>
      <c r="C955" t="s">
        <v>1214</v>
      </c>
      <c r="D955">
        <v>1</v>
      </c>
      <c r="E955">
        <v>5</v>
      </c>
      <c r="F955" t="s">
        <v>7</v>
      </c>
      <c r="G955" t="s">
        <v>11</v>
      </c>
      <c r="H955" t="s">
        <v>11</v>
      </c>
    </row>
    <row r="956" spans="1:8" x14ac:dyDescent="0.35">
      <c r="A956" t="s">
        <v>27</v>
      </c>
      <c r="B956" t="s">
        <v>91</v>
      </c>
      <c r="C956" t="s">
        <v>1246</v>
      </c>
      <c r="D956">
        <v>1</v>
      </c>
      <c r="E956">
        <v>4</v>
      </c>
      <c r="F956" t="s">
        <v>7</v>
      </c>
      <c r="G956" t="s">
        <v>11</v>
      </c>
      <c r="H956" t="s">
        <v>11</v>
      </c>
    </row>
    <row r="957" spans="1:8" x14ac:dyDescent="0.35">
      <c r="A957" t="s">
        <v>27</v>
      </c>
      <c r="B957" t="s">
        <v>91</v>
      </c>
      <c r="C957" t="s">
        <v>1759</v>
      </c>
      <c r="D957">
        <v>1</v>
      </c>
      <c r="E957">
        <v>4</v>
      </c>
      <c r="F957" t="s">
        <v>7</v>
      </c>
      <c r="G957" t="s">
        <v>11</v>
      </c>
      <c r="H957" t="s">
        <v>11</v>
      </c>
    </row>
    <row r="958" spans="1:8" x14ac:dyDescent="0.35">
      <c r="A958" t="s">
        <v>27</v>
      </c>
      <c r="B958" t="s">
        <v>91</v>
      </c>
      <c r="C958" t="s">
        <v>1760</v>
      </c>
      <c r="D958">
        <v>1</v>
      </c>
      <c r="E958">
        <v>5</v>
      </c>
      <c r="F958" t="s">
        <v>7</v>
      </c>
      <c r="G958" t="s">
        <v>11</v>
      </c>
      <c r="H958" t="s">
        <v>11</v>
      </c>
    </row>
    <row r="959" spans="1:8" x14ac:dyDescent="0.35">
      <c r="A959" t="s">
        <v>27</v>
      </c>
      <c r="B959" t="s">
        <v>91</v>
      </c>
      <c r="C959" t="s">
        <v>1761</v>
      </c>
      <c r="D959">
        <v>2</v>
      </c>
      <c r="E959">
        <v>4</v>
      </c>
      <c r="F959" t="s">
        <v>7</v>
      </c>
      <c r="G959" t="s">
        <v>11</v>
      </c>
      <c r="H959" t="s">
        <v>11</v>
      </c>
    </row>
    <row r="960" spans="1:8" x14ac:dyDescent="0.35">
      <c r="A960" t="s">
        <v>27</v>
      </c>
      <c r="B960" t="s">
        <v>91</v>
      </c>
      <c r="C960" t="s">
        <v>1422</v>
      </c>
      <c r="D960">
        <v>1</v>
      </c>
      <c r="E960">
        <v>5</v>
      </c>
      <c r="F960" t="s">
        <v>7</v>
      </c>
      <c r="G960" t="s">
        <v>11</v>
      </c>
      <c r="H960" t="s">
        <v>11</v>
      </c>
    </row>
    <row r="961" spans="1:8" x14ac:dyDescent="0.35">
      <c r="A961" t="s">
        <v>27</v>
      </c>
      <c r="B961" t="s">
        <v>91</v>
      </c>
      <c r="C961" t="s">
        <v>1762</v>
      </c>
      <c r="D961">
        <v>2</v>
      </c>
      <c r="E961">
        <v>4</v>
      </c>
      <c r="F961" t="s">
        <v>7</v>
      </c>
      <c r="G961" t="s">
        <v>11</v>
      </c>
      <c r="H961" t="s">
        <v>11</v>
      </c>
    </row>
    <row r="962" spans="1:8" x14ac:dyDescent="0.35">
      <c r="A962" t="s">
        <v>27</v>
      </c>
      <c r="B962" t="s">
        <v>91</v>
      </c>
      <c r="C962" t="s">
        <v>1763</v>
      </c>
      <c r="D962">
        <v>2</v>
      </c>
      <c r="E962">
        <v>4</v>
      </c>
      <c r="F962" t="s">
        <v>7</v>
      </c>
      <c r="G962" t="s">
        <v>11</v>
      </c>
      <c r="H962" t="s">
        <v>11</v>
      </c>
    </row>
    <row r="963" spans="1:8" x14ac:dyDescent="0.35">
      <c r="A963" t="s">
        <v>27</v>
      </c>
      <c r="B963" t="s">
        <v>91</v>
      </c>
      <c r="C963" t="s">
        <v>1764</v>
      </c>
      <c r="D963">
        <v>1</v>
      </c>
      <c r="E963">
        <v>4</v>
      </c>
      <c r="F963" t="s">
        <v>7</v>
      </c>
      <c r="G963" t="s">
        <v>11</v>
      </c>
      <c r="H963" t="s">
        <v>11</v>
      </c>
    </row>
    <row r="964" spans="1:8" x14ac:dyDescent="0.35">
      <c r="A964" t="s">
        <v>27</v>
      </c>
      <c r="B964" t="s">
        <v>91</v>
      </c>
      <c r="C964" t="s">
        <v>1765</v>
      </c>
      <c r="D964">
        <v>1</v>
      </c>
      <c r="E964">
        <v>4</v>
      </c>
      <c r="F964" t="s">
        <v>7</v>
      </c>
      <c r="G964" t="s">
        <v>11</v>
      </c>
      <c r="H964" t="s">
        <v>11</v>
      </c>
    </row>
    <row r="965" spans="1:8" x14ac:dyDescent="0.35">
      <c r="A965" t="s">
        <v>27</v>
      </c>
      <c r="B965" t="s">
        <v>91</v>
      </c>
      <c r="C965" t="s">
        <v>1148</v>
      </c>
      <c r="D965">
        <v>1</v>
      </c>
      <c r="E965">
        <v>4</v>
      </c>
      <c r="F965" t="s">
        <v>7</v>
      </c>
      <c r="G965" t="s">
        <v>11</v>
      </c>
      <c r="H965" t="s">
        <v>11</v>
      </c>
    </row>
    <row r="966" spans="1:8" x14ac:dyDescent="0.35">
      <c r="A966" t="s">
        <v>27</v>
      </c>
      <c r="B966" t="s">
        <v>91</v>
      </c>
      <c r="C966" t="s">
        <v>1149</v>
      </c>
      <c r="D966">
        <v>2</v>
      </c>
      <c r="E966">
        <v>4</v>
      </c>
      <c r="F966" t="s">
        <v>7</v>
      </c>
      <c r="G966" t="s">
        <v>11</v>
      </c>
      <c r="H966" t="s">
        <v>11</v>
      </c>
    </row>
    <row r="967" spans="1:8" x14ac:dyDescent="0.35">
      <c r="A967" t="s">
        <v>27</v>
      </c>
      <c r="B967" t="s">
        <v>91</v>
      </c>
      <c r="C967" t="s">
        <v>1766</v>
      </c>
      <c r="D967">
        <v>1</v>
      </c>
      <c r="E967">
        <v>5</v>
      </c>
      <c r="F967" t="s">
        <v>7</v>
      </c>
      <c r="G967" t="s">
        <v>11</v>
      </c>
      <c r="H967" t="s">
        <v>11</v>
      </c>
    </row>
    <row r="968" spans="1:8" x14ac:dyDescent="0.35">
      <c r="A968" t="s">
        <v>27</v>
      </c>
      <c r="B968" t="s">
        <v>91</v>
      </c>
      <c r="C968" t="s">
        <v>1252</v>
      </c>
      <c r="D968">
        <v>1</v>
      </c>
      <c r="E968">
        <v>4</v>
      </c>
      <c r="F968" t="s">
        <v>7</v>
      </c>
      <c r="G968" t="s">
        <v>11</v>
      </c>
      <c r="H968" t="s">
        <v>11</v>
      </c>
    </row>
    <row r="969" spans="1:8" x14ac:dyDescent="0.35">
      <c r="A969" t="s">
        <v>27</v>
      </c>
      <c r="B969" t="s">
        <v>91</v>
      </c>
      <c r="C969" t="s">
        <v>1767</v>
      </c>
      <c r="D969">
        <v>1</v>
      </c>
      <c r="E969">
        <v>4</v>
      </c>
      <c r="F969" t="s">
        <v>7</v>
      </c>
      <c r="G969" t="s">
        <v>11</v>
      </c>
      <c r="H969" t="s">
        <v>11</v>
      </c>
    </row>
    <row r="970" spans="1:8" x14ac:dyDescent="0.35">
      <c r="A970" t="s">
        <v>27</v>
      </c>
      <c r="B970" t="s">
        <v>91</v>
      </c>
      <c r="C970" t="s">
        <v>1768</v>
      </c>
      <c r="D970">
        <v>1</v>
      </c>
      <c r="E970">
        <v>4</v>
      </c>
      <c r="F970" t="s">
        <v>7</v>
      </c>
      <c r="G970" t="s">
        <v>11</v>
      </c>
      <c r="H970" t="s">
        <v>11</v>
      </c>
    </row>
    <row r="971" spans="1:8" x14ac:dyDescent="0.35">
      <c r="A971" t="s">
        <v>27</v>
      </c>
      <c r="B971" t="s">
        <v>91</v>
      </c>
      <c r="C971" t="s">
        <v>1367</v>
      </c>
      <c r="D971">
        <v>1</v>
      </c>
      <c r="E971">
        <v>4</v>
      </c>
      <c r="F971" t="s">
        <v>7</v>
      </c>
      <c r="G971" t="s">
        <v>11</v>
      </c>
      <c r="H971" t="s">
        <v>11</v>
      </c>
    </row>
    <row r="972" spans="1:8" x14ac:dyDescent="0.35">
      <c r="A972" t="s">
        <v>27</v>
      </c>
      <c r="B972" t="s">
        <v>91</v>
      </c>
      <c r="C972" t="s">
        <v>1769</v>
      </c>
      <c r="D972">
        <v>2</v>
      </c>
      <c r="E972">
        <v>4</v>
      </c>
      <c r="F972" t="s">
        <v>7</v>
      </c>
      <c r="G972" t="s">
        <v>11</v>
      </c>
      <c r="H972" t="s">
        <v>11</v>
      </c>
    </row>
    <row r="973" spans="1:8" x14ac:dyDescent="0.35">
      <c r="A973" t="s">
        <v>27</v>
      </c>
      <c r="B973" t="s">
        <v>91</v>
      </c>
      <c r="C973" t="s">
        <v>1770</v>
      </c>
      <c r="D973">
        <v>1</v>
      </c>
      <c r="E973">
        <v>5</v>
      </c>
      <c r="F973" t="s">
        <v>7</v>
      </c>
      <c r="G973" t="s">
        <v>11</v>
      </c>
      <c r="H973" t="s">
        <v>11</v>
      </c>
    </row>
    <row r="974" spans="1:8" x14ac:dyDescent="0.35">
      <c r="A974" t="s">
        <v>27</v>
      </c>
      <c r="B974" t="s">
        <v>91</v>
      </c>
      <c r="C974" t="s">
        <v>1771</v>
      </c>
      <c r="D974">
        <v>1</v>
      </c>
      <c r="E974">
        <v>4</v>
      </c>
      <c r="F974" t="s">
        <v>7</v>
      </c>
      <c r="G974" t="s">
        <v>11</v>
      </c>
      <c r="H974" t="s">
        <v>11</v>
      </c>
    </row>
    <row r="975" spans="1:8" x14ac:dyDescent="0.35">
      <c r="A975" t="s">
        <v>27</v>
      </c>
      <c r="B975" t="s">
        <v>91</v>
      </c>
      <c r="C975" t="s">
        <v>1254</v>
      </c>
      <c r="D975">
        <v>1</v>
      </c>
      <c r="E975">
        <v>4</v>
      </c>
      <c r="F975" t="s">
        <v>7</v>
      </c>
      <c r="G975" t="s">
        <v>11</v>
      </c>
      <c r="H975" t="s">
        <v>11</v>
      </c>
    </row>
    <row r="976" spans="1:8" x14ac:dyDescent="0.35">
      <c r="A976" t="s">
        <v>27</v>
      </c>
      <c r="B976" t="s">
        <v>91</v>
      </c>
      <c r="C976" t="s">
        <v>1717</v>
      </c>
      <c r="D976">
        <v>2</v>
      </c>
      <c r="E976">
        <v>4</v>
      </c>
      <c r="F976" t="s">
        <v>7</v>
      </c>
      <c r="G976" t="s">
        <v>11</v>
      </c>
      <c r="H976" t="s">
        <v>11</v>
      </c>
    </row>
    <row r="977" spans="1:8" x14ac:dyDescent="0.35">
      <c r="A977" t="s">
        <v>27</v>
      </c>
      <c r="B977" t="s">
        <v>91</v>
      </c>
      <c r="C977" t="s">
        <v>1256</v>
      </c>
      <c r="D977">
        <v>1</v>
      </c>
      <c r="E977">
        <v>5</v>
      </c>
      <c r="F977" t="s">
        <v>7</v>
      </c>
      <c r="G977" t="s">
        <v>11</v>
      </c>
      <c r="H977" t="s">
        <v>11</v>
      </c>
    </row>
    <row r="978" spans="1:8" x14ac:dyDescent="0.35">
      <c r="A978" t="s">
        <v>27</v>
      </c>
      <c r="B978" t="s">
        <v>91</v>
      </c>
      <c r="C978" t="s">
        <v>1720</v>
      </c>
      <c r="D978">
        <v>2</v>
      </c>
      <c r="E978">
        <v>4</v>
      </c>
      <c r="F978" t="s">
        <v>7</v>
      </c>
      <c r="G978" t="s">
        <v>11</v>
      </c>
      <c r="H978" t="s">
        <v>11</v>
      </c>
    </row>
    <row r="979" spans="1:8" x14ac:dyDescent="0.35">
      <c r="A979" t="s">
        <v>27</v>
      </c>
      <c r="B979" t="s">
        <v>91</v>
      </c>
      <c r="C979" t="s">
        <v>1159</v>
      </c>
      <c r="D979">
        <v>1</v>
      </c>
      <c r="E979">
        <v>4</v>
      </c>
      <c r="F979" t="s">
        <v>7</v>
      </c>
      <c r="G979" t="s">
        <v>11</v>
      </c>
      <c r="H979" t="s">
        <v>11</v>
      </c>
    </row>
    <row r="980" spans="1:8" x14ac:dyDescent="0.35">
      <c r="A980" t="s">
        <v>27</v>
      </c>
      <c r="B980" t="s">
        <v>91</v>
      </c>
      <c r="C980" t="s">
        <v>1160</v>
      </c>
      <c r="D980">
        <v>1</v>
      </c>
      <c r="E980">
        <v>4</v>
      </c>
      <c r="F980" t="s">
        <v>7</v>
      </c>
      <c r="G980" t="s">
        <v>11</v>
      </c>
      <c r="H980" t="s">
        <v>11</v>
      </c>
    </row>
    <row r="981" spans="1:8" x14ac:dyDescent="0.35">
      <c r="A981" t="s">
        <v>27</v>
      </c>
      <c r="B981" t="s">
        <v>91</v>
      </c>
      <c r="C981" t="s">
        <v>1772</v>
      </c>
      <c r="D981">
        <v>1</v>
      </c>
      <c r="E981">
        <v>4</v>
      </c>
      <c r="F981" t="s">
        <v>7</v>
      </c>
      <c r="G981" t="s">
        <v>11</v>
      </c>
      <c r="H981" t="s">
        <v>11</v>
      </c>
    </row>
    <row r="982" spans="1:8" x14ac:dyDescent="0.35">
      <c r="A982" t="s">
        <v>27</v>
      </c>
      <c r="B982" t="s">
        <v>91</v>
      </c>
      <c r="C982" t="s">
        <v>1773</v>
      </c>
      <c r="D982">
        <v>1</v>
      </c>
      <c r="E982">
        <v>4</v>
      </c>
      <c r="F982" t="s">
        <v>7</v>
      </c>
      <c r="G982" t="s">
        <v>11</v>
      </c>
      <c r="H982" t="s">
        <v>11</v>
      </c>
    </row>
    <row r="983" spans="1:8" x14ac:dyDescent="0.35">
      <c r="A983" t="s">
        <v>27</v>
      </c>
      <c r="B983" t="s">
        <v>91</v>
      </c>
      <c r="C983" t="s">
        <v>1673</v>
      </c>
      <c r="D983">
        <v>2</v>
      </c>
      <c r="E983">
        <v>4</v>
      </c>
      <c r="F983" t="s">
        <v>7</v>
      </c>
      <c r="G983" t="s">
        <v>11</v>
      </c>
      <c r="H983" t="s">
        <v>11</v>
      </c>
    </row>
    <row r="984" spans="1:8" x14ac:dyDescent="0.35">
      <c r="A984" t="s">
        <v>27</v>
      </c>
      <c r="B984" t="s">
        <v>91</v>
      </c>
      <c r="C984" t="s">
        <v>1523</v>
      </c>
      <c r="D984">
        <v>1</v>
      </c>
      <c r="E984">
        <v>5</v>
      </c>
      <c r="F984" t="s">
        <v>7</v>
      </c>
      <c r="G984" t="s">
        <v>11</v>
      </c>
      <c r="H984" t="s">
        <v>11</v>
      </c>
    </row>
    <row r="985" spans="1:8" x14ac:dyDescent="0.35">
      <c r="A985" t="s">
        <v>27</v>
      </c>
      <c r="B985" t="s">
        <v>91</v>
      </c>
      <c r="C985" t="s">
        <v>1163</v>
      </c>
      <c r="D985">
        <v>2</v>
      </c>
      <c r="E985">
        <v>4</v>
      </c>
      <c r="F985" t="s">
        <v>7</v>
      </c>
      <c r="G985" t="s">
        <v>11</v>
      </c>
      <c r="H985" t="s">
        <v>11</v>
      </c>
    </row>
    <row r="986" spans="1:8" x14ac:dyDescent="0.35">
      <c r="A986" t="s">
        <v>27</v>
      </c>
      <c r="B986" t="s">
        <v>91</v>
      </c>
      <c r="C986" t="s">
        <v>1774</v>
      </c>
      <c r="D986">
        <v>2</v>
      </c>
      <c r="E986">
        <v>4</v>
      </c>
      <c r="F986" t="s">
        <v>7</v>
      </c>
      <c r="G986" t="s">
        <v>11</v>
      </c>
      <c r="H986" t="s">
        <v>11</v>
      </c>
    </row>
    <row r="987" spans="1:8" x14ac:dyDescent="0.35">
      <c r="A987" t="s">
        <v>27</v>
      </c>
      <c r="B987" t="s">
        <v>91</v>
      </c>
      <c r="C987" t="s">
        <v>1775</v>
      </c>
      <c r="D987">
        <v>2</v>
      </c>
      <c r="E987">
        <v>4</v>
      </c>
      <c r="F987" t="s">
        <v>7</v>
      </c>
      <c r="G987" t="s">
        <v>11</v>
      </c>
      <c r="H987" t="s">
        <v>11</v>
      </c>
    </row>
    <row r="988" spans="1:8" x14ac:dyDescent="0.35">
      <c r="A988" t="s">
        <v>27</v>
      </c>
      <c r="B988" t="s">
        <v>91</v>
      </c>
      <c r="C988" t="s">
        <v>1776</v>
      </c>
      <c r="D988">
        <v>1</v>
      </c>
      <c r="E988">
        <v>4</v>
      </c>
      <c r="F988" t="s">
        <v>7</v>
      </c>
      <c r="G988" t="s">
        <v>11</v>
      </c>
      <c r="H988" t="s">
        <v>11</v>
      </c>
    </row>
    <row r="989" spans="1:8" x14ac:dyDescent="0.35">
      <c r="A989" t="s">
        <v>27</v>
      </c>
      <c r="B989" t="s">
        <v>91</v>
      </c>
      <c r="C989" t="s">
        <v>1777</v>
      </c>
      <c r="D989">
        <v>2</v>
      </c>
      <c r="E989">
        <v>4</v>
      </c>
      <c r="F989" t="s">
        <v>7</v>
      </c>
      <c r="G989" t="s">
        <v>11</v>
      </c>
      <c r="H989" t="s">
        <v>11</v>
      </c>
    </row>
    <row r="990" spans="1:8" x14ac:dyDescent="0.35">
      <c r="A990" t="s">
        <v>27</v>
      </c>
      <c r="B990" t="s">
        <v>91</v>
      </c>
      <c r="C990" t="s">
        <v>1778</v>
      </c>
      <c r="D990">
        <v>1</v>
      </c>
      <c r="E990">
        <v>5</v>
      </c>
      <c r="F990" t="s">
        <v>7</v>
      </c>
      <c r="G990" t="s">
        <v>11</v>
      </c>
      <c r="H990" t="s">
        <v>11</v>
      </c>
    </row>
    <row r="991" spans="1:8" x14ac:dyDescent="0.35">
      <c r="A991" t="s">
        <v>27</v>
      </c>
      <c r="B991" t="s">
        <v>91</v>
      </c>
      <c r="C991" t="s">
        <v>1779</v>
      </c>
      <c r="D991">
        <v>1</v>
      </c>
      <c r="E991">
        <v>5</v>
      </c>
      <c r="F991" t="s">
        <v>7</v>
      </c>
      <c r="G991" t="s">
        <v>11</v>
      </c>
      <c r="H991" t="s">
        <v>11</v>
      </c>
    </row>
    <row r="992" spans="1:8" x14ac:dyDescent="0.35">
      <c r="A992" t="s">
        <v>27</v>
      </c>
      <c r="B992" t="s">
        <v>91</v>
      </c>
      <c r="C992" t="s">
        <v>1780</v>
      </c>
      <c r="D992">
        <v>2</v>
      </c>
      <c r="E992">
        <v>4</v>
      </c>
      <c r="F992" t="s">
        <v>7</v>
      </c>
      <c r="G992" t="s">
        <v>11</v>
      </c>
      <c r="H992" t="s">
        <v>11</v>
      </c>
    </row>
    <row r="993" spans="1:8" x14ac:dyDescent="0.35">
      <c r="A993" t="s">
        <v>27</v>
      </c>
      <c r="B993" t="s">
        <v>91</v>
      </c>
      <c r="C993" t="s">
        <v>1781</v>
      </c>
      <c r="D993">
        <v>1</v>
      </c>
      <c r="E993">
        <v>5</v>
      </c>
      <c r="F993" t="s">
        <v>7</v>
      </c>
      <c r="G993" t="s">
        <v>11</v>
      </c>
      <c r="H993" t="s">
        <v>11</v>
      </c>
    </row>
    <row r="994" spans="1:8" x14ac:dyDescent="0.35">
      <c r="A994" t="s">
        <v>27</v>
      </c>
      <c r="B994" t="s">
        <v>91</v>
      </c>
      <c r="C994" t="s">
        <v>1782</v>
      </c>
      <c r="D994">
        <v>1</v>
      </c>
      <c r="E994">
        <v>4</v>
      </c>
      <c r="F994" t="s">
        <v>7</v>
      </c>
      <c r="G994" t="s">
        <v>11</v>
      </c>
      <c r="H994" t="s">
        <v>11</v>
      </c>
    </row>
    <row r="995" spans="1:8" x14ac:dyDescent="0.35">
      <c r="A995" t="s">
        <v>27</v>
      </c>
      <c r="B995" t="s">
        <v>91</v>
      </c>
      <c r="C995" t="s">
        <v>1783</v>
      </c>
      <c r="D995">
        <v>1</v>
      </c>
      <c r="E995">
        <v>4</v>
      </c>
      <c r="F995" t="s">
        <v>7</v>
      </c>
      <c r="G995" t="s">
        <v>11</v>
      </c>
      <c r="H995" t="s">
        <v>11</v>
      </c>
    </row>
    <row r="996" spans="1:8" x14ac:dyDescent="0.35">
      <c r="A996" t="s">
        <v>27</v>
      </c>
      <c r="B996" t="s">
        <v>91</v>
      </c>
      <c r="C996" t="s">
        <v>1263</v>
      </c>
      <c r="D996">
        <v>1</v>
      </c>
      <c r="E996">
        <v>5</v>
      </c>
      <c r="F996" t="s">
        <v>7</v>
      </c>
      <c r="G996" t="s">
        <v>11</v>
      </c>
      <c r="H996" t="s">
        <v>11</v>
      </c>
    </row>
    <row r="997" spans="1:8" x14ac:dyDescent="0.35">
      <c r="A997" t="s">
        <v>27</v>
      </c>
      <c r="B997" t="s">
        <v>91</v>
      </c>
      <c r="C997" t="s">
        <v>1784</v>
      </c>
      <c r="D997">
        <v>1</v>
      </c>
      <c r="E997">
        <v>4</v>
      </c>
      <c r="F997" t="s">
        <v>7</v>
      </c>
      <c r="G997" t="s">
        <v>11</v>
      </c>
      <c r="H997" t="s">
        <v>11</v>
      </c>
    </row>
    <row r="998" spans="1:8" x14ac:dyDescent="0.35">
      <c r="A998" t="s">
        <v>27</v>
      </c>
      <c r="B998" t="s">
        <v>91</v>
      </c>
      <c r="C998" t="s">
        <v>1785</v>
      </c>
      <c r="D998">
        <v>1</v>
      </c>
      <c r="E998">
        <v>4</v>
      </c>
      <c r="F998" t="s">
        <v>7</v>
      </c>
      <c r="G998" t="s">
        <v>11</v>
      </c>
      <c r="H998" t="s">
        <v>11</v>
      </c>
    </row>
    <row r="999" spans="1:8" x14ac:dyDescent="0.35">
      <c r="A999" t="s">
        <v>27</v>
      </c>
      <c r="B999" t="s">
        <v>91</v>
      </c>
      <c r="C999" t="s">
        <v>1786</v>
      </c>
      <c r="D999">
        <v>1</v>
      </c>
      <c r="E999">
        <v>5</v>
      </c>
      <c r="F999" t="s">
        <v>7</v>
      </c>
      <c r="G999" t="s">
        <v>11</v>
      </c>
      <c r="H999" t="s">
        <v>11</v>
      </c>
    </row>
    <row r="1000" spans="1:8" x14ac:dyDescent="0.35">
      <c r="A1000" t="s">
        <v>27</v>
      </c>
      <c r="B1000" t="s">
        <v>91</v>
      </c>
      <c r="C1000" t="s">
        <v>1787</v>
      </c>
      <c r="D1000">
        <v>2</v>
      </c>
      <c r="E1000">
        <v>4</v>
      </c>
      <c r="F1000" t="s">
        <v>7</v>
      </c>
      <c r="G1000" t="s">
        <v>11</v>
      </c>
      <c r="H1000" t="s">
        <v>11</v>
      </c>
    </row>
    <row r="1001" spans="1:8" x14ac:dyDescent="0.35">
      <c r="A1001" t="s">
        <v>27</v>
      </c>
      <c r="B1001" t="s">
        <v>91</v>
      </c>
      <c r="C1001" t="s">
        <v>1788</v>
      </c>
      <c r="D1001">
        <v>1</v>
      </c>
      <c r="E1001">
        <v>5</v>
      </c>
      <c r="F1001" t="s">
        <v>7</v>
      </c>
      <c r="G1001" t="s">
        <v>11</v>
      </c>
      <c r="H1001" t="s">
        <v>11</v>
      </c>
    </row>
    <row r="1002" spans="1:8" x14ac:dyDescent="0.35">
      <c r="A1002" t="s">
        <v>27</v>
      </c>
      <c r="B1002" t="s">
        <v>91</v>
      </c>
      <c r="C1002" t="s">
        <v>1789</v>
      </c>
      <c r="D1002">
        <v>1</v>
      </c>
      <c r="E1002">
        <v>4</v>
      </c>
      <c r="F1002" t="s">
        <v>7</v>
      </c>
      <c r="G1002" t="s">
        <v>11</v>
      </c>
      <c r="H1002" t="s">
        <v>11</v>
      </c>
    </row>
    <row r="1003" spans="1:8" x14ac:dyDescent="0.35">
      <c r="A1003" t="s">
        <v>27</v>
      </c>
      <c r="B1003" t="s">
        <v>91</v>
      </c>
      <c r="C1003" t="s">
        <v>1790</v>
      </c>
      <c r="D1003">
        <v>1</v>
      </c>
      <c r="E1003">
        <v>4</v>
      </c>
      <c r="F1003" t="s">
        <v>7</v>
      </c>
      <c r="G1003" t="s">
        <v>11</v>
      </c>
      <c r="H1003" t="s">
        <v>11</v>
      </c>
    </row>
    <row r="1004" spans="1:8" x14ac:dyDescent="0.35">
      <c r="A1004" t="s">
        <v>27</v>
      </c>
      <c r="B1004" t="s">
        <v>91</v>
      </c>
      <c r="C1004" t="s">
        <v>1791</v>
      </c>
      <c r="D1004">
        <v>1</v>
      </c>
      <c r="E1004">
        <v>5</v>
      </c>
      <c r="F1004" t="s">
        <v>7</v>
      </c>
      <c r="G1004" t="s">
        <v>11</v>
      </c>
      <c r="H1004" t="s">
        <v>11</v>
      </c>
    </row>
    <row r="1005" spans="1:8" x14ac:dyDescent="0.35">
      <c r="A1005" t="s">
        <v>27</v>
      </c>
      <c r="B1005" t="s">
        <v>91</v>
      </c>
      <c r="C1005" t="s">
        <v>1681</v>
      </c>
      <c r="D1005">
        <v>1</v>
      </c>
      <c r="E1005">
        <v>4</v>
      </c>
      <c r="F1005" t="s">
        <v>7</v>
      </c>
      <c r="G1005" t="s">
        <v>11</v>
      </c>
      <c r="H1005" t="s">
        <v>11</v>
      </c>
    </row>
    <row r="1006" spans="1:8" x14ac:dyDescent="0.35">
      <c r="A1006" t="s">
        <v>27</v>
      </c>
      <c r="B1006" t="s">
        <v>91</v>
      </c>
      <c r="C1006" t="s">
        <v>1169</v>
      </c>
      <c r="D1006">
        <v>1</v>
      </c>
      <c r="E1006">
        <v>4</v>
      </c>
      <c r="F1006" t="s">
        <v>7</v>
      </c>
      <c r="G1006" t="s">
        <v>11</v>
      </c>
      <c r="H1006" t="s">
        <v>11</v>
      </c>
    </row>
    <row r="1007" spans="1:8" x14ac:dyDescent="0.35">
      <c r="A1007" t="s">
        <v>27</v>
      </c>
      <c r="B1007" t="s">
        <v>91</v>
      </c>
      <c r="C1007" t="s">
        <v>1270</v>
      </c>
      <c r="D1007">
        <v>1</v>
      </c>
      <c r="E1007">
        <v>4</v>
      </c>
      <c r="F1007" t="s">
        <v>7</v>
      </c>
      <c r="G1007" t="s">
        <v>11</v>
      </c>
      <c r="H1007" t="s">
        <v>11</v>
      </c>
    </row>
    <row r="1008" spans="1:8" x14ac:dyDescent="0.35">
      <c r="A1008" t="s">
        <v>27</v>
      </c>
      <c r="B1008" t="s">
        <v>91</v>
      </c>
      <c r="C1008" t="s">
        <v>1271</v>
      </c>
      <c r="D1008">
        <v>1</v>
      </c>
      <c r="E1008">
        <v>5</v>
      </c>
      <c r="F1008" t="s">
        <v>7</v>
      </c>
      <c r="G1008" t="s">
        <v>11</v>
      </c>
      <c r="H1008" t="s">
        <v>11</v>
      </c>
    </row>
    <row r="1009" spans="1:8" x14ac:dyDescent="0.35">
      <c r="A1009" t="s">
        <v>27</v>
      </c>
      <c r="B1009" t="s">
        <v>91</v>
      </c>
      <c r="C1009" t="s">
        <v>1389</v>
      </c>
      <c r="D1009">
        <v>2</v>
      </c>
      <c r="E1009">
        <v>4</v>
      </c>
      <c r="F1009" t="s">
        <v>7</v>
      </c>
      <c r="G1009" t="s">
        <v>11</v>
      </c>
      <c r="H1009" t="s">
        <v>11</v>
      </c>
    </row>
    <row r="1010" spans="1:8" x14ac:dyDescent="0.35">
      <c r="A1010" t="s">
        <v>27</v>
      </c>
      <c r="B1010" t="s">
        <v>91</v>
      </c>
      <c r="C1010" t="s">
        <v>1792</v>
      </c>
      <c r="D1010">
        <v>2</v>
      </c>
      <c r="E1010">
        <v>4</v>
      </c>
      <c r="F1010" t="s">
        <v>7</v>
      </c>
      <c r="G1010" t="s">
        <v>11</v>
      </c>
      <c r="H1010" t="s">
        <v>11</v>
      </c>
    </row>
    <row r="1011" spans="1:8" x14ac:dyDescent="0.35">
      <c r="A1011" t="s">
        <v>27</v>
      </c>
      <c r="B1011" t="s">
        <v>91</v>
      </c>
      <c r="C1011" t="s">
        <v>1793</v>
      </c>
      <c r="D1011">
        <v>2</v>
      </c>
      <c r="E1011">
        <v>4</v>
      </c>
      <c r="F1011" t="s">
        <v>7</v>
      </c>
      <c r="G1011" t="s">
        <v>11</v>
      </c>
      <c r="H1011" t="s">
        <v>11</v>
      </c>
    </row>
    <row r="1012" spans="1:8" x14ac:dyDescent="0.35">
      <c r="A1012" t="s">
        <v>27</v>
      </c>
      <c r="B1012" t="s">
        <v>91</v>
      </c>
      <c r="C1012" t="s">
        <v>1794</v>
      </c>
      <c r="D1012">
        <v>1</v>
      </c>
      <c r="E1012">
        <v>5</v>
      </c>
      <c r="F1012" t="s">
        <v>7</v>
      </c>
      <c r="G1012" t="s">
        <v>11</v>
      </c>
      <c r="H1012" t="s">
        <v>11</v>
      </c>
    </row>
    <row r="1013" spans="1:8" x14ac:dyDescent="0.35">
      <c r="A1013" t="s">
        <v>27</v>
      </c>
      <c r="B1013" t="s">
        <v>91</v>
      </c>
      <c r="C1013" t="s">
        <v>1795</v>
      </c>
      <c r="D1013">
        <v>1</v>
      </c>
      <c r="E1013">
        <v>5</v>
      </c>
      <c r="F1013" t="s">
        <v>7</v>
      </c>
      <c r="G1013" t="s">
        <v>11</v>
      </c>
      <c r="H1013" t="s">
        <v>11</v>
      </c>
    </row>
    <row r="1014" spans="1:8" x14ac:dyDescent="0.35">
      <c r="A1014" t="s">
        <v>27</v>
      </c>
      <c r="B1014" t="s">
        <v>91</v>
      </c>
      <c r="C1014" t="s">
        <v>1796</v>
      </c>
      <c r="D1014">
        <v>1</v>
      </c>
      <c r="E1014">
        <v>5</v>
      </c>
      <c r="F1014" t="s">
        <v>7</v>
      </c>
      <c r="G1014" t="s">
        <v>11</v>
      </c>
      <c r="H1014" t="s">
        <v>11</v>
      </c>
    </row>
    <row r="1015" spans="1:8" x14ac:dyDescent="0.35">
      <c r="A1015" t="s">
        <v>27</v>
      </c>
      <c r="B1015" t="s">
        <v>91</v>
      </c>
      <c r="C1015" t="s">
        <v>1797</v>
      </c>
      <c r="D1015">
        <v>2</v>
      </c>
      <c r="E1015">
        <v>4</v>
      </c>
      <c r="F1015" t="s">
        <v>7</v>
      </c>
      <c r="G1015" t="s">
        <v>11</v>
      </c>
      <c r="H1015" t="s">
        <v>11</v>
      </c>
    </row>
    <row r="1016" spans="1:8" x14ac:dyDescent="0.35">
      <c r="A1016" t="s">
        <v>27</v>
      </c>
      <c r="B1016" t="s">
        <v>91</v>
      </c>
      <c r="C1016" t="s">
        <v>1798</v>
      </c>
      <c r="D1016">
        <v>1</v>
      </c>
      <c r="E1016">
        <v>4</v>
      </c>
      <c r="F1016" t="s">
        <v>7</v>
      </c>
      <c r="G1016" t="s">
        <v>11</v>
      </c>
      <c r="H1016" t="s">
        <v>11</v>
      </c>
    </row>
    <row r="1017" spans="1:8" x14ac:dyDescent="0.35">
      <c r="A1017" t="s">
        <v>27</v>
      </c>
      <c r="B1017" t="s">
        <v>91</v>
      </c>
      <c r="C1017" t="s">
        <v>1799</v>
      </c>
      <c r="D1017">
        <v>2</v>
      </c>
      <c r="E1017">
        <v>4</v>
      </c>
      <c r="F1017" t="s">
        <v>7</v>
      </c>
      <c r="G1017" t="s">
        <v>11</v>
      </c>
      <c r="H1017" t="s">
        <v>11</v>
      </c>
    </row>
    <row r="1018" spans="1:8" x14ac:dyDescent="0.35">
      <c r="A1018" t="s">
        <v>27</v>
      </c>
      <c r="B1018" t="s">
        <v>91</v>
      </c>
      <c r="C1018" t="s">
        <v>1800</v>
      </c>
      <c r="D1018">
        <v>2</v>
      </c>
      <c r="E1018">
        <v>4</v>
      </c>
      <c r="F1018" t="s">
        <v>7</v>
      </c>
      <c r="G1018" t="s">
        <v>11</v>
      </c>
      <c r="H1018" t="s">
        <v>11</v>
      </c>
    </row>
    <row r="1019" spans="1:8" x14ac:dyDescent="0.35">
      <c r="A1019" t="s">
        <v>27</v>
      </c>
      <c r="B1019" t="s">
        <v>91</v>
      </c>
      <c r="C1019" t="s">
        <v>1545</v>
      </c>
      <c r="D1019">
        <v>1</v>
      </c>
      <c r="E1019">
        <v>5</v>
      </c>
      <c r="F1019" t="s">
        <v>7</v>
      </c>
      <c r="G1019" t="s">
        <v>11</v>
      </c>
      <c r="H1019" t="s">
        <v>11</v>
      </c>
    </row>
    <row r="1020" spans="1:8" x14ac:dyDescent="0.35">
      <c r="A1020" t="s">
        <v>27</v>
      </c>
      <c r="B1020" t="s">
        <v>91</v>
      </c>
      <c r="C1020" t="s">
        <v>1801</v>
      </c>
      <c r="D1020">
        <v>1</v>
      </c>
      <c r="E1020">
        <v>5</v>
      </c>
      <c r="F1020" t="s">
        <v>7</v>
      </c>
      <c r="G1020" t="s">
        <v>11</v>
      </c>
      <c r="H1020" t="s">
        <v>11</v>
      </c>
    </row>
    <row r="1021" spans="1:8" x14ac:dyDescent="0.35">
      <c r="A1021" t="s">
        <v>27</v>
      </c>
      <c r="B1021" t="s">
        <v>91</v>
      </c>
      <c r="C1021" t="s">
        <v>1802</v>
      </c>
      <c r="D1021">
        <v>2</v>
      </c>
      <c r="E1021">
        <v>4</v>
      </c>
      <c r="F1021" t="s">
        <v>7</v>
      </c>
      <c r="G1021" t="s">
        <v>11</v>
      </c>
      <c r="H1021" t="s">
        <v>11</v>
      </c>
    </row>
    <row r="1022" spans="1:8" x14ac:dyDescent="0.35">
      <c r="A1022" t="s">
        <v>27</v>
      </c>
      <c r="B1022" t="s">
        <v>91</v>
      </c>
      <c r="C1022" t="s">
        <v>1803</v>
      </c>
      <c r="D1022">
        <v>1</v>
      </c>
      <c r="E1022">
        <v>5</v>
      </c>
      <c r="F1022" t="s">
        <v>7</v>
      </c>
      <c r="G1022" t="s">
        <v>11</v>
      </c>
      <c r="H1022" t="s">
        <v>11</v>
      </c>
    </row>
    <row r="1023" spans="1:8" x14ac:dyDescent="0.35">
      <c r="A1023" t="s">
        <v>27</v>
      </c>
      <c r="B1023" t="s">
        <v>91</v>
      </c>
      <c r="C1023" t="s">
        <v>1177</v>
      </c>
      <c r="D1023">
        <v>1</v>
      </c>
      <c r="E1023">
        <v>4</v>
      </c>
      <c r="F1023" t="s">
        <v>7</v>
      </c>
      <c r="G1023" t="s">
        <v>11</v>
      </c>
      <c r="H1023" t="s">
        <v>11</v>
      </c>
    </row>
    <row r="1024" spans="1:8" x14ac:dyDescent="0.35">
      <c r="A1024" t="s">
        <v>27</v>
      </c>
      <c r="B1024" t="s">
        <v>91</v>
      </c>
      <c r="C1024" t="s">
        <v>1804</v>
      </c>
      <c r="D1024">
        <v>1</v>
      </c>
      <c r="E1024">
        <v>5</v>
      </c>
      <c r="F1024" t="s">
        <v>7</v>
      </c>
      <c r="G1024" t="s">
        <v>11</v>
      </c>
      <c r="H1024" t="s">
        <v>11</v>
      </c>
    </row>
    <row r="1025" spans="1:8" x14ac:dyDescent="0.35">
      <c r="A1025" t="s">
        <v>27</v>
      </c>
      <c r="B1025" t="s">
        <v>91</v>
      </c>
      <c r="C1025" t="s">
        <v>1805</v>
      </c>
      <c r="D1025">
        <v>2</v>
      </c>
      <c r="E1025">
        <v>4</v>
      </c>
      <c r="F1025" t="s">
        <v>7</v>
      </c>
      <c r="G1025" t="s">
        <v>11</v>
      </c>
      <c r="H1025" t="s">
        <v>11</v>
      </c>
    </row>
    <row r="1026" spans="1:8" x14ac:dyDescent="0.35">
      <c r="A1026" t="s">
        <v>27</v>
      </c>
      <c r="B1026" t="s">
        <v>91</v>
      </c>
      <c r="C1026" t="s">
        <v>1806</v>
      </c>
      <c r="D1026">
        <v>2</v>
      </c>
      <c r="E1026">
        <v>4</v>
      </c>
      <c r="F1026" t="s">
        <v>7</v>
      </c>
      <c r="G1026" t="s">
        <v>11</v>
      </c>
      <c r="H1026" t="s">
        <v>11</v>
      </c>
    </row>
    <row r="1027" spans="1:8" x14ac:dyDescent="0.35">
      <c r="A1027" t="s">
        <v>27</v>
      </c>
      <c r="B1027" t="s">
        <v>91</v>
      </c>
      <c r="C1027" t="s">
        <v>1807</v>
      </c>
      <c r="D1027">
        <v>1</v>
      </c>
      <c r="E1027">
        <v>4</v>
      </c>
      <c r="F1027" t="s">
        <v>7</v>
      </c>
      <c r="G1027" t="s">
        <v>11</v>
      </c>
      <c r="H1027" t="s">
        <v>11</v>
      </c>
    </row>
    <row r="1028" spans="1:8" x14ac:dyDescent="0.35">
      <c r="A1028" t="s">
        <v>28</v>
      </c>
      <c r="B1028" t="s">
        <v>109</v>
      </c>
      <c r="C1028" t="s">
        <v>1696</v>
      </c>
      <c r="D1028">
        <v>1</v>
      </c>
      <c r="E1028">
        <v>4</v>
      </c>
      <c r="F1028" t="s">
        <v>7</v>
      </c>
      <c r="G1028" t="s">
        <v>11</v>
      </c>
      <c r="H1028" t="s">
        <v>11</v>
      </c>
    </row>
    <row r="1029" spans="1:8" x14ac:dyDescent="0.35">
      <c r="A1029" t="s">
        <v>28</v>
      </c>
      <c r="B1029" t="s">
        <v>109</v>
      </c>
      <c r="C1029" t="s">
        <v>1655</v>
      </c>
      <c r="D1029">
        <v>1</v>
      </c>
      <c r="E1029">
        <v>4</v>
      </c>
      <c r="F1029" t="s">
        <v>7</v>
      </c>
      <c r="G1029" t="s">
        <v>11</v>
      </c>
      <c r="H1029" t="s">
        <v>11</v>
      </c>
    </row>
    <row r="1030" spans="1:8" x14ac:dyDescent="0.35">
      <c r="A1030" t="s">
        <v>28</v>
      </c>
      <c r="B1030" t="s">
        <v>109</v>
      </c>
      <c r="C1030" t="s">
        <v>1741</v>
      </c>
      <c r="D1030">
        <v>2</v>
      </c>
      <c r="E1030">
        <v>4</v>
      </c>
      <c r="F1030" t="s">
        <v>7</v>
      </c>
      <c r="G1030" t="s">
        <v>11</v>
      </c>
      <c r="H1030" t="s">
        <v>11</v>
      </c>
    </row>
    <row r="1031" spans="1:8" x14ac:dyDescent="0.35">
      <c r="A1031" t="s">
        <v>28</v>
      </c>
      <c r="B1031" t="s">
        <v>109</v>
      </c>
      <c r="C1031" t="s">
        <v>1808</v>
      </c>
      <c r="D1031">
        <v>3</v>
      </c>
      <c r="E1031">
        <v>4</v>
      </c>
      <c r="F1031" t="s">
        <v>7</v>
      </c>
      <c r="G1031" t="s">
        <v>11</v>
      </c>
      <c r="H1031" t="s">
        <v>11</v>
      </c>
    </row>
    <row r="1032" spans="1:8" x14ac:dyDescent="0.35">
      <c r="A1032" t="s">
        <v>28</v>
      </c>
      <c r="B1032" t="s">
        <v>109</v>
      </c>
      <c r="C1032" t="s">
        <v>1809</v>
      </c>
      <c r="D1032">
        <v>1</v>
      </c>
      <c r="E1032">
        <v>4</v>
      </c>
      <c r="F1032" t="s">
        <v>7</v>
      </c>
      <c r="G1032" t="s">
        <v>11</v>
      </c>
      <c r="H1032" t="s">
        <v>11</v>
      </c>
    </row>
    <row r="1033" spans="1:8" x14ac:dyDescent="0.35">
      <c r="A1033" t="s">
        <v>28</v>
      </c>
      <c r="B1033" t="s">
        <v>109</v>
      </c>
      <c r="C1033" t="s">
        <v>1810</v>
      </c>
      <c r="D1033">
        <v>2</v>
      </c>
      <c r="E1033">
        <v>4</v>
      </c>
      <c r="F1033" t="s">
        <v>7</v>
      </c>
      <c r="G1033" t="s">
        <v>11</v>
      </c>
      <c r="H1033" t="s">
        <v>11</v>
      </c>
    </row>
    <row r="1034" spans="1:8" x14ac:dyDescent="0.35">
      <c r="A1034" t="s">
        <v>28</v>
      </c>
      <c r="B1034" t="s">
        <v>109</v>
      </c>
      <c r="C1034" t="s">
        <v>1811</v>
      </c>
      <c r="D1034">
        <v>2</v>
      </c>
      <c r="E1034">
        <v>4</v>
      </c>
      <c r="F1034" t="s">
        <v>7</v>
      </c>
      <c r="G1034" t="s">
        <v>11</v>
      </c>
      <c r="H1034" t="s">
        <v>11</v>
      </c>
    </row>
    <row r="1035" spans="1:8" x14ac:dyDescent="0.35">
      <c r="A1035" t="s">
        <v>28</v>
      </c>
      <c r="B1035" t="s">
        <v>109</v>
      </c>
      <c r="C1035" t="s">
        <v>1229</v>
      </c>
      <c r="D1035">
        <v>2</v>
      </c>
      <c r="E1035">
        <v>4</v>
      </c>
      <c r="F1035" t="s">
        <v>7</v>
      </c>
      <c r="G1035" t="s">
        <v>11</v>
      </c>
      <c r="H1035" t="s">
        <v>11</v>
      </c>
    </row>
    <row r="1036" spans="1:8" x14ac:dyDescent="0.35">
      <c r="A1036" t="s">
        <v>28</v>
      </c>
      <c r="B1036" t="s">
        <v>109</v>
      </c>
      <c r="C1036" t="s">
        <v>1745</v>
      </c>
      <c r="D1036">
        <v>1</v>
      </c>
      <c r="E1036">
        <v>4</v>
      </c>
      <c r="F1036" t="s">
        <v>7</v>
      </c>
      <c r="G1036" t="s">
        <v>11</v>
      </c>
      <c r="H1036" t="s">
        <v>11</v>
      </c>
    </row>
    <row r="1037" spans="1:8" x14ac:dyDescent="0.35">
      <c r="A1037" t="s">
        <v>28</v>
      </c>
      <c r="B1037" t="s">
        <v>109</v>
      </c>
      <c r="C1037" t="s">
        <v>1812</v>
      </c>
      <c r="D1037">
        <v>2</v>
      </c>
      <c r="E1037">
        <v>4</v>
      </c>
      <c r="F1037" t="s">
        <v>7</v>
      </c>
      <c r="G1037" t="s">
        <v>11</v>
      </c>
      <c r="H1037" t="s">
        <v>11</v>
      </c>
    </row>
    <row r="1038" spans="1:8" x14ac:dyDescent="0.35">
      <c r="A1038" t="s">
        <v>28</v>
      </c>
      <c r="B1038" t="s">
        <v>109</v>
      </c>
      <c r="C1038" t="s">
        <v>1813</v>
      </c>
      <c r="D1038">
        <v>1</v>
      </c>
      <c r="E1038">
        <v>4</v>
      </c>
      <c r="F1038" t="s">
        <v>7</v>
      </c>
      <c r="G1038" t="s">
        <v>11</v>
      </c>
      <c r="H1038" t="s">
        <v>11</v>
      </c>
    </row>
    <row r="1039" spans="1:8" x14ac:dyDescent="0.35">
      <c r="A1039" t="s">
        <v>28</v>
      </c>
      <c r="B1039" t="s">
        <v>109</v>
      </c>
      <c r="C1039" t="s">
        <v>1814</v>
      </c>
      <c r="D1039">
        <v>2</v>
      </c>
      <c r="E1039">
        <v>4</v>
      </c>
      <c r="F1039" t="s">
        <v>7</v>
      </c>
      <c r="G1039" t="s">
        <v>11</v>
      </c>
      <c r="H1039" t="s">
        <v>11</v>
      </c>
    </row>
    <row r="1040" spans="1:8" x14ac:dyDescent="0.35">
      <c r="A1040" t="s">
        <v>28</v>
      </c>
      <c r="B1040" t="s">
        <v>109</v>
      </c>
      <c r="C1040" t="s">
        <v>1815</v>
      </c>
      <c r="D1040">
        <v>2</v>
      </c>
      <c r="E1040">
        <v>4</v>
      </c>
      <c r="F1040" t="s">
        <v>7</v>
      </c>
      <c r="G1040" t="s">
        <v>11</v>
      </c>
      <c r="H1040" t="s">
        <v>11</v>
      </c>
    </row>
    <row r="1041" spans="1:8" x14ac:dyDescent="0.35">
      <c r="A1041" t="s">
        <v>28</v>
      </c>
      <c r="B1041" t="s">
        <v>109</v>
      </c>
      <c r="C1041" t="s">
        <v>1816</v>
      </c>
      <c r="D1041">
        <v>2</v>
      </c>
      <c r="E1041">
        <v>4</v>
      </c>
      <c r="F1041" t="s">
        <v>7</v>
      </c>
      <c r="G1041" t="s">
        <v>11</v>
      </c>
      <c r="H1041" t="s">
        <v>11</v>
      </c>
    </row>
    <row r="1042" spans="1:8" x14ac:dyDescent="0.35">
      <c r="A1042" t="s">
        <v>28</v>
      </c>
      <c r="B1042" t="s">
        <v>109</v>
      </c>
      <c r="C1042" t="s">
        <v>1817</v>
      </c>
      <c r="D1042">
        <v>1</v>
      </c>
      <c r="E1042">
        <v>4</v>
      </c>
      <c r="F1042" t="s">
        <v>7</v>
      </c>
      <c r="G1042" t="s">
        <v>11</v>
      </c>
      <c r="H1042" t="s">
        <v>11</v>
      </c>
    </row>
    <row r="1043" spans="1:8" x14ac:dyDescent="0.35">
      <c r="A1043" t="s">
        <v>28</v>
      </c>
      <c r="B1043" t="s">
        <v>109</v>
      </c>
      <c r="C1043" t="s">
        <v>1119</v>
      </c>
      <c r="D1043">
        <v>2</v>
      </c>
      <c r="E1043">
        <v>4</v>
      </c>
      <c r="F1043" t="s">
        <v>7</v>
      </c>
      <c r="G1043" t="s">
        <v>11</v>
      </c>
      <c r="H1043" t="s">
        <v>11</v>
      </c>
    </row>
    <row r="1044" spans="1:8" x14ac:dyDescent="0.35">
      <c r="A1044" t="s">
        <v>28</v>
      </c>
      <c r="B1044" t="s">
        <v>109</v>
      </c>
      <c r="C1044" t="s">
        <v>1818</v>
      </c>
      <c r="D1044">
        <v>2</v>
      </c>
      <c r="E1044">
        <v>4</v>
      </c>
      <c r="F1044" t="s">
        <v>7</v>
      </c>
      <c r="G1044" t="s">
        <v>11</v>
      </c>
      <c r="H1044" t="s">
        <v>11</v>
      </c>
    </row>
    <row r="1045" spans="1:8" x14ac:dyDescent="0.35">
      <c r="A1045" t="s">
        <v>28</v>
      </c>
      <c r="B1045" t="s">
        <v>109</v>
      </c>
      <c r="C1045" t="s">
        <v>1819</v>
      </c>
      <c r="D1045">
        <v>3</v>
      </c>
      <c r="E1045">
        <v>4</v>
      </c>
      <c r="F1045" t="s">
        <v>7</v>
      </c>
      <c r="G1045" t="s">
        <v>11</v>
      </c>
      <c r="H1045" t="s">
        <v>11</v>
      </c>
    </row>
    <row r="1046" spans="1:8" x14ac:dyDescent="0.35">
      <c r="A1046" t="s">
        <v>28</v>
      </c>
      <c r="B1046" t="s">
        <v>109</v>
      </c>
      <c r="C1046" t="s">
        <v>1820</v>
      </c>
      <c r="D1046">
        <v>2</v>
      </c>
      <c r="E1046">
        <v>4</v>
      </c>
      <c r="F1046" t="s">
        <v>7</v>
      </c>
      <c r="G1046" t="s">
        <v>11</v>
      </c>
      <c r="H1046" t="s">
        <v>11</v>
      </c>
    </row>
    <row r="1047" spans="1:8" x14ac:dyDescent="0.35">
      <c r="A1047" t="s">
        <v>28</v>
      </c>
      <c r="B1047" t="s">
        <v>109</v>
      </c>
      <c r="C1047" t="s">
        <v>1821</v>
      </c>
      <c r="D1047">
        <v>3</v>
      </c>
      <c r="E1047">
        <v>4</v>
      </c>
      <c r="F1047" t="s">
        <v>7</v>
      </c>
      <c r="G1047" t="s">
        <v>11</v>
      </c>
      <c r="H1047" t="s">
        <v>11</v>
      </c>
    </row>
    <row r="1048" spans="1:8" x14ac:dyDescent="0.35">
      <c r="A1048" t="s">
        <v>28</v>
      </c>
      <c r="B1048" t="s">
        <v>109</v>
      </c>
      <c r="C1048" t="s">
        <v>1231</v>
      </c>
      <c r="D1048">
        <v>2</v>
      </c>
      <c r="E1048">
        <v>4</v>
      </c>
      <c r="F1048" t="s">
        <v>7</v>
      </c>
      <c r="G1048" t="s">
        <v>11</v>
      </c>
      <c r="H1048" t="s">
        <v>11</v>
      </c>
    </row>
    <row r="1049" spans="1:8" x14ac:dyDescent="0.35">
      <c r="A1049" t="s">
        <v>28</v>
      </c>
      <c r="B1049" t="s">
        <v>109</v>
      </c>
      <c r="C1049" t="s">
        <v>1822</v>
      </c>
      <c r="D1049">
        <v>2</v>
      </c>
      <c r="E1049">
        <v>4</v>
      </c>
      <c r="F1049" t="s">
        <v>7</v>
      </c>
      <c r="G1049" t="s">
        <v>11</v>
      </c>
      <c r="H1049" t="s">
        <v>11</v>
      </c>
    </row>
    <row r="1050" spans="1:8" x14ac:dyDescent="0.35">
      <c r="A1050" t="s">
        <v>28</v>
      </c>
      <c r="B1050" t="s">
        <v>109</v>
      </c>
      <c r="C1050" t="s">
        <v>1823</v>
      </c>
      <c r="D1050">
        <v>1</v>
      </c>
      <c r="E1050">
        <v>4</v>
      </c>
      <c r="F1050" t="s">
        <v>7</v>
      </c>
      <c r="G1050" t="s">
        <v>11</v>
      </c>
      <c r="H1050" t="s">
        <v>11</v>
      </c>
    </row>
    <row r="1051" spans="1:8" x14ac:dyDescent="0.35">
      <c r="A1051" t="s">
        <v>28</v>
      </c>
      <c r="B1051" t="s">
        <v>109</v>
      </c>
      <c r="C1051" t="s">
        <v>1607</v>
      </c>
      <c r="D1051">
        <v>2</v>
      </c>
      <c r="E1051">
        <v>4</v>
      </c>
      <c r="F1051" t="s">
        <v>7</v>
      </c>
      <c r="G1051" t="s">
        <v>11</v>
      </c>
      <c r="H1051" t="s">
        <v>11</v>
      </c>
    </row>
    <row r="1052" spans="1:8" x14ac:dyDescent="0.35">
      <c r="A1052" t="s">
        <v>28</v>
      </c>
      <c r="B1052" t="s">
        <v>109</v>
      </c>
      <c r="C1052" t="s">
        <v>1233</v>
      </c>
      <c r="D1052">
        <v>1</v>
      </c>
      <c r="E1052">
        <v>4</v>
      </c>
      <c r="F1052" t="s">
        <v>7</v>
      </c>
      <c r="G1052" t="s">
        <v>11</v>
      </c>
      <c r="H1052" t="s">
        <v>11</v>
      </c>
    </row>
    <row r="1053" spans="1:8" x14ac:dyDescent="0.35">
      <c r="A1053" t="s">
        <v>28</v>
      </c>
      <c r="B1053" t="s">
        <v>109</v>
      </c>
      <c r="C1053" t="s">
        <v>1126</v>
      </c>
      <c r="D1053">
        <v>2</v>
      </c>
      <c r="E1053">
        <v>4</v>
      </c>
      <c r="F1053" t="s">
        <v>7</v>
      </c>
      <c r="G1053" t="s">
        <v>11</v>
      </c>
      <c r="H1053" t="s">
        <v>11</v>
      </c>
    </row>
    <row r="1054" spans="1:8" x14ac:dyDescent="0.35">
      <c r="A1054" t="s">
        <v>28</v>
      </c>
      <c r="B1054" t="s">
        <v>109</v>
      </c>
      <c r="C1054" t="s">
        <v>1608</v>
      </c>
      <c r="D1054">
        <v>2</v>
      </c>
      <c r="E1054">
        <v>4</v>
      </c>
      <c r="F1054" t="s">
        <v>7</v>
      </c>
      <c r="G1054" t="s">
        <v>11</v>
      </c>
      <c r="H1054" t="s">
        <v>11</v>
      </c>
    </row>
    <row r="1055" spans="1:8" x14ac:dyDescent="0.35">
      <c r="A1055" t="s">
        <v>28</v>
      </c>
      <c r="B1055" t="s">
        <v>109</v>
      </c>
      <c r="C1055" t="s">
        <v>1239</v>
      </c>
      <c r="D1055">
        <v>2</v>
      </c>
      <c r="E1055">
        <v>4</v>
      </c>
      <c r="F1055" t="s">
        <v>7</v>
      </c>
      <c r="G1055" t="s">
        <v>11</v>
      </c>
      <c r="H1055" t="s">
        <v>11</v>
      </c>
    </row>
    <row r="1056" spans="1:8" x14ac:dyDescent="0.35">
      <c r="A1056" t="s">
        <v>28</v>
      </c>
      <c r="B1056" t="s">
        <v>109</v>
      </c>
      <c r="C1056" t="s">
        <v>1610</v>
      </c>
      <c r="D1056">
        <v>1</v>
      </c>
      <c r="E1056">
        <v>4</v>
      </c>
      <c r="F1056" t="s">
        <v>7</v>
      </c>
      <c r="G1056" t="s">
        <v>11</v>
      </c>
      <c r="H1056" t="s">
        <v>11</v>
      </c>
    </row>
    <row r="1057" spans="1:8" x14ac:dyDescent="0.35">
      <c r="A1057" t="s">
        <v>28</v>
      </c>
      <c r="B1057" t="s">
        <v>109</v>
      </c>
      <c r="C1057" t="s">
        <v>1658</v>
      </c>
      <c r="D1057">
        <v>2</v>
      </c>
      <c r="E1057">
        <v>4</v>
      </c>
      <c r="F1057" t="s">
        <v>7</v>
      </c>
      <c r="G1057" t="s">
        <v>11</v>
      </c>
      <c r="H1057" t="s">
        <v>11</v>
      </c>
    </row>
    <row r="1058" spans="1:8" x14ac:dyDescent="0.35">
      <c r="A1058" t="s">
        <v>28</v>
      </c>
      <c r="B1058" t="s">
        <v>109</v>
      </c>
      <c r="C1058" t="s">
        <v>1824</v>
      </c>
      <c r="D1058">
        <v>2</v>
      </c>
      <c r="E1058">
        <v>4</v>
      </c>
      <c r="F1058" t="s">
        <v>7</v>
      </c>
      <c r="G1058" t="s">
        <v>11</v>
      </c>
      <c r="H1058" t="s">
        <v>11</v>
      </c>
    </row>
    <row r="1059" spans="1:8" x14ac:dyDescent="0.35">
      <c r="A1059" t="s">
        <v>28</v>
      </c>
      <c r="B1059" t="s">
        <v>109</v>
      </c>
      <c r="C1059" t="s">
        <v>1825</v>
      </c>
      <c r="D1059">
        <v>2</v>
      </c>
      <c r="E1059">
        <v>4</v>
      </c>
      <c r="F1059" t="s">
        <v>7</v>
      </c>
      <c r="G1059" t="s">
        <v>11</v>
      </c>
      <c r="H1059" t="s">
        <v>11</v>
      </c>
    </row>
    <row r="1060" spans="1:8" x14ac:dyDescent="0.35">
      <c r="A1060" t="s">
        <v>28</v>
      </c>
      <c r="B1060" t="s">
        <v>109</v>
      </c>
      <c r="C1060" t="s">
        <v>1826</v>
      </c>
      <c r="D1060">
        <v>2</v>
      </c>
      <c r="E1060">
        <v>4</v>
      </c>
      <c r="F1060" t="s">
        <v>7</v>
      </c>
      <c r="G1060" t="s">
        <v>11</v>
      </c>
      <c r="H1060" t="s">
        <v>11</v>
      </c>
    </row>
    <row r="1061" spans="1:8" x14ac:dyDescent="0.35">
      <c r="A1061" t="s">
        <v>28</v>
      </c>
      <c r="B1061" t="s">
        <v>109</v>
      </c>
      <c r="C1061" t="s">
        <v>1141</v>
      </c>
      <c r="D1061">
        <v>1</v>
      </c>
      <c r="E1061">
        <v>4</v>
      </c>
      <c r="F1061" t="s">
        <v>7</v>
      </c>
      <c r="G1061" t="s">
        <v>11</v>
      </c>
      <c r="H1061" t="s">
        <v>11</v>
      </c>
    </row>
    <row r="1062" spans="1:8" x14ac:dyDescent="0.35">
      <c r="A1062" t="s">
        <v>28</v>
      </c>
      <c r="B1062" t="s">
        <v>109</v>
      </c>
      <c r="C1062" t="s">
        <v>1827</v>
      </c>
      <c r="D1062">
        <v>2</v>
      </c>
      <c r="E1062">
        <v>4</v>
      </c>
      <c r="F1062" t="s">
        <v>7</v>
      </c>
      <c r="G1062" t="s">
        <v>11</v>
      </c>
      <c r="H1062" t="s">
        <v>11</v>
      </c>
    </row>
    <row r="1063" spans="1:8" x14ac:dyDescent="0.35">
      <c r="A1063" t="s">
        <v>28</v>
      </c>
      <c r="B1063" t="s">
        <v>109</v>
      </c>
      <c r="C1063" t="s">
        <v>1496</v>
      </c>
      <c r="D1063">
        <v>2</v>
      </c>
      <c r="E1063">
        <v>4</v>
      </c>
      <c r="F1063" t="s">
        <v>7</v>
      </c>
      <c r="G1063" t="s">
        <v>11</v>
      </c>
      <c r="H1063" t="s">
        <v>11</v>
      </c>
    </row>
    <row r="1064" spans="1:8" x14ac:dyDescent="0.35">
      <c r="A1064" t="s">
        <v>28</v>
      </c>
      <c r="B1064" t="s">
        <v>109</v>
      </c>
      <c r="C1064" t="s">
        <v>1142</v>
      </c>
      <c r="D1064">
        <v>1</v>
      </c>
      <c r="E1064">
        <v>4</v>
      </c>
      <c r="F1064" t="s">
        <v>7</v>
      </c>
      <c r="G1064" t="s">
        <v>11</v>
      </c>
      <c r="H1064" t="s">
        <v>11</v>
      </c>
    </row>
    <row r="1065" spans="1:8" x14ac:dyDescent="0.35">
      <c r="A1065" t="s">
        <v>28</v>
      </c>
      <c r="B1065" t="s">
        <v>109</v>
      </c>
      <c r="C1065" t="s">
        <v>1244</v>
      </c>
      <c r="D1065">
        <v>3</v>
      </c>
      <c r="E1065">
        <v>4</v>
      </c>
      <c r="F1065" t="s">
        <v>7</v>
      </c>
      <c r="G1065" t="s">
        <v>11</v>
      </c>
      <c r="H1065" t="s">
        <v>11</v>
      </c>
    </row>
    <row r="1066" spans="1:8" x14ac:dyDescent="0.35">
      <c r="A1066" t="s">
        <v>28</v>
      </c>
      <c r="B1066" t="s">
        <v>109</v>
      </c>
      <c r="C1066" t="s">
        <v>1616</v>
      </c>
      <c r="D1066">
        <v>2</v>
      </c>
      <c r="E1066">
        <v>4</v>
      </c>
      <c r="F1066" t="s">
        <v>7</v>
      </c>
      <c r="G1066" t="s">
        <v>11</v>
      </c>
      <c r="H1066" t="s">
        <v>11</v>
      </c>
    </row>
    <row r="1067" spans="1:8" x14ac:dyDescent="0.35">
      <c r="A1067" t="s">
        <v>28</v>
      </c>
      <c r="B1067" t="s">
        <v>109</v>
      </c>
      <c r="C1067" t="s">
        <v>1828</v>
      </c>
      <c r="D1067">
        <v>2</v>
      </c>
      <c r="E1067">
        <v>4</v>
      </c>
      <c r="F1067" t="s">
        <v>7</v>
      </c>
      <c r="G1067" t="s">
        <v>11</v>
      </c>
      <c r="H1067" t="s">
        <v>11</v>
      </c>
    </row>
    <row r="1068" spans="1:8" x14ac:dyDescent="0.35">
      <c r="A1068" t="s">
        <v>28</v>
      </c>
      <c r="B1068" t="s">
        <v>109</v>
      </c>
      <c r="C1068" t="s">
        <v>1246</v>
      </c>
      <c r="D1068">
        <v>2</v>
      </c>
      <c r="E1068">
        <v>4</v>
      </c>
      <c r="F1068" t="s">
        <v>7</v>
      </c>
      <c r="G1068" t="s">
        <v>11</v>
      </c>
      <c r="H1068" t="s">
        <v>11</v>
      </c>
    </row>
    <row r="1069" spans="1:8" x14ac:dyDescent="0.35">
      <c r="A1069" t="s">
        <v>28</v>
      </c>
      <c r="B1069" t="s">
        <v>109</v>
      </c>
      <c r="C1069" t="s">
        <v>1829</v>
      </c>
      <c r="D1069">
        <v>3</v>
      </c>
      <c r="E1069">
        <v>4</v>
      </c>
      <c r="F1069" t="s">
        <v>7</v>
      </c>
      <c r="G1069" t="s">
        <v>11</v>
      </c>
      <c r="H1069" t="s">
        <v>11</v>
      </c>
    </row>
    <row r="1070" spans="1:8" x14ac:dyDescent="0.35">
      <c r="A1070" t="s">
        <v>28</v>
      </c>
      <c r="B1070" t="s">
        <v>109</v>
      </c>
      <c r="C1070" t="s">
        <v>1830</v>
      </c>
      <c r="D1070">
        <v>2</v>
      </c>
      <c r="E1070">
        <v>4</v>
      </c>
      <c r="F1070" t="s">
        <v>7</v>
      </c>
      <c r="G1070" t="s">
        <v>11</v>
      </c>
      <c r="H1070" t="s">
        <v>11</v>
      </c>
    </row>
    <row r="1071" spans="1:8" x14ac:dyDescent="0.35">
      <c r="A1071" t="s">
        <v>28</v>
      </c>
      <c r="B1071" t="s">
        <v>109</v>
      </c>
      <c r="C1071" t="s">
        <v>1831</v>
      </c>
      <c r="D1071">
        <v>1</v>
      </c>
      <c r="E1071">
        <v>4</v>
      </c>
      <c r="F1071" t="s">
        <v>7</v>
      </c>
      <c r="G1071" t="s">
        <v>11</v>
      </c>
      <c r="H1071" t="s">
        <v>11</v>
      </c>
    </row>
    <row r="1072" spans="1:8" x14ac:dyDescent="0.35">
      <c r="A1072" t="s">
        <v>28</v>
      </c>
      <c r="B1072" t="s">
        <v>109</v>
      </c>
      <c r="C1072" t="s">
        <v>1832</v>
      </c>
      <c r="D1072">
        <v>2</v>
      </c>
      <c r="E1072">
        <v>4</v>
      </c>
      <c r="F1072" t="s">
        <v>7</v>
      </c>
      <c r="G1072" t="s">
        <v>11</v>
      </c>
      <c r="H1072" t="s">
        <v>11</v>
      </c>
    </row>
    <row r="1073" spans="1:8" x14ac:dyDescent="0.35">
      <c r="A1073" t="s">
        <v>28</v>
      </c>
      <c r="B1073" t="s">
        <v>109</v>
      </c>
      <c r="C1073" t="s">
        <v>1506</v>
      </c>
      <c r="D1073">
        <v>2</v>
      </c>
      <c r="E1073">
        <v>4</v>
      </c>
      <c r="F1073" t="s">
        <v>7</v>
      </c>
      <c r="G1073" t="s">
        <v>11</v>
      </c>
      <c r="H1073" t="s">
        <v>11</v>
      </c>
    </row>
    <row r="1074" spans="1:8" x14ac:dyDescent="0.35">
      <c r="A1074" t="s">
        <v>28</v>
      </c>
      <c r="B1074" t="s">
        <v>109</v>
      </c>
      <c r="C1074" t="s">
        <v>1618</v>
      </c>
      <c r="D1074">
        <v>2</v>
      </c>
      <c r="E1074">
        <v>4</v>
      </c>
      <c r="F1074" t="s">
        <v>7</v>
      </c>
      <c r="G1074" t="s">
        <v>11</v>
      </c>
      <c r="H1074" t="s">
        <v>11</v>
      </c>
    </row>
    <row r="1075" spans="1:8" x14ac:dyDescent="0.35">
      <c r="A1075" t="s">
        <v>28</v>
      </c>
      <c r="B1075" t="s">
        <v>109</v>
      </c>
      <c r="C1075" t="s">
        <v>1833</v>
      </c>
      <c r="D1075">
        <v>2</v>
      </c>
      <c r="E1075">
        <v>4</v>
      </c>
      <c r="F1075" t="s">
        <v>7</v>
      </c>
      <c r="G1075" t="s">
        <v>11</v>
      </c>
      <c r="H1075" t="s">
        <v>11</v>
      </c>
    </row>
    <row r="1076" spans="1:8" x14ac:dyDescent="0.35">
      <c r="A1076" t="s">
        <v>28</v>
      </c>
      <c r="B1076" t="s">
        <v>109</v>
      </c>
      <c r="C1076" t="s">
        <v>1665</v>
      </c>
      <c r="D1076">
        <v>1</v>
      </c>
      <c r="E1076">
        <v>4</v>
      </c>
      <c r="F1076" t="s">
        <v>7</v>
      </c>
      <c r="G1076" t="s">
        <v>11</v>
      </c>
      <c r="H1076" t="s">
        <v>11</v>
      </c>
    </row>
    <row r="1077" spans="1:8" x14ac:dyDescent="0.35">
      <c r="A1077" t="s">
        <v>28</v>
      </c>
      <c r="B1077" t="s">
        <v>109</v>
      </c>
      <c r="C1077" t="s">
        <v>1509</v>
      </c>
      <c r="D1077">
        <v>1</v>
      </c>
      <c r="E1077">
        <v>4</v>
      </c>
      <c r="F1077" t="s">
        <v>7</v>
      </c>
      <c r="G1077" t="s">
        <v>11</v>
      </c>
      <c r="H1077" t="s">
        <v>11</v>
      </c>
    </row>
    <row r="1078" spans="1:8" x14ac:dyDescent="0.35">
      <c r="A1078" t="s">
        <v>28</v>
      </c>
      <c r="B1078" t="s">
        <v>109</v>
      </c>
      <c r="C1078" t="s">
        <v>1619</v>
      </c>
      <c r="D1078">
        <v>2</v>
      </c>
      <c r="E1078">
        <v>4</v>
      </c>
      <c r="F1078" t="s">
        <v>7</v>
      </c>
      <c r="G1078" t="s">
        <v>11</v>
      </c>
      <c r="H1078" t="s">
        <v>11</v>
      </c>
    </row>
    <row r="1079" spans="1:8" x14ac:dyDescent="0.35">
      <c r="A1079" t="s">
        <v>28</v>
      </c>
      <c r="B1079" t="s">
        <v>109</v>
      </c>
      <c r="C1079" t="s">
        <v>1146</v>
      </c>
      <c r="D1079">
        <v>2</v>
      </c>
      <c r="E1079">
        <v>4</v>
      </c>
      <c r="F1079" t="s">
        <v>7</v>
      </c>
      <c r="G1079" t="s">
        <v>11</v>
      </c>
      <c r="H1079" t="s">
        <v>11</v>
      </c>
    </row>
    <row r="1080" spans="1:8" x14ac:dyDescent="0.35">
      <c r="A1080" t="s">
        <v>28</v>
      </c>
      <c r="B1080" t="s">
        <v>109</v>
      </c>
      <c r="C1080" t="s">
        <v>1834</v>
      </c>
      <c r="D1080">
        <v>3</v>
      </c>
      <c r="E1080">
        <v>4</v>
      </c>
      <c r="F1080" t="s">
        <v>7</v>
      </c>
      <c r="G1080" t="s">
        <v>11</v>
      </c>
      <c r="H1080" t="s">
        <v>11</v>
      </c>
    </row>
    <row r="1081" spans="1:8" x14ac:dyDescent="0.35">
      <c r="A1081" t="s">
        <v>28</v>
      </c>
      <c r="B1081" t="s">
        <v>109</v>
      </c>
      <c r="C1081" t="s">
        <v>1835</v>
      </c>
      <c r="D1081">
        <v>2</v>
      </c>
      <c r="E1081">
        <v>4</v>
      </c>
      <c r="F1081" t="s">
        <v>7</v>
      </c>
      <c r="G1081" t="s">
        <v>11</v>
      </c>
      <c r="H1081" t="s">
        <v>11</v>
      </c>
    </row>
    <row r="1082" spans="1:8" x14ac:dyDescent="0.35">
      <c r="A1082" t="s">
        <v>28</v>
      </c>
      <c r="B1082" t="s">
        <v>109</v>
      </c>
      <c r="C1082" t="s">
        <v>1148</v>
      </c>
      <c r="D1082">
        <v>2</v>
      </c>
      <c r="E1082">
        <v>4</v>
      </c>
      <c r="F1082" t="s">
        <v>7</v>
      </c>
      <c r="G1082" t="s">
        <v>11</v>
      </c>
      <c r="H1082" t="s">
        <v>11</v>
      </c>
    </row>
    <row r="1083" spans="1:8" x14ac:dyDescent="0.35">
      <c r="A1083" t="s">
        <v>28</v>
      </c>
      <c r="B1083" t="s">
        <v>109</v>
      </c>
      <c r="C1083" t="s">
        <v>1149</v>
      </c>
      <c r="D1083">
        <v>1</v>
      </c>
      <c r="E1083">
        <v>4</v>
      </c>
      <c r="F1083" t="s">
        <v>7</v>
      </c>
      <c r="G1083" t="s">
        <v>11</v>
      </c>
      <c r="H1083" t="s">
        <v>11</v>
      </c>
    </row>
    <row r="1084" spans="1:8" x14ac:dyDescent="0.35">
      <c r="A1084" t="s">
        <v>28</v>
      </c>
      <c r="B1084" t="s">
        <v>109</v>
      </c>
      <c r="C1084" t="s">
        <v>1836</v>
      </c>
      <c r="D1084">
        <v>1</v>
      </c>
      <c r="E1084">
        <v>4</v>
      </c>
      <c r="F1084" t="s">
        <v>7</v>
      </c>
      <c r="G1084" t="s">
        <v>11</v>
      </c>
      <c r="H1084" t="s">
        <v>11</v>
      </c>
    </row>
    <row r="1085" spans="1:8" x14ac:dyDescent="0.35">
      <c r="A1085" t="s">
        <v>28</v>
      </c>
      <c r="B1085" t="s">
        <v>109</v>
      </c>
      <c r="C1085" t="s">
        <v>1252</v>
      </c>
      <c r="D1085">
        <v>2</v>
      </c>
      <c r="E1085">
        <v>4</v>
      </c>
      <c r="F1085" t="s">
        <v>7</v>
      </c>
      <c r="G1085" t="s">
        <v>11</v>
      </c>
      <c r="H1085" t="s">
        <v>11</v>
      </c>
    </row>
    <row r="1086" spans="1:8" x14ac:dyDescent="0.35">
      <c r="A1086" t="s">
        <v>28</v>
      </c>
      <c r="B1086" t="s">
        <v>109</v>
      </c>
      <c r="C1086" t="s">
        <v>1837</v>
      </c>
      <c r="D1086">
        <v>2</v>
      </c>
      <c r="E1086">
        <v>4</v>
      </c>
      <c r="F1086" t="s">
        <v>7</v>
      </c>
      <c r="G1086" t="s">
        <v>11</v>
      </c>
      <c r="H1086" t="s">
        <v>11</v>
      </c>
    </row>
    <row r="1087" spans="1:8" x14ac:dyDescent="0.35">
      <c r="A1087" t="s">
        <v>28</v>
      </c>
      <c r="B1087" t="s">
        <v>109</v>
      </c>
      <c r="C1087" t="s">
        <v>1838</v>
      </c>
      <c r="D1087">
        <v>2</v>
      </c>
      <c r="E1087">
        <v>4</v>
      </c>
      <c r="F1087" t="s">
        <v>7</v>
      </c>
      <c r="G1087" t="s">
        <v>11</v>
      </c>
      <c r="H1087" t="s">
        <v>11</v>
      </c>
    </row>
    <row r="1088" spans="1:8" x14ac:dyDescent="0.35">
      <c r="A1088" t="s">
        <v>28</v>
      </c>
      <c r="B1088" t="s">
        <v>109</v>
      </c>
      <c r="C1088" t="s">
        <v>1626</v>
      </c>
      <c r="D1088">
        <v>2</v>
      </c>
      <c r="E1088">
        <v>4</v>
      </c>
      <c r="F1088" t="s">
        <v>7</v>
      </c>
      <c r="G1088" t="s">
        <v>11</v>
      </c>
      <c r="H1088" t="s">
        <v>11</v>
      </c>
    </row>
    <row r="1089" spans="1:8" x14ac:dyDescent="0.35">
      <c r="A1089" t="s">
        <v>28</v>
      </c>
      <c r="B1089" t="s">
        <v>109</v>
      </c>
      <c r="C1089" t="s">
        <v>1839</v>
      </c>
      <c r="D1089">
        <v>2</v>
      </c>
      <c r="E1089">
        <v>4</v>
      </c>
      <c r="F1089" t="s">
        <v>7</v>
      </c>
      <c r="G1089" t="s">
        <v>11</v>
      </c>
      <c r="H1089" t="s">
        <v>11</v>
      </c>
    </row>
    <row r="1090" spans="1:8" x14ac:dyDescent="0.35">
      <c r="A1090" t="s">
        <v>28</v>
      </c>
      <c r="B1090" t="s">
        <v>109</v>
      </c>
      <c r="C1090" t="s">
        <v>1840</v>
      </c>
      <c r="D1090">
        <v>2</v>
      </c>
      <c r="E1090">
        <v>4</v>
      </c>
      <c r="F1090" t="s">
        <v>7</v>
      </c>
      <c r="G1090" t="s">
        <v>11</v>
      </c>
      <c r="H1090" t="s">
        <v>11</v>
      </c>
    </row>
    <row r="1091" spans="1:8" x14ac:dyDescent="0.35">
      <c r="A1091" t="s">
        <v>28</v>
      </c>
      <c r="B1091" t="s">
        <v>109</v>
      </c>
      <c r="C1091" t="s">
        <v>1152</v>
      </c>
      <c r="D1091">
        <v>2</v>
      </c>
      <c r="E1091">
        <v>4</v>
      </c>
      <c r="F1091" t="s">
        <v>7</v>
      </c>
      <c r="G1091" t="s">
        <v>11</v>
      </c>
      <c r="H1091" t="s">
        <v>11</v>
      </c>
    </row>
    <row r="1092" spans="1:8" x14ac:dyDescent="0.35">
      <c r="A1092" t="s">
        <v>28</v>
      </c>
      <c r="B1092" t="s">
        <v>109</v>
      </c>
      <c r="C1092" t="s">
        <v>1153</v>
      </c>
      <c r="D1092">
        <v>2</v>
      </c>
      <c r="E1092">
        <v>4</v>
      </c>
      <c r="F1092" t="s">
        <v>7</v>
      </c>
      <c r="G1092" t="s">
        <v>11</v>
      </c>
      <c r="H1092" t="s">
        <v>11</v>
      </c>
    </row>
    <row r="1093" spans="1:8" x14ac:dyDescent="0.35">
      <c r="A1093" t="s">
        <v>28</v>
      </c>
      <c r="B1093" t="s">
        <v>109</v>
      </c>
      <c r="C1093" t="s">
        <v>1841</v>
      </c>
      <c r="D1093">
        <v>2</v>
      </c>
      <c r="E1093">
        <v>4</v>
      </c>
      <c r="F1093" t="s">
        <v>7</v>
      </c>
      <c r="G1093" t="s">
        <v>11</v>
      </c>
      <c r="H1093" t="s">
        <v>11</v>
      </c>
    </row>
    <row r="1094" spans="1:8" x14ac:dyDescent="0.35">
      <c r="A1094" t="s">
        <v>28</v>
      </c>
      <c r="B1094" t="s">
        <v>109</v>
      </c>
      <c r="C1094" t="s">
        <v>1842</v>
      </c>
      <c r="D1094">
        <v>2</v>
      </c>
      <c r="E1094">
        <v>4</v>
      </c>
      <c r="F1094" t="s">
        <v>7</v>
      </c>
      <c r="G1094" t="s">
        <v>11</v>
      </c>
      <c r="H1094" t="s">
        <v>11</v>
      </c>
    </row>
    <row r="1095" spans="1:8" x14ac:dyDescent="0.35">
      <c r="A1095" t="s">
        <v>28</v>
      </c>
      <c r="B1095" t="s">
        <v>109</v>
      </c>
      <c r="C1095" t="s">
        <v>1590</v>
      </c>
      <c r="D1095">
        <v>2</v>
      </c>
      <c r="E1095">
        <v>4</v>
      </c>
      <c r="F1095" t="s">
        <v>7</v>
      </c>
      <c r="G1095" t="s">
        <v>11</v>
      </c>
      <c r="H1095" t="s">
        <v>11</v>
      </c>
    </row>
    <row r="1096" spans="1:8" x14ac:dyDescent="0.35">
      <c r="A1096" t="s">
        <v>28</v>
      </c>
      <c r="B1096" t="s">
        <v>109</v>
      </c>
      <c r="C1096" t="s">
        <v>1254</v>
      </c>
      <c r="D1096">
        <v>1</v>
      </c>
      <c r="E1096">
        <v>4</v>
      </c>
      <c r="F1096" t="s">
        <v>7</v>
      </c>
      <c r="G1096" t="s">
        <v>11</v>
      </c>
      <c r="H1096" t="s">
        <v>11</v>
      </c>
    </row>
    <row r="1097" spans="1:8" x14ac:dyDescent="0.35">
      <c r="A1097" t="s">
        <v>28</v>
      </c>
      <c r="B1097" t="s">
        <v>109</v>
      </c>
      <c r="C1097" t="s">
        <v>1628</v>
      </c>
      <c r="D1097">
        <v>2</v>
      </c>
      <c r="E1097">
        <v>4</v>
      </c>
      <c r="F1097" t="s">
        <v>7</v>
      </c>
      <c r="G1097" t="s">
        <v>11</v>
      </c>
      <c r="H1097" t="s">
        <v>11</v>
      </c>
    </row>
    <row r="1098" spans="1:8" x14ac:dyDescent="0.35">
      <c r="A1098" t="s">
        <v>28</v>
      </c>
      <c r="B1098" t="s">
        <v>109</v>
      </c>
      <c r="C1098" t="s">
        <v>1256</v>
      </c>
      <c r="D1098">
        <v>2</v>
      </c>
      <c r="E1098">
        <v>4</v>
      </c>
      <c r="F1098" t="s">
        <v>7</v>
      </c>
      <c r="G1098" t="s">
        <v>11</v>
      </c>
      <c r="H1098" t="s">
        <v>11</v>
      </c>
    </row>
    <row r="1099" spans="1:8" x14ac:dyDescent="0.35">
      <c r="A1099" t="s">
        <v>28</v>
      </c>
      <c r="B1099" t="s">
        <v>109</v>
      </c>
      <c r="C1099" t="s">
        <v>1720</v>
      </c>
      <c r="D1099">
        <v>2</v>
      </c>
      <c r="E1099">
        <v>4</v>
      </c>
      <c r="F1099" t="s">
        <v>7</v>
      </c>
      <c r="G1099" t="s">
        <v>11</v>
      </c>
      <c r="H1099" t="s">
        <v>11</v>
      </c>
    </row>
    <row r="1100" spans="1:8" x14ac:dyDescent="0.35">
      <c r="A1100" t="s">
        <v>28</v>
      </c>
      <c r="B1100" t="s">
        <v>109</v>
      </c>
      <c r="C1100" t="s">
        <v>1157</v>
      </c>
      <c r="D1100">
        <v>2</v>
      </c>
      <c r="E1100">
        <v>4</v>
      </c>
      <c r="F1100" t="s">
        <v>7</v>
      </c>
      <c r="G1100" t="s">
        <v>11</v>
      </c>
      <c r="H1100" t="s">
        <v>11</v>
      </c>
    </row>
    <row r="1101" spans="1:8" x14ac:dyDescent="0.35">
      <c r="A1101" t="s">
        <v>28</v>
      </c>
      <c r="B1101" t="s">
        <v>109</v>
      </c>
      <c r="C1101" t="s">
        <v>1843</v>
      </c>
      <c r="D1101">
        <v>2</v>
      </c>
      <c r="E1101">
        <v>4</v>
      </c>
      <c r="F1101" t="s">
        <v>7</v>
      </c>
      <c r="G1101" t="s">
        <v>11</v>
      </c>
      <c r="H1101" t="s">
        <v>11</v>
      </c>
    </row>
    <row r="1102" spans="1:8" x14ac:dyDescent="0.35">
      <c r="A1102" t="s">
        <v>28</v>
      </c>
      <c r="B1102" t="s">
        <v>109</v>
      </c>
      <c r="C1102" t="s">
        <v>1159</v>
      </c>
      <c r="D1102">
        <v>1</v>
      </c>
      <c r="E1102">
        <v>4</v>
      </c>
      <c r="F1102" t="s">
        <v>7</v>
      </c>
      <c r="G1102" t="s">
        <v>11</v>
      </c>
      <c r="H1102" t="s">
        <v>11</v>
      </c>
    </row>
    <row r="1103" spans="1:8" x14ac:dyDescent="0.35">
      <c r="A1103" t="s">
        <v>28</v>
      </c>
      <c r="B1103" t="s">
        <v>109</v>
      </c>
      <c r="C1103" t="s">
        <v>1160</v>
      </c>
      <c r="D1103">
        <v>3</v>
      </c>
      <c r="E1103">
        <v>4</v>
      </c>
      <c r="F1103" t="s">
        <v>7</v>
      </c>
      <c r="G1103" t="s">
        <v>11</v>
      </c>
      <c r="H1103" t="s">
        <v>11</v>
      </c>
    </row>
    <row r="1104" spans="1:8" x14ac:dyDescent="0.35">
      <c r="A1104" t="s">
        <v>28</v>
      </c>
      <c r="B1104" t="s">
        <v>109</v>
      </c>
      <c r="C1104" t="s">
        <v>1434</v>
      </c>
      <c r="D1104">
        <v>2</v>
      </c>
      <c r="E1104">
        <v>4</v>
      </c>
      <c r="F1104" t="s">
        <v>7</v>
      </c>
      <c r="G1104" t="s">
        <v>11</v>
      </c>
      <c r="H1104" t="s">
        <v>11</v>
      </c>
    </row>
    <row r="1105" spans="1:8" x14ac:dyDescent="0.35">
      <c r="A1105" t="s">
        <v>28</v>
      </c>
      <c r="B1105" t="s">
        <v>109</v>
      </c>
      <c r="C1105" t="s">
        <v>1630</v>
      </c>
      <c r="D1105">
        <v>2</v>
      </c>
      <c r="E1105">
        <v>4</v>
      </c>
      <c r="F1105" t="s">
        <v>7</v>
      </c>
      <c r="G1105" t="s">
        <v>11</v>
      </c>
      <c r="H1105" t="s">
        <v>11</v>
      </c>
    </row>
    <row r="1106" spans="1:8" x14ac:dyDescent="0.35">
      <c r="A1106" t="s">
        <v>28</v>
      </c>
      <c r="B1106" t="s">
        <v>109</v>
      </c>
      <c r="C1106" t="s">
        <v>1844</v>
      </c>
      <c r="D1106">
        <v>3</v>
      </c>
      <c r="E1106">
        <v>4</v>
      </c>
      <c r="F1106" t="s">
        <v>7</v>
      </c>
      <c r="G1106" t="s">
        <v>11</v>
      </c>
      <c r="H1106" t="s">
        <v>11</v>
      </c>
    </row>
    <row r="1107" spans="1:8" x14ac:dyDescent="0.35">
      <c r="A1107" t="s">
        <v>28</v>
      </c>
      <c r="B1107" t="s">
        <v>109</v>
      </c>
      <c r="C1107" t="s">
        <v>1845</v>
      </c>
      <c r="D1107">
        <v>2</v>
      </c>
      <c r="E1107">
        <v>4</v>
      </c>
      <c r="F1107" t="s">
        <v>7</v>
      </c>
      <c r="G1107" t="s">
        <v>11</v>
      </c>
      <c r="H1107" t="s">
        <v>11</v>
      </c>
    </row>
    <row r="1108" spans="1:8" x14ac:dyDescent="0.35">
      <c r="A1108" t="s">
        <v>28</v>
      </c>
      <c r="B1108" t="s">
        <v>109</v>
      </c>
      <c r="C1108" t="s">
        <v>1634</v>
      </c>
      <c r="D1108">
        <v>2</v>
      </c>
      <c r="E1108">
        <v>4</v>
      </c>
      <c r="F1108" t="s">
        <v>7</v>
      </c>
      <c r="G1108" t="s">
        <v>11</v>
      </c>
      <c r="H1108" t="s">
        <v>11</v>
      </c>
    </row>
    <row r="1109" spans="1:8" x14ac:dyDescent="0.35">
      <c r="A1109" t="s">
        <v>28</v>
      </c>
      <c r="B1109" t="s">
        <v>109</v>
      </c>
      <c r="C1109" t="s">
        <v>1773</v>
      </c>
      <c r="D1109">
        <v>2</v>
      </c>
      <c r="E1109">
        <v>4</v>
      </c>
      <c r="F1109" t="s">
        <v>7</v>
      </c>
      <c r="G1109" t="s">
        <v>11</v>
      </c>
      <c r="H1109" t="s">
        <v>11</v>
      </c>
    </row>
    <row r="1110" spans="1:8" x14ac:dyDescent="0.35">
      <c r="A1110" t="s">
        <v>28</v>
      </c>
      <c r="B1110" t="s">
        <v>109</v>
      </c>
      <c r="C1110" t="s">
        <v>1846</v>
      </c>
      <c r="D1110">
        <v>2</v>
      </c>
      <c r="E1110">
        <v>4</v>
      </c>
      <c r="F1110" t="s">
        <v>7</v>
      </c>
      <c r="G1110" t="s">
        <v>11</v>
      </c>
      <c r="H1110" t="s">
        <v>11</v>
      </c>
    </row>
    <row r="1111" spans="1:8" x14ac:dyDescent="0.35">
      <c r="A1111" t="s">
        <v>28</v>
      </c>
      <c r="B1111" t="s">
        <v>109</v>
      </c>
      <c r="C1111" t="s">
        <v>1636</v>
      </c>
      <c r="D1111">
        <v>1</v>
      </c>
      <c r="E1111">
        <v>4</v>
      </c>
      <c r="F1111" t="s">
        <v>7</v>
      </c>
      <c r="G1111" t="s">
        <v>11</v>
      </c>
      <c r="H1111" t="s">
        <v>11</v>
      </c>
    </row>
    <row r="1112" spans="1:8" x14ac:dyDescent="0.35">
      <c r="A1112" t="s">
        <v>28</v>
      </c>
      <c r="B1112" t="s">
        <v>109</v>
      </c>
      <c r="C1112" t="s">
        <v>1847</v>
      </c>
      <c r="D1112">
        <v>1</v>
      </c>
      <c r="E1112">
        <v>4</v>
      </c>
      <c r="F1112" t="s">
        <v>7</v>
      </c>
      <c r="G1112" t="s">
        <v>11</v>
      </c>
      <c r="H1112" t="s">
        <v>11</v>
      </c>
    </row>
    <row r="1113" spans="1:8" x14ac:dyDescent="0.35">
      <c r="A1113" t="s">
        <v>28</v>
      </c>
      <c r="B1113" t="s">
        <v>109</v>
      </c>
      <c r="C1113" t="s">
        <v>1162</v>
      </c>
      <c r="D1113">
        <v>1</v>
      </c>
      <c r="E1113">
        <v>4</v>
      </c>
      <c r="F1113" t="s">
        <v>7</v>
      </c>
      <c r="G1113" t="s">
        <v>11</v>
      </c>
      <c r="H1113" t="s">
        <v>11</v>
      </c>
    </row>
    <row r="1114" spans="1:8" x14ac:dyDescent="0.35">
      <c r="A1114" t="s">
        <v>28</v>
      </c>
      <c r="B1114" t="s">
        <v>109</v>
      </c>
      <c r="C1114" t="s">
        <v>1163</v>
      </c>
      <c r="D1114">
        <v>2</v>
      </c>
      <c r="E1114">
        <v>4</v>
      </c>
      <c r="F1114" t="s">
        <v>7</v>
      </c>
      <c r="G1114" t="s">
        <v>11</v>
      </c>
      <c r="H1114" t="s">
        <v>11</v>
      </c>
    </row>
    <row r="1115" spans="1:8" x14ac:dyDescent="0.35">
      <c r="A1115" t="s">
        <v>28</v>
      </c>
      <c r="B1115" t="s">
        <v>109</v>
      </c>
      <c r="C1115" t="s">
        <v>1164</v>
      </c>
      <c r="D1115">
        <v>2</v>
      </c>
      <c r="E1115">
        <v>4</v>
      </c>
      <c r="F1115" t="s">
        <v>7</v>
      </c>
      <c r="G1115" t="s">
        <v>11</v>
      </c>
      <c r="H1115" t="s">
        <v>11</v>
      </c>
    </row>
    <row r="1116" spans="1:8" x14ac:dyDescent="0.35">
      <c r="A1116" t="s">
        <v>28</v>
      </c>
      <c r="B1116" t="s">
        <v>109</v>
      </c>
      <c r="C1116" t="s">
        <v>1848</v>
      </c>
      <c r="D1116">
        <v>2</v>
      </c>
      <c r="E1116">
        <v>4</v>
      </c>
      <c r="F1116" t="s">
        <v>7</v>
      </c>
      <c r="G1116" t="s">
        <v>11</v>
      </c>
      <c r="H1116" t="s">
        <v>11</v>
      </c>
    </row>
    <row r="1117" spans="1:8" x14ac:dyDescent="0.35">
      <c r="A1117" t="s">
        <v>28</v>
      </c>
      <c r="B1117" t="s">
        <v>109</v>
      </c>
      <c r="C1117" t="s">
        <v>1849</v>
      </c>
      <c r="D1117">
        <v>1</v>
      </c>
      <c r="E1117">
        <v>4</v>
      </c>
      <c r="F1117" t="s">
        <v>7</v>
      </c>
      <c r="G1117" t="s">
        <v>11</v>
      </c>
      <c r="H1117" t="s">
        <v>11</v>
      </c>
    </row>
    <row r="1118" spans="1:8" x14ac:dyDescent="0.35">
      <c r="A1118" t="s">
        <v>28</v>
      </c>
      <c r="B1118" t="s">
        <v>109</v>
      </c>
      <c r="C1118" t="s">
        <v>1850</v>
      </c>
      <c r="D1118">
        <v>2</v>
      </c>
      <c r="E1118">
        <v>4</v>
      </c>
      <c r="F1118" t="s">
        <v>7</v>
      </c>
      <c r="G1118" t="s">
        <v>11</v>
      </c>
      <c r="H1118" t="s">
        <v>11</v>
      </c>
    </row>
    <row r="1119" spans="1:8" x14ac:dyDescent="0.35">
      <c r="A1119" t="s">
        <v>28</v>
      </c>
      <c r="B1119" t="s">
        <v>109</v>
      </c>
      <c r="C1119" t="s">
        <v>1675</v>
      </c>
      <c r="D1119">
        <v>2</v>
      </c>
      <c r="E1119">
        <v>4</v>
      </c>
      <c r="F1119" t="s">
        <v>7</v>
      </c>
      <c r="G1119" t="s">
        <v>11</v>
      </c>
      <c r="H1119" t="s">
        <v>11</v>
      </c>
    </row>
    <row r="1120" spans="1:8" x14ac:dyDescent="0.35">
      <c r="A1120" t="s">
        <v>28</v>
      </c>
      <c r="B1120" t="s">
        <v>109</v>
      </c>
      <c r="C1120" t="s">
        <v>1851</v>
      </c>
      <c r="D1120">
        <v>2</v>
      </c>
      <c r="E1120">
        <v>4</v>
      </c>
      <c r="F1120" t="s">
        <v>7</v>
      </c>
      <c r="G1120" t="s">
        <v>11</v>
      </c>
      <c r="H1120" t="s">
        <v>11</v>
      </c>
    </row>
    <row r="1121" spans="1:8" x14ac:dyDescent="0.35">
      <c r="A1121" t="s">
        <v>28</v>
      </c>
      <c r="B1121" t="s">
        <v>109</v>
      </c>
      <c r="C1121" t="s">
        <v>1676</v>
      </c>
      <c r="D1121">
        <v>2</v>
      </c>
      <c r="E1121">
        <v>4</v>
      </c>
      <c r="F1121" t="s">
        <v>7</v>
      </c>
      <c r="G1121" t="s">
        <v>11</v>
      </c>
      <c r="H1121" t="s">
        <v>11</v>
      </c>
    </row>
    <row r="1122" spans="1:8" x14ac:dyDescent="0.35">
      <c r="A1122" t="s">
        <v>28</v>
      </c>
      <c r="B1122" t="s">
        <v>109</v>
      </c>
      <c r="C1122" t="s">
        <v>1852</v>
      </c>
      <c r="D1122">
        <v>2</v>
      </c>
      <c r="E1122">
        <v>4</v>
      </c>
      <c r="F1122" t="s">
        <v>7</v>
      </c>
      <c r="G1122" t="s">
        <v>11</v>
      </c>
      <c r="H1122" t="s">
        <v>11</v>
      </c>
    </row>
    <row r="1123" spans="1:8" x14ac:dyDescent="0.35">
      <c r="A1123" t="s">
        <v>28</v>
      </c>
      <c r="B1123" t="s">
        <v>109</v>
      </c>
      <c r="C1123" t="s">
        <v>1853</v>
      </c>
      <c r="D1123">
        <v>1</v>
      </c>
      <c r="E1123">
        <v>4</v>
      </c>
      <c r="F1123" t="s">
        <v>7</v>
      </c>
      <c r="G1123" t="s">
        <v>11</v>
      </c>
      <c r="H1123" t="s">
        <v>11</v>
      </c>
    </row>
    <row r="1124" spans="1:8" x14ac:dyDescent="0.35">
      <c r="A1124" t="s">
        <v>28</v>
      </c>
      <c r="B1124" t="s">
        <v>109</v>
      </c>
      <c r="C1124" t="s">
        <v>1165</v>
      </c>
      <c r="D1124">
        <v>2</v>
      </c>
      <c r="E1124">
        <v>4</v>
      </c>
      <c r="F1124" t="s">
        <v>7</v>
      </c>
      <c r="G1124" t="s">
        <v>11</v>
      </c>
      <c r="H1124" t="s">
        <v>11</v>
      </c>
    </row>
    <row r="1125" spans="1:8" x14ac:dyDescent="0.35">
      <c r="A1125" t="s">
        <v>28</v>
      </c>
      <c r="B1125" t="s">
        <v>109</v>
      </c>
      <c r="C1125" t="s">
        <v>1167</v>
      </c>
      <c r="D1125">
        <v>2</v>
      </c>
      <c r="E1125">
        <v>4</v>
      </c>
      <c r="F1125" t="s">
        <v>7</v>
      </c>
      <c r="G1125" t="s">
        <v>11</v>
      </c>
      <c r="H1125" t="s">
        <v>11</v>
      </c>
    </row>
    <row r="1126" spans="1:8" x14ac:dyDescent="0.35">
      <c r="A1126" t="s">
        <v>28</v>
      </c>
      <c r="B1126" t="s">
        <v>109</v>
      </c>
      <c r="C1126" t="s">
        <v>1854</v>
      </c>
      <c r="D1126">
        <v>2</v>
      </c>
      <c r="E1126">
        <v>4</v>
      </c>
      <c r="F1126" t="s">
        <v>7</v>
      </c>
      <c r="G1126" t="s">
        <v>11</v>
      </c>
      <c r="H1126" t="s">
        <v>11</v>
      </c>
    </row>
    <row r="1127" spans="1:8" x14ac:dyDescent="0.35">
      <c r="A1127" t="s">
        <v>28</v>
      </c>
      <c r="B1127" t="s">
        <v>109</v>
      </c>
      <c r="C1127" t="s">
        <v>1268</v>
      </c>
      <c r="D1127">
        <v>1</v>
      </c>
      <c r="E1127">
        <v>4</v>
      </c>
      <c r="F1127" t="s">
        <v>7</v>
      </c>
      <c r="G1127" t="s">
        <v>11</v>
      </c>
      <c r="H1127" t="s">
        <v>11</v>
      </c>
    </row>
    <row r="1128" spans="1:8" x14ac:dyDescent="0.35">
      <c r="A1128" t="s">
        <v>28</v>
      </c>
      <c r="B1128" t="s">
        <v>109</v>
      </c>
      <c r="C1128" t="s">
        <v>1855</v>
      </c>
      <c r="D1128">
        <v>1</v>
      </c>
      <c r="E1128">
        <v>4</v>
      </c>
      <c r="F1128" t="s">
        <v>7</v>
      </c>
      <c r="G1128" t="s">
        <v>11</v>
      </c>
      <c r="H1128" t="s">
        <v>11</v>
      </c>
    </row>
    <row r="1129" spans="1:8" x14ac:dyDescent="0.35">
      <c r="A1129" t="s">
        <v>28</v>
      </c>
      <c r="B1129" t="s">
        <v>109</v>
      </c>
      <c r="C1129" t="s">
        <v>1856</v>
      </c>
      <c r="D1129">
        <v>2</v>
      </c>
      <c r="E1129">
        <v>4</v>
      </c>
      <c r="F1129" t="s">
        <v>7</v>
      </c>
      <c r="G1129" t="s">
        <v>11</v>
      </c>
      <c r="H1129" t="s">
        <v>11</v>
      </c>
    </row>
    <row r="1130" spans="1:8" x14ac:dyDescent="0.35">
      <c r="A1130" t="s">
        <v>28</v>
      </c>
      <c r="B1130" t="s">
        <v>109</v>
      </c>
      <c r="C1130" t="s">
        <v>1857</v>
      </c>
      <c r="D1130">
        <v>2</v>
      </c>
      <c r="E1130">
        <v>4</v>
      </c>
      <c r="F1130" t="s">
        <v>7</v>
      </c>
      <c r="G1130" t="s">
        <v>11</v>
      </c>
      <c r="H1130" t="s">
        <v>11</v>
      </c>
    </row>
    <row r="1131" spans="1:8" x14ac:dyDescent="0.35">
      <c r="A1131" t="s">
        <v>28</v>
      </c>
      <c r="B1131" t="s">
        <v>109</v>
      </c>
      <c r="C1131" t="s">
        <v>1169</v>
      </c>
      <c r="D1131">
        <v>1</v>
      </c>
      <c r="E1131">
        <v>4</v>
      </c>
      <c r="F1131" t="s">
        <v>7</v>
      </c>
      <c r="G1131" t="s">
        <v>11</v>
      </c>
      <c r="H1131" t="s">
        <v>11</v>
      </c>
    </row>
    <row r="1132" spans="1:8" x14ac:dyDescent="0.35">
      <c r="A1132" t="s">
        <v>28</v>
      </c>
      <c r="B1132" t="s">
        <v>109</v>
      </c>
      <c r="C1132" t="s">
        <v>1271</v>
      </c>
      <c r="D1132">
        <v>1</v>
      </c>
      <c r="E1132">
        <v>4</v>
      </c>
      <c r="F1132" t="s">
        <v>7</v>
      </c>
      <c r="G1132" t="s">
        <v>11</v>
      </c>
      <c r="H1132" t="s">
        <v>11</v>
      </c>
    </row>
    <row r="1133" spans="1:8" x14ac:dyDescent="0.35">
      <c r="A1133" t="s">
        <v>28</v>
      </c>
      <c r="B1133" t="s">
        <v>109</v>
      </c>
      <c r="C1133" t="s">
        <v>1171</v>
      </c>
      <c r="D1133">
        <v>2</v>
      </c>
      <c r="E1133">
        <v>4</v>
      </c>
      <c r="F1133" t="s">
        <v>7</v>
      </c>
      <c r="G1133" t="s">
        <v>11</v>
      </c>
      <c r="H1133" t="s">
        <v>11</v>
      </c>
    </row>
    <row r="1134" spans="1:8" x14ac:dyDescent="0.35">
      <c r="A1134" t="s">
        <v>28</v>
      </c>
      <c r="B1134" t="s">
        <v>109</v>
      </c>
      <c r="C1134" t="s">
        <v>1858</v>
      </c>
      <c r="D1134">
        <v>2</v>
      </c>
      <c r="E1134">
        <v>4</v>
      </c>
      <c r="F1134" t="s">
        <v>7</v>
      </c>
      <c r="G1134" t="s">
        <v>11</v>
      </c>
      <c r="H1134" t="s">
        <v>11</v>
      </c>
    </row>
    <row r="1135" spans="1:8" x14ac:dyDescent="0.35">
      <c r="A1135" t="s">
        <v>28</v>
      </c>
      <c r="B1135" t="s">
        <v>109</v>
      </c>
      <c r="C1135" t="s">
        <v>1682</v>
      </c>
      <c r="D1135">
        <v>2</v>
      </c>
      <c r="E1135">
        <v>4</v>
      </c>
      <c r="F1135" t="s">
        <v>7</v>
      </c>
      <c r="G1135" t="s">
        <v>11</v>
      </c>
      <c r="H1135" t="s">
        <v>11</v>
      </c>
    </row>
    <row r="1136" spans="1:8" x14ac:dyDescent="0.35">
      <c r="A1136" t="s">
        <v>28</v>
      </c>
      <c r="B1136" t="s">
        <v>109</v>
      </c>
      <c r="C1136" t="s">
        <v>1450</v>
      </c>
      <c r="D1136">
        <v>1</v>
      </c>
      <c r="E1136">
        <v>4</v>
      </c>
      <c r="F1136" t="s">
        <v>7</v>
      </c>
      <c r="G1136" t="s">
        <v>11</v>
      </c>
      <c r="H1136" t="s">
        <v>11</v>
      </c>
    </row>
    <row r="1137" spans="1:8" x14ac:dyDescent="0.35">
      <c r="A1137" t="s">
        <v>28</v>
      </c>
      <c r="B1137" t="s">
        <v>109</v>
      </c>
      <c r="C1137" t="s">
        <v>1859</v>
      </c>
      <c r="D1137">
        <v>2</v>
      </c>
      <c r="E1137">
        <v>4</v>
      </c>
      <c r="F1137" t="s">
        <v>7</v>
      </c>
      <c r="G1137" t="s">
        <v>11</v>
      </c>
      <c r="H1137" t="s">
        <v>11</v>
      </c>
    </row>
    <row r="1138" spans="1:8" x14ac:dyDescent="0.35">
      <c r="A1138" t="s">
        <v>28</v>
      </c>
      <c r="B1138" t="s">
        <v>109</v>
      </c>
      <c r="C1138" t="s">
        <v>1860</v>
      </c>
      <c r="D1138">
        <v>2</v>
      </c>
      <c r="E1138">
        <v>4</v>
      </c>
      <c r="F1138" t="s">
        <v>7</v>
      </c>
      <c r="G1138" t="s">
        <v>11</v>
      </c>
      <c r="H1138" t="s">
        <v>11</v>
      </c>
    </row>
    <row r="1139" spans="1:8" x14ac:dyDescent="0.35">
      <c r="A1139" t="s">
        <v>28</v>
      </c>
      <c r="B1139" t="s">
        <v>109</v>
      </c>
      <c r="C1139" t="s">
        <v>1861</v>
      </c>
      <c r="D1139">
        <v>2</v>
      </c>
      <c r="E1139">
        <v>4</v>
      </c>
      <c r="F1139" t="s">
        <v>7</v>
      </c>
      <c r="G1139" t="s">
        <v>11</v>
      </c>
      <c r="H1139" t="s">
        <v>11</v>
      </c>
    </row>
    <row r="1140" spans="1:8" x14ac:dyDescent="0.35">
      <c r="A1140" t="s">
        <v>28</v>
      </c>
      <c r="B1140" t="s">
        <v>109</v>
      </c>
      <c r="C1140" t="s">
        <v>1277</v>
      </c>
      <c r="D1140">
        <v>2</v>
      </c>
      <c r="E1140">
        <v>4</v>
      </c>
      <c r="F1140" t="s">
        <v>7</v>
      </c>
      <c r="G1140" t="s">
        <v>11</v>
      </c>
      <c r="H1140" t="s">
        <v>11</v>
      </c>
    </row>
    <row r="1141" spans="1:8" x14ac:dyDescent="0.35">
      <c r="A1141" t="s">
        <v>28</v>
      </c>
      <c r="B1141" t="s">
        <v>109</v>
      </c>
      <c r="C1141" t="s">
        <v>1555</v>
      </c>
      <c r="D1141">
        <v>1</v>
      </c>
      <c r="E1141">
        <v>4</v>
      </c>
      <c r="F1141" t="s">
        <v>7</v>
      </c>
      <c r="G1141" t="s">
        <v>11</v>
      </c>
      <c r="H1141" t="s">
        <v>11</v>
      </c>
    </row>
    <row r="1142" spans="1:8" x14ac:dyDescent="0.35">
      <c r="A1142" t="s">
        <v>28</v>
      </c>
      <c r="B1142" t="s">
        <v>109</v>
      </c>
      <c r="C1142" t="s">
        <v>1177</v>
      </c>
      <c r="D1142">
        <v>2</v>
      </c>
      <c r="E1142">
        <v>4</v>
      </c>
      <c r="F1142" t="s">
        <v>7</v>
      </c>
      <c r="G1142" t="s">
        <v>11</v>
      </c>
      <c r="H1142" t="s">
        <v>11</v>
      </c>
    </row>
    <row r="1143" spans="1:8" x14ac:dyDescent="0.35">
      <c r="A1143" t="s">
        <v>28</v>
      </c>
      <c r="B1143" t="s">
        <v>109</v>
      </c>
      <c r="C1143" t="s">
        <v>1556</v>
      </c>
      <c r="D1143">
        <v>2</v>
      </c>
      <c r="E1143">
        <v>4</v>
      </c>
      <c r="F1143" t="s">
        <v>7</v>
      </c>
      <c r="G1143" t="s">
        <v>11</v>
      </c>
      <c r="H1143" t="s">
        <v>11</v>
      </c>
    </row>
    <row r="1144" spans="1:8" x14ac:dyDescent="0.35">
      <c r="A1144" t="s">
        <v>28</v>
      </c>
      <c r="B1144" t="s">
        <v>109</v>
      </c>
      <c r="C1144" t="s">
        <v>1557</v>
      </c>
      <c r="D1144">
        <v>2</v>
      </c>
      <c r="E1144">
        <v>4</v>
      </c>
      <c r="F1144" t="s">
        <v>7</v>
      </c>
      <c r="G1144" t="s">
        <v>11</v>
      </c>
      <c r="H1144" t="s">
        <v>11</v>
      </c>
    </row>
    <row r="1145" spans="1:8" x14ac:dyDescent="0.35">
      <c r="A1145" t="s">
        <v>28</v>
      </c>
      <c r="B1145" t="s">
        <v>109</v>
      </c>
      <c r="C1145" t="s">
        <v>1695</v>
      </c>
      <c r="D1145">
        <v>2</v>
      </c>
      <c r="E1145">
        <v>4</v>
      </c>
      <c r="F1145" t="s">
        <v>7</v>
      </c>
      <c r="G1145" t="s">
        <v>11</v>
      </c>
      <c r="H1145" t="s">
        <v>11</v>
      </c>
    </row>
    <row r="1146" spans="1:8" x14ac:dyDescent="0.35">
      <c r="A1146" t="s">
        <v>28</v>
      </c>
      <c r="B1146" t="s">
        <v>109</v>
      </c>
      <c r="C1146" t="s">
        <v>1862</v>
      </c>
      <c r="D1146">
        <v>2</v>
      </c>
      <c r="E1146">
        <v>4</v>
      </c>
      <c r="F1146" t="s">
        <v>7</v>
      </c>
      <c r="G1146" t="s">
        <v>11</v>
      </c>
      <c r="H1146" t="s">
        <v>11</v>
      </c>
    </row>
    <row r="1147" spans="1:8" x14ac:dyDescent="0.35">
      <c r="A1147" t="s">
        <v>28</v>
      </c>
      <c r="B1147" t="s">
        <v>109</v>
      </c>
      <c r="C1147" t="s">
        <v>1654</v>
      </c>
      <c r="D1147">
        <v>1</v>
      </c>
      <c r="E1147">
        <v>4</v>
      </c>
      <c r="F1147" t="s">
        <v>7</v>
      </c>
      <c r="G1147" t="s">
        <v>11</v>
      </c>
      <c r="H1147" t="s">
        <v>11</v>
      </c>
    </row>
    <row r="1148" spans="1:8" x14ac:dyDescent="0.35">
      <c r="A1148" t="s">
        <v>29</v>
      </c>
      <c r="B1148" t="s">
        <v>116</v>
      </c>
      <c r="C1148" t="s">
        <v>1863</v>
      </c>
      <c r="D1148">
        <v>3</v>
      </c>
      <c r="E1148">
        <v>2</v>
      </c>
      <c r="F1148" t="s">
        <v>7</v>
      </c>
      <c r="G1148" t="s">
        <v>115</v>
      </c>
      <c r="H1148" t="s">
        <v>11</v>
      </c>
    </row>
    <row r="1149" spans="1:8" x14ac:dyDescent="0.35">
      <c r="A1149" t="s">
        <v>29</v>
      </c>
      <c r="B1149" t="s">
        <v>116</v>
      </c>
      <c r="C1149" t="s">
        <v>1655</v>
      </c>
      <c r="D1149">
        <v>3</v>
      </c>
      <c r="E1149">
        <v>2</v>
      </c>
      <c r="F1149" t="s">
        <v>7</v>
      </c>
      <c r="G1149" t="s">
        <v>115</v>
      </c>
      <c r="H1149" t="s">
        <v>11</v>
      </c>
    </row>
    <row r="1150" spans="1:8" x14ac:dyDescent="0.35">
      <c r="A1150" t="s">
        <v>29</v>
      </c>
      <c r="B1150" t="s">
        <v>116</v>
      </c>
      <c r="C1150" t="s">
        <v>1864</v>
      </c>
      <c r="D1150">
        <v>3</v>
      </c>
      <c r="E1150">
        <v>2</v>
      </c>
      <c r="F1150" t="s">
        <v>7</v>
      </c>
      <c r="G1150" t="s">
        <v>115</v>
      </c>
      <c r="H1150" t="s">
        <v>11</v>
      </c>
    </row>
    <row r="1151" spans="1:8" x14ac:dyDescent="0.35">
      <c r="A1151" t="s">
        <v>29</v>
      </c>
      <c r="B1151" t="s">
        <v>116</v>
      </c>
      <c r="C1151" t="s">
        <v>1865</v>
      </c>
      <c r="D1151">
        <v>3</v>
      </c>
      <c r="E1151">
        <v>2</v>
      </c>
      <c r="F1151" t="s">
        <v>7</v>
      </c>
      <c r="G1151" t="s">
        <v>115</v>
      </c>
      <c r="H1151" t="s">
        <v>11</v>
      </c>
    </row>
    <row r="1152" spans="1:8" x14ac:dyDescent="0.35">
      <c r="A1152" t="s">
        <v>29</v>
      </c>
      <c r="B1152" t="s">
        <v>116</v>
      </c>
      <c r="C1152" t="s">
        <v>1866</v>
      </c>
      <c r="D1152">
        <v>3</v>
      </c>
      <c r="E1152">
        <v>2</v>
      </c>
      <c r="F1152" t="s">
        <v>7</v>
      </c>
      <c r="G1152" t="s">
        <v>115</v>
      </c>
      <c r="H1152" t="s">
        <v>11</v>
      </c>
    </row>
    <row r="1153" spans="1:8" x14ac:dyDescent="0.35">
      <c r="A1153" t="s">
        <v>29</v>
      </c>
      <c r="B1153" t="s">
        <v>116</v>
      </c>
      <c r="C1153" t="s">
        <v>1867</v>
      </c>
      <c r="D1153">
        <v>3</v>
      </c>
      <c r="E1153">
        <v>2</v>
      </c>
      <c r="F1153" t="s">
        <v>7</v>
      </c>
      <c r="G1153" t="s">
        <v>115</v>
      </c>
      <c r="H1153" t="s">
        <v>11</v>
      </c>
    </row>
    <row r="1154" spans="1:8" x14ac:dyDescent="0.35">
      <c r="A1154" t="s">
        <v>29</v>
      </c>
      <c r="B1154" t="s">
        <v>116</v>
      </c>
      <c r="C1154" t="s">
        <v>1868</v>
      </c>
      <c r="D1154">
        <v>3</v>
      </c>
      <c r="E1154">
        <v>3</v>
      </c>
      <c r="F1154" t="s">
        <v>7</v>
      </c>
      <c r="G1154" t="s">
        <v>115</v>
      </c>
      <c r="H1154" t="s">
        <v>11</v>
      </c>
    </row>
    <row r="1155" spans="1:8" x14ac:dyDescent="0.35">
      <c r="A1155" t="s">
        <v>29</v>
      </c>
      <c r="B1155" t="s">
        <v>116</v>
      </c>
      <c r="C1155" t="s">
        <v>1869</v>
      </c>
      <c r="D1155">
        <v>3</v>
      </c>
      <c r="E1155">
        <v>3</v>
      </c>
      <c r="F1155" t="s">
        <v>7</v>
      </c>
      <c r="G1155" t="s">
        <v>115</v>
      </c>
      <c r="H1155" t="s">
        <v>11</v>
      </c>
    </row>
    <row r="1156" spans="1:8" x14ac:dyDescent="0.35">
      <c r="A1156" t="s">
        <v>29</v>
      </c>
      <c r="B1156" t="s">
        <v>116</v>
      </c>
      <c r="C1156" t="s">
        <v>1870</v>
      </c>
      <c r="D1156">
        <v>3</v>
      </c>
      <c r="E1156">
        <v>3</v>
      </c>
      <c r="F1156" t="s">
        <v>7</v>
      </c>
      <c r="G1156" t="s">
        <v>115</v>
      </c>
      <c r="H1156" t="s">
        <v>11</v>
      </c>
    </row>
    <row r="1157" spans="1:8" x14ac:dyDescent="0.35">
      <c r="A1157" t="s">
        <v>29</v>
      </c>
      <c r="B1157" t="s">
        <v>116</v>
      </c>
      <c r="C1157" t="s">
        <v>1871</v>
      </c>
      <c r="D1157">
        <v>3</v>
      </c>
      <c r="E1157">
        <v>2</v>
      </c>
      <c r="F1157" t="s">
        <v>7</v>
      </c>
      <c r="G1157" t="s">
        <v>115</v>
      </c>
      <c r="H1157" t="s">
        <v>11</v>
      </c>
    </row>
    <row r="1158" spans="1:8" x14ac:dyDescent="0.35">
      <c r="A1158" t="s">
        <v>29</v>
      </c>
      <c r="B1158" t="s">
        <v>116</v>
      </c>
      <c r="C1158" t="s">
        <v>1818</v>
      </c>
      <c r="D1158">
        <v>3</v>
      </c>
      <c r="E1158">
        <v>3</v>
      </c>
      <c r="F1158" t="s">
        <v>7</v>
      </c>
      <c r="G1158" t="s">
        <v>115</v>
      </c>
      <c r="H1158" t="s">
        <v>11</v>
      </c>
    </row>
    <row r="1159" spans="1:8" x14ac:dyDescent="0.35">
      <c r="A1159" t="s">
        <v>29</v>
      </c>
      <c r="B1159" t="s">
        <v>116</v>
      </c>
      <c r="C1159" t="s">
        <v>1872</v>
      </c>
      <c r="D1159">
        <v>3</v>
      </c>
      <c r="E1159">
        <v>2</v>
      </c>
      <c r="F1159" t="s">
        <v>7</v>
      </c>
      <c r="G1159" t="s">
        <v>115</v>
      </c>
      <c r="H1159" t="s">
        <v>11</v>
      </c>
    </row>
    <row r="1160" spans="1:8" x14ac:dyDescent="0.35">
      <c r="A1160" t="s">
        <v>29</v>
      </c>
      <c r="B1160" t="s">
        <v>116</v>
      </c>
      <c r="C1160" t="s">
        <v>1873</v>
      </c>
      <c r="D1160">
        <v>3</v>
      </c>
      <c r="E1160">
        <v>3</v>
      </c>
      <c r="F1160" t="s">
        <v>7</v>
      </c>
      <c r="G1160" t="s">
        <v>115</v>
      </c>
      <c r="H1160" t="s">
        <v>11</v>
      </c>
    </row>
    <row r="1161" spans="1:8" x14ac:dyDescent="0.35">
      <c r="A1161" t="s">
        <v>29</v>
      </c>
      <c r="B1161" t="s">
        <v>116</v>
      </c>
      <c r="C1161" t="s">
        <v>1874</v>
      </c>
      <c r="D1161">
        <v>3</v>
      </c>
      <c r="E1161">
        <v>3</v>
      </c>
      <c r="F1161" t="s">
        <v>7</v>
      </c>
      <c r="G1161" t="s">
        <v>115</v>
      </c>
      <c r="H1161" t="s">
        <v>11</v>
      </c>
    </row>
    <row r="1162" spans="1:8" x14ac:dyDescent="0.35">
      <c r="A1162" t="s">
        <v>29</v>
      </c>
      <c r="B1162" t="s">
        <v>116</v>
      </c>
      <c r="C1162" t="s">
        <v>1875</v>
      </c>
      <c r="D1162">
        <v>3</v>
      </c>
      <c r="E1162">
        <v>3</v>
      </c>
      <c r="F1162" t="s">
        <v>7</v>
      </c>
      <c r="G1162" t="s">
        <v>115</v>
      </c>
      <c r="H1162" t="s">
        <v>11</v>
      </c>
    </row>
    <row r="1163" spans="1:8" x14ac:dyDescent="0.35">
      <c r="A1163" t="s">
        <v>29</v>
      </c>
      <c r="B1163" t="s">
        <v>116</v>
      </c>
      <c r="C1163" t="s">
        <v>1414</v>
      </c>
      <c r="D1163">
        <v>3</v>
      </c>
      <c r="E1163">
        <v>3</v>
      </c>
      <c r="F1163" t="s">
        <v>7</v>
      </c>
      <c r="G1163" t="s">
        <v>115</v>
      </c>
      <c r="H1163" t="s">
        <v>11</v>
      </c>
    </row>
    <row r="1164" spans="1:8" x14ac:dyDescent="0.35">
      <c r="A1164" t="s">
        <v>29</v>
      </c>
      <c r="B1164" t="s">
        <v>116</v>
      </c>
      <c r="C1164" t="s">
        <v>1876</v>
      </c>
      <c r="D1164">
        <v>3</v>
      </c>
      <c r="E1164">
        <v>2</v>
      </c>
      <c r="F1164" t="s">
        <v>7</v>
      </c>
      <c r="G1164" t="s">
        <v>115</v>
      </c>
      <c r="H1164" t="s">
        <v>11</v>
      </c>
    </row>
    <row r="1165" spans="1:8" x14ac:dyDescent="0.35">
      <c r="A1165" t="s">
        <v>29</v>
      </c>
      <c r="B1165" t="s">
        <v>116</v>
      </c>
      <c r="C1165" t="s">
        <v>1877</v>
      </c>
      <c r="D1165">
        <v>3</v>
      </c>
      <c r="E1165">
        <v>3</v>
      </c>
      <c r="F1165" t="s">
        <v>7</v>
      </c>
      <c r="G1165" t="s">
        <v>11</v>
      </c>
      <c r="H1165" t="s">
        <v>11</v>
      </c>
    </row>
    <row r="1166" spans="1:8" x14ac:dyDescent="0.35">
      <c r="A1166" t="s">
        <v>29</v>
      </c>
      <c r="B1166" t="s">
        <v>116</v>
      </c>
      <c r="C1166" t="s">
        <v>1878</v>
      </c>
      <c r="D1166">
        <v>3</v>
      </c>
      <c r="E1166">
        <v>2</v>
      </c>
      <c r="F1166" t="s">
        <v>7</v>
      </c>
      <c r="G1166" t="s">
        <v>115</v>
      </c>
      <c r="H1166" t="s">
        <v>11</v>
      </c>
    </row>
    <row r="1167" spans="1:8" x14ac:dyDescent="0.35">
      <c r="A1167" t="s">
        <v>29</v>
      </c>
      <c r="B1167" t="s">
        <v>116</v>
      </c>
      <c r="C1167" t="s">
        <v>1879</v>
      </c>
      <c r="D1167">
        <v>3</v>
      </c>
      <c r="E1167">
        <v>2</v>
      </c>
      <c r="F1167" t="s">
        <v>7</v>
      </c>
      <c r="G1167" t="s">
        <v>115</v>
      </c>
      <c r="H1167" t="s">
        <v>11</v>
      </c>
    </row>
    <row r="1168" spans="1:8" x14ac:dyDescent="0.35">
      <c r="A1168" t="s">
        <v>29</v>
      </c>
      <c r="B1168" t="s">
        <v>116</v>
      </c>
      <c r="C1168" t="s">
        <v>1142</v>
      </c>
      <c r="D1168">
        <v>3</v>
      </c>
      <c r="E1168">
        <v>3</v>
      </c>
      <c r="F1168" t="s">
        <v>7</v>
      </c>
      <c r="G1168" t="s">
        <v>115</v>
      </c>
      <c r="H1168" t="s">
        <v>11</v>
      </c>
    </row>
    <row r="1169" spans="1:8" x14ac:dyDescent="0.35">
      <c r="A1169" t="s">
        <v>29</v>
      </c>
      <c r="B1169" t="s">
        <v>116</v>
      </c>
      <c r="C1169" t="s">
        <v>1246</v>
      </c>
      <c r="D1169">
        <v>3</v>
      </c>
      <c r="E1169">
        <v>3</v>
      </c>
      <c r="F1169" t="s">
        <v>7</v>
      </c>
      <c r="G1169" t="s">
        <v>115</v>
      </c>
      <c r="H1169" t="s">
        <v>11</v>
      </c>
    </row>
    <row r="1170" spans="1:8" x14ac:dyDescent="0.35">
      <c r="A1170" t="s">
        <v>29</v>
      </c>
      <c r="B1170" t="s">
        <v>116</v>
      </c>
      <c r="C1170" t="s">
        <v>1880</v>
      </c>
      <c r="D1170">
        <v>3</v>
      </c>
      <c r="E1170">
        <v>2</v>
      </c>
      <c r="F1170" t="s">
        <v>7</v>
      </c>
      <c r="G1170" t="s">
        <v>115</v>
      </c>
      <c r="H1170" t="s">
        <v>11</v>
      </c>
    </row>
    <row r="1171" spans="1:8" x14ac:dyDescent="0.35">
      <c r="A1171" t="s">
        <v>29</v>
      </c>
      <c r="B1171" t="s">
        <v>116</v>
      </c>
      <c r="C1171" t="s">
        <v>1881</v>
      </c>
      <c r="D1171">
        <v>3</v>
      </c>
      <c r="E1171">
        <v>2</v>
      </c>
      <c r="F1171" t="s">
        <v>7</v>
      </c>
      <c r="G1171" t="s">
        <v>115</v>
      </c>
      <c r="H1171" t="s">
        <v>11</v>
      </c>
    </row>
    <row r="1172" spans="1:8" x14ac:dyDescent="0.35">
      <c r="A1172" t="s">
        <v>29</v>
      </c>
      <c r="B1172" t="s">
        <v>116</v>
      </c>
      <c r="C1172" t="s">
        <v>1148</v>
      </c>
      <c r="D1172">
        <v>3</v>
      </c>
      <c r="E1172">
        <v>3</v>
      </c>
      <c r="F1172" t="s">
        <v>7</v>
      </c>
      <c r="G1172" t="s">
        <v>115</v>
      </c>
      <c r="H1172" t="s">
        <v>11</v>
      </c>
    </row>
    <row r="1173" spans="1:8" x14ac:dyDescent="0.35">
      <c r="A1173" t="s">
        <v>29</v>
      </c>
      <c r="B1173" t="s">
        <v>116</v>
      </c>
      <c r="C1173" t="s">
        <v>1149</v>
      </c>
      <c r="D1173">
        <v>3</v>
      </c>
      <c r="E1173">
        <v>2</v>
      </c>
      <c r="F1173" t="s">
        <v>7</v>
      </c>
      <c r="G1173" t="s">
        <v>115</v>
      </c>
      <c r="H1173" t="s">
        <v>11</v>
      </c>
    </row>
    <row r="1174" spans="1:8" x14ac:dyDescent="0.35">
      <c r="A1174" t="s">
        <v>29</v>
      </c>
      <c r="B1174" t="s">
        <v>116</v>
      </c>
      <c r="C1174" t="s">
        <v>1882</v>
      </c>
      <c r="D1174">
        <v>3</v>
      </c>
      <c r="E1174">
        <v>2</v>
      </c>
      <c r="F1174" t="s">
        <v>7</v>
      </c>
      <c r="G1174" t="s">
        <v>115</v>
      </c>
      <c r="H1174" t="s">
        <v>11</v>
      </c>
    </row>
    <row r="1175" spans="1:8" x14ac:dyDescent="0.35">
      <c r="A1175" t="s">
        <v>29</v>
      </c>
      <c r="B1175" t="s">
        <v>116</v>
      </c>
      <c r="C1175" t="s">
        <v>1627</v>
      </c>
      <c r="D1175">
        <v>3</v>
      </c>
      <c r="E1175">
        <v>3</v>
      </c>
      <c r="F1175" t="s">
        <v>7</v>
      </c>
      <c r="G1175" t="s">
        <v>115</v>
      </c>
      <c r="H1175" t="s">
        <v>11</v>
      </c>
    </row>
    <row r="1176" spans="1:8" x14ac:dyDescent="0.35">
      <c r="A1176" t="s">
        <v>29</v>
      </c>
      <c r="B1176" t="s">
        <v>116</v>
      </c>
      <c r="C1176" t="s">
        <v>1253</v>
      </c>
      <c r="D1176">
        <v>3</v>
      </c>
      <c r="E1176">
        <v>2</v>
      </c>
      <c r="F1176" t="s">
        <v>7</v>
      </c>
      <c r="G1176" t="s">
        <v>115</v>
      </c>
      <c r="H1176" t="s">
        <v>11</v>
      </c>
    </row>
    <row r="1177" spans="1:8" x14ac:dyDescent="0.35">
      <c r="A1177" t="s">
        <v>29</v>
      </c>
      <c r="B1177" t="s">
        <v>116</v>
      </c>
      <c r="C1177" t="s">
        <v>1883</v>
      </c>
      <c r="D1177">
        <v>3</v>
      </c>
      <c r="E1177">
        <v>2</v>
      </c>
      <c r="F1177" t="s">
        <v>7</v>
      </c>
      <c r="G1177" t="s">
        <v>115</v>
      </c>
      <c r="H1177" t="s">
        <v>11</v>
      </c>
    </row>
    <row r="1178" spans="1:8" x14ac:dyDescent="0.35">
      <c r="A1178" t="s">
        <v>29</v>
      </c>
      <c r="B1178" t="s">
        <v>116</v>
      </c>
      <c r="C1178" t="s">
        <v>1254</v>
      </c>
      <c r="D1178">
        <v>3</v>
      </c>
      <c r="E1178">
        <v>3</v>
      </c>
      <c r="F1178" t="s">
        <v>7</v>
      </c>
      <c r="G1178" t="s">
        <v>115</v>
      </c>
      <c r="H1178" t="s">
        <v>11</v>
      </c>
    </row>
    <row r="1179" spans="1:8" x14ac:dyDescent="0.35">
      <c r="A1179" t="s">
        <v>29</v>
      </c>
      <c r="B1179" t="s">
        <v>116</v>
      </c>
      <c r="C1179" t="s">
        <v>1628</v>
      </c>
      <c r="D1179">
        <v>3</v>
      </c>
      <c r="E1179">
        <v>2</v>
      </c>
      <c r="F1179" t="s">
        <v>7</v>
      </c>
      <c r="G1179" t="s">
        <v>115</v>
      </c>
      <c r="H1179" t="s">
        <v>11</v>
      </c>
    </row>
    <row r="1180" spans="1:8" x14ac:dyDescent="0.35">
      <c r="A1180" t="s">
        <v>29</v>
      </c>
      <c r="B1180" t="s">
        <v>116</v>
      </c>
      <c r="C1180" t="s">
        <v>1157</v>
      </c>
      <c r="D1180">
        <v>3</v>
      </c>
      <c r="E1180">
        <v>3</v>
      </c>
      <c r="F1180" t="s">
        <v>7</v>
      </c>
      <c r="G1180" t="s">
        <v>115</v>
      </c>
      <c r="H1180" t="s">
        <v>11</v>
      </c>
    </row>
    <row r="1181" spans="1:8" x14ac:dyDescent="0.35">
      <c r="A1181" t="s">
        <v>29</v>
      </c>
      <c r="B1181" t="s">
        <v>116</v>
      </c>
      <c r="C1181" t="s">
        <v>1884</v>
      </c>
      <c r="D1181">
        <v>3</v>
      </c>
      <c r="E1181">
        <v>3</v>
      </c>
      <c r="F1181" t="s">
        <v>7</v>
      </c>
      <c r="G1181" t="s">
        <v>11</v>
      </c>
      <c r="H1181" t="s">
        <v>11</v>
      </c>
    </row>
    <row r="1182" spans="1:8" x14ac:dyDescent="0.35">
      <c r="A1182" t="s">
        <v>29</v>
      </c>
      <c r="B1182" t="s">
        <v>116</v>
      </c>
      <c r="C1182" t="s">
        <v>1885</v>
      </c>
      <c r="D1182">
        <v>3</v>
      </c>
      <c r="E1182">
        <v>3</v>
      </c>
      <c r="F1182" t="s">
        <v>7</v>
      </c>
      <c r="G1182" t="s">
        <v>115</v>
      </c>
      <c r="H1182" t="s">
        <v>11</v>
      </c>
    </row>
    <row r="1183" spans="1:8" x14ac:dyDescent="0.35">
      <c r="A1183" t="s">
        <v>29</v>
      </c>
      <c r="B1183" t="s">
        <v>116</v>
      </c>
      <c r="C1183" t="s">
        <v>1886</v>
      </c>
      <c r="D1183">
        <v>3</v>
      </c>
      <c r="E1183">
        <v>2</v>
      </c>
      <c r="F1183" t="s">
        <v>7</v>
      </c>
      <c r="G1183" t="s">
        <v>115</v>
      </c>
      <c r="H1183" t="s">
        <v>11</v>
      </c>
    </row>
    <row r="1184" spans="1:8" x14ac:dyDescent="0.35">
      <c r="A1184" t="s">
        <v>29</v>
      </c>
      <c r="B1184" t="s">
        <v>116</v>
      </c>
      <c r="C1184" t="s">
        <v>1262</v>
      </c>
      <c r="D1184">
        <v>3</v>
      </c>
      <c r="E1184">
        <v>3</v>
      </c>
      <c r="F1184" t="s">
        <v>7</v>
      </c>
      <c r="G1184" t="s">
        <v>115</v>
      </c>
      <c r="H1184" t="s">
        <v>11</v>
      </c>
    </row>
    <row r="1185" spans="1:8" x14ac:dyDescent="0.35">
      <c r="A1185" t="s">
        <v>29</v>
      </c>
      <c r="B1185" t="s">
        <v>116</v>
      </c>
      <c r="C1185" t="s">
        <v>1887</v>
      </c>
      <c r="D1185">
        <v>3</v>
      </c>
      <c r="E1185">
        <v>2</v>
      </c>
      <c r="F1185" t="s">
        <v>7</v>
      </c>
      <c r="G1185" t="s">
        <v>115</v>
      </c>
      <c r="H1185" t="s">
        <v>11</v>
      </c>
    </row>
    <row r="1186" spans="1:8" x14ac:dyDescent="0.35">
      <c r="A1186" t="s">
        <v>29</v>
      </c>
      <c r="B1186" t="s">
        <v>116</v>
      </c>
      <c r="C1186" t="s">
        <v>1888</v>
      </c>
      <c r="D1186">
        <v>3</v>
      </c>
      <c r="E1186">
        <v>2</v>
      </c>
      <c r="F1186" t="s">
        <v>7</v>
      </c>
      <c r="G1186" t="s">
        <v>115</v>
      </c>
      <c r="H1186" t="s">
        <v>11</v>
      </c>
    </row>
    <row r="1187" spans="1:8" x14ac:dyDescent="0.35">
      <c r="A1187" t="s">
        <v>29</v>
      </c>
      <c r="B1187" t="s">
        <v>116</v>
      </c>
      <c r="C1187" t="s">
        <v>1889</v>
      </c>
      <c r="D1187">
        <v>3</v>
      </c>
      <c r="E1187">
        <v>2</v>
      </c>
      <c r="F1187" t="s">
        <v>7</v>
      </c>
      <c r="G1187" t="s">
        <v>115</v>
      </c>
      <c r="H1187" t="s">
        <v>11</v>
      </c>
    </row>
    <row r="1188" spans="1:8" x14ac:dyDescent="0.35">
      <c r="A1188" t="s">
        <v>29</v>
      </c>
      <c r="B1188" t="s">
        <v>116</v>
      </c>
      <c r="C1188" t="s">
        <v>1890</v>
      </c>
      <c r="D1188">
        <v>3</v>
      </c>
      <c r="E1188">
        <v>3</v>
      </c>
      <c r="F1188" t="s">
        <v>7</v>
      </c>
      <c r="G1188" t="s">
        <v>115</v>
      </c>
      <c r="H1188" t="s">
        <v>11</v>
      </c>
    </row>
    <row r="1189" spans="1:8" x14ac:dyDescent="0.35">
      <c r="A1189" t="s">
        <v>29</v>
      </c>
      <c r="B1189" t="s">
        <v>116</v>
      </c>
      <c r="C1189" t="s">
        <v>1641</v>
      </c>
      <c r="D1189">
        <v>3</v>
      </c>
      <c r="E1189">
        <v>3</v>
      </c>
      <c r="F1189" t="s">
        <v>7</v>
      </c>
      <c r="G1189" t="s">
        <v>115</v>
      </c>
      <c r="H1189" t="s">
        <v>11</v>
      </c>
    </row>
    <row r="1190" spans="1:8" x14ac:dyDescent="0.35">
      <c r="A1190" t="s">
        <v>29</v>
      </c>
      <c r="B1190" t="s">
        <v>116</v>
      </c>
      <c r="C1190" t="s">
        <v>1891</v>
      </c>
      <c r="D1190">
        <v>3</v>
      </c>
      <c r="E1190">
        <v>3</v>
      </c>
      <c r="F1190" t="s">
        <v>7</v>
      </c>
      <c r="G1190" t="s">
        <v>115</v>
      </c>
      <c r="H1190" t="s">
        <v>11</v>
      </c>
    </row>
    <row r="1191" spans="1:8" x14ac:dyDescent="0.35">
      <c r="A1191" t="s">
        <v>29</v>
      </c>
      <c r="B1191" t="s">
        <v>116</v>
      </c>
      <c r="C1191" t="s">
        <v>1892</v>
      </c>
      <c r="D1191">
        <v>3</v>
      </c>
      <c r="E1191">
        <v>2</v>
      </c>
      <c r="F1191" t="s">
        <v>7</v>
      </c>
      <c r="G1191" t="s">
        <v>115</v>
      </c>
      <c r="H1191" t="s">
        <v>11</v>
      </c>
    </row>
    <row r="1192" spans="1:8" x14ac:dyDescent="0.35">
      <c r="A1192" t="s">
        <v>29</v>
      </c>
      <c r="B1192" t="s">
        <v>116</v>
      </c>
      <c r="C1192" t="s">
        <v>1893</v>
      </c>
      <c r="D1192">
        <v>3</v>
      </c>
      <c r="E1192">
        <v>2</v>
      </c>
      <c r="F1192" t="s">
        <v>7</v>
      </c>
      <c r="G1192" t="s">
        <v>115</v>
      </c>
      <c r="H1192" t="s">
        <v>11</v>
      </c>
    </row>
    <row r="1193" spans="1:8" x14ac:dyDescent="0.35">
      <c r="A1193" t="s">
        <v>29</v>
      </c>
      <c r="B1193" t="s">
        <v>116</v>
      </c>
      <c r="C1193" t="s">
        <v>1894</v>
      </c>
      <c r="D1193">
        <v>3</v>
      </c>
      <c r="E1193">
        <v>2</v>
      </c>
      <c r="F1193" t="s">
        <v>7</v>
      </c>
      <c r="G1193" t="s">
        <v>115</v>
      </c>
      <c r="H1193" t="s">
        <v>11</v>
      </c>
    </row>
    <row r="1194" spans="1:8" x14ac:dyDescent="0.35">
      <c r="A1194" t="s">
        <v>29</v>
      </c>
      <c r="B1194" t="s">
        <v>116</v>
      </c>
      <c r="C1194" t="s">
        <v>1895</v>
      </c>
      <c r="D1194">
        <v>3</v>
      </c>
      <c r="E1194">
        <v>2</v>
      </c>
      <c r="F1194" t="s">
        <v>7</v>
      </c>
      <c r="G1194" t="s">
        <v>115</v>
      </c>
      <c r="H1194" t="s">
        <v>11</v>
      </c>
    </row>
    <row r="1195" spans="1:8" x14ac:dyDescent="0.35">
      <c r="A1195" t="s">
        <v>29</v>
      </c>
      <c r="B1195" t="s">
        <v>116</v>
      </c>
      <c r="C1195" t="s">
        <v>1896</v>
      </c>
      <c r="D1195">
        <v>3</v>
      </c>
      <c r="E1195">
        <v>2</v>
      </c>
      <c r="F1195" t="s">
        <v>7</v>
      </c>
      <c r="G1195" t="s">
        <v>115</v>
      </c>
      <c r="H1195" t="s">
        <v>11</v>
      </c>
    </row>
    <row r="1196" spans="1:8" x14ac:dyDescent="0.35">
      <c r="A1196" t="s">
        <v>29</v>
      </c>
      <c r="B1196" t="s">
        <v>116</v>
      </c>
      <c r="C1196" t="s">
        <v>1897</v>
      </c>
      <c r="D1196">
        <v>3</v>
      </c>
      <c r="E1196">
        <v>2</v>
      </c>
      <c r="F1196" t="s">
        <v>7</v>
      </c>
      <c r="G1196" t="s">
        <v>115</v>
      </c>
      <c r="H1196" t="s">
        <v>11</v>
      </c>
    </row>
    <row r="1197" spans="1:8" x14ac:dyDescent="0.35">
      <c r="A1197" t="s">
        <v>29</v>
      </c>
      <c r="B1197" t="s">
        <v>116</v>
      </c>
      <c r="C1197" t="s">
        <v>1898</v>
      </c>
      <c r="D1197">
        <v>3</v>
      </c>
      <c r="E1197">
        <v>2</v>
      </c>
      <c r="F1197" t="s">
        <v>7</v>
      </c>
      <c r="G1197" t="s">
        <v>115</v>
      </c>
      <c r="H1197" t="s">
        <v>11</v>
      </c>
    </row>
    <row r="1198" spans="1:8" x14ac:dyDescent="0.35">
      <c r="A1198" t="s">
        <v>29</v>
      </c>
      <c r="B1198" t="s">
        <v>116</v>
      </c>
      <c r="C1198" t="s">
        <v>1899</v>
      </c>
      <c r="D1198">
        <v>3</v>
      </c>
      <c r="E1198">
        <v>2</v>
      </c>
      <c r="F1198" t="s">
        <v>7</v>
      </c>
      <c r="G1198" t="s">
        <v>115</v>
      </c>
      <c r="H1198" t="s">
        <v>11</v>
      </c>
    </row>
    <row r="1199" spans="1:8" x14ac:dyDescent="0.35">
      <c r="A1199" t="s">
        <v>29</v>
      </c>
      <c r="B1199" t="s">
        <v>116</v>
      </c>
      <c r="C1199" t="s">
        <v>1900</v>
      </c>
      <c r="D1199">
        <v>3</v>
      </c>
      <c r="E1199">
        <v>2</v>
      </c>
      <c r="F1199" t="s">
        <v>7</v>
      </c>
      <c r="G1199" t="s">
        <v>115</v>
      </c>
      <c r="H1199" t="s">
        <v>11</v>
      </c>
    </row>
    <row r="1200" spans="1:8" x14ac:dyDescent="0.35">
      <c r="A1200" t="s">
        <v>29</v>
      </c>
      <c r="B1200" t="s">
        <v>116</v>
      </c>
      <c r="C1200" t="s">
        <v>1901</v>
      </c>
      <c r="D1200">
        <v>3</v>
      </c>
      <c r="E1200">
        <v>2</v>
      </c>
      <c r="F1200" t="s">
        <v>7</v>
      </c>
      <c r="G1200" t="s">
        <v>115</v>
      </c>
      <c r="H1200" t="s">
        <v>11</v>
      </c>
    </row>
    <row r="1201" spans="1:8" x14ac:dyDescent="0.35">
      <c r="A1201" t="s">
        <v>29</v>
      </c>
      <c r="B1201" t="s">
        <v>116</v>
      </c>
      <c r="C1201" t="s">
        <v>1902</v>
      </c>
      <c r="D1201">
        <v>3</v>
      </c>
      <c r="E1201">
        <v>3</v>
      </c>
      <c r="F1201" t="s">
        <v>7</v>
      </c>
      <c r="G1201" t="s">
        <v>115</v>
      </c>
      <c r="H1201" t="s">
        <v>11</v>
      </c>
    </row>
    <row r="1202" spans="1:8" x14ac:dyDescent="0.35">
      <c r="A1202" t="s">
        <v>29</v>
      </c>
      <c r="B1202" t="s">
        <v>116</v>
      </c>
      <c r="C1202" t="s">
        <v>1903</v>
      </c>
      <c r="D1202">
        <v>3</v>
      </c>
      <c r="E1202">
        <v>2</v>
      </c>
      <c r="F1202" t="s">
        <v>7</v>
      </c>
      <c r="G1202" t="s">
        <v>115</v>
      </c>
      <c r="H1202" t="s">
        <v>11</v>
      </c>
    </row>
    <row r="1203" spans="1:8" x14ac:dyDescent="0.35">
      <c r="A1203" t="s">
        <v>29</v>
      </c>
      <c r="B1203" t="s">
        <v>116</v>
      </c>
      <c r="C1203" t="s">
        <v>1277</v>
      </c>
      <c r="D1203">
        <v>3</v>
      </c>
      <c r="E1203">
        <v>3</v>
      </c>
      <c r="F1203" t="s">
        <v>7</v>
      </c>
      <c r="G1203" t="s">
        <v>115</v>
      </c>
      <c r="H1203" t="s">
        <v>11</v>
      </c>
    </row>
    <row r="1204" spans="1:8" x14ac:dyDescent="0.35">
      <c r="A1204" t="s">
        <v>29</v>
      </c>
      <c r="B1204" t="s">
        <v>116</v>
      </c>
      <c r="C1204" t="s">
        <v>1648</v>
      </c>
      <c r="D1204">
        <v>3</v>
      </c>
      <c r="E1204">
        <v>2</v>
      </c>
      <c r="F1204" t="s">
        <v>7</v>
      </c>
      <c r="G1204" t="s">
        <v>115</v>
      </c>
      <c r="H1204" t="s">
        <v>11</v>
      </c>
    </row>
    <row r="1205" spans="1:8" x14ac:dyDescent="0.35">
      <c r="A1205" t="s">
        <v>29</v>
      </c>
      <c r="B1205" t="s">
        <v>116</v>
      </c>
      <c r="C1205" t="s">
        <v>1904</v>
      </c>
      <c r="D1205">
        <v>3</v>
      </c>
      <c r="E1205">
        <v>3</v>
      </c>
      <c r="F1205" t="s">
        <v>7</v>
      </c>
      <c r="G1205" t="s">
        <v>115</v>
      </c>
      <c r="H1205" t="s">
        <v>11</v>
      </c>
    </row>
    <row r="1206" spans="1:8" x14ac:dyDescent="0.35">
      <c r="A1206" t="s">
        <v>29</v>
      </c>
      <c r="B1206" t="s">
        <v>116</v>
      </c>
      <c r="C1206" t="s">
        <v>1177</v>
      </c>
      <c r="D1206">
        <v>3</v>
      </c>
      <c r="E1206">
        <v>2</v>
      </c>
      <c r="F1206" t="s">
        <v>7</v>
      </c>
      <c r="G1206" t="s">
        <v>115</v>
      </c>
      <c r="H1206" t="s">
        <v>11</v>
      </c>
    </row>
    <row r="1207" spans="1:8" x14ac:dyDescent="0.35">
      <c r="A1207" t="s">
        <v>29</v>
      </c>
      <c r="B1207" t="s">
        <v>116</v>
      </c>
      <c r="C1207" t="s">
        <v>1557</v>
      </c>
      <c r="D1207">
        <v>3</v>
      </c>
      <c r="E1207">
        <v>3</v>
      </c>
      <c r="F1207" t="s">
        <v>7</v>
      </c>
      <c r="G1207" t="s">
        <v>115</v>
      </c>
      <c r="H1207" t="s">
        <v>11</v>
      </c>
    </row>
    <row r="1208" spans="1:8" x14ac:dyDescent="0.35">
      <c r="A1208" t="s">
        <v>29</v>
      </c>
      <c r="B1208" t="s">
        <v>116</v>
      </c>
      <c r="C1208" t="s">
        <v>1905</v>
      </c>
      <c r="D1208">
        <v>3</v>
      </c>
      <c r="E1208">
        <v>2</v>
      </c>
      <c r="F1208" t="s">
        <v>7</v>
      </c>
      <c r="G1208" t="s">
        <v>115</v>
      </c>
      <c r="H1208" t="s">
        <v>11</v>
      </c>
    </row>
    <row r="1209" spans="1:8" x14ac:dyDescent="0.35">
      <c r="A1209" t="s">
        <v>29</v>
      </c>
      <c r="B1209" t="s">
        <v>116</v>
      </c>
      <c r="C1209" t="s">
        <v>1906</v>
      </c>
      <c r="D1209">
        <v>3</v>
      </c>
      <c r="E1209">
        <v>3</v>
      </c>
      <c r="F1209" t="s">
        <v>7</v>
      </c>
      <c r="G1209" t="s">
        <v>11</v>
      </c>
      <c r="H1209" t="s">
        <v>11</v>
      </c>
    </row>
    <row r="1210" spans="1:8" x14ac:dyDescent="0.35">
      <c r="A1210" t="s">
        <v>29</v>
      </c>
      <c r="B1210" t="s">
        <v>116</v>
      </c>
      <c r="C1210" t="s">
        <v>1907</v>
      </c>
      <c r="D1210">
        <v>3</v>
      </c>
      <c r="E1210">
        <v>2</v>
      </c>
      <c r="F1210" t="s">
        <v>7</v>
      </c>
      <c r="G1210" t="s">
        <v>115</v>
      </c>
      <c r="H1210" t="s">
        <v>11</v>
      </c>
    </row>
    <row r="1211" spans="1:8" x14ac:dyDescent="0.35">
      <c r="A1211" t="s">
        <v>29</v>
      </c>
      <c r="B1211" t="s">
        <v>116</v>
      </c>
      <c r="C1211" t="s">
        <v>1908</v>
      </c>
      <c r="D1211">
        <v>3</v>
      </c>
      <c r="E1211">
        <v>3</v>
      </c>
      <c r="F1211" t="s">
        <v>7</v>
      </c>
      <c r="G1211" t="s">
        <v>115</v>
      </c>
      <c r="H1211" t="s">
        <v>11</v>
      </c>
    </row>
    <row r="1212" spans="1:8" x14ac:dyDescent="0.35">
      <c r="A1212" t="s">
        <v>32</v>
      </c>
      <c r="B1212" t="s">
        <v>54</v>
      </c>
      <c r="C1212" t="s">
        <v>1909</v>
      </c>
      <c r="D1212">
        <v>1</v>
      </c>
      <c r="E1212">
        <v>6</v>
      </c>
      <c r="F1212" t="s">
        <v>7</v>
      </c>
      <c r="G1212" t="s">
        <v>11</v>
      </c>
      <c r="H1212" t="s">
        <v>11</v>
      </c>
    </row>
    <row r="1213" spans="1:8" x14ac:dyDescent="0.35">
      <c r="A1213" t="s">
        <v>32</v>
      </c>
      <c r="B1213" t="s">
        <v>54</v>
      </c>
      <c r="C1213" t="s">
        <v>1910</v>
      </c>
      <c r="D1213">
        <v>1</v>
      </c>
      <c r="E1213">
        <v>7</v>
      </c>
      <c r="F1213" t="s">
        <v>11</v>
      </c>
      <c r="G1213" t="s">
        <v>11</v>
      </c>
      <c r="H1213" t="s">
        <v>11</v>
      </c>
    </row>
    <row r="1214" spans="1:8" x14ac:dyDescent="0.35">
      <c r="A1214" t="s">
        <v>32</v>
      </c>
      <c r="B1214" t="s">
        <v>54</v>
      </c>
      <c r="C1214" t="s">
        <v>1610</v>
      </c>
      <c r="D1214">
        <v>1</v>
      </c>
      <c r="E1214">
        <v>6</v>
      </c>
      <c r="F1214" t="s">
        <v>7</v>
      </c>
      <c r="G1214" t="s">
        <v>11</v>
      </c>
      <c r="H1214" t="s">
        <v>11</v>
      </c>
    </row>
    <row r="1215" spans="1:8" x14ac:dyDescent="0.35">
      <c r="A1215" t="s">
        <v>32</v>
      </c>
      <c r="B1215" t="s">
        <v>54</v>
      </c>
      <c r="C1215" t="s">
        <v>1142</v>
      </c>
      <c r="D1215">
        <v>1</v>
      </c>
      <c r="E1215">
        <v>6</v>
      </c>
      <c r="F1215" t="s">
        <v>7</v>
      </c>
      <c r="G1215" t="s">
        <v>11</v>
      </c>
      <c r="H1215" t="s">
        <v>11</v>
      </c>
    </row>
    <row r="1216" spans="1:8" x14ac:dyDescent="0.35">
      <c r="A1216" t="s">
        <v>32</v>
      </c>
      <c r="B1216" t="s">
        <v>54</v>
      </c>
      <c r="C1216" t="s">
        <v>1506</v>
      </c>
      <c r="D1216">
        <v>1</v>
      </c>
      <c r="E1216">
        <v>6</v>
      </c>
      <c r="F1216" t="s">
        <v>7</v>
      </c>
      <c r="G1216" t="s">
        <v>11</v>
      </c>
      <c r="H1216" t="s">
        <v>11</v>
      </c>
    </row>
    <row r="1217" spans="1:8" x14ac:dyDescent="0.35">
      <c r="A1217" t="s">
        <v>32</v>
      </c>
      <c r="B1217" t="s">
        <v>54</v>
      </c>
      <c r="C1217" t="s">
        <v>1911</v>
      </c>
      <c r="D1217">
        <v>1</v>
      </c>
      <c r="E1217">
        <v>6</v>
      </c>
      <c r="F1217" t="s">
        <v>7</v>
      </c>
      <c r="G1217" t="s">
        <v>11</v>
      </c>
      <c r="H1217" t="s">
        <v>11</v>
      </c>
    </row>
    <row r="1218" spans="1:8" x14ac:dyDescent="0.35">
      <c r="A1218" t="s">
        <v>32</v>
      </c>
      <c r="B1218" t="s">
        <v>54</v>
      </c>
      <c r="C1218" t="s">
        <v>1626</v>
      </c>
      <c r="D1218">
        <v>2</v>
      </c>
      <c r="E1218">
        <v>6</v>
      </c>
      <c r="F1218" t="s">
        <v>7</v>
      </c>
      <c r="G1218" t="s">
        <v>11</v>
      </c>
      <c r="H1218" t="s">
        <v>11</v>
      </c>
    </row>
    <row r="1219" spans="1:8" x14ac:dyDescent="0.35">
      <c r="A1219" t="s">
        <v>32</v>
      </c>
      <c r="B1219" t="s">
        <v>54</v>
      </c>
      <c r="C1219" t="s">
        <v>1254</v>
      </c>
      <c r="D1219">
        <v>1</v>
      </c>
      <c r="E1219">
        <v>6</v>
      </c>
      <c r="F1219" t="s">
        <v>7</v>
      </c>
      <c r="G1219" t="s">
        <v>11</v>
      </c>
      <c r="H1219" t="s">
        <v>11</v>
      </c>
    </row>
    <row r="1220" spans="1:8" x14ac:dyDescent="0.35">
      <c r="A1220" t="s">
        <v>32</v>
      </c>
      <c r="B1220" t="s">
        <v>54</v>
      </c>
      <c r="C1220" t="s">
        <v>1912</v>
      </c>
      <c r="D1220">
        <v>1</v>
      </c>
      <c r="E1220">
        <v>6</v>
      </c>
      <c r="F1220" t="s">
        <v>7</v>
      </c>
      <c r="G1220" t="s">
        <v>11</v>
      </c>
      <c r="H1220" t="s">
        <v>11</v>
      </c>
    </row>
    <row r="1221" spans="1:8" x14ac:dyDescent="0.35">
      <c r="A1221" t="s">
        <v>32</v>
      </c>
      <c r="B1221" t="s">
        <v>54</v>
      </c>
      <c r="C1221" t="s">
        <v>1913</v>
      </c>
      <c r="D1221">
        <v>1</v>
      </c>
      <c r="E1221">
        <v>6</v>
      </c>
      <c r="F1221" t="s">
        <v>7</v>
      </c>
      <c r="G1221" t="s">
        <v>11</v>
      </c>
      <c r="H1221" t="s">
        <v>11</v>
      </c>
    </row>
    <row r="1222" spans="1:8" x14ac:dyDescent="0.35">
      <c r="A1222" t="s">
        <v>32</v>
      </c>
      <c r="B1222" t="s">
        <v>54</v>
      </c>
      <c r="C1222" t="s">
        <v>1914</v>
      </c>
      <c r="D1222">
        <v>1</v>
      </c>
      <c r="E1222">
        <v>6</v>
      </c>
      <c r="F1222" t="s">
        <v>7</v>
      </c>
      <c r="G1222" t="s">
        <v>11</v>
      </c>
      <c r="H1222" t="s">
        <v>11</v>
      </c>
    </row>
    <row r="1223" spans="1:8" x14ac:dyDescent="0.35">
      <c r="A1223" t="s">
        <v>32</v>
      </c>
      <c r="B1223" t="s">
        <v>54</v>
      </c>
      <c r="C1223" t="s">
        <v>1915</v>
      </c>
      <c r="D1223">
        <v>2</v>
      </c>
      <c r="E1223">
        <v>6</v>
      </c>
      <c r="F1223" t="s">
        <v>7</v>
      </c>
      <c r="G1223" t="s">
        <v>11</v>
      </c>
      <c r="H1223" t="s">
        <v>11</v>
      </c>
    </row>
    <row r="1224" spans="1:8" x14ac:dyDescent="0.35">
      <c r="A1224" t="s">
        <v>32</v>
      </c>
      <c r="B1224" t="s">
        <v>54</v>
      </c>
      <c r="C1224" t="s">
        <v>1916</v>
      </c>
      <c r="D1224">
        <v>1</v>
      </c>
      <c r="E1224">
        <v>6</v>
      </c>
      <c r="F1224" t="s">
        <v>7</v>
      </c>
      <c r="G1224" t="s">
        <v>11</v>
      </c>
      <c r="H1224" t="s">
        <v>11</v>
      </c>
    </row>
    <row r="1225" spans="1:8" x14ac:dyDescent="0.35">
      <c r="A1225" t="s">
        <v>32</v>
      </c>
      <c r="B1225" t="s">
        <v>54</v>
      </c>
      <c r="C1225" t="s">
        <v>1917</v>
      </c>
      <c r="D1225">
        <v>2</v>
      </c>
      <c r="E1225">
        <v>6</v>
      </c>
      <c r="F1225" t="s">
        <v>7</v>
      </c>
      <c r="G1225" t="s">
        <v>11</v>
      </c>
      <c r="H1225" t="s">
        <v>11</v>
      </c>
    </row>
    <row r="1226" spans="1:8" x14ac:dyDescent="0.35">
      <c r="A1226" t="s">
        <v>32</v>
      </c>
      <c r="B1226" t="s">
        <v>54</v>
      </c>
      <c r="C1226" t="s">
        <v>1177</v>
      </c>
      <c r="D1226">
        <v>2</v>
      </c>
      <c r="E1226">
        <v>6</v>
      </c>
      <c r="F1226" t="s">
        <v>7</v>
      </c>
      <c r="G1226" t="s">
        <v>11</v>
      </c>
      <c r="H1226" t="s">
        <v>11</v>
      </c>
    </row>
    <row r="1227" spans="1:8" x14ac:dyDescent="0.35">
      <c r="A1227" t="s">
        <v>32</v>
      </c>
      <c r="B1227" t="s">
        <v>54</v>
      </c>
      <c r="C1227" t="s">
        <v>1918</v>
      </c>
      <c r="D1227">
        <v>1</v>
      </c>
      <c r="E1227">
        <v>6</v>
      </c>
      <c r="F1227" t="s">
        <v>7</v>
      </c>
      <c r="G1227" t="s">
        <v>11</v>
      </c>
      <c r="H1227" t="s">
        <v>11</v>
      </c>
    </row>
    <row r="1228" spans="1:8" x14ac:dyDescent="0.35">
      <c r="A1228" t="s">
        <v>31</v>
      </c>
      <c r="B1228" t="s">
        <v>92</v>
      </c>
      <c r="C1228" t="s">
        <v>1919</v>
      </c>
      <c r="D1228">
        <v>2</v>
      </c>
      <c r="E1228">
        <v>4</v>
      </c>
      <c r="F1228" t="s">
        <v>7</v>
      </c>
      <c r="G1228" t="s">
        <v>11</v>
      </c>
      <c r="H1228" t="s">
        <v>11</v>
      </c>
    </row>
    <row r="1229" spans="1:8" x14ac:dyDescent="0.35">
      <c r="A1229" t="s">
        <v>31</v>
      </c>
      <c r="B1229" t="s">
        <v>92</v>
      </c>
      <c r="C1229" t="s">
        <v>1920</v>
      </c>
      <c r="D1229">
        <v>2</v>
      </c>
      <c r="E1229">
        <v>4</v>
      </c>
      <c r="F1229" t="s">
        <v>7</v>
      </c>
      <c r="G1229" t="s">
        <v>11</v>
      </c>
      <c r="H1229" t="s">
        <v>11</v>
      </c>
    </row>
    <row r="1230" spans="1:8" x14ac:dyDescent="0.35">
      <c r="A1230" t="s">
        <v>31</v>
      </c>
      <c r="B1230" t="s">
        <v>92</v>
      </c>
      <c r="C1230" t="s">
        <v>1921</v>
      </c>
      <c r="D1230">
        <v>1</v>
      </c>
      <c r="E1230">
        <v>4</v>
      </c>
      <c r="F1230" t="s">
        <v>7</v>
      </c>
      <c r="G1230" t="s">
        <v>11</v>
      </c>
      <c r="H1230" t="s">
        <v>11</v>
      </c>
    </row>
    <row r="1231" spans="1:8" x14ac:dyDescent="0.35">
      <c r="A1231" t="s">
        <v>31</v>
      </c>
      <c r="B1231" t="s">
        <v>92</v>
      </c>
      <c r="C1231" t="s">
        <v>1922</v>
      </c>
      <c r="D1231">
        <v>2</v>
      </c>
      <c r="E1231">
        <v>4</v>
      </c>
      <c r="F1231" t="s">
        <v>7</v>
      </c>
      <c r="G1231" t="s">
        <v>11</v>
      </c>
      <c r="H1231" t="s">
        <v>11</v>
      </c>
    </row>
    <row r="1232" spans="1:8" x14ac:dyDescent="0.35">
      <c r="A1232" t="s">
        <v>31</v>
      </c>
      <c r="B1232" t="s">
        <v>92</v>
      </c>
      <c r="C1232" t="s">
        <v>1923</v>
      </c>
      <c r="D1232">
        <v>1</v>
      </c>
      <c r="E1232">
        <v>4</v>
      </c>
      <c r="F1232" t="s">
        <v>7</v>
      </c>
      <c r="G1232" t="s">
        <v>11</v>
      </c>
      <c r="H1232" t="s">
        <v>11</v>
      </c>
    </row>
    <row r="1233" spans="1:8" x14ac:dyDescent="0.35">
      <c r="A1233" t="s">
        <v>31</v>
      </c>
      <c r="B1233" t="s">
        <v>92</v>
      </c>
      <c r="C1233" t="s">
        <v>1924</v>
      </c>
      <c r="D1233">
        <v>3</v>
      </c>
      <c r="E1233">
        <v>4</v>
      </c>
      <c r="F1233" t="s">
        <v>7</v>
      </c>
      <c r="G1233" t="s">
        <v>11</v>
      </c>
      <c r="H1233" t="s">
        <v>11</v>
      </c>
    </row>
    <row r="1234" spans="1:8" x14ac:dyDescent="0.35">
      <c r="A1234" t="s">
        <v>31</v>
      </c>
      <c r="B1234" t="s">
        <v>92</v>
      </c>
      <c r="C1234" t="s">
        <v>1231</v>
      </c>
      <c r="D1234">
        <v>1</v>
      </c>
      <c r="E1234">
        <v>4</v>
      </c>
      <c r="F1234" t="s">
        <v>7</v>
      </c>
      <c r="G1234" t="s">
        <v>11</v>
      </c>
      <c r="H1234" t="s">
        <v>11</v>
      </c>
    </row>
    <row r="1235" spans="1:8" x14ac:dyDescent="0.35">
      <c r="A1235" t="s">
        <v>31</v>
      </c>
      <c r="B1235" t="s">
        <v>92</v>
      </c>
      <c r="C1235" t="s">
        <v>1925</v>
      </c>
      <c r="D1235">
        <v>2</v>
      </c>
      <c r="E1235">
        <v>4</v>
      </c>
      <c r="F1235" t="s">
        <v>7</v>
      </c>
      <c r="G1235" t="s">
        <v>11</v>
      </c>
      <c r="H1235" t="s">
        <v>11</v>
      </c>
    </row>
    <row r="1236" spans="1:8" x14ac:dyDescent="0.35">
      <c r="A1236" t="s">
        <v>31</v>
      </c>
      <c r="B1236" t="s">
        <v>92</v>
      </c>
      <c r="C1236" t="s">
        <v>1926</v>
      </c>
      <c r="D1236">
        <v>2</v>
      </c>
      <c r="E1236">
        <v>4</v>
      </c>
      <c r="F1236" t="s">
        <v>7</v>
      </c>
      <c r="G1236" t="s">
        <v>11</v>
      </c>
      <c r="H1236" t="s">
        <v>11</v>
      </c>
    </row>
    <row r="1237" spans="1:8" x14ac:dyDescent="0.35">
      <c r="A1237" t="s">
        <v>31</v>
      </c>
      <c r="B1237" t="s">
        <v>92</v>
      </c>
      <c r="C1237" t="s">
        <v>1927</v>
      </c>
      <c r="D1237">
        <v>3</v>
      </c>
      <c r="E1237">
        <v>4</v>
      </c>
      <c r="F1237" t="s">
        <v>7</v>
      </c>
      <c r="G1237" t="s">
        <v>11</v>
      </c>
      <c r="H1237" t="s">
        <v>11</v>
      </c>
    </row>
    <row r="1238" spans="1:8" x14ac:dyDescent="0.35">
      <c r="A1238" t="s">
        <v>31</v>
      </c>
      <c r="B1238" t="s">
        <v>92</v>
      </c>
      <c r="C1238" t="s">
        <v>1928</v>
      </c>
      <c r="D1238">
        <v>1</v>
      </c>
      <c r="E1238">
        <v>4</v>
      </c>
      <c r="F1238" t="s">
        <v>7</v>
      </c>
      <c r="G1238" t="s">
        <v>11</v>
      </c>
      <c r="H1238" t="s">
        <v>11</v>
      </c>
    </row>
    <row r="1239" spans="1:8" x14ac:dyDescent="0.35">
      <c r="A1239" t="s">
        <v>31</v>
      </c>
      <c r="B1239" t="s">
        <v>92</v>
      </c>
      <c r="C1239" t="s">
        <v>1929</v>
      </c>
      <c r="D1239">
        <v>2</v>
      </c>
      <c r="E1239">
        <v>5</v>
      </c>
      <c r="F1239" t="s">
        <v>7</v>
      </c>
      <c r="G1239" t="s">
        <v>11</v>
      </c>
      <c r="H1239" t="s">
        <v>11</v>
      </c>
    </row>
    <row r="1240" spans="1:8" x14ac:dyDescent="0.35">
      <c r="A1240" t="s">
        <v>31</v>
      </c>
      <c r="B1240" t="s">
        <v>92</v>
      </c>
      <c r="C1240" t="s">
        <v>1930</v>
      </c>
      <c r="D1240">
        <v>1</v>
      </c>
      <c r="E1240">
        <v>4</v>
      </c>
      <c r="F1240" t="s">
        <v>7</v>
      </c>
      <c r="G1240" t="s">
        <v>11</v>
      </c>
      <c r="H1240" t="s">
        <v>11</v>
      </c>
    </row>
    <row r="1241" spans="1:8" x14ac:dyDescent="0.35">
      <c r="A1241" t="s">
        <v>31</v>
      </c>
      <c r="B1241" t="s">
        <v>92</v>
      </c>
      <c r="C1241" t="s">
        <v>1249</v>
      </c>
      <c r="D1241">
        <v>1</v>
      </c>
      <c r="E1241">
        <v>4</v>
      </c>
      <c r="F1241" t="s">
        <v>7</v>
      </c>
      <c r="G1241" t="s">
        <v>11</v>
      </c>
      <c r="H1241" t="s">
        <v>11</v>
      </c>
    </row>
    <row r="1242" spans="1:8" x14ac:dyDescent="0.35">
      <c r="A1242" t="s">
        <v>31</v>
      </c>
      <c r="B1242" t="s">
        <v>92</v>
      </c>
      <c r="C1242" t="s">
        <v>1401</v>
      </c>
      <c r="D1242">
        <v>3</v>
      </c>
      <c r="E1242">
        <v>4</v>
      </c>
      <c r="F1242" t="s">
        <v>7</v>
      </c>
      <c r="G1242" t="s">
        <v>11</v>
      </c>
      <c r="H1242" t="s">
        <v>11</v>
      </c>
    </row>
    <row r="1243" spans="1:8" x14ac:dyDescent="0.35">
      <c r="A1243" t="s">
        <v>31</v>
      </c>
      <c r="B1243" t="s">
        <v>92</v>
      </c>
      <c r="C1243" t="s">
        <v>1163</v>
      </c>
      <c r="D1243">
        <v>1</v>
      </c>
      <c r="E1243">
        <v>4</v>
      </c>
      <c r="F1243" t="s">
        <v>7</v>
      </c>
      <c r="G1243" t="s">
        <v>11</v>
      </c>
      <c r="H1243" t="s">
        <v>11</v>
      </c>
    </row>
    <row r="1244" spans="1:8" x14ac:dyDescent="0.35">
      <c r="A1244" t="s">
        <v>31</v>
      </c>
      <c r="B1244" t="s">
        <v>92</v>
      </c>
      <c r="C1244" t="s">
        <v>1931</v>
      </c>
      <c r="D1244">
        <v>2</v>
      </c>
      <c r="E1244">
        <v>4</v>
      </c>
      <c r="F1244" t="s">
        <v>7</v>
      </c>
      <c r="G1244" t="s">
        <v>11</v>
      </c>
      <c r="H1244" t="s">
        <v>11</v>
      </c>
    </row>
    <row r="1245" spans="1:8" x14ac:dyDescent="0.35">
      <c r="A1245" t="s">
        <v>31</v>
      </c>
      <c r="B1245" t="s">
        <v>92</v>
      </c>
      <c r="C1245" t="s">
        <v>1932</v>
      </c>
      <c r="D1245">
        <v>3</v>
      </c>
      <c r="E1245">
        <v>4</v>
      </c>
      <c r="F1245" t="s">
        <v>7</v>
      </c>
      <c r="G1245" t="s">
        <v>11</v>
      </c>
      <c r="H1245" t="s">
        <v>11</v>
      </c>
    </row>
    <row r="1246" spans="1:8" x14ac:dyDescent="0.35">
      <c r="A1246" t="s">
        <v>31</v>
      </c>
      <c r="B1246" t="s">
        <v>92</v>
      </c>
      <c r="C1246" t="s">
        <v>1933</v>
      </c>
      <c r="D1246">
        <v>2</v>
      </c>
      <c r="E1246">
        <v>4</v>
      </c>
      <c r="F1246" t="s">
        <v>7</v>
      </c>
      <c r="G1246" t="s">
        <v>11</v>
      </c>
      <c r="H1246" t="s">
        <v>11</v>
      </c>
    </row>
    <row r="1247" spans="1:8" x14ac:dyDescent="0.35">
      <c r="A1247" t="s">
        <v>31</v>
      </c>
      <c r="B1247" t="s">
        <v>92</v>
      </c>
      <c r="C1247" t="s">
        <v>1916</v>
      </c>
      <c r="D1247">
        <v>3</v>
      </c>
      <c r="E1247">
        <v>4</v>
      </c>
      <c r="F1247" t="s">
        <v>7</v>
      </c>
      <c r="G1247" t="s">
        <v>11</v>
      </c>
      <c r="H1247" t="s">
        <v>11</v>
      </c>
    </row>
    <row r="1248" spans="1:8" x14ac:dyDescent="0.35">
      <c r="A1248" t="s">
        <v>31</v>
      </c>
      <c r="B1248" t="s">
        <v>92</v>
      </c>
      <c r="C1248" t="s">
        <v>1540</v>
      </c>
      <c r="D1248">
        <v>3</v>
      </c>
      <c r="E1248">
        <v>4</v>
      </c>
      <c r="F1248" t="s">
        <v>7</v>
      </c>
      <c r="G1248" t="s">
        <v>11</v>
      </c>
      <c r="H1248" t="s">
        <v>11</v>
      </c>
    </row>
    <row r="1249" spans="1:8" x14ac:dyDescent="0.35">
      <c r="A1249" t="s">
        <v>31</v>
      </c>
      <c r="B1249" t="s">
        <v>92</v>
      </c>
      <c r="C1249" t="s">
        <v>1177</v>
      </c>
      <c r="D1249">
        <v>1</v>
      </c>
      <c r="E1249">
        <v>4</v>
      </c>
      <c r="F1249" t="s">
        <v>7</v>
      </c>
      <c r="G1249" t="s">
        <v>11</v>
      </c>
      <c r="H1249" t="s">
        <v>11</v>
      </c>
    </row>
    <row r="1250" spans="1:8" x14ac:dyDescent="0.35">
      <c r="A1250" t="s">
        <v>31</v>
      </c>
      <c r="B1250" t="s">
        <v>92</v>
      </c>
      <c r="C1250" t="s">
        <v>1934</v>
      </c>
      <c r="D1250">
        <v>3</v>
      </c>
      <c r="E1250">
        <v>4</v>
      </c>
      <c r="F1250" t="s">
        <v>7</v>
      </c>
      <c r="G1250" t="s">
        <v>11</v>
      </c>
      <c r="H1250" t="s">
        <v>11</v>
      </c>
    </row>
    <row r="1251" spans="1:8" x14ac:dyDescent="0.35">
      <c r="A1251" t="s">
        <v>31</v>
      </c>
      <c r="B1251" t="s">
        <v>92</v>
      </c>
      <c r="C1251" t="s">
        <v>1935</v>
      </c>
      <c r="D1251">
        <v>3</v>
      </c>
      <c r="E1251">
        <v>4</v>
      </c>
      <c r="F1251" t="s">
        <v>7</v>
      </c>
      <c r="G1251" t="s">
        <v>11</v>
      </c>
      <c r="H1251" t="s">
        <v>11</v>
      </c>
    </row>
    <row r="1252" spans="1:8" x14ac:dyDescent="0.35">
      <c r="A1252" t="s">
        <v>30</v>
      </c>
      <c r="B1252" t="s">
        <v>93</v>
      </c>
      <c r="C1252" t="s">
        <v>1936</v>
      </c>
      <c r="D1252">
        <v>2</v>
      </c>
      <c r="E1252">
        <v>5</v>
      </c>
      <c r="F1252" t="s">
        <v>7</v>
      </c>
      <c r="G1252" t="s">
        <v>11</v>
      </c>
      <c r="H1252" t="s">
        <v>11</v>
      </c>
    </row>
    <row r="1253" spans="1:8" x14ac:dyDescent="0.35">
      <c r="A1253" t="s">
        <v>30</v>
      </c>
      <c r="B1253" t="s">
        <v>93</v>
      </c>
      <c r="C1253" t="s">
        <v>1937</v>
      </c>
      <c r="D1253">
        <v>2</v>
      </c>
      <c r="E1253">
        <v>5</v>
      </c>
      <c r="F1253" t="s">
        <v>7</v>
      </c>
      <c r="G1253" t="s">
        <v>11</v>
      </c>
      <c r="H1253" t="s">
        <v>11</v>
      </c>
    </row>
    <row r="1254" spans="1:8" x14ac:dyDescent="0.35">
      <c r="A1254" t="s">
        <v>30</v>
      </c>
      <c r="B1254" t="s">
        <v>93</v>
      </c>
      <c r="C1254" t="s">
        <v>1938</v>
      </c>
      <c r="D1254">
        <v>2</v>
      </c>
      <c r="E1254">
        <v>5</v>
      </c>
      <c r="F1254" t="s">
        <v>7</v>
      </c>
      <c r="G1254" t="s">
        <v>11</v>
      </c>
      <c r="H1254" t="s">
        <v>11</v>
      </c>
    </row>
    <row r="1255" spans="1:8" x14ac:dyDescent="0.35">
      <c r="A1255" t="s">
        <v>30</v>
      </c>
      <c r="B1255" t="s">
        <v>93</v>
      </c>
      <c r="C1255" t="s">
        <v>1939</v>
      </c>
      <c r="D1255">
        <v>2</v>
      </c>
      <c r="E1255">
        <v>5</v>
      </c>
      <c r="F1255" t="s">
        <v>7</v>
      </c>
      <c r="G1255" t="s">
        <v>11</v>
      </c>
      <c r="H1255" t="s">
        <v>11</v>
      </c>
    </row>
    <row r="1256" spans="1:8" x14ac:dyDescent="0.35">
      <c r="A1256" t="s">
        <v>30</v>
      </c>
      <c r="B1256" t="s">
        <v>93</v>
      </c>
      <c r="C1256" t="s">
        <v>1940</v>
      </c>
      <c r="D1256">
        <v>1</v>
      </c>
      <c r="E1256">
        <v>5</v>
      </c>
      <c r="F1256" t="s">
        <v>7</v>
      </c>
      <c r="G1256" t="s">
        <v>11</v>
      </c>
      <c r="H1256" t="s">
        <v>11</v>
      </c>
    </row>
    <row r="1257" spans="1:8" x14ac:dyDescent="0.35">
      <c r="A1257" t="s">
        <v>30</v>
      </c>
      <c r="B1257" t="s">
        <v>93</v>
      </c>
      <c r="C1257" t="s">
        <v>1142</v>
      </c>
      <c r="D1257">
        <v>2</v>
      </c>
      <c r="E1257">
        <v>5</v>
      </c>
      <c r="F1257" t="s">
        <v>7</v>
      </c>
      <c r="G1257" t="s">
        <v>11</v>
      </c>
      <c r="H1257" t="s">
        <v>11</v>
      </c>
    </row>
    <row r="1258" spans="1:8" x14ac:dyDescent="0.35">
      <c r="A1258" t="s">
        <v>30</v>
      </c>
      <c r="B1258" t="s">
        <v>93</v>
      </c>
      <c r="C1258" t="s">
        <v>1941</v>
      </c>
      <c r="D1258">
        <v>2</v>
      </c>
      <c r="E1258">
        <v>5</v>
      </c>
      <c r="F1258" t="s">
        <v>7</v>
      </c>
      <c r="G1258" t="s">
        <v>11</v>
      </c>
      <c r="H1258" t="s">
        <v>11</v>
      </c>
    </row>
    <row r="1259" spans="1:8" x14ac:dyDescent="0.35">
      <c r="A1259" t="s">
        <v>30</v>
      </c>
      <c r="B1259" t="s">
        <v>93</v>
      </c>
      <c r="C1259" t="s">
        <v>1942</v>
      </c>
      <c r="D1259">
        <v>2</v>
      </c>
      <c r="E1259">
        <v>5</v>
      </c>
      <c r="F1259" t="s">
        <v>7</v>
      </c>
      <c r="G1259" t="s">
        <v>11</v>
      </c>
      <c r="H1259" t="s">
        <v>11</v>
      </c>
    </row>
    <row r="1260" spans="1:8" x14ac:dyDescent="0.35">
      <c r="A1260" t="s">
        <v>30</v>
      </c>
      <c r="B1260" t="s">
        <v>93</v>
      </c>
      <c r="C1260" t="s">
        <v>1396</v>
      </c>
      <c r="D1260">
        <v>1</v>
      </c>
      <c r="E1260">
        <v>5</v>
      </c>
      <c r="F1260" t="s">
        <v>7</v>
      </c>
      <c r="G1260" t="s">
        <v>11</v>
      </c>
      <c r="H1260" t="s">
        <v>11</v>
      </c>
    </row>
    <row r="1261" spans="1:8" x14ac:dyDescent="0.35">
      <c r="A1261" t="s">
        <v>30</v>
      </c>
      <c r="B1261" t="s">
        <v>93</v>
      </c>
      <c r="C1261" t="s">
        <v>1943</v>
      </c>
      <c r="D1261">
        <v>2</v>
      </c>
      <c r="E1261">
        <v>5</v>
      </c>
      <c r="F1261" t="s">
        <v>7</v>
      </c>
      <c r="G1261" t="s">
        <v>11</v>
      </c>
      <c r="H1261" t="s">
        <v>11</v>
      </c>
    </row>
    <row r="1262" spans="1:8" x14ac:dyDescent="0.35">
      <c r="A1262" t="s">
        <v>30</v>
      </c>
      <c r="B1262" t="s">
        <v>93</v>
      </c>
      <c r="C1262" t="s">
        <v>1944</v>
      </c>
      <c r="D1262">
        <v>2</v>
      </c>
      <c r="E1262">
        <v>5</v>
      </c>
      <c r="F1262" t="s">
        <v>7</v>
      </c>
      <c r="G1262" t="s">
        <v>11</v>
      </c>
      <c r="H1262" t="s">
        <v>11</v>
      </c>
    </row>
    <row r="1263" spans="1:8" x14ac:dyDescent="0.35">
      <c r="A1263" t="s">
        <v>30</v>
      </c>
      <c r="B1263" t="s">
        <v>93</v>
      </c>
      <c r="C1263" t="s">
        <v>1728</v>
      </c>
      <c r="D1263">
        <v>2</v>
      </c>
      <c r="E1263">
        <v>5</v>
      </c>
      <c r="F1263" t="s">
        <v>7</v>
      </c>
      <c r="G1263" t="s">
        <v>11</v>
      </c>
      <c r="H1263" t="s">
        <v>11</v>
      </c>
    </row>
    <row r="1264" spans="1:8" x14ac:dyDescent="0.35">
      <c r="A1264" t="s">
        <v>30</v>
      </c>
      <c r="B1264" t="s">
        <v>93</v>
      </c>
      <c r="C1264" t="s">
        <v>1945</v>
      </c>
      <c r="D1264">
        <v>3</v>
      </c>
      <c r="E1264">
        <v>5</v>
      </c>
      <c r="F1264" t="s">
        <v>7</v>
      </c>
      <c r="G1264" t="s">
        <v>11</v>
      </c>
      <c r="H1264" t="s">
        <v>11</v>
      </c>
    </row>
    <row r="1265" spans="1:8" x14ac:dyDescent="0.35">
      <c r="A1265" t="s">
        <v>30</v>
      </c>
      <c r="B1265" t="s">
        <v>93</v>
      </c>
      <c r="C1265" t="s">
        <v>1935</v>
      </c>
      <c r="D1265">
        <v>1</v>
      </c>
      <c r="E1265">
        <v>5</v>
      </c>
      <c r="F1265" t="s">
        <v>7</v>
      </c>
      <c r="G1265" t="s">
        <v>11</v>
      </c>
      <c r="H1265" t="s">
        <v>11</v>
      </c>
    </row>
    <row r="1266" spans="1:8" x14ac:dyDescent="0.35">
      <c r="A1266" t="s">
        <v>33</v>
      </c>
      <c r="B1266" t="s">
        <v>56</v>
      </c>
      <c r="C1266" t="s">
        <v>1946</v>
      </c>
      <c r="D1266">
        <v>2</v>
      </c>
      <c r="E1266">
        <v>6</v>
      </c>
      <c r="F1266" t="s">
        <v>7</v>
      </c>
      <c r="G1266" t="s">
        <v>11</v>
      </c>
      <c r="H1266" t="s">
        <v>11</v>
      </c>
    </row>
    <row r="1267" spans="1:8" x14ac:dyDescent="0.35">
      <c r="A1267" t="s">
        <v>33</v>
      </c>
      <c r="B1267" t="s">
        <v>56</v>
      </c>
      <c r="C1267" t="s">
        <v>1947</v>
      </c>
      <c r="D1267">
        <v>2</v>
      </c>
      <c r="E1267">
        <v>6</v>
      </c>
      <c r="F1267" t="s">
        <v>7</v>
      </c>
      <c r="G1267" t="s">
        <v>11</v>
      </c>
      <c r="H1267" t="s">
        <v>11</v>
      </c>
    </row>
    <row r="1268" spans="1:8" x14ac:dyDescent="0.35">
      <c r="A1268" t="s">
        <v>33</v>
      </c>
      <c r="B1268" t="s">
        <v>56</v>
      </c>
      <c r="C1268" t="s">
        <v>1948</v>
      </c>
      <c r="D1268">
        <v>3</v>
      </c>
      <c r="E1268">
        <v>5</v>
      </c>
      <c r="F1268" t="s">
        <v>7</v>
      </c>
      <c r="G1268" t="s">
        <v>11</v>
      </c>
      <c r="H1268" t="s">
        <v>11</v>
      </c>
    </row>
    <row r="1269" spans="1:8" x14ac:dyDescent="0.35">
      <c r="A1269" t="s">
        <v>33</v>
      </c>
      <c r="B1269" t="s">
        <v>56</v>
      </c>
      <c r="C1269" t="s">
        <v>1949</v>
      </c>
      <c r="D1269">
        <v>2</v>
      </c>
      <c r="E1269">
        <v>6</v>
      </c>
      <c r="F1269" t="s">
        <v>7</v>
      </c>
      <c r="G1269" t="s">
        <v>11</v>
      </c>
      <c r="H1269" t="s">
        <v>11</v>
      </c>
    </row>
    <row r="1270" spans="1:8" x14ac:dyDescent="0.35">
      <c r="A1270" t="s">
        <v>33</v>
      </c>
      <c r="B1270" t="s">
        <v>56</v>
      </c>
      <c r="C1270" t="s">
        <v>1950</v>
      </c>
      <c r="D1270">
        <v>2</v>
      </c>
      <c r="E1270">
        <v>6</v>
      </c>
      <c r="F1270" t="s">
        <v>7</v>
      </c>
      <c r="G1270" t="s">
        <v>11</v>
      </c>
      <c r="H1270" t="s">
        <v>11</v>
      </c>
    </row>
    <row r="1271" spans="1:8" x14ac:dyDescent="0.35">
      <c r="A1271" t="s">
        <v>33</v>
      </c>
      <c r="B1271" t="s">
        <v>56</v>
      </c>
      <c r="C1271" t="s">
        <v>1951</v>
      </c>
      <c r="D1271">
        <v>3</v>
      </c>
      <c r="E1271">
        <v>6</v>
      </c>
      <c r="F1271" t="s">
        <v>7</v>
      </c>
      <c r="G1271" t="s">
        <v>11</v>
      </c>
      <c r="H1271" t="s">
        <v>11</v>
      </c>
    </row>
    <row r="1272" spans="1:8" x14ac:dyDescent="0.35">
      <c r="A1272" t="s">
        <v>33</v>
      </c>
      <c r="B1272" t="s">
        <v>56</v>
      </c>
      <c r="C1272" t="s">
        <v>1952</v>
      </c>
      <c r="D1272">
        <v>2</v>
      </c>
      <c r="E1272">
        <v>7</v>
      </c>
      <c r="F1272" t="s">
        <v>11</v>
      </c>
      <c r="G1272" t="s">
        <v>11</v>
      </c>
      <c r="H1272" t="s">
        <v>11</v>
      </c>
    </row>
    <row r="1273" spans="1:8" x14ac:dyDescent="0.35">
      <c r="A1273" t="s">
        <v>33</v>
      </c>
      <c r="B1273" t="s">
        <v>56</v>
      </c>
      <c r="C1273" t="s">
        <v>1953</v>
      </c>
      <c r="D1273">
        <v>2</v>
      </c>
      <c r="E1273">
        <v>5</v>
      </c>
      <c r="F1273" t="s">
        <v>7</v>
      </c>
      <c r="G1273" t="s">
        <v>11</v>
      </c>
      <c r="H1273" t="s">
        <v>11</v>
      </c>
    </row>
    <row r="1274" spans="1:8" x14ac:dyDescent="0.35">
      <c r="A1274" t="s">
        <v>33</v>
      </c>
      <c r="B1274" t="s">
        <v>56</v>
      </c>
      <c r="C1274" t="s">
        <v>1407</v>
      </c>
      <c r="D1274">
        <v>3</v>
      </c>
      <c r="E1274">
        <v>5</v>
      </c>
      <c r="F1274" t="s">
        <v>7</v>
      </c>
      <c r="G1274" t="s">
        <v>11</v>
      </c>
      <c r="H1274" t="s">
        <v>11</v>
      </c>
    </row>
    <row r="1275" spans="1:8" x14ac:dyDescent="0.35">
      <c r="A1275" t="s">
        <v>33</v>
      </c>
      <c r="B1275" t="s">
        <v>56</v>
      </c>
      <c r="C1275" t="s">
        <v>1954</v>
      </c>
      <c r="D1275">
        <v>3</v>
      </c>
      <c r="E1275">
        <v>6</v>
      </c>
      <c r="F1275" t="s">
        <v>7</v>
      </c>
      <c r="G1275" t="s">
        <v>11</v>
      </c>
      <c r="H1275" t="s">
        <v>11</v>
      </c>
    </row>
    <row r="1276" spans="1:8" x14ac:dyDescent="0.35">
      <c r="A1276" t="s">
        <v>33</v>
      </c>
      <c r="B1276" t="s">
        <v>56</v>
      </c>
      <c r="C1276" t="s">
        <v>1461</v>
      </c>
      <c r="D1276">
        <v>3</v>
      </c>
      <c r="E1276">
        <v>5</v>
      </c>
      <c r="F1276" t="s">
        <v>7</v>
      </c>
      <c r="G1276" t="s">
        <v>11</v>
      </c>
      <c r="H1276" t="s">
        <v>11</v>
      </c>
    </row>
    <row r="1277" spans="1:8" x14ac:dyDescent="0.35">
      <c r="A1277" t="s">
        <v>33</v>
      </c>
      <c r="B1277" t="s">
        <v>56</v>
      </c>
      <c r="C1277" t="s">
        <v>1955</v>
      </c>
      <c r="D1277">
        <v>1</v>
      </c>
      <c r="E1277">
        <v>5</v>
      </c>
      <c r="F1277" t="s">
        <v>7</v>
      </c>
      <c r="G1277" t="s">
        <v>11</v>
      </c>
      <c r="H1277" t="s">
        <v>11</v>
      </c>
    </row>
    <row r="1278" spans="1:8" x14ac:dyDescent="0.35">
      <c r="A1278" t="s">
        <v>33</v>
      </c>
      <c r="B1278" t="s">
        <v>56</v>
      </c>
      <c r="C1278" t="s">
        <v>1120</v>
      </c>
      <c r="D1278">
        <v>1</v>
      </c>
      <c r="E1278">
        <v>5</v>
      </c>
      <c r="F1278" t="s">
        <v>7</v>
      </c>
      <c r="G1278" t="s">
        <v>11</v>
      </c>
      <c r="H1278" t="s">
        <v>11</v>
      </c>
    </row>
    <row r="1279" spans="1:8" x14ac:dyDescent="0.35">
      <c r="A1279" t="s">
        <v>33</v>
      </c>
      <c r="B1279" t="s">
        <v>56</v>
      </c>
      <c r="C1279" t="s">
        <v>1605</v>
      </c>
      <c r="D1279">
        <v>1</v>
      </c>
      <c r="E1279">
        <v>5</v>
      </c>
      <c r="F1279" t="s">
        <v>7</v>
      </c>
      <c r="G1279" t="s">
        <v>11</v>
      </c>
      <c r="H1279" t="s">
        <v>11</v>
      </c>
    </row>
    <row r="1280" spans="1:8" x14ac:dyDescent="0.35">
      <c r="A1280" t="s">
        <v>33</v>
      </c>
      <c r="B1280" t="s">
        <v>56</v>
      </c>
      <c r="C1280" t="s">
        <v>1956</v>
      </c>
      <c r="D1280">
        <v>2</v>
      </c>
      <c r="E1280">
        <v>6</v>
      </c>
      <c r="F1280" t="s">
        <v>7</v>
      </c>
      <c r="G1280" t="s">
        <v>11</v>
      </c>
      <c r="H1280" t="s">
        <v>11</v>
      </c>
    </row>
    <row r="1281" spans="1:8" x14ac:dyDescent="0.35">
      <c r="A1281" t="s">
        <v>33</v>
      </c>
      <c r="B1281" t="s">
        <v>56</v>
      </c>
      <c r="C1281" t="s">
        <v>1957</v>
      </c>
      <c r="D1281">
        <v>3</v>
      </c>
      <c r="E1281">
        <v>6</v>
      </c>
      <c r="F1281" t="s">
        <v>7</v>
      </c>
      <c r="G1281" t="s">
        <v>11</v>
      </c>
      <c r="H1281" t="s">
        <v>11</v>
      </c>
    </row>
    <row r="1282" spans="1:8" x14ac:dyDescent="0.35">
      <c r="A1282" t="s">
        <v>33</v>
      </c>
      <c r="B1282" t="s">
        <v>56</v>
      </c>
      <c r="C1282" t="s">
        <v>1958</v>
      </c>
      <c r="D1282">
        <v>3</v>
      </c>
      <c r="E1282">
        <v>7</v>
      </c>
      <c r="F1282" t="s">
        <v>11</v>
      </c>
      <c r="G1282" t="s">
        <v>11</v>
      </c>
      <c r="H1282" t="s">
        <v>11</v>
      </c>
    </row>
    <row r="1283" spans="1:8" x14ac:dyDescent="0.35">
      <c r="A1283" t="s">
        <v>33</v>
      </c>
      <c r="B1283" t="s">
        <v>56</v>
      </c>
      <c r="C1283" t="s">
        <v>1959</v>
      </c>
      <c r="D1283">
        <v>3</v>
      </c>
      <c r="E1283">
        <v>6</v>
      </c>
      <c r="F1283" t="s">
        <v>7</v>
      </c>
      <c r="G1283" t="s">
        <v>11</v>
      </c>
      <c r="H1283" t="s">
        <v>11</v>
      </c>
    </row>
    <row r="1284" spans="1:8" x14ac:dyDescent="0.35">
      <c r="A1284" t="s">
        <v>33</v>
      </c>
      <c r="B1284" t="s">
        <v>56</v>
      </c>
      <c r="C1284" t="s">
        <v>1608</v>
      </c>
      <c r="D1284">
        <v>2</v>
      </c>
      <c r="E1284">
        <v>5</v>
      </c>
      <c r="F1284" t="s">
        <v>7</v>
      </c>
      <c r="G1284" t="s">
        <v>11</v>
      </c>
      <c r="H1284" t="s">
        <v>11</v>
      </c>
    </row>
    <row r="1285" spans="1:8" x14ac:dyDescent="0.35">
      <c r="A1285" t="s">
        <v>33</v>
      </c>
      <c r="B1285" t="s">
        <v>56</v>
      </c>
      <c r="C1285" t="s">
        <v>1238</v>
      </c>
      <c r="D1285">
        <v>3</v>
      </c>
      <c r="E1285">
        <v>6</v>
      </c>
      <c r="F1285" t="s">
        <v>7</v>
      </c>
      <c r="G1285" t="s">
        <v>11</v>
      </c>
      <c r="H1285" t="s">
        <v>11</v>
      </c>
    </row>
    <row r="1286" spans="1:8" x14ac:dyDescent="0.35">
      <c r="A1286" t="s">
        <v>33</v>
      </c>
      <c r="B1286" t="s">
        <v>56</v>
      </c>
      <c r="C1286" t="s">
        <v>1353</v>
      </c>
      <c r="D1286">
        <v>3</v>
      </c>
      <c r="E1286">
        <v>6</v>
      </c>
      <c r="F1286" t="s">
        <v>7</v>
      </c>
      <c r="G1286" t="s">
        <v>11</v>
      </c>
      <c r="H1286" t="s">
        <v>11</v>
      </c>
    </row>
    <row r="1287" spans="1:8" x14ac:dyDescent="0.35">
      <c r="A1287" t="s">
        <v>33</v>
      </c>
      <c r="B1287" t="s">
        <v>56</v>
      </c>
      <c r="C1287" t="s">
        <v>1709</v>
      </c>
      <c r="D1287">
        <v>2</v>
      </c>
      <c r="E1287">
        <v>6</v>
      </c>
      <c r="F1287" t="s">
        <v>7</v>
      </c>
      <c r="G1287" t="s">
        <v>11</v>
      </c>
      <c r="H1287" t="s">
        <v>11</v>
      </c>
    </row>
    <row r="1288" spans="1:8" x14ac:dyDescent="0.35">
      <c r="A1288" t="s">
        <v>33</v>
      </c>
      <c r="B1288" t="s">
        <v>56</v>
      </c>
      <c r="C1288" t="s">
        <v>1960</v>
      </c>
      <c r="D1288">
        <v>2</v>
      </c>
      <c r="E1288">
        <v>5</v>
      </c>
      <c r="F1288" t="s">
        <v>7</v>
      </c>
      <c r="G1288" t="s">
        <v>11</v>
      </c>
      <c r="H1288" t="s">
        <v>11</v>
      </c>
    </row>
    <row r="1289" spans="1:8" x14ac:dyDescent="0.35">
      <c r="A1289" t="s">
        <v>33</v>
      </c>
      <c r="B1289" t="s">
        <v>56</v>
      </c>
      <c r="C1289" t="s">
        <v>1711</v>
      </c>
      <c r="D1289">
        <v>2</v>
      </c>
      <c r="E1289">
        <v>6</v>
      </c>
      <c r="F1289" t="s">
        <v>7</v>
      </c>
      <c r="G1289" t="s">
        <v>11</v>
      </c>
      <c r="H1289" t="s">
        <v>11</v>
      </c>
    </row>
    <row r="1290" spans="1:8" x14ac:dyDescent="0.35">
      <c r="A1290" t="s">
        <v>33</v>
      </c>
      <c r="B1290" t="s">
        <v>56</v>
      </c>
      <c r="C1290" t="s">
        <v>1961</v>
      </c>
      <c r="D1290">
        <v>2</v>
      </c>
      <c r="E1290">
        <v>5</v>
      </c>
      <c r="F1290" t="s">
        <v>7</v>
      </c>
      <c r="G1290" t="s">
        <v>11</v>
      </c>
      <c r="H1290" t="s">
        <v>11</v>
      </c>
    </row>
    <row r="1291" spans="1:8" x14ac:dyDescent="0.35">
      <c r="A1291" t="s">
        <v>33</v>
      </c>
      <c r="B1291" t="s">
        <v>56</v>
      </c>
      <c r="C1291" t="s">
        <v>1962</v>
      </c>
      <c r="D1291">
        <v>3</v>
      </c>
      <c r="E1291">
        <v>6</v>
      </c>
      <c r="F1291" t="s">
        <v>7</v>
      </c>
      <c r="G1291" t="s">
        <v>11</v>
      </c>
      <c r="H1291" t="s">
        <v>11</v>
      </c>
    </row>
    <row r="1292" spans="1:8" x14ac:dyDescent="0.35">
      <c r="A1292" t="s">
        <v>33</v>
      </c>
      <c r="B1292" t="s">
        <v>56</v>
      </c>
      <c r="C1292" t="s">
        <v>1963</v>
      </c>
      <c r="D1292">
        <v>2</v>
      </c>
      <c r="E1292">
        <v>7</v>
      </c>
      <c r="F1292" t="s">
        <v>11</v>
      </c>
      <c r="G1292" t="s">
        <v>11</v>
      </c>
      <c r="H1292" t="s">
        <v>11</v>
      </c>
    </row>
    <row r="1293" spans="1:8" x14ac:dyDescent="0.35">
      <c r="A1293" t="s">
        <v>33</v>
      </c>
      <c r="B1293" t="s">
        <v>56</v>
      </c>
      <c r="C1293" t="s">
        <v>1964</v>
      </c>
      <c r="D1293">
        <v>3</v>
      </c>
      <c r="E1293">
        <v>6</v>
      </c>
      <c r="F1293" t="s">
        <v>7</v>
      </c>
      <c r="G1293" t="s">
        <v>11</v>
      </c>
      <c r="H1293" t="s">
        <v>11</v>
      </c>
    </row>
    <row r="1294" spans="1:8" x14ac:dyDescent="0.35">
      <c r="A1294" t="s">
        <v>33</v>
      </c>
      <c r="B1294" t="s">
        <v>56</v>
      </c>
      <c r="C1294" t="s">
        <v>1965</v>
      </c>
      <c r="D1294">
        <v>3</v>
      </c>
      <c r="E1294">
        <v>5</v>
      </c>
      <c r="F1294" t="s">
        <v>7</v>
      </c>
      <c r="G1294" t="s">
        <v>11</v>
      </c>
      <c r="H1294" t="s">
        <v>11</v>
      </c>
    </row>
    <row r="1295" spans="1:8" x14ac:dyDescent="0.35">
      <c r="A1295" t="s">
        <v>33</v>
      </c>
      <c r="B1295" t="s">
        <v>56</v>
      </c>
      <c r="C1295" t="s">
        <v>1966</v>
      </c>
      <c r="D1295">
        <v>1</v>
      </c>
      <c r="E1295">
        <v>5</v>
      </c>
      <c r="F1295" t="s">
        <v>7</v>
      </c>
      <c r="G1295" t="s">
        <v>11</v>
      </c>
      <c r="H1295" t="s">
        <v>11</v>
      </c>
    </row>
    <row r="1296" spans="1:8" x14ac:dyDescent="0.35">
      <c r="A1296" t="s">
        <v>33</v>
      </c>
      <c r="B1296" t="s">
        <v>56</v>
      </c>
      <c r="C1296" t="s">
        <v>1967</v>
      </c>
      <c r="D1296">
        <v>2</v>
      </c>
      <c r="E1296">
        <v>7</v>
      </c>
      <c r="F1296" t="s">
        <v>11</v>
      </c>
      <c r="G1296" t="s">
        <v>11</v>
      </c>
      <c r="H1296" t="s">
        <v>11</v>
      </c>
    </row>
    <row r="1297" spans="1:8" x14ac:dyDescent="0.35">
      <c r="A1297" t="s">
        <v>33</v>
      </c>
      <c r="B1297" t="s">
        <v>56</v>
      </c>
      <c r="C1297" t="s">
        <v>1968</v>
      </c>
      <c r="D1297">
        <v>3</v>
      </c>
      <c r="E1297">
        <v>6</v>
      </c>
      <c r="F1297" t="s">
        <v>7</v>
      </c>
      <c r="G1297" t="s">
        <v>11</v>
      </c>
      <c r="H1297" t="s">
        <v>11</v>
      </c>
    </row>
    <row r="1298" spans="1:8" x14ac:dyDescent="0.35">
      <c r="A1298" t="s">
        <v>33</v>
      </c>
      <c r="B1298" t="s">
        <v>56</v>
      </c>
      <c r="C1298" t="s">
        <v>1969</v>
      </c>
      <c r="D1298">
        <v>2</v>
      </c>
      <c r="E1298">
        <v>5</v>
      </c>
      <c r="F1298" t="s">
        <v>7</v>
      </c>
      <c r="G1298" t="s">
        <v>11</v>
      </c>
      <c r="H1298" t="s">
        <v>11</v>
      </c>
    </row>
    <row r="1299" spans="1:8" x14ac:dyDescent="0.35">
      <c r="A1299" t="s">
        <v>33</v>
      </c>
      <c r="B1299" t="s">
        <v>56</v>
      </c>
      <c r="C1299" t="s">
        <v>1970</v>
      </c>
      <c r="D1299">
        <v>2</v>
      </c>
      <c r="E1299">
        <v>5</v>
      </c>
      <c r="F1299" t="s">
        <v>7</v>
      </c>
      <c r="G1299" t="s">
        <v>11</v>
      </c>
      <c r="H1299" t="s">
        <v>11</v>
      </c>
    </row>
    <row r="1300" spans="1:8" x14ac:dyDescent="0.35">
      <c r="A1300" t="s">
        <v>33</v>
      </c>
      <c r="B1300" t="s">
        <v>56</v>
      </c>
      <c r="C1300" t="s">
        <v>1971</v>
      </c>
      <c r="D1300">
        <v>3</v>
      </c>
      <c r="E1300">
        <v>6</v>
      </c>
      <c r="F1300" t="s">
        <v>7</v>
      </c>
      <c r="G1300" t="s">
        <v>11</v>
      </c>
      <c r="H1300" t="s">
        <v>11</v>
      </c>
    </row>
    <row r="1301" spans="1:8" x14ac:dyDescent="0.35">
      <c r="A1301" t="s">
        <v>33</v>
      </c>
      <c r="B1301" t="s">
        <v>56</v>
      </c>
      <c r="C1301" t="s">
        <v>1972</v>
      </c>
      <c r="D1301">
        <v>2</v>
      </c>
      <c r="E1301">
        <v>7</v>
      </c>
      <c r="F1301" t="s">
        <v>11</v>
      </c>
      <c r="G1301" t="s">
        <v>11</v>
      </c>
      <c r="H1301" t="s">
        <v>11</v>
      </c>
    </row>
    <row r="1302" spans="1:8" x14ac:dyDescent="0.35">
      <c r="A1302" t="s">
        <v>33</v>
      </c>
      <c r="B1302" t="s">
        <v>56</v>
      </c>
      <c r="C1302" t="s">
        <v>1973</v>
      </c>
      <c r="D1302">
        <v>3</v>
      </c>
      <c r="E1302">
        <v>6</v>
      </c>
      <c r="F1302" t="s">
        <v>7</v>
      </c>
      <c r="G1302" t="s">
        <v>11</v>
      </c>
      <c r="H1302" t="s">
        <v>11</v>
      </c>
    </row>
    <row r="1303" spans="1:8" x14ac:dyDescent="0.35">
      <c r="A1303" t="s">
        <v>33</v>
      </c>
      <c r="B1303" t="s">
        <v>56</v>
      </c>
      <c r="C1303" t="s">
        <v>1148</v>
      </c>
      <c r="D1303">
        <v>1</v>
      </c>
      <c r="E1303">
        <v>5</v>
      </c>
      <c r="F1303" t="s">
        <v>7</v>
      </c>
      <c r="G1303" t="s">
        <v>11</v>
      </c>
      <c r="H1303" t="s">
        <v>11</v>
      </c>
    </row>
    <row r="1304" spans="1:8" x14ac:dyDescent="0.35">
      <c r="A1304" t="s">
        <v>33</v>
      </c>
      <c r="B1304" t="s">
        <v>56</v>
      </c>
      <c r="C1304" t="s">
        <v>1974</v>
      </c>
      <c r="D1304">
        <v>1</v>
      </c>
      <c r="E1304">
        <v>5</v>
      </c>
      <c r="F1304" t="s">
        <v>7</v>
      </c>
      <c r="G1304" t="s">
        <v>11</v>
      </c>
      <c r="H1304" t="s">
        <v>11</v>
      </c>
    </row>
    <row r="1305" spans="1:8" x14ac:dyDescent="0.35">
      <c r="A1305" t="s">
        <v>33</v>
      </c>
      <c r="B1305" t="s">
        <v>56</v>
      </c>
      <c r="C1305" t="s">
        <v>1975</v>
      </c>
      <c r="D1305">
        <v>3</v>
      </c>
      <c r="E1305">
        <v>6</v>
      </c>
      <c r="F1305" t="s">
        <v>7</v>
      </c>
      <c r="G1305" t="s">
        <v>11</v>
      </c>
      <c r="H1305" t="s">
        <v>11</v>
      </c>
    </row>
    <row r="1306" spans="1:8" x14ac:dyDescent="0.35">
      <c r="A1306" t="s">
        <v>33</v>
      </c>
      <c r="B1306" t="s">
        <v>56</v>
      </c>
      <c r="C1306" t="s">
        <v>1401</v>
      </c>
      <c r="D1306">
        <v>2</v>
      </c>
      <c r="E1306">
        <v>5</v>
      </c>
      <c r="F1306" t="s">
        <v>7</v>
      </c>
      <c r="G1306" t="s">
        <v>11</v>
      </c>
      <c r="H1306" t="s">
        <v>11</v>
      </c>
    </row>
    <row r="1307" spans="1:8" x14ac:dyDescent="0.35">
      <c r="A1307" t="s">
        <v>33</v>
      </c>
      <c r="B1307" t="s">
        <v>56</v>
      </c>
      <c r="C1307" t="s">
        <v>1976</v>
      </c>
      <c r="D1307">
        <v>2</v>
      </c>
      <c r="E1307">
        <v>7</v>
      </c>
      <c r="F1307" t="s">
        <v>11</v>
      </c>
      <c r="G1307" t="s">
        <v>11</v>
      </c>
      <c r="H1307" t="s">
        <v>11</v>
      </c>
    </row>
    <row r="1308" spans="1:8" x14ac:dyDescent="0.35">
      <c r="A1308" t="s">
        <v>33</v>
      </c>
      <c r="B1308" t="s">
        <v>56</v>
      </c>
      <c r="C1308" t="s">
        <v>1298</v>
      </c>
      <c r="D1308">
        <v>3</v>
      </c>
      <c r="E1308">
        <v>6</v>
      </c>
      <c r="F1308" t="s">
        <v>7</v>
      </c>
      <c r="G1308" t="s">
        <v>11</v>
      </c>
      <c r="H1308" t="s">
        <v>11</v>
      </c>
    </row>
    <row r="1309" spans="1:8" x14ac:dyDescent="0.35">
      <c r="A1309" t="s">
        <v>33</v>
      </c>
      <c r="B1309" t="s">
        <v>56</v>
      </c>
      <c r="C1309" t="s">
        <v>1977</v>
      </c>
      <c r="D1309">
        <v>2</v>
      </c>
      <c r="E1309">
        <v>5</v>
      </c>
      <c r="F1309" t="s">
        <v>7</v>
      </c>
      <c r="G1309" t="s">
        <v>11</v>
      </c>
      <c r="H1309" t="s">
        <v>11</v>
      </c>
    </row>
    <row r="1310" spans="1:8" x14ac:dyDescent="0.35">
      <c r="A1310" t="s">
        <v>33</v>
      </c>
      <c r="B1310" t="s">
        <v>56</v>
      </c>
      <c r="C1310" t="s">
        <v>1978</v>
      </c>
      <c r="D1310">
        <v>2</v>
      </c>
      <c r="E1310">
        <v>6</v>
      </c>
      <c r="F1310" t="s">
        <v>7</v>
      </c>
      <c r="G1310" t="s">
        <v>11</v>
      </c>
      <c r="H1310" t="s">
        <v>11</v>
      </c>
    </row>
    <row r="1311" spans="1:8" x14ac:dyDescent="0.35">
      <c r="A1311" t="s">
        <v>33</v>
      </c>
      <c r="B1311" t="s">
        <v>56</v>
      </c>
      <c r="C1311" t="s">
        <v>1979</v>
      </c>
      <c r="D1311">
        <v>1</v>
      </c>
      <c r="E1311">
        <v>5</v>
      </c>
      <c r="F1311" t="s">
        <v>7</v>
      </c>
      <c r="G1311" t="s">
        <v>11</v>
      </c>
      <c r="H1311" t="s">
        <v>11</v>
      </c>
    </row>
    <row r="1312" spans="1:8" x14ac:dyDescent="0.35">
      <c r="A1312" t="s">
        <v>33</v>
      </c>
      <c r="B1312" t="s">
        <v>56</v>
      </c>
      <c r="C1312" t="s">
        <v>1628</v>
      </c>
      <c r="D1312">
        <v>2</v>
      </c>
      <c r="E1312">
        <v>5</v>
      </c>
      <c r="F1312" t="s">
        <v>7</v>
      </c>
      <c r="G1312" t="s">
        <v>11</v>
      </c>
      <c r="H1312" t="s">
        <v>11</v>
      </c>
    </row>
    <row r="1313" spans="1:8" x14ac:dyDescent="0.35">
      <c r="A1313" t="s">
        <v>33</v>
      </c>
      <c r="B1313" t="s">
        <v>56</v>
      </c>
      <c r="C1313" t="s">
        <v>1980</v>
      </c>
      <c r="D1313">
        <v>3</v>
      </c>
      <c r="E1313">
        <v>7</v>
      </c>
      <c r="F1313" t="s">
        <v>11</v>
      </c>
      <c r="G1313" t="s">
        <v>11</v>
      </c>
      <c r="H1313" t="s">
        <v>11</v>
      </c>
    </row>
    <row r="1314" spans="1:8" x14ac:dyDescent="0.35">
      <c r="A1314" t="s">
        <v>33</v>
      </c>
      <c r="B1314" t="s">
        <v>56</v>
      </c>
      <c r="C1314" t="s">
        <v>1981</v>
      </c>
      <c r="D1314">
        <v>3</v>
      </c>
      <c r="E1314">
        <v>7</v>
      </c>
      <c r="F1314" t="s">
        <v>11</v>
      </c>
      <c r="G1314" t="s">
        <v>11</v>
      </c>
      <c r="H1314" t="s">
        <v>11</v>
      </c>
    </row>
    <row r="1315" spans="1:8" x14ac:dyDescent="0.35">
      <c r="A1315" t="s">
        <v>33</v>
      </c>
      <c r="B1315" t="s">
        <v>56</v>
      </c>
      <c r="C1315" t="s">
        <v>1982</v>
      </c>
      <c r="D1315">
        <v>3</v>
      </c>
      <c r="E1315">
        <v>5</v>
      </c>
      <c r="F1315" t="s">
        <v>7</v>
      </c>
      <c r="G1315" t="s">
        <v>11</v>
      </c>
      <c r="H1315" t="s">
        <v>11</v>
      </c>
    </row>
    <row r="1316" spans="1:8" x14ac:dyDescent="0.35">
      <c r="A1316" t="s">
        <v>33</v>
      </c>
      <c r="B1316" t="s">
        <v>56</v>
      </c>
      <c r="C1316" t="s">
        <v>1983</v>
      </c>
      <c r="D1316">
        <v>3</v>
      </c>
      <c r="E1316">
        <v>6</v>
      </c>
      <c r="F1316" t="s">
        <v>7</v>
      </c>
      <c r="G1316" t="s">
        <v>11</v>
      </c>
      <c r="H1316" t="s">
        <v>11</v>
      </c>
    </row>
    <row r="1317" spans="1:8" x14ac:dyDescent="0.35">
      <c r="A1317" t="s">
        <v>33</v>
      </c>
      <c r="B1317" t="s">
        <v>56</v>
      </c>
      <c r="C1317" t="s">
        <v>1984</v>
      </c>
      <c r="D1317">
        <v>2</v>
      </c>
      <c r="E1317">
        <v>6</v>
      </c>
      <c r="F1317" t="s">
        <v>7</v>
      </c>
      <c r="G1317" t="s">
        <v>11</v>
      </c>
      <c r="H1317" t="s">
        <v>11</v>
      </c>
    </row>
    <row r="1318" spans="1:8" x14ac:dyDescent="0.35">
      <c r="A1318" t="s">
        <v>33</v>
      </c>
      <c r="B1318" t="s">
        <v>56</v>
      </c>
      <c r="C1318" t="s">
        <v>1630</v>
      </c>
      <c r="D1318">
        <v>3</v>
      </c>
      <c r="E1318">
        <v>6</v>
      </c>
      <c r="F1318" t="s">
        <v>7</v>
      </c>
      <c r="G1318" t="s">
        <v>11</v>
      </c>
      <c r="H1318" t="s">
        <v>11</v>
      </c>
    </row>
    <row r="1319" spans="1:8" x14ac:dyDescent="0.35">
      <c r="A1319" t="s">
        <v>33</v>
      </c>
      <c r="B1319" t="s">
        <v>56</v>
      </c>
      <c r="C1319" t="s">
        <v>1985</v>
      </c>
      <c r="D1319">
        <v>3</v>
      </c>
      <c r="E1319">
        <v>6</v>
      </c>
      <c r="F1319" t="s">
        <v>7</v>
      </c>
      <c r="G1319" t="s">
        <v>11</v>
      </c>
      <c r="H1319" t="s">
        <v>11</v>
      </c>
    </row>
    <row r="1320" spans="1:8" x14ac:dyDescent="0.35">
      <c r="A1320" t="s">
        <v>33</v>
      </c>
      <c r="B1320" t="s">
        <v>56</v>
      </c>
      <c r="C1320" t="s">
        <v>1986</v>
      </c>
      <c r="D1320">
        <v>2</v>
      </c>
      <c r="E1320">
        <v>6</v>
      </c>
      <c r="F1320" t="s">
        <v>7</v>
      </c>
      <c r="G1320" t="s">
        <v>11</v>
      </c>
      <c r="H1320" t="s">
        <v>11</v>
      </c>
    </row>
    <row r="1321" spans="1:8" x14ac:dyDescent="0.35">
      <c r="A1321" t="s">
        <v>33</v>
      </c>
      <c r="B1321" t="s">
        <v>56</v>
      </c>
      <c r="C1321" t="s">
        <v>1987</v>
      </c>
      <c r="D1321">
        <v>3</v>
      </c>
      <c r="E1321">
        <v>5</v>
      </c>
      <c r="F1321" t="s">
        <v>7</v>
      </c>
      <c r="G1321" t="s">
        <v>11</v>
      </c>
      <c r="H1321" t="s">
        <v>11</v>
      </c>
    </row>
    <row r="1322" spans="1:8" x14ac:dyDescent="0.35">
      <c r="A1322" t="s">
        <v>33</v>
      </c>
      <c r="B1322" t="s">
        <v>56</v>
      </c>
      <c r="C1322" t="s">
        <v>1988</v>
      </c>
      <c r="D1322">
        <v>3</v>
      </c>
      <c r="E1322">
        <v>6</v>
      </c>
      <c r="F1322" t="s">
        <v>7</v>
      </c>
      <c r="G1322" t="s">
        <v>11</v>
      </c>
      <c r="H1322" t="s">
        <v>11</v>
      </c>
    </row>
    <row r="1323" spans="1:8" x14ac:dyDescent="0.35">
      <c r="A1323" t="s">
        <v>33</v>
      </c>
      <c r="B1323" t="s">
        <v>56</v>
      </c>
      <c r="C1323" t="s">
        <v>1162</v>
      </c>
      <c r="D1323">
        <v>2</v>
      </c>
      <c r="E1323">
        <v>5</v>
      </c>
      <c r="F1323" t="s">
        <v>7</v>
      </c>
      <c r="G1323" t="s">
        <v>11</v>
      </c>
      <c r="H1323" t="s">
        <v>11</v>
      </c>
    </row>
    <row r="1324" spans="1:8" x14ac:dyDescent="0.35">
      <c r="A1324" t="s">
        <v>33</v>
      </c>
      <c r="B1324" t="s">
        <v>56</v>
      </c>
      <c r="C1324" t="s">
        <v>1989</v>
      </c>
      <c r="D1324">
        <v>2</v>
      </c>
      <c r="E1324">
        <v>5</v>
      </c>
      <c r="F1324" t="s">
        <v>7</v>
      </c>
      <c r="G1324" t="s">
        <v>11</v>
      </c>
      <c r="H1324" t="s">
        <v>11</v>
      </c>
    </row>
    <row r="1325" spans="1:8" x14ac:dyDescent="0.35">
      <c r="A1325" t="s">
        <v>33</v>
      </c>
      <c r="B1325" t="s">
        <v>56</v>
      </c>
      <c r="C1325" t="s">
        <v>1990</v>
      </c>
      <c r="D1325">
        <v>2</v>
      </c>
      <c r="E1325">
        <v>6</v>
      </c>
      <c r="F1325" t="s">
        <v>7</v>
      </c>
      <c r="G1325" t="s">
        <v>11</v>
      </c>
      <c r="H1325" t="s">
        <v>11</v>
      </c>
    </row>
    <row r="1326" spans="1:8" x14ac:dyDescent="0.35">
      <c r="A1326" t="s">
        <v>33</v>
      </c>
      <c r="B1326" t="s">
        <v>56</v>
      </c>
      <c r="C1326" t="s">
        <v>1991</v>
      </c>
      <c r="D1326">
        <v>3</v>
      </c>
      <c r="E1326">
        <v>5</v>
      </c>
      <c r="F1326" t="s">
        <v>7</v>
      </c>
      <c r="G1326" t="s">
        <v>11</v>
      </c>
      <c r="H1326" t="s">
        <v>11</v>
      </c>
    </row>
    <row r="1327" spans="1:8" x14ac:dyDescent="0.35">
      <c r="A1327" t="s">
        <v>33</v>
      </c>
      <c r="B1327" t="s">
        <v>56</v>
      </c>
      <c r="C1327" t="s">
        <v>1992</v>
      </c>
      <c r="D1327">
        <v>3</v>
      </c>
      <c r="E1327">
        <v>6</v>
      </c>
      <c r="F1327" t="s">
        <v>7</v>
      </c>
      <c r="G1327" t="s">
        <v>11</v>
      </c>
      <c r="H1327" t="s">
        <v>11</v>
      </c>
    </row>
    <row r="1328" spans="1:8" x14ac:dyDescent="0.35">
      <c r="A1328" t="s">
        <v>33</v>
      </c>
      <c r="B1328" t="s">
        <v>56</v>
      </c>
      <c r="C1328" t="s">
        <v>1993</v>
      </c>
      <c r="D1328">
        <v>2</v>
      </c>
      <c r="E1328">
        <v>5</v>
      </c>
      <c r="F1328" t="s">
        <v>7</v>
      </c>
      <c r="G1328" t="s">
        <v>11</v>
      </c>
      <c r="H1328" t="s">
        <v>11</v>
      </c>
    </row>
    <row r="1329" spans="1:8" x14ac:dyDescent="0.35">
      <c r="A1329" t="s">
        <v>33</v>
      </c>
      <c r="B1329" t="s">
        <v>56</v>
      </c>
      <c r="C1329" t="s">
        <v>1994</v>
      </c>
      <c r="D1329">
        <v>3</v>
      </c>
      <c r="E1329">
        <v>6</v>
      </c>
      <c r="F1329" t="s">
        <v>7</v>
      </c>
      <c r="G1329" t="s">
        <v>11</v>
      </c>
      <c r="H1329" t="s">
        <v>11</v>
      </c>
    </row>
    <row r="1330" spans="1:8" x14ac:dyDescent="0.35">
      <c r="A1330" t="s">
        <v>33</v>
      </c>
      <c r="B1330" t="s">
        <v>56</v>
      </c>
      <c r="C1330" t="s">
        <v>1995</v>
      </c>
      <c r="D1330">
        <v>3</v>
      </c>
      <c r="E1330">
        <v>6</v>
      </c>
      <c r="F1330" t="s">
        <v>7</v>
      </c>
      <c r="G1330" t="s">
        <v>11</v>
      </c>
      <c r="H1330" t="s">
        <v>11</v>
      </c>
    </row>
    <row r="1331" spans="1:8" x14ac:dyDescent="0.35">
      <c r="A1331" t="s">
        <v>33</v>
      </c>
      <c r="B1331" t="s">
        <v>56</v>
      </c>
      <c r="C1331" t="s">
        <v>1996</v>
      </c>
      <c r="D1331">
        <v>3</v>
      </c>
      <c r="E1331">
        <v>7</v>
      </c>
      <c r="F1331" t="s">
        <v>11</v>
      </c>
      <c r="G1331" t="s">
        <v>11</v>
      </c>
      <c r="H1331" t="s">
        <v>11</v>
      </c>
    </row>
    <row r="1332" spans="1:8" x14ac:dyDescent="0.35">
      <c r="A1332" t="s">
        <v>33</v>
      </c>
      <c r="B1332" t="s">
        <v>56</v>
      </c>
      <c r="C1332" t="s">
        <v>1439</v>
      </c>
      <c r="D1332">
        <v>3</v>
      </c>
      <c r="E1332">
        <v>6</v>
      </c>
      <c r="F1332" t="s">
        <v>7</v>
      </c>
      <c r="G1332" t="s">
        <v>11</v>
      </c>
      <c r="H1332" t="s">
        <v>11</v>
      </c>
    </row>
    <row r="1333" spans="1:8" x14ac:dyDescent="0.35">
      <c r="A1333" t="s">
        <v>33</v>
      </c>
      <c r="B1333" t="s">
        <v>56</v>
      </c>
      <c r="C1333" t="s">
        <v>1997</v>
      </c>
      <c r="D1333">
        <v>3</v>
      </c>
      <c r="E1333">
        <v>6</v>
      </c>
      <c r="F1333" t="s">
        <v>7</v>
      </c>
      <c r="G1333" t="s">
        <v>11</v>
      </c>
      <c r="H1333" t="s">
        <v>11</v>
      </c>
    </row>
    <row r="1334" spans="1:8" x14ac:dyDescent="0.35">
      <c r="A1334" t="s">
        <v>33</v>
      </c>
      <c r="B1334" t="s">
        <v>56</v>
      </c>
      <c r="C1334" t="s">
        <v>1998</v>
      </c>
      <c r="D1334">
        <v>2</v>
      </c>
      <c r="E1334">
        <v>6</v>
      </c>
      <c r="F1334" t="s">
        <v>7</v>
      </c>
      <c r="G1334" t="s">
        <v>11</v>
      </c>
      <c r="H1334" t="s">
        <v>11</v>
      </c>
    </row>
    <row r="1335" spans="1:8" x14ac:dyDescent="0.35">
      <c r="A1335" t="s">
        <v>33</v>
      </c>
      <c r="B1335" t="s">
        <v>56</v>
      </c>
      <c r="C1335" t="s">
        <v>1782</v>
      </c>
      <c r="D1335">
        <v>3</v>
      </c>
      <c r="E1335">
        <v>5</v>
      </c>
      <c r="F1335" t="s">
        <v>7</v>
      </c>
      <c r="G1335" t="s">
        <v>11</v>
      </c>
      <c r="H1335" t="s">
        <v>11</v>
      </c>
    </row>
    <row r="1336" spans="1:8" x14ac:dyDescent="0.35">
      <c r="A1336" t="s">
        <v>33</v>
      </c>
      <c r="B1336" t="s">
        <v>56</v>
      </c>
      <c r="C1336" t="s">
        <v>1999</v>
      </c>
      <c r="D1336">
        <v>2</v>
      </c>
      <c r="E1336">
        <v>6</v>
      </c>
      <c r="F1336" t="s">
        <v>7</v>
      </c>
      <c r="G1336" t="s">
        <v>11</v>
      </c>
      <c r="H1336" t="s">
        <v>11</v>
      </c>
    </row>
    <row r="1337" spans="1:8" x14ac:dyDescent="0.35">
      <c r="A1337" t="s">
        <v>33</v>
      </c>
      <c r="B1337" t="s">
        <v>56</v>
      </c>
      <c r="C1337" t="s">
        <v>2000</v>
      </c>
      <c r="D1337">
        <v>3</v>
      </c>
      <c r="E1337">
        <v>6</v>
      </c>
      <c r="F1337" t="s">
        <v>7</v>
      </c>
      <c r="G1337" t="s">
        <v>11</v>
      </c>
      <c r="H1337" t="s">
        <v>11</v>
      </c>
    </row>
    <row r="1338" spans="1:8" x14ac:dyDescent="0.35">
      <c r="A1338" t="s">
        <v>33</v>
      </c>
      <c r="B1338" t="s">
        <v>56</v>
      </c>
      <c r="C1338" t="s">
        <v>2001</v>
      </c>
      <c r="D1338">
        <v>3</v>
      </c>
      <c r="E1338">
        <v>5</v>
      </c>
      <c r="F1338" t="s">
        <v>7</v>
      </c>
      <c r="G1338" t="s">
        <v>11</v>
      </c>
      <c r="H1338" t="s">
        <v>11</v>
      </c>
    </row>
    <row r="1339" spans="1:8" x14ac:dyDescent="0.35">
      <c r="A1339" t="s">
        <v>33</v>
      </c>
      <c r="B1339" t="s">
        <v>56</v>
      </c>
      <c r="C1339" t="s">
        <v>1170</v>
      </c>
      <c r="D1339">
        <v>3</v>
      </c>
      <c r="E1339">
        <v>5</v>
      </c>
      <c r="F1339" t="s">
        <v>7</v>
      </c>
      <c r="G1339" t="s">
        <v>11</v>
      </c>
      <c r="H1339" t="s">
        <v>11</v>
      </c>
    </row>
    <row r="1340" spans="1:8" x14ac:dyDescent="0.35">
      <c r="A1340" t="s">
        <v>33</v>
      </c>
      <c r="B1340" t="s">
        <v>56</v>
      </c>
      <c r="C1340" t="s">
        <v>2002</v>
      </c>
      <c r="D1340">
        <v>1</v>
      </c>
      <c r="E1340">
        <v>5</v>
      </c>
      <c r="F1340" t="s">
        <v>7</v>
      </c>
      <c r="G1340" t="s">
        <v>11</v>
      </c>
      <c r="H1340" t="s">
        <v>11</v>
      </c>
    </row>
    <row r="1341" spans="1:8" x14ac:dyDescent="0.35">
      <c r="A1341" t="s">
        <v>33</v>
      </c>
      <c r="B1341" t="s">
        <v>56</v>
      </c>
      <c r="C1341" t="s">
        <v>2003</v>
      </c>
      <c r="D1341">
        <v>2</v>
      </c>
      <c r="E1341">
        <v>6</v>
      </c>
      <c r="F1341" t="s">
        <v>7</v>
      </c>
      <c r="G1341" t="s">
        <v>11</v>
      </c>
      <c r="H1341" t="s">
        <v>11</v>
      </c>
    </row>
    <row r="1342" spans="1:8" x14ac:dyDescent="0.35">
      <c r="A1342" t="s">
        <v>33</v>
      </c>
      <c r="B1342" t="s">
        <v>56</v>
      </c>
      <c r="C1342" t="s">
        <v>2004</v>
      </c>
      <c r="D1342">
        <v>3</v>
      </c>
      <c r="E1342">
        <v>7</v>
      </c>
      <c r="F1342" t="s">
        <v>11</v>
      </c>
      <c r="G1342" t="s">
        <v>11</v>
      </c>
      <c r="H1342" t="s">
        <v>11</v>
      </c>
    </row>
    <row r="1343" spans="1:8" x14ac:dyDescent="0.35">
      <c r="A1343" t="s">
        <v>33</v>
      </c>
      <c r="B1343" t="s">
        <v>56</v>
      </c>
      <c r="C1343" t="s">
        <v>2005</v>
      </c>
      <c r="D1343">
        <v>2</v>
      </c>
      <c r="E1343">
        <v>5</v>
      </c>
      <c r="F1343" t="s">
        <v>7</v>
      </c>
      <c r="G1343" t="s">
        <v>11</v>
      </c>
      <c r="H1343" t="s">
        <v>11</v>
      </c>
    </row>
    <row r="1344" spans="1:8" x14ac:dyDescent="0.35">
      <c r="A1344" t="s">
        <v>33</v>
      </c>
      <c r="B1344" t="s">
        <v>56</v>
      </c>
      <c r="C1344" t="s">
        <v>2006</v>
      </c>
      <c r="D1344">
        <v>3</v>
      </c>
      <c r="E1344">
        <v>5</v>
      </c>
      <c r="F1344" t="s">
        <v>7</v>
      </c>
      <c r="G1344" t="s">
        <v>11</v>
      </c>
      <c r="H1344" t="s">
        <v>11</v>
      </c>
    </row>
    <row r="1345" spans="1:8" x14ac:dyDescent="0.35">
      <c r="A1345" t="s">
        <v>33</v>
      </c>
      <c r="B1345" t="s">
        <v>56</v>
      </c>
      <c r="C1345" t="s">
        <v>1278</v>
      </c>
      <c r="D1345">
        <v>3</v>
      </c>
      <c r="E1345">
        <v>5</v>
      </c>
      <c r="F1345" t="s">
        <v>7</v>
      </c>
      <c r="G1345" t="s">
        <v>11</v>
      </c>
      <c r="H1345" t="s">
        <v>11</v>
      </c>
    </row>
    <row r="1346" spans="1:8" x14ac:dyDescent="0.35">
      <c r="A1346" t="s">
        <v>33</v>
      </c>
      <c r="B1346" t="s">
        <v>56</v>
      </c>
      <c r="C1346" t="s">
        <v>2007</v>
      </c>
      <c r="D1346">
        <v>1</v>
      </c>
      <c r="E1346">
        <v>5</v>
      </c>
      <c r="F1346" t="s">
        <v>7</v>
      </c>
      <c r="G1346" t="s">
        <v>11</v>
      </c>
      <c r="H1346" t="s">
        <v>11</v>
      </c>
    </row>
    <row r="1347" spans="1:8" x14ac:dyDescent="0.35">
      <c r="A1347" t="s">
        <v>33</v>
      </c>
      <c r="B1347" t="s">
        <v>56</v>
      </c>
      <c r="C1347" t="s">
        <v>1556</v>
      </c>
      <c r="D1347">
        <v>3</v>
      </c>
      <c r="E1347">
        <v>5</v>
      </c>
      <c r="F1347" t="s">
        <v>7</v>
      </c>
      <c r="G1347" t="s">
        <v>11</v>
      </c>
      <c r="H1347" t="s">
        <v>11</v>
      </c>
    </row>
    <row r="1348" spans="1:8" x14ac:dyDescent="0.35">
      <c r="A1348" t="s">
        <v>33</v>
      </c>
      <c r="B1348" t="s">
        <v>56</v>
      </c>
      <c r="C1348" t="s">
        <v>2008</v>
      </c>
      <c r="D1348">
        <v>3</v>
      </c>
      <c r="E1348">
        <v>6</v>
      </c>
      <c r="F1348" t="s">
        <v>7</v>
      </c>
      <c r="G1348" t="s">
        <v>11</v>
      </c>
      <c r="H1348" t="s">
        <v>11</v>
      </c>
    </row>
    <row r="1349" spans="1:8" x14ac:dyDescent="0.35">
      <c r="A1349" t="s">
        <v>34</v>
      </c>
      <c r="B1349" t="s">
        <v>67</v>
      </c>
      <c r="C1349" t="s">
        <v>2009</v>
      </c>
      <c r="D1349">
        <v>2</v>
      </c>
      <c r="E1349">
        <v>7</v>
      </c>
      <c r="F1349" t="s">
        <v>11</v>
      </c>
      <c r="G1349" t="s">
        <v>11</v>
      </c>
      <c r="H1349" t="s">
        <v>11</v>
      </c>
    </row>
    <row r="1350" spans="1:8" x14ac:dyDescent="0.35">
      <c r="A1350" t="s">
        <v>34</v>
      </c>
      <c r="B1350" t="s">
        <v>67</v>
      </c>
      <c r="C1350" t="s">
        <v>2010</v>
      </c>
      <c r="D1350">
        <v>2</v>
      </c>
      <c r="E1350">
        <v>6</v>
      </c>
      <c r="F1350" t="s">
        <v>7</v>
      </c>
      <c r="G1350" t="s">
        <v>11</v>
      </c>
      <c r="H1350" t="s">
        <v>11</v>
      </c>
    </row>
    <row r="1351" spans="1:8" x14ac:dyDescent="0.35">
      <c r="A1351" t="s">
        <v>34</v>
      </c>
      <c r="B1351" t="s">
        <v>67</v>
      </c>
      <c r="C1351" t="s">
        <v>2011</v>
      </c>
      <c r="D1351">
        <v>1</v>
      </c>
      <c r="E1351">
        <v>7</v>
      </c>
      <c r="F1351" t="s">
        <v>11</v>
      </c>
      <c r="G1351" t="s">
        <v>11</v>
      </c>
      <c r="H1351" t="s">
        <v>11</v>
      </c>
    </row>
    <row r="1352" spans="1:8" x14ac:dyDescent="0.35">
      <c r="A1352" t="s">
        <v>34</v>
      </c>
      <c r="B1352" t="s">
        <v>67</v>
      </c>
      <c r="C1352" t="s">
        <v>2012</v>
      </c>
      <c r="D1352">
        <v>2</v>
      </c>
      <c r="E1352">
        <v>7</v>
      </c>
      <c r="F1352" t="s">
        <v>11</v>
      </c>
      <c r="G1352" t="s">
        <v>11</v>
      </c>
      <c r="H1352" t="s">
        <v>11</v>
      </c>
    </row>
    <row r="1353" spans="1:8" x14ac:dyDescent="0.35">
      <c r="A1353" t="s">
        <v>34</v>
      </c>
      <c r="B1353" t="s">
        <v>67</v>
      </c>
      <c r="C1353" t="s">
        <v>1228</v>
      </c>
      <c r="D1353">
        <v>2</v>
      </c>
      <c r="E1353">
        <v>6</v>
      </c>
      <c r="F1353" t="s">
        <v>7</v>
      </c>
      <c r="G1353" t="s">
        <v>11</v>
      </c>
      <c r="H1353" t="s">
        <v>11</v>
      </c>
    </row>
    <row r="1354" spans="1:8" x14ac:dyDescent="0.35">
      <c r="A1354" t="s">
        <v>34</v>
      </c>
      <c r="B1354" t="s">
        <v>67</v>
      </c>
      <c r="C1354" t="s">
        <v>2013</v>
      </c>
      <c r="D1354">
        <v>1</v>
      </c>
      <c r="E1354">
        <v>6</v>
      </c>
      <c r="F1354" t="s">
        <v>7</v>
      </c>
      <c r="G1354" t="s">
        <v>11</v>
      </c>
      <c r="H1354" t="s">
        <v>11</v>
      </c>
    </row>
    <row r="1355" spans="1:8" x14ac:dyDescent="0.35">
      <c r="A1355" t="s">
        <v>34</v>
      </c>
      <c r="B1355" t="s">
        <v>67</v>
      </c>
      <c r="C1355" t="s">
        <v>2014</v>
      </c>
      <c r="D1355">
        <v>1</v>
      </c>
      <c r="E1355">
        <v>6</v>
      </c>
      <c r="F1355" t="s">
        <v>7</v>
      </c>
      <c r="G1355" t="s">
        <v>11</v>
      </c>
      <c r="H1355" t="s">
        <v>11</v>
      </c>
    </row>
    <row r="1356" spans="1:8" x14ac:dyDescent="0.35">
      <c r="A1356" t="s">
        <v>34</v>
      </c>
      <c r="B1356" t="s">
        <v>67</v>
      </c>
      <c r="C1356" t="s">
        <v>1603</v>
      </c>
      <c r="D1356">
        <v>1</v>
      </c>
      <c r="E1356">
        <v>6</v>
      </c>
      <c r="F1356" t="s">
        <v>7</v>
      </c>
      <c r="G1356" t="s">
        <v>11</v>
      </c>
      <c r="H1356" t="s">
        <v>11</v>
      </c>
    </row>
    <row r="1357" spans="1:8" x14ac:dyDescent="0.35">
      <c r="A1357" t="s">
        <v>34</v>
      </c>
      <c r="B1357" t="s">
        <v>67</v>
      </c>
      <c r="C1357" t="s">
        <v>2015</v>
      </c>
      <c r="D1357">
        <v>2</v>
      </c>
      <c r="E1357">
        <v>7</v>
      </c>
      <c r="F1357" t="s">
        <v>11</v>
      </c>
      <c r="G1357" t="s">
        <v>11</v>
      </c>
      <c r="H1357" t="s">
        <v>11</v>
      </c>
    </row>
    <row r="1358" spans="1:8" x14ac:dyDescent="0.35">
      <c r="A1358" t="s">
        <v>34</v>
      </c>
      <c r="B1358" t="s">
        <v>67</v>
      </c>
      <c r="C1358" t="s">
        <v>2016</v>
      </c>
      <c r="D1358">
        <v>1</v>
      </c>
      <c r="E1358">
        <v>6</v>
      </c>
      <c r="F1358" t="s">
        <v>7</v>
      </c>
      <c r="G1358" t="s">
        <v>11</v>
      </c>
      <c r="H1358" t="s">
        <v>11</v>
      </c>
    </row>
    <row r="1359" spans="1:8" x14ac:dyDescent="0.35">
      <c r="A1359" t="s">
        <v>34</v>
      </c>
      <c r="B1359" t="s">
        <v>67</v>
      </c>
      <c r="C1359" t="s">
        <v>1605</v>
      </c>
      <c r="D1359">
        <v>2</v>
      </c>
      <c r="E1359">
        <v>7</v>
      </c>
      <c r="F1359" t="s">
        <v>11</v>
      </c>
      <c r="G1359" t="s">
        <v>11</v>
      </c>
      <c r="H1359" t="s">
        <v>11</v>
      </c>
    </row>
    <row r="1360" spans="1:8" x14ac:dyDescent="0.35">
      <c r="A1360" t="s">
        <v>34</v>
      </c>
      <c r="B1360" t="s">
        <v>67</v>
      </c>
      <c r="C1360" t="s">
        <v>1958</v>
      </c>
      <c r="D1360">
        <v>1</v>
      </c>
      <c r="E1360">
        <v>6</v>
      </c>
      <c r="F1360" t="s">
        <v>7</v>
      </c>
      <c r="G1360" t="s">
        <v>11</v>
      </c>
      <c r="H1360" t="s">
        <v>11</v>
      </c>
    </row>
    <row r="1361" spans="1:8" x14ac:dyDescent="0.35">
      <c r="A1361" t="s">
        <v>34</v>
      </c>
      <c r="B1361" t="s">
        <v>67</v>
      </c>
      <c r="C1361" t="s">
        <v>2017</v>
      </c>
      <c r="D1361">
        <v>2</v>
      </c>
      <c r="E1361">
        <v>6</v>
      </c>
      <c r="F1361" t="s">
        <v>7</v>
      </c>
      <c r="G1361" t="s">
        <v>11</v>
      </c>
      <c r="H1361" t="s">
        <v>11</v>
      </c>
    </row>
    <row r="1362" spans="1:8" x14ac:dyDescent="0.35">
      <c r="A1362" t="s">
        <v>34</v>
      </c>
      <c r="B1362" t="s">
        <v>67</v>
      </c>
      <c r="C1362" t="s">
        <v>1126</v>
      </c>
      <c r="D1362">
        <v>1</v>
      </c>
      <c r="E1362">
        <v>7</v>
      </c>
      <c r="F1362" t="s">
        <v>11</v>
      </c>
      <c r="G1362" t="s">
        <v>11</v>
      </c>
      <c r="H1362" t="s">
        <v>11</v>
      </c>
    </row>
    <row r="1363" spans="1:8" x14ac:dyDescent="0.35">
      <c r="A1363" t="s">
        <v>34</v>
      </c>
      <c r="B1363" t="s">
        <v>67</v>
      </c>
      <c r="C1363" t="s">
        <v>1582</v>
      </c>
      <c r="D1363">
        <v>2</v>
      </c>
      <c r="E1363">
        <v>7</v>
      </c>
      <c r="F1363" t="s">
        <v>11</v>
      </c>
      <c r="G1363" t="s">
        <v>11</v>
      </c>
      <c r="H1363" t="s">
        <v>11</v>
      </c>
    </row>
    <row r="1364" spans="1:8" x14ac:dyDescent="0.35">
      <c r="A1364" t="s">
        <v>34</v>
      </c>
      <c r="B1364" t="s">
        <v>67</v>
      </c>
      <c r="C1364" t="s">
        <v>1480</v>
      </c>
      <c r="D1364">
        <v>2</v>
      </c>
      <c r="E1364">
        <v>7</v>
      </c>
      <c r="F1364" t="s">
        <v>11</v>
      </c>
      <c r="G1364" t="s">
        <v>11</v>
      </c>
      <c r="H1364" t="s">
        <v>11</v>
      </c>
    </row>
    <row r="1365" spans="1:8" x14ac:dyDescent="0.35">
      <c r="A1365" t="s">
        <v>34</v>
      </c>
      <c r="B1365" t="s">
        <v>67</v>
      </c>
      <c r="C1365" t="s">
        <v>2018</v>
      </c>
      <c r="D1365">
        <v>1</v>
      </c>
      <c r="E1365">
        <v>6</v>
      </c>
      <c r="F1365" t="s">
        <v>7</v>
      </c>
      <c r="G1365" t="s">
        <v>11</v>
      </c>
      <c r="H1365" t="s">
        <v>11</v>
      </c>
    </row>
    <row r="1366" spans="1:8" x14ac:dyDescent="0.35">
      <c r="A1366" t="s">
        <v>34</v>
      </c>
      <c r="B1366" t="s">
        <v>67</v>
      </c>
      <c r="C1366" t="s">
        <v>2019</v>
      </c>
      <c r="D1366">
        <v>2</v>
      </c>
      <c r="E1366">
        <v>7</v>
      </c>
      <c r="F1366" t="s">
        <v>11</v>
      </c>
      <c r="G1366" t="s">
        <v>11</v>
      </c>
      <c r="H1366" t="s">
        <v>11</v>
      </c>
    </row>
    <row r="1367" spans="1:8" x14ac:dyDescent="0.35">
      <c r="A1367" t="s">
        <v>34</v>
      </c>
      <c r="B1367" t="s">
        <v>67</v>
      </c>
      <c r="C1367" t="s">
        <v>2020</v>
      </c>
      <c r="D1367">
        <v>1</v>
      </c>
      <c r="E1367">
        <v>6</v>
      </c>
      <c r="F1367" t="s">
        <v>7</v>
      </c>
      <c r="G1367" t="s">
        <v>11</v>
      </c>
      <c r="H1367" t="s">
        <v>11</v>
      </c>
    </row>
    <row r="1368" spans="1:8" x14ac:dyDescent="0.35">
      <c r="A1368" t="s">
        <v>34</v>
      </c>
      <c r="B1368" t="s">
        <v>67</v>
      </c>
      <c r="C1368" t="s">
        <v>1487</v>
      </c>
      <c r="D1368">
        <v>1</v>
      </c>
      <c r="E1368">
        <v>6</v>
      </c>
      <c r="F1368" t="s">
        <v>7</v>
      </c>
      <c r="G1368" t="s">
        <v>11</v>
      </c>
      <c r="H1368" t="s">
        <v>11</v>
      </c>
    </row>
    <row r="1369" spans="1:8" x14ac:dyDescent="0.35">
      <c r="A1369" t="s">
        <v>34</v>
      </c>
      <c r="B1369" t="s">
        <v>67</v>
      </c>
      <c r="C1369" t="s">
        <v>1356</v>
      </c>
      <c r="D1369">
        <v>1</v>
      </c>
      <c r="E1369">
        <v>6</v>
      </c>
      <c r="F1369" t="s">
        <v>7</v>
      </c>
      <c r="G1369" t="s">
        <v>11</v>
      </c>
      <c r="H1369" t="s">
        <v>11</v>
      </c>
    </row>
    <row r="1370" spans="1:8" x14ac:dyDescent="0.35">
      <c r="A1370" t="s">
        <v>34</v>
      </c>
      <c r="B1370" t="s">
        <v>67</v>
      </c>
      <c r="C1370" t="s">
        <v>2021</v>
      </c>
      <c r="D1370">
        <v>1</v>
      </c>
      <c r="E1370">
        <v>6</v>
      </c>
      <c r="F1370" t="s">
        <v>7</v>
      </c>
      <c r="G1370" t="s">
        <v>11</v>
      </c>
      <c r="H1370" t="s">
        <v>11</v>
      </c>
    </row>
    <row r="1371" spans="1:8" x14ac:dyDescent="0.35">
      <c r="A1371" t="s">
        <v>34</v>
      </c>
      <c r="B1371" t="s">
        <v>67</v>
      </c>
      <c r="C1371" t="s">
        <v>2022</v>
      </c>
      <c r="D1371">
        <v>1</v>
      </c>
      <c r="E1371">
        <v>6</v>
      </c>
      <c r="F1371" t="s">
        <v>7</v>
      </c>
      <c r="G1371" t="s">
        <v>11</v>
      </c>
      <c r="H1371" t="s">
        <v>11</v>
      </c>
    </row>
    <row r="1372" spans="1:8" x14ac:dyDescent="0.35">
      <c r="A1372" t="s">
        <v>34</v>
      </c>
      <c r="B1372" t="s">
        <v>67</v>
      </c>
      <c r="C1372" t="s">
        <v>2023</v>
      </c>
      <c r="D1372">
        <v>1</v>
      </c>
      <c r="E1372">
        <v>6</v>
      </c>
      <c r="F1372" t="s">
        <v>7</v>
      </c>
      <c r="G1372" t="s">
        <v>11</v>
      </c>
      <c r="H1372" t="s">
        <v>11</v>
      </c>
    </row>
    <row r="1373" spans="1:8" x14ac:dyDescent="0.35">
      <c r="A1373" t="s">
        <v>34</v>
      </c>
      <c r="B1373" t="s">
        <v>67</v>
      </c>
      <c r="C1373" t="s">
        <v>2024</v>
      </c>
      <c r="D1373">
        <v>1</v>
      </c>
      <c r="E1373">
        <v>6</v>
      </c>
      <c r="F1373" t="s">
        <v>7</v>
      </c>
      <c r="G1373" t="s">
        <v>11</v>
      </c>
      <c r="H1373" t="s">
        <v>11</v>
      </c>
    </row>
    <row r="1374" spans="1:8" x14ac:dyDescent="0.35">
      <c r="A1374" t="s">
        <v>34</v>
      </c>
      <c r="B1374" t="s">
        <v>67</v>
      </c>
      <c r="C1374" t="s">
        <v>1246</v>
      </c>
      <c r="D1374">
        <v>1</v>
      </c>
      <c r="E1374">
        <v>7</v>
      </c>
      <c r="F1374" t="s">
        <v>11</v>
      </c>
      <c r="G1374" t="s">
        <v>11</v>
      </c>
      <c r="H1374" t="s">
        <v>11</v>
      </c>
    </row>
    <row r="1375" spans="1:8" x14ac:dyDescent="0.35">
      <c r="A1375" t="s">
        <v>34</v>
      </c>
      <c r="B1375" t="s">
        <v>67</v>
      </c>
      <c r="C1375" t="s">
        <v>2025</v>
      </c>
      <c r="D1375">
        <v>1</v>
      </c>
      <c r="E1375">
        <v>6</v>
      </c>
      <c r="F1375" t="s">
        <v>7</v>
      </c>
      <c r="G1375" t="s">
        <v>11</v>
      </c>
      <c r="H1375" t="s">
        <v>11</v>
      </c>
    </row>
    <row r="1376" spans="1:8" x14ac:dyDescent="0.35">
      <c r="A1376" t="s">
        <v>34</v>
      </c>
      <c r="B1376" t="s">
        <v>67</v>
      </c>
      <c r="C1376" t="s">
        <v>1147</v>
      </c>
      <c r="D1376">
        <v>1</v>
      </c>
      <c r="E1376">
        <v>6</v>
      </c>
      <c r="F1376" t="s">
        <v>7</v>
      </c>
      <c r="G1376" t="s">
        <v>11</v>
      </c>
      <c r="H1376" t="s">
        <v>11</v>
      </c>
    </row>
    <row r="1377" spans="1:8" x14ac:dyDescent="0.35">
      <c r="A1377" t="s">
        <v>34</v>
      </c>
      <c r="B1377" t="s">
        <v>67</v>
      </c>
      <c r="C1377" t="s">
        <v>2026</v>
      </c>
      <c r="D1377">
        <v>1</v>
      </c>
      <c r="E1377">
        <v>7</v>
      </c>
      <c r="F1377" t="s">
        <v>11</v>
      </c>
      <c r="G1377" t="s">
        <v>11</v>
      </c>
      <c r="H1377" t="s">
        <v>11</v>
      </c>
    </row>
    <row r="1378" spans="1:8" x14ac:dyDescent="0.35">
      <c r="A1378" t="s">
        <v>34</v>
      </c>
      <c r="B1378" t="s">
        <v>67</v>
      </c>
      <c r="C1378" t="s">
        <v>2027</v>
      </c>
      <c r="D1378">
        <v>2</v>
      </c>
      <c r="E1378">
        <v>6</v>
      </c>
      <c r="F1378" t="s">
        <v>7</v>
      </c>
      <c r="G1378" t="s">
        <v>11</v>
      </c>
      <c r="H1378" t="s">
        <v>11</v>
      </c>
    </row>
    <row r="1379" spans="1:8" x14ac:dyDescent="0.35">
      <c r="A1379" t="s">
        <v>34</v>
      </c>
      <c r="B1379" t="s">
        <v>67</v>
      </c>
      <c r="C1379" t="s">
        <v>2028</v>
      </c>
      <c r="D1379">
        <v>2</v>
      </c>
      <c r="E1379">
        <v>7</v>
      </c>
      <c r="F1379" t="s">
        <v>11</v>
      </c>
      <c r="G1379" t="s">
        <v>11</v>
      </c>
      <c r="H1379" t="s">
        <v>11</v>
      </c>
    </row>
    <row r="1380" spans="1:8" x14ac:dyDescent="0.35">
      <c r="A1380" t="s">
        <v>34</v>
      </c>
      <c r="B1380" t="s">
        <v>67</v>
      </c>
      <c r="C1380" t="s">
        <v>1148</v>
      </c>
      <c r="D1380">
        <v>1</v>
      </c>
      <c r="E1380">
        <v>6</v>
      </c>
      <c r="F1380" t="s">
        <v>7</v>
      </c>
      <c r="G1380" t="s">
        <v>11</v>
      </c>
      <c r="H1380" t="s">
        <v>11</v>
      </c>
    </row>
    <row r="1381" spans="1:8" x14ac:dyDescent="0.35">
      <c r="A1381" t="s">
        <v>34</v>
      </c>
      <c r="B1381" t="s">
        <v>67</v>
      </c>
      <c r="C1381" t="s">
        <v>2029</v>
      </c>
      <c r="D1381">
        <v>1</v>
      </c>
      <c r="E1381">
        <v>7</v>
      </c>
      <c r="F1381" t="s">
        <v>11</v>
      </c>
      <c r="G1381" t="s">
        <v>11</v>
      </c>
      <c r="H1381" t="s">
        <v>11</v>
      </c>
    </row>
    <row r="1382" spans="1:8" x14ac:dyDescent="0.35">
      <c r="A1382" t="s">
        <v>34</v>
      </c>
      <c r="B1382" t="s">
        <v>67</v>
      </c>
      <c r="C1382" t="s">
        <v>2030</v>
      </c>
      <c r="D1382">
        <v>1</v>
      </c>
      <c r="E1382">
        <v>6</v>
      </c>
      <c r="F1382" t="s">
        <v>7</v>
      </c>
      <c r="G1382" t="s">
        <v>11</v>
      </c>
      <c r="H1382" t="s">
        <v>11</v>
      </c>
    </row>
    <row r="1383" spans="1:8" x14ac:dyDescent="0.35">
      <c r="A1383" t="s">
        <v>34</v>
      </c>
      <c r="B1383" t="s">
        <v>67</v>
      </c>
      <c r="C1383" t="s">
        <v>2031</v>
      </c>
      <c r="D1383">
        <v>1</v>
      </c>
      <c r="E1383">
        <v>7</v>
      </c>
      <c r="F1383" t="s">
        <v>11</v>
      </c>
      <c r="G1383" t="s">
        <v>11</v>
      </c>
      <c r="H1383" t="s">
        <v>11</v>
      </c>
    </row>
    <row r="1384" spans="1:8" x14ac:dyDescent="0.35">
      <c r="A1384" t="s">
        <v>34</v>
      </c>
      <c r="B1384" t="s">
        <v>67</v>
      </c>
      <c r="C1384" t="s">
        <v>2032</v>
      </c>
      <c r="D1384">
        <v>2</v>
      </c>
      <c r="E1384">
        <v>7</v>
      </c>
      <c r="F1384" t="s">
        <v>11</v>
      </c>
      <c r="G1384" t="s">
        <v>11</v>
      </c>
      <c r="H1384" t="s">
        <v>11</v>
      </c>
    </row>
    <row r="1385" spans="1:8" x14ac:dyDescent="0.35">
      <c r="A1385" t="s">
        <v>34</v>
      </c>
      <c r="B1385" t="s">
        <v>67</v>
      </c>
      <c r="C1385" t="s">
        <v>2033</v>
      </c>
      <c r="D1385">
        <v>1</v>
      </c>
      <c r="E1385">
        <v>6</v>
      </c>
      <c r="F1385" t="s">
        <v>7</v>
      </c>
      <c r="G1385" t="s">
        <v>11</v>
      </c>
      <c r="H1385" t="s">
        <v>11</v>
      </c>
    </row>
    <row r="1386" spans="1:8" x14ac:dyDescent="0.35">
      <c r="A1386" t="s">
        <v>34</v>
      </c>
      <c r="B1386" t="s">
        <v>67</v>
      </c>
      <c r="C1386" t="s">
        <v>1298</v>
      </c>
      <c r="D1386">
        <v>2</v>
      </c>
      <c r="E1386">
        <v>7</v>
      </c>
      <c r="F1386" t="s">
        <v>11</v>
      </c>
      <c r="G1386" t="s">
        <v>11</v>
      </c>
      <c r="H1386" t="s">
        <v>11</v>
      </c>
    </row>
    <row r="1387" spans="1:8" x14ac:dyDescent="0.35">
      <c r="A1387" t="s">
        <v>34</v>
      </c>
      <c r="B1387" t="s">
        <v>67</v>
      </c>
      <c r="C1387" t="s">
        <v>2034</v>
      </c>
      <c r="D1387">
        <v>2</v>
      </c>
      <c r="E1387">
        <v>7</v>
      </c>
      <c r="F1387" t="s">
        <v>11</v>
      </c>
      <c r="G1387" t="s">
        <v>11</v>
      </c>
      <c r="H1387" t="s">
        <v>11</v>
      </c>
    </row>
    <row r="1388" spans="1:8" x14ac:dyDescent="0.35">
      <c r="A1388" t="s">
        <v>34</v>
      </c>
      <c r="B1388" t="s">
        <v>67</v>
      </c>
      <c r="C1388" t="s">
        <v>2035</v>
      </c>
      <c r="D1388">
        <v>1</v>
      </c>
      <c r="E1388">
        <v>6</v>
      </c>
      <c r="F1388" t="s">
        <v>7</v>
      </c>
      <c r="G1388" t="s">
        <v>11</v>
      </c>
      <c r="H1388" t="s">
        <v>11</v>
      </c>
    </row>
    <row r="1389" spans="1:8" x14ac:dyDescent="0.35">
      <c r="A1389" t="s">
        <v>34</v>
      </c>
      <c r="B1389" t="s">
        <v>67</v>
      </c>
      <c r="C1389" t="s">
        <v>1254</v>
      </c>
      <c r="D1389">
        <v>1</v>
      </c>
      <c r="E1389">
        <v>6</v>
      </c>
      <c r="F1389" t="s">
        <v>7</v>
      </c>
      <c r="G1389" t="s">
        <v>11</v>
      </c>
      <c r="H1389" t="s">
        <v>11</v>
      </c>
    </row>
    <row r="1390" spans="1:8" x14ac:dyDescent="0.35">
      <c r="A1390" t="s">
        <v>34</v>
      </c>
      <c r="B1390" t="s">
        <v>67</v>
      </c>
      <c r="C1390" t="s">
        <v>1720</v>
      </c>
      <c r="D1390">
        <v>1</v>
      </c>
      <c r="E1390">
        <v>6</v>
      </c>
      <c r="F1390" t="s">
        <v>7</v>
      </c>
      <c r="G1390" t="s">
        <v>11</v>
      </c>
      <c r="H1390" t="s">
        <v>11</v>
      </c>
    </row>
    <row r="1391" spans="1:8" x14ac:dyDescent="0.35">
      <c r="A1391" t="s">
        <v>34</v>
      </c>
      <c r="B1391" t="s">
        <v>67</v>
      </c>
      <c r="C1391" t="s">
        <v>2036</v>
      </c>
      <c r="D1391">
        <v>1</v>
      </c>
      <c r="E1391">
        <v>7</v>
      </c>
      <c r="F1391" t="s">
        <v>11</v>
      </c>
      <c r="G1391" t="s">
        <v>11</v>
      </c>
      <c r="H1391" t="s">
        <v>11</v>
      </c>
    </row>
    <row r="1392" spans="1:8" x14ac:dyDescent="0.35">
      <c r="A1392" t="s">
        <v>34</v>
      </c>
      <c r="B1392" t="s">
        <v>67</v>
      </c>
      <c r="C1392" t="s">
        <v>1160</v>
      </c>
      <c r="D1392">
        <v>1</v>
      </c>
      <c r="E1392">
        <v>7</v>
      </c>
      <c r="F1392" t="s">
        <v>11</v>
      </c>
      <c r="G1392" t="s">
        <v>11</v>
      </c>
      <c r="H1392" t="s">
        <v>11</v>
      </c>
    </row>
    <row r="1393" spans="1:8" x14ac:dyDescent="0.35">
      <c r="A1393" t="s">
        <v>34</v>
      </c>
      <c r="B1393" t="s">
        <v>67</v>
      </c>
      <c r="C1393" t="s">
        <v>1434</v>
      </c>
      <c r="D1393">
        <v>1</v>
      </c>
      <c r="E1393">
        <v>6</v>
      </c>
      <c r="F1393" t="s">
        <v>7</v>
      </c>
      <c r="G1393" t="s">
        <v>11</v>
      </c>
      <c r="H1393" t="s">
        <v>11</v>
      </c>
    </row>
    <row r="1394" spans="1:8" x14ac:dyDescent="0.35">
      <c r="A1394" t="s">
        <v>34</v>
      </c>
      <c r="B1394" t="s">
        <v>67</v>
      </c>
      <c r="C1394" t="s">
        <v>2037</v>
      </c>
      <c r="D1394">
        <v>1</v>
      </c>
      <c r="E1394">
        <v>6</v>
      </c>
      <c r="F1394" t="s">
        <v>7</v>
      </c>
      <c r="G1394" t="s">
        <v>11</v>
      </c>
      <c r="H1394" t="s">
        <v>11</v>
      </c>
    </row>
    <row r="1395" spans="1:8" x14ac:dyDescent="0.35">
      <c r="A1395" t="s">
        <v>34</v>
      </c>
      <c r="B1395" t="s">
        <v>67</v>
      </c>
      <c r="C1395" t="s">
        <v>2038</v>
      </c>
      <c r="D1395">
        <v>1</v>
      </c>
      <c r="E1395">
        <v>6</v>
      </c>
      <c r="F1395" t="s">
        <v>7</v>
      </c>
      <c r="G1395" t="s">
        <v>11</v>
      </c>
      <c r="H1395" t="s">
        <v>11</v>
      </c>
    </row>
    <row r="1396" spans="1:8" x14ac:dyDescent="0.35">
      <c r="A1396" t="s">
        <v>34</v>
      </c>
      <c r="B1396" t="s">
        <v>67</v>
      </c>
      <c r="C1396" t="s">
        <v>2039</v>
      </c>
      <c r="D1396">
        <v>2</v>
      </c>
      <c r="E1396">
        <v>7</v>
      </c>
      <c r="F1396" t="s">
        <v>11</v>
      </c>
      <c r="G1396" t="s">
        <v>11</v>
      </c>
      <c r="H1396" t="s">
        <v>11</v>
      </c>
    </row>
    <row r="1397" spans="1:8" x14ac:dyDescent="0.35">
      <c r="A1397" t="s">
        <v>34</v>
      </c>
      <c r="B1397" t="s">
        <v>67</v>
      </c>
      <c r="C1397" t="s">
        <v>2040</v>
      </c>
      <c r="D1397">
        <v>2</v>
      </c>
      <c r="E1397">
        <v>6</v>
      </c>
      <c r="F1397" t="s">
        <v>7</v>
      </c>
      <c r="G1397" t="s">
        <v>11</v>
      </c>
      <c r="H1397" t="s">
        <v>11</v>
      </c>
    </row>
    <row r="1398" spans="1:8" x14ac:dyDescent="0.35">
      <c r="A1398" t="s">
        <v>34</v>
      </c>
      <c r="B1398" t="s">
        <v>67</v>
      </c>
      <c r="C1398" t="s">
        <v>2041</v>
      </c>
      <c r="D1398">
        <v>1</v>
      </c>
      <c r="E1398">
        <v>6</v>
      </c>
      <c r="F1398" t="s">
        <v>7</v>
      </c>
      <c r="G1398" t="s">
        <v>11</v>
      </c>
      <c r="H1398" t="s">
        <v>11</v>
      </c>
    </row>
    <row r="1399" spans="1:8" x14ac:dyDescent="0.35">
      <c r="A1399" t="s">
        <v>34</v>
      </c>
      <c r="B1399" t="s">
        <v>67</v>
      </c>
      <c r="C1399" t="s">
        <v>1524</v>
      </c>
      <c r="D1399">
        <v>1</v>
      </c>
      <c r="E1399">
        <v>6</v>
      </c>
      <c r="F1399" t="s">
        <v>7</v>
      </c>
      <c r="G1399" t="s">
        <v>11</v>
      </c>
      <c r="H1399" t="s">
        <v>11</v>
      </c>
    </row>
    <row r="1400" spans="1:8" x14ac:dyDescent="0.35">
      <c r="A1400" t="s">
        <v>34</v>
      </c>
      <c r="B1400" t="s">
        <v>67</v>
      </c>
      <c r="C1400" t="s">
        <v>2042</v>
      </c>
      <c r="D1400">
        <v>1</v>
      </c>
      <c r="E1400">
        <v>6</v>
      </c>
      <c r="F1400" t="s">
        <v>7</v>
      </c>
      <c r="G1400" t="s">
        <v>11</v>
      </c>
      <c r="H1400" t="s">
        <v>11</v>
      </c>
    </row>
    <row r="1401" spans="1:8" x14ac:dyDescent="0.35">
      <c r="A1401" t="s">
        <v>34</v>
      </c>
      <c r="B1401" t="s">
        <v>67</v>
      </c>
      <c r="C1401" t="s">
        <v>2043</v>
      </c>
      <c r="D1401">
        <v>1</v>
      </c>
      <c r="E1401">
        <v>6</v>
      </c>
      <c r="F1401" t="s">
        <v>7</v>
      </c>
      <c r="G1401" t="s">
        <v>11</v>
      </c>
      <c r="H1401" t="s">
        <v>11</v>
      </c>
    </row>
    <row r="1402" spans="1:8" x14ac:dyDescent="0.35">
      <c r="A1402" t="s">
        <v>34</v>
      </c>
      <c r="B1402" t="s">
        <v>67</v>
      </c>
      <c r="C1402" t="s">
        <v>2044</v>
      </c>
      <c r="D1402">
        <v>1</v>
      </c>
      <c r="E1402">
        <v>7</v>
      </c>
      <c r="F1402" t="s">
        <v>11</v>
      </c>
      <c r="G1402" t="s">
        <v>11</v>
      </c>
      <c r="H1402" t="s">
        <v>11</v>
      </c>
    </row>
    <row r="1403" spans="1:8" x14ac:dyDescent="0.35">
      <c r="A1403" t="s">
        <v>34</v>
      </c>
      <c r="B1403" t="s">
        <v>67</v>
      </c>
      <c r="C1403" t="s">
        <v>2045</v>
      </c>
      <c r="D1403">
        <v>1</v>
      </c>
      <c r="E1403">
        <v>6</v>
      </c>
      <c r="F1403" t="s">
        <v>7</v>
      </c>
      <c r="G1403" t="s">
        <v>11</v>
      </c>
      <c r="H1403" t="s">
        <v>11</v>
      </c>
    </row>
    <row r="1404" spans="1:8" x14ac:dyDescent="0.35">
      <c r="A1404" t="s">
        <v>34</v>
      </c>
      <c r="B1404" t="s">
        <v>67</v>
      </c>
      <c r="C1404" t="s">
        <v>2046</v>
      </c>
      <c r="D1404">
        <v>1</v>
      </c>
      <c r="E1404">
        <v>7</v>
      </c>
      <c r="F1404" t="s">
        <v>11</v>
      </c>
      <c r="G1404" t="s">
        <v>11</v>
      </c>
      <c r="H1404" t="s">
        <v>11</v>
      </c>
    </row>
    <row r="1405" spans="1:8" x14ac:dyDescent="0.35">
      <c r="A1405" t="s">
        <v>34</v>
      </c>
      <c r="B1405" t="s">
        <v>67</v>
      </c>
      <c r="C1405" t="s">
        <v>2047</v>
      </c>
      <c r="D1405">
        <v>1</v>
      </c>
      <c r="E1405">
        <v>7</v>
      </c>
      <c r="F1405" t="s">
        <v>11</v>
      </c>
      <c r="G1405" t="s">
        <v>11</v>
      </c>
      <c r="H1405" t="s">
        <v>11</v>
      </c>
    </row>
    <row r="1406" spans="1:8" x14ac:dyDescent="0.35">
      <c r="A1406" t="s">
        <v>34</v>
      </c>
      <c r="B1406" t="s">
        <v>67</v>
      </c>
      <c r="C1406" t="s">
        <v>2048</v>
      </c>
      <c r="D1406">
        <v>2</v>
      </c>
      <c r="E1406">
        <v>7</v>
      </c>
      <c r="F1406" t="s">
        <v>11</v>
      </c>
      <c r="G1406" t="s">
        <v>11</v>
      </c>
      <c r="H1406" t="s">
        <v>11</v>
      </c>
    </row>
    <row r="1407" spans="1:8" x14ac:dyDescent="0.35">
      <c r="A1407" t="s">
        <v>34</v>
      </c>
      <c r="B1407" t="s">
        <v>67</v>
      </c>
      <c r="C1407" t="s">
        <v>2049</v>
      </c>
      <c r="D1407">
        <v>1</v>
      </c>
      <c r="E1407">
        <v>6</v>
      </c>
      <c r="F1407" t="s">
        <v>7</v>
      </c>
      <c r="G1407" t="s">
        <v>11</v>
      </c>
      <c r="H1407" t="s">
        <v>11</v>
      </c>
    </row>
    <row r="1408" spans="1:8" x14ac:dyDescent="0.35">
      <c r="A1408" t="s">
        <v>34</v>
      </c>
      <c r="B1408" t="s">
        <v>67</v>
      </c>
      <c r="C1408" t="s">
        <v>1265</v>
      </c>
      <c r="D1408">
        <v>1</v>
      </c>
      <c r="E1408">
        <v>7</v>
      </c>
      <c r="F1408" t="s">
        <v>11</v>
      </c>
      <c r="G1408" t="s">
        <v>11</v>
      </c>
      <c r="H1408" t="s">
        <v>11</v>
      </c>
    </row>
    <row r="1409" spans="1:8" x14ac:dyDescent="0.35">
      <c r="A1409" t="s">
        <v>34</v>
      </c>
      <c r="B1409" t="s">
        <v>67</v>
      </c>
      <c r="C1409" t="s">
        <v>1266</v>
      </c>
      <c r="D1409">
        <v>1</v>
      </c>
      <c r="E1409">
        <v>6</v>
      </c>
      <c r="F1409" t="s">
        <v>7</v>
      </c>
      <c r="G1409" t="s">
        <v>11</v>
      </c>
      <c r="H1409" t="s">
        <v>11</v>
      </c>
    </row>
    <row r="1410" spans="1:8" x14ac:dyDescent="0.35">
      <c r="A1410" t="s">
        <v>34</v>
      </c>
      <c r="B1410" t="s">
        <v>67</v>
      </c>
      <c r="C1410" t="s">
        <v>2050</v>
      </c>
      <c r="D1410">
        <v>1</v>
      </c>
      <c r="E1410">
        <v>6</v>
      </c>
      <c r="F1410" t="s">
        <v>7</v>
      </c>
      <c r="G1410" t="s">
        <v>11</v>
      </c>
      <c r="H1410" t="s">
        <v>11</v>
      </c>
    </row>
    <row r="1411" spans="1:8" x14ac:dyDescent="0.35">
      <c r="A1411" t="s">
        <v>34</v>
      </c>
      <c r="B1411" t="s">
        <v>67</v>
      </c>
      <c r="C1411" t="s">
        <v>2051</v>
      </c>
      <c r="D1411">
        <v>1</v>
      </c>
      <c r="E1411">
        <v>7</v>
      </c>
      <c r="F1411" t="s">
        <v>11</v>
      </c>
      <c r="G1411" t="s">
        <v>11</v>
      </c>
      <c r="H1411" t="s">
        <v>11</v>
      </c>
    </row>
    <row r="1412" spans="1:8" x14ac:dyDescent="0.35">
      <c r="A1412" t="s">
        <v>34</v>
      </c>
      <c r="B1412" t="s">
        <v>67</v>
      </c>
      <c r="C1412" t="s">
        <v>2052</v>
      </c>
      <c r="D1412">
        <v>1</v>
      </c>
      <c r="E1412">
        <v>6</v>
      </c>
      <c r="F1412" t="s">
        <v>7</v>
      </c>
      <c r="G1412" t="s">
        <v>11</v>
      </c>
      <c r="H1412" t="s">
        <v>11</v>
      </c>
    </row>
    <row r="1413" spans="1:8" x14ac:dyDescent="0.35">
      <c r="A1413" t="s">
        <v>34</v>
      </c>
      <c r="B1413" t="s">
        <v>67</v>
      </c>
      <c r="C1413" t="s">
        <v>2053</v>
      </c>
      <c r="D1413">
        <v>1</v>
      </c>
      <c r="E1413">
        <v>6</v>
      </c>
      <c r="F1413" t="s">
        <v>7</v>
      </c>
      <c r="G1413" t="s">
        <v>11</v>
      </c>
      <c r="H1413" t="s">
        <v>11</v>
      </c>
    </row>
    <row r="1414" spans="1:8" x14ac:dyDescent="0.35">
      <c r="A1414" t="s">
        <v>34</v>
      </c>
      <c r="B1414" t="s">
        <v>67</v>
      </c>
      <c r="C1414" t="s">
        <v>1789</v>
      </c>
      <c r="D1414">
        <v>1</v>
      </c>
      <c r="E1414">
        <v>6</v>
      </c>
      <c r="F1414" t="s">
        <v>7</v>
      </c>
      <c r="G1414" t="s">
        <v>11</v>
      </c>
      <c r="H1414" t="s">
        <v>11</v>
      </c>
    </row>
    <row r="1415" spans="1:8" x14ac:dyDescent="0.35">
      <c r="A1415" t="s">
        <v>34</v>
      </c>
      <c r="B1415" t="s">
        <v>67</v>
      </c>
      <c r="C1415" t="s">
        <v>2054</v>
      </c>
      <c r="D1415">
        <v>1</v>
      </c>
      <c r="E1415">
        <v>6</v>
      </c>
      <c r="F1415" t="s">
        <v>7</v>
      </c>
      <c r="G1415" t="s">
        <v>11</v>
      </c>
      <c r="H1415" t="s">
        <v>11</v>
      </c>
    </row>
    <row r="1416" spans="1:8" x14ac:dyDescent="0.35">
      <c r="A1416" t="s">
        <v>34</v>
      </c>
      <c r="B1416" t="s">
        <v>67</v>
      </c>
      <c r="C1416" t="s">
        <v>2055</v>
      </c>
      <c r="D1416">
        <v>1</v>
      </c>
      <c r="E1416">
        <v>7</v>
      </c>
      <c r="F1416" t="s">
        <v>11</v>
      </c>
      <c r="G1416" t="s">
        <v>11</v>
      </c>
      <c r="H1416" t="s">
        <v>11</v>
      </c>
    </row>
    <row r="1417" spans="1:8" x14ac:dyDescent="0.35">
      <c r="A1417" t="s">
        <v>34</v>
      </c>
      <c r="B1417" t="s">
        <v>67</v>
      </c>
      <c r="C1417" t="s">
        <v>2056</v>
      </c>
      <c r="D1417">
        <v>2</v>
      </c>
      <c r="E1417">
        <v>7</v>
      </c>
      <c r="F1417" t="s">
        <v>11</v>
      </c>
      <c r="G1417" t="s">
        <v>11</v>
      </c>
      <c r="H1417" t="s">
        <v>11</v>
      </c>
    </row>
    <row r="1418" spans="1:8" x14ac:dyDescent="0.35">
      <c r="A1418" t="s">
        <v>34</v>
      </c>
      <c r="B1418" t="s">
        <v>67</v>
      </c>
      <c r="C1418" t="s">
        <v>1271</v>
      </c>
      <c r="D1418">
        <v>1</v>
      </c>
      <c r="E1418">
        <v>6</v>
      </c>
      <c r="F1418" t="s">
        <v>7</v>
      </c>
      <c r="G1418" t="s">
        <v>11</v>
      </c>
      <c r="H1418" t="s">
        <v>11</v>
      </c>
    </row>
    <row r="1419" spans="1:8" x14ac:dyDescent="0.35">
      <c r="A1419" t="s">
        <v>34</v>
      </c>
      <c r="B1419" t="s">
        <v>67</v>
      </c>
      <c r="C1419" t="s">
        <v>2057</v>
      </c>
      <c r="D1419">
        <v>1</v>
      </c>
      <c r="E1419">
        <v>6</v>
      </c>
      <c r="F1419" t="s">
        <v>7</v>
      </c>
      <c r="G1419" t="s">
        <v>11</v>
      </c>
      <c r="H1419" t="s">
        <v>11</v>
      </c>
    </row>
    <row r="1420" spans="1:8" x14ac:dyDescent="0.35">
      <c r="A1420" t="s">
        <v>34</v>
      </c>
      <c r="B1420" t="s">
        <v>67</v>
      </c>
      <c r="C1420" t="s">
        <v>2058</v>
      </c>
      <c r="D1420">
        <v>1</v>
      </c>
      <c r="E1420">
        <v>6</v>
      </c>
      <c r="F1420" t="s">
        <v>7</v>
      </c>
      <c r="G1420" t="s">
        <v>11</v>
      </c>
      <c r="H1420" t="s">
        <v>11</v>
      </c>
    </row>
    <row r="1421" spans="1:8" x14ac:dyDescent="0.35">
      <c r="A1421" t="s">
        <v>34</v>
      </c>
      <c r="B1421" t="s">
        <v>67</v>
      </c>
      <c r="C1421" t="s">
        <v>2059</v>
      </c>
      <c r="D1421">
        <v>1</v>
      </c>
      <c r="E1421">
        <v>6</v>
      </c>
      <c r="F1421" t="s">
        <v>7</v>
      </c>
      <c r="G1421" t="s">
        <v>11</v>
      </c>
      <c r="H1421" t="s">
        <v>11</v>
      </c>
    </row>
    <row r="1422" spans="1:8" x14ac:dyDescent="0.35">
      <c r="A1422" t="s">
        <v>34</v>
      </c>
      <c r="B1422" t="s">
        <v>67</v>
      </c>
      <c r="C1422" t="s">
        <v>2060</v>
      </c>
      <c r="D1422">
        <v>1</v>
      </c>
      <c r="E1422">
        <v>6</v>
      </c>
      <c r="F1422" t="s">
        <v>7</v>
      </c>
      <c r="G1422" t="s">
        <v>11</v>
      </c>
      <c r="H1422" t="s">
        <v>11</v>
      </c>
    </row>
    <row r="1423" spans="1:8" x14ac:dyDescent="0.35">
      <c r="A1423" t="s">
        <v>34</v>
      </c>
      <c r="B1423" t="s">
        <v>67</v>
      </c>
      <c r="C1423" t="s">
        <v>1799</v>
      </c>
      <c r="D1423">
        <v>1</v>
      </c>
      <c r="E1423">
        <v>6</v>
      </c>
      <c r="F1423" t="s">
        <v>7</v>
      </c>
      <c r="G1423" t="s">
        <v>11</v>
      </c>
      <c r="H1423" t="s">
        <v>11</v>
      </c>
    </row>
    <row r="1424" spans="1:8" x14ac:dyDescent="0.35">
      <c r="A1424" t="s">
        <v>34</v>
      </c>
      <c r="B1424" t="s">
        <v>67</v>
      </c>
      <c r="C1424" t="s">
        <v>2061</v>
      </c>
      <c r="D1424">
        <v>1</v>
      </c>
      <c r="E1424">
        <v>6</v>
      </c>
      <c r="F1424" t="s">
        <v>7</v>
      </c>
      <c r="G1424" t="s">
        <v>11</v>
      </c>
      <c r="H1424" t="s">
        <v>11</v>
      </c>
    </row>
    <row r="1425" spans="1:8" x14ac:dyDescent="0.35">
      <c r="A1425" t="s">
        <v>34</v>
      </c>
      <c r="B1425" t="s">
        <v>67</v>
      </c>
      <c r="C1425" t="s">
        <v>1859</v>
      </c>
      <c r="D1425">
        <v>1</v>
      </c>
      <c r="E1425">
        <v>6</v>
      </c>
      <c r="F1425" t="s">
        <v>7</v>
      </c>
      <c r="G1425" t="s">
        <v>11</v>
      </c>
      <c r="H1425" t="s">
        <v>11</v>
      </c>
    </row>
    <row r="1426" spans="1:8" x14ac:dyDescent="0.35">
      <c r="A1426" t="s">
        <v>34</v>
      </c>
      <c r="B1426" t="s">
        <v>67</v>
      </c>
      <c r="C1426" t="s">
        <v>2062</v>
      </c>
      <c r="D1426">
        <v>1</v>
      </c>
      <c r="E1426">
        <v>6</v>
      </c>
      <c r="F1426" t="s">
        <v>7</v>
      </c>
      <c r="G1426" t="s">
        <v>11</v>
      </c>
      <c r="H1426" t="s">
        <v>11</v>
      </c>
    </row>
    <row r="1427" spans="1:8" x14ac:dyDescent="0.35">
      <c r="A1427" t="s">
        <v>34</v>
      </c>
      <c r="B1427" t="s">
        <v>67</v>
      </c>
      <c r="C1427" t="s">
        <v>2063</v>
      </c>
      <c r="D1427">
        <v>1</v>
      </c>
      <c r="E1427">
        <v>6</v>
      </c>
      <c r="F1427" t="s">
        <v>7</v>
      </c>
      <c r="G1427" t="s">
        <v>11</v>
      </c>
      <c r="H1427" t="s">
        <v>11</v>
      </c>
    </row>
    <row r="1428" spans="1:8" x14ac:dyDescent="0.35">
      <c r="A1428" t="s">
        <v>34</v>
      </c>
      <c r="B1428" t="s">
        <v>67</v>
      </c>
      <c r="C1428" t="s">
        <v>2064</v>
      </c>
      <c r="D1428">
        <v>1</v>
      </c>
      <c r="E1428">
        <v>7</v>
      </c>
      <c r="F1428" t="s">
        <v>11</v>
      </c>
      <c r="G1428" t="s">
        <v>11</v>
      </c>
      <c r="H1428" t="s">
        <v>11</v>
      </c>
    </row>
    <row r="1429" spans="1:8" x14ac:dyDescent="0.35">
      <c r="A1429" t="s">
        <v>34</v>
      </c>
      <c r="B1429" t="s">
        <v>67</v>
      </c>
      <c r="C1429" t="s">
        <v>2065</v>
      </c>
      <c r="D1429">
        <v>1</v>
      </c>
      <c r="E1429">
        <v>6</v>
      </c>
      <c r="F1429" t="s">
        <v>7</v>
      </c>
      <c r="G1429" t="s">
        <v>11</v>
      </c>
      <c r="H1429" t="s">
        <v>11</v>
      </c>
    </row>
    <row r="1430" spans="1:8" x14ac:dyDescent="0.35">
      <c r="A1430" t="s">
        <v>34</v>
      </c>
      <c r="B1430" t="s">
        <v>67</v>
      </c>
      <c r="C1430" t="s">
        <v>1177</v>
      </c>
      <c r="D1430">
        <v>1</v>
      </c>
      <c r="E1430">
        <v>6</v>
      </c>
      <c r="F1430" t="s">
        <v>7</v>
      </c>
      <c r="G1430" t="s">
        <v>11</v>
      </c>
      <c r="H1430" t="s">
        <v>11</v>
      </c>
    </row>
    <row r="1431" spans="1:8" x14ac:dyDescent="0.35">
      <c r="A1431" t="s">
        <v>34</v>
      </c>
      <c r="B1431" t="s">
        <v>67</v>
      </c>
      <c r="C1431" t="s">
        <v>2066</v>
      </c>
      <c r="D1431">
        <v>1</v>
      </c>
      <c r="E1431">
        <v>6</v>
      </c>
      <c r="F1431" t="s">
        <v>7</v>
      </c>
      <c r="G1431" t="s">
        <v>11</v>
      </c>
      <c r="H1431" t="s">
        <v>11</v>
      </c>
    </row>
    <row r="1432" spans="1:8" x14ac:dyDescent="0.35">
      <c r="A1432" t="s">
        <v>34</v>
      </c>
      <c r="B1432" t="s">
        <v>67</v>
      </c>
      <c r="C1432" t="s">
        <v>2067</v>
      </c>
      <c r="D1432">
        <v>1</v>
      </c>
      <c r="E1432">
        <v>7</v>
      </c>
      <c r="F1432" t="s">
        <v>11</v>
      </c>
      <c r="G1432" t="s">
        <v>11</v>
      </c>
      <c r="H1432" t="s">
        <v>11</v>
      </c>
    </row>
    <row r="1433" spans="1:8" x14ac:dyDescent="0.35">
      <c r="A1433" t="s">
        <v>34</v>
      </c>
      <c r="B1433" t="s">
        <v>67</v>
      </c>
      <c r="C1433" t="s">
        <v>2068</v>
      </c>
      <c r="D1433">
        <v>1</v>
      </c>
      <c r="E1433">
        <v>6</v>
      </c>
      <c r="F1433" t="s">
        <v>7</v>
      </c>
      <c r="G1433" t="s">
        <v>11</v>
      </c>
      <c r="H1433" t="s">
        <v>11</v>
      </c>
    </row>
    <row r="1434" spans="1:8" x14ac:dyDescent="0.35">
      <c r="A1434" t="s">
        <v>34</v>
      </c>
      <c r="B1434" t="s">
        <v>67</v>
      </c>
      <c r="C1434" t="s">
        <v>1740</v>
      </c>
      <c r="D1434">
        <v>1</v>
      </c>
      <c r="E1434">
        <v>6</v>
      </c>
      <c r="F1434" t="s">
        <v>7</v>
      </c>
      <c r="G1434" t="s">
        <v>11</v>
      </c>
      <c r="H1434" t="s">
        <v>11</v>
      </c>
    </row>
    <row r="1435" spans="1:8" x14ac:dyDescent="0.35">
      <c r="A1435" t="s">
        <v>34</v>
      </c>
      <c r="B1435" t="s">
        <v>67</v>
      </c>
      <c r="C1435" t="s">
        <v>2069</v>
      </c>
      <c r="D1435">
        <v>1</v>
      </c>
      <c r="E1435">
        <v>6</v>
      </c>
      <c r="F1435" t="s">
        <v>7</v>
      </c>
      <c r="G1435" t="s">
        <v>11</v>
      </c>
      <c r="H1435" t="s">
        <v>11</v>
      </c>
    </row>
    <row r="1436" spans="1:8" x14ac:dyDescent="0.35">
      <c r="A1436" t="s">
        <v>36</v>
      </c>
      <c r="B1436" t="s">
        <v>117</v>
      </c>
      <c r="C1436" t="s">
        <v>1338</v>
      </c>
      <c r="D1436">
        <v>3</v>
      </c>
      <c r="E1436">
        <v>3</v>
      </c>
      <c r="F1436" t="s">
        <v>7</v>
      </c>
      <c r="G1436" t="s">
        <v>115</v>
      </c>
      <c r="H1436" t="s">
        <v>11</v>
      </c>
    </row>
    <row r="1437" spans="1:8" x14ac:dyDescent="0.35">
      <c r="A1437" t="s">
        <v>36</v>
      </c>
      <c r="B1437" t="s">
        <v>117</v>
      </c>
      <c r="C1437" t="s">
        <v>2070</v>
      </c>
      <c r="D1437">
        <v>2</v>
      </c>
      <c r="E1437">
        <v>3</v>
      </c>
      <c r="F1437" t="s">
        <v>7</v>
      </c>
      <c r="G1437" t="s">
        <v>11</v>
      </c>
      <c r="H1437" t="s">
        <v>11</v>
      </c>
    </row>
    <row r="1438" spans="1:8" x14ac:dyDescent="0.35">
      <c r="A1438" t="s">
        <v>36</v>
      </c>
      <c r="B1438" t="s">
        <v>117</v>
      </c>
      <c r="C1438" t="s">
        <v>2071</v>
      </c>
      <c r="D1438">
        <v>3</v>
      </c>
      <c r="E1438">
        <v>3</v>
      </c>
      <c r="F1438" t="s">
        <v>7</v>
      </c>
      <c r="G1438" t="s">
        <v>115</v>
      </c>
      <c r="H1438" t="s">
        <v>11</v>
      </c>
    </row>
    <row r="1439" spans="1:8" x14ac:dyDescent="0.35">
      <c r="A1439" t="s">
        <v>36</v>
      </c>
      <c r="B1439" t="s">
        <v>117</v>
      </c>
      <c r="C1439" t="s">
        <v>2072</v>
      </c>
      <c r="D1439">
        <v>3</v>
      </c>
      <c r="E1439">
        <v>3</v>
      </c>
      <c r="F1439" t="s">
        <v>7</v>
      </c>
      <c r="G1439" t="s">
        <v>11</v>
      </c>
      <c r="H1439" t="s">
        <v>11</v>
      </c>
    </row>
    <row r="1440" spans="1:8" x14ac:dyDescent="0.35">
      <c r="A1440" t="s">
        <v>36</v>
      </c>
      <c r="B1440" t="s">
        <v>117</v>
      </c>
      <c r="C1440" t="s">
        <v>1228</v>
      </c>
      <c r="D1440">
        <v>3</v>
      </c>
      <c r="E1440">
        <v>3</v>
      </c>
      <c r="F1440" t="s">
        <v>7</v>
      </c>
      <c r="G1440" t="s">
        <v>11</v>
      </c>
      <c r="H1440" t="s">
        <v>11</v>
      </c>
    </row>
    <row r="1441" spans="1:8" x14ac:dyDescent="0.35">
      <c r="A1441" t="s">
        <v>36</v>
      </c>
      <c r="B1441" t="s">
        <v>117</v>
      </c>
      <c r="C1441" t="s">
        <v>2073</v>
      </c>
      <c r="D1441">
        <v>3</v>
      </c>
      <c r="E1441">
        <v>3</v>
      </c>
      <c r="F1441" t="s">
        <v>7</v>
      </c>
      <c r="G1441" t="s">
        <v>11</v>
      </c>
      <c r="H1441" t="s">
        <v>11</v>
      </c>
    </row>
    <row r="1442" spans="1:8" x14ac:dyDescent="0.35">
      <c r="A1442" t="s">
        <v>36</v>
      </c>
      <c r="B1442" t="s">
        <v>117</v>
      </c>
      <c r="C1442" t="s">
        <v>1120</v>
      </c>
      <c r="D1442">
        <v>3</v>
      </c>
      <c r="E1442">
        <v>3</v>
      </c>
      <c r="F1442" t="s">
        <v>7</v>
      </c>
      <c r="G1442" t="s">
        <v>11</v>
      </c>
      <c r="H1442" t="s">
        <v>11</v>
      </c>
    </row>
    <row r="1443" spans="1:8" x14ac:dyDescent="0.35">
      <c r="A1443" t="s">
        <v>36</v>
      </c>
      <c r="B1443" t="s">
        <v>117</v>
      </c>
      <c r="C1443" t="s">
        <v>1231</v>
      </c>
      <c r="D1443">
        <v>3</v>
      </c>
      <c r="E1443">
        <v>3</v>
      </c>
      <c r="F1443" t="s">
        <v>7</v>
      </c>
      <c r="G1443" t="s">
        <v>11</v>
      </c>
      <c r="H1443" t="s">
        <v>11</v>
      </c>
    </row>
    <row r="1444" spans="1:8" x14ac:dyDescent="0.35">
      <c r="A1444" t="s">
        <v>36</v>
      </c>
      <c r="B1444" t="s">
        <v>117</v>
      </c>
      <c r="C1444" t="s">
        <v>1706</v>
      </c>
      <c r="D1444">
        <v>2</v>
      </c>
      <c r="E1444">
        <v>3</v>
      </c>
      <c r="F1444" t="s">
        <v>7</v>
      </c>
      <c r="G1444" t="s">
        <v>11</v>
      </c>
      <c r="H1444" t="s">
        <v>11</v>
      </c>
    </row>
    <row r="1445" spans="1:8" x14ac:dyDescent="0.35">
      <c r="A1445" t="s">
        <v>36</v>
      </c>
      <c r="B1445" t="s">
        <v>117</v>
      </c>
      <c r="C1445" t="s">
        <v>1124</v>
      </c>
      <c r="D1445">
        <v>3</v>
      </c>
      <c r="E1445">
        <v>3</v>
      </c>
      <c r="F1445" t="s">
        <v>7</v>
      </c>
      <c r="G1445" t="s">
        <v>11</v>
      </c>
      <c r="H1445" t="s">
        <v>11</v>
      </c>
    </row>
    <row r="1446" spans="1:8" x14ac:dyDescent="0.35">
      <c r="A1446" t="s">
        <v>36</v>
      </c>
      <c r="B1446" t="s">
        <v>117</v>
      </c>
      <c r="C1446" t="s">
        <v>1874</v>
      </c>
      <c r="D1446">
        <v>3</v>
      </c>
      <c r="E1446">
        <v>3</v>
      </c>
      <c r="F1446" t="s">
        <v>7</v>
      </c>
      <c r="G1446" t="s">
        <v>115</v>
      </c>
      <c r="H1446" t="s">
        <v>11</v>
      </c>
    </row>
    <row r="1447" spans="1:8" x14ac:dyDescent="0.35">
      <c r="A1447" t="s">
        <v>36</v>
      </c>
      <c r="B1447" t="s">
        <v>117</v>
      </c>
      <c r="C1447" t="s">
        <v>1125</v>
      </c>
      <c r="D1447">
        <v>3</v>
      </c>
      <c r="E1447">
        <v>3</v>
      </c>
      <c r="F1447" t="s">
        <v>7</v>
      </c>
      <c r="G1447" t="s">
        <v>11</v>
      </c>
      <c r="H1447" t="s">
        <v>11</v>
      </c>
    </row>
    <row r="1448" spans="1:8" x14ac:dyDescent="0.35">
      <c r="A1448" t="s">
        <v>36</v>
      </c>
      <c r="B1448" t="s">
        <v>117</v>
      </c>
      <c r="C1448" t="s">
        <v>1126</v>
      </c>
      <c r="D1448">
        <v>2</v>
      </c>
      <c r="E1448">
        <v>3</v>
      </c>
      <c r="F1448" t="s">
        <v>7</v>
      </c>
      <c r="G1448" t="s">
        <v>11</v>
      </c>
      <c r="H1448" t="s">
        <v>11</v>
      </c>
    </row>
    <row r="1449" spans="1:8" x14ac:dyDescent="0.35">
      <c r="A1449" t="s">
        <v>36</v>
      </c>
      <c r="B1449" t="s">
        <v>117</v>
      </c>
      <c r="C1449" t="s">
        <v>2074</v>
      </c>
      <c r="D1449">
        <v>3</v>
      </c>
      <c r="E1449">
        <v>3</v>
      </c>
      <c r="F1449" t="s">
        <v>7</v>
      </c>
      <c r="G1449" t="s">
        <v>11</v>
      </c>
      <c r="H1449" t="s">
        <v>11</v>
      </c>
    </row>
    <row r="1450" spans="1:8" x14ac:dyDescent="0.35">
      <c r="A1450" t="s">
        <v>36</v>
      </c>
      <c r="B1450" t="s">
        <v>117</v>
      </c>
      <c r="C1450" t="s">
        <v>2075</v>
      </c>
      <c r="D1450">
        <v>3</v>
      </c>
      <c r="E1450">
        <v>3</v>
      </c>
      <c r="F1450" t="s">
        <v>7</v>
      </c>
      <c r="G1450" t="s">
        <v>115</v>
      </c>
      <c r="H1450" t="s">
        <v>11</v>
      </c>
    </row>
    <row r="1451" spans="1:8" x14ac:dyDescent="0.35">
      <c r="A1451" t="s">
        <v>36</v>
      </c>
      <c r="B1451" t="s">
        <v>117</v>
      </c>
      <c r="C1451" t="s">
        <v>1132</v>
      </c>
      <c r="D1451">
        <v>3</v>
      </c>
      <c r="E1451">
        <v>3</v>
      </c>
      <c r="F1451" t="s">
        <v>7</v>
      </c>
      <c r="G1451" t="s">
        <v>115</v>
      </c>
      <c r="H1451" t="s">
        <v>11</v>
      </c>
    </row>
    <row r="1452" spans="1:8" x14ac:dyDescent="0.35">
      <c r="A1452" t="s">
        <v>36</v>
      </c>
      <c r="B1452" t="s">
        <v>117</v>
      </c>
      <c r="C1452" t="s">
        <v>2076</v>
      </c>
      <c r="D1452">
        <v>3</v>
      </c>
      <c r="E1452">
        <v>3</v>
      </c>
      <c r="F1452" t="s">
        <v>7</v>
      </c>
      <c r="G1452" t="s">
        <v>11</v>
      </c>
      <c r="H1452" t="s">
        <v>11</v>
      </c>
    </row>
    <row r="1453" spans="1:8" x14ac:dyDescent="0.35">
      <c r="A1453" t="s">
        <v>36</v>
      </c>
      <c r="B1453" t="s">
        <v>117</v>
      </c>
      <c r="C1453" t="s">
        <v>2077</v>
      </c>
      <c r="D1453">
        <v>3</v>
      </c>
      <c r="E1453">
        <v>3</v>
      </c>
      <c r="F1453" t="s">
        <v>7</v>
      </c>
      <c r="G1453" t="s">
        <v>115</v>
      </c>
      <c r="H1453" t="s">
        <v>11</v>
      </c>
    </row>
    <row r="1454" spans="1:8" x14ac:dyDescent="0.35">
      <c r="A1454" t="s">
        <v>36</v>
      </c>
      <c r="B1454" t="s">
        <v>117</v>
      </c>
      <c r="C1454" t="s">
        <v>1142</v>
      </c>
      <c r="D1454">
        <v>3</v>
      </c>
      <c r="E1454">
        <v>3</v>
      </c>
      <c r="F1454" t="s">
        <v>7</v>
      </c>
      <c r="G1454" t="s">
        <v>115</v>
      </c>
      <c r="H1454" t="s">
        <v>11</v>
      </c>
    </row>
    <row r="1455" spans="1:8" x14ac:dyDescent="0.35">
      <c r="A1455" t="s">
        <v>36</v>
      </c>
      <c r="B1455" t="s">
        <v>117</v>
      </c>
      <c r="C1455" t="s">
        <v>2078</v>
      </c>
      <c r="D1455">
        <v>3</v>
      </c>
      <c r="E1455">
        <v>3</v>
      </c>
      <c r="F1455" t="s">
        <v>7</v>
      </c>
      <c r="G1455" t="s">
        <v>115</v>
      </c>
      <c r="H1455" t="s">
        <v>11</v>
      </c>
    </row>
    <row r="1456" spans="1:8" x14ac:dyDescent="0.35">
      <c r="A1456" t="s">
        <v>36</v>
      </c>
      <c r="B1456" t="s">
        <v>117</v>
      </c>
      <c r="C1456" t="s">
        <v>1144</v>
      </c>
      <c r="D1456">
        <v>3</v>
      </c>
      <c r="E1456">
        <v>3</v>
      </c>
      <c r="F1456" t="s">
        <v>7</v>
      </c>
      <c r="G1456" t="s">
        <v>115</v>
      </c>
      <c r="H1456" t="s">
        <v>11</v>
      </c>
    </row>
    <row r="1457" spans="1:8" x14ac:dyDescent="0.35">
      <c r="A1457" t="s">
        <v>36</v>
      </c>
      <c r="B1457" t="s">
        <v>117</v>
      </c>
      <c r="C1457" t="s">
        <v>2079</v>
      </c>
      <c r="D1457">
        <v>3</v>
      </c>
      <c r="E1457">
        <v>3</v>
      </c>
      <c r="F1457" t="s">
        <v>7</v>
      </c>
      <c r="G1457" t="s">
        <v>11</v>
      </c>
      <c r="H1457" t="s">
        <v>11</v>
      </c>
    </row>
    <row r="1458" spans="1:8" x14ac:dyDescent="0.35">
      <c r="A1458" t="s">
        <v>36</v>
      </c>
      <c r="B1458" t="s">
        <v>117</v>
      </c>
      <c r="C1458" t="s">
        <v>1506</v>
      </c>
      <c r="D1458">
        <v>3</v>
      </c>
      <c r="E1458">
        <v>2</v>
      </c>
      <c r="F1458" t="s">
        <v>7</v>
      </c>
      <c r="G1458" t="s">
        <v>115</v>
      </c>
      <c r="H1458" t="s">
        <v>11</v>
      </c>
    </row>
    <row r="1459" spans="1:8" x14ac:dyDescent="0.35">
      <c r="A1459" t="s">
        <v>36</v>
      </c>
      <c r="B1459" t="s">
        <v>117</v>
      </c>
      <c r="C1459" t="s">
        <v>1665</v>
      </c>
      <c r="D1459">
        <v>3</v>
      </c>
      <c r="E1459">
        <v>2</v>
      </c>
      <c r="F1459" t="s">
        <v>7</v>
      </c>
      <c r="G1459" t="s">
        <v>115</v>
      </c>
      <c r="H1459" t="s">
        <v>11</v>
      </c>
    </row>
    <row r="1460" spans="1:8" x14ac:dyDescent="0.35">
      <c r="A1460" t="s">
        <v>36</v>
      </c>
      <c r="B1460" t="s">
        <v>117</v>
      </c>
      <c r="C1460" t="s">
        <v>2080</v>
      </c>
      <c r="D1460">
        <v>3</v>
      </c>
      <c r="E1460">
        <v>3</v>
      </c>
      <c r="F1460" t="s">
        <v>7</v>
      </c>
      <c r="G1460" t="s">
        <v>115</v>
      </c>
      <c r="H1460" t="s">
        <v>11</v>
      </c>
    </row>
    <row r="1461" spans="1:8" x14ac:dyDescent="0.35">
      <c r="A1461" t="s">
        <v>36</v>
      </c>
      <c r="B1461" t="s">
        <v>117</v>
      </c>
      <c r="C1461" t="s">
        <v>1428</v>
      </c>
      <c r="D1461">
        <v>3</v>
      </c>
      <c r="E1461">
        <v>3</v>
      </c>
      <c r="F1461" t="s">
        <v>7</v>
      </c>
      <c r="G1461" t="s">
        <v>11</v>
      </c>
      <c r="H1461" t="s">
        <v>11</v>
      </c>
    </row>
    <row r="1462" spans="1:8" x14ac:dyDescent="0.35">
      <c r="A1462" t="s">
        <v>36</v>
      </c>
      <c r="B1462" t="s">
        <v>117</v>
      </c>
      <c r="C1462" t="s">
        <v>2081</v>
      </c>
      <c r="D1462">
        <v>3</v>
      </c>
      <c r="E1462">
        <v>3</v>
      </c>
      <c r="F1462" t="s">
        <v>7</v>
      </c>
      <c r="G1462" t="s">
        <v>11</v>
      </c>
      <c r="H1462" t="s">
        <v>11</v>
      </c>
    </row>
    <row r="1463" spans="1:8" x14ac:dyDescent="0.35">
      <c r="A1463" t="s">
        <v>36</v>
      </c>
      <c r="B1463" t="s">
        <v>117</v>
      </c>
      <c r="C1463" t="s">
        <v>2082</v>
      </c>
      <c r="D1463">
        <v>3</v>
      </c>
      <c r="E1463">
        <v>3</v>
      </c>
      <c r="F1463" t="s">
        <v>7</v>
      </c>
      <c r="G1463" t="s">
        <v>11</v>
      </c>
      <c r="H1463" t="s">
        <v>11</v>
      </c>
    </row>
    <row r="1464" spans="1:8" x14ac:dyDescent="0.35">
      <c r="A1464" t="s">
        <v>36</v>
      </c>
      <c r="B1464" t="s">
        <v>117</v>
      </c>
      <c r="C1464" t="s">
        <v>2083</v>
      </c>
      <c r="D1464">
        <v>3</v>
      </c>
      <c r="E1464">
        <v>3</v>
      </c>
      <c r="F1464" t="s">
        <v>7</v>
      </c>
      <c r="G1464" t="s">
        <v>11</v>
      </c>
      <c r="H1464" t="s">
        <v>11</v>
      </c>
    </row>
    <row r="1465" spans="1:8" x14ac:dyDescent="0.35">
      <c r="A1465" t="s">
        <v>36</v>
      </c>
      <c r="B1465" t="s">
        <v>117</v>
      </c>
      <c r="C1465" t="s">
        <v>1148</v>
      </c>
      <c r="D1465">
        <v>3</v>
      </c>
      <c r="E1465">
        <v>2</v>
      </c>
      <c r="F1465" t="s">
        <v>7</v>
      </c>
      <c r="G1465" t="s">
        <v>115</v>
      </c>
      <c r="H1465" t="s">
        <v>11</v>
      </c>
    </row>
    <row r="1466" spans="1:8" x14ac:dyDescent="0.35">
      <c r="A1466" t="s">
        <v>36</v>
      </c>
      <c r="B1466" t="s">
        <v>117</v>
      </c>
      <c r="C1466" t="s">
        <v>1512</v>
      </c>
      <c r="D1466">
        <v>3</v>
      </c>
      <c r="E1466">
        <v>3</v>
      </c>
      <c r="F1466" t="s">
        <v>7</v>
      </c>
      <c r="G1466" t="s">
        <v>11</v>
      </c>
      <c r="H1466" t="s">
        <v>11</v>
      </c>
    </row>
    <row r="1467" spans="1:8" x14ac:dyDescent="0.35">
      <c r="A1467" t="s">
        <v>36</v>
      </c>
      <c r="B1467" t="s">
        <v>117</v>
      </c>
      <c r="C1467" t="s">
        <v>1149</v>
      </c>
      <c r="D1467">
        <v>3</v>
      </c>
      <c r="E1467">
        <v>3</v>
      </c>
      <c r="F1467" t="s">
        <v>7</v>
      </c>
      <c r="G1467" t="s">
        <v>115</v>
      </c>
      <c r="H1467" t="s">
        <v>11</v>
      </c>
    </row>
    <row r="1468" spans="1:8" x14ac:dyDescent="0.35">
      <c r="A1468" t="s">
        <v>36</v>
      </c>
      <c r="B1468" t="s">
        <v>117</v>
      </c>
      <c r="C1468" t="s">
        <v>1882</v>
      </c>
      <c r="D1468">
        <v>3</v>
      </c>
      <c r="E1468">
        <v>3</v>
      </c>
      <c r="F1468" t="s">
        <v>7</v>
      </c>
      <c r="G1468" t="s">
        <v>115</v>
      </c>
      <c r="H1468" t="s">
        <v>11</v>
      </c>
    </row>
    <row r="1469" spans="1:8" x14ac:dyDescent="0.35">
      <c r="A1469" t="s">
        <v>36</v>
      </c>
      <c r="B1469" t="s">
        <v>117</v>
      </c>
      <c r="C1469" t="s">
        <v>1515</v>
      </c>
      <c r="D1469">
        <v>3</v>
      </c>
      <c r="E1469">
        <v>3</v>
      </c>
      <c r="F1469" t="s">
        <v>7</v>
      </c>
      <c r="G1469" t="s">
        <v>115</v>
      </c>
      <c r="H1469" t="s">
        <v>11</v>
      </c>
    </row>
    <row r="1470" spans="1:8" x14ac:dyDescent="0.35">
      <c r="A1470" t="s">
        <v>36</v>
      </c>
      <c r="B1470" t="s">
        <v>117</v>
      </c>
      <c r="C1470" t="s">
        <v>2084</v>
      </c>
      <c r="D1470">
        <v>3</v>
      </c>
      <c r="E1470">
        <v>3</v>
      </c>
      <c r="F1470" t="s">
        <v>7</v>
      </c>
      <c r="G1470" t="s">
        <v>11</v>
      </c>
      <c r="H1470" t="s">
        <v>11</v>
      </c>
    </row>
    <row r="1471" spans="1:8" x14ac:dyDescent="0.35">
      <c r="A1471" t="s">
        <v>36</v>
      </c>
      <c r="B1471" t="s">
        <v>117</v>
      </c>
      <c r="C1471" t="s">
        <v>1253</v>
      </c>
      <c r="D1471">
        <v>3</v>
      </c>
      <c r="E1471">
        <v>3</v>
      </c>
      <c r="F1471" t="s">
        <v>7</v>
      </c>
      <c r="G1471" t="s">
        <v>11</v>
      </c>
      <c r="H1471" t="s">
        <v>11</v>
      </c>
    </row>
    <row r="1472" spans="1:8" x14ac:dyDescent="0.35">
      <c r="A1472" t="s">
        <v>36</v>
      </c>
      <c r="B1472" t="s">
        <v>117</v>
      </c>
      <c r="C1472" t="s">
        <v>1150</v>
      </c>
      <c r="D1472">
        <v>3</v>
      </c>
      <c r="E1472">
        <v>3</v>
      </c>
      <c r="F1472" t="s">
        <v>7</v>
      </c>
      <c r="G1472" t="s">
        <v>115</v>
      </c>
      <c r="H1472" t="s">
        <v>11</v>
      </c>
    </row>
    <row r="1473" spans="1:8" x14ac:dyDescent="0.35">
      <c r="A1473" t="s">
        <v>36</v>
      </c>
      <c r="B1473" t="s">
        <v>117</v>
      </c>
      <c r="C1473" t="s">
        <v>1151</v>
      </c>
      <c r="D1473">
        <v>3</v>
      </c>
      <c r="E1473">
        <v>3</v>
      </c>
      <c r="F1473" t="s">
        <v>7</v>
      </c>
      <c r="G1473" t="s">
        <v>11</v>
      </c>
      <c r="H1473" t="s">
        <v>11</v>
      </c>
    </row>
    <row r="1474" spans="1:8" x14ac:dyDescent="0.35">
      <c r="A1474" t="s">
        <v>36</v>
      </c>
      <c r="B1474" t="s">
        <v>117</v>
      </c>
      <c r="C1474" t="s">
        <v>1152</v>
      </c>
      <c r="D1474">
        <v>3</v>
      </c>
      <c r="E1474">
        <v>3</v>
      </c>
      <c r="F1474" t="s">
        <v>7</v>
      </c>
      <c r="G1474" t="s">
        <v>115</v>
      </c>
      <c r="H1474" t="s">
        <v>11</v>
      </c>
    </row>
    <row r="1475" spans="1:8" x14ac:dyDescent="0.35">
      <c r="A1475" t="s">
        <v>36</v>
      </c>
      <c r="B1475" t="s">
        <v>117</v>
      </c>
      <c r="C1475" t="s">
        <v>2085</v>
      </c>
      <c r="D1475">
        <v>3</v>
      </c>
      <c r="E1475">
        <v>3</v>
      </c>
      <c r="F1475" t="s">
        <v>7</v>
      </c>
      <c r="G1475" t="s">
        <v>11</v>
      </c>
      <c r="H1475" t="s">
        <v>11</v>
      </c>
    </row>
    <row r="1476" spans="1:8" x14ac:dyDescent="0.35">
      <c r="A1476" t="s">
        <v>36</v>
      </c>
      <c r="B1476" t="s">
        <v>117</v>
      </c>
      <c r="C1476" t="s">
        <v>1153</v>
      </c>
      <c r="D1476">
        <v>2</v>
      </c>
      <c r="E1476">
        <v>3</v>
      </c>
      <c r="F1476" t="s">
        <v>7</v>
      </c>
      <c r="G1476" t="s">
        <v>11</v>
      </c>
      <c r="H1476" t="s">
        <v>11</v>
      </c>
    </row>
    <row r="1477" spans="1:8" x14ac:dyDescent="0.35">
      <c r="A1477" t="s">
        <v>36</v>
      </c>
      <c r="B1477" t="s">
        <v>117</v>
      </c>
      <c r="C1477" t="s">
        <v>2086</v>
      </c>
      <c r="D1477">
        <v>3</v>
      </c>
      <c r="E1477">
        <v>3</v>
      </c>
      <c r="F1477" t="s">
        <v>7</v>
      </c>
      <c r="G1477" t="s">
        <v>11</v>
      </c>
      <c r="H1477" t="s">
        <v>11</v>
      </c>
    </row>
    <row r="1478" spans="1:8" x14ac:dyDescent="0.35">
      <c r="A1478" t="s">
        <v>36</v>
      </c>
      <c r="B1478" t="s">
        <v>117</v>
      </c>
      <c r="C1478" t="s">
        <v>1254</v>
      </c>
      <c r="D1478">
        <v>3</v>
      </c>
      <c r="E1478">
        <v>3</v>
      </c>
      <c r="F1478" t="s">
        <v>7</v>
      </c>
      <c r="G1478" t="s">
        <v>115</v>
      </c>
      <c r="H1478" t="s">
        <v>11</v>
      </c>
    </row>
    <row r="1479" spans="1:8" x14ac:dyDescent="0.35">
      <c r="A1479" t="s">
        <v>36</v>
      </c>
      <c r="B1479" t="s">
        <v>117</v>
      </c>
      <c r="C1479" t="s">
        <v>1155</v>
      </c>
      <c r="D1479">
        <v>2</v>
      </c>
      <c r="E1479">
        <v>3</v>
      </c>
      <c r="F1479" t="s">
        <v>7</v>
      </c>
      <c r="G1479" t="s">
        <v>11</v>
      </c>
      <c r="H1479" t="s">
        <v>11</v>
      </c>
    </row>
    <row r="1480" spans="1:8" x14ac:dyDescent="0.35">
      <c r="A1480" t="s">
        <v>36</v>
      </c>
      <c r="B1480" t="s">
        <v>117</v>
      </c>
      <c r="C1480" t="s">
        <v>1157</v>
      </c>
      <c r="D1480">
        <v>3</v>
      </c>
      <c r="E1480">
        <v>3</v>
      </c>
      <c r="F1480" t="s">
        <v>7</v>
      </c>
      <c r="G1480" t="s">
        <v>11</v>
      </c>
      <c r="H1480" t="s">
        <v>11</v>
      </c>
    </row>
    <row r="1481" spans="1:8" x14ac:dyDescent="0.35">
      <c r="A1481" t="s">
        <v>36</v>
      </c>
      <c r="B1481" t="s">
        <v>117</v>
      </c>
      <c r="C1481" t="s">
        <v>1159</v>
      </c>
      <c r="D1481">
        <v>3</v>
      </c>
      <c r="E1481">
        <v>3</v>
      </c>
      <c r="F1481" t="s">
        <v>7</v>
      </c>
      <c r="G1481" t="s">
        <v>115</v>
      </c>
      <c r="H1481" t="s">
        <v>11</v>
      </c>
    </row>
    <row r="1482" spans="1:8" x14ac:dyDescent="0.35">
      <c r="A1482" t="s">
        <v>36</v>
      </c>
      <c r="B1482" t="s">
        <v>117</v>
      </c>
      <c r="C1482" t="s">
        <v>1160</v>
      </c>
      <c r="D1482">
        <v>3</v>
      </c>
      <c r="E1482">
        <v>3</v>
      </c>
      <c r="F1482" t="s">
        <v>7</v>
      </c>
      <c r="G1482" t="s">
        <v>11</v>
      </c>
      <c r="H1482" t="s">
        <v>11</v>
      </c>
    </row>
    <row r="1483" spans="1:8" x14ac:dyDescent="0.35">
      <c r="A1483" t="s">
        <v>36</v>
      </c>
      <c r="B1483" t="s">
        <v>117</v>
      </c>
      <c r="C1483" t="s">
        <v>1162</v>
      </c>
      <c r="D1483">
        <v>3</v>
      </c>
      <c r="E1483">
        <v>3</v>
      </c>
      <c r="F1483" t="s">
        <v>7</v>
      </c>
      <c r="G1483" t="s">
        <v>11</v>
      </c>
      <c r="H1483" t="s">
        <v>11</v>
      </c>
    </row>
    <row r="1484" spans="1:8" x14ac:dyDescent="0.35">
      <c r="A1484" t="s">
        <v>36</v>
      </c>
      <c r="B1484" t="s">
        <v>117</v>
      </c>
      <c r="C1484" t="s">
        <v>1163</v>
      </c>
      <c r="D1484">
        <v>3</v>
      </c>
      <c r="E1484">
        <v>3</v>
      </c>
      <c r="F1484" t="s">
        <v>7</v>
      </c>
      <c r="G1484" t="s">
        <v>11</v>
      </c>
      <c r="H1484" t="s">
        <v>11</v>
      </c>
    </row>
    <row r="1485" spans="1:8" x14ac:dyDescent="0.35">
      <c r="A1485" t="s">
        <v>36</v>
      </c>
      <c r="B1485" t="s">
        <v>117</v>
      </c>
      <c r="C1485" t="s">
        <v>2087</v>
      </c>
      <c r="D1485">
        <v>3</v>
      </c>
      <c r="E1485">
        <v>3</v>
      </c>
      <c r="F1485" t="s">
        <v>7</v>
      </c>
      <c r="G1485" t="s">
        <v>11</v>
      </c>
      <c r="H1485" t="s">
        <v>11</v>
      </c>
    </row>
    <row r="1486" spans="1:8" x14ac:dyDescent="0.35">
      <c r="A1486" t="s">
        <v>36</v>
      </c>
      <c r="B1486" t="s">
        <v>117</v>
      </c>
      <c r="C1486" t="s">
        <v>1261</v>
      </c>
      <c r="D1486">
        <v>3</v>
      </c>
      <c r="E1486">
        <v>3</v>
      </c>
      <c r="F1486" t="s">
        <v>7</v>
      </c>
      <c r="G1486" t="s">
        <v>11</v>
      </c>
      <c r="H1486" t="s">
        <v>11</v>
      </c>
    </row>
    <row r="1487" spans="1:8" x14ac:dyDescent="0.35">
      <c r="A1487" t="s">
        <v>36</v>
      </c>
      <c r="B1487" t="s">
        <v>117</v>
      </c>
      <c r="C1487" t="s">
        <v>2088</v>
      </c>
      <c r="D1487">
        <v>2</v>
      </c>
      <c r="E1487">
        <v>3</v>
      </c>
      <c r="F1487" t="s">
        <v>7</v>
      </c>
      <c r="G1487" t="s">
        <v>11</v>
      </c>
      <c r="H1487" t="s">
        <v>11</v>
      </c>
    </row>
    <row r="1488" spans="1:8" x14ac:dyDescent="0.35">
      <c r="A1488" t="s">
        <v>36</v>
      </c>
      <c r="B1488" t="s">
        <v>117</v>
      </c>
      <c r="C1488" t="s">
        <v>2089</v>
      </c>
      <c r="D1488">
        <v>3</v>
      </c>
      <c r="E1488">
        <v>3</v>
      </c>
      <c r="F1488" t="s">
        <v>7</v>
      </c>
      <c r="G1488" t="s">
        <v>11</v>
      </c>
      <c r="H1488" t="s">
        <v>11</v>
      </c>
    </row>
    <row r="1489" spans="1:8" x14ac:dyDescent="0.35">
      <c r="A1489" t="s">
        <v>36</v>
      </c>
      <c r="B1489" t="s">
        <v>117</v>
      </c>
      <c r="C1489" t="s">
        <v>2090</v>
      </c>
      <c r="D1489">
        <v>3</v>
      </c>
      <c r="E1489">
        <v>3</v>
      </c>
      <c r="F1489" t="s">
        <v>7</v>
      </c>
      <c r="G1489" t="s">
        <v>11</v>
      </c>
      <c r="H1489" t="s">
        <v>11</v>
      </c>
    </row>
    <row r="1490" spans="1:8" x14ac:dyDescent="0.35">
      <c r="A1490" t="s">
        <v>36</v>
      </c>
      <c r="B1490" t="s">
        <v>117</v>
      </c>
      <c r="C1490" t="s">
        <v>2091</v>
      </c>
      <c r="D1490">
        <v>3</v>
      </c>
      <c r="E1490">
        <v>2</v>
      </c>
      <c r="F1490" t="s">
        <v>7</v>
      </c>
      <c r="G1490" t="s">
        <v>115</v>
      </c>
      <c r="H1490" t="s">
        <v>11</v>
      </c>
    </row>
    <row r="1491" spans="1:8" x14ac:dyDescent="0.35">
      <c r="A1491" t="s">
        <v>36</v>
      </c>
      <c r="B1491" t="s">
        <v>117</v>
      </c>
      <c r="C1491" t="s">
        <v>1165</v>
      </c>
      <c r="D1491">
        <v>3</v>
      </c>
      <c r="E1491">
        <v>3</v>
      </c>
      <c r="F1491" t="s">
        <v>7</v>
      </c>
      <c r="G1491" t="s">
        <v>115</v>
      </c>
      <c r="H1491" t="s">
        <v>11</v>
      </c>
    </row>
    <row r="1492" spans="1:8" x14ac:dyDescent="0.35">
      <c r="A1492" t="s">
        <v>36</v>
      </c>
      <c r="B1492" t="s">
        <v>117</v>
      </c>
      <c r="C1492" t="s">
        <v>1167</v>
      </c>
      <c r="D1492">
        <v>3</v>
      </c>
      <c r="E1492">
        <v>3</v>
      </c>
      <c r="F1492" t="s">
        <v>7</v>
      </c>
      <c r="G1492" t="s">
        <v>115</v>
      </c>
      <c r="H1492" t="s">
        <v>11</v>
      </c>
    </row>
    <row r="1493" spans="1:8" x14ac:dyDescent="0.35">
      <c r="A1493" t="s">
        <v>36</v>
      </c>
      <c r="B1493" t="s">
        <v>117</v>
      </c>
      <c r="C1493" t="s">
        <v>2092</v>
      </c>
      <c r="D1493">
        <v>3</v>
      </c>
      <c r="E1493">
        <v>3</v>
      </c>
      <c r="F1493" t="s">
        <v>7</v>
      </c>
      <c r="G1493" t="s">
        <v>11</v>
      </c>
      <c r="H1493" t="s">
        <v>11</v>
      </c>
    </row>
    <row r="1494" spans="1:8" x14ac:dyDescent="0.35">
      <c r="A1494" t="s">
        <v>36</v>
      </c>
      <c r="B1494" t="s">
        <v>117</v>
      </c>
      <c r="C1494" t="s">
        <v>2093</v>
      </c>
      <c r="D1494">
        <v>3</v>
      </c>
      <c r="E1494">
        <v>3</v>
      </c>
      <c r="F1494" t="s">
        <v>7</v>
      </c>
      <c r="G1494" t="s">
        <v>11</v>
      </c>
      <c r="H1494" t="s">
        <v>11</v>
      </c>
    </row>
    <row r="1495" spans="1:8" x14ac:dyDescent="0.35">
      <c r="A1495" t="s">
        <v>36</v>
      </c>
      <c r="B1495" t="s">
        <v>117</v>
      </c>
      <c r="C1495" t="s">
        <v>1531</v>
      </c>
      <c r="D1495">
        <v>3</v>
      </c>
      <c r="E1495">
        <v>3</v>
      </c>
      <c r="F1495" t="s">
        <v>7</v>
      </c>
      <c r="G1495" t="s">
        <v>11</v>
      </c>
      <c r="H1495" t="s">
        <v>11</v>
      </c>
    </row>
    <row r="1496" spans="1:8" x14ac:dyDescent="0.35">
      <c r="A1496" t="s">
        <v>36</v>
      </c>
      <c r="B1496" t="s">
        <v>117</v>
      </c>
      <c r="C1496" t="s">
        <v>2094</v>
      </c>
      <c r="D1496">
        <v>3</v>
      </c>
      <c r="E1496">
        <v>3</v>
      </c>
      <c r="F1496" t="s">
        <v>7</v>
      </c>
      <c r="G1496" t="s">
        <v>115</v>
      </c>
      <c r="H1496" t="s">
        <v>11</v>
      </c>
    </row>
    <row r="1497" spans="1:8" x14ac:dyDescent="0.35">
      <c r="A1497" t="s">
        <v>36</v>
      </c>
      <c r="B1497" t="s">
        <v>117</v>
      </c>
      <c r="C1497" t="s">
        <v>1271</v>
      </c>
      <c r="D1497">
        <v>3</v>
      </c>
      <c r="E1497">
        <v>3</v>
      </c>
      <c r="F1497" t="s">
        <v>7</v>
      </c>
      <c r="G1497" t="s">
        <v>11</v>
      </c>
      <c r="H1497" t="s">
        <v>11</v>
      </c>
    </row>
    <row r="1498" spans="1:8" x14ac:dyDescent="0.35">
      <c r="A1498" t="s">
        <v>36</v>
      </c>
      <c r="B1498" t="s">
        <v>117</v>
      </c>
      <c r="C1498" t="s">
        <v>2095</v>
      </c>
      <c r="D1498">
        <v>3</v>
      </c>
      <c r="E1498">
        <v>3</v>
      </c>
      <c r="F1498" t="s">
        <v>7</v>
      </c>
      <c r="G1498" t="s">
        <v>11</v>
      </c>
      <c r="H1498" t="s">
        <v>11</v>
      </c>
    </row>
    <row r="1499" spans="1:8" x14ac:dyDescent="0.35">
      <c r="A1499" t="s">
        <v>36</v>
      </c>
      <c r="B1499" t="s">
        <v>117</v>
      </c>
      <c r="C1499" t="s">
        <v>1858</v>
      </c>
      <c r="D1499">
        <v>3</v>
      </c>
      <c r="E1499">
        <v>3</v>
      </c>
      <c r="F1499" t="s">
        <v>7</v>
      </c>
      <c r="G1499" t="s">
        <v>115</v>
      </c>
      <c r="H1499" t="s">
        <v>11</v>
      </c>
    </row>
    <row r="1500" spans="1:8" x14ac:dyDescent="0.35">
      <c r="A1500" t="s">
        <v>36</v>
      </c>
      <c r="B1500" t="s">
        <v>117</v>
      </c>
      <c r="C1500" t="s">
        <v>1796</v>
      </c>
      <c r="D1500">
        <v>3</v>
      </c>
      <c r="E1500">
        <v>3</v>
      </c>
      <c r="F1500" t="s">
        <v>7</v>
      </c>
      <c r="G1500" t="s">
        <v>115</v>
      </c>
      <c r="H1500" t="s">
        <v>11</v>
      </c>
    </row>
    <row r="1501" spans="1:8" x14ac:dyDescent="0.35">
      <c r="A1501" t="s">
        <v>36</v>
      </c>
      <c r="B1501" t="s">
        <v>117</v>
      </c>
      <c r="C1501" t="s">
        <v>1276</v>
      </c>
      <c r="D1501">
        <v>3</v>
      </c>
      <c r="E1501">
        <v>2</v>
      </c>
      <c r="F1501" t="s">
        <v>7</v>
      </c>
      <c r="G1501" t="s">
        <v>115</v>
      </c>
      <c r="H1501" t="s">
        <v>11</v>
      </c>
    </row>
    <row r="1502" spans="1:8" x14ac:dyDescent="0.35">
      <c r="A1502" t="s">
        <v>36</v>
      </c>
      <c r="B1502" t="s">
        <v>117</v>
      </c>
      <c r="C1502" t="s">
        <v>2096</v>
      </c>
      <c r="D1502">
        <v>3</v>
      </c>
      <c r="E1502">
        <v>3</v>
      </c>
      <c r="F1502" t="s">
        <v>7</v>
      </c>
      <c r="G1502" t="s">
        <v>11</v>
      </c>
      <c r="H1502" t="s">
        <v>11</v>
      </c>
    </row>
    <row r="1503" spans="1:8" x14ac:dyDescent="0.35">
      <c r="A1503" t="s">
        <v>36</v>
      </c>
      <c r="B1503" t="s">
        <v>117</v>
      </c>
      <c r="C1503" t="s">
        <v>2097</v>
      </c>
      <c r="D1503">
        <v>3</v>
      </c>
      <c r="E1503">
        <v>3</v>
      </c>
      <c r="F1503" t="s">
        <v>7</v>
      </c>
      <c r="G1503" t="s">
        <v>11</v>
      </c>
      <c r="H1503" t="s">
        <v>11</v>
      </c>
    </row>
    <row r="1504" spans="1:8" x14ac:dyDescent="0.35">
      <c r="A1504" t="s">
        <v>36</v>
      </c>
      <c r="B1504" t="s">
        <v>117</v>
      </c>
      <c r="C1504" t="s">
        <v>2098</v>
      </c>
      <c r="D1504">
        <v>3</v>
      </c>
      <c r="E1504">
        <v>3</v>
      </c>
      <c r="F1504" t="s">
        <v>7</v>
      </c>
      <c r="G1504" t="s">
        <v>11</v>
      </c>
      <c r="H1504" t="s">
        <v>11</v>
      </c>
    </row>
    <row r="1505" spans="1:8" x14ac:dyDescent="0.35">
      <c r="A1505" t="s">
        <v>36</v>
      </c>
      <c r="B1505" t="s">
        <v>117</v>
      </c>
      <c r="C1505" t="s">
        <v>2099</v>
      </c>
      <c r="D1505">
        <v>3</v>
      </c>
      <c r="E1505">
        <v>3</v>
      </c>
      <c r="F1505" t="s">
        <v>7</v>
      </c>
      <c r="G1505" t="s">
        <v>11</v>
      </c>
      <c r="H1505" t="s">
        <v>11</v>
      </c>
    </row>
    <row r="1506" spans="1:8" x14ac:dyDescent="0.35">
      <c r="A1506" t="s">
        <v>36</v>
      </c>
      <c r="B1506" t="s">
        <v>117</v>
      </c>
      <c r="C1506" t="s">
        <v>2100</v>
      </c>
      <c r="D1506">
        <v>3</v>
      </c>
      <c r="E1506">
        <v>3</v>
      </c>
      <c r="F1506" t="s">
        <v>7</v>
      </c>
      <c r="G1506" t="s">
        <v>11</v>
      </c>
      <c r="H1506" t="s">
        <v>11</v>
      </c>
    </row>
    <row r="1507" spans="1:8" x14ac:dyDescent="0.35">
      <c r="A1507" t="s">
        <v>36</v>
      </c>
      <c r="B1507" t="s">
        <v>117</v>
      </c>
      <c r="C1507" t="s">
        <v>2101</v>
      </c>
      <c r="D1507">
        <v>3</v>
      </c>
      <c r="E1507">
        <v>3</v>
      </c>
      <c r="F1507" t="s">
        <v>7</v>
      </c>
      <c r="G1507" t="s">
        <v>11</v>
      </c>
      <c r="H1507" t="s">
        <v>11</v>
      </c>
    </row>
    <row r="1508" spans="1:8" x14ac:dyDescent="0.35">
      <c r="A1508" t="s">
        <v>36</v>
      </c>
      <c r="B1508" t="s">
        <v>117</v>
      </c>
      <c r="C1508" t="s">
        <v>1277</v>
      </c>
      <c r="D1508">
        <v>3</v>
      </c>
      <c r="E1508">
        <v>3</v>
      </c>
      <c r="F1508" t="s">
        <v>7</v>
      </c>
      <c r="G1508" t="s">
        <v>11</v>
      </c>
      <c r="H1508" t="s">
        <v>11</v>
      </c>
    </row>
    <row r="1509" spans="1:8" x14ac:dyDescent="0.35">
      <c r="A1509" t="s">
        <v>36</v>
      </c>
      <c r="B1509" t="s">
        <v>117</v>
      </c>
      <c r="C1509" t="s">
        <v>2102</v>
      </c>
      <c r="D1509">
        <v>3</v>
      </c>
      <c r="E1509">
        <v>3</v>
      </c>
      <c r="F1509" t="s">
        <v>7</v>
      </c>
      <c r="G1509" t="s">
        <v>115</v>
      </c>
      <c r="H1509" t="s">
        <v>11</v>
      </c>
    </row>
    <row r="1510" spans="1:8" x14ac:dyDescent="0.35">
      <c r="A1510" t="s">
        <v>36</v>
      </c>
      <c r="B1510" t="s">
        <v>117</v>
      </c>
      <c r="C1510" t="s">
        <v>1555</v>
      </c>
      <c r="D1510">
        <v>3</v>
      </c>
      <c r="E1510">
        <v>3</v>
      </c>
      <c r="F1510" t="s">
        <v>7</v>
      </c>
      <c r="G1510" t="s">
        <v>115</v>
      </c>
      <c r="H1510" t="s">
        <v>11</v>
      </c>
    </row>
    <row r="1511" spans="1:8" x14ac:dyDescent="0.35">
      <c r="A1511" t="s">
        <v>36</v>
      </c>
      <c r="B1511" t="s">
        <v>117</v>
      </c>
      <c r="C1511" t="s">
        <v>1177</v>
      </c>
      <c r="D1511">
        <v>3</v>
      </c>
      <c r="E1511">
        <v>3</v>
      </c>
      <c r="F1511" t="s">
        <v>7</v>
      </c>
      <c r="G1511" t="s">
        <v>11</v>
      </c>
      <c r="H1511" t="s">
        <v>11</v>
      </c>
    </row>
    <row r="1512" spans="1:8" x14ac:dyDescent="0.35">
      <c r="A1512" t="s">
        <v>36</v>
      </c>
      <c r="B1512" t="s">
        <v>117</v>
      </c>
      <c r="C1512" t="s">
        <v>1556</v>
      </c>
      <c r="D1512">
        <v>3</v>
      </c>
      <c r="E1512">
        <v>3</v>
      </c>
      <c r="F1512" t="s">
        <v>7</v>
      </c>
      <c r="G1512" t="s">
        <v>115</v>
      </c>
      <c r="H1512" t="s">
        <v>11</v>
      </c>
    </row>
    <row r="1513" spans="1:8" x14ac:dyDescent="0.35">
      <c r="A1513" t="s">
        <v>36</v>
      </c>
      <c r="B1513" t="s">
        <v>117</v>
      </c>
      <c r="C1513" t="s">
        <v>1557</v>
      </c>
      <c r="D1513">
        <v>3</v>
      </c>
      <c r="E1513">
        <v>3</v>
      </c>
      <c r="F1513" t="s">
        <v>7</v>
      </c>
      <c r="G1513" t="s">
        <v>11</v>
      </c>
      <c r="H1513" t="s">
        <v>11</v>
      </c>
    </row>
    <row r="1514" spans="1:8" x14ac:dyDescent="0.35">
      <c r="A1514" t="s">
        <v>36</v>
      </c>
      <c r="B1514" t="s">
        <v>117</v>
      </c>
      <c r="C1514" t="s">
        <v>1561</v>
      </c>
      <c r="D1514">
        <v>3</v>
      </c>
      <c r="E1514">
        <v>3</v>
      </c>
      <c r="F1514" t="s">
        <v>7</v>
      </c>
      <c r="G1514" t="s">
        <v>115</v>
      </c>
      <c r="H1514" t="s">
        <v>11</v>
      </c>
    </row>
    <row r="1515" spans="1:8" x14ac:dyDescent="0.35">
      <c r="A1515" t="s">
        <v>36</v>
      </c>
      <c r="B1515" t="s">
        <v>117</v>
      </c>
      <c r="C1515" t="s">
        <v>1179</v>
      </c>
      <c r="D1515">
        <v>3</v>
      </c>
      <c r="E1515">
        <v>3</v>
      </c>
      <c r="F1515" t="s">
        <v>7</v>
      </c>
      <c r="G1515" t="s">
        <v>11</v>
      </c>
      <c r="H1515" t="s">
        <v>11</v>
      </c>
    </row>
    <row r="1516" spans="1:8" x14ac:dyDescent="0.35">
      <c r="A1516" t="s">
        <v>36</v>
      </c>
      <c r="B1516" t="s">
        <v>117</v>
      </c>
      <c r="C1516" t="s">
        <v>2103</v>
      </c>
      <c r="D1516">
        <v>3</v>
      </c>
      <c r="E1516">
        <v>3</v>
      </c>
      <c r="F1516" t="s">
        <v>7</v>
      </c>
      <c r="G1516" t="s">
        <v>11</v>
      </c>
      <c r="H1516" t="s">
        <v>11</v>
      </c>
    </row>
    <row r="1517" spans="1:8" x14ac:dyDescent="0.35">
      <c r="A1517" t="s">
        <v>36</v>
      </c>
      <c r="B1517" t="s">
        <v>117</v>
      </c>
      <c r="C1517" t="s">
        <v>2104</v>
      </c>
      <c r="D1517">
        <v>3</v>
      </c>
      <c r="E1517">
        <v>3</v>
      </c>
      <c r="F1517" t="s">
        <v>7</v>
      </c>
      <c r="G1517" t="s">
        <v>11</v>
      </c>
      <c r="H1517" t="s">
        <v>11</v>
      </c>
    </row>
    <row r="1518" spans="1:8" x14ac:dyDescent="0.35">
      <c r="A1518" t="s">
        <v>35</v>
      </c>
      <c r="B1518" t="s">
        <v>94</v>
      </c>
      <c r="C1518" t="s">
        <v>1696</v>
      </c>
      <c r="D1518">
        <v>2</v>
      </c>
      <c r="E1518">
        <v>5</v>
      </c>
      <c r="F1518" t="s">
        <v>7</v>
      </c>
      <c r="G1518" t="s">
        <v>11</v>
      </c>
      <c r="H1518" t="s">
        <v>11</v>
      </c>
    </row>
    <row r="1519" spans="1:8" x14ac:dyDescent="0.35">
      <c r="A1519" t="s">
        <v>35</v>
      </c>
      <c r="B1519" t="s">
        <v>94</v>
      </c>
      <c r="C1519" t="s">
        <v>2105</v>
      </c>
      <c r="D1519">
        <v>1</v>
      </c>
      <c r="E1519">
        <v>5</v>
      </c>
      <c r="F1519" t="s">
        <v>7</v>
      </c>
      <c r="G1519" t="s">
        <v>11</v>
      </c>
      <c r="H1519" t="s">
        <v>11</v>
      </c>
    </row>
    <row r="1520" spans="1:8" x14ac:dyDescent="0.35">
      <c r="A1520" t="s">
        <v>35</v>
      </c>
      <c r="B1520" t="s">
        <v>94</v>
      </c>
      <c r="C1520" t="s">
        <v>1742</v>
      </c>
      <c r="D1520">
        <v>1</v>
      </c>
      <c r="E1520">
        <v>5</v>
      </c>
      <c r="F1520" t="s">
        <v>7</v>
      </c>
      <c r="G1520" t="s">
        <v>11</v>
      </c>
      <c r="H1520" t="s">
        <v>11</v>
      </c>
    </row>
    <row r="1521" spans="1:8" x14ac:dyDescent="0.35">
      <c r="A1521" t="s">
        <v>35</v>
      </c>
      <c r="B1521" t="s">
        <v>94</v>
      </c>
      <c r="C1521" t="s">
        <v>2106</v>
      </c>
      <c r="D1521">
        <v>2</v>
      </c>
      <c r="E1521">
        <v>4</v>
      </c>
      <c r="F1521" t="s">
        <v>7</v>
      </c>
      <c r="G1521" t="s">
        <v>11</v>
      </c>
      <c r="H1521" t="s">
        <v>11</v>
      </c>
    </row>
    <row r="1522" spans="1:8" x14ac:dyDescent="0.35">
      <c r="A1522" t="s">
        <v>35</v>
      </c>
      <c r="B1522" t="s">
        <v>94</v>
      </c>
      <c r="C1522" t="s">
        <v>1953</v>
      </c>
      <c r="D1522">
        <v>2</v>
      </c>
      <c r="E1522">
        <v>4</v>
      </c>
      <c r="F1522" t="s">
        <v>7</v>
      </c>
      <c r="G1522" t="s">
        <v>11</v>
      </c>
      <c r="H1522" t="s">
        <v>11</v>
      </c>
    </row>
    <row r="1523" spans="1:8" x14ac:dyDescent="0.35">
      <c r="A1523" t="s">
        <v>35</v>
      </c>
      <c r="B1523" t="s">
        <v>94</v>
      </c>
      <c r="C1523" t="s">
        <v>1744</v>
      </c>
      <c r="D1523">
        <v>2</v>
      </c>
      <c r="E1523">
        <v>4</v>
      </c>
      <c r="F1523" t="s">
        <v>7</v>
      </c>
      <c r="G1523" t="s">
        <v>11</v>
      </c>
      <c r="H1523" t="s">
        <v>11</v>
      </c>
    </row>
    <row r="1524" spans="1:8" x14ac:dyDescent="0.35">
      <c r="A1524" t="s">
        <v>35</v>
      </c>
      <c r="B1524" t="s">
        <v>94</v>
      </c>
      <c r="C1524" t="s">
        <v>2107</v>
      </c>
      <c r="D1524">
        <v>2</v>
      </c>
      <c r="E1524">
        <v>4</v>
      </c>
      <c r="F1524" t="s">
        <v>7</v>
      </c>
      <c r="G1524" t="s">
        <v>11</v>
      </c>
      <c r="H1524" t="s">
        <v>11</v>
      </c>
    </row>
    <row r="1525" spans="1:8" x14ac:dyDescent="0.35">
      <c r="A1525" t="s">
        <v>35</v>
      </c>
      <c r="B1525" t="s">
        <v>94</v>
      </c>
      <c r="C1525" t="s">
        <v>1228</v>
      </c>
      <c r="D1525">
        <v>2</v>
      </c>
      <c r="E1525">
        <v>4</v>
      </c>
      <c r="F1525" t="s">
        <v>7</v>
      </c>
      <c r="G1525" t="s">
        <v>11</v>
      </c>
      <c r="H1525" t="s">
        <v>11</v>
      </c>
    </row>
    <row r="1526" spans="1:8" x14ac:dyDescent="0.35">
      <c r="A1526" t="s">
        <v>35</v>
      </c>
      <c r="B1526" t="s">
        <v>94</v>
      </c>
      <c r="C1526" t="s">
        <v>2108</v>
      </c>
      <c r="D1526">
        <v>2</v>
      </c>
      <c r="E1526">
        <v>4</v>
      </c>
      <c r="F1526" t="s">
        <v>7</v>
      </c>
      <c r="G1526" t="s">
        <v>11</v>
      </c>
      <c r="H1526" t="s">
        <v>11</v>
      </c>
    </row>
    <row r="1527" spans="1:8" x14ac:dyDescent="0.35">
      <c r="A1527" t="s">
        <v>35</v>
      </c>
      <c r="B1527" t="s">
        <v>94</v>
      </c>
      <c r="C1527" t="s">
        <v>1229</v>
      </c>
      <c r="D1527">
        <v>2</v>
      </c>
      <c r="E1527">
        <v>4</v>
      </c>
      <c r="F1527" t="s">
        <v>7</v>
      </c>
      <c r="G1527" t="s">
        <v>11</v>
      </c>
      <c r="H1527" t="s">
        <v>11</v>
      </c>
    </row>
    <row r="1528" spans="1:8" x14ac:dyDescent="0.35">
      <c r="A1528" t="s">
        <v>35</v>
      </c>
      <c r="B1528" t="s">
        <v>94</v>
      </c>
      <c r="C1528" t="s">
        <v>1702</v>
      </c>
      <c r="D1528">
        <v>1</v>
      </c>
      <c r="E1528">
        <v>5</v>
      </c>
      <c r="F1528" t="s">
        <v>7</v>
      </c>
      <c r="G1528" t="s">
        <v>11</v>
      </c>
      <c r="H1528" t="s">
        <v>11</v>
      </c>
    </row>
    <row r="1529" spans="1:8" x14ac:dyDescent="0.35">
      <c r="A1529" t="s">
        <v>35</v>
      </c>
      <c r="B1529" t="s">
        <v>94</v>
      </c>
      <c r="C1529" t="s">
        <v>1119</v>
      </c>
      <c r="D1529">
        <v>3</v>
      </c>
      <c r="E1529">
        <v>4</v>
      </c>
      <c r="F1529" t="s">
        <v>7</v>
      </c>
      <c r="G1529" t="s">
        <v>11</v>
      </c>
      <c r="H1529" t="s">
        <v>11</v>
      </c>
    </row>
    <row r="1530" spans="1:8" x14ac:dyDescent="0.35">
      <c r="A1530" t="s">
        <v>35</v>
      </c>
      <c r="B1530" t="s">
        <v>94</v>
      </c>
      <c r="C1530" t="s">
        <v>1818</v>
      </c>
      <c r="D1530">
        <v>2</v>
      </c>
      <c r="E1530">
        <v>5</v>
      </c>
      <c r="F1530" t="s">
        <v>7</v>
      </c>
      <c r="G1530" t="s">
        <v>11</v>
      </c>
      <c r="H1530" t="s">
        <v>11</v>
      </c>
    </row>
    <row r="1531" spans="1:8" x14ac:dyDescent="0.35">
      <c r="A1531" t="s">
        <v>35</v>
      </c>
      <c r="B1531" t="s">
        <v>94</v>
      </c>
      <c r="C1531" t="s">
        <v>2109</v>
      </c>
      <c r="D1531">
        <v>2</v>
      </c>
      <c r="E1531">
        <v>4</v>
      </c>
      <c r="F1531" t="s">
        <v>7</v>
      </c>
      <c r="G1531" t="s">
        <v>11</v>
      </c>
      <c r="H1531" t="s">
        <v>11</v>
      </c>
    </row>
    <row r="1532" spans="1:8" x14ac:dyDescent="0.35">
      <c r="A1532" t="s">
        <v>35</v>
      </c>
      <c r="B1532" t="s">
        <v>94</v>
      </c>
      <c r="C1532" t="s">
        <v>1469</v>
      </c>
      <c r="D1532">
        <v>2</v>
      </c>
      <c r="E1532">
        <v>4</v>
      </c>
      <c r="F1532" t="s">
        <v>7</v>
      </c>
      <c r="G1532" t="s">
        <v>11</v>
      </c>
      <c r="H1532" t="s">
        <v>11</v>
      </c>
    </row>
    <row r="1533" spans="1:8" x14ac:dyDescent="0.35">
      <c r="A1533" t="s">
        <v>35</v>
      </c>
      <c r="B1533" t="s">
        <v>94</v>
      </c>
      <c r="C1533" t="s">
        <v>2110</v>
      </c>
      <c r="D1533">
        <v>2</v>
      </c>
      <c r="E1533">
        <v>4</v>
      </c>
      <c r="F1533" t="s">
        <v>7</v>
      </c>
      <c r="G1533" t="s">
        <v>11</v>
      </c>
      <c r="H1533" t="s">
        <v>11</v>
      </c>
    </row>
    <row r="1534" spans="1:8" x14ac:dyDescent="0.35">
      <c r="A1534" t="s">
        <v>35</v>
      </c>
      <c r="B1534" t="s">
        <v>94</v>
      </c>
      <c r="C1534" t="s">
        <v>1231</v>
      </c>
      <c r="D1534">
        <v>2</v>
      </c>
      <c r="E1534">
        <v>4</v>
      </c>
      <c r="F1534" t="s">
        <v>7</v>
      </c>
      <c r="G1534" t="s">
        <v>11</v>
      </c>
      <c r="H1534" t="s">
        <v>11</v>
      </c>
    </row>
    <row r="1535" spans="1:8" x14ac:dyDescent="0.35">
      <c r="A1535" t="s">
        <v>35</v>
      </c>
      <c r="B1535" t="s">
        <v>94</v>
      </c>
      <c r="C1535" t="s">
        <v>1822</v>
      </c>
      <c r="D1535">
        <v>2</v>
      </c>
      <c r="E1535">
        <v>4</v>
      </c>
      <c r="F1535" t="s">
        <v>7</v>
      </c>
      <c r="G1535" t="s">
        <v>11</v>
      </c>
      <c r="H1535" t="s">
        <v>11</v>
      </c>
    </row>
    <row r="1536" spans="1:8" x14ac:dyDescent="0.35">
      <c r="A1536" t="s">
        <v>35</v>
      </c>
      <c r="B1536" t="s">
        <v>94</v>
      </c>
      <c r="C1536" t="s">
        <v>1605</v>
      </c>
      <c r="D1536">
        <v>1</v>
      </c>
      <c r="E1536">
        <v>4</v>
      </c>
      <c r="F1536" t="s">
        <v>7</v>
      </c>
      <c r="G1536" t="s">
        <v>11</v>
      </c>
      <c r="H1536" t="s">
        <v>11</v>
      </c>
    </row>
    <row r="1537" spans="1:8" x14ac:dyDescent="0.35">
      <c r="A1537" t="s">
        <v>35</v>
      </c>
      <c r="B1537" t="s">
        <v>94</v>
      </c>
      <c r="C1537" t="s">
        <v>1704</v>
      </c>
      <c r="D1537">
        <v>2</v>
      </c>
      <c r="E1537">
        <v>4</v>
      </c>
      <c r="F1537" t="s">
        <v>7</v>
      </c>
      <c r="G1537" t="s">
        <v>11</v>
      </c>
      <c r="H1537" t="s">
        <v>11</v>
      </c>
    </row>
    <row r="1538" spans="1:8" x14ac:dyDescent="0.35">
      <c r="A1538" t="s">
        <v>35</v>
      </c>
      <c r="B1538" t="s">
        <v>94</v>
      </c>
      <c r="C1538" t="s">
        <v>2111</v>
      </c>
      <c r="D1538">
        <v>2</v>
      </c>
      <c r="E1538">
        <v>5</v>
      </c>
      <c r="F1538" t="s">
        <v>7</v>
      </c>
      <c r="G1538" t="s">
        <v>11</v>
      </c>
      <c r="H1538" t="s">
        <v>11</v>
      </c>
    </row>
    <row r="1539" spans="1:8" x14ac:dyDescent="0.35">
      <c r="A1539" t="s">
        <v>35</v>
      </c>
      <c r="B1539" t="s">
        <v>94</v>
      </c>
      <c r="C1539" t="s">
        <v>1607</v>
      </c>
      <c r="D1539">
        <v>2</v>
      </c>
      <c r="E1539">
        <v>4</v>
      </c>
      <c r="F1539" t="s">
        <v>7</v>
      </c>
      <c r="G1539" t="s">
        <v>11</v>
      </c>
      <c r="H1539" t="s">
        <v>11</v>
      </c>
    </row>
    <row r="1540" spans="1:8" x14ac:dyDescent="0.35">
      <c r="A1540" t="s">
        <v>35</v>
      </c>
      <c r="B1540" t="s">
        <v>94</v>
      </c>
      <c r="C1540" t="s">
        <v>1233</v>
      </c>
      <c r="D1540">
        <v>2</v>
      </c>
      <c r="E1540">
        <v>5</v>
      </c>
      <c r="F1540" t="s">
        <v>7</v>
      </c>
      <c r="G1540" t="s">
        <v>11</v>
      </c>
      <c r="H1540" t="s">
        <v>11</v>
      </c>
    </row>
    <row r="1541" spans="1:8" x14ac:dyDescent="0.35">
      <c r="A1541" t="s">
        <v>35</v>
      </c>
      <c r="B1541" t="s">
        <v>94</v>
      </c>
      <c r="C1541" t="s">
        <v>1126</v>
      </c>
      <c r="D1541">
        <v>1</v>
      </c>
      <c r="E1541">
        <v>4</v>
      </c>
      <c r="F1541" t="s">
        <v>7</v>
      </c>
      <c r="G1541" t="s">
        <v>11</v>
      </c>
      <c r="H1541" t="s">
        <v>11</v>
      </c>
    </row>
    <row r="1542" spans="1:8" x14ac:dyDescent="0.35">
      <c r="A1542" t="s">
        <v>35</v>
      </c>
      <c r="B1542" t="s">
        <v>94</v>
      </c>
      <c r="C1542" t="s">
        <v>1608</v>
      </c>
      <c r="D1542">
        <v>1</v>
      </c>
      <c r="E1542">
        <v>5</v>
      </c>
      <c r="F1542" t="s">
        <v>7</v>
      </c>
      <c r="G1542" t="s">
        <v>11</v>
      </c>
      <c r="H1542" t="s">
        <v>11</v>
      </c>
    </row>
    <row r="1543" spans="1:8" x14ac:dyDescent="0.35">
      <c r="A1543" t="s">
        <v>35</v>
      </c>
      <c r="B1543" t="s">
        <v>94</v>
      </c>
      <c r="C1543" t="s">
        <v>2112</v>
      </c>
      <c r="D1543">
        <v>2</v>
      </c>
      <c r="E1543">
        <v>4</v>
      </c>
      <c r="F1543" t="s">
        <v>7</v>
      </c>
      <c r="G1543" t="s">
        <v>11</v>
      </c>
      <c r="H1543" t="s">
        <v>11</v>
      </c>
    </row>
    <row r="1544" spans="1:8" x14ac:dyDescent="0.35">
      <c r="A1544" t="s">
        <v>35</v>
      </c>
      <c r="B1544" t="s">
        <v>94</v>
      </c>
      <c r="C1544" t="s">
        <v>2113</v>
      </c>
      <c r="D1544">
        <v>2</v>
      </c>
      <c r="E1544">
        <v>4</v>
      </c>
      <c r="F1544" t="s">
        <v>7</v>
      </c>
      <c r="G1544" t="s">
        <v>11</v>
      </c>
      <c r="H1544" t="s">
        <v>11</v>
      </c>
    </row>
    <row r="1545" spans="1:8" x14ac:dyDescent="0.35">
      <c r="A1545" t="s">
        <v>35</v>
      </c>
      <c r="B1545" t="s">
        <v>94</v>
      </c>
      <c r="C1545" t="s">
        <v>1238</v>
      </c>
      <c r="D1545">
        <v>2</v>
      </c>
      <c r="E1545">
        <v>4</v>
      </c>
      <c r="F1545" t="s">
        <v>7</v>
      </c>
      <c r="G1545" t="s">
        <v>11</v>
      </c>
      <c r="H1545" t="s">
        <v>11</v>
      </c>
    </row>
    <row r="1546" spans="1:8" x14ac:dyDescent="0.35">
      <c r="A1546" t="s">
        <v>35</v>
      </c>
      <c r="B1546" t="s">
        <v>94</v>
      </c>
      <c r="C1546" t="s">
        <v>1483</v>
      </c>
      <c r="D1546">
        <v>2</v>
      </c>
      <c r="E1546">
        <v>4</v>
      </c>
      <c r="F1546" t="s">
        <v>7</v>
      </c>
      <c r="G1546" t="s">
        <v>11</v>
      </c>
      <c r="H1546" t="s">
        <v>11</v>
      </c>
    </row>
    <row r="1547" spans="1:8" x14ac:dyDescent="0.35">
      <c r="A1547" t="s">
        <v>35</v>
      </c>
      <c r="B1547" t="s">
        <v>94</v>
      </c>
      <c r="C1547" t="s">
        <v>1136</v>
      </c>
      <c r="D1547">
        <v>2</v>
      </c>
      <c r="E1547">
        <v>4</v>
      </c>
      <c r="F1547" t="s">
        <v>7</v>
      </c>
      <c r="G1547" t="s">
        <v>11</v>
      </c>
      <c r="H1547" t="s">
        <v>11</v>
      </c>
    </row>
    <row r="1548" spans="1:8" x14ac:dyDescent="0.35">
      <c r="A1548" t="s">
        <v>35</v>
      </c>
      <c r="B1548" t="s">
        <v>94</v>
      </c>
      <c r="C1548" t="s">
        <v>1658</v>
      </c>
      <c r="D1548">
        <v>2</v>
      </c>
      <c r="E1548">
        <v>5</v>
      </c>
      <c r="F1548" t="s">
        <v>7</v>
      </c>
      <c r="G1548" t="s">
        <v>11</v>
      </c>
      <c r="H1548" t="s">
        <v>11</v>
      </c>
    </row>
    <row r="1549" spans="1:8" x14ac:dyDescent="0.35">
      <c r="A1549" t="s">
        <v>35</v>
      </c>
      <c r="B1549" t="s">
        <v>94</v>
      </c>
      <c r="C1549" t="s">
        <v>1486</v>
      </c>
      <c r="D1549">
        <v>2</v>
      </c>
      <c r="E1549">
        <v>5</v>
      </c>
      <c r="F1549" t="s">
        <v>7</v>
      </c>
      <c r="G1549" t="s">
        <v>11</v>
      </c>
      <c r="H1549" t="s">
        <v>11</v>
      </c>
    </row>
    <row r="1550" spans="1:8" x14ac:dyDescent="0.35">
      <c r="A1550" t="s">
        <v>35</v>
      </c>
      <c r="B1550" t="s">
        <v>94</v>
      </c>
      <c r="C1550" t="s">
        <v>2114</v>
      </c>
      <c r="D1550">
        <v>2</v>
      </c>
      <c r="E1550">
        <v>4</v>
      </c>
      <c r="F1550" t="s">
        <v>7</v>
      </c>
      <c r="G1550" t="s">
        <v>11</v>
      </c>
      <c r="H1550" t="s">
        <v>11</v>
      </c>
    </row>
    <row r="1551" spans="1:8" x14ac:dyDescent="0.35">
      <c r="A1551" t="s">
        <v>35</v>
      </c>
      <c r="B1551" t="s">
        <v>94</v>
      </c>
      <c r="C1551" t="s">
        <v>1356</v>
      </c>
      <c r="D1551">
        <v>2</v>
      </c>
      <c r="E1551">
        <v>4</v>
      </c>
      <c r="F1551" t="s">
        <v>7</v>
      </c>
      <c r="G1551" t="s">
        <v>11</v>
      </c>
      <c r="H1551" t="s">
        <v>11</v>
      </c>
    </row>
    <row r="1552" spans="1:8" x14ac:dyDescent="0.35">
      <c r="A1552" t="s">
        <v>35</v>
      </c>
      <c r="B1552" t="s">
        <v>94</v>
      </c>
      <c r="C1552" t="s">
        <v>2115</v>
      </c>
      <c r="D1552">
        <v>3</v>
      </c>
      <c r="E1552">
        <v>4</v>
      </c>
      <c r="F1552" t="s">
        <v>7</v>
      </c>
      <c r="G1552" t="s">
        <v>11</v>
      </c>
      <c r="H1552" t="s">
        <v>11</v>
      </c>
    </row>
    <row r="1553" spans="1:8" x14ac:dyDescent="0.35">
      <c r="A1553" t="s">
        <v>35</v>
      </c>
      <c r="B1553" t="s">
        <v>94</v>
      </c>
      <c r="C1553" t="s">
        <v>1142</v>
      </c>
      <c r="D1553">
        <v>2</v>
      </c>
      <c r="E1553">
        <v>4</v>
      </c>
      <c r="F1553" t="s">
        <v>7</v>
      </c>
      <c r="G1553" t="s">
        <v>11</v>
      </c>
      <c r="H1553" t="s">
        <v>11</v>
      </c>
    </row>
    <row r="1554" spans="1:8" x14ac:dyDescent="0.35">
      <c r="A1554" t="s">
        <v>35</v>
      </c>
      <c r="B1554" t="s">
        <v>94</v>
      </c>
      <c r="C1554" t="s">
        <v>2116</v>
      </c>
      <c r="D1554">
        <v>2</v>
      </c>
      <c r="E1554">
        <v>4</v>
      </c>
      <c r="F1554" t="s">
        <v>7</v>
      </c>
      <c r="G1554" t="s">
        <v>11</v>
      </c>
      <c r="H1554" t="s">
        <v>11</v>
      </c>
    </row>
    <row r="1555" spans="1:8" x14ac:dyDescent="0.35">
      <c r="A1555" t="s">
        <v>35</v>
      </c>
      <c r="B1555" t="s">
        <v>94</v>
      </c>
      <c r="C1555" t="s">
        <v>2117</v>
      </c>
      <c r="D1555">
        <v>2</v>
      </c>
      <c r="E1555">
        <v>5</v>
      </c>
      <c r="F1555" t="s">
        <v>7</v>
      </c>
      <c r="G1555" t="s">
        <v>11</v>
      </c>
      <c r="H1555" t="s">
        <v>11</v>
      </c>
    </row>
    <row r="1556" spans="1:8" x14ac:dyDescent="0.35">
      <c r="A1556" t="s">
        <v>35</v>
      </c>
      <c r="B1556" t="s">
        <v>94</v>
      </c>
      <c r="C1556" t="s">
        <v>1144</v>
      </c>
      <c r="D1556">
        <v>2</v>
      </c>
      <c r="E1556">
        <v>4</v>
      </c>
      <c r="F1556" t="s">
        <v>7</v>
      </c>
      <c r="G1556" t="s">
        <v>11</v>
      </c>
      <c r="H1556" t="s">
        <v>11</v>
      </c>
    </row>
    <row r="1557" spans="1:8" x14ac:dyDescent="0.35">
      <c r="A1557" t="s">
        <v>35</v>
      </c>
      <c r="B1557" t="s">
        <v>94</v>
      </c>
      <c r="C1557" t="s">
        <v>1617</v>
      </c>
      <c r="D1557">
        <v>2</v>
      </c>
      <c r="E1557">
        <v>5</v>
      </c>
      <c r="F1557" t="s">
        <v>7</v>
      </c>
      <c r="G1557" t="s">
        <v>11</v>
      </c>
      <c r="H1557" t="s">
        <v>11</v>
      </c>
    </row>
    <row r="1558" spans="1:8" x14ac:dyDescent="0.35">
      <c r="A1558" t="s">
        <v>35</v>
      </c>
      <c r="B1558" t="s">
        <v>94</v>
      </c>
      <c r="C1558" t="s">
        <v>1665</v>
      </c>
      <c r="D1558">
        <v>2</v>
      </c>
      <c r="E1558">
        <v>5</v>
      </c>
      <c r="F1558" t="s">
        <v>7</v>
      </c>
      <c r="G1558" t="s">
        <v>11</v>
      </c>
      <c r="H1558" t="s">
        <v>11</v>
      </c>
    </row>
    <row r="1559" spans="1:8" x14ac:dyDescent="0.35">
      <c r="A1559" t="s">
        <v>35</v>
      </c>
      <c r="B1559" t="s">
        <v>94</v>
      </c>
      <c r="C1559" t="s">
        <v>1146</v>
      </c>
      <c r="D1559">
        <v>2</v>
      </c>
      <c r="E1559">
        <v>4</v>
      </c>
      <c r="F1559" t="s">
        <v>7</v>
      </c>
      <c r="G1559" t="s">
        <v>11</v>
      </c>
      <c r="H1559" t="s">
        <v>11</v>
      </c>
    </row>
    <row r="1560" spans="1:8" x14ac:dyDescent="0.35">
      <c r="A1560" t="s">
        <v>35</v>
      </c>
      <c r="B1560" t="s">
        <v>94</v>
      </c>
      <c r="C1560" t="s">
        <v>2118</v>
      </c>
      <c r="D1560">
        <v>2</v>
      </c>
      <c r="E1560">
        <v>4</v>
      </c>
      <c r="F1560" t="s">
        <v>7</v>
      </c>
      <c r="G1560" t="s">
        <v>11</v>
      </c>
      <c r="H1560" t="s">
        <v>11</v>
      </c>
    </row>
    <row r="1561" spans="1:8" x14ac:dyDescent="0.35">
      <c r="A1561" t="s">
        <v>35</v>
      </c>
      <c r="B1561" t="s">
        <v>94</v>
      </c>
      <c r="C1561" t="s">
        <v>2119</v>
      </c>
      <c r="D1561">
        <v>1</v>
      </c>
      <c r="E1561">
        <v>5</v>
      </c>
      <c r="F1561" t="s">
        <v>7</v>
      </c>
      <c r="G1561" t="s">
        <v>11</v>
      </c>
      <c r="H1561" t="s">
        <v>11</v>
      </c>
    </row>
    <row r="1562" spans="1:8" x14ac:dyDescent="0.35">
      <c r="A1562" t="s">
        <v>35</v>
      </c>
      <c r="B1562" t="s">
        <v>94</v>
      </c>
      <c r="C1562" t="s">
        <v>1249</v>
      </c>
      <c r="D1562">
        <v>2</v>
      </c>
      <c r="E1562">
        <v>4</v>
      </c>
      <c r="F1562" t="s">
        <v>7</v>
      </c>
      <c r="G1562" t="s">
        <v>11</v>
      </c>
      <c r="H1562" t="s">
        <v>11</v>
      </c>
    </row>
    <row r="1563" spans="1:8" x14ac:dyDescent="0.35">
      <c r="A1563" t="s">
        <v>35</v>
      </c>
      <c r="B1563" t="s">
        <v>94</v>
      </c>
      <c r="C1563" t="s">
        <v>2120</v>
      </c>
      <c r="D1563">
        <v>2</v>
      </c>
      <c r="E1563">
        <v>4</v>
      </c>
      <c r="F1563" t="s">
        <v>7</v>
      </c>
      <c r="G1563" t="s">
        <v>11</v>
      </c>
      <c r="H1563" t="s">
        <v>11</v>
      </c>
    </row>
    <row r="1564" spans="1:8" x14ac:dyDescent="0.35">
      <c r="A1564" t="s">
        <v>35</v>
      </c>
      <c r="B1564" t="s">
        <v>94</v>
      </c>
      <c r="C1564" t="s">
        <v>1972</v>
      </c>
      <c r="D1564">
        <v>1</v>
      </c>
      <c r="E1564">
        <v>4</v>
      </c>
      <c r="F1564" t="s">
        <v>7</v>
      </c>
      <c r="G1564" t="s">
        <v>11</v>
      </c>
      <c r="H1564" t="s">
        <v>11</v>
      </c>
    </row>
    <row r="1565" spans="1:8" x14ac:dyDescent="0.35">
      <c r="A1565" t="s">
        <v>35</v>
      </c>
      <c r="B1565" t="s">
        <v>94</v>
      </c>
      <c r="C1565" t="s">
        <v>1148</v>
      </c>
      <c r="D1565">
        <v>1</v>
      </c>
      <c r="E1565">
        <v>4</v>
      </c>
      <c r="F1565" t="s">
        <v>7</v>
      </c>
      <c r="G1565" t="s">
        <v>11</v>
      </c>
      <c r="H1565" t="s">
        <v>11</v>
      </c>
    </row>
    <row r="1566" spans="1:8" x14ac:dyDescent="0.35">
      <c r="A1566" t="s">
        <v>35</v>
      </c>
      <c r="B1566" t="s">
        <v>94</v>
      </c>
      <c r="C1566" t="s">
        <v>1512</v>
      </c>
      <c r="D1566">
        <v>2</v>
      </c>
      <c r="E1566">
        <v>4</v>
      </c>
      <c r="F1566" t="s">
        <v>7</v>
      </c>
      <c r="G1566" t="s">
        <v>11</v>
      </c>
      <c r="H1566" t="s">
        <v>11</v>
      </c>
    </row>
    <row r="1567" spans="1:8" x14ac:dyDescent="0.35">
      <c r="A1567" t="s">
        <v>35</v>
      </c>
      <c r="B1567" t="s">
        <v>94</v>
      </c>
      <c r="C1567" t="s">
        <v>1149</v>
      </c>
      <c r="D1567">
        <v>2</v>
      </c>
      <c r="E1567">
        <v>4</v>
      </c>
      <c r="F1567" t="s">
        <v>7</v>
      </c>
      <c r="G1567" t="s">
        <v>11</v>
      </c>
      <c r="H1567" t="s">
        <v>11</v>
      </c>
    </row>
    <row r="1568" spans="1:8" x14ac:dyDescent="0.35">
      <c r="A1568" t="s">
        <v>35</v>
      </c>
      <c r="B1568" t="s">
        <v>94</v>
      </c>
      <c r="C1568" t="s">
        <v>1252</v>
      </c>
      <c r="D1568">
        <v>2</v>
      </c>
      <c r="E1568">
        <v>4</v>
      </c>
      <c r="F1568" t="s">
        <v>7</v>
      </c>
      <c r="G1568" t="s">
        <v>11</v>
      </c>
      <c r="H1568" t="s">
        <v>11</v>
      </c>
    </row>
    <row r="1569" spans="1:8" x14ac:dyDescent="0.35">
      <c r="A1569" t="s">
        <v>35</v>
      </c>
      <c r="B1569" t="s">
        <v>94</v>
      </c>
      <c r="C1569" t="s">
        <v>1626</v>
      </c>
      <c r="D1569">
        <v>2</v>
      </c>
      <c r="E1569">
        <v>5</v>
      </c>
      <c r="F1569" t="s">
        <v>7</v>
      </c>
      <c r="G1569" t="s">
        <v>11</v>
      </c>
      <c r="H1569" t="s">
        <v>11</v>
      </c>
    </row>
    <row r="1570" spans="1:8" x14ac:dyDescent="0.35">
      <c r="A1570" t="s">
        <v>35</v>
      </c>
      <c r="B1570" t="s">
        <v>94</v>
      </c>
      <c r="C1570" t="s">
        <v>2121</v>
      </c>
      <c r="D1570">
        <v>2</v>
      </c>
      <c r="E1570">
        <v>4</v>
      </c>
      <c r="F1570" t="s">
        <v>7</v>
      </c>
      <c r="G1570" t="s">
        <v>11</v>
      </c>
      <c r="H1570" t="s">
        <v>11</v>
      </c>
    </row>
    <row r="1571" spans="1:8" x14ac:dyDescent="0.35">
      <c r="A1571" t="s">
        <v>35</v>
      </c>
      <c r="B1571" t="s">
        <v>94</v>
      </c>
      <c r="C1571" t="s">
        <v>1253</v>
      </c>
      <c r="D1571">
        <v>2</v>
      </c>
      <c r="E1571">
        <v>4</v>
      </c>
      <c r="F1571" t="s">
        <v>7</v>
      </c>
      <c r="G1571" t="s">
        <v>11</v>
      </c>
      <c r="H1571" t="s">
        <v>11</v>
      </c>
    </row>
    <row r="1572" spans="1:8" x14ac:dyDescent="0.35">
      <c r="A1572" t="s">
        <v>35</v>
      </c>
      <c r="B1572" t="s">
        <v>94</v>
      </c>
      <c r="C1572" t="s">
        <v>1152</v>
      </c>
      <c r="D1572">
        <v>2</v>
      </c>
      <c r="E1572">
        <v>4</v>
      </c>
      <c r="F1572" t="s">
        <v>7</v>
      </c>
      <c r="G1572" t="s">
        <v>11</v>
      </c>
      <c r="H1572" t="s">
        <v>11</v>
      </c>
    </row>
    <row r="1573" spans="1:8" x14ac:dyDescent="0.35">
      <c r="A1573" t="s">
        <v>35</v>
      </c>
      <c r="B1573" t="s">
        <v>94</v>
      </c>
      <c r="C1573" t="s">
        <v>1590</v>
      </c>
      <c r="D1573">
        <v>2</v>
      </c>
      <c r="E1573">
        <v>5</v>
      </c>
      <c r="F1573" t="s">
        <v>7</v>
      </c>
      <c r="G1573" t="s">
        <v>11</v>
      </c>
      <c r="H1573" t="s">
        <v>11</v>
      </c>
    </row>
    <row r="1574" spans="1:8" x14ac:dyDescent="0.35">
      <c r="A1574" t="s">
        <v>35</v>
      </c>
      <c r="B1574" t="s">
        <v>94</v>
      </c>
      <c r="C1574" t="s">
        <v>1254</v>
      </c>
      <c r="D1574">
        <v>2</v>
      </c>
      <c r="E1574">
        <v>4</v>
      </c>
      <c r="F1574" t="s">
        <v>7</v>
      </c>
      <c r="G1574" t="s">
        <v>11</v>
      </c>
      <c r="H1574" t="s">
        <v>11</v>
      </c>
    </row>
    <row r="1575" spans="1:8" x14ac:dyDescent="0.35">
      <c r="A1575" t="s">
        <v>35</v>
      </c>
      <c r="B1575" t="s">
        <v>94</v>
      </c>
      <c r="C1575" t="s">
        <v>1717</v>
      </c>
      <c r="D1575">
        <v>2</v>
      </c>
      <c r="E1575">
        <v>5</v>
      </c>
      <c r="F1575" t="s">
        <v>7</v>
      </c>
      <c r="G1575" t="s">
        <v>11</v>
      </c>
      <c r="H1575" t="s">
        <v>11</v>
      </c>
    </row>
    <row r="1576" spans="1:8" x14ac:dyDescent="0.35">
      <c r="A1576" t="s">
        <v>35</v>
      </c>
      <c r="B1576" t="s">
        <v>94</v>
      </c>
      <c r="C1576" t="s">
        <v>1628</v>
      </c>
      <c r="D1576">
        <v>2</v>
      </c>
      <c r="E1576">
        <v>5</v>
      </c>
      <c r="F1576" t="s">
        <v>7</v>
      </c>
      <c r="G1576" t="s">
        <v>11</v>
      </c>
      <c r="H1576" t="s">
        <v>11</v>
      </c>
    </row>
    <row r="1577" spans="1:8" x14ac:dyDescent="0.35">
      <c r="A1577" t="s">
        <v>35</v>
      </c>
      <c r="B1577" t="s">
        <v>94</v>
      </c>
      <c r="C1577" t="s">
        <v>1156</v>
      </c>
      <c r="D1577">
        <v>2</v>
      </c>
      <c r="E1577">
        <v>5</v>
      </c>
      <c r="F1577" t="s">
        <v>7</v>
      </c>
      <c r="G1577" t="s">
        <v>11</v>
      </c>
      <c r="H1577" t="s">
        <v>11</v>
      </c>
    </row>
    <row r="1578" spans="1:8" x14ac:dyDescent="0.35">
      <c r="A1578" t="s">
        <v>35</v>
      </c>
      <c r="B1578" t="s">
        <v>94</v>
      </c>
      <c r="C1578" t="s">
        <v>1157</v>
      </c>
      <c r="D1578">
        <v>2</v>
      </c>
      <c r="E1578">
        <v>4</v>
      </c>
      <c r="F1578" t="s">
        <v>7</v>
      </c>
      <c r="G1578" t="s">
        <v>11</v>
      </c>
      <c r="H1578" t="s">
        <v>11</v>
      </c>
    </row>
    <row r="1579" spans="1:8" x14ac:dyDescent="0.35">
      <c r="A1579" t="s">
        <v>35</v>
      </c>
      <c r="B1579" t="s">
        <v>94</v>
      </c>
      <c r="C1579" t="s">
        <v>2122</v>
      </c>
      <c r="D1579">
        <v>2</v>
      </c>
      <c r="E1579">
        <v>4</v>
      </c>
      <c r="F1579" t="s">
        <v>7</v>
      </c>
      <c r="G1579" t="s">
        <v>11</v>
      </c>
      <c r="H1579" t="s">
        <v>11</v>
      </c>
    </row>
    <row r="1580" spans="1:8" x14ac:dyDescent="0.35">
      <c r="A1580" t="s">
        <v>35</v>
      </c>
      <c r="B1580" t="s">
        <v>94</v>
      </c>
      <c r="C1580" t="s">
        <v>1159</v>
      </c>
      <c r="D1580">
        <v>2</v>
      </c>
      <c r="E1580">
        <v>5</v>
      </c>
      <c r="F1580" t="s">
        <v>7</v>
      </c>
      <c r="G1580" t="s">
        <v>11</v>
      </c>
      <c r="H1580" t="s">
        <v>11</v>
      </c>
    </row>
    <row r="1581" spans="1:8" x14ac:dyDescent="0.35">
      <c r="A1581" t="s">
        <v>35</v>
      </c>
      <c r="B1581" t="s">
        <v>94</v>
      </c>
      <c r="C1581" t="s">
        <v>2123</v>
      </c>
      <c r="D1581">
        <v>2</v>
      </c>
      <c r="E1581">
        <v>4</v>
      </c>
      <c r="F1581" t="s">
        <v>7</v>
      </c>
      <c r="G1581" t="s">
        <v>11</v>
      </c>
      <c r="H1581" t="s">
        <v>11</v>
      </c>
    </row>
    <row r="1582" spans="1:8" x14ac:dyDescent="0.35">
      <c r="A1582" t="s">
        <v>35</v>
      </c>
      <c r="B1582" t="s">
        <v>94</v>
      </c>
      <c r="C1582" t="s">
        <v>1636</v>
      </c>
      <c r="D1582">
        <v>2</v>
      </c>
      <c r="E1582">
        <v>5</v>
      </c>
      <c r="F1582" t="s">
        <v>7</v>
      </c>
      <c r="G1582" t="s">
        <v>11</v>
      </c>
      <c r="H1582" t="s">
        <v>11</v>
      </c>
    </row>
    <row r="1583" spans="1:8" x14ac:dyDescent="0.35">
      <c r="A1583" t="s">
        <v>35</v>
      </c>
      <c r="B1583" t="s">
        <v>94</v>
      </c>
      <c r="C1583" t="s">
        <v>1258</v>
      </c>
      <c r="D1583">
        <v>2</v>
      </c>
      <c r="E1583">
        <v>4</v>
      </c>
      <c r="F1583" t="s">
        <v>7</v>
      </c>
      <c r="G1583" t="s">
        <v>11</v>
      </c>
      <c r="H1583" t="s">
        <v>11</v>
      </c>
    </row>
    <row r="1584" spans="1:8" x14ac:dyDescent="0.35">
      <c r="A1584" t="s">
        <v>35</v>
      </c>
      <c r="B1584" t="s">
        <v>94</v>
      </c>
      <c r="C1584" t="s">
        <v>1259</v>
      </c>
      <c r="D1584">
        <v>3</v>
      </c>
      <c r="E1584">
        <v>4</v>
      </c>
      <c r="F1584" t="s">
        <v>7</v>
      </c>
      <c r="G1584" t="s">
        <v>11</v>
      </c>
      <c r="H1584" t="s">
        <v>11</v>
      </c>
    </row>
    <row r="1585" spans="1:8" x14ac:dyDescent="0.35">
      <c r="A1585" t="s">
        <v>35</v>
      </c>
      <c r="B1585" t="s">
        <v>94</v>
      </c>
      <c r="C1585" t="s">
        <v>2124</v>
      </c>
      <c r="D1585">
        <v>2</v>
      </c>
      <c r="E1585">
        <v>4</v>
      </c>
      <c r="F1585" t="s">
        <v>7</v>
      </c>
      <c r="G1585" t="s">
        <v>11</v>
      </c>
      <c r="H1585" t="s">
        <v>11</v>
      </c>
    </row>
    <row r="1586" spans="1:8" x14ac:dyDescent="0.35">
      <c r="A1586" t="s">
        <v>35</v>
      </c>
      <c r="B1586" t="s">
        <v>94</v>
      </c>
      <c r="C1586" t="s">
        <v>1162</v>
      </c>
      <c r="D1586">
        <v>2</v>
      </c>
      <c r="E1586">
        <v>4</v>
      </c>
      <c r="F1586" t="s">
        <v>7</v>
      </c>
      <c r="G1586" t="s">
        <v>11</v>
      </c>
      <c r="H1586" t="s">
        <v>11</v>
      </c>
    </row>
    <row r="1587" spans="1:8" x14ac:dyDescent="0.35">
      <c r="A1587" t="s">
        <v>35</v>
      </c>
      <c r="B1587" t="s">
        <v>94</v>
      </c>
      <c r="C1587" t="s">
        <v>1163</v>
      </c>
      <c r="D1587">
        <v>2</v>
      </c>
      <c r="E1587">
        <v>4</v>
      </c>
      <c r="F1587" t="s">
        <v>7</v>
      </c>
      <c r="G1587" t="s">
        <v>11</v>
      </c>
      <c r="H1587" t="s">
        <v>11</v>
      </c>
    </row>
    <row r="1588" spans="1:8" x14ac:dyDescent="0.35">
      <c r="A1588" t="s">
        <v>35</v>
      </c>
      <c r="B1588" t="s">
        <v>94</v>
      </c>
      <c r="C1588" t="s">
        <v>1164</v>
      </c>
      <c r="D1588">
        <v>2</v>
      </c>
      <c r="E1588">
        <v>4</v>
      </c>
      <c r="F1588" t="s">
        <v>7</v>
      </c>
      <c r="G1588" t="s">
        <v>11</v>
      </c>
      <c r="H1588" t="s">
        <v>11</v>
      </c>
    </row>
    <row r="1589" spans="1:8" x14ac:dyDescent="0.35">
      <c r="A1589" t="s">
        <v>35</v>
      </c>
      <c r="B1589" t="s">
        <v>94</v>
      </c>
      <c r="C1589" t="s">
        <v>2125</v>
      </c>
      <c r="D1589">
        <v>3</v>
      </c>
      <c r="E1589">
        <v>4</v>
      </c>
      <c r="F1589" t="s">
        <v>7</v>
      </c>
      <c r="G1589" t="s">
        <v>11</v>
      </c>
      <c r="H1589" t="s">
        <v>11</v>
      </c>
    </row>
    <row r="1590" spans="1:8" x14ac:dyDescent="0.35">
      <c r="A1590" t="s">
        <v>35</v>
      </c>
      <c r="B1590" t="s">
        <v>94</v>
      </c>
      <c r="C1590" t="s">
        <v>1261</v>
      </c>
      <c r="D1590">
        <v>2</v>
      </c>
      <c r="E1590">
        <v>4</v>
      </c>
      <c r="F1590" t="s">
        <v>7</v>
      </c>
      <c r="G1590" t="s">
        <v>11</v>
      </c>
      <c r="H1590" t="s">
        <v>11</v>
      </c>
    </row>
    <row r="1591" spans="1:8" x14ac:dyDescent="0.35">
      <c r="A1591" t="s">
        <v>35</v>
      </c>
      <c r="B1591" t="s">
        <v>94</v>
      </c>
      <c r="C1591" t="s">
        <v>2126</v>
      </c>
      <c r="D1591">
        <v>1</v>
      </c>
      <c r="E1591">
        <v>5</v>
      </c>
      <c r="F1591" t="s">
        <v>7</v>
      </c>
      <c r="G1591" t="s">
        <v>11</v>
      </c>
      <c r="H1591" t="s">
        <v>11</v>
      </c>
    </row>
    <row r="1592" spans="1:8" x14ac:dyDescent="0.35">
      <c r="A1592" t="s">
        <v>35</v>
      </c>
      <c r="B1592" t="s">
        <v>94</v>
      </c>
      <c r="C1592" t="s">
        <v>2127</v>
      </c>
      <c r="D1592">
        <v>2</v>
      </c>
      <c r="E1592">
        <v>4</v>
      </c>
      <c r="F1592" t="s">
        <v>7</v>
      </c>
      <c r="G1592" t="s">
        <v>11</v>
      </c>
      <c r="H1592" t="s">
        <v>11</v>
      </c>
    </row>
    <row r="1593" spans="1:8" x14ac:dyDescent="0.35">
      <c r="A1593" t="s">
        <v>35</v>
      </c>
      <c r="B1593" t="s">
        <v>94</v>
      </c>
      <c r="C1593" t="s">
        <v>1780</v>
      </c>
      <c r="D1593">
        <v>2</v>
      </c>
      <c r="E1593">
        <v>4</v>
      </c>
      <c r="F1593" t="s">
        <v>7</v>
      </c>
      <c r="G1593" t="s">
        <v>11</v>
      </c>
      <c r="H1593" t="s">
        <v>11</v>
      </c>
    </row>
    <row r="1594" spans="1:8" x14ac:dyDescent="0.35">
      <c r="A1594" t="s">
        <v>35</v>
      </c>
      <c r="B1594" t="s">
        <v>94</v>
      </c>
      <c r="C1594" t="s">
        <v>2128</v>
      </c>
      <c r="D1594">
        <v>2</v>
      </c>
      <c r="E1594">
        <v>4</v>
      </c>
      <c r="F1594" t="s">
        <v>7</v>
      </c>
      <c r="G1594" t="s">
        <v>11</v>
      </c>
      <c r="H1594" t="s">
        <v>11</v>
      </c>
    </row>
    <row r="1595" spans="1:8" x14ac:dyDescent="0.35">
      <c r="A1595" t="s">
        <v>35</v>
      </c>
      <c r="B1595" t="s">
        <v>94</v>
      </c>
      <c r="C1595" t="s">
        <v>2129</v>
      </c>
      <c r="D1595">
        <v>3</v>
      </c>
      <c r="E1595">
        <v>4</v>
      </c>
      <c r="F1595" t="s">
        <v>7</v>
      </c>
      <c r="G1595" t="s">
        <v>11</v>
      </c>
      <c r="H1595" t="s">
        <v>11</v>
      </c>
    </row>
    <row r="1596" spans="1:8" x14ac:dyDescent="0.35">
      <c r="A1596" t="s">
        <v>35</v>
      </c>
      <c r="B1596" t="s">
        <v>94</v>
      </c>
      <c r="C1596" t="s">
        <v>1165</v>
      </c>
      <c r="D1596">
        <v>2</v>
      </c>
      <c r="E1596">
        <v>4</v>
      </c>
      <c r="F1596" t="s">
        <v>7</v>
      </c>
      <c r="G1596" t="s">
        <v>11</v>
      </c>
      <c r="H1596" t="s">
        <v>11</v>
      </c>
    </row>
    <row r="1597" spans="1:8" x14ac:dyDescent="0.35">
      <c r="A1597" t="s">
        <v>35</v>
      </c>
      <c r="B1597" t="s">
        <v>94</v>
      </c>
      <c r="C1597" t="s">
        <v>2130</v>
      </c>
      <c r="D1597">
        <v>2</v>
      </c>
      <c r="E1597">
        <v>4</v>
      </c>
      <c r="F1597" t="s">
        <v>7</v>
      </c>
      <c r="G1597" t="s">
        <v>11</v>
      </c>
      <c r="H1597" t="s">
        <v>11</v>
      </c>
    </row>
    <row r="1598" spans="1:8" x14ac:dyDescent="0.35">
      <c r="A1598" t="s">
        <v>35</v>
      </c>
      <c r="B1598" t="s">
        <v>94</v>
      </c>
      <c r="C1598" t="s">
        <v>2131</v>
      </c>
      <c r="D1598">
        <v>2</v>
      </c>
      <c r="E1598">
        <v>4</v>
      </c>
      <c r="F1598" t="s">
        <v>7</v>
      </c>
      <c r="G1598" t="s">
        <v>11</v>
      </c>
      <c r="H1598" t="s">
        <v>11</v>
      </c>
    </row>
    <row r="1599" spans="1:8" x14ac:dyDescent="0.35">
      <c r="A1599" t="s">
        <v>35</v>
      </c>
      <c r="B1599" t="s">
        <v>94</v>
      </c>
      <c r="C1599" t="s">
        <v>1167</v>
      </c>
      <c r="D1599">
        <v>2</v>
      </c>
      <c r="E1599">
        <v>5</v>
      </c>
      <c r="F1599" t="s">
        <v>7</v>
      </c>
      <c r="G1599" t="s">
        <v>11</v>
      </c>
      <c r="H1599" t="s">
        <v>11</v>
      </c>
    </row>
    <row r="1600" spans="1:8" x14ac:dyDescent="0.35">
      <c r="A1600" t="s">
        <v>35</v>
      </c>
      <c r="B1600" t="s">
        <v>94</v>
      </c>
      <c r="C1600" t="s">
        <v>2132</v>
      </c>
      <c r="D1600">
        <v>1</v>
      </c>
      <c r="E1600">
        <v>4</v>
      </c>
      <c r="F1600" t="s">
        <v>7</v>
      </c>
      <c r="G1600" t="s">
        <v>11</v>
      </c>
      <c r="H1600" t="s">
        <v>11</v>
      </c>
    </row>
    <row r="1601" spans="1:8" x14ac:dyDescent="0.35">
      <c r="A1601" t="s">
        <v>35</v>
      </c>
      <c r="B1601" t="s">
        <v>94</v>
      </c>
      <c r="C1601" t="s">
        <v>1265</v>
      </c>
      <c r="D1601">
        <v>2</v>
      </c>
      <c r="E1601">
        <v>4</v>
      </c>
      <c r="F1601" t="s">
        <v>7</v>
      </c>
      <c r="G1601" t="s">
        <v>11</v>
      </c>
      <c r="H1601" t="s">
        <v>11</v>
      </c>
    </row>
    <row r="1602" spans="1:8" x14ac:dyDescent="0.35">
      <c r="A1602" t="s">
        <v>35</v>
      </c>
      <c r="B1602" t="s">
        <v>94</v>
      </c>
      <c r="C1602" t="s">
        <v>1268</v>
      </c>
      <c r="D1602">
        <v>2</v>
      </c>
      <c r="E1602">
        <v>4</v>
      </c>
      <c r="F1602" t="s">
        <v>7</v>
      </c>
      <c r="G1602" t="s">
        <v>11</v>
      </c>
      <c r="H1602" t="s">
        <v>11</v>
      </c>
    </row>
    <row r="1603" spans="1:8" x14ac:dyDescent="0.35">
      <c r="A1603" t="s">
        <v>35</v>
      </c>
      <c r="B1603" t="s">
        <v>94</v>
      </c>
      <c r="C1603" t="s">
        <v>1443</v>
      </c>
      <c r="D1603">
        <v>2</v>
      </c>
      <c r="E1603">
        <v>5</v>
      </c>
      <c r="F1603" t="s">
        <v>7</v>
      </c>
      <c r="G1603" t="s">
        <v>11</v>
      </c>
      <c r="H1603" t="s">
        <v>11</v>
      </c>
    </row>
    <row r="1604" spans="1:8" x14ac:dyDescent="0.35">
      <c r="A1604" t="s">
        <v>35</v>
      </c>
      <c r="B1604" t="s">
        <v>94</v>
      </c>
      <c r="C1604" t="s">
        <v>2133</v>
      </c>
      <c r="D1604">
        <v>2</v>
      </c>
      <c r="E1604">
        <v>5</v>
      </c>
      <c r="F1604" t="s">
        <v>7</v>
      </c>
      <c r="G1604" t="s">
        <v>11</v>
      </c>
      <c r="H1604" t="s">
        <v>11</v>
      </c>
    </row>
    <row r="1605" spans="1:8" x14ac:dyDescent="0.35">
      <c r="A1605" t="s">
        <v>35</v>
      </c>
      <c r="B1605" t="s">
        <v>94</v>
      </c>
      <c r="C1605" t="s">
        <v>1168</v>
      </c>
      <c r="D1605">
        <v>2</v>
      </c>
      <c r="E1605">
        <v>4</v>
      </c>
      <c r="F1605" t="s">
        <v>7</v>
      </c>
      <c r="G1605" t="s">
        <v>11</v>
      </c>
      <c r="H1605" t="s">
        <v>11</v>
      </c>
    </row>
    <row r="1606" spans="1:8" x14ac:dyDescent="0.35">
      <c r="A1606" t="s">
        <v>35</v>
      </c>
      <c r="B1606" t="s">
        <v>94</v>
      </c>
      <c r="C1606" t="s">
        <v>2134</v>
      </c>
      <c r="D1606">
        <v>2</v>
      </c>
      <c r="E1606">
        <v>4</v>
      </c>
      <c r="F1606" t="s">
        <v>7</v>
      </c>
      <c r="G1606" t="s">
        <v>11</v>
      </c>
      <c r="H1606" t="s">
        <v>11</v>
      </c>
    </row>
    <row r="1607" spans="1:8" x14ac:dyDescent="0.35">
      <c r="A1607" t="s">
        <v>35</v>
      </c>
      <c r="B1607" t="s">
        <v>94</v>
      </c>
      <c r="C1607" t="s">
        <v>2135</v>
      </c>
      <c r="D1607">
        <v>2</v>
      </c>
      <c r="E1607">
        <v>4</v>
      </c>
      <c r="F1607" t="s">
        <v>7</v>
      </c>
      <c r="G1607" t="s">
        <v>11</v>
      </c>
      <c r="H1607" t="s">
        <v>11</v>
      </c>
    </row>
    <row r="1608" spans="1:8" x14ac:dyDescent="0.35">
      <c r="A1608" t="s">
        <v>35</v>
      </c>
      <c r="B1608" t="s">
        <v>94</v>
      </c>
      <c r="C1608" t="s">
        <v>1680</v>
      </c>
      <c r="D1608">
        <v>2</v>
      </c>
      <c r="E1608">
        <v>4</v>
      </c>
      <c r="F1608" t="s">
        <v>7</v>
      </c>
      <c r="G1608" t="s">
        <v>11</v>
      </c>
      <c r="H1608" t="s">
        <v>11</v>
      </c>
    </row>
    <row r="1609" spans="1:8" x14ac:dyDescent="0.35">
      <c r="A1609" t="s">
        <v>35</v>
      </c>
      <c r="B1609" t="s">
        <v>94</v>
      </c>
      <c r="C1609" t="s">
        <v>1893</v>
      </c>
      <c r="D1609">
        <v>2</v>
      </c>
      <c r="E1609">
        <v>4</v>
      </c>
      <c r="F1609" t="s">
        <v>7</v>
      </c>
      <c r="G1609" t="s">
        <v>11</v>
      </c>
      <c r="H1609" t="s">
        <v>11</v>
      </c>
    </row>
    <row r="1610" spans="1:8" x14ac:dyDescent="0.35">
      <c r="A1610" t="s">
        <v>35</v>
      </c>
      <c r="B1610" t="s">
        <v>94</v>
      </c>
      <c r="C1610" t="s">
        <v>1170</v>
      </c>
      <c r="D1610">
        <v>2</v>
      </c>
      <c r="E1610">
        <v>4</v>
      </c>
      <c r="F1610" t="s">
        <v>7</v>
      </c>
      <c r="G1610" t="s">
        <v>11</v>
      </c>
      <c r="H1610" t="s">
        <v>11</v>
      </c>
    </row>
    <row r="1611" spans="1:8" x14ac:dyDescent="0.35">
      <c r="A1611" t="s">
        <v>35</v>
      </c>
      <c r="B1611" t="s">
        <v>94</v>
      </c>
      <c r="C1611" t="s">
        <v>2136</v>
      </c>
      <c r="D1611">
        <v>2</v>
      </c>
      <c r="E1611">
        <v>4</v>
      </c>
      <c r="F1611" t="s">
        <v>7</v>
      </c>
      <c r="G1611" t="s">
        <v>11</v>
      </c>
      <c r="H1611" t="s">
        <v>11</v>
      </c>
    </row>
    <row r="1612" spans="1:8" x14ac:dyDescent="0.35">
      <c r="A1612" t="s">
        <v>35</v>
      </c>
      <c r="B1612" t="s">
        <v>94</v>
      </c>
      <c r="C1612" t="s">
        <v>2056</v>
      </c>
      <c r="D1612">
        <v>2</v>
      </c>
      <c r="E1612">
        <v>4</v>
      </c>
      <c r="F1612" t="s">
        <v>7</v>
      </c>
      <c r="G1612" t="s">
        <v>11</v>
      </c>
      <c r="H1612" t="s">
        <v>11</v>
      </c>
    </row>
    <row r="1613" spans="1:8" x14ac:dyDescent="0.35">
      <c r="A1613" t="s">
        <v>35</v>
      </c>
      <c r="B1613" t="s">
        <v>94</v>
      </c>
      <c r="C1613" t="s">
        <v>2137</v>
      </c>
      <c r="D1613">
        <v>2</v>
      </c>
      <c r="E1613">
        <v>4</v>
      </c>
      <c r="F1613" t="s">
        <v>7</v>
      </c>
      <c r="G1613" t="s">
        <v>11</v>
      </c>
      <c r="H1613" t="s">
        <v>11</v>
      </c>
    </row>
    <row r="1614" spans="1:8" x14ac:dyDescent="0.35">
      <c r="A1614" t="s">
        <v>35</v>
      </c>
      <c r="B1614" t="s">
        <v>94</v>
      </c>
      <c r="C1614" t="s">
        <v>2138</v>
      </c>
      <c r="D1614">
        <v>2</v>
      </c>
      <c r="E1614">
        <v>4</v>
      </c>
      <c r="F1614" t="s">
        <v>7</v>
      </c>
      <c r="G1614" t="s">
        <v>11</v>
      </c>
      <c r="H1614" t="s">
        <v>11</v>
      </c>
    </row>
    <row r="1615" spans="1:8" x14ac:dyDescent="0.35">
      <c r="A1615" t="s">
        <v>35</v>
      </c>
      <c r="B1615" t="s">
        <v>94</v>
      </c>
      <c r="C1615" t="s">
        <v>1270</v>
      </c>
      <c r="D1615">
        <v>2</v>
      </c>
      <c r="E1615">
        <v>4</v>
      </c>
      <c r="F1615" t="s">
        <v>7</v>
      </c>
      <c r="G1615" t="s">
        <v>11</v>
      </c>
      <c r="H1615" t="s">
        <v>11</v>
      </c>
    </row>
    <row r="1616" spans="1:8" x14ac:dyDescent="0.35">
      <c r="A1616" t="s">
        <v>35</v>
      </c>
      <c r="B1616" t="s">
        <v>94</v>
      </c>
      <c r="C1616" t="s">
        <v>1644</v>
      </c>
      <c r="D1616">
        <v>2</v>
      </c>
      <c r="E1616">
        <v>5</v>
      </c>
      <c r="F1616" t="s">
        <v>7</v>
      </c>
      <c r="G1616" t="s">
        <v>11</v>
      </c>
      <c r="H1616" t="s">
        <v>11</v>
      </c>
    </row>
    <row r="1617" spans="1:8" x14ac:dyDescent="0.35">
      <c r="A1617" t="s">
        <v>35</v>
      </c>
      <c r="B1617" t="s">
        <v>94</v>
      </c>
      <c r="C1617" t="s">
        <v>2139</v>
      </c>
      <c r="D1617">
        <v>2</v>
      </c>
      <c r="E1617">
        <v>5</v>
      </c>
      <c r="F1617" t="s">
        <v>7</v>
      </c>
      <c r="G1617" t="s">
        <v>11</v>
      </c>
      <c r="H1617" t="s">
        <v>11</v>
      </c>
    </row>
    <row r="1618" spans="1:8" x14ac:dyDescent="0.35">
      <c r="A1618" t="s">
        <v>35</v>
      </c>
      <c r="B1618" t="s">
        <v>94</v>
      </c>
      <c r="C1618" t="s">
        <v>1271</v>
      </c>
      <c r="D1618">
        <v>3</v>
      </c>
      <c r="E1618">
        <v>4</v>
      </c>
      <c r="F1618" t="s">
        <v>7</v>
      </c>
      <c r="G1618" t="s">
        <v>11</v>
      </c>
      <c r="H1618" t="s">
        <v>11</v>
      </c>
    </row>
    <row r="1619" spans="1:8" x14ac:dyDescent="0.35">
      <c r="A1619" t="s">
        <v>35</v>
      </c>
      <c r="B1619" t="s">
        <v>94</v>
      </c>
      <c r="C1619" t="s">
        <v>2140</v>
      </c>
      <c r="D1619">
        <v>2</v>
      </c>
      <c r="E1619">
        <v>4</v>
      </c>
      <c r="F1619" t="s">
        <v>7</v>
      </c>
      <c r="G1619" t="s">
        <v>11</v>
      </c>
      <c r="H1619" t="s">
        <v>11</v>
      </c>
    </row>
    <row r="1620" spans="1:8" x14ac:dyDescent="0.35">
      <c r="A1620" t="s">
        <v>35</v>
      </c>
      <c r="B1620" t="s">
        <v>94</v>
      </c>
      <c r="C1620" t="s">
        <v>1171</v>
      </c>
      <c r="D1620">
        <v>2</v>
      </c>
      <c r="E1620">
        <v>5</v>
      </c>
      <c r="F1620" t="s">
        <v>7</v>
      </c>
      <c r="G1620" t="s">
        <v>11</v>
      </c>
      <c r="H1620" t="s">
        <v>11</v>
      </c>
    </row>
    <row r="1621" spans="1:8" x14ac:dyDescent="0.35">
      <c r="A1621" t="s">
        <v>35</v>
      </c>
      <c r="B1621" t="s">
        <v>94</v>
      </c>
      <c r="C1621" t="s">
        <v>2141</v>
      </c>
      <c r="D1621">
        <v>3</v>
      </c>
      <c r="E1621">
        <v>4</v>
      </c>
      <c r="F1621" t="s">
        <v>7</v>
      </c>
      <c r="G1621" t="s">
        <v>11</v>
      </c>
      <c r="H1621" t="s">
        <v>11</v>
      </c>
    </row>
    <row r="1622" spans="1:8" x14ac:dyDescent="0.35">
      <c r="A1622" t="s">
        <v>35</v>
      </c>
      <c r="B1622" t="s">
        <v>94</v>
      </c>
      <c r="C1622" t="s">
        <v>1276</v>
      </c>
      <c r="D1622">
        <v>2</v>
      </c>
      <c r="E1622">
        <v>4</v>
      </c>
      <c r="F1622" t="s">
        <v>7</v>
      </c>
      <c r="G1622" t="s">
        <v>11</v>
      </c>
      <c r="H1622" t="s">
        <v>11</v>
      </c>
    </row>
    <row r="1623" spans="1:8" x14ac:dyDescent="0.35">
      <c r="A1623" t="s">
        <v>35</v>
      </c>
      <c r="B1623" t="s">
        <v>94</v>
      </c>
      <c r="C1623" t="s">
        <v>1686</v>
      </c>
      <c r="D1623">
        <v>2</v>
      </c>
      <c r="E1623">
        <v>5</v>
      </c>
      <c r="F1623" t="s">
        <v>7</v>
      </c>
      <c r="G1623" t="s">
        <v>11</v>
      </c>
      <c r="H1623" t="s">
        <v>11</v>
      </c>
    </row>
    <row r="1624" spans="1:8" x14ac:dyDescent="0.35">
      <c r="A1624" t="s">
        <v>35</v>
      </c>
      <c r="B1624" t="s">
        <v>94</v>
      </c>
      <c r="C1624" t="s">
        <v>2142</v>
      </c>
      <c r="D1624">
        <v>2</v>
      </c>
      <c r="E1624">
        <v>4</v>
      </c>
      <c r="F1624" t="s">
        <v>7</v>
      </c>
      <c r="G1624" t="s">
        <v>11</v>
      </c>
      <c r="H1624" t="s">
        <v>11</v>
      </c>
    </row>
    <row r="1625" spans="1:8" x14ac:dyDescent="0.35">
      <c r="A1625" t="s">
        <v>35</v>
      </c>
      <c r="B1625" t="s">
        <v>94</v>
      </c>
      <c r="C1625" t="s">
        <v>2143</v>
      </c>
      <c r="D1625">
        <v>2</v>
      </c>
      <c r="E1625">
        <v>4</v>
      </c>
      <c r="F1625" t="s">
        <v>7</v>
      </c>
      <c r="G1625" t="s">
        <v>11</v>
      </c>
      <c r="H1625" t="s">
        <v>11</v>
      </c>
    </row>
    <row r="1626" spans="1:8" x14ac:dyDescent="0.35">
      <c r="A1626" t="s">
        <v>35</v>
      </c>
      <c r="B1626" t="s">
        <v>94</v>
      </c>
      <c r="C1626" t="s">
        <v>1904</v>
      </c>
      <c r="D1626">
        <v>2</v>
      </c>
      <c r="E1626">
        <v>4</v>
      </c>
      <c r="F1626" t="s">
        <v>7</v>
      </c>
      <c r="G1626" t="s">
        <v>11</v>
      </c>
      <c r="H1626" t="s">
        <v>11</v>
      </c>
    </row>
    <row r="1627" spans="1:8" x14ac:dyDescent="0.35">
      <c r="A1627" t="s">
        <v>35</v>
      </c>
      <c r="B1627" t="s">
        <v>94</v>
      </c>
      <c r="C1627" t="s">
        <v>1555</v>
      </c>
      <c r="D1627">
        <v>2</v>
      </c>
      <c r="E1627">
        <v>4</v>
      </c>
      <c r="F1627" t="s">
        <v>7</v>
      </c>
      <c r="G1627" t="s">
        <v>11</v>
      </c>
      <c r="H1627" t="s">
        <v>11</v>
      </c>
    </row>
    <row r="1628" spans="1:8" x14ac:dyDescent="0.35">
      <c r="A1628" t="s">
        <v>35</v>
      </c>
      <c r="B1628" t="s">
        <v>94</v>
      </c>
      <c r="C1628" t="s">
        <v>1177</v>
      </c>
      <c r="D1628">
        <v>2</v>
      </c>
      <c r="E1628">
        <v>4</v>
      </c>
      <c r="F1628" t="s">
        <v>7</v>
      </c>
      <c r="G1628" t="s">
        <v>11</v>
      </c>
      <c r="H1628" t="s">
        <v>11</v>
      </c>
    </row>
    <row r="1629" spans="1:8" x14ac:dyDescent="0.35">
      <c r="A1629" t="s">
        <v>35</v>
      </c>
      <c r="B1629" t="s">
        <v>94</v>
      </c>
      <c r="C1629" t="s">
        <v>1556</v>
      </c>
      <c r="D1629">
        <v>2</v>
      </c>
      <c r="E1629">
        <v>4</v>
      </c>
      <c r="F1629" t="s">
        <v>7</v>
      </c>
      <c r="G1629" t="s">
        <v>11</v>
      </c>
      <c r="H1629" t="s">
        <v>11</v>
      </c>
    </row>
    <row r="1630" spans="1:8" x14ac:dyDescent="0.35">
      <c r="A1630" t="s">
        <v>35</v>
      </c>
      <c r="B1630" t="s">
        <v>94</v>
      </c>
      <c r="C1630" t="s">
        <v>1557</v>
      </c>
      <c r="D1630">
        <v>2</v>
      </c>
      <c r="E1630">
        <v>4</v>
      </c>
      <c r="F1630" t="s">
        <v>7</v>
      </c>
      <c r="G1630" t="s">
        <v>11</v>
      </c>
      <c r="H1630" t="s">
        <v>11</v>
      </c>
    </row>
    <row r="1631" spans="1:8" x14ac:dyDescent="0.35">
      <c r="A1631" t="s">
        <v>35</v>
      </c>
      <c r="B1631" t="s">
        <v>94</v>
      </c>
      <c r="C1631" t="s">
        <v>1562</v>
      </c>
      <c r="D1631">
        <v>2</v>
      </c>
      <c r="E1631">
        <v>5</v>
      </c>
      <c r="F1631" t="s">
        <v>7</v>
      </c>
      <c r="G1631" t="s">
        <v>11</v>
      </c>
      <c r="H1631" t="s">
        <v>11</v>
      </c>
    </row>
    <row r="1632" spans="1:8" x14ac:dyDescent="0.35">
      <c r="A1632" t="s">
        <v>35</v>
      </c>
      <c r="B1632" t="s">
        <v>94</v>
      </c>
      <c r="C1632" t="s">
        <v>1740</v>
      </c>
      <c r="D1632">
        <v>2</v>
      </c>
      <c r="E1632">
        <v>4</v>
      </c>
      <c r="F1632" t="s">
        <v>7</v>
      </c>
      <c r="G1632" t="s">
        <v>11</v>
      </c>
      <c r="H1632" t="s">
        <v>11</v>
      </c>
    </row>
    <row r="1633" spans="1:8" x14ac:dyDescent="0.35">
      <c r="A1633" t="s">
        <v>37</v>
      </c>
      <c r="B1633" t="s">
        <v>78</v>
      </c>
      <c r="C1633" t="s">
        <v>2144</v>
      </c>
      <c r="D1633">
        <v>1</v>
      </c>
      <c r="E1633">
        <v>6</v>
      </c>
      <c r="F1633" t="s">
        <v>75</v>
      </c>
      <c r="G1633" t="s">
        <v>11</v>
      </c>
      <c r="H1633" t="s">
        <v>11</v>
      </c>
    </row>
    <row r="1634" spans="1:8" x14ac:dyDescent="0.35">
      <c r="A1634" t="s">
        <v>37</v>
      </c>
      <c r="B1634" t="s">
        <v>78</v>
      </c>
      <c r="C1634" t="s">
        <v>2145</v>
      </c>
      <c r="D1634">
        <v>1</v>
      </c>
      <c r="E1634">
        <v>6</v>
      </c>
      <c r="F1634" t="s">
        <v>75</v>
      </c>
      <c r="G1634" t="s">
        <v>11</v>
      </c>
      <c r="H1634" t="s">
        <v>11</v>
      </c>
    </row>
    <row r="1635" spans="1:8" x14ac:dyDescent="0.35">
      <c r="A1635" t="s">
        <v>37</v>
      </c>
      <c r="B1635" t="s">
        <v>78</v>
      </c>
      <c r="C1635" t="s">
        <v>1573</v>
      </c>
      <c r="D1635">
        <v>1</v>
      </c>
      <c r="E1635">
        <v>6</v>
      </c>
      <c r="F1635" t="s">
        <v>75</v>
      </c>
      <c r="G1635" t="s">
        <v>11</v>
      </c>
      <c r="H1635" t="s">
        <v>11</v>
      </c>
    </row>
    <row r="1636" spans="1:8" x14ac:dyDescent="0.35">
      <c r="A1636" t="s">
        <v>37</v>
      </c>
      <c r="B1636" t="s">
        <v>78</v>
      </c>
      <c r="C1636" t="s">
        <v>2146</v>
      </c>
      <c r="D1636">
        <v>1</v>
      </c>
      <c r="E1636">
        <v>6</v>
      </c>
      <c r="F1636" t="s">
        <v>75</v>
      </c>
      <c r="G1636" t="s">
        <v>11</v>
      </c>
      <c r="H1636" t="s">
        <v>11</v>
      </c>
    </row>
    <row r="1637" spans="1:8" x14ac:dyDescent="0.35">
      <c r="A1637" t="s">
        <v>37</v>
      </c>
      <c r="B1637" t="s">
        <v>78</v>
      </c>
      <c r="C1637" t="s">
        <v>2147</v>
      </c>
      <c r="D1637">
        <v>1</v>
      </c>
      <c r="E1637">
        <v>6</v>
      </c>
      <c r="F1637" t="s">
        <v>75</v>
      </c>
      <c r="G1637" t="s">
        <v>11</v>
      </c>
      <c r="H1637" t="s">
        <v>11</v>
      </c>
    </row>
    <row r="1638" spans="1:8" x14ac:dyDescent="0.35">
      <c r="A1638" t="s">
        <v>37</v>
      </c>
      <c r="B1638" t="s">
        <v>78</v>
      </c>
      <c r="C1638" t="s">
        <v>1822</v>
      </c>
      <c r="D1638">
        <v>1</v>
      </c>
      <c r="E1638">
        <v>6</v>
      </c>
      <c r="F1638" t="s">
        <v>75</v>
      </c>
      <c r="G1638" t="s">
        <v>11</v>
      </c>
      <c r="H1638" t="s">
        <v>11</v>
      </c>
    </row>
    <row r="1639" spans="1:8" x14ac:dyDescent="0.35">
      <c r="A1639" t="s">
        <v>37</v>
      </c>
      <c r="B1639" t="s">
        <v>78</v>
      </c>
      <c r="C1639" t="s">
        <v>2148</v>
      </c>
      <c r="D1639">
        <v>1</v>
      </c>
      <c r="E1639">
        <v>6</v>
      </c>
      <c r="F1639" t="s">
        <v>75</v>
      </c>
      <c r="G1639" t="s">
        <v>11</v>
      </c>
      <c r="H1639" t="s">
        <v>11</v>
      </c>
    </row>
    <row r="1640" spans="1:8" x14ac:dyDescent="0.35">
      <c r="A1640" t="s">
        <v>37</v>
      </c>
      <c r="B1640" t="s">
        <v>78</v>
      </c>
      <c r="C1640" t="s">
        <v>2149</v>
      </c>
      <c r="D1640">
        <v>1</v>
      </c>
      <c r="E1640">
        <v>6</v>
      </c>
      <c r="F1640" t="s">
        <v>75</v>
      </c>
      <c r="G1640" t="s">
        <v>11</v>
      </c>
      <c r="H1640" t="s">
        <v>11</v>
      </c>
    </row>
    <row r="1641" spans="1:8" x14ac:dyDescent="0.35">
      <c r="A1641" t="s">
        <v>37</v>
      </c>
      <c r="B1641" t="s">
        <v>78</v>
      </c>
      <c r="C1641" t="s">
        <v>1352</v>
      </c>
      <c r="D1641">
        <v>1</v>
      </c>
      <c r="E1641">
        <v>6</v>
      </c>
      <c r="F1641" t="s">
        <v>75</v>
      </c>
      <c r="G1641" t="s">
        <v>11</v>
      </c>
      <c r="H1641" t="s">
        <v>11</v>
      </c>
    </row>
    <row r="1642" spans="1:8" x14ac:dyDescent="0.35">
      <c r="A1642" t="s">
        <v>37</v>
      </c>
      <c r="B1642" t="s">
        <v>78</v>
      </c>
      <c r="C1642" t="s">
        <v>2150</v>
      </c>
      <c r="D1642">
        <v>1</v>
      </c>
      <c r="E1642">
        <v>6</v>
      </c>
      <c r="F1642" t="s">
        <v>75</v>
      </c>
      <c r="G1642" t="s">
        <v>11</v>
      </c>
      <c r="H1642" t="s">
        <v>11</v>
      </c>
    </row>
    <row r="1643" spans="1:8" x14ac:dyDescent="0.35">
      <c r="A1643" t="s">
        <v>37</v>
      </c>
      <c r="B1643" t="s">
        <v>78</v>
      </c>
      <c r="C1643" t="s">
        <v>1484</v>
      </c>
      <c r="D1643">
        <v>1</v>
      </c>
      <c r="E1643">
        <v>6</v>
      </c>
      <c r="F1643" t="s">
        <v>75</v>
      </c>
      <c r="G1643" t="s">
        <v>11</v>
      </c>
      <c r="H1643" t="s">
        <v>11</v>
      </c>
    </row>
    <row r="1644" spans="1:8" x14ac:dyDescent="0.35">
      <c r="A1644" t="s">
        <v>37</v>
      </c>
      <c r="B1644" t="s">
        <v>78</v>
      </c>
      <c r="C1644" t="s">
        <v>2151</v>
      </c>
      <c r="D1644">
        <v>1</v>
      </c>
      <c r="E1644">
        <v>6</v>
      </c>
      <c r="F1644" t="s">
        <v>75</v>
      </c>
      <c r="G1644" t="s">
        <v>11</v>
      </c>
      <c r="H1644" t="s">
        <v>11</v>
      </c>
    </row>
    <row r="1645" spans="1:8" x14ac:dyDescent="0.35">
      <c r="A1645" t="s">
        <v>37</v>
      </c>
      <c r="B1645" t="s">
        <v>78</v>
      </c>
      <c r="C1645" t="s">
        <v>2152</v>
      </c>
      <c r="D1645">
        <v>1</v>
      </c>
      <c r="E1645">
        <v>6</v>
      </c>
      <c r="F1645" t="s">
        <v>75</v>
      </c>
      <c r="G1645" t="s">
        <v>11</v>
      </c>
      <c r="H1645" t="s">
        <v>11</v>
      </c>
    </row>
    <row r="1646" spans="1:8" x14ac:dyDescent="0.35">
      <c r="A1646" t="s">
        <v>37</v>
      </c>
      <c r="B1646" t="s">
        <v>78</v>
      </c>
      <c r="C1646" t="s">
        <v>2153</v>
      </c>
      <c r="D1646">
        <v>1</v>
      </c>
      <c r="E1646">
        <v>6</v>
      </c>
      <c r="F1646" t="s">
        <v>75</v>
      </c>
      <c r="G1646" t="s">
        <v>11</v>
      </c>
      <c r="H1646" t="s">
        <v>11</v>
      </c>
    </row>
    <row r="1647" spans="1:8" x14ac:dyDescent="0.35">
      <c r="A1647" t="s">
        <v>37</v>
      </c>
      <c r="B1647" t="s">
        <v>78</v>
      </c>
      <c r="C1647" t="s">
        <v>2154</v>
      </c>
      <c r="D1647">
        <v>1</v>
      </c>
      <c r="E1647">
        <v>6</v>
      </c>
      <c r="F1647" t="s">
        <v>75</v>
      </c>
      <c r="G1647" t="s">
        <v>11</v>
      </c>
      <c r="H1647" t="s">
        <v>11</v>
      </c>
    </row>
    <row r="1648" spans="1:8" x14ac:dyDescent="0.35">
      <c r="A1648" t="s">
        <v>37</v>
      </c>
      <c r="B1648" t="s">
        <v>78</v>
      </c>
      <c r="C1648" t="s">
        <v>1616</v>
      </c>
      <c r="D1648">
        <v>1</v>
      </c>
      <c r="E1648">
        <v>6</v>
      </c>
      <c r="F1648" t="s">
        <v>75</v>
      </c>
      <c r="G1648" t="s">
        <v>11</v>
      </c>
      <c r="H1648" t="s">
        <v>11</v>
      </c>
    </row>
    <row r="1649" spans="1:8" x14ac:dyDescent="0.35">
      <c r="A1649" t="s">
        <v>37</v>
      </c>
      <c r="B1649" t="s">
        <v>78</v>
      </c>
      <c r="C1649" t="s">
        <v>1361</v>
      </c>
      <c r="D1649">
        <v>1</v>
      </c>
      <c r="E1649">
        <v>6</v>
      </c>
      <c r="F1649" t="s">
        <v>75</v>
      </c>
      <c r="G1649" t="s">
        <v>11</v>
      </c>
      <c r="H1649" t="s">
        <v>11</v>
      </c>
    </row>
    <row r="1650" spans="1:8" x14ac:dyDescent="0.35">
      <c r="A1650" t="s">
        <v>37</v>
      </c>
      <c r="B1650" t="s">
        <v>78</v>
      </c>
      <c r="C1650" t="s">
        <v>2155</v>
      </c>
      <c r="D1650">
        <v>1</v>
      </c>
      <c r="E1650">
        <v>6</v>
      </c>
      <c r="F1650" t="s">
        <v>75</v>
      </c>
      <c r="G1650" t="s">
        <v>11</v>
      </c>
      <c r="H1650" t="s">
        <v>11</v>
      </c>
    </row>
    <row r="1651" spans="1:8" x14ac:dyDescent="0.35">
      <c r="A1651" t="s">
        <v>37</v>
      </c>
      <c r="B1651" t="s">
        <v>78</v>
      </c>
      <c r="C1651" t="s">
        <v>2156</v>
      </c>
      <c r="D1651">
        <v>2</v>
      </c>
      <c r="E1651">
        <v>6</v>
      </c>
      <c r="F1651" t="s">
        <v>75</v>
      </c>
      <c r="G1651" t="s">
        <v>11</v>
      </c>
      <c r="H1651" t="s">
        <v>11</v>
      </c>
    </row>
    <row r="1652" spans="1:8" x14ac:dyDescent="0.35">
      <c r="A1652" t="s">
        <v>37</v>
      </c>
      <c r="B1652" t="s">
        <v>78</v>
      </c>
      <c r="C1652" t="s">
        <v>2157</v>
      </c>
      <c r="D1652">
        <v>1</v>
      </c>
      <c r="E1652">
        <v>6</v>
      </c>
      <c r="F1652" t="s">
        <v>75</v>
      </c>
      <c r="G1652" t="s">
        <v>11</v>
      </c>
      <c r="H1652" t="s">
        <v>11</v>
      </c>
    </row>
    <row r="1653" spans="1:8" x14ac:dyDescent="0.35">
      <c r="A1653" t="s">
        <v>37</v>
      </c>
      <c r="B1653" t="s">
        <v>78</v>
      </c>
      <c r="C1653" t="s">
        <v>2158</v>
      </c>
      <c r="D1653">
        <v>1</v>
      </c>
      <c r="E1653">
        <v>6</v>
      </c>
      <c r="F1653" t="s">
        <v>75</v>
      </c>
      <c r="G1653" t="s">
        <v>11</v>
      </c>
      <c r="H1653" t="s">
        <v>11</v>
      </c>
    </row>
    <row r="1654" spans="1:8" x14ac:dyDescent="0.35">
      <c r="A1654" t="s">
        <v>37</v>
      </c>
      <c r="B1654" t="s">
        <v>78</v>
      </c>
      <c r="C1654" t="s">
        <v>1149</v>
      </c>
      <c r="D1654">
        <v>1</v>
      </c>
      <c r="E1654">
        <v>6</v>
      </c>
      <c r="F1654" t="s">
        <v>75</v>
      </c>
      <c r="G1654" t="s">
        <v>11</v>
      </c>
      <c r="H1654" t="s">
        <v>11</v>
      </c>
    </row>
    <row r="1655" spans="1:8" x14ac:dyDescent="0.35">
      <c r="A1655" t="s">
        <v>37</v>
      </c>
      <c r="B1655" t="s">
        <v>78</v>
      </c>
      <c r="C1655" t="s">
        <v>2159</v>
      </c>
      <c r="D1655">
        <v>1</v>
      </c>
      <c r="E1655">
        <v>6</v>
      </c>
      <c r="F1655" t="s">
        <v>75</v>
      </c>
      <c r="G1655" t="s">
        <v>11</v>
      </c>
      <c r="H1655" t="s">
        <v>11</v>
      </c>
    </row>
    <row r="1656" spans="1:8" x14ac:dyDescent="0.35">
      <c r="A1656" t="s">
        <v>37</v>
      </c>
      <c r="B1656" t="s">
        <v>78</v>
      </c>
      <c r="C1656" t="s">
        <v>1298</v>
      </c>
      <c r="D1656">
        <v>1</v>
      </c>
      <c r="E1656">
        <v>6</v>
      </c>
      <c r="F1656" t="s">
        <v>75</v>
      </c>
      <c r="G1656" t="s">
        <v>11</v>
      </c>
      <c r="H1656" t="s">
        <v>11</v>
      </c>
    </row>
    <row r="1657" spans="1:8" x14ac:dyDescent="0.35">
      <c r="A1657" t="s">
        <v>37</v>
      </c>
      <c r="B1657" t="s">
        <v>78</v>
      </c>
      <c r="C1657" t="s">
        <v>2160</v>
      </c>
      <c r="D1657">
        <v>1</v>
      </c>
      <c r="E1657">
        <v>6</v>
      </c>
      <c r="F1657" t="s">
        <v>75</v>
      </c>
      <c r="G1657" t="s">
        <v>11</v>
      </c>
      <c r="H1657" t="s">
        <v>11</v>
      </c>
    </row>
    <row r="1658" spans="1:8" x14ac:dyDescent="0.35">
      <c r="A1658" t="s">
        <v>37</v>
      </c>
      <c r="B1658" t="s">
        <v>78</v>
      </c>
      <c r="C1658" t="s">
        <v>1432</v>
      </c>
      <c r="D1658">
        <v>1</v>
      </c>
      <c r="E1658">
        <v>6</v>
      </c>
      <c r="F1658" t="s">
        <v>75</v>
      </c>
      <c r="G1658" t="s">
        <v>11</v>
      </c>
      <c r="H1658" t="s">
        <v>11</v>
      </c>
    </row>
    <row r="1659" spans="1:8" x14ac:dyDescent="0.35">
      <c r="A1659" t="s">
        <v>37</v>
      </c>
      <c r="B1659" t="s">
        <v>78</v>
      </c>
      <c r="C1659" t="s">
        <v>1254</v>
      </c>
      <c r="D1659">
        <v>1</v>
      </c>
      <c r="E1659">
        <v>6</v>
      </c>
      <c r="F1659" t="s">
        <v>75</v>
      </c>
      <c r="G1659" t="s">
        <v>11</v>
      </c>
      <c r="H1659" t="s">
        <v>11</v>
      </c>
    </row>
    <row r="1660" spans="1:8" x14ac:dyDescent="0.35">
      <c r="A1660" t="s">
        <v>37</v>
      </c>
      <c r="B1660" t="s">
        <v>78</v>
      </c>
      <c r="C1660" t="s">
        <v>1157</v>
      </c>
      <c r="D1660">
        <v>1</v>
      </c>
      <c r="E1660">
        <v>6</v>
      </c>
      <c r="F1660" t="s">
        <v>75</v>
      </c>
      <c r="G1660" t="s">
        <v>11</v>
      </c>
      <c r="H1660" t="s">
        <v>11</v>
      </c>
    </row>
    <row r="1661" spans="1:8" x14ac:dyDescent="0.35">
      <c r="A1661" t="s">
        <v>37</v>
      </c>
      <c r="B1661" t="s">
        <v>78</v>
      </c>
      <c r="C1661" t="s">
        <v>2161</v>
      </c>
      <c r="D1661">
        <v>1</v>
      </c>
      <c r="E1661">
        <v>6</v>
      </c>
      <c r="F1661" t="s">
        <v>75</v>
      </c>
      <c r="G1661" t="s">
        <v>11</v>
      </c>
      <c r="H1661" t="s">
        <v>11</v>
      </c>
    </row>
    <row r="1662" spans="1:8" x14ac:dyDescent="0.35">
      <c r="A1662" t="s">
        <v>37</v>
      </c>
      <c r="B1662" t="s">
        <v>78</v>
      </c>
      <c r="C1662" t="s">
        <v>2162</v>
      </c>
      <c r="D1662">
        <v>1</v>
      </c>
      <c r="E1662">
        <v>6</v>
      </c>
      <c r="F1662" t="s">
        <v>75</v>
      </c>
      <c r="G1662" t="s">
        <v>11</v>
      </c>
      <c r="H1662" t="s">
        <v>11</v>
      </c>
    </row>
    <row r="1663" spans="1:8" x14ac:dyDescent="0.35">
      <c r="A1663" t="s">
        <v>37</v>
      </c>
      <c r="B1663" t="s">
        <v>78</v>
      </c>
      <c r="C1663" t="s">
        <v>1373</v>
      </c>
      <c r="D1663">
        <v>1</v>
      </c>
      <c r="E1663">
        <v>6</v>
      </c>
      <c r="F1663" t="s">
        <v>75</v>
      </c>
      <c r="G1663" t="s">
        <v>11</v>
      </c>
      <c r="H1663" t="s">
        <v>11</v>
      </c>
    </row>
    <row r="1664" spans="1:8" x14ac:dyDescent="0.35">
      <c r="A1664" t="s">
        <v>37</v>
      </c>
      <c r="B1664" t="s">
        <v>78</v>
      </c>
      <c r="C1664" t="s">
        <v>2163</v>
      </c>
      <c r="D1664">
        <v>1</v>
      </c>
      <c r="E1664">
        <v>6</v>
      </c>
      <c r="F1664" t="s">
        <v>75</v>
      </c>
      <c r="G1664" t="s">
        <v>11</v>
      </c>
      <c r="H1664" t="s">
        <v>11</v>
      </c>
    </row>
    <row r="1665" spans="1:8" x14ac:dyDescent="0.35">
      <c r="A1665" t="s">
        <v>37</v>
      </c>
      <c r="B1665" t="s">
        <v>78</v>
      </c>
      <c r="C1665" t="s">
        <v>2164</v>
      </c>
      <c r="D1665">
        <v>2</v>
      </c>
      <c r="E1665">
        <v>6</v>
      </c>
      <c r="F1665" t="s">
        <v>75</v>
      </c>
      <c r="G1665" t="s">
        <v>11</v>
      </c>
      <c r="H1665" t="s">
        <v>11</v>
      </c>
    </row>
    <row r="1666" spans="1:8" x14ac:dyDescent="0.35">
      <c r="A1666" t="s">
        <v>37</v>
      </c>
      <c r="B1666" t="s">
        <v>78</v>
      </c>
      <c r="C1666" t="s">
        <v>1379</v>
      </c>
      <c r="D1666">
        <v>1</v>
      </c>
      <c r="E1666">
        <v>6</v>
      </c>
      <c r="F1666" t="s">
        <v>75</v>
      </c>
      <c r="G1666" t="s">
        <v>11</v>
      </c>
      <c r="H1666" t="s">
        <v>11</v>
      </c>
    </row>
    <row r="1667" spans="1:8" x14ac:dyDescent="0.35">
      <c r="A1667" t="s">
        <v>37</v>
      </c>
      <c r="B1667" t="s">
        <v>78</v>
      </c>
      <c r="C1667" t="s">
        <v>2165</v>
      </c>
      <c r="D1667">
        <v>2</v>
      </c>
      <c r="E1667">
        <v>6</v>
      </c>
      <c r="F1667" t="s">
        <v>75</v>
      </c>
      <c r="G1667" t="s">
        <v>11</v>
      </c>
      <c r="H1667" t="s">
        <v>11</v>
      </c>
    </row>
    <row r="1668" spans="1:8" x14ac:dyDescent="0.35">
      <c r="A1668" t="s">
        <v>37</v>
      </c>
      <c r="B1668" t="s">
        <v>78</v>
      </c>
      <c r="C1668" t="s">
        <v>1263</v>
      </c>
      <c r="D1668">
        <v>1</v>
      </c>
      <c r="E1668">
        <v>6</v>
      </c>
      <c r="F1668" t="s">
        <v>75</v>
      </c>
      <c r="G1668" t="s">
        <v>11</v>
      </c>
      <c r="H1668" t="s">
        <v>11</v>
      </c>
    </row>
    <row r="1669" spans="1:8" x14ac:dyDescent="0.35">
      <c r="A1669" t="s">
        <v>37</v>
      </c>
      <c r="B1669" t="s">
        <v>78</v>
      </c>
      <c r="C1669" t="s">
        <v>2166</v>
      </c>
      <c r="D1669">
        <v>1</v>
      </c>
      <c r="E1669">
        <v>6</v>
      </c>
      <c r="F1669" t="s">
        <v>75</v>
      </c>
      <c r="G1669" t="s">
        <v>11</v>
      </c>
      <c r="H1669" t="s">
        <v>11</v>
      </c>
    </row>
    <row r="1670" spans="1:8" x14ac:dyDescent="0.35">
      <c r="A1670" t="s">
        <v>37</v>
      </c>
      <c r="B1670" t="s">
        <v>78</v>
      </c>
      <c r="C1670" t="s">
        <v>2167</v>
      </c>
      <c r="D1670">
        <v>1</v>
      </c>
      <c r="E1670">
        <v>6</v>
      </c>
      <c r="F1670" t="s">
        <v>75</v>
      </c>
      <c r="G1670" t="s">
        <v>11</v>
      </c>
      <c r="H1670" t="s">
        <v>11</v>
      </c>
    </row>
    <row r="1671" spans="1:8" x14ac:dyDescent="0.35">
      <c r="A1671" t="s">
        <v>37</v>
      </c>
      <c r="B1671" t="s">
        <v>78</v>
      </c>
      <c r="C1671" t="s">
        <v>1854</v>
      </c>
      <c r="D1671">
        <v>1</v>
      </c>
      <c r="E1671">
        <v>6</v>
      </c>
      <c r="F1671" t="s">
        <v>75</v>
      </c>
      <c r="G1671" t="s">
        <v>11</v>
      </c>
      <c r="H1671" t="s">
        <v>11</v>
      </c>
    </row>
    <row r="1672" spans="1:8" x14ac:dyDescent="0.35">
      <c r="A1672" t="s">
        <v>37</v>
      </c>
      <c r="B1672" t="s">
        <v>78</v>
      </c>
      <c r="C1672" t="s">
        <v>1267</v>
      </c>
      <c r="D1672">
        <v>1</v>
      </c>
      <c r="E1672">
        <v>6</v>
      </c>
      <c r="F1672" t="s">
        <v>75</v>
      </c>
      <c r="G1672" t="s">
        <v>11</v>
      </c>
      <c r="H1672" t="s">
        <v>11</v>
      </c>
    </row>
    <row r="1673" spans="1:8" x14ac:dyDescent="0.35">
      <c r="A1673" t="s">
        <v>37</v>
      </c>
      <c r="B1673" t="s">
        <v>78</v>
      </c>
      <c r="C1673" t="s">
        <v>2168</v>
      </c>
      <c r="D1673">
        <v>1</v>
      </c>
      <c r="E1673">
        <v>6</v>
      </c>
      <c r="F1673" t="s">
        <v>75</v>
      </c>
      <c r="G1673" t="s">
        <v>11</v>
      </c>
      <c r="H1673" t="s">
        <v>11</v>
      </c>
    </row>
    <row r="1674" spans="1:8" x14ac:dyDescent="0.35">
      <c r="A1674" t="s">
        <v>37</v>
      </c>
      <c r="B1674" t="s">
        <v>78</v>
      </c>
      <c r="C1674" t="s">
        <v>1641</v>
      </c>
      <c r="D1674">
        <v>1</v>
      </c>
      <c r="E1674">
        <v>6</v>
      </c>
      <c r="F1674" t="s">
        <v>75</v>
      </c>
      <c r="G1674" t="s">
        <v>11</v>
      </c>
      <c r="H1674" t="s">
        <v>11</v>
      </c>
    </row>
    <row r="1675" spans="1:8" x14ac:dyDescent="0.35">
      <c r="A1675" t="s">
        <v>37</v>
      </c>
      <c r="B1675" t="s">
        <v>78</v>
      </c>
      <c r="C1675" t="s">
        <v>2169</v>
      </c>
      <c r="D1675">
        <v>1</v>
      </c>
      <c r="E1675">
        <v>6</v>
      </c>
      <c r="F1675" t="s">
        <v>75</v>
      </c>
      <c r="G1675" t="s">
        <v>11</v>
      </c>
      <c r="H1675" t="s">
        <v>11</v>
      </c>
    </row>
    <row r="1676" spans="1:8" x14ac:dyDescent="0.35">
      <c r="A1676" t="s">
        <v>37</v>
      </c>
      <c r="B1676" t="s">
        <v>78</v>
      </c>
      <c r="C1676" t="s">
        <v>2170</v>
      </c>
      <c r="D1676">
        <v>1</v>
      </c>
      <c r="E1676">
        <v>6</v>
      </c>
      <c r="F1676" t="s">
        <v>75</v>
      </c>
      <c r="G1676" t="s">
        <v>11</v>
      </c>
      <c r="H1676" t="s">
        <v>11</v>
      </c>
    </row>
    <row r="1677" spans="1:8" x14ac:dyDescent="0.35">
      <c r="A1677" t="s">
        <v>37</v>
      </c>
      <c r="B1677" t="s">
        <v>78</v>
      </c>
      <c r="C1677" t="s">
        <v>2171</v>
      </c>
      <c r="D1677">
        <v>1</v>
      </c>
      <c r="E1677">
        <v>6</v>
      </c>
      <c r="F1677" t="s">
        <v>75</v>
      </c>
      <c r="G1677" t="s">
        <v>11</v>
      </c>
      <c r="H1677" t="s">
        <v>11</v>
      </c>
    </row>
    <row r="1678" spans="1:8" x14ac:dyDescent="0.35">
      <c r="A1678" t="s">
        <v>37</v>
      </c>
      <c r="B1678" t="s">
        <v>78</v>
      </c>
      <c r="C1678" t="s">
        <v>1794</v>
      </c>
      <c r="D1678">
        <v>1</v>
      </c>
      <c r="E1678">
        <v>6</v>
      </c>
      <c r="F1678" t="s">
        <v>75</v>
      </c>
      <c r="G1678" t="s">
        <v>11</v>
      </c>
      <c r="H1678" t="s">
        <v>11</v>
      </c>
    </row>
    <row r="1679" spans="1:8" x14ac:dyDescent="0.35">
      <c r="A1679" t="s">
        <v>37</v>
      </c>
      <c r="B1679" t="s">
        <v>78</v>
      </c>
      <c r="C1679" t="s">
        <v>2172</v>
      </c>
      <c r="D1679">
        <v>1</v>
      </c>
      <c r="E1679">
        <v>6</v>
      </c>
      <c r="F1679" t="s">
        <v>75</v>
      </c>
      <c r="G1679" t="s">
        <v>11</v>
      </c>
      <c r="H1679" t="s">
        <v>11</v>
      </c>
    </row>
    <row r="1680" spans="1:8" x14ac:dyDescent="0.35">
      <c r="A1680" t="s">
        <v>37</v>
      </c>
      <c r="B1680" t="s">
        <v>78</v>
      </c>
      <c r="C1680" t="s">
        <v>2173</v>
      </c>
      <c r="D1680">
        <v>1</v>
      </c>
      <c r="E1680">
        <v>6</v>
      </c>
      <c r="F1680" t="s">
        <v>75</v>
      </c>
      <c r="G1680" t="s">
        <v>11</v>
      </c>
      <c r="H1680" t="s">
        <v>11</v>
      </c>
    </row>
    <row r="1681" spans="1:8" x14ac:dyDescent="0.35">
      <c r="A1681" t="s">
        <v>37</v>
      </c>
      <c r="B1681" t="s">
        <v>78</v>
      </c>
      <c r="C1681" t="s">
        <v>2174</v>
      </c>
      <c r="D1681">
        <v>2</v>
      </c>
      <c r="E1681">
        <v>6</v>
      </c>
      <c r="F1681" t="s">
        <v>75</v>
      </c>
      <c r="G1681" t="s">
        <v>11</v>
      </c>
      <c r="H1681" t="s">
        <v>11</v>
      </c>
    </row>
    <row r="1682" spans="1:8" x14ac:dyDescent="0.35">
      <c r="A1682" t="s">
        <v>37</v>
      </c>
      <c r="B1682" t="s">
        <v>78</v>
      </c>
      <c r="C1682" t="s">
        <v>1598</v>
      </c>
      <c r="D1682">
        <v>1</v>
      </c>
      <c r="E1682">
        <v>6</v>
      </c>
      <c r="F1682" t="s">
        <v>75</v>
      </c>
      <c r="G1682" t="s">
        <v>11</v>
      </c>
      <c r="H1682" t="s">
        <v>11</v>
      </c>
    </row>
    <row r="1683" spans="1:8" x14ac:dyDescent="0.35">
      <c r="A1683" t="s">
        <v>37</v>
      </c>
      <c r="B1683" t="s">
        <v>78</v>
      </c>
      <c r="C1683" t="s">
        <v>2175</v>
      </c>
      <c r="D1683">
        <v>1</v>
      </c>
      <c r="E1683">
        <v>6</v>
      </c>
      <c r="F1683" t="s">
        <v>75</v>
      </c>
      <c r="G1683" t="s">
        <v>11</v>
      </c>
      <c r="H1683" t="s">
        <v>11</v>
      </c>
    </row>
    <row r="1684" spans="1:8" x14ac:dyDescent="0.35">
      <c r="A1684" t="s">
        <v>37</v>
      </c>
      <c r="B1684" t="s">
        <v>78</v>
      </c>
      <c r="C1684" t="s">
        <v>2176</v>
      </c>
      <c r="D1684">
        <v>2</v>
      </c>
      <c r="E1684">
        <v>6</v>
      </c>
      <c r="F1684" t="s">
        <v>75</v>
      </c>
      <c r="G1684" t="s">
        <v>11</v>
      </c>
      <c r="H1684" t="s">
        <v>11</v>
      </c>
    </row>
    <row r="1685" spans="1:8" x14ac:dyDescent="0.35">
      <c r="A1685" t="s">
        <v>37</v>
      </c>
      <c r="B1685" t="s">
        <v>78</v>
      </c>
      <c r="C1685" t="s">
        <v>1600</v>
      </c>
      <c r="D1685">
        <v>1</v>
      </c>
      <c r="E1685">
        <v>6</v>
      </c>
      <c r="F1685" t="s">
        <v>75</v>
      </c>
      <c r="G1685" t="s">
        <v>11</v>
      </c>
      <c r="H1685" t="s">
        <v>11</v>
      </c>
    </row>
    <row r="1686" spans="1:8" x14ac:dyDescent="0.35">
      <c r="A1686" t="s">
        <v>37</v>
      </c>
      <c r="B1686" t="s">
        <v>78</v>
      </c>
      <c r="C1686" t="s">
        <v>2177</v>
      </c>
      <c r="D1686">
        <v>2</v>
      </c>
      <c r="E1686">
        <v>6</v>
      </c>
      <c r="F1686" t="s">
        <v>75</v>
      </c>
      <c r="G1686" t="s">
        <v>11</v>
      </c>
      <c r="H1686" t="s">
        <v>11</v>
      </c>
    </row>
    <row r="1687" spans="1:8" x14ac:dyDescent="0.35">
      <c r="A1687" t="s">
        <v>37</v>
      </c>
      <c r="B1687" t="s">
        <v>78</v>
      </c>
      <c r="C1687" t="s">
        <v>2178</v>
      </c>
      <c r="D1687">
        <v>1</v>
      </c>
      <c r="E1687">
        <v>6</v>
      </c>
      <c r="F1687" t="s">
        <v>75</v>
      </c>
      <c r="G1687" t="s">
        <v>11</v>
      </c>
      <c r="H1687" t="s">
        <v>11</v>
      </c>
    </row>
    <row r="1688" spans="1:8" x14ac:dyDescent="0.35">
      <c r="A1688" t="s">
        <v>37</v>
      </c>
      <c r="B1688" t="s">
        <v>78</v>
      </c>
      <c r="C1688" t="s">
        <v>2179</v>
      </c>
      <c r="D1688">
        <v>2</v>
      </c>
      <c r="E1688">
        <v>6</v>
      </c>
      <c r="F1688" t="s">
        <v>75</v>
      </c>
      <c r="G1688" t="s">
        <v>11</v>
      </c>
      <c r="H1688" t="s">
        <v>11</v>
      </c>
    </row>
    <row r="1689" spans="1:8" x14ac:dyDescent="0.35">
      <c r="A1689" t="s">
        <v>41</v>
      </c>
      <c r="B1689" t="s">
        <v>95</v>
      </c>
      <c r="C1689" t="s">
        <v>1338</v>
      </c>
      <c r="D1689">
        <v>1</v>
      </c>
      <c r="E1689">
        <v>5</v>
      </c>
      <c r="F1689" t="s">
        <v>7</v>
      </c>
      <c r="G1689" t="s">
        <v>11</v>
      </c>
      <c r="H1689" t="s">
        <v>11</v>
      </c>
    </row>
    <row r="1690" spans="1:8" x14ac:dyDescent="0.35">
      <c r="A1690" t="s">
        <v>41</v>
      </c>
      <c r="B1690" t="s">
        <v>95</v>
      </c>
      <c r="C1690" t="s">
        <v>2180</v>
      </c>
      <c r="D1690">
        <v>2</v>
      </c>
      <c r="E1690">
        <v>5</v>
      </c>
      <c r="F1690" t="s">
        <v>7</v>
      </c>
      <c r="G1690" t="s">
        <v>11</v>
      </c>
      <c r="H1690" t="s">
        <v>11</v>
      </c>
    </row>
    <row r="1691" spans="1:8" x14ac:dyDescent="0.35">
      <c r="A1691" t="s">
        <v>41</v>
      </c>
      <c r="B1691" t="s">
        <v>95</v>
      </c>
      <c r="C1691" t="s">
        <v>2181</v>
      </c>
      <c r="D1691">
        <v>3</v>
      </c>
      <c r="E1691">
        <v>5</v>
      </c>
      <c r="F1691" t="s">
        <v>7</v>
      </c>
      <c r="G1691" t="s">
        <v>11</v>
      </c>
      <c r="H1691" t="s">
        <v>11</v>
      </c>
    </row>
    <row r="1692" spans="1:8" x14ac:dyDescent="0.35">
      <c r="A1692" t="s">
        <v>41</v>
      </c>
      <c r="B1692" t="s">
        <v>95</v>
      </c>
      <c r="C1692" t="s">
        <v>2182</v>
      </c>
      <c r="D1692">
        <v>2</v>
      </c>
      <c r="E1692">
        <v>5</v>
      </c>
      <c r="F1692" t="s">
        <v>7</v>
      </c>
      <c r="G1692" t="s">
        <v>11</v>
      </c>
      <c r="H1692" t="s">
        <v>11</v>
      </c>
    </row>
    <row r="1693" spans="1:8" x14ac:dyDescent="0.35">
      <c r="A1693" t="s">
        <v>41</v>
      </c>
      <c r="B1693" t="s">
        <v>95</v>
      </c>
      <c r="C1693" t="s">
        <v>1573</v>
      </c>
      <c r="D1693">
        <v>3</v>
      </c>
      <c r="E1693">
        <v>5</v>
      </c>
      <c r="F1693" t="s">
        <v>7</v>
      </c>
      <c r="G1693" t="s">
        <v>11</v>
      </c>
      <c r="H1693" t="s">
        <v>11</v>
      </c>
    </row>
    <row r="1694" spans="1:8" x14ac:dyDescent="0.35">
      <c r="A1694" t="s">
        <v>41</v>
      </c>
      <c r="B1694" t="s">
        <v>95</v>
      </c>
      <c r="C1694" t="s">
        <v>1229</v>
      </c>
      <c r="D1694">
        <v>1</v>
      </c>
      <c r="E1694">
        <v>5</v>
      </c>
      <c r="F1694" t="s">
        <v>7</v>
      </c>
      <c r="G1694" t="s">
        <v>11</v>
      </c>
      <c r="H1694" t="s">
        <v>11</v>
      </c>
    </row>
    <row r="1695" spans="1:8" x14ac:dyDescent="0.35">
      <c r="A1695" t="s">
        <v>41</v>
      </c>
      <c r="B1695" t="s">
        <v>95</v>
      </c>
      <c r="C1695" t="s">
        <v>2183</v>
      </c>
      <c r="D1695">
        <v>2</v>
      </c>
      <c r="E1695">
        <v>5</v>
      </c>
      <c r="F1695" t="s">
        <v>7</v>
      </c>
      <c r="G1695" t="s">
        <v>11</v>
      </c>
      <c r="H1695" t="s">
        <v>11</v>
      </c>
    </row>
    <row r="1696" spans="1:8" x14ac:dyDescent="0.35">
      <c r="A1696" t="s">
        <v>41</v>
      </c>
      <c r="B1696" t="s">
        <v>95</v>
      </c>
      <c r="C1696" t="s">
        <v>1812</v>
      </c>
      <c r="D1696">
        <v>1</v>
      </c>
      <c r="E1696">
        <v>5</v>
      </c>
      <c r="F1696" t="s">
        <v>7</v>
      </c>
      <c r="G1696" t="s">
        <v>11</v>
      </c>
      <c r="H1696" t="s">
        <v>11</v>
      </c>
    </row>
    <row r="1697" spans="1:8" x14ac:dyDescent="0.35">
      <c r="A1697" t="s">
        <v>41</v>
      </c>
      <c r="B1697" t="s">
        <v>95</v>
      </c>
      <c r="C1697" t="s">
        <v>1603</v>
      </c>
      <c r="D1697">
        <v>3</v>
      </c>
      <c r="E1697">
        <v>5</v>
      </c>
      <c r="F1697" t="s">
        <v>7</v>
      </c>
      <c r="G1697" t="s">
        <v>11</v>
      </c>
      <c r="H1697" t="s">
        <v>11</v>
      </c>
    </row>
    <row r="1698" spans="1:8" x14ac:dyDescent="0.35">
      <c r="A1698" t="s">
        <v>41</v>
      </c>
      <c r="B1698" t="s">
        <v>95</v>
      </c>
      <c r="C1698" t="s">
        <v>2184</v>
      </c>
      <c r="D1698">
        <v>2</v>
      </c>
      <c r="E1698">
        <v>5</v>
      </c>
      <c r="F1698" t="s">
        <v>7</v>
      </c>
      <c r="G1698" t="s">
        <v>11</v>
      </c>
      <c r="H1698" t="s">
        <v>11</v>
      </c>
    </row>
    <row r="1699" spans="1:8" x14ac:dyDescent="0.35">
      <c r="A1699" t="s">
        <v>41</v>
      </c>
      <c r="B1699" t="s">
        <v>95</v>
      </c>
      <c r="C1699" t="s">
        <v>2185</v>
      </c>
      <c r="D1699">
        <v>1</v>
      </c>
      <c r="E1699">
        <v>5</v>
      </c>
      <c r="F1699" t="s">
        <v>7</v>
      </c>
      <c r="G1699" t="s">
        <v>11</v>
      </c>
      <c r="H1699" t="s">
        <v>11</v>
      </c>
    </row>
    <row r="1700" spans="1:8" x14ac:dyDescent="0.35">
      <c r="A1700" t="s">
        <v>41</v>
      </c>
      <c r="B1700" t="s">
        <v>95</v>
      </c>
      <c r="C1700" t="s">
        <v>1119</v>
      </c>
      <c r="D1700">
        <v>1</v>
      </c>
      <c r="E1700">
        <v>5</v>
      </c>
      <c r="F1700" t="s">
        <v>7</v>
      </c>
      <c r="G1700" t="s">
        <v>11</v>
      </c>
      <c r="H1700" t="s">
        <v>11</v>
      </c>
    </row>
    <row r="1701" spans="1:8" x14ac:dyDescent="0.35">
      <c r="A1701" t="s">
        <v>41</v>
      </c>
      <c r="B1701" t="s">
        <v>95</v>
      </c>
      <c r="C1701" t="s">
        <v>1605</v>
      </c>
      <c r="D1701">
        <v>1</v>
      </c>
      <c r="E1701">
        <v>5</v>
      </c>
      <c r="F1701" t="s">
        <v>7</v>
      </c>
      <c r="G1701" t="s">
        <v>11</v>
      </c>
      <c r="H1701" t="s">
        <v>11</v>
      </c>
    </row>
    <row r="1702" spans="1:8" x14ac:dyDescent="0.35">
      <c r="A1702" t="s">
        <v>41</v>
      </c>
      <c r="B1702" t="s">
        <v>95</v>
      </c>
      <c r="C1702" t="s">
        <v>1704</v>
      </c>
      <c r="D1702">
        <v>1</v>
      </c>
      <c r="E1702">
        <v>5</v>
      </c>
      <c r="F1702" t="s">
        <v>7</v>
      </c>
      <c r="G1702" t="s">
        <v>11</v>
      </c>
      <c r="H1702" t="s">
        <v>11</v>
      </c>
    </row>
    <row r="1703" spans="1:8" x14ac:dyDescent="0.35">
      <c r="A1703" t="s">
        <v>41</v>
      </c>
      <c r="B1703" t="s">
        <v>95</v>
      </c>
      <c r="C1703" t="s">
        <v>1746</v>
      </c>
      <c r="D1703">
        <v>2</v>
      </c>
      <c r="E1703">
        <v>5</v>
      </c>
      <c r="F1703" t="s">
        <v>7</v>
      </c>
      <c r="G1703" t="s">
        <v>11</v>
      </c>
      <c r="H1703" t="s">
        <v>11</v>
      </c>
    </row>
    <row r="1704" spans="1:8" x14ac:dyDescent="0.35">
      <c r="A1704" t="s">
        <v>41</v>
      </c>
      <c r="B1704" t="s">
        <v>95</v>
      </c>
      <c r="C1704" t="s">
        <v>2186</v>
      </c>
      <c r="D1704">
        <v>3</v>
      </c>
      <c r="E1704">
        <v>5</v>
      </c>
      <c r="F1704" t="s">
        <v>7</v>
      </c>
      <c r="G1704" t="s">
        <v>11</v>
      </c>
      <c r="H1704" t="s">
        <v>11</v>
      </c>
    </row>
    <row r="1705" spans="1:8" x14ac:dyDescent="0.35">
      <c r="A1705" t="s">
        <v>41</v>
      </c>
      <c r="B1705" t="s">
        <v>95</v>
      </c>
      <c r="C1705" t="s">
        <v>1347</v>
      </c>
      <c r="D1705">
        <v>2</v>
      </c>
      <c r="E1705">
        <v>5</v>
      </c>
      <c r="F1705" t="s">
        <v>7</v>
      </c>
      <c r="G1705" t="s">
        <v>11</v>
      </c>
      <c r="H1705" t="s">
        <v>11</v>
      </c>
    </row>
    <row r="1706" spans="1:8" x14ac:dyDescent="0.35">
      <c r="A1706" t="s">
        <v>41</v>
      </c>
      <c r="B1706" t="s">
        <v>95</v>
      </c>
      <c r="C1706" t="s">
        <v>1126</v>
      </c>
      <c r="D1706">
        <v>1</v>
      </c>
      <c r="E1706">
        <v>5</v>
      </c>
      <c r="F1706" t="s">
        <v>7</v>
      </c>
      <c r="G1706" t="s">
        <v>11</v>
      </c>
      <c r="H1706" t="s">
        <v>11</v>
      </c>
    </row>
    <row r="1707" spans="1:8" x14ac:dyDescent="0.35">
      <c r="A1707" t="s">
        <v>41</v>
      </c>
      <c r="B1707" t="s">
        <v>95</v>
      </c>
      <c r="C1707" t="s">
        <v>2187</v>
      </c>
      <c r="D1707">
        <v>1</v>
      </c>
      <c r="E1707">
        <v>5</v>
      </c>
      <c r="F1707" t="s">
        <v>7</v>
      </c>
      <c r="G1707" t="s">
        <v>11</v>
      </c>
      <c r="H1707" t="s">
        <v>11</v>
      </c>
    </row>
    <row r="1708" spans="1:8" x14ac:dyDescent="0.35">
      <c r="A1708" t="s">
        <v>41</v>
      </c>
      <c r="B1708" t="s">
        <v>95</v>
      </c>
      <c r="C1708" t="s">
        <v>2188</v>
      </c>
      <c r="D1708">
        <v>1</v>
      </c>
      <c r="E1708">
        <v>5</v>
      </c>
      <c r="F1708" t="s">
        <v>7</v>
      </c>
      <c r="G1708" t="s">
        <v>11</v>
      </c>
      <c r="H1708" t="s">
        <v>11</v>
      </c>
    </row>
    <row r="1709" spans="1:8" x14ac:dyDescent="0.35">
      <c r="A1709" t="s">
        <v>41</v>
      </c>
      <c r="B1709" t="s">
        <v>95</v>
      </c>
      <c r="C1709" t="s">
        <v>1352</v>
      </c>
      <c r="D1709">
        <v>2</v>
      </c>
      <c r="E1709">
        <v>5</v>
      </c>
      <c r="F1709" t="s">
        <v>7</v>
      </c>
      <c r="G1709" t="s">
        <v>11</v>
      </c>
      <c r="H1709" t="s">
        <v>11</v>
      </c>
    </row>
    <row r="1710" spans="1:8" x14ac:dyDescent="0.35">
      <c r="A1710" t="s">
        <v>41</v>
      </c>
      <c r="B1710" t="s">
        <v>95</v>
      </c>
      <c r="C1710" t="s">
        <v>2020</v>
      </c>
      <c r="D1710">
        <v>1</v>
      </c>
      <c r="E1710">
        <v>5</v>
      </c>
      <c r="F1710" t="s">
        <v>7</v>
      </c>
      <c r="G1710" t="s">
        <v>11</v>
      </c>
      <c r="H1710" t="s">
        <v>11</v>
      </c>
    </row>
    <row r="1711" spans="1:8" x14ac:dyDescent="0.35">
      <c r="A1711" t="s">
        <v>41</v>
      </c>
      <c r="B1711" t="s">
        <v>95</v>
      </c>
      <c r="C1711" t="s">
        <v>2189</v>
      </c>
      <c r="D1711">
        <v>2</v>
      </c>
      <c r="E1711">
        <v>5</v>
      </c>
      <c r="F1711" t="s">
        <v>7</v>
      </c>
      <c r="G1711" t="s">
        <v>11</v>
      </c>
      <c r="H1711" t="s">
        <v>11</v>
      </c>
    </row>
    <row r="1712" spans="1:8" x14ac:dyDescent="0.35">
      <c r="A1712" t="s">
        <v>41</v>
      </c>
      <c r="B1712" t="s">
        <v>95</v>
      </c>
      <c r="C1712" t="s">
        <v>1484</v>
      </c>
      <c r="D1712">
        <v>2</v>
      </c>
      <c r="E1712">
        <v>5</v>
      </c>
      <c r="F1712" t="s">
        <v>7</v>
      </c>
      <c r="G1712" t="s">
        <v>11</v>
      </c>
      <c r="H1712" t="s">
        <v>11</v>
      </c>
    </row>
    <row r="1713" spans="1:8" x14ac:dyDescent="0.35">
      <c r="A1713" t="s">
        <v>41</v>
      </c>
      <c r="B1713" t="s">
        <v>95</v>
      </c>
      <c r="C1713" t="s">
        <v>2190</v>
      </c>
      <c r="D1713">
        <v>2</v>
      </c>
      <c r="E1713">
        <v>5</v>
      </c>
      <c r="F1713" t="s">
        <v>7</v>
      </c>
      <c r="G1713" t="s">
        <v>11</v>
      </c>
      <c r="H1713" t="s">
        <v>11</v>
      </c>
    </row>
    <row r="1714" spans="1:8" x14ac:dyDescent="0.35">
      <c r="A1714" t="s">
        <v>41</v>
      </c>
      <c r="B1714" t="s">
        <v>95</v>
      </c>
      <c r="C1714" t="s">
        <v>2191</v>
      </c>
      <c r="D1714">
        <v>1</v>
      </c>
      <c r="E1714">
        <v>5</v>
      </c>
      <c r="F1714" t="s">
        <v>7</v>
      </c>
      <c r="G1714" t="s">
        <v>11</v>
      </c>
      <c r="H1714" t="s">
        <v>11</v>
      </c>
    </row>
    <row r="1715" spans="1:8" x14ac:dyDescent="0.35">
      <c r="A1715" t="s">
        <v>41</v>
      </c>
      <c r="B1715" t="s">
        <v>95</v>
      </c>
      <c r="C1715" t="s">
        <v>1487</v>
      </c>
      <c r="D1715">
        <v>1</v>
      </c>
      <c r="E1715">
        <v>5</v>
      </c>
      <c r="F1715" t="s">
        <v>7</v>
      </c>
      <c r="G1715" t="s">
        <v>11</v>
      </c>
      <c r="H1715" t="s">
        <v>11</v>
      </c>
    </row>
    <row r="1716" spans="1:8" x14ac:dyDescent="0.35">
      <c r="A1716" t="s">
        <v>41</v>
      </c>
      <c r="B1716" t="s">
        <v>95</v>
      </c>
      <c r="C1716" t="s">
        <v>1356</v>
      </c>
      <c r="D1716">
        <v>1</v>
      </c>
      <c r="E1716">
        <v>5</v>
      </c>
      <c r="F1716" t="s">
        <v>7</v>
      </c>
      <c r="G1716" t="s">
        <v>11</v>
      </c>
      <c r="H1716" t="s">
        <v>11</v>
      </c>
    </row>
    <row r="1717" spans="1:8" x14ac:dyDescent="0.35">
      <c r="A1717" t="s">
        <v>41</v>
      </c>
      <c r="B1717" t="s">
        <v>95</v>
      </c>
      <c r="C1717" t="s">
        <v>2192</v>
      </c>
      <c r="D1717">
        <v>2</v>
      </c>
      <c r="E1717">
        <v>5</v>
      </c>
      <c r="F1717" t="s">
        <v>7</v>
      </c>
      <c r="G1717" t="s">
        <v>11</v>
      </c>
      <c r="H1717" t="s">
        <v>11</v>
      </c>
    </row>
    <row r="1718" spans="1:8" x14ac:dyDescent="0.35">
      <c r="A1718" t="s">
        <v>41</v>
      </c>
      <c r="B1718" t="s">
        <v>95</v>
      </c>
      <c r="C1718" t="s">
        <v>2022</v>
      </c>
      <c r="D1718">
        <v>1</v>
      </c>
      <c r="E1718">
        <v>5</v>
      </c>
      <c r="F1718" t="s">
        <v>7</v>
      </c>
      <c r="G1718" t="s">
        <v>11</v>
      </c>
      <c r="H1718" t="s">
        <v>11</v>
      </c>
    </row>
    <row r="1719" spans="1:8" x14ac:dyDescent="0.35">
      <c r="A1719" t="s">
        <v>41</v>
      </c>
      <c r="B1719" t="s">
        <v>95</v>
      </c>
      <c r="C1719" t="s">
        <v>1142</v>
      </c>
      <c r="D1719">
        <v>1</v>
      </c>
      <c r="E1719">
        <v>5</v>
      </c>
      <c r="F1719" t="s">
        <v>7</v>
      </c>
      <c r="G1719" t="s">
        <v>11</v>
      </c>
      <c r="H1719" t="s">
        <v>11</v>
      </c>
    </row>
    <row r="1720" spans="1:8" x14ac:dyDescent="0.35">
      <c r="A1720" t="s">
        <v>41</v>
      </c>
      <c r="B1720" t="s">
        <v>95</v>
      </c>
      <c r="C1720" t="s">
        <v>2193</v>
      </c>
      <c r="D1720">
        <v>1</v>
      </c>
      <c r="E1720">
        <v>5</v>
      </c>
      <c r="F1720" t="s">
        <v>7</v>
      </c>
      <c r="G1720" t="s">
        <v>11</v>
      </c>
      <c r="H1720" t="s">
        <v>11</v>
      </c>
    </row>
    <row r="1721" spans="1:8" x14ac:dyDescent="0.35">
      <c r="A1721" t="s">
        <v>41</v>
      </c>
      <c r="B1721" t="s">
        <v>95</v>
      </c>
      <c r="C1721" t="s">
        <v>2194</v>
      </c>
      <c r="D1721">
        <v>1</v>
      </c>
      <c r="E1721">
        <v>5</v>
      </c>
      <c r="F1721" t="s">
        <v>7</v>
      </c>
      <c r="G1721" t="s">
        <v>11</v>
      </c>
      <c r="H1721" t="s">
        <v>11</v>
      </c>
    </row>
    <row r="1722" spans="1:8" x14ac:dyDescent="0.35">
      <c r="A1722" t="s">
        <v>41</v>
      </c>
      <c r="B1722" t="s">
        <v>95</v>
      </c>
      <c r="C1722" t="s">
        <v>2195</v>
      </c>
      <c r="D1722">
        <v>1</v>
      </c>
      <c r="E1722">
        <v>5</v>
      </c>
      <c r="F1722" t="s">
        <v>7</v>
      </c>
      <c r="G1722" t="s">
        <v>11</v>
      </c>
      <c r="H1722" t="s">
        <v>11</v>
      </c>
    </row>
    <row r="1723" spans="1:8" x14ac:dyDescent="0.35">
      <c r="A1723" t="s">
        <v>41</v>
      </c>
      <c r="B1723" t="s">
        <v>95</v>
      </c>
      <c r="C1723" t="s">
        <v>2196</v>
      </c>
      <c r="D1723">
        <v>3</v>
      </c>
      <c r="E1723">
        <v>5</v>
      </c>
      <c r="F1723" t="s">
        <v>7</v>
      </c>
      <c r="G1723" t="s">
        <v>11</v>
      </c>
      <c r="H1723" t="s">
        <v>11</v>
      </c>
    </row>
    <row r="1724" spans="1:8" x14ac:dyDescent="0.35">
      <c r="A1724" t="s">
        <v>41</v>
      </c>
      <c r="B1724" t="s">
        <v>95</v>
      </c>
      <c r="C1724" t="s">
        <v>1361</v>
      </c>
      <c r="D1724">
        <v>3</v>
      </c>
      <c r="E1724">
        <v>5</v>
      </c>
      <c r="F1724" t="s">
        <v>7</v>
      </c>
      <c r="G1724" t="s">
        <v>11</v>
      </c>
      <c r="H1724" t="s">
        <v>11</v>
      </c>
    </row>
    <row r="1725" spans="1:8" x14ac:dyDescent="0.35">
      <c r="A1725" t="s">
        <v>41</v>
      </c>
      <c r="B1725" t="s">
        <v>95</v>
      </c>
      <c r="C1725" t="s">
        <v>2197</v>
      </c>
      <c r="D1725">
        <v>1</v>
      </c>
      <c r="E1725">
        <v>5</v>
      </c>
      <c r="F1725" t="s">
        <v>7</v>
      </c>
      <c r="G1725" t="s">
        <v>11</v>
      </c>
      <c r="H1725" t="s">
        <v>11</v>
      </c>
    </row>
    <row r="1726" spans="1:8" x14ac:dyDescent="0.35">
      <c r="A1726" t="s">
        <v>41</v>
      </c>
      <c r="B1726" t="s">
        <v>95</v>
      </c>
      <c r="C1726" t="s">
        <v>1246</v>
      </c>
      <c r="D1726">
        <v>3</v>
      </c>
      <c r="E1726">
        <v>5</v>
      </c>
      <c r="F1726" t="s">
        <v>7</v>
      </c>
      <c r="G1726" t="s">
        <v>11</v>
      </c>
      <c r="H1726" t="s">
        <v>11</v>
      </c>
    </row>
    <row r="1727" spans="1:8" x14ac:dyDescent="0.35">
      <c r="A1727" t="s">
        <v>41</v>
      </c>
      <c r="B1727" t="s">
        <v>95</v>
      </c>
      <c r="C1727" t="s">
        <v>1760</v>
      </c>
      <c r="D1727">
        <v>1</v>
      </c>
      <c r="E1727">
        <v>5</v>
      </c>
      <c r="F1727" t="s">
        <v>7</v>
      </c>
      <c r="G1727" t="s">
        <v>11</v>
      </c>
      <c r="H1727" t="s">
        <v>11</v>
      </c>
    </row>
    <row r="1728" spans="1:8" x14ac:dyDescent="0.35">
      <c r="A1728" t="s">
        <v>41</v>
      </c>
      <c r="B1728" t="s">
        <v>95</v>
      </c>
      <c r="C1728" t="s">
        <v>1505</v>
      </c>
      <c r="D1728">
        <v>2</v>
      </c>
      <c r="E1728">
        <v>5</v>
      </c>
      <c r="F1728" t="s">
        <v>7</v>
      </c>
      <c r="G1728" t="s">
        <v>11</v>
      </c>
      <c r="H1728" t="s">
        <v>11</v>
      </c>
    </row>
    <row r="1729" spans="1:8" x14ac:dyDescent="0.35">
      <c r="A1729" t="s">
        <v>41</v>
      </c>
      <c r="B1729" t="s">
        <v>95</v>
      </c>
      <c r="C1729" t="s">
        <v>1422</v>
      </c>
      <c r="D1729">
        <v>1</v>
      </c>
      <c r="E1729">
        <v>5</v>
      </c>
      <c r="F1729" t="s">
        <v>7</v>
      </c>
      <c r="G1729" t="s">
        <v>11</v>
      </c>
      <c r="H1729" t="s">
        <v>11</v>
      </c>
    </row>
    <row r="1730" spans="1:8" x14ac:dyDescent="0.35">
      <c r="A1730" t="s">
        <v>41</v>
      </c>
      <c r="B1730" t="s">
        <v>95</v>
      </c>
      <c r="C1730" t="s">
        <v>1833</v>
      </c>
      <c r="D1730">
        <v>1</v>
      </c>
      <c r="E1730">
        <v>5</v>
      </c>
      <c r="F1730" t="s">
        <v>7</v>
      </c>
      <c r="G1730" t="s">
        <v>11</v>
      </c>
      <c r="H1730" t="s">
        <v>11</v>
      </c>
    </row>
    <row r="1731" spans="1:8" x14ac:dyDescent="0.35">
      <c r="A1731" t="s">
        <v>41</v>
      </c>
      <c r="B1731" t="s">
        <v>95</v>
      </c>
      <c r="C1731" t="s">
        <v>2198</v>
      </c>
      <c r="D1731">
        <v>1</v>
      </c>
      <c r="E1731">
        <v>5</v>
      </c>
      <c r="F1731" t="s">
        <v>7</v>
      </c>
      <c r="G1731" t="s">
        <v>11</v>
      </c>
      <c r="H1731" t="s">
        <v>11</v>
      </c>
    </row>
    <row r="1732" spans="1:8" x14ac:dyDescent="0.35">
      <c r="A1732" t="s">
        <v>41</v>
      </c>
      <c r="B1732" t="s">
        <v>95</v>
      </c>
      <c r="C1732" t="s">
        <v>2199</v>
      </c>
      <c r="D1732">
        <v>1</v>
      </c>
      <c r="E1732">
        <v>5</v>
      </c>
      <c r="F1732" t="s">
        <v>7</v>
      </c>
      <c r="G1732" t="s">
        <v>11</v>
      </c>
      <c r="H1732" t="s">
        <v>11</v>
      </c>
    </row>
    <row r="1733" spans="1:8" x14ac:dyDescent="0.35">
      <c r="A1733" t="s">
        <v>41</v>
      </c>
      <c r="B1733" t="s">
        <v>95</v>
      </c>
      <c r="C1733" t="s">
        <v>2119</v>
      </c>
      <c r="D1733">
        <v>3</v>
      </c>
      <c r="E1733">
        <v>5</v>
      </c>
      <c r="F1733" t="s">
        <v>7</v>
      </c>
      <c r="G1733" t="s">
        <v>11</v>
      </c>
      <c r="H1733" t="s">
        <v>11</v>
      </c>
    </row>
    <row r="1734" spans="1:8" x14ac:dyDescent="0.35">
      <c r="A1734" t="s">
        <v>41</v>
      </c>
      <c r="B1734" t="s">
        <v>95</v>
      </c>
      <c r="C1734" t="s">
        <v>2200</v>
      </c>
      <c r="D1734">
        <v>3</v>
      </c>
      <c r="E1734">
        <v>5</v>
      </c>
      <c r="F1734" t="s">
        <v>7</v>
      </c>
      <c r="G1734" t="s">
        <v>11</v>
      </c>
      <c r="H1734" t="s">
        <v>11</v>
      </c>
    </row>
    <row r="1735" spans="1:8" x14ac:dyDescent="0.35">
      <c r="A1735" t="s">
        <v>41</v>
      </c>
      <c r="B1735" t="s">
        <v>95</v>
      </c>
      <c r="C1735" t="s">
        <v>1249</v>
      </c>
      <c r="D1735">
        <v>2</v>
      </c>
      <c r="E1735">
        <v>5</v>
      </c>
      <c r="F1735" t="s">
        <v>7</v>
      </c>
      <c r="G1735" t="s">
        <v>11</v>
      </c>
      <c r="H1735" t="s">
        <v>11</v>
      </c>
    </row>
    <row r="1736" spans="1:8" x14ac:dyDescent="0.35">
      <c r="A1736" t="s">
        <v>41</v>
      </c>
      <c r="B1736" t="s">
        <v>95</v>
      </c>
      <c r="C1736" t="s">
        <v>1149</v>
      </c>
      <c r="D1736">
        <v>1</v>
      </c>
      <c r="E1736">
        <v>5</v>
      </c>
      <c r="F1736" t="s">
        <v>7</v>
      </c>
      <c r="G1736" t="s">
        <v>11</v>
      </c>
      <c r="H1736" t="s">
        <v>11</v>
      </c>
    </row>
    <row r="1737" spans="1:8" x14ac:dyDescent="0.35">
      <c r="A1737" t="s">
        <v>41</v>
      </c>
      <c r="B1737" t="s">
        <v>95</v>
      </c>
      <c r="C1737" t="s">
        <v>1252</v>
      </c>
      <c r="D1737">
        <v>1</v>
      </c>
      <c r="E1737">
        <v>5</v>
      </c>
      <c r="F1737" t="s">
        <v>7</v>
      </c>
      <c r="G1737" t="s">
        <v>11</v>
      </c>
      <c r="H1737" t="s">
        <v>11</v>
      </c>
    </row>
    <row r="1738" spans="1:8" x14ac:dyDescent="0.35">
      <c r="A1738" t="s">
        <v>41</v>
      </c>
      <c r="B1738" t="s">
        <v>95</v>
      </c>
      <c r="C1738" t="s">
        <v>2201</v>
      </c>
      <c r="D1738">
        <v>1</v>
      </c>
      <c r="E1738">
        <v>5</v>
      </c>
      <c r="F1738" t="s">
        <v>7</v>
      </c>
      <c r="G1738" t="s">
        <v>11</v>
      </c>
      <c r="H1738" t="s">
        <v>11</v>
      </c>
    </row>
    <row r="1739" spans="1:8" x14ac:dyDescent="0.35">
      <c r="A1739" t="s">
        <v>41</v>
      </c>
      <c r="B1739" t="s">
        <v>95</v>
      </c>
      <c r="C1739" t="s">
        <v>2202</v>
      </c>
      <c r="D1739">
        <v>2</v>
      </c>
      <c r="E1739">
        <v>5</v>
      </c>
      <c r="F1739" t="s">
        <v>7</v>
      </c>
      <c r="G1739" t="s">
        <v>11</v>
      </c>
      <c r="H1739" t="s">
        <v>11</v>
      </c>
    </row>
    <row r="1740" spans="1:8" x14ac:dyDescent="0.35">
      <c r="A1740" t="s">
        <v>41</v>
      </c>
      <c r="B1740" t="s">
        <v>95</v>
      </c>
      <c r="C1740" t="s">
        <v>2203</v>
      </c>
      <c r="D1740">
        <v>2</v>
      </c>
      <c r="E1740">
        <v>5</v>
      </c>
      <c r="F1740" t="s">
        <v>7</v>
      </c>
      <c r="G1740" t="s">
        <v>11</v>
      </c>
      <c r="H1740" t="s">
        <v>11</v>
      </c>
    </row>
    <row r="1741" spans="1:8" x14ac:dyDescent="0.35">
      <c r="A1741" t="s">
        <v>41</v>
      </c>
      <c r="B1741" t="s">
        <v>95</v>
      </c>
      <c r="C1741" t="s">
        <v>2204</v>
      </c>
      <c r="D1741">
        <v>2</v>
      </c>
      <c r="E1741">
        <v>5</v>
      </c>
      <c r="F1741" t="s">
        <v>7</v>
      </c>
      <c r="G1741" t="s">
        <v>11</v>
      </c>
      <c r="H1741" t="s">
        <v>11</v>
      </c>
    </row>
    <row r="1742" spans="1:8" x14ac:dyDescent="0.35">
      <c r="A1742" t="s">
        <v>41</v>
      </c>
      <c r="B1742" t="s">
        <v>95</v>
      </c>
      <c r="C1742" t="s">
        <v>1626</v>
      </c>
      <c r="D1742">
        <v>1</v>
      </c>
      <c r="E1742">
        <v>5</v>
      </c>
      <c r="F1742" t="s">
        <v>7</v>
      </c>
      <c r="G1742" t="s">
        <v>11</v>
      </c>
      <c r="H1742" t="s">
        <v>11</v>
      </c>
    </row>
    <row r="1743" spans="1:8" x14ac:dyDescent="0.35">
      <c r="A1743" t="s">
        <v>41</v>
      </c>
      <c r="B1743" t="s">
        <v>95</v>
      </c>
      <c r="C1743" t="s">
        <v>2205</v>
      </c>
      <c r="D1743">
        <v>1</v>
      </c>
      <c r="E1743">
        <v>5</v>
      </c>
      <c r="F1743" t="s">
        <v>7</v>
      </c>
      <c r="G1743" t="s">
        <v>11</v>
      </c>
      <c r="H1743" t="s">
        <v>11</v>
      </c>
    </row>
    <row r="1744" spans="1:8" x14ac:dyDescent="0.35">
      <c r="A1744" t="s">
        <v>41</v>
      </c>
      <c r="B1744" t="s">
        <v>95</v>
      </c>
      <c r="C1744" t="s">
        <v>1254</v>
      </c>
      <c r="D1744">
        <v>3</v>
      </c>
      <c r="E1744">
        <v>5</v>
      </c>
      <c r="F1744" t="s">
        <v>7</v>
      </c>
      <c r="G1744" t="s">
        <v>11</v>
      </c>
      <c r="H1744" t="s">
        <v>11</v>
      </c>
    </row>
    <row r="1745" spans="1:8" x14ac:dyDescent="0.35">
      <c r="A1745" t="s">
        <v>41</v>
      </c>
      <c r="B1745" t="s">
        <v>95</v>
      </c>
      <c r="C1745" t="s">
        <v>1256</v>
      </c>
      <c r="D1745">
        <v>3</v>
      </c>
      <c r="E1745">
        <v>5</v>
      </c>
      <c r="F1745" t="s">
        <v>7</v>
      </c>
      <c r="G1745" t="s">
        <v>11</v>
      </c>
      <c r="H1745" t="s">
        <v>11</v>
      </c>
    </row>
    <row r="1746" spans="1:8" x14ac:dyDescent="0.35">
      <c r="A1746" t="s">
        <v>41</v>
      </c>
      <c r="B1746" t="s">
        <v>95</v>
      </c>
      <c r="C1746" t="s">
        <v>2206</v>
      </c>
      <c r="D1746">
        <v>3</v>
      </c>
      <c r="E1746">
        <v>5</v>
      </c>
      <c r="F1746" t="s">
        <v>7</v>
      </c>
      <c r="G1746" t="s">
        <v>11</v>
      </c>
      <c r="H1746" t="s">
        <v>11</v>
      </c>
    </row>
    <row r="1747" spans="1:8" x14ac:dyDescent="0.35">
      <c r="A1747" t="s">
        <v>41</v>
      </c>
      <c r="B1747" t="s">
        <v>95</v>
      </c>
      <c r="C1747" t="s">
        <v>1157</v>
      </c>
      <c r="D1747">
        <v>1</v>
      </c>
      <c r="E1747">
        <v>5</v>
      </c>
      <c r="F1747" t="s">
        <v>7</v>
      </c>
      <c r="G1747" t="s">
        <v>11</v>
      </c>
      <c r="H1747" t="s">
        <v>11</v>
      </c>
    </row>
    <row r="1748" spans="1:8" x14ac:dyDescent="0.35">
      <c r="A1748" t="s">
        <v>41</v>
      </c>
      <c r="B1748" t="s">
        <v>95</v>
      </c>
      <c r="C1748" t="s">
        <v>1772</v>
      </c>
      <c r="D1748">
        <v>3</v>
      </c>
      <c r="E1748">
        <v>5</v>
      </c>
      <c r="F1748" t="s">
        <v>7</v>
      </c>
      <c r="G1748" t="s">
        <v>11</v>
      </c>
      <c r="H1748" t="s">
        <v>11</v>
      </c>
    </row>
    <row r="1749" spans="1:8" x14ac:dyDescent="0.35">
      <c r="A1749" t="s">
        <v>41</v>
      </c>
      <c r="B1749" t="s">
        <v>95</v>
      </c>
      <c r="C1749" t="s">
        <v>2207</v>
      </c>
      <c r="D1749">
        <v>2</v>
      </c>
      <c r="E1749">
        <v>5</v>
      </c>
      <c r="F1749" t="s">
        <v>7</v>
      </c>
      <c r="G1749" t="s">
        <v>11</v>
      </c>
      <c r="H1749" t="s">
        <v>11</v>
      </c>
    </row>
    <row r="1750" spans="1:8" x14ac:dyDescent="0.35">
      <c r="A1750" t="s">
        <v>41</v>
      </c>
      <c r="B1750" t="s">
        <v>95</v>
      </c>
      <c r="C1750" t="s">
        <v>2208</v>
      </c>
      <c r="D1750">
        <v>2</v>
      </c>
      <c r="E1750">
        <v>5</v>
      </c>
      <c r="F1750" t="s">
        <v>7</v>
      </c>
      <c r="G1750" t="s">
        <v>11</v>
      </c>
      <c r="H1750" t="s">
        <v>11</v>
      </c>
    </row>
    <row r="1751" spans="1:8" x14ac:dyDescent="0.35">
      <c r="A1751" t="s">
        <v>41</v>
      </c>
      <c r="B1751" t="s">
        <v>95</v>
      </c>
      <c r="C1751" t="s">
        <v>2209</v>
      </c>
      <c r="D1751">
        <v>1</v>
      </c>
      <c r="E1751">
        <v>5</v>
      </c>
      <c r="F1751" t="s">
        <v>7</v>
      </c>
      <c r="G1751" t="s">
        <v>11</v>
      </c>
      <c r="H1751" t="s">
        <v>11</v>
      </c>
    </row>
    <row r="1752" spans="1:8" x14ac:dyDescent="0.35">
      <c r="A1752" t="s">
        <v>41</v>
      </c>
      <c r="B1752" t="s">
        <v>95</v>
      </c>
      <c r="C1752" t="s">
        <v>1776</v>
      </c>
      <c r="D1752">
        <v>1</v>
      </c>
      <c r="E1752">
        <v>5</v>
      </c>
      <c r="F1752" t="s">
        <v>7</v>
      </c>
      <c r="G1752" t="s">
        <v>11</v>
      </c>
      <c r="H1752" t="s">
        <v>11</v>
      </c>
    </row>
    <row r="1753" spans="1:8" x14ac:dyDescent="0.35">
      <c r="A1753" t="s">
        <v>41</v>
      </c>
      <c r="B1753" t="s">
        <v>95</v>
      </c>
      <c r="C1753" t="s">
        <v>2210</v>
      </c>
      <c r="D1753">
        <v>1</v>
      </c>
      <c r="E1753">
        <v>5</v>
      </c>
      <c r="F1753" t="s">
        <v>7</v>
      </c>
      <c r="G1753" t="s">
        <v>11</v>
      </c>
      <c r="H1753" t="s">
        <v>11</v>
      </c>
    </row>
    <row r="1754" spans="1:8" x14ac:dyDescent="0.35">
      <c r="A1754" t="s">
        <v>41</v>
      </c>
      <c r="B1754" t="s">
        <v>95</v>
      </c>
      <c r="C1754" t="s">
        <v>2211</v>
      </c>
      <c r="D1754">
        <v>1</v>
      </c>
      <c r="E1754">
        <v>5</v>
      </c>
      <c r="F1754" t="s">
        <v>7</v>
      </c>
      <c r="G1754" t="s">
        <v>11</v>
      </c>
      <c r="H1754" t="s">
        <v>11</v>
      </c>
    </row>
    <row r="1755" spans="1:8" x14ac:dyDescent="0.35">
      <c r="A1755" t="s">
        <v>41</v>
      </c>
      <c r="B1755" t="s">
        <v>95</v>
      </c>
      <c r="C1755" t="s">
        <v>1783</v>
      </c>
      <c r="D1755">
        <v>1</v>
      </c>
      <c r="E1755">
        <v>5</v>
      </c>
      <c r="F1755" t="s">
        <v>7</v>
      </c>
      <c r="G1755" t="s">
        <v>11</v>
      </c>
      <c r="H1755" t="s">
        <v>11</v>
      </c>
    </row>
    <row r="1756" spans="1:8" x14ac:dyDescent="0.35">
      <c r="A1756" t="s">
        <v>41</v>
      </c>
      <c r="B1756" t="s">
        <v>95</v>
      </c>
      <c r="C1756" t="s">
        <v>2212</v>
      </c>
      <c r="D1756">
        <v>2</v>
      </c>
      <c r="E1756">
        <v>5</v>
      </c>
      <c r="F1756" t="s">
        <v>7</v>
      </c>
      <c r="G1756" t="s">
        <v>11</v>
      </c>
      <c r="H1756" t="s">
        <v>11</v>
      </c>
    </row>
    <row r="1757" spans="1:8" x14ac:dyDescent="0.35">
      <c r="A1757" t="s">
        <v>41</v>
      </c>
      <c r="B1757" t="s">
        <v>95</v>
      </c>
      <c r="C1757" t="s">
        <v>2131</v>
      </c>
      <c r="D1757">
        <v>1</v>
      </c>
      <c r="E1757">
        <v>5</v>
      </c>
      <c r="F1757" t="s">
        <v>7</v>
      </c>
      <c r="G1757" t="s">
        <v>11</v>
      </c>
      <c r="H1757" t="s">
        <v>11</v>
      </c>
    </row>
    <row r="1758" spans="1:8" x14ac:dyDescent="0.35">
      <c r="A1758" t="s">
        <v>41</v>
      </c>
      <c r="B1758" t="s">
        <v>95</v>
      </c>
      <c r="C1758" t="s">
        <v>1530</v>
      </c>
      <c r="D1758">
        <v>1</v>
      </c>
      <c r="E1758">
        <v>5</v>
      </c>
      <c r="F1758" t="s">
        <v>7</v>
      </c>
      <c r="G1758" t="s">
        <v>11</v>
      </c>
      <c r="H1758" t="s">
        <v>11</v>
      </c>
    </row>
    <row r="1759" spans="1:8" x14ac:dyDescent="0.35">
      <c r="A1759" t="s">
        <v>41</v>
      </c>
      <c r="B1759" t="s">
        <v>95</v>
      </c>
      <c r="C1759" t="s">
        <v>2132</v>
      </c>
      <c r="D1759">
        <v>1</v>
      </c>
      <c r="E1759">
        <v>5</v>
      </c>
      <c r="F1759" t="s">
        <v>7</v>
      </c>
      <c r="G1759" t="s">
        <v>11</v>
      </c>
      <c r="H1759" t="s">
        <v>11</v>
      </c>
    </row>
    <row r="1760" spans="1:8" x14ac:dyDescent="0.35">
      <c r="A1760" t="s">
        <v>41</v>
      </c>
      <c r="B1760" t="s">
        <v>95</v>
      </c>
      <c r="C1760" t="s">
        <v>1265</v>
      </c>
      <c r="D1760">
        <v>1</v>
      </c>
      <c r="E1760">
        <v>5</v>
      </c>
      <c r="F1760" t="s">
        <v>7</v>
      </c>
      <c r="G1760" t="s">
        <v>11</v>
      </c>
      <c r="H1760" t="s">
        <v>11</v>
      </c>
    </row>
    <row r="1761" spans="1:8" x14ac:dyDescent="0.35">
      <c r="A1761" t="s">
        <v>41</v>
      </c>
      <c r="B1761" t="s">
        <v>95</v>
      </c>
      <c r="C1761" t="s">
        <v>2213</v>
      </c>
      <c r="D1761">
        <v>1</v>
      </c>
      <c r="E1761">
        <v>5</v>
      </c>
      <c r="F1761" t="s">
        <v>7</v>
      </c>
      <c r="G1761" t="s">
        <v>11</v>
      </c>
      <c r="H1761" t="s">
        <v>11</v>
      </c>
    </row>
    <row r="1762" spans="1:8" x14ac:dyDescent="0.35">
      <c r="A1762" t="s">
        <v>41</v>
      </c>
      <c r="B1762" t="s">
        <v>95</v>
      </c>
      <c r="C1762" t="s">
        <v>2214</v>
      </c>
      <c r="D1762">
        <v>1</v>
      </c>
      <c r="E1762">
        <v>5</v>
      </c>
      <c r="F1762" t="s">
        <v>7</v>
      </c>
      <c r="G1762" t="s">
        <v>11</v>
      </c>
      <c r="H1762" t="s">
        <v>11</v>
      </c>
    </row>
    <row r="1763" spans="1:8" x14ac:dyDescent="0.35">
      <c r="A1763" t="s">
        <v>41</v>
      </c>
      <c r="B1763" t="s">
        <v>95</v>
      </c>
      <c r="C1763" t="s">
        <v>2054</v>
      </c>
      <c r="D1763">
        <v>3</v>
      </c>
      <c r="E1763">
        <v>5</v>
      </c>
      <c r="F1763" t="s">
        <v>7</v>
      </c>
      <c r="G1763" t="s">
        <v>11</v>
      </c>
      <c r="H1763" t="s">
        <v>11</v>
      </c>
    </row>
    <row r="1764" spans="1:8" x14ac:dyDescent="0.35">
      <c r="A1764" t="s">
        <v>41</v>
      </c>
      <c r="B1764" t="s">
        <v>95</v>
      </c>
      <c r="C1764" t="s">
        <v>1270</v>
      </c>
      <c r="D1764">
        <v>1</v>
      </c>
      <c r="E1764">
        <v>5</v>
      </c>
      <c r="F1764" t="s">
        <v>7</v>
      </c>
      <c r="G1764" t="s">
        <v>11</v>
      </c>
      <c r="H1764" t="s">
        <v>11</v>
      </c>
    </row>
    <row r="1765" spans="1:8" x14ac:dyDescent="0.35">
      <c r="A1765" t="s">
        <v>41</v>
      </c>
      <c r="B1765" t="s">
        <v>95</v>
      </c>
      <c r="C1765" t="s">
        <v>2215</v>
      </c>
      <c r="D1765">
        <v>1</v>
      </c>
      <c r="E1765">
        <v>5</v>
      </c>
      <c r="F1765" t="s">
        <v>7</v>
      </c>
      <c r="G1765" t="s">
        <v>11</v>
      </c>
      <c r="H1765" t="s">
        <v>11</v>
      </c>
    </row>
    <row r="1766" spans="1:8" x14ac:dyDescent="0.35">
      <c r="A1766" t="s">
        <v>41</v>
      </c>
      <c r="B1766" t="s">
        <v>95</v>
      </c>
      <c r="C1766" t="s">
        <v>2216</v>
      </c>
      <c r="D1766">
        <v>1</v>
      </c>
      <c r="E1766">
        <v>5</v>
      </c>
      <c r="F1766" t="s">
        <v>7</v>
      </c>
      <c r="G1766" t="s">
        <v>11</v>
      </c>
      <c r="H1766" t="s">
        <v>11</v>
      </c>
    </row>
    <row r="1767" spans="1:8" x14ac:dyDescent="0.35">
      <c r="A1767" t="s">
        <v>41</v>
      </c>
      <c r="B1767" t="s">
        <v>95</v>
      </c>
      <c r="C1767" t="s">
        <v>2217</v>
      </c>
      <c r="D1767">
        <v>2</v>
      </c>
      <c r="E1767">
        <v>5</v>
      </c>
      <c r="F1767" t="s">
        <v>7</v>
      </c>
      <c r="G1767" t="s">
        <v>11</v>
      </c>
      <c r="H1767" t="s">
        <v>11</v>
      </c>
    </row>
    <row r="1768" spans="1:8" x14ac:dyDescent="0.35">
      <c r="A1768" t="s">
        <v>41</v>
      </c>
      <c r="B1768" t="s">
        <v>95</v>
      </c>
      <c r="C1768" t="s">
        <v>1792</v>
      </c>
      <c r="D1768">
        <v>1</v>
      </c>
      <c r="E1768">
        <v>5</v>
      </c>
      <c r="F1768" t="s">
        <v>7</v>
      </c>
      <c r="G1768" t="s">
        <v>11</v>
      </c>
      <c r="H1768" t="s">
        <v>11</v>
      </c>
    </row>
    <row r="1769" spans="1:8" x14ac:dyDescent="0.35">
      <c r="A1769" t="s">
        <v>41</v>
      </c>
      <c r="B1769" t="s">
        <v>95</v>
      </c>
      <c r="C1769" t="s">
        <v>1794</v>
      </c>
      <c r="D1769">
        <v>2</v>
      </c>
      <c r="E1769">
        <v>5</v>
      </c>
      <c r="F1769" t="s">
        <v>7</v>
      </c>
      <c r="G1769" t="s">
        <v>11</v>
      </c>
      <c r="H1769" t="s">
        <v>11</v>
      </c>
    </row>
    <row r="1770" spans="1:8" x14ac:dyDescent="0.35">
      <c r="A1770" t="s">
        <v>41</v>
      </c>
      <c r="B1770" t="s">
        <v>95</v>
      </c>
      <c r="C1770" t="s">
        <v>1795</v>
      </c>
      <c r="D1770">
        <v>2</v>
      </c>
      <c r="E1770">
        <v>5</v>
      </c>
      <c r="F1770" t="s">
        <v>7</v>
      </c>
      <c r="G1770" t="s">
        <v>11</v>
      </c>
      <c r="H1770" t="s">
        <v>11</v>
      </c>
    </row>
    <row r="1771" spans="1:8" x14ac:dyDescent="0.35">
      <c r="A1771" t="s">
        <v>41</v>
      </c>
      <c r="B1771" t="s">
        <v>95</v>
      </c>
      <c r="C1771" t="s">
        <v>1734</v>
      </c>
      <c r="D1771">
        <v>2</v>
      </c>
      <c r="E1771">
        <v>5</v>
      </c>
      <c r="F1771" t="s">
        <v>7</v>
      </c>
      <c r="G1771" t="s">
        <v>11</v>
      </c>
      <c r="H1771" t="s">
        <v>11</v>
      </c>
    </row>
    <row r="1772" spans="1:8" x14ac:dyDescent="0.35">
      <c r="A1772" t="s">
        <v>41</v>
      </c>
      <c r="B1772" t="s">
        <v>95</v>
      </c>
      <c r="C1772" t="s">
        <v>1798</v>
      </c>
      <c r="D1772">
        <v>1</v>
      </c>
      <c r="E1772">
        <v>5</v>
      </c>
      <c r="F1772" t="s">
        <v>7</v>
      </c>
      <c r="G1772" t="s">
        <v>11</v>
      </c>
      <c r="H1772" t="s">
        <v>11</v>
      </c>
    </row>
    <row r="1773" spans="1:8" x14ac:dyDescent="0.35">
      <c r="A1773" t="s">
        <v>41</v>
      </c>
      <c r="B1773" t="s">
        <v>95</v>
      </c>
      <c r="C1773" t="s">
        <v>2218</v>
      </c>
      <c r="D1773">
        <v>1</v>
      </c>
      <c r="E1773">
        <v>5</v>
      </c>
      <c r="F1773" t="s">
        <v>7</v>
      </c>
      <c r="G1773" t="s">
        <v>11</v>
      </c>
      <c r="H1773" t="s">
        <v>11</v>
      </c>
    </row>
    <row r="1774" spans="1:8" x14ac:dyDescent="0.35">
      <c r="A1774" t="s">
        <v>41</v>
      </c>
      <c r="B1774" t="s">
        <v>95</v>
      </c>
      <c r="C1774" t="s">
        <v>1545</v>
      </c>
      <c r="D1774">
        <v>3</v>
      </c>
      <c r="E1774">
        <v>5</v>
      </c>
      <c r="F1774" t="s">
        <v>7</v>
      </c>
      <c r="G1774" t="s">
        <v>11</v>
      </c>
      <c r="H1774" t="s">
        <v>11</v>
      </c>
    </row>
    <row r="1775" spans="1:8" x14ac:dyDescent="0.35">
      <c r="A1775" t="s">
        <v>41</v>
      </c>
      <c r="B1775" t="s">
        <v>95</v>
      </c>
      <c r="C1775" t="s">
        <v>2219</v>
      </c>
      <c r="D1775">
        <v>1</v>
      </c>
      <c r="E1775">
        <v>5</v>
      </c>
      <c r="F1775" t="s">
        <v>7</v>
      </c>
      <c r="G1775" t="s">
        <v>11</v>
      </c>
      <c r="H1775" t="s">
        <v>11</v>
      </c>
    </row>
    <row r="1776" spans="1:8" x14ac:dyDescent="0.35">
      <c r="A1776" t="s">
        <v>41</v>
      </c>
      <c r="B1776" t="s">
        <v>95</v>
      </c>
      <c r="C1776" t="s">
        <v>1600</v>
      </c>
      <c r="D1776">
        <v>2</v>
      </c>
      <c r="E1776">
        <v>5</v>
      </c>
      <c r="F1776" t="s">
        <v>7</v>
      </c>
      <c r="G1776" t="s">
        <v>11</v>
      </c>
      <c r="H1776" t="s">
        <v>11</v>
      </c>
    </row>
    <row r="1777" spans="1:8" x14ac:dyDescent="0.35">
      <c r="A1777" t="s">
        <v>41</v>
      </c>
      <c r="B1777" t="s">
        <v>95</v>
      </c>
      <c r="C1777" t="s">
        <v>1177</v>
      </c>
      <c r="D1777">
        <v>1</v>
      </c>
      <c r="E1777">
        <v>5</v>
      </c>
      <c r="F1777" t="s">
        <v>7</v>
      </c>
      <c r="G1777" t="s">
        <v>11</v>
      </c>
      <c r="H1777" t="s">
        <v>11</v>
      </c>
    </row>
    <row r="1778" spans="1:8" x14ac:dyDescent="0.35">
      <c r="A1778" t="s">
        <v>41</v>
      </c>
      <c r="B1778" t="s">
        <v>95</v>
      </c>
      <c r="C1778" t="s">
        <v>1556</v>
      </c>
      <c r="D1778">
        <v>1</v>
      </c>
      <c r="E1778">
        <v>5</v>
      </c>
      <c r="F1778" t="s">
        <v>7</v>
      </c>
      <c r="G1778" t="s">
        <v>11</v>
      </c>
      <c r="H1778" t="s">
        <v>11</v>
      </c>
    </row>
    <row r="1779" spans="1:8" x14ac:dyDescent="0.35">
      <c r="A1779" t="s">
        <v>41</v>
      </c>
      <c r="B1779" t="s">
        <v>95</v>
      </c>
      <c r="C1779" t="s">
        <v>1557</v>
      </c>
      <c r="D1779">
        <v>1</v>
      </c>
      <c r="E1779">
        <v>5</v>
      </c>
      <c r="F1779" t="s">
        <v>7</v>
      </c>
      <c r="G1779" t="s">
        <v>11</v>
      </c>
      <c r="H1779" t="s">
        <v>11</v>
      </c>
    </row>
    <row r="1780" spans="1:8" x14ac:dyDescent="0.35">
      <c r="A1780" t="s">
        <v>41</v>
      </c>
      <c r="B1780" t="s">
        <v>95</v>
      </c>
      <c r="C1780" t="s">
        <v>1558</v>
      </c>
      <c r="D1780">
        <v>3</v>
      </c>
      <c r="E1780">
        <v>5</v>
      </c>
      <c r="F1780" t="s">
        <v>7</v>
      </c>
      <c r="G1780" t="s">
        <v>11</v>
      </c>
      <c r="H1780" t="s">
        <v>11</v>
      </c>
    </row>
    <row r="1781" spans="1:8" x14ac:dyDescent="0.35">
      <c r="A1781" t="s">
        <v>41</v>
      </c>
      <c r="B1781" t="s">
        <v>95</v>
      </c>
      <c r="C1781" t="s">
        <v>1918</v>
      </c>
      <c r="D1781">
        <v>1</v>
      </c>
      <c r="E1781">
        <v>5</v>
      </c>
      <c r="F1781" t="s">
        <v>7</v>
      </c>
      <c r="G1781" t="s">
        <v>11</v>
      </c>
      <c r="H1781" t="s">
        <v>11</v>
      </c>
    </row>
    <row r="1782" spans="1:8" x14ac:dyDescent="0.35">
      <c r="A1782" t="s">
        <v>45</v>
      </c>
      <c r="B1782" t="s">
        <v>96</v>
      </c>
      <c r="C1782" t="s">
        <v>2220</v>
      </c>
      <c r="D1782">
        <v>1</v>
      </c>
      <c r="E1782">
        <v>5</v>
      </c>
      <c r="F1782" t="s">
        <v>75</v>
      </c>
      <c r="G1782" t="s">
        <v>11</v>
      </c>
      <c r="H1782" t="s">
        <v>11</v>
      </c>
    </row>
    <row r="1783" spans="1:8" x14ac:dyDescent="0.35">
      <c r="A1783" t="s">
        <v>45</v>
      </c>
      <c r="B1783" t="s">
        <v>96</v>
      </c>
      <c r="C1783" t="s">
        <v>2221</v>
      </c>
      <c r="D1783">
        <v>2</v>
      </c>
      <c r="E1783">
        <v>5</v>
      </c>
      <c r="F1783" t="s">
        <v>75</v>
      </c>
      <c r="G1783" t="s">
        <v>11</v>
      </c>
      <c r="H1783" t="s">
        <v>11</v>
      </c>
    </row>
    <row r="1784" spans="1:8" x14ac:dyDescent="0.35">
      <c r="A1784" t="s">
        <v>45</v>
      </c>
      <c r="B1784" t="s">
        <v>96</v>
      </c>
      <c r="C1784" t="s">
        <v>1233</v>
      </c>
      <c r="D1784">
        <v>3</v>
      </c>
      <c r="E1784">
        <v>3</v>
      </c>
      <c r="F1784" t="s">
        <v>75</v>
      </c>
      <c r="G1784" t="s">
        <v>11</v>
      </c>
      <c r="H1784" t="s">
        <v>11</v>
      </c>
    </row>
    <row r="1785" spans="1:8" x14ac:dyDescent="0.35">
      <c r="A1785" t="s">
        <v>45</v>
      </c>
      <c r="B1785" t="s">
        <v>96</v>
      </c>
      <c r="C1785" t="s">
        <v>1356</v>
      </c>
      <c r="D1785">
        <v>1</v>
      </c>
      <c r="E1785">
        <v>5</v>
      </c>
      <c r="F1785" t="s">
        <v>75</v>
      </c>
      <c r="G1785" t="s">
        <v>11</v>
      </c>
      <c r="H1785" t="s">
        <v>11</v>
      </c>
    </row>
    <row r="1786" spans="1:8" x14ac:dyDescent="0.35">
      <c r="A1786" t="s">
        <v>45</v>
      </c>
      <c r="B1786" t="s">
        <v>96</v>
      </c>
      <c r="C1786" t="s">
        <v>2222</v>
      </c>
      <c r="D1786">
        <v>2</v>
      </c>
      <c r="E1786">
        <v>5</v>
      </c>
      <c r="F1786" t="s">
        <v>75</v>
      </c>
      <c r="G1786" t="s">
        <v>11</v>
      </c>
      <c r="H1786" t="s">
        <v>11</v>
      </c>
    </row>
    <row r="1787" spans="1:8" x14ac:dyDescent="0.35">
      <c r="A1787" t="s">
        <v>45</v>
      </c>
      <c r="B1787" t="s">
        <v>96</v>
      </c>
      <c r="C1787" t="s">
        <v>2223</v>
      </c>
      <c r="D1787">
        <v>2</v>
      </c>
      <c r="E1787">
        <v>5</v>
      </c>
      <c r="F1787" t="s">
        <v>75</v>
      </c>
      <c r="G1787" t="s">
        <v>11</v>
      </c>
      <c r="H1787" t="s">
        <v>11</v>
      </c>
    </row>
    <row r="1788" spans="1:8" x14ac:dyDescent="0.35">
      <c r="A1788" t="s">
        <v>45</v>
      </c>
      <c r="B1788" t="s">
        <v>96</v>
      </c>
      <c r="C1788" t="s">
        <v>2224</v>
      </c>
      <c r="D1788">
        <v>1</v>
      </c>
      <c r="E1788">
        <v>5</v>
      </c>
      <c r="F1788" t="s">
        <v>75</v>
      </c>
      <c r="G1788" t="s">
        <v>11</v>
      </c>
      <c r="H1788" t="s">
        <v>11</v>
      </c>
    </row>
    <row r="1789" spans="1:8" x14ac:dyDescent="0.35">
      <c r="A1789" t="s">
        <v>45</v>
      </c>
      <c r="B1789" t="s">
        <v>96</v>
      </c>
      <c r="C1789" t="s">
        <v>1293</v>
      </c>
      <c r="D1789">
        <v>2</v>
      </c>
      <c r="E1789">
        <v>5</v>
      </c>
      <c r="F1789" t="s">
        <v>75</v>
      </c>
      <c r="G1789" t="s">
        <v>11</v>
      </c>
      <c r="H1789" t="s">
        <v>11</v>
      </c>
    </row>
    <row r="1790" spans="1:8" x14ac:dyDescent="0.35">
      <c r="A1790" t="s">
        <v>45</v>
      </c>
      <c r="B1790" t="s">
        <v>96</v>
      </c>
      <c r="C1790" t="s">
        <v>2225</v>
      </c>
      <c r="D1790">
        <v>1</v>
      </c>
      <c r="E1790">
        <v>5</v>
      </c>
      <c r="F1790" t="s">
        <v>75</v>
      </c>
      <c r="G1790" t="s">
        <v>11</v>
      </c>
      <c r="H1790" t="s">
        <v>11</v>
      </c>
    </row>
    <row r="1791" spans="1:8" x14ac:dyDescent="0.35">
      <c r="A1791" t="s">
        <v>45</v>
      </c>
      <c r="B1791" t="s">
        <v>96</v>
      </c>
      <c r="C1791" t="s">
        <v>1254</v>
      </c>
      <c r="D1791">
        <v>1</v>
      </c>
      <c r="E1791">
        <v>5</v>
      </c>
      <c r="F1791" t="s">
        <v>75</v>
      </c>
      <c r="G1791" t="s">
        <v>11</v>
      </c>
      <c r="H1791" t="s">
        <v>11</v>
      </c>
    </row>
    <row r="1792" spans="1:8" x14ac:dyDescent="0.35">
      <c r="A1792" t="s">
        <v>45</v>
      </c>
      <c r="B1792" t="s">
        <v>96</v>
      </c>
      <c r="C1792" t="s">
        <v>1720</v>
      </c>
      <c r="D1792">
        <v>1</v>
      </c>
      <c r="E1792">
        <v>5</v>
      </c>
      <c r="F1792" t="s">
        <v>75</v>
      </c>
      <c r="G1792" t="s">
        <v>11</v>
      </c>
      <c r="H1792" t="s">
        <v>11</v>
      </c>
    </row>
    <row r="1793" spans="1:8" x14ac:dyDescent="0.35">
      <c r="A1793" t="s">
        <v>45</v>
      </c>
      <c r="B1793" t="s">
        <v>96</v>
      </c>
      <c r="C1793" t="s">
        <v>1373</v>
      </c>
      <c r="D1793">
        <v>1</v>
      </c>
      <c r="E1793">
        <v>5</v>
      </c>
      <c r="F1793" t="s">
        <v>75</v>
      </c>
      <c r="G1793" t="s">
        <v>11</v>
      </c>
      <c r="H1793" t="s">
        <v>11</v>
      </c>
    </row>
    <row r="1794" spans="1:8" x14ac:dyDescent="0.35">
      <c r="A1794" t="s">
        <v>45</v>
      </c>
      <c r="B1794" t="s">
        <v>96</v>
      </c>
      <c r="C1794" t="s">
        <v>2226</v>
      </c>
      <c r="D1794">
        <v>2</v>
      </c>
      <c r="E1794">
        <v>5</v>
      </c>
      <c r="F1794" t="s">
        <v>75</v>
      </c>
      <c r="G1794" t="s">
        <v>11</v>
      </c>
      <c r="H1794" t="s">
        <v>11</v>
      </c>
    </row>
    <row r="1795" spans="1:8" x14ac:dyDescent="0.35">
      <c r="A1795" t="s">
        <v>45</v>
      </c>
      <c r="B1795" t="s">
        <v>96</v>
      </c>
      <c r="C1795" t="s">
        <v>2227</v>
      </c>
      <c r="D1795">
        <v>1</v>
      </c>
      <c r="E1795">
        <v>5</v>
      </c>
      <c r="F1795" t="s">
        <v>75</v>
      </c>
      <c r="G1795" t="s">
        <v>11</v>
      </c>
      <c r="H1795" t="s">
        <v>11</v>
      </c>
    </row>
    <row r="1796" spans="1:8" x14ac:dyDescent="0.35">
      <c r="A1796" t="s">
        <v>45</v>
      </c>
      <c r="B1796" t="s">
        <v>96</v>
      </c>
      <c r="C1796" t="s">
        <v>2228</v>
      </c>
      <c r="D1796">
        <v>2</v>
      </c>
      <c r="E1796">
        <v>5</v>
      </c>
      <c r="F1796" t="s">
        <v>75</v>
      </c>
      <c r="G1796" t="s">
        <v>11</v>
      </c>
      <c r="H1796" t="s">
        <v>11</v>
      </c>
    </row>
    <row r="1797" spans="1:8" x14ac:dyDescent="0.35">
      <c r="A1797" t="s">
        <v>45</v>
      </c>
      <c r="B1797" t="s">
        <v>96</v>
      </c>
      <c r="C1797" t="s">
        <v>2229</v>
      </c>
      <c r="D1797">
        <v>2</v>
      </c>
      <c r="E1797">
        <v>5</v>
      </c>
      <c r="F1797" t="s">
        <v>75</v>
      </c>
      <c r="G1797" t="s">
        <v>11</v>
      </c>
      <c r="H1797" t="s">
        <v>11</v>
      </c>
    </row>
    <row r="1798" spans="1:8" x14ac:dyDescent="0.35">
      <c r="A1798" t="s">
        <v>45</v>
      </c>
      <c r="B1798" t="s">
        <v>96</v>
      </c>
      <c r="C1798" t="s">
        <v>2230</v>
      </c>
      <c r="D1798">
        <v>1</v>
      </c>
      <c r="E1798">
        <v>5</v>
      </c>
      <c r="F1798" t="s">
        <v>75</v>
      </c>
      <c r="G1798" t="s">
        <v>11</v>
      </c>
      <c r="H1798" t="s">
        <v>11</v>
      </c>
    </row>
    <row r="1799" spans="1:8" x14ac:dyDescent="0.35">
      <c r="A1799" t="s">
        <v>42</v>
      </c>
      <c r="B1799" t="s">
        <v>79</v>
      </c>
      <c r="C1799" t="s">
        <v>2231</v>
      </c>
      <c r="D1799">
        <v>2</v>
      </c>
      <c r="E1799">
        <v>6</v>
      </c>
      <c r="F1799" t="s">
        <v>7</v>
      </c>
      <c r="G1799" t="s">
        <v>11</v>
      </c>
      <c r="H1799" t="s">
        <v>11</v>
      </c>
    </row>
    <row r="1800" spans="1:8" x14ac:dyDescent="0.35">
      <c r="A1800" t="s">
        <v>42</v>
      </c>
      <c r="B1800" t="s">
        <v>79</v>
      </c>
      <c r="C1800" t="s">
        <v>1231</v>
      </c>
      <c r="D1800">
        <v>1</v>
      </c>
      <c r="E1800">
        <v>6</v>
      </c>
      <c r="F1800" t="s">
        <v>7</v>
      </c>
      <c r="G1800" t="s">
        <v>11</v>
      </c>
      <c r="H1800" t="s">
        <v>11</v>
      </c>
    </row>
    <row r="1801" spans="1:8" x14ac:dyDescent="0.35">
      <c r="A1801" t="s">
        <v>42</v>
      </c>
      <c r="B1801" t="s">
        <v>79</v>
      </c>
      <c r="C1801" t="s">
        <v>2232</v>
      </c>
      <c r="D1801">
        <v>2</v>
      </c>
      <c r="E1801">
        <v>5</v>
      </c>
      <c r="F1801" t="s">
        <v>7</v>
      </c>
      <c r="G1801" t="s">
        <v>11</v>
      </c>
      <c r="H1801" t="s">
        <v>11</v>
      </c>
    </row>
    <row r="1802" spans="1:8" x14ac:dyDescent="0.35">
      <c r="A1802" t="s">
        <v>42</v>
      </c>
      <c r="B1802" t="s">
        <v>79</v>
      </c>
      <c r="C1802" t="s">
        <v>2233</v>
      </c>
      <c r="D1802">
        <v>2</v>
      </c>
      <c r="E1802">
        <v>6</v>
      </c>
      <c r="F1802" t="s">
        <v>7</v>
      </c>
      <c r="G1802" t="s">
        <v>11</v>
      </c>
      <c r="H1802" t="s">
        <v>11</v>
      </c>
    </row>
    <row r="1803" spans="1:8" x14ac:dyDescent="0.35">
      <c r="A1803" t="s">
        <v>42</v>
      </c>
      <c r="B1803" t="s">
        <v>79</v>
      </c>
      <c r="C1803" t="s">
        <v>2234</v>
      </c>
      <c r="D1803">
        <v>2</v>
      </c>
      <c r="E1803">
        <v>6</v>
      </c>
      <c r="F1803" t="s">
        <v>7</v>
      </c>
      <c r="G1803" t="s">
        <v>11</v>
      </c>
      <c r="H1803" t="s">
        <v>11</v>
      </c>
    </row>
    <row r="1804" spans="1:8" x14ac:dyDescent="0.35">
      <c r="A1804" t="s">
        <v>42</v>
      </c>
      <c r="B1804" t="s">
        <v>79</v>
      </c>
      <c r="C1804" t="s">
        <v>1427</v>
      </c>
      <c r="D1804">
        <v>2</v>
      </c>
      <c r="E1804">
        <v>5</v>
      </c>
      <c r="F1804" t="s">
        <v>7</v>
      </c>
      <c r="G1804" t="s">
        <v>11</v>
      </c>
      <c r="H1804" t="s">
        <v>11</v>
      </c>
    </row>
    <row r="1805" spans="1:8" x14ac:dyDescent="0.35">
      <c r="A1805" t="s">
        <v>42</v>
      </c>
      <c r="B1805" t="s">
        <v>79</v>
      </c>
      <c r="C1805" t="s">
        <v>2235</v>
      </c>
      <c r="D1805">
        <v>2</v>
      </c>
      <c r="E1805">
        <v>6</v>
      </c>
      <c r="F1805" t="s">
        <v>7</v>
      </c>
      <c r="G1805" t="s">
        <v>11</v>
      </c>
      <c r="H1805" t="s">
        <v>11</v>
      </c>
    </row>
    <row r="1806" spans="1:8" x14ac:dyDescent="0.35">
      <c r="A1806" t="s">
        <v>42</v>
      </c>
      <c r="B1806" t="s">
        <v>79</v>
      </c>
      <c r="C1806" t="s">
        <v>2236</v>
      </c>
      <c r="D1806">
        <v>2</v>
      </c>
      <c r="E1806">
        <v>5</v>
      </c>
      <c r="F1806" t="s">
        <v>7</v>
      </c>
      <c r="G1806" t="s">
        <v>11</v>
      </c>
      <c r="H1806" t="s">
        <v>11</v>
      </c>
    </row>
    <row r="1807" spans="1:8" x14ac:dyDescent="0.35">
      <c r="A1807" t="s">
        <v>42</v>
      </c>
      <c r="B1807" t="s">
        <v>79</v>
      </c>
      <c r="C1807" t="s">
        <v>2237</v>
      </c>
      <c r="D1807">
        <v>2</v>
      </c>
      <c r="E1807">
        <v>5</v>
      </c>
      <c r="F1807" t="s">
        <v>7</v>
      </c>
      <c r="G1807" t="s">
        <v>11</v>
      </c>
      <c r="H1807" t="s">
        <v>11</v>
      </c>
    </row>
    <row r="1808" spans="1:8" x14ac:dyDescent="0.35">
      <c r="A1808" t="s">
        <v>42</v>
      </c>
      <c r="B1808" t="s">
        <v>79</v>
      </c>
      <c r="C1808" t="s">
        <v>1686</v>
      </c>
      <c r="D1808">
        <v>2</v>
      </c>
      <c r="E1808">
        <v>6</v>
      </c>
      <c r="F1808" t="s">
        <v>7</v>
      </c>
      <c r="G1808" t="s">
        <v>11</v>
      </c>
      <c r="H1808" t="s">
        <v>11</v>
      </c>
    </row>
    <row r="1809" spans="1:8" x14ac:dyDescent="0.35">
      <c r="A1809" t="s">
        <v>43</v>
      </c>
      <c r="B1809" t="s">
        <v>97</v>
      </c>
      <c r="C1809" t="s">
        <v>2238</v>
      </c>
      <c r="D1809">
        <v>3</v>
      </c>
      <c r="E1809">
        <v>4</v>
      </c>
      <c r="F1809" t="s">
        <v>7</v>
      </c>
      <c r="G1809" t="s">
        <v>11</v>
      </c>
      <c r="H1809" t="s">
        <v>11</v>
      </c>
    </row>
    <row r="1810" spans="1:8" x14ac:dyDescent="0.35">
      <c r="A1810" t="s">
        <v>43</v>
      </c>
      <c r="B1810" t="s">
        <v>97</v>
      </c>
      <c r="C1810" t="s">
        <v>2239</v>
      </c>
      <c r="D1810">
        <v>2</v>
      </c>
      <c r="E1810">
        <v>5</v>
      </c>
      <c r="F1810" t="s">
        <v>7</v>
      </c>
      <c r="G1810" t="s">
        <v>11</v>
      </c>
      <c r="H1810" t="s">
        <v>11</v>
      </c>
    </row>
    <row r="1811" spans="1:8" x14ac:dyDescent="0.35">
      <c r="A1811" t="s">
        <v>43</v>
      </c>
      <c r="B1811" t="s">
        <v>97</v>
      </c>
      <c r="C1811" t="s">
        <v>2240</v>
      </c>
      <c r="D1811">
        <v>2</v>
      </c>
      <c r="E1811">
        <v>4</v>
      </c>
      <c r="F1811" t="s">
        <v>7</v>
      </c>
      <c r="G1811" t="s">
        <v>11</v>
      </c>
      <c r="H1811" t="s">
        <v>11</v>
      </c>
    </row>
    <row r="1812" spans="1:8" x14ac:dyDescent="0.35">
      <c r="A1812" t="s">
        <v>43</v>
      </c>
      <c r="B1812" t="s">
        <v>97</v>
      </c>
      <c r="C1812" t="s">
        <v>1469</v>
      </c>
      <c r="D1812">
        <v>2</v>
      </c>
      <c r="E1812">
        <v>4</v>
      </c>
      <c r="F1812" t="s">
        <v>7</v>
      </c>
      <c r="G1812" t="s">
        <v>11</v>
      </c>
      <c r="H1812" t="s">
        <v>11</v>
      </c>
    </row>
    <row r="1813" spans="1:8" x14ac:dyDescent="0.35">
      <c r="A1813" t="s">
        <v>43</v>
      </c>
      <c r="B1813" t="s">
        <v>97</v>
      </c>
      <c r="C1813" t="s">
        <v>2241</v>
      </c>
      <c r="D1813">
        <v>3</v>
      </c>
      <c r="E1813">
        <v>4</v>
      </c>
      <c r="F1813" t="s">
        <v>7</v>
      </c>
      <c r="G1813" t="s">
        <v>11</v>
      </c>
      <c r="H1813" t="s">
        <v>11</v>
      </c>
    </row>
    <row r="1814" spans="1:8" x14ac:dyDescent="0.35">
      <c r="A1814" t="s">
        <v>43</v>
      </c>
      <c r="B1814" t="s">
        <v>97</v>
      </c>
      <c r="C1814" t="s">
        <v>1610</v>
      </c>
      <c r="D1814">
        <v>2</v>
      </c>
      <c r="E1814">
        <v>4</v>
      </c>
      <c r="F1814" t="s">
        <v>7</v>
      </c>
      <c r="G1814" t="s">
        <v>11</v>
      </c>
      <c r="H1814" t="s">
        <v>11</v>
      </c>
    </row>
    <row r="1815" spans="1:8" x14ac:dyDescent="0.35">
      <c r="A1815" t="s">
        <v>43</v>
      </c>
      <c r="B1815" t="s">
        <v>97</v>
      </c>
      <c r="C1815" t="s">
        <v>1940</v>
      </c>
      <c r="D1815">
        <v>2</v>
      </c>
      <c r="E1815">
        <v>4</v>
      </c>
      <c r="F1815" t="s">
        <v>7</v>
      </c>
      <c r="G1815" t="s">
        <v>11</v>
      </c>
      <c r="H1815" t="s">
        <v>11</v>
      </c>
    </row>
    <row r="1816" spans="1:8" x14ac:dyDescent="0.35">
      <c r="A1816" t="s">
        <v>43</v>
      </c>
      <c r="B1816" t="s">
        <v>97</v>
      </c>
      <c r="C1816" t="s">
        <v>2242</v>
      </c>
      <c r="D1816">
        <v>2</v>
      </c>
      <c r="E1816">
        <v>4</v>
      </c>
      <c r="F1816" t="s">
        <v>7</v>
      </c>
      <c r="G1816" t="s">
        <v>11</v>
      </c>
      <c r="H1816" t="s">
        <v>11</v>
      </c>
    </row>
    <row r="1817" spans="1:8" x14ac:dyDescent="0.35">
      <c r="A1817" t="s">
        <v>43</v>
      </c>
      <c r="B1817" t="s">
        <v>97</v>
      </c>
      <c r="C1817" t="s">
        <v>2243</v>
      </c>
      <c r="D1817">
        <v>2</v>
      </c>
      <c r="E1817">
        <v>4</v>
      </c>
      <c r="F1817" t="s">
        <v>7</v>
      </c>
      <c r="G1817" t="s">
        <v>11</v>
      </c>
      <c r="H1817" t="s">
        <v>11</v>
      </c>
    </row>
    <row r="1818" spans="1:8" x14ac:dyDescent="0.35">
      <c r="A1818" t="s">
        <v>43</v>
      </c>
      <c r="B1818" t="s">
        <v>97</v>
      </c>
      <c r="C1818" t="s">
        <v>2244</v>
      </c>
      <c r="D1818">
        <v>1</v>
      </c>
      <c r="E1818">
        <v>5</v>
      </c>
      <c r="F1818" t="s">
        <v>7</v>
      </c>
      <c r="G1818" t="s">
        <v>11</v>
      </c>
      <c r="H1818" t="s">
        <v>11</v>
      </c>
    </row>
    <row r="1819" spans="1:8" x14ac:dyDescent="0.35">
      <c r="A1819" t="s">
        <v>43</v>
      </c>
      <c r="B1819" t="s">
        <v>97</v>
      </c>
      <c r="C1819" t="s">
        <v>1636</v>
      </c>
      <c r="D1819">
        <v>1</v>
      </c>
      <c r="E1819">
        <v>5</v>
      </c>
      <c r="F1819" t="s">
        <v>7</v>
      </c>
      <c r="G1819" t="s">
        <v>11</v>
      </c>
      <c r="H1819" t="s">
        <v>11</v>
      </c>
    </row>
    <row r="1820" spans="1:8" x14ac:dyDescent="0.35">
      <c r="A1820" t="s">
        <v>43</v>
      </c>
      <c r="B1820" t="s">
        <v>97</v>
      </c>
      <c r="C1820" t="s">
        <v>1396</v>
      </c>
      <c r="D1820">
        <v>2</v>
      </c>
      <c r="E1820">
        <v>4</v>
      </c>
      <c r="F1820" t="s">
        <v>7</v>
      </c>
      <c r="G1820" t="s">
        <v>11</v>
      </c>
      <c r="H1820" t="s">
        <v>11</v>
      </c>
    </row>
    <row r="1821" spans="1:8" x14ac:dyDescent="0.35">
      <c r="A1821" t="s">
        <v>43</v>
      </c>
      <c r="B1821" t="s">
        <v>97</v>
      </c>
      <c r="C1821" t="s">
        <v>2245</v>
      </c>
      <c r="D1821">
        <v>1</v>
      </c>
      <c r="E1821">
        <v>4</v>
      </c>
      <c r="F1821" t="s">
        <v>7</v>
      </c>
      <c r="G1821" t="s">
        <v>11</v>
      </c>
      <c r="H1821" t="s">
        <v>11</v>
      </c>
    </row>
    <row r="1822" spans="1:8" x14ac:dyDescent="0.35">
      <c r="A1822" t="s">
        <v>43</v>
      </c>
      <c r="B1822" t="s">
        <v>97</v>
      </c>
      <c r="C1822" t="s">
        <v>1774</v>
      </c>
      <c r="D1822">
        <v>1</v>
      </c>
      <c r="E1822">
        <v>5</v>
      </c>
      <c r="F1822" t="s">
        <v>7</v>
      </c>
      <c r="G1822" t="s">
        <v>11</v>
      </c>
      <c r="H1822" t="s">
        <v>11</v>
      </c>
    </row>
    <row r="1823" spans="1:8" x14ac:dyDescent="0.35">
      <c r="A1823" t="s">
        <v>43</v>
      </c>
      <c r="B1823" t="s">
        <v>97</v>
      </c>
      <c r="C1823" t="s">
        <v>2246</v>
      </c>
      <c r="D1823">
        <v>3</v>
      </c>
      <c r="E1823">
        <v>4</v>
      </c>
      <c r="F1823" t="s">
        <v>7</v>
      </c>
      <c r="G1823" t="s">
        <v>11</v>
      </c>
      <c r="H1823" t="s">
        <v>11</v>
      </c>
    </row>
    <row r="1824" spans="1:8" x14ac:dyDescent="0.35">
      <c r="A1824" t="s">
        <v>43</v>
      </c>
      <c r="B1824" t="s">
        <v>97</v>
      </c>
      <c r="C1824" t="s">
        <v>2247</v>
      </c>
      <c r="D1824">
        <v>2</v>
      </c>
      <c r="E1824">
        <v>5</v>
      </c>
      <c r="F1824" t="s">
        <v>7</v>
      </c>
      <c r="G1824" t="s">
        <v>11</v>
      </c>
      <c r="H1824" t="s">
        <v>11</v>
      </c>
    </row>
    <row r="1825" spans="1:8" x14ac:dyDescent="0.35">
      <c r="A1825" t="s">
        <v>43</v>
      </c>
      <c r="B1825" t="s">
        <v>97</v>
      </c>
      <c r="C1825" t="s">
        <v>2248</v>
      </c>
      <c r="D1825">
        <v>2</v>
      </c>
      <c r="E1825">
        <v>4</v>
      </c>
      <c r="F1825" t="s">
        <v>7</v>
      </c>
      <c r="G1825" t="s">
        <v>11</v>
      </c>
      <c r="H1825" t="s">
        <v>11</v>
      </c>
    </row>
    <row r="1826" spans="1:8" x14ac:dyDescent="0.35">
      <c r="A1826" t="s">
        <v>43</v>
      </c>
      <c r="B1826" t="s">
        <v>97</v>
      </c>
      <c r="C1826" t="s">
        <v>1916</v>
      </c>
      <c r="D1826">
        <v>1</v>
      </c>
      <c r="E1826">
        <v>5</v>
      </c>
      <c r="F1826" t="s">
        <v>7</v>
      </c>
      <c r="G1826" t="s">
        <v>11</v>
      </c>
      <c r="H1826" t="s">
        <v>11</v>
      </c>
    </row>
    <row r="1827" spans="1:8" x14ac:dyDescent="0.35">
      <c r="A1827" t="s">
        <v>43</v>
      </c>
      <c r="B1827" t="s">
        <v>97</v>
      </c>
      <c r="C1827" t="s">
        <v>1403</v>
      </c>
      <c r="D1827">
        <v>1</v>
      </c>
      <c r="E1827">
        <v>5</v>
      </c>
      <c r="F1827" t="s">
        <v>7</v>
      </c>
      <c r="G1827" t="s">
        <v>11</v>
      </c>
      <c r="H1827" t="s">
        <v>11</v>
      </c>
    </row>
    <row r="1828" spans="1:8" x14ac:dyDescent="0.35">
      <c r="A1828" t="s">
        <v>43</v>
      </c>
      <c r="B1828" t="s">
        <v>97</v>
      </c>
      <c r="C1828" t="s">
        <v>1277</v>
      </c>
      <c r="D1828">
        <v>2</v>
      </c>
      <c r="E1828">
        <v>4</v>
      </c>
      <c r="F1828" t="s">
        <v>7</v>
      </c>
      <c r="G1828" t="s">
        <v>11</v>
      </c>
      <c r="H1828" t="s">
        <v>11</v>
      </c>
    </row>
    <row r="1829" spans="1:8" x14ac:dyDescent="0.35">
      <c r="A1829" t="s">
        <v>43</v>
      </c>
      <c r="B1829" t="s">
        <v>97</v>
      </c>
      <c r="C1829" t="s">
        <v>1555</v>
      </c>
      <c r="D1829">
        <v>1</v>
      </c>
      <c r="E1829">
        <v>5</v>
      </c>
      <c r="F1829" t="s">
        <v>7</v>
      </c>
      <c r="G1829" t="s">
        <v>11</v>
      </c>
      <c r="H1829" t="s">
        <v>11</v>
      </c>
    </row>
    <row r="1830" spans="1:8" x14ac:dyDescent="0.35">
      <c r="A1830" t="s">
        <v>44</v>
      </c>
      <c r="B1830" t="s">
        <v>98</v>
      </c>
      <c r="C1830" t="s">
        <v>2249</v>
      </c>
      <c r="D1830">
        <v>1</v>
      </c>
      <c r="E1830">
        <v>4</v>
      </c>
      <c r="F1830" t="s">
        <v>75</v>
      </c>
      <c r="G1830" t="s">
        <v>11</v>
      </c>
      <c r="H1830" t="s">
        <v>11</v>
      </c>
    </row>
    <row r="1831" spans="1:8" x14ac:dyDescent="0.35">
      <c r="A1831" t="s">
        <v>44</v>
      </c>
      <c r="B1831" t="s">
        <v>98</v>
      </c>
      <c r="C1831" t="s">
        <v>2250</v>
      </c>
      <c r="D1831">
        <v>2</v>
      </c>
      <c r="E1831">
        <v>5</v>
      </c>
      <c r="F1831" t="s">
        <v>75</v>
      </c>
      <c r="G1831" t="s">
        <v>11</v>
      </c>
      <c r="H1831" t="s">
        <v>11</v>
      </c>
    </row>
    <row r="1832" spans="1:8" x14ac:dyDescent="0.35">
      <c r="A1832" t="s">
        <v>44</v>
      </c>
      <c r="B1832" t="s">
        <v>98</v>
      </c>
      <c r="C1832" t="s">
        <v>2251</v>
      </c>
      <c r="D1832">
        <v>2</v>
      </c>
      <c r="E1832">
        <v>3</v>
      </c>
      <c r="F1832" t="s">
        <v>75</v>
      </c>
      <c r="G1832" t="s">
        <v>11</v>
      </c>
      <c r="H1832" t="s">
        <v>11</v>
      </c>
    </row>
    <row r="1833" spans="1:8" x14ac:dyDescent="0.35">
      <c r="A1833" t="s">
        <v>44</v>
      </c>
      <c r="B1833" t="s">
        <v>98</v>
      </c>
      <c r="C1833" t="s">
        <v>2252</v>
      </c>
      <c r="D1833">
        <v>2</v>
      </c>
      <c r="E1833">
        <v>4</v>
      </c>
      <c r="F1833" t="s">
        <v>75</v>
      </c>
      <c r="G1833" t="s">
        <v>11</v>
      </c>
      <c r="H1833" t="s">
        <v>11</v>
      </c>
    </row>
    <row r="1834" spans="1:8" x14ac:dyDescent="0.35">
      <c r="A1834" t="s">
        <v>44</v>
      </c>
      <c r="B1834" t="s">
        <v>98</v>
      </c>
      <c r="C1834" t="s">
        <v>2187</v>
      </c>
      <c r="D1834">
        <v>1</v>
      </c>
      <c r="E1834">
        <v>5</v>
      </c>
      <c r="F1834" t="s">
        <v>75</v>
      </c>
      <c r="G1834" t="s">
        <v>11</v>
      </c>
      <c r="H1834" t="s">
        <v>11</v>
      </c>
    </row>
    <row r="1835" spans="1:8" x14ac:dyDescent="0.35">
      <c r="A1835" t="s">
        <v>44</v>
      </c>
      <c r="B1835" t="s">
        <v>98</v>
      </c>
      <c r="C1835" t="s">
        <v>2253</v>
      </c>
      <c r="D1835">
        <v>2</v>
      </c>
      <c r="E1835">
        <v>4</v>
      </c>
      <c r="F1835" t="s">
        <v>75</v>
      </c>
      <c r="G1835" t="s">
        <v>11</v>
      </c>
      <c r="H1835" t="s">
        <v>11</v>
      </c>
    </row>
    <row r="1836" spans="1:8" x14ac:dyDescent="0.35">
      <c r="A1836" t="s">
        <v>44</v>
      </c>
      <c r="B1836" t="s">
        <v>98</v>
      </c>
      <c r="C1836" t="s">
        <v>2254</v>
      </c>
      <c r="D1836">
        <v>2</v>
      </c>
      <c r="E1836">
        <v>4</v>
      </c>
      <c r="F1836" t="s">
        <v>75</v>
      </c>
      <c r="G1836" t="s">
        <v>11</v>
      </c>
      <c r="H1836" t="s">
        <v>11</v>
      </c>
    </row>
    <row r="1837" spans="1:8" x14ac:dyDescent="0.35">
      <c r="A1837" t="s">
        <v>44</v>
      </c>
      <c r="B1837" t="s">
        <v>98</v>
      </c>
      <c r="C1837" t="s">
        <v>2255</v>
      </c>
      <c r="D1837">
        <v>2</v>
      </c>
      <c r="E1837">
        <v>3</v>
      </c>
      <c r="F1837" t="s">
        <v>75</v>
      </c>
      <c r="G1837" t="s">
        <v>11</v>
      </c>
      <c r="H1837" t="s">
        <v>11</v>
      </c>
    </row>
    <row r="1838" spans="1:8" x14ac:dyDescent="0.35">
      <c r="A1838" t="s">
        <v>44</v>
      </c>
      <c r="B1838" t="s">
        <v>98</v>
      </c>
      <c r="C1838" t="s">
        <v>2256</v>
      </c>
      <c r="D1838">
        <v>2</v>
      </c>
      <c r="E1838">
        <v>3</v>
      </c>
      <c r="F1838" t="s">
        <v>75</v>
      </c>
      <c r="G1838" t="s">
        <v>11</v>
      </c>
      <c r="H1838" t="s">
        <v>11</v>
      </c>
    </row>
    <row r="1839" spans="1:8" x14ac:dyDescent="0.35">
      <c r="A1839" t="s">
        <v>44</v>
      </c>
      <c r="B1839" t="s">
        <v>98</v>
      </c>
      <c r="C1839" t="s">
        <v>1246</v>
      </c>
      <c r="D1839">
        <v>2</v>
      </c>
      <c r="E1839">
        <v>4</v>
      </c>
      <c r="F1839" t="s">
        <v>75</v>
      </c>
      <c r="G1839" t="s">
        <v>11</v>
      </c>
      <c r="H1839" t="s">
        <v>11</v>
      </c>
    </row>
    <row r="1840" spans="1:8" x14ac:dyDescent="0.35">
      <c r="A1840" t="s">
        <v>44</v>
      </c>
      <c r="B1840" t="s">
        <v>98</v>
      </c>
      <c r="C1840" t="s">
        <v>2257</v>
      </c>
      <c r="D1840">
        <v>2</v>
      </c>
      <c r="E1840">
        <v>4</v>
      </c>
      <c r="F1840" t="s">
        <v>75</v>
      </c>
      <c r="G1840" t="s">
        <v>11</v>
      </c>
      <c r="H1840" t="s">
        <v>11</v>
      </c>
    </row>
    <row r="1841" spans="1:8" x14ac:dyDescent="0.35">
      <c r="A1841" t="s">
        <v>44</v>
      </c>
      <c r="B1841" t="s">
        <v>98</v>
      </c>
      <c r="C1841" t="s">
        <v>2258</v>
      </c>
      <c r="D1841">
        <v>2</v>
      </c>
      <c r="E1841">
        <v>5</v>
      </c>
      <c r="F1841" t="s">
        <v>75</v>
      </c>
      <c r="G1841" t="s">
        <v>11</v>
      </c>
      <c r="H1841" t="s">
        <v>11</v>
      </c>
    </row>
    <row r="1842" spans="1:8" x14ac:dyDescent="0.35">
      <c r="A1842" t="s">
        <v>44</v>
      </c>
      <c r="B1842" t="s">
        <v>98</v>
      </c>
      <c r="C1842" t="s">
        <v>2259</v>
      </c>
      <c r="D1842">
        <v>2</v>
      </c>
      <c r="E1842">
        <v>3</v>
      </c>
      <c r="F1842" t="s">
        <v>75</v>
      </c>
      <c r="G1842" t="s">
        <v>11</v>
      </c>
      <c r="H1842" t="s">
        <v>11</v>
      </c>
    </row>
    <row r="1843" spans="1:8" x14ac:dyDescent="0.35">
      <c r="A1843" t="s">
        <v>44</v>
      </c>
      <c r="B1843" t="s">
        <v>98</v>
      </c>
      <c r="C1843" t="s">
        <v>2260</v>
      </c>
      <c r="D1843">
        <v>2</v>
      </c>
      <c r="E1843">
        <v>3</v>
      </c>
      <c r="F1843" t="s">
        <v>75</v>
      </c>
      <c r="G1843" t="s">
        <v>11</v>
      </c>
      <c r="H1843" t="s">
        <v>11</v>
      </c>
    </row>
    <row r="1844" spans="1:8" x14ac:dyDescent="0.35">
      <c r="A1844" t="s">
        <v>44</v>
      </c>
      <c r="B1844" t="s">
        <v>98</v>
      </c>
      <c r="C1844" t="s">
        <v>1254</v>
      </c>
      <c r="D1844">
        <v>2</v>
      </c>
      <c r="E1844">
        <v>4</v>
      </c>
      <c r="F1844" t="s">
        <v>75</v>
      </c>
      <c r="G1844" t="s">
        <v>11</v>
      </c>
      <c r="H1844" t="s">
        <v>11</v>
      </c>
    </row>
    <row r="1845" spans="1:8" x14ac:dyDescent="0.35">
      <c r="A1845" t="s">
        <v>44</v>
      </c>
      <c r="B1845" t="s">
        <v>98</v>
      </c>
      <c r="C1845" t="s">
        <v>2261</v>
      </c>
      <c r="D1845">
        <v>2</v>
      </c>
      <c r="E1845">
        <v>5</v>
      </c>
      <c r="F1845" t="s">
        <v>75</v>
      </c>
      <c r="G1845" t="s">
        <v>11</v>
      </c>
      <c r="H1845" t="s">
        <v>11</v>
      </c>
    </row>
    <row r="1846" spans="1:8" x14ac:dyDescent="0.35">
      <c r="A1846" t="s">
        <v>44</v>
      </c>
      <c r="B1846" t="s">
        <v>98</v>
      </c>
      <c r="C1846" t="s">
        <v>2262</v>
      </c>
      <c r="D1846">
        <v>2</v>
      </c>
      <c r="E1846">
        <v>3</v>
      </c>
      <c r="F1846" t="s">
        <v>75</v>
      </c>
      <c r="G1846" t="s">
        <v>11</v>
      </c>
      <c r="H1846" t="s">
        <v>11</v>
      </c>
    </row>
    <row r="1847" spans="1:8" x14ac:dyDescent="0.35">
      <c r="A1847" t="s">
        <v>44</v>
      </c>
      <c r="B1847" t="s">
        <v>98</v>
      </c>
      <c r="C1847" t="s">
        <v>2263</v>
      </c>
      <c r="D1847">
        <v>2</v>
      </c>
      <c r="E1847">
        <v>5</v>
      </c>
      <c r="F1847" t="s">
        <v>75</v>
      </c>
      <c r="G1847" t="s">
        <v>11</v>
      </c>
      <c r="H1847" t="s">
        <v>11</v>
      </c>
    </row>
    <row r="1848" spans="1:8" x14ac:dyDescent="0.35">
      <c r="A1848" t="s">
        <v>44</v>
      </c>
      <c r="B1848" t="s">
        <v>98</v>
      </c>
      <c r="C1848" t="s">
        <v>2264</v>
      </c>
      <c r="D1848">
        <v>1</v>
      </c>
      <c r="E1848">
        <v>5</v>
      </c>
      <c r="F1848" t="s">
        <v>75</v>
      </c>
      <c r="G1848" t="s">
        <v>11</v>
      </c>
      <c r="H1848" t="s">
        <v>11</v>
      </c>
    </row>
    <row r="1849" spans="1:8" x14ac:dyDescent="0.35">
      <c r="A1849" t="s">
        <v>44</v>
      </c>
      <c r="B1849" t="s">
        <v>98</v>
      </c>
      <c r="C1849" t="s">
        <v>1377</v>
      </c>
      <c r="D1849">
        <v>2</v>
      </c>
      <c r="E1849">
        <v>3</v>
      </c>
      <c r="F1849" t="s">
        <v>75</v>
      </c>
      <c r="G1849" t="s">
        <v>11</v>
      </c>
      <c r="H1849" t="s">
        <v>11</v>
      </c>
    </row>
    <row r="1850" spans="1:8" x14ac:dyDescent="0.35">
      <c r="A1850" t="s">
        <v>44</v>
      </c>
      <c r="B1850" t="s">
        <v>98</v>
      </c>
      <c r="C1850" t="s">
        <v>2265</v>
      </c>
      <c r="D1850">
        <v>2</v>
      </c>
      <c r="E1850">
        <v>4</v>
      </c>
      <c r="F1850" t="s">
        <v>75</v>
      </c>
      <c r="G1850" t="s">
        <v>11</v>
      </c>
      <c r="H1850" t="s">
        <v>11</v>
      </c>
    </row>
    <row r="1851" spans="1:8" x14ac:dyDescent="0.35">
      <c r="A1851" t="s">
        <v>44</v>
      </c>
      <c r="B1851" t="s">
        <v>98</v>
      </c>
      <c r="C1851" t="s">
        <v>2266</v>
      </c>
      <c r="D1851">
        <v>1</v>
      </c>
      <c r="E1851">
        <v>5</v>
      </c>
      <c r="F1851" t="s">
        <v>75</v>
      </c>
      <c r="G1851" t="s">
        <v>11</v>
      </c>
      <c r="H1851" t="s">
        <v>11</v>
      </c>
    </row>
    <row r="1852" spans="1:8" x14ac:dyDescent="0.35">
      <c r="A1852" t="s">
        <v>44</v>
      </c>
      <c r="B1852" t="s">
        <v>98</v>
      </c>
      <c r="C1852" t="s">
        <v>2169</v>
      </c>
      <c r="D1852">
        <v>2</v>
      </c>
      <c r="E1852">
        <v>4</v>
      </c>
      <c r="F1852" t="s">
        <v>75</v>
      </c>
      <c r="G1852" t="s">
        <v>11</v>
      </c>
      <c r="H1852" t="s">
        <v>11</v>
      </c>
    </row>
    <row r="1853" spans="1:8" x14ac:dyDescent="0.35">
      <c r="A1853" t="s">
        <v>44</v>
      </c>
      <c r="B1853" t="s">
        <v>98</v>
      </c>
      <c r="C1853" t="s">
        <v>1387</v>
      </c>
      <c r="D1853">
        <v>2</v>
      </c>
      <c r="E1853">
        <v>5</v>
      </c>
      <c r="F1853" t="s">
        <v>75</v>
      </c>
      <c r="G1853" t="s">
        <v>11</v>
      </c>
      <c r="H1853" t="s">
        <v>11</v>
      </c>
    </row>
    <row r="1854" spans="1:8" x14ac:dyDescent="0.35">
      <c r="A1854" t="s">
        <v>44</v>
      </c>
      <c r="B1854" t="s">
        <v>98</v>
      </c>
      <c r="C1854" t="s">
        <v>1388</v>
      </c>
      <c r="D1854">
        <v>1</v>
      </c>
      <c r="E1854">
        <v>5</v>
      </c>
      <c r="F1854" t="s">
        <v>75</v>
      </c>
      <c r="G1854" t="s">
        <v>11</v>
      </c>
      <c r="H1854" t="s">
        <v>11</v>
      </c>
    </row>
    <row r="1855" spans="1:8" x14ac:dyDescent="0.35">
      <c r="A1855" t="s">
        <v>44</v>
      </c>
      <c r="B1855" t="s">
        <v>98</v>
      </c>
      <c r="C1855" t="s">
        <v>2267</v>
      </c>
      <c r="D1855">
        <v>2</v>
      </c>
      <c r="E1855">
        <v>5</v>
      </c>
      <c r="F1855" t="s">
        <v>75</v>
      </c>
      <c r="G1855" t="s">
        <v>11</v>
      </c>
      <c r="H1855" t="s">
        <v>11</v>
      </c>
    </row>
    <row r="1856" spans="1:8" x14ac:dyDescent="0.35">
      <c r="A1856" t="s">
        <v>44</v>
      </c>
      <c r="B1856" t="s">
        <v>98</v>
      </c>
      <c r="C1856" t="s">
        <v>2268</v>
      </c>
      <c r="D1856">
        <v>1</v>
      </c>
      <c r="E1856">
        <v>5</v>
      </c>
      <c r="F1856" t="s">
        <v>75</v>
      </c>
      <c r="G1856" t="s">
        <v>11</v>
      </c>
      <c r="H1856" t="s">
        <v>11</v>
      </c>
    </row>
    <row r="1857" spans="1:8" x14ac:dyDescent="0.35">
      <c r="A1857" t="s">
        <v>44</v>
      </c>
      <c r="B1857" t="s">
        <v>98</v>
      </c>
      <c r="C1857" t="s">
        <v>1325</v>
      </c>
      <c r="D1857">
        <v>2</v>
      </c>
      <c r="E1857">
        <v>4</v>
      </c>
      <c r="F1857" t="s">
        <v>75</v>
      </c>
      <c r="G1857" t="s">
        <v>11</v>
      </c>
      <c r="H1857" t="s">
        <v>11</v>
      </c>
    </row>
    <row r="1858" spans="1:8" x14ac:dyDescent="0.35">
      <c r="A1858" t="s">
        <v>44</v>
      </c>
      <c r="B1858" t="s">
        <v>98</v>
      </c>
      <c r="C1858" t="s">
        <v>2269</v>
      </c>
      <c r="D1858">
        <v>2</v>
      </c>
      <c r="E1858">
        <v>4</v>
      </c>
      <c r="F1858" t="s">
        <v>75</v>
      </c>
      <c r="G1858" t="s">
        <v>11</v>
      </c>
      <c r="H1858" t="s">
        <v>11</v>
      </c>
    </row>
    <row r="1859" spans="1:8" x14ac:dyDescent="0.35">
      <c r="A1859" t="s">
        <v>44</v>
      </c>
      <c r="B1859" t="s">
        <v>98</v>
      </c>
      <c r="C1859" t="s">
        <v>2270</v>
      </c>
      <c r="D1859">
        <v>1</v>
      </c>
      <c r="E1859">
        <v>5</v>
      </c>
      <c r="F1859" t="s">
        <v>75</v>
      </c>
      <c r="G1859" t="s">
        <v>11</v>
      </c>
      <c r="H1859" t="s">
        <v>11</v>
      </c>
    </row>
    <row r="1860" spans="1:8" x14ac:dyDescent="0.35">
      <c r="A1860" t="s">
        <v>44</v>
      </c>
      <c r="B1860" t="s">
        <v>98</v>
      </c>
      <c r="C1860" t="s">
        <v>2271</v>
      </c>
      <c r="D1860">
        <v>2</v>
      </c>
      <c r="E1860">
        <v>5</v>
      </c>
      <c r="F1860" t="s">
        <v>75</v>
      </c>
      <c r="G1860" t="s">
        <v>11</v>
      </c>
      <c r="H1860" t="s">
        <v>11</v>
      </c>
    </row>
    <row r="1861" spans="1:8" x14ac:dyDescent="0.35">
      <c r="A1861" t="s">
        <v>44</v>
      </c>
      <c r="B1861" t="s">
        <v>98</v>
      </c>
      <c r="C1861" t="s">
        <v>1277</v>
      </c>
      <c r="D1861">
        <v>2</v>
      </c>
      <c r="E1861">
        <v>4</v>
      </c>
      <c r="F1861" t="s">
        <v>75</v>
      </c>
      <c r="G1861" t="s">
        <v>11</v>
      </c>
      <c r="H1861" t="s">
        <v>11</v>
      </c>
    </row>
    <row r="1862" spans="1:8" x14ac:dyDescent="0.35">
      <c r="A1862" t="s">
        <v>44</v>
      </c>
      <c r="B1862" t="s">
        <v>98</v>
      </c>
      <c r="C1862" t="s">
        <v>2272</v>
      </c>
      <c r="D1862">
        <v>2</v>
      </c>
      <c r="E1862">
        <v>4</v>
      </c>
      <c r="F1862" t="s">
        <v>75</v>
      </c>
      <c r="G1862" t="s">
        <v>11</v>
      </c>
      <c r="H1862" t="s">
        <v>11</v>
      </c>
    </row>
    <row r="1863" spans="1:8" x14ac:dyDescent="0.35">
      <c r="A1863" t="s">
        <v>46</v>
      </c>
      <c r="B1863" t="s">
        <v>80</v>
      </c>
      <c r="C1863" t="s">
        <v>2273</v>
      </c>
      <c r="D1863">
        <v>1</v>
      </c>
      <c r="E1863">
        <v>5</v>
      </c>
      <c r="F1863" t="s">
        <v>7</v>
      </c>
      <c r="G1863" t="s">
        <v>11</v>
      </c>
      <c r="H1863" t="s">
        <v>11</v>
      </c>
    </row>
    <row r="1864" spans="1:8" x14ac:dyDescent="0.35">
      <c r="A1864" t="s">
        <v>46</v>
      </c>
      <c r="B1864" t="s">
        <v>80</v>
      </c>
      <c r="C1864" t="s">
        <v>1919</v>
      </c>
      <c r="D1864">
        <v>1</v>
      </c>
      <c r="E1864">
        <v>6</v>
      </c>
      <c r="F1864" t="s">
        <v>7</v>
      </c>
      <c r="G1864" t="s">
        <v>11</v>
      </c>
      <c r="H1864" t="s">
        <v>11</v>
      </c>
    </row>
    <row r="1865" spans="1:8" x14ac:dyDescent="0.35">
      <c r="A1865" t="s">
        <v>46</v>
      </c>
      <c r="B1865" t="s">
        <v>80</v>
      </c>
      <c r="C1865" t="s">
        <v>2274</v>
      </c>
      <c r="D1865">
        <v>3</v>
      </c>
      <c r="E1865">
        <v>4</v>
      </c>
      <c r="F1865" t="s">
        <v>7</v>
      </c>
      <c r="G1865" t="s">
        <v>11</v>
      </c>
      <c r="H1865" t="s">
        <v>11</v>
      </c>
    </row>
    <row r="1866" spans="1:8" x14ac:dyDescent="0.35">
      <c r="A1866" t="s">
        <v>46</v>
      </c>
      <c r="B1866" t="s">
        <v>80</v>
      </c>
      <c r="C1866" t="s">
        <v>2275</v>
      </c>
      <c r="D1866">
        <v>1</v>
      </c>
      <c r="E1866">
        <v>6</v>
      </c>
      <c r="F1866" t="s">
        <v>7</v>
      </c>
      <c r="G1866" t="s">
        <v>11</v>
      </c>
      <c r="H1866" t="s">
        <v>11</v>
      </c>
    </row>
    <row r="1867" spans="1:8" x14ac:dyDescent="0.35">
      <c r="A1867" t="s">
        <v>46</v>
      </c>
      <c r="B1867" t="s">
        <v>80</v>
      </c>
      <c r="C1867" t="s">
        <v>2276</v>
      </c>
      <c r="D1867">
        <v>1</v>
      </c>
      <c r="E1867">
        <v>6</v>
      </c>
      <c r="F1867" t="s">
        <v>7</v>
      </c>
      <c r="G1867" t="s">
        <v>11</v>
      </c>
      <c r="H1867" t="s">
        <v>11</v>
      </c>
    </row>
    <row r="1868" spans="1:8" x14ac:dyDescent="0.35">
      <c r="A1868" t="s">
        <v>46</v>
      </c>
      <c r="B1868" t="s">
        <v>80</v>
      </c>
      <c r="C1868" t="s">
        <v>2277</v>
      </c>
      <c r="D1868">
        <v>1</v>
      </c>
      <c r="E1868">
        <v>5</v>
      </c>
      <c r="F1868" t="s">
        <v>7</v>
      </c>
      <c r="G1868" t="s">
        <v>11</v>
      </c>
      <c r="H1868" t="s">
        <v>11</v>
      </c>
    </row>
    <row r="1869" spans="1:8" x14ac:dyDescent="0.35">
      <c r="A1869" t="s">
        <v>46</v>
      </c>
      <c r="B1869" t="s">
        <v>80</v>
      </c>
      <c r="C1869" t="s">
        <v>1747</v>
      </c>
      <c r="D1869">
        <v>1</v>
      </c>
      <c r="E1869">
        <v>5</v>
      </c>
      <c r="F1869" t="s">
        <v>7</v>
      </c>
      <c r="G1869" t="s">
        <v>11</v>
      </c>
      <c r="H1869" t="s">
        <v>11</v>
      </c>
    </row>
    <row r="1870" spans="1:8" x14ac:dyDescent="0.35">
      <c r="A1870" t="s">
        <v>46</v>
      </c>
      <c r="B1870" t="s">
        <v>80</v>
      </c>
      <c r="C1870" t="s">
        <v>2278</v>
      </c>
      <c r="D1870">
        <v>1</v>
      </c>
      <c r="E1870">
        <v>5</v>
      </c>
      <c r="F1870" t="s">
        <v>7</v>
      </c>
      <c r="G1870" t="s">
        <v>11</v>
      </c>
      <c r="H1870" t="s">
        <v>11</v>
      </c>
    </row>
    <row r="1871" spans="1:8" x14ac:dyDescent="0.35">
      <c r="A1871" t="s">
        <v>46</v>
      </c>
      <c r="B1871" t="s">
        <v>80</v>
      </c>
      <c r="C1871" t="s">
        <v>2279</v>
      </c>
      <c r="D1871">
        <v>1</v>
      </c>
      <c r="E1871">
        <v>6</v>
      </c>
      <c r="F1871" t="s">
        <v>7</v>
      </c>
      <c r="G1871" t="s">
        <v>11</v>
      </c>
      <c r="H1871" t="s">
        <v>11</v>
      </c>
    </row>
    <row r="1872" spans="1:8" x14ac:dyDescent="0.35">
      <c r="A1872" t="s">
        <v>46</v>
      </c>
      <c r="B1872" t="s">
        <v>80</v>
      </c>
      <c r="C1872" t="s">
        <v>1608</v>
      </c>
      <c r="D1872">
        <v>2</v>
      </c>
      <c r="E1872">
        <v>6</v>
      </c>
      <c r="F1872" t="s">
        <v>7</v>
      </c>
      <c r="G1872" t="s">
        <v>11</v>
      </c>
      <c r="H1872" t="s">
        <v>11</v>
      </c>
    </row>
    <row r="1873" spans="1:8" x14ac:dyDescent="0.35">
      <c r="A1873" t="s">
        <v>46</v>
      </c>
      <c r="B1873" t="s">
        <v>80</v>
      </c>
      <c r="C1873" t="s">
        <v>1235</v>
      </c>
      <c r="D1873">
        <v>1</v>
      </c>
      <c r="E1873">
        <v>5</v>
      </c>
      <c r="F1873" t="s">
        <v>7</v>
      </c>
      <c r="G1873" t="s">
        <v>11</v>
      </c>
      <c r="H1873" t="s">
        <v>11</v>
      </c>
    </row>
    <row r="1874" spans="1:8" x14ac:dyDescent="0.35">
      <c r="A1874" t="s">
        <v>46</v>
      </c>
      <c r="B1874" t="s">
        <v>80</v>
      </c>
      <c r="C1874" t="s">
        <v>2280</v>
      </c>
      <c r="D1874">
        <v>1</v>
      </c>
      <c r="E1874">
        <v>5</v>
      </c>
      <c r="F1874" t="s">
        <v>7</v>
      </c>
      <c r="G1874" t="s">
        <v>11</v>
      </c>
      <c r="H1874" t="s">
        <v>11</v>
      </c>
    </row>
    <row r="1875" spans="1:8" x14ac:dyDescent="0.35">
      <c r="A1875" t="s">
        <v>46</v>
      </c>
      <c r="B1875" t="s">
        <v>80</v>
      </c>
      <c r="C1875" t="s">
        <v>1660</v>
      </c>
      <c r="D1875">
        <v>1</v>
      </c>
      <c r="E1875">
        <v>6</v>
      </c>
      <c r="F1875" t="s">
        <v>7</v>
      </c>
      <c r="G1875" t="s">
        <v>11</v>
      </c>
      <c r="H1875" t="s">
        <v>11</v>
      </c>
    </row>
    <row r="1876" spans="1:8" x14ac:dyDescent="0.35">
      <c r="A1876" t="s">
        <v>46</v>
      </c>
      <c r="B1876" t="s">
        <v>80</v>
      </c>
      <c r="C1876" t="s">
        <v>2281</v>
      </c>
      <c r="D1876">
        <v>1</v>
      </c>
      <c r="E1876">
        <v>5</v>
      </c>
      <c r="F1876" t="s">
        <v>7</v>
      </c>
      <c r="G1876" t="s">
        <v>11</v>
      </c>
      <c r="H1876" t="s">
        <v>11</v>
      </c>
    </row>
    <row r="1877" spans="1:8" x14ac:dyDescent="0.35">
      <c r="A1877" t="s">
        <v>46</v>
      </c>
      <c r="B1877" t="s">
        <v>80</v>
      </c>
      <c r="C1877" t="s">
        <v>2282</v>
      </c>
      <c r="D1877">
        <v>1</v>
      </c>
      <c r="E1877">
        <v>5</v>
      </c>
      <c r="F1877" t="s">
        <v>7</v>
      </c>
      <c r="G1877" t="s">
        <v>11</v>
      </c>
      <c r="H1877" t="s">
        <v>11</v>
      </c>
    </row>
    <row r="1878" spans="1:8" x14ac:dyDescent="0.35">
      <c r="A1878" t="s">
        <v>46</v>
      </c>
      <c r="B1878" t="s">
        <v>80</v>
      </c>
      <c r="C1878" t="s">
        <v>1940</v>
      </c>
      <c r="D1878">
        <v>3</v>
      </c>
      <c r="E1878">
        <v>6</v>
      </c>
      <c r="F1878" t="s">
        <v>7</v>
      </c>
      <c r="G1878" t="s">
        <v>11</v>
      </c>
      <c r="H1878" t="s">
        <v>11</v>
      </c>
    </row>
    <row r="1879" spans="1:8" x14ac:dyDescent="0.35">
      <c r="A1879" t="s">
        <v>46</v>
      </c>
      <c r="B1879" t="s">
        <v>80</v>
      </c>
      <c r="C1879" t="s">
        <v>1142</v>
      </c>
      <c r="D1879">
        <v>3</v>
      </c>
      <c r="E1879">
        <v>6</v>
      </c>
      <c r="F1879" t="s">
        <v>7</v>
      </c>
      <c r="G1879" t="s">
        <v>11</v>
      </c>
      <c r="H1879" t="s">
        <v>11</v>
      </c>
    </row>
    <row r="1880" spans="1:8" x14ac:dyDescent="0.35">
      <c r="A1880" t="s">
        <v>46</v>
      </c>
      <c r="B1880" t="s">
        <v>80</v>
      </c>
      <c r="C1880" t="s">
        <v>1244</v>
      </c>
      <c r="D1880">
        <v>3</v>
      </c>
      <c r="E1880">
        <v>6</v>
      </c>
      <c r="F1880" t="s">
        <v>7</v>
      </c>
      <c r="G1880" t="s">
        <v>11</v>
      </c>
      <c r="H1880" t="s">
        <v>11</v>
      </c>
    </row>
    <row r="1881" spans="1:8" x14ac:dyDescent="0.35">
      <c r="A1881" t="s">
        <v>46</v>
      </c>
      <c r="B1881" t="s">
        <v>80</v>
      </c>
      <c r="C1881" t="s">
        <v>1961</v>
      </c>
      <c r="D1881">
        <v>1</v>
      </c>
      <c r="E1881">
        <v>5</v>
      </c>
      <c r="F1881" t="s">
        <v>7</v>
      </c>
      <c r="G1881" t="s">
        <v>11</v>
      </c>
      <c r="H1881" t="s">
        <v>11</v>
      </c>
    </row>
    <row r="1882" spans="1:8" x14ac:dyDescent="0.35">
      <c r="A1882" t="s">
        <v>46</v>
      </c>
      <c r="B1882" t="s">
        <v>80</v>
      </c>
      <c r="C1882" t="s">
        <v>1144</v>
      </c>
      <c r="D1882">
        <v>1</v>
      </c>
      <c r="E1882">
        <v>5</v>
      </c>
      <c r="F1882" t="s">
        <v>7</v>
      </c>
      <c r="G1882" t="s">
        <v>11</v>
      </c>
      <c r="H1882" t="s">
        <v>11</v>
      </c>
    </row>
    <row r="1883" spans="1:8" x14ac:dyDescent="0.35">
      <c r="A1883" t="s">
        <v>46</v>
      </c>
      <c r="B1883" t="s">
        <v>80</v>
      </c>
      <c r="C1883" t="s">
        <v>1422</v>
      </c>
      <c r="D1883">
        <v>3</v>
      </c>
      <c r="E1883">
        <v>6</v>
      </c>
      <c r="F1883" t="s">
        <v>7</v>
      </c>
      <c r="G1883" t="s">
        <v>11</v>
      </c>
      <c r="H1883" t="s">
        <v>11</v>
      </c>
    </row>
    <row r="1884" spans="1:8" x14ac:dyDescent="0.35">
      <c r="A1884" t="s">
        <v>46</v>
      </c>
      <c r="B1884" t="s">
        <v>80</v>
      </c>
      <c r="C1884" t="s">
        <v>2283</v>
      </c>
      <c r="D1884">
        <v>3</v>
      </c>
      <c r="E1884">
        <v>6</v>
      </c>
      <c r="F1884" t="s">
        <v>7</v>
      </c>
      <c r="G1884" t="s">
        <v>11</v>
      </c>
      <c r="H1884" t="s">
        <v>11</v>
      </c>
    </row>
    <row r="1885" spans="1:8" x14ac:dyDescent="0.35">
      <c r="A1885" t="s">
        <v>46</v>
      </c>
      <c r="B1885" t="s">
        <v>80</v>
      </c>
      <c r="C1885" t="s">
        <v>1149</v>
      </c>
      <c r="D1885">
        <v>2</v>
      </c>
      <c r="E1885">
        <v>6</v>
      </c>
      <c r="F1885" t="s">
        <v>7</v>
      </c>
      <c r="G1885" t="s">
        <v>11</v>
      </c>
      <c r="H1885" t="s">
        <v>11</v>
      </c>
    </row>
    <row r="1886" spans="1:8" x14ac:dyDescent="0.35">
      <c r="A1886" t="s">
        <v>46</v>
      </c>
      <c r="B1886" t="s">
        <v>80</v>
      </c>
      <c r="C1886" t="s">
        <v>1297</v>
      </c>
      <c r="D1886">
        <v>3</v>
      </c>
      <c r="E1886">
        <v>4</v>
      </c>
      <c r="F1886" t="s">
        <v>7</v>
      </c>
      <c r="G1886" t="s">
        <v>11</v>
      </c>
      <c r="H1886" t="s">
        <v>11</v>
      </c>
    </row>
    <row r="1887" spans="1:8" x14ac:dyDescent="0.35">
      <c r="A1887" t="s">
        <v>46</v>
      </c>
      <c r="B1887" t="s">
        <v>80</v>
      </c>
      <c r="C1887" t="s">
        <v>1590</v>
      </c>
      <c r="D1887">
        <v>2</v>
      </c>
      <c r="E1887">
        <v>6</v>
      </c>
      <c r="F1887" t="s">
        <v>7</v>
      </c>
      <c r="G1887" t="s">
        <v>11</v>
      </c>
      <c r="H1887" t="s">
        <v>11</v>
      </c>
    </row>
    <row r="1888" spans="1:8" x14ac:dyDescent="0.35">
      <c r="A1888" t="s">
        <v>46</v>
      </c>
      <c r="B1888" t="s">
        <v>80</v>
      </c>
      <c r="C1888" t="s">
        <v>1628</v>
      </c>
      <c r="D1888">
        <v>1</v>
      </c>
      <c r="E1888">
        <v>5</v>
      </c>
      <c r="F1888" t="s">
        <v>7</v>
      </c>
      <c r="G1888" t="s">
        <v>11</v>
      </c>
      <c r="H1888" t="s">
        <v>11</v>
      </c>
    </row>
    <row r="1889" spans="1:8" x14ac:dyDescent="0.35">
      <c r="A1889" t="s">
        <v>46</v>
      </c>
      <c r="B1889" t="s">
        <v>80</v>
      </c>
      <c r="C1889" t="s">
        <v>1157</v>
      </c>
      <c r="D1889">
        <v>1</v>
      </c>
      <c r="E1889">
        <v>6</v>
      </c>
      <c r="F1889" t="s">
        <v>7</v>
      </c>
      <c r="G1889" t="s">
        <v>11</v>
      </c>
      <c r="H1889" t="s">
        <v>11</v>
      </c>
    </row>
    <row r="1890" spans="1:8" x14ac:dyDescent="0.35">
      <c r="A1890" t="s">
        <v>46</v>
      </c>
      <c r="B1890" t="s">
        <v>80</v>
      </c>
      <c r="C1890" t="s">
        <v>1162</v>
      </c>
      <c r="D1890">
        <v>2</v>
      </c>
      <c r="E1890">
        <v>5</v>
      </c>
      <c r="F1890" t="s">
        <v>7</v>
      </c>
      <c r="G1890" t="s">
        <v>11</v>
      </c>
      <c r="H1890" t="s">
        <v>11</v>
      </c>
    </row>
    <row r="1891" spans="1:8" x14ac:dyDescent="0.35">
      <c r="A1891" t="s">
        <v>46</v>
      </c>
      <c r="B1891" t="s">
        <v>80</v>
      </c>
      <c r="C1891" t="s">
        <v>1163</v>
      </c>
      <c r="D1891">
        <v>2</v>
      </c>
      <c r="E1891">
        <v>6</v>
      </c>
      <c r="F1891" t="s">
        <v>7</v>
      </c>
      <c r="G1891" t="s">
        <v>11</v>
      </c>
      <c r="H1891" t="s">
        <v>11</v>
      </c>
    </row>
    <row r="1892" spans="1:8" x14ac:dyDescent="0.35">
      <c r="A1892" t="s">
        <v>46</v>
      </c>
      <c r="B1892" t="s">
        <v>80</v>
      </c>
      <c r="C1892" t="s">
        <v>1436</v>
      </c>
      <c r="D1892">
        <v>3</v>
      </c>
      <c r="E1892">
        <v>4</v>
      </c>
      <c r="F1892" t="s">
        <v>7</v>
      </c>
      <c r="G1892" t="s">
        <v>11</v>
      </c>
      <c r="H1892" t="s">
        <v>11</v>
      </c>
    </row>
    <row r="1893" spans="1:8" x14ac:dyDescent="0.35">
      <c r="A1893" t="s">
        <v>46</v>
      </c>
      <c r="B1893" t="s">
        <v>80</v>
      </c>
      <c r="C1893" t="s">
        <v>2284</v>
      </c>
      <c r="D1893">
        <v>3</v>
      </c>
      <c r="E1893">
        <v>4</v>
      </c>
      <c r="F1893" t="s">
        <v>7</v>
      </c>
      <c r="G1893" t="s">
        <v>11</v>
      </c>
      <c r="H1893" t="s">
        <v>11</v>
      </c>
    </row>
    <row r="1894" spans="1:8" x14ac:dyDescent="0.35">
      <c r="A1894" t="s">
        <v>46</v>
      </c>
      <c r="B1894" t="s">
        <v>80</v>
      </c>
      <c r="C1894" t="s">
        <v>2285</v>
      </c>
      <c r="D1894">
        <v>2</v>
      </c>
      <c r="E1894">
        <v>5</v>
      </c>
      <c r="F1894" t="s">
        <v>7</v>
      </c>
      <c r="G1894" t="s">
        <v>11</v>
      </c>
      <c r="H1894" t="s">
        <v>11</v>
      </c>
    </row>
    <row r="1895" spans="1:8" x14ac:dyDescent="0.35">
      <c r="A1895" t="s">
        <v>46</v>
      </c>
      <c r="B1895" t="s">
        <v>80</v>
      </c>
      <c r="C1895" t="s">
        <v>1593</v>
      </c>
      <c r="D1895">
        <v>2</v>
      </c>
      <c r="E1895">
        <v>6</v>
      </c>
      <c r="F1895" t="s">
        <v>7</v>
      </c>
      <c r="G1895" t="s">
        <v>11</v>
      </c>
      <c r="H1895" t="s">
        <v>11</v>
      </c>
    </row>
    <row r="1896" spans="1:8" x14ac:dyDescent="0.35">
      <c r="A1896" t="s">
        <v>46</v>
      </c>
      <c r="B1896" t="s">
        <v>80</v>
      </c>
      <c r="C1896" t="s">
        <v>2286</v>
      </c>
      <c r="D1896">
        <v>1</v>
      </c>
      <c r="E1896">
        <v>5</v>
      </c>
      <c r="F1896" t="s">
        <v>7</v>
      </c>
      <c r="G1896" t="s">
        <v>11</v>
      </c>
      <c r="H1896" t="s">
        <v>11</v>
      </c>
    </row>
    <row r="1897" spans="1:8" x14ac:dyDescent="0.35">
      <c r="A1897" t="s">
        <v>46</v>
      </c>
      <c r="B1897" t="s">
        <v>80</v>
      </c>
      <c r="C1897" t="s">
        <v>2287</v>
      </c>
      <c r="D1897">
        <v>1</v>
      </c>
      <c r="E1897">
        <v>5</v>
      </c>
      <c r="F1897" t="s">
        <v>7</v>
      </c>
      <c r="G1897" t="s">
        <v>11</v>
      </c>
      <c r="H1897" t="s">
        <v>11</v>
      </c>
    </row>
    <row r="1898" spans="1:8" x14ac:dyDescent="0.35">
      <c r="A1898" t="s">
        <v>46</v>
      </c>
      <c r="B1898" t="s">
        <v>80</v>
      </c>
      <c r="C1898" t="s">
        <v>1310</v>
      </c>
      <c r="D1898">
        <v>1</v>
      </c>
      <c r="E1898">
        <v>5</v>
      </c>
      <c r="F1898" t="s">
        <v>7</v>
      </c>
      <c r="G1898" t="s">
        <v>11</v>
      </c>
      <c r="H1898" t="s">
        <v>11</v>
      </c>
    </row>
    <row r="1899" spans="1:8" x14ac:dyDescent="0.35">
      <c r="A1899" t="s">
        <v>46</v>
      </c>
      <c r="B1899" t="s">
        <v>80</v>
      </c>
      <c r="C1899" t="s">
        <v>1886</v>
      </c>
      <c r="D1899">
        <v>2</v>
      </c>
      <c r="E1899">
        <v>5</v>
      </c>
      <c r="F1899" t="s">
        <v>7</v>
      </c>
      <c r="G1899" t="s">
        <v>11</v>
      </c>
      <c r="H1899" t="s">
        <v>11</v>
      </c>
    </row>
    <row r="1900" spans="1:8" x14ac:dyDescent="0.35">
      <c r="A1900" t="s">
        <v>46</v>
      </c>
      <c r="B1900" t="s">
        <v>80</v>
      </c>
      <c r="C1900" t="s">
        <v>2288</v>
      </c>
      <c r="D1900">
        <v>2</v>
      </c>
      <c r="E1900">
        <v>5</v>
      </c>
      <c r="F1900" t="s">
        <v>7</v>
      </c>
      <c r="G1900" t="s">
        <v>11</v>
      </c>
      <c r="H1900" t="s">
        <v>11</v>
      </c>
    </row>
    <row r="1901" spans="1:8" x14ac:dyDescent="0.35">
      <c r="A1901" t="s">
        <v>46</v>
      </c>
      <c r="B1901" t="s">
        <v>80</v>
      </c>
      <c r="C1901" t="s">
        <v>1998</v>
      </c>
      <c r="D1901">
        <v>1</v>
      </c>
      <c r="E1901">
        <v>6</v>
      </c>
      <c r="F1901" t="s">
        <v>7</v>
      </c>
      <c r="G1901" t="s">
        <v>11</v>
      </c>
      <c r="H1901" t="s">
        <v>11</v>
      </c>
    </row>
    <row r="1902" spans="1:8" x14ac:dyDescent="0.35">
      <c r="A1902" t="s">
        <v>46</v>
      </c>
      <c r="B1902" t="s">
        <v>80</v>
      </c>
      <c r="C1902" t="s">
        <v>1443</v>
      </c>
      <c r="D1902">
        <v>1</v>
      </c>
      <c r="E1902">
        <v>5</v>
      </c>
      <c r="F1902" t="s">
        <v>7</v>
      </c>
      <c r="G1902" t="s">
        <v>11</v>
      </c>
      <c r="H1902" t="s">
        <v>11</v>
      </c>
    </row>
    <row r="1903" spans="1:8" x14ac:dyDescent="0.35">
      <c r="A1903" t="s">
        <v>46</v>
      </c>
      <c r="B1903" t="s">
        <v>80</v>
      </c>
      <c r="C1903" t="s">
        <v>2289</v>
      </c>
      <c r="D1903">
        <v>3</v>
      </c>
      <c r="E1903">
        <v>4</v>
      </c>
      <c r="F1903" t="s">
        <v>7</v>
      </c>
      <c r="G1903" t="s">
        <v>11</v>
      </c>
      <c r="H1903" t="s">
        <v>11</v>
      </c>
    </row>
    <row r="1904" spans="1:8" x14ac:dyDescent="0.35">
      <c r="A1904" t="s">
        <v>46</v>
      </c>
      <c r="B1904" t="s">
        <v>80</v>
      </c>
      <c r="C1904" t="s">
        <v>2290</v>
      </c>
      <c r="D1904">
        <v>1</v>
      </c>
      <c r="E1904">
        <v>5</v>
      </c>
      <c r="F1904" t="s">
        <v>7</v>
      </c>
      <c r="G1904" t="s">
        <v>11</v>
      </c>
      <c r="H1904" t="s">
        <v>11</v>
      </c>
    </row>
    <row r="1905" spans="1:8" x14ac:dyDescent="0.35">
      <c r="A1905" t="s">
        <v>46</v>
      </c>
      <c r="B1905" t="s">
        <v>80</v>
      </c>
      <c r="C1905" t="s">
        <v>1533</v>
      </c>
      <c r="D1905">
        <v>3</v>
      </c>
      <c r="E1905">
        <v>4</v>
      </c>
      <c r="F1905" t="s">
        <v>7</v>
      </c>
      <c r="G1905" t="s">
        <v>11</v>
      </c>
      <c r="H1905" t="s">
        <v>11</v>
      </c>
    </row>
    <row r="1906" spans="1:8" x14ac:dyDescent="0.35">
      <c r="A1906" t="s">
        <v>46</v>
      </c>
      <c r="B1906" t="s">
        <v>80</v>
      </c>
      <c r="C1906" t="s">
        <v>2291</v>
      </c>
      <c r="D1906">
        <v>3</v>
      </c>
      <c r="E1906">
        <v>5</v>
      </c>
      <c r="F1906" t="s">
        <v>7</v>
      </c>
      <c r="G1906" t="s">
        <v>11</v>
      </c>
      <c r="H1906" t="s">
        <v>11</v>
      </c>
    </row>
    <row r="1907" spans="1:8" x14ac:dyDescent="0.35">
      <c r="A1907" t="s">
        <v>46</v>
      </c>
      <c r="B1907" t="s">
        <v>80</v>
      </c>
      <c r="C1907" t="s">
        <v>2292</v>
      </c>
      <c r="D1907">
        <v>2</v>
      </c>
      <c r="E1907">
        <v>6</v>
      </c>
      <c r="F1907" t="s">
        <v>7</v>
      </c>
      <c r="G1907" t="s">
        <v>11</v>
      </c>
      <c r="H1907" t="s">
        <v>11</v>
      </c>
    </row>
    <row r="1908" spans="1:8" x14ac:dyDescent="0.35">
      <c r="A1908" t="s">
        <v>46</v>
      </c>
      <c r="B1908" t="s">
        <v>80</v>
      </c>
      <c r="C1908" t="s">
        <v>2293</v>
      </c>
      <c r="D1908">
        <v>2</v>
      </c>
      <c r="E1908">
        <v>5</v>
      </c>
      <c r="F1908" t="s">
        <v>7</v>
      </c>
      <c r="G1908" t="s">
        <v>11</v>
      </c>
      <c r="H1908" t="s">
        <v>11</v>
      </c>
    </row>
    <row r="1909" spans="1:8" x14ac:dyDescent="0.35">
      <c r="A1909" t="s">
        <v>46</v>
      </c>
      <c r="B1909" t="s">
        <v>80</v>
      </c>
      <c r="C1909" t="s">
        <v>2294</v>
      </c>
      <c r="D1909">
        <v>2</v>
      </c>
      <c r="E1909">
        <v>5</v>
      </c>
      <c r="F1909" t="s">
        <v>7</v>
      </c>
      <c r="G1909" t="s">
        <v>11</v>
      </c>
      <c r="H1909" t="s">
        <v>11</v>
      </c>
    </row>
    <row r="1910" spans="1:8" x14ac:dyDescent="0.35">
      <c r="A1910" t="s">
        <v>46</v>
      </c>
      <c r="B1910" t="s">
        <v>80</v>
      </c>
      <c r="C1910" t="s">
        <v>2295</v>
      </c>
      <c r="D1910">
        <v>1</v>
      </c>
      <c r="E1910">
        <v>6</v>
      </c>
      <c r="F1910" t="s">
        <v>7</v>
      </c>
      <c r="G1910" t="s">
        <v>11</v>
      </c>
      <c r="H1910" t="s">
        <v>11</v>
      </c>
    </row>
    <row r="1911" spans="1:8" x14ac:dyDescent="0.35">
      <c r="A1911" t="s">
        <v>46</v>
      </c>
      <c r="B1911" t="s">
        <v>80</v>
      </c>
      <c r="C1911" t="s">
        <v>1644</v>
      </c>
      <c r="D1911">
        <v>1</v>
      </c>
      <c r="E1911">
        <v>6</v>
      </c>
      <c r="F1911" t="s">
        <v>7</v>
      </c>
      <c r="G1911" t="s">
        <v>11</v>
      </c>
      <c r="H1911" t="s">
        <v>11</v>
      </c>
    </row>
    <row r="1912" spans="1:8" x14ac:dyDescent="0.35">
      <c r="A1912" t="s">
        <v>46</v>
      </c>
      <c r="B1912" t="s">
        <v>80</v>
      </c>
      <c r="C1912" t="s">
        <v>2296</v>
      </c>
      <c r="D1912">
        <v>1</v>
      </c>
      <c r="E1912">
        <v>5</v>
      </c>
      <c r="F1912" t="s">
        <v>7</v>
      </c>
      <c r="G1912" t="s">
        <v>11</v>
      </c>
      <c r="H1912" t="s">
        <v>11</v>
      </c>
    </row>
    <row r="1913" spans="1:8" x14ac:dyDescent="0.35">
      <c r="A1913" t="s">
        <v>46</v>
      </c>
      <c r="B1913" t="s">
        <v>80</v>
      </c>
      <c r="C1913" t="s">
        <v>1685</v>
      </c>
      <c r="D1913">
        <v>1</v>
      </c>
      <c r="E1913">
        <v>6</v>
      </c>
      <c r="F1913" t="s">
        <v>7</v>
      </c>
      <c r="G1913" t="s">
        <v>11</v>
      </c>
      <c r="H1913" t="s">
        <v>11</v>
      </c>
    </row>
    <row r="1914" spans="1:8" x14ac:dyDescent="0.35">
      <c r="A1914" t="s">
        <v>46</v>
      </c>
      <c r="B1914" t="s">
        <v>80</v>
      </c>
      <c r="C1914" t="s">
        <v>1945</v>
      </c>
      <c r="D1914">
        <v>3</v>
      </c>
      <c r="E1914">
        <v>4</v>
      </c>
      <c r="F1914" t="s">
        <v>7</v>
      </c>
      <c r="G1914" t="s">
        <v>11</v>
      </c>
      <c r="H1914" t="s">
        <v>11</v>
      </c>
    </row>
    <row r="1915" spans="1:8" x14ac:dyDescent="0.35">
      <c r="A1915" t="s">
        <v>46</v>
      </c>
      <c r="B1915" t="s">
        <v>80</v>
      </c>
      <c r="C1915" t="s">
        <v>1686</v>
      </c>
      <c r="D1915">
        <v>1</v>
      </c>
      <c r="E1915">
        <v>6</v>
      </c>
      <c r="F1915" t="s">
        <v>7</v>
      </c>
      <c r="G1915" t="s">
        <v>11</v>
      </c>
      <c r="H1915" t="s">
        <v>11</v>
      </c>
    </row>
    <row r="1916" spans="1:8" x14ac:dyDescent="0.35">
      <c r="A1916" t="s">
        <v>46</v>
      </c>
      <c r="B1916" t="s">
        <v>80</v>
      </c>
      <c r="C1916" t="s">
        <v>2297</v>
      </c>
      <c r="D1916">
        <v>1</v>
      </c>
      <c r="E1916">
        <v>5</v>
      </c>
      <c r="F1916" t="s">
        <v>7</v>
      </c>
      <c r="G1916" t="s">
        <v>11</v>
      </c>
      <c r="H1916" t="s">
        <v>11</v>
      </c>
    </row>
    <row r="1917" spans="1:8" x14ac:dyDescent="0.35">
      <c r="A1917" t="s">
        <v>46</v>
      </c>
      <c r="B1917" t="s">
        <v>80</v>
      </c>
      <c r="C1917" t="s">
        <v>2298</v>
      </c>
      <c r="D1917">
        <v>1</v>
      </c>
      <c r="E1917">
        <v>6</v>
      </c>
      <c r="F1917" t="s">
        <v>7</v>
      </c>
      <c r="G1917" t="s">
        <v>11</v>
      </c>
      <c r="H1917" t="s">
        <v>11</v>
      </c>
    </row>
    <row r="1918" spans="1:8" x14ac:dyDescent="0.35">
      <c r="A1918" t="s">
        <v>46</v>
      </c>
      <c r="B1918" t="s">
        <v>80</v>
      </c>
      <c r="C1918" t="s">
        <v>2299</v>
      </c>
      <c r="D1918">
        <v>1</v>
      </c>
      <c r="E1918">
        <v>6</v>
      </c>
      <c r="F1918" t="s">
        <v>7</v>
      </c>
      <c r="G1918" t="s">
        <v>11</v>
      </c>
      <c r="H1918" t="s">
        <v>11</v>
      </c>
    </row>
    <row r="1919" spans="1:8" x14ac:dyDescent="0.35">
      <c r="A1919" t="s">
        <v>46</v>
      </c>
      <c r="B1919" t="s">
        <v>80</v>
      </c>
      <c r="C1919" t="s">
        <v>1555</v>
      </c>
      <c r="D1919">
        <v>3</v>
      </c>
      <c r="E1919">
        <v>6</v>
      </c>
      <c r="F1919" t="s">
        <v>7</v>
      </c>
      <c r="G1919" t="s">
        <v>11</v>
      </c>
      <c r="H1919" t="s">
        <v>11</v>
      </c>
    </row>
    <row r="1920" spans="1:8" x14ac:dyDescent="0.35">
      <c r="A1920" t="s">
        <v>46</v>
      </c>
      <c r="B1920" t="s">
        <v>80</v>
      </c>
      <c r="C1920" t="s">
        <v>1177</v>
      </c>
      <c r="D1920">
        <v>1</v>
      </c>
      <c r="E1920">
        <v>5</v>
      </c>
      <c r="F1920" t="s">
        <v>7</v>
      </c>
      <c r="G1920" t="s">
        <v>11</v>
      </c>
      <c r="H1920" t="s">
        <v>11</v>
      </c>
    </row>
    <row r="1921" spans="1:8" x14ac:dyDescent="0.35">
      <c r="A1921" t="s">
        <v>46</v>
      </c>
      <c r="B1921" t="s">
        <v>80</v>
      </c>
      <c r="C1921" t="s">
        <v>1556</v>
      </c>
      <c r="D1921">
        <v>2</v>
      </c>
      <c r="E1921">
        <v>5</v>
      </c>
      <c r="F1921" t="s">
        <v>7</v>
      </c>
      <c r="G1921" t="s">
        <v>11</v>
      </c>
      <c r="H1921" t="s">
        <v>11</v>
      </c>
    </row>
    <row r="1922" spans="1:8" x14ac:dyDescent="0.35">
      <c r="A1922" t="s">
        <v>46</v>
      </c>
      <c r="B1922" t="s">
        <v>80</v>
      </c>
      <c r="C1922" t="s">
        <v>2300</v>
      </c>
      <c r="D1922">
        <v>3</v>
      </c>
      <c r="E1922">
        <v>4</v>
      </c>
      <c r="F1922" t="s">
        <v>7</v>
      </c>
      <c r="G1922" t="s">
        <v>11</v>
      </c>
      <c r="H1922" t="s">
        <v>11</v>
      </c>
    </row>
    <row r="1923" spans="1:8" x14ac:dyDescent="0.35">
      <c r="A1923" t="s">
        <v>46</v>
      </c>
      <c r="B1923" t="s">
        <v>80</v>
      </c>
      <c r="C1923" t="s">
        <v>2301</v>
      </c>
      <c r="D1923">
        <v>1</v>
      </c>
      <c r="E1923">
        <v>6</v>
      </c>
      <c r="F1923" t="s">
        <v>7</v>
      </c>
      <c r="G1923" t="s">
        <v>11</v>
      </c>
      <c r="H1923" t="s">
        <v>11</v>
      </c>
    </row>
    <row r="1924" spans="1:8" x14ac:dyDescent="0.35">
      <c r="A1924" t="s">
        <v>46</v>
      </c>
      <c r="B1924" t="s">
        <v>80</v>
      </c>
      <c r="C1924" t="s">
        <v>2302</v>
      </c>
      <c r="D1924">
        <v>1</v>
      </c>
      <c r="E1924">
        <v>5</v>
      </c>
      <c r="F1924" t="s">
        <v>7</v>
      </c>
      <c r="G1924" t="s">
        <v>11</v>
      </c>
      <c r="H1924" t="s">
        <v>11</v>
      </c>
    </row>
    <row r="1925" spans="1:8" x14ac:dyDescent="0.35">
      <c r="A1925" t="s">
        <v>38</v>
      </c>
      <c r="B1925" t="s">
        <v>99</v>
      </c>
      <c r="C1925" t="s">
        <v>2303</v>
      </c>
      <c r="D1925">
        <v>3</v>
      </c>
      <c r="E1925">
        <v>4</v>
      </c>
      <c r="F1925" t="s">
        <v>7</v>
      </c>
      <c r="G1925" t="s">
        <v>11</v>
      </c>
      <c r="H1925" t="s">
        <v>11</v>
      </c>
    </row>
    <row r="1926" spans="1:8" x14ac:dyDescent="0.35">
      <c r="A1926" t="s">
        <v>38</v>
      </c>
      <c r="B1926" t="s">
        <v>99</v>
      </c>
      <c r="C1926" t="s">
        <v>1601</v>
      </c>
      <c r="D1926">
        <v>2</v>
      </c>
      <c r="E1926">
        <v>4</v>
      </c>
      <c r="F1926" t="s">
        <v>7</v>
      </c>
      <c r="G1926" t="s">
        <v>11</v>
      </c>
      <c r="H1926" t="s">
        <v>11</v>
      </c>
    </row>
    <row r="1927" spans="1:8" x14ac:dyDescent="0.35">
      <c r="A1927" t="s">
        <v>38</v>
      </c>
      <c r="B1927" t="s">
        <v>99</v>
      </c>
      <c r="C1927" t="s">
        <v>2304</v>
      </c>
      <c r="D1927">
        <v>1</v>
      </c>
      <c r="E1927">
        <v>5</v>
      </c>
      <c r="F1927" t="s">
        <v>7</v>
      </c>
      <c r="G1927" t="s">
        <v>11</v>
      </c>
      <c r="H1927" t="s">
        <v>11</v>
      </c>
    </row>
    <row r="1928" spans="1:8" x14ac:dyDescent="0.35">
      <c r="A1928" t="s">
        <v>38</v>
      </c>
      <c r="B1928" t="s">
        <v>99</v>
      </c>
      <c r="C1928" t="s">
        <v>2305</v>
      </c>
      <c r="D1928">
        <v>3</v>
      </c>
      <c r="E1928">
        <v>3</v>
      </c>
      <c r="F1928" t="s">
        <v>7</v>
      </c>
      <c r="G1928" t="s">
        <v>11</v>
      </c>
      <c r="H1928" t="s">
        <v>11</v>
      </c>
    </row>
    <row r="1929" spans="1:8" x14ac:dyDescent="0.35">
      <c r="A1929" t="s">
        <v>38</v>
      </c>
      <c r="B1929" t="s">
        <v>99</v>
      </c>
      <c r="C1929" t="s">
        <v>2306</v>
      </c>
      <c r="D1929">
        <v>2</v>
      </c>
      <c r="E1929">
        <v>5</v>
      </c>
      <c r="F1929" t="s">
        <v>7</v>
      </c>
      <c r="G1929" t="s">
        <v>11</v>
      </c>
      <c r="H1929" t="s">
        <v>11</v>
      </c>
    </row>
    <row r="1930" spans="1:8" x14ac:dyDescent="0.35">
      <c r="A1930" t="s">
        <v>38</v>
      </c>
      <c r="B1930" t="s">
        <v>99</v>
      </c>
      <c r="C1930" t="s">
        <v>2307</v>
      </c>
      <c r="D1930">
        <v>2</v>
      </c>
      <c r="E1930">
        <v>5</v>
      </c>
      <c r="F1930" t="s">
        <v>7</v>
      </c>
      <c r="G1930" t="s">
        <v>11</v>
      </c>
      <c r="H1930" t="s">
        <v>11</v>
      </c>
    </row>
    <row r="1931" spans="1:8" x14ac:dyDescent="0.35">
      <c r="A1931" t="s">
        <v>38</v>
      </c>
      <c r="B1931" t="s">
        <v>99</v>
      </c>
      <c r="C1931" t="s">
        <v>2308</v>
      </c>
      <c r="D1931">
        <v>3</v>
      </c>
      <c r="E1931">
        <v>3</v>
      </c>
      <c r="F1931" t="s">
        <v>7</v>
      </c>
      <c r="G1931" t="s">
        <v>11</v>
      </c>
      <c r="H1931" t="s">
        <v>11</v>
      </c>
    </row>
    <row r="1932" spans="1:8" x14ac:dyDescent="0.35">
      <c r="A1932" t="s">
        <v>38</v>
      </c>
      <c r="B1932" t="s">
        <v>99</v>
      </c>
      <c r="C1932" t="s">
        <v>2309</v>
      </c>
      <c r="D1932">
        <v>3</v>
      </c>
      <c r="E1932">
        <v>4</v>
      </c>
      <c r="F1932" t="s">
        <v>7</v>
      </c>
      <c r="G1932" t="s">
        <v>11</v>
      </c>
      <c r="H1932" t="s">
        <v>11</v>
      </c>
    </row>
    <row r="1933" spans="1:8" x14ac:dyDescent="0.35">
      <c r="A1933" t="s">
        <v>38</v>
      </c>
      <c r="B1933" t="s">
        <v>99</v>
      </c>
      <c r="C1933" t="s">
        <v>2310</v>
      </c>
      <c r="D1933">
        <v>3</v>
      </c>
      <c r="E1933">
        <v>3</v>
      </c>
      <c r="F1933" t="s">
        <v>7</v>
      </c>
      <c r="G1933" t="s">
        <v>11</v>
      </c>
      <c r="H1933" t="s">
        <v>11</v>
      </c>
    </row>
    <row r="1934" spans="1:8" x14ac:dyDescent="0.35">
      <c r="A1934" t="s">
        <v>38</v>
      </c>
      <c r="B1934" t="s">
        <v>99</v>
      </c>
      <c r="C1934" t="s">
        <v>2311</v>
      </c>
      <c r="D1934">
        <v>3</v>
      </c>
      <c r="E1934">
        <v>3</v>
      </c>
      <c r="F1934" t="s">
        <v>7</v>
      </c>
      <c r="G1934" t="s">
        <v>115</v>
      </c>
      <c r="H1934" t="s">
        <v>11</v>
      </c>
    </row>
    <row r="1935" spans="1:8" x14ac:dyDescent="0.35">
      <c r="A1935" t="s">
        <v>38</v>
      </c>
      <c r="B1935" t="s">
        <v>99</v>
      </c>
      <c r="C1935" t="s">
        <v>2312</v>
      </c>
      <c r="D1935">
        <v>1</v>
      </c>
      <c r="E1935">
        <v>4</v>
      </c>
      <c r="F1935" t="s">
        <v>7</v>
      </c>
      <c r="G1935" t="s">
        <v>11</v>
      </c>
      <c r="H1935" t="s">
        <v>11</v>
      </c>
    </row>
    <row r="1936" spans="1:8" x14ac:dyDescent="0.35">
      <c r="A1936" t="s">
        <v>38</v>
      </c>
      <c r="B1936" t="s">
        <v>99</v>
      </c>
      <c r="C1936" t="s">
        <v>1467</v>
      </c>
      <c r="D1936">
        <v>2</v>
      </c>
      <c r="E1936">
        <v>4</v>
      </c>
      <c r="F1936" t="s">
        <v>7</v>
      </c>
      <c r="G1936" t="s">
        <v>11</v>
      </c>
      <c r="H1936" t="s">
        <v>11</v>
      </c>
    </row>
    <row r="1937" spans="1:8" x14ac:dyDescent="0.35">
      <c r="A1937" t="s">
        <v>38</v>
      </c>
      <c r="B1937" t="s">
        <v>99</v>
      </c>
      <c r="C1937" t="s">
        <v>2313</v>
      </c>
      <c r="D1937">
        <v>3</v>
      </c>
      <c r="E1937">
        <v>3</v>
      </c>
      <c r="F1937" t="s">
        <v>7</v>
      </c>
      <c r="G1937" t="s">
        <v>11</v>
      </c>
      <c r="H1937" t="s">
        <v>11</v>
      </c>
    </row>
    <row r="1938" spans="1:8" x14ac:dyDescent="0.35">
      <c r="A1938" t="s">
        <v>38</v>
      </c>
      <c r="B1938" t="s">
        <v>99</v>
      </c>
      <c r="C1938" t="s">
        <v>1818</v>
      </c>
      <c r="D1938">
        <v>2</v>
      </c>
      <c r="E1938">
        <v>4</v>
      </c>
      <c r="F1938" t="s">
        <v>7</v>
      </c>
      <c r="G1938" t="s">
        <v>11</v>
      </c>
      <c r="H1938" t="s">
        <v>11</v>
      </c>
    </row>
    <row r="1939" spans="1:8" x14ac:dyDescent="0.35">
      <c r="A1939" t="s">
        <v>38</v>
      </c>
      <c r="B1939" t="s">
        <v>99</v>
      </c>
      <c r="C1939" t="s">
        <v>1469</v>
      </c>
      <c r="D1939">
        <v>3</v>
      </c>
      <c r="E1939">
        <v>3</v>
      </c>
      <c r="F1939" t="s">
        <v>7</v>
      </c>
      <c r="G1939" t="s">
        <v>11</v>
      </c>
      <c r="H1939" t="s">
        <v>11</v>
      </c>
    </row>
    <row r="1940" spans="1:8" x14ac:dyDescent="0.35">
      <c r="A1940" t="s">
        <v>38</v>
      </c>
      <c r="B1940" t="s">
        <v>99</v>
      </c>
      <c r="C1940" t="s">
        <v>2314</v>
      </c>
      <c r="D1940">
        <v>3</v>
      </c>
      <c r="E1940">
        <v>3</v>
      </c>
      <c r="F1940" t="s">
        <v>7</v>
      </c>
      <c r="G1940" t="s">
        <v>115</v>
      </c>
      <c r="H1940" t="s">
        <v>11</v>
      </c>
    </row>
    <row r="1941" spans="1:8" x14ac:dyDescent="0.35">
      <c r="A1941" t="s">
        <v>38</v>
      </c>
      <c r="B1941" t="s">
        <v>99</v>
      </c>
      <c r="C1941" t="s">
        <v>2315</v>
      </c>
      <c r="D1941">
        <v>2</v>
      </c>
      <c r="E1941">
        <v>4</v>
      </c>
      <c r="F1941" t="s">
        <v>7</v>
      </c>
      <c r="G1941" t="s">
        <v>11</v>
      </c>
      <c r="H1941" t="s">
        <v>11</v>
      </c>
    </row>
    <row r="1942" spans="1:8" x14ac:dyDescent="0.35">
      <c r="A1942" t="s">
        <v>38</v>
      </c>
      <c r="B1942" t="s">
        <v>99</v>
      </c>
      <c r="C1942" t="s">
        <v>2316</v>
      </c>
      <c r="D1942">
        <v>2</v>
      </c>
      <c r="E1942">
        <v>4</v>
      </c>
      <c r="F1942" t="s">
        <v>7</v>
      </c>
      <c r="G1942" t="s">
        <v>11</v>
      </c>
      <c r="H1942" t="s">
        <v>11</v>
      </c>
    </row>
    <row r="1943" spans="1:8" x14ac:dyDescent="0.35">
      <c r="A1943" t="s">
        <v>38</v>
      </c>
      <c r="B1943" t="s">
        <v>99</v>
      </c>
      <c r="C1943" t="s">
        <v>1473</v>
      </c>
      <c r="D1943">
        <v>3</v>
      </c>
      <c r="E1943">
        <v>4</v>
      </c>
      <c r="F1943" t="s">
        <v>7</v>
      </c>
      <c r="G1943" t="s">
        <v>11</v>
      </c>
      <c r="H1943" t="s">
        <v>11</v>
      </c>
    </row>
    <row r="1944" spans="1:8" x14ac:dyDescent="0.35">
      <c r="A1944" t="s">
        <v>38</v>
      </c>
      <c r="B1944" t="s">
        <v>99</v>
      </c>
      <c r="C1944" t="s">
        <v>1122</v>
      </c>
      <c r="D1944">
        <v>1</v>
      </c>
      <c r="E1944">
        <v>4</v>
      </c>
      <c r="F1944" t="s">
        <v>7</v>
      </c>
      <c r="G1944" t="s">
        <v>11</v>
      </c>
      <c r="H1944" t="s">
        <v>11</v>
      </c>
    </row>
    <row r="1945" spans="1:8" x14ac:dyDescent="0.35">
      <c r="A1945" t="s">
        <v>38</v>
      </c>
      <c r="B1945" t="s">
        <v>99</v>
      </c>
      <c r="C1945" t="s">
        <v>2317</v>
      </c>
      <c r="D1945">
        <v>3</v>
      </c>
      <c r="E1945">
        <v>3</v>
      </c>
      <c r="F1945" t="s">
        <v>7</v>
      </c>
      <c r="G1945" t="s">
        <v>11</v>
      </c>
      <c r="H1945" t="s">
        <v>11</v>
      </c>
    </row>
    <row r="1946" spans="1:8" x14ac:dyDescent="0.35">
      <c r="A1946" t="s">
        <v>38</v>
      </c>
      <c r="B1946" t="s">
        <v>99</v>
      </c>
      <c r="C1946" t="s">
        <v>1126</v>
      </c>
      <c r="D1946">
        <v>2</v>
      </c>
      <c r="E1946">
        <v>4</v>
      </c>
      <c r="F1946" t="s">
        <v>7</v>
      </c>
      <c r="G1946" t="s">
        <v>11</v>
      </c>
      <c r="H1946" t="s">
        <v>11</v>
      </c>
    </row>
    <row r="1947" spans="1:8" x14ac:dyDescent="0.35">
      <c r="A1947" t="s">
        <v>38</v>
      </c>
      <c r="B1947" t="s">
        <v>99</v>
      </c>
      <c r="C1947" t="s">
        <v>1234</v>
      </c>
      <c r="D1947">
        <v>2</v>
      </c>
      <c r="E1947">
        <v>4</v>
      </c>
      <c r="F1947" t="s">
        <v>7</v>
      </c>
      <c r="G1947" t="s">
        <v>11</v>
      </c>
      <c r="H1947" t="s">
        <v>11</v>
      </c>
    </row>
    <row r="1948" spans="1:8" x14ac:dyDescent="0.35">
      <c r="A1948" t="s">
        <v>38</v>
      </c>
      <c r="B1948" t="s">
        <v>99</v>
      </c>
      <c r="C1948" t="s">
        <v>2318</v>
      </c>
      <c r="D1948">
        <v>3</v>
      </c>
      <c r="E1948">
        <v>3</v>
      </c>
      <c r="F1948" t="s">
        <v>7</v>
      </c>
      <c r="G1948" t="s">
        <v>115</v>
      </c>
      <c r="H1948" t="s">
        <v>11</v>
      </c>
    </row>
    <row r="1949" spans="1:8" x14ac:dyDescent="0.35">
      <c r="A1949" t="s">
        <v>38</v>
      </c>
      <c r="B1949" t="s">
        <v>99</v>
      </c>
      <c r="C1949" t="s">
        <v>2319</v>
      </c>
      <c r="D1949">
        <v>3</v>
      </c>
      <c r="E1949">
        <v>3</v>
      </c>
      <c r="F1949" t="s">
        <v>7</v>
      </c>
      <c r="G1949" t="s">
        <v>11</v>
      </c>
      <c r="H1949" t="s">
        <v>11</v>
      </c>
    </row>
    <row r="1950" spans="1:8" x14ac:dyDescent="0.35">
      <c r="A1950" t="s">
        <v>38</v>
      </c>
      <c r="B1950" t="s">
        <v>99</v>
      </c>
      <c r="C1950" t="s">
        <v>1610</v>
      </c>
      <c r="D1950">
        <v>3</v>
      </c>
      <c r="E1950">
        <v>3</v>
      </c>
      <c r="F1950" t="s">
        <v>7</v>
      </c>
      <c r="G1950" t="s">
        <v>11</v>
      </c>
      <c r="H1950" t="s">
        <v>11</v>
      </c>
    </row>
    <row r="1951" spans="1:8" x14ac:dyDescent="0.35">
      <c r="A1951" t="s">
        <v>38</v>
      </c>
      <c r="B1951" t="s">
        <v>99</v>
      </c>
      <c r="C1951" t="s">
        <v>2320</v>
      </c>
      <c r="D1951">
        <v>3</v>
      </c>
      <c r="E1951">
        <v>3</v>
      </c>
      <c r="F1951" t="s">
        <v>7</v>
      </c>
      <c r="G1951" t="s">
        <v>11</v>
      </c>
      <c r="H1951" t="s">
        <v>11</v>
      </c>
    </row>
    <row r="1952" spans="1:8" x14ac:dyDescent="0.35">
      <c r="A1952" t="s">
        <v>38</v>
      </c>
      <c r="B1952" t="s">
        <v>99</v>
      </c>
      <c r="C1952" t="s">
        <v>2321</v>
      </c>
      <c r="D1952">
        <v>3</v>
      </c>
      <c r="E1952">
        <v>3</v>
      </c>
      <c r="F1952" t="s">
        <v>7</v>
      </c>
      <c r="G1952" t="s">
        <v>11</v>
      </c>
      <c r="H1952" t="s">
        <v>11</v>
      </c>
    </row>
    <row r="1953" spans="1:8" x14ac:dyDescent="0.35">
      <c r="A1953" t="s">
        <v>38</v>
      </c>
      <c r="B1953" t="s">
        <v>99</v>
      </c>
      <c r="C1953" t="s">
        <v>2322</v>
      </c>
      <c r="D1953">
        <v>3</v>
      </c>
      <c r="E1953">
        <v>3</v>
      </c>
      <c r="F1953" t="s">
        <v>7</v>
      </c>
      <c r="G1953" t="s">
        <v>11</v>
      </c>
      <c r="H1953" t="s">
        <v>11</v>
      </c>
    </row>
    <row r="1954" spans="1:8" x14ac:dyDescent="0.35">
      <c r="A1954" t="s">
        <v>38</v>
      </c>
      <c r="B1954" t="s">
        <v>99</v>
      </c>
      <c r="C1954" t="s">
        <v>2323</v>
      </c>
      <c r="D1954">
        <v>3</v>
      </c>
      <c r="E1954">
        <v>4</v>
      </c>
      <c r="F1954" t="s">
        <v>7</v>
      </c>
      <c r="G1954" t="s">
        <v>11</v>
      </c>
      <c r="H1954" t="s">
        <v>11</v>
      </c>
    </row>
    <row r="1955" spans="1:8" x14ac:dyDescent="0.35">
      <c r="A1955" t="s">
        <v>38</v>
      </c>
      <c r="B1955" t="s">
        <v>99</v>
      </c>
      <c r="C1955" t="s">
        <v>2324</v>
      </c>
      <c r="D1955">
        <v>3</v>
      </c>
      <c r="E1955">
        <v>3</v>
      </c>
      <c r="F1955" t="s">
        <v>7</v>
      </c>
      <c r="G1955" t="s">
        <v>11</v>
      </c>
      <c r="H1955" t="s">
        <v>11</v>
      </c>
    </row>
    <row r="1956" spans="1:8" x14ac:dyDescent="0.35">
      <c r="A1956" t="s">
        <v>38</v>
      </c>
      <c r="B1956" t="s">
        <v>99</v>
      </c>
      <c r="C1956" t="s">
        <v>2325</v>
      </c>
      <c r="D1956">
        <v>3</v>
      </c>
      <c r="E1956">
        <v>4</v>
      </c>
      <c r="F1956" t="s">
        <v>7</v>
      </c>
      <c r="G1956" t="s">
        <v>11</v>
      </c>
      <c r="H1956" t="s">
        <v>11</v>
      </c>
    </row>
    <row r="1957" spans="1:8" x14ac:dyDescent="0.35">
      <c r="A1957" t="s">
        <v>38</v>
      </c>
      <c r="B1957" t="s">
        <v>99</v>
      </c>
      <c r="C1957" t="s">
        <v>2326</v>
      </c>
      <c r="D1957">
        <v>3</v>
      </c>
      <c r="E1957">
        <v>3</v>
      </c>
      <c r="F1957" t="s">
        <v>7</v>
      </c>
      <c r="G1957" t="s">
        <v>11</v>
      </c>
      <c r="H1957" t="s">
        <v>11</v>
      </c>
    </row>
    <row r="1958" spans="1:8" x14ac:dyDescent="0.35">
      <c r="A1958" t="s">
        <v>38</v>
      </c>
      <c r="B1958" t="s">
        <v>99</v>
      </c>
      <c r="C1958" t="s">
        <v>1497</v>
      </c>
      <c r="D1958">
        <v>2</v>
      </c>
      <c r="E1958">
        <v>4</v>
      </c>
      <c r="F1958" t="s">
        <v>7</v>
      </c>
      <c r="G1958" t="s">
        <v>11</v>
      </c>
      <c r="H1958" t="s">
        <v>11</v>
      </c>
    </row>
    <row r="1959" spans="1:8" x14ac:dyDescent="0.35">
      <c r="A1959" t="s">
        <v>38</v>
      </c>
      <c r="B1959" t="s">
        <v>99</v>
      </c>
      <c r="C1959" t="s">
        <v>1142</v>
      </c>
      <c r="D1959">
        <v>2</v>
      </c>
      <c r="E1959">
        <v>4</v>
      </c>
      <c r="F1959" t="s">
        <v>7</v>
      </c>
      <c r="G1959" t="s">
        <v>11</v>
      </c>
      <c r="H1959" t="s">
        <v>11</v>
      </c>
    </row>
    <row r="1960" spans="1:8" x14ac:dyDescent="0.35">
      <c r="A1960" t="s">
        <v>38</v>
      </c>
      <c r="B1960" t="s">
        <v>99</v>
      </c>
      <c r="C1960" t="s">
        <v>2327</v>
      </c>
      <c r="D1960">
        <v>2</v>
      </c>
      <c r="E1960">
        <v>3</v>
      </c>
      <c r="F1960" t="s">
        <v>7</v>
      </c>
      <c r="G1960" t="s">
        <v>11</v>
      </c>
      <c r="H1960" t="s">
        <v>11</v>
      </c>
    </row>
    <row r="1961" spans="1:8" x14ac:dyDescent="0.35">
      <c r="A1961" t="s">
        <v>38</v>
      </c>
      <c r="B1961" t="s">
        <v>99</v>
      </c>
      <c r="C1961" t="s">
        <v>2328</v>
      </c>
      <c r="D1961">
        <v>3</v>
      </c>
      <c r="E1961">
        <v>4</v>
      </c>
      <c r="F1961" t="s">
        <v>7</v>
      </c>
      <c r="G1961" t="s">
        <v>11</v>
      </c>
      <c r="H1961" t="s">
        <v>11</v>
      </c>
    </row>
    <row r="1962" spans="1:8" x14ac:dyDescent="0.35">
      <c r="A1962" t="s">
        <v>38</v>
      </c>
      <c r="B1962" t="s">
        <v>99</v>
      </c>
      <c r="C1962" t="s">
        <v>1214</v>
      </c>
      <c r="D1962">
        <v>2</v>
      </c>
      <c r="E1962">
        <v>4</v>
      </c>
      <c r="F1962" t="s">
        <v>7</v>
      </c>
      <c r="G1962" t="s">
        <v>11</v>
      </c>
      <c r="H1962" t="s">
        <v>11</v>
      </c>
    </row>
    <row r="1963" spans="1:8" x14ac:dyDescent="0.35">
      <c r="A1963" t="s">
        <v>38</v>
      </c>
      <c r="B1963" t="s">
        <v>99</v>
      </c>
      <c r="C1963" t="s">
        <v>2329</v>
      </c>
      <c r="D1963">
        <v>3</v>
      </c>
      <c r="E1963">
        <v>4</v>
      </c>
      <c r="F1963" t="s">
        <v>7</v>
      </c>
      <c r="G1963" t="s">
        <v>11</v>
      </c>
      <c r="H1963" t="s">
        <v>11</v>
      </c>
    </row>
    <row r="1964" spans="1:8" x14ac:dyDescent="0.35">
      <c r="A1964" t="s">
        <v>38</v>
      </c>
      <c r="B1964" t="s">
        <v>99</v>
      </c>
      <c r="C1964" t="s">
        <v>1144</v>
      </c>
      <c r="D1964">
        <v>3</v>
      </c>
      <c r="E1964">
        <v>3</v>
      </c>
      <c r="F1964" t="s">
        <v>7</v>
      </c>
      <c r="G1964" t="s">
        <v>11</v>
      </c>
      <c r="H1964" t="s">
        <v>11</v>
      </c>
    </row>
    <row r="1965" spans="1:8" x14ac:dyDescent="0.35">
      <c r="A1965" t="s">
        <v>38</v>
      </c>
      <c r="B1965" t="s">
        <v>99</v>
      </c>
      <c r="C1965" t="s">
        <v>2330</v>
      </c>
      <c r="D1965">
        <v>3</v>
      </c>
      <c r="E1965">
        <v>4</v>
      </c>
      <c r="F1965" t="s">
        <v>7</v>
      </c>
      <c r="G1965" t="s">
        <v>11</v>
      </c>
      <c r="H1965" t="s">
        <v>11</v>
      </c>
    </row>
    <row r="1966" spans="1:8" x14ac:dyDescent="0.35">
      <c r="A1966" t="s">
        <v>38</v>
      </c>
      <c r="B1966" t="s">
        <v>99</v>
      </c>
      <c r="C1966" t="s">
        <v>2331</v>
      </c>
      <c r="D1966">
        <v>3</v>
      </c>
      <c r="E1966">
        <v>4</v>
      </c>
      <c r="F1966" t="s">
        <v>7</v>
      </c>
      <c r="G1966" t="s">
        <v>11</v>
      </c>
      <c r="H1966" t="s">
        <v>11</v>
      </c>
    </row>
    <row r="1967" spans="1:8" x14ac:dyDescent="0.35">
      <c r="A1967" t="s">
        <v>38</v>
      </c>
      <c r="B1967" t="s">
        <v>99</v>
      </c>
      <c r="C1967" t="s">
        <v>2332</v>
      </c>
      <c r="D1967">
        <v>3</v>
      </c>
      <c r="E1967">
        <v>4</v>
      </c>
      <c r="F1967" t="s">
        <v>7</v>
      </c>
      <c r="G1967" t="s">
        <v>11</v>
      </c>
      <c r="H1967" t="s">
        <v>11</v>
      </c>
    </row>
    <row r="1968" spans="1:8" x14ac:dyDescent="0.35">
      <c r="A1968" t="s">
        <v>38</v>
      </c>
      <c r="B1968" t="s">
        <v>99</v>
      </c>
      <c r="C1968" t="s">
        <v>2333</v>
      </c>
      <c r="D1968">
        <v>2</v>
      </c>
      <c r="E1968">
        <v>4</v>
      </c>
      <c r="F1968" t="s">
        <v>7</v>
      </c>
      <c r="G1968" t="s">
        <v>11</v>
      </c>
      <c r="H1968" t="s">
        <v>11</v>
      </c>
    </row>
    <row r="1969" spans="1:8" x14ac:dyDescent="0.35">
      <c r="A1969" t="s">
        <v>38</v>
      </c>
      <c r="B1969" t="s">
        <v>99</v>
      </c>
      <c r="C1969" t="s">
        <v>1619</v>
      </c>
      <c r="D1969">
        <v>1</v>
      </c>
      <c r="E1969">
        <v>4</v>
      </c>
      <c r="F1969" t="s">
        <v>7</v>
      </c>
      <c r="G1969" t="s">
        <v>11</v>
      </c>
      <c r="H1969" t="s">
        <v>11</v>
      </c>
    </row>
    <row r="1970" spans="1:8" x14ac:dyDescent="0.35">
      <c r="A1970" t="s">
        <v>38</v>
      </c>
      <c r="B1970" t="s">
        <v>99</v>
      </c>
      <c r="C1970" t="s">
        <v>2334</v>
      </c>
      <c r="D1970">
        <v>3</v>
      </c>
      <c r="E1970">
        <v>4</v>
      </c>
      <c r="F1970" t="s">
        <v>7</v>
      </c>
      <c r="G1970" t="s">
        <v>11</v>
      </c>
      <c r="H1970" t="s">
        <v>11</v>
      </c>
    </row>
    <row r="1971" spans="1:8" x14ac:dyDescent="0.35">
      <c r="A1971" t="s">
        <v>38</v>
      </c>
      <c r="B1971" t="s">
        <v>99</v>
      </c>
      <c r="C1971" t="s">
        <v>2335</v>
      </c>
      <c r="D1971">
        <v>3</v>
      </c>
      <c r="E1971">
        <v>3</v>
      </c>
      <c r="F1971" t="s">
        <v>7</v>
      </c>
      <c r="G1971" t="s">
        <v>11</v>
      </c>
      <c r="H1971" t="s">
        <v>11</v>
      </c>
    </row>
    <row r="1972" spans="1:8" x14ac:dyDescent="0.35">
      <c r="A1972" t="s">
        <v>38</v>
      </c>
      <c r="B1972" t="s">
        <v>99</v>
      </c>
      <c r="C1972" t="s">
        <v>2336</v>
      </c>
      <c r="D1972">
        <v>3</v>
      </c>
      <c r="E1972">
        <v>3</v>
      </c>
      <c r="F1972" t="s">
        <v>7</v>
      </c>
      <c r="G1972" t="s">
        <v>11</v>
      </c>
      <c r="H1972" t="s">
        <v>11</v>
      </c>
    </row>
    <row r="1973" spans="1:8" x14ac:dyDescent="0.35">
      <c r="A1973" t="s">
        <v>38</v>
      </c>
      <c r="B1973" t="s">
        <v>99</v>
      </c>
      <c r="C1973" t="s">
        <v>2337</v>
      </c>
      <c r="D1973">
        <v>2</v>
      </c>
      <c r="E1973">
        <v>4</v>
      </c>
      <c r="F1973" t="s">
        <v>7</v>
      </c>
      <c r="G1973" t="s">
        <v>11</v>
      </c>
      <c r="H1973" t="s">
        <v>11</v>
      </c>
    </row>
    <row r="1974" spans="1:8" x14ac:dyDescent="0.35">
      <c r="A1974" t="s">
        <v>38</v>
      </c>
      <c r="B1974" t="s">
        <v>99</v>
      </c>
      <c r="C1974" t="s">
        <v>1148</v>
      </c>
      <c r="D1974">
        <v>2</v>
      </c>
      <c r="E1974">
        <v>4</v>
      </c>
      <c r="F1974" t="s">
        <v>7</v>
      </c>
      <c r="G1974" t="s">
        <v>11</v>
      </c>
      <c r="H1974" t="s">
        <v>11</v>
      </c>
    </row>
    <row r="1975" spans="1:8" x14ac:dyDescent="0.35">
      <c r="A1975" t="s">
        <v>38</v>
      </c>
      <c r="B1975" t="s">
        <v>99</v>
      </c>
      <c r="C1975" t="s">
        <v>2338</v>
      </c>
      <c r="D1975">
        <v>3</v>
      </c>
      <c r="E1975">
        <v>3</v>
      </c>
      <c r="F1975" t="s">
        <v>7</v>
      </c>
      <c r="G1975" t="s">
        <v>11</v>
      </c>
      <c r="H1975" t="s">
        <v>11</v>
      </c>
    </row>
    <row r="1976" spans="1:8" x14ac:dyDescent="0.35">
      <c r="A1976" t="s">
        <v>38</v>
      </c>
      <c r="B1976" t="s">
        <v>99</v>
      </c>
      <c r="C1976" t="s">
        <v>1515</v>
      </c>
      <c r="D1976">
        <v>3</v>
      </c>
      <c r="E1976">
        <v>3</v>
      </c>
      <c r="F1976" t="s">
        <v>7</v>
      </c>
      <c r="G1976" t="s">
        <v>11</v>
      </c>
      <c r="H1976" t="s">
        <v>11</v>
      </c>
    </row>
    <row r="1977" spans="1:8" x14ac:dyDescent="0.35">
      <c r="A1977" t="s">
        <v>38</v>
      </c>
      <c r="B1977" t="s">
        <v>99</v>
      </c>
      <c r="C1977" t="s">
        <v>1153</v>
      </c>
      <c r="D1977">
        <v>3</v>
      </c>
      <c r="E1977">
        <v>4</v>
      </c>
      <c r="F1977" t="s">
        <v>7</v>
      </c>
      <c r="G1977" t="s">
        <v>11</v>
      </c>
      <c r="H1977" t="s">
        <v>11</v>
      </c>
    </row>
    <row r="1978" spans="1:8" x14ac:dyDescent="0.35">
      <c r="A1978" t="s">
        <v>38</v>
      </c>
      <c r="B1978" t="s">
        <v>99</v>
      </c>
      <c r="C1978" t="s">
        <v>2339</v>
      </c>
      <c r="D1978">
        <v>3</v>
      </c>
      <c r="E1978">
        <v>3</v>
      </c>
      <c r="F1978" t="s">
        <v>7</v>
      </c>
      <c r="G1978" t="s">
        <v>11</v>
      </c>
      <c r="H1978" t="s">
        <v>11</v>
      </c>
    </row>
    <row r="1979" spans="1:8" x14ac:dyDescent="0.35">
      <c r="A1979" t="s">
        <v>38</v>
      </c>
      <c r="B1979" t="s">
        <v>99</v>
      </c>
      <c r="C1979" t="s">
        <v>1254</v>
      </c>
      <c r="D1979">
        <v>2</v>
      </c>
      <c r="E1979">
        <v>4</v>
      </c>
      <c r="F1979" t="s">
        <v>7</v>
      </c>
      <c r="G1979" t="s">
        <v>11</v>
      </c>
      <c r="H1979" t="s">
        <v>11</v>
      </c>
    </row>
    <row r="1980" spans="1:8" x14ac:dyDescent="0.35">
      <c r="A1980" t="s">
        <v>38</v>
      </c>
      <c r="B1980" t="s">
        <v>99</v>
      </c>
      <c r="C1980" t="s">
        <v>1156</v>
      </c>
      <c r="D1980">
        <v>2</v>
      </c>
      <c r="E1980">
        <v>4</v>
      </c>
      <c r="F1980" t="s">
        <v>7</v>
      </c>
      <c r="G1980" t="s">
        <v>11</v>
      </c>
      <c r="H1980" t="s">
        <v>11</v>
      </c>
    </row>
    <row r="1981" spans="1:8" x14ac:dyDescent="0.35">
      <c r="A1981" t="s">
        <v>38</v>
      </c>
      <c r="B1981" t="s">
        <v>99</v>
      </c>
      <c r="C1981" t="s">
        <v>1157</v>
      </c>
      <c r="D1981">
        <v>2</v>
      </c>
      <c r="E1981">
        <v>4</v>
      </c>
      <c r="F1981" t="s">
        <v>7</v>
      </c>
      <c r="G1981" t="s">
        <v>11</v>
      </c>
      <c r="H1981" t="s">
        <v>11</v>
      </c>
    </row>
    <row r="1982" spans="1:8" x14ac:dyDescent="0.35">
      <c r="A1982" t="s">
        <v>38</v>
      </c>
      <c r="B1982" t="s">
        <v>99</v>
      </c>
      <c r="C1982" t="s">
        <v>1434</v>
      </c>
      <c r="D1982">
        <v>3</v>
      </c>
      <c r="E1982">
        <v>3</v>
      </c>
      <c r="F1982" t="s">
        <v>7</v>
      </c>
      <c r="G1982" t="s">
        <v>11</v>
      </c>
      <c r="H1982" t="s">
        <v>11</v>
      </c>
    </row>
    <row r="1983" spans="1:8" x14ac:dyDescent="0.35">
      <c r="A1983" t="s">
        <v>38</v>
      </c>
      <c r="B1983" t="s">
        <v>99</v>
      </c>
      <c r="C1983" t="s">
        <v>2340</v>
      </c>
      <c r="D1983">
        <v>2</v>
      </c>
      <c r="E1983">
        <v>4</v>
      </c>
      <c r="F1983" t="s">
        <v>7</v>
      </c>
      <c r="G1983" t="s">
        <v>11</v>
      </c>
      <c r="H1983" t="s">
        <v>11</v>
      </c>
    </row>
    <row r="1984" spans="1:8" x14ac:dyDescent="0.35">
      <c r="A1984" t="s">
        <v>38</v>
      </c>
      <c r="B1984" t="s">
        <v>99</v>
      </c>
      <c r="C1984" t="s">
        <v>2341</v>
      </c>
      <c r="D1984">
        <v>3</v>
      </c>
      <c r="E1984">
        <v>3</v>
      </c>
      <c r="F1984" t="s">
        <v>7</v>
      </c>
      <c r="G1984" t="s">
        <v>11</v>
      </c>
      <c r="H1984" t="s">
        <v>11</v>
      </c>
    </row>
    <row r="1985" spans="1:8" x14ac:dyDescent="0.35">
      <c r="A1985" t="s">
        <v>38</v>
      </c>
      <c r="B1985" t="s">
        <v>99</v>
      </c>
      <c r="C1985" t="s">
        <v>1523</v>
      </c>
      <c r="D1985">
        <v>1</v>
      </c>
      <c r="E1985">
        <v>5</v>
      </c>
      <c r="F1985" t="s">
        <v>7</v>
      </c>
      <c r="G1985" t="s">
        <v>11</v>
      </c>
      <c r="H1985" t="s">
        <v>11</v>
      </c>
    </row>
    <row r="1986" spans="1:8" x14ac:dyDescent="0.35">
      <c r="A1986" t="s">
        <v>38</v>
      </c>
      <c r="B1986" t="s">
        <v>99</v>
      </c>
      <c r="C1986" t="s">
        <v>1163</v>
      </c>
      <c r="D1986">
        <v>3</v>
      </c>
      <c r="E1986">
        <v>3</v>
      </c>
      <c r="F1986" t="s">
        <v>7</v>
      </c>
      <c r="G1986" t="s">
        <v>11</v>
      </c>
      <c r="H1986" t="s">
        <v>11</v>
      </c>
    </row>
    <row r="1987" spans="1:8" x14ac:dyDescent="0.35">
      <c r="A1987" t="s">
        <v>38</v>
      </c>
      <c r="B1987" t="s">
        <v>99</v>
      </c>
      <c r="C1987" t="s">
        <v>2342</v>
      </c>
      <c r="D1987">
        <v>3</v>
      </c>
      <c r="E1987">
        <v>3</v>
      </c>
      <c r="F1987" t="s">
        <v>7</v>
      </c>
      <c r="G1987" t="s">
        <v>11</v>
      </c>
      <c r="H1987" t="s">
        <v>11</v>
      </c>
    </row>
    <row r="1988" spans="1:8" x14ac:dyDescent="0.35">
      <c r="A1988" t="s">
        <v>38</v>
      </c>
      <c r="B1988" t="s">
        <v>99</v>
      </c>
      <c r="C1988" t="s">
        <v>2343</v>
      </c>
      <c r="D1988">
        <v>3</v>
      </c>
      <c r="E1988">
        <v>4</v>
      </c>
      <c r="F1988" t="s">
        <v>7</v>
      </c>
      <c r="G1988" t="s">
        <v>11</v>
      </c>
      <c r="H1988" t="s">
        <v>11</v>
      </c>
    </row>
    <row r="1989" spans="1:8" x14ac:dyDescent="0.35">
      <c r="A1989" t="s">
        <v>38</v>
      </c>
      <c r="B1989" t="s">
        <v>99</v>
      </c>
      <c r="C1989" t="s">
        <v>2344</v>
      </c>
      <c r="D1989">
        <v>3</v>
      </c>
      <c r="E1989">
        <v>3</v>
      </c>
      <c r="F1989" t="s">
        <v>7</v>
      </c>
      <c r="G1989" t="s">
        <v>115</v>
      </c>
      <c r="H1989" t="s">
        <v>11</v>
      </c>
    </row>
    <row r="1990" spans="1:8" x14ac:dyDescent="0.35">
      <c r="A1990" t="s">
        <v>38</v>
      </c>
      <c r="B1990" t="s">
        <v>99</v>
      </c>
      <c r="C1990" t="s">
        <v>2345</v>
      </c>
      <c r="D1990">
        <v>3</v>
      </c>
      <c r="E1990">
        <v>4</v>
      </c>
      <c r="F1990" t="s">
        <v>7</v>
      </c>
      <c r="G1990" t="s">
        <v>11</v>
      </c>
      <c r="H1990" t="s">
        <v>11</v>
      </c>
    </row>
    <row r="1991" spans="1:8" x14ac:dyDescent="0.35">
      <c r="A1991" t="s">
        <v>38</v>
      </c>
      <c r="B1991" t="s">
        <v>99</v>
      </c>
      <c r="C1991" t="s">
        <v>2346</v>
      </c>
      <c r="D1991">
        <v>3</v>
      </c>
      <c r="E1991">
        <v>3</v>
      </c>
      <c r="F1991" t="s">
        <v>7</v>
      </c>
      <c r="G1991" t="s">
        <v>115</v>
      </c>
      <c r="H1991" t="s">
        <v>11</v>
      </c>
    </row>
    <row r="1992" spans="1:8" x14ac:dyDescent="0.35">
      <c r="A1992" t="s">
        <v>38</v>
      </c>
      <c r="B1992" t="s">
        <v>99</v>
      </c>
      <c r="C1992" t="s">
        <v>1310</v>
      </c>
      <c r="D1992">
        <v>3</v>
      </c>
      <c r="E1992">
        <v>4</v>
      </c>
      <c r="F1992" t="s">
        <v>7</v>
      </c>
      <c r="G1992" t="s">
        <v>11</v>
      </c>
      <c r="H1992" t="s">
        <v>11</v>
      </c>
    </row>
    <row r="1993" spans="1:8" x14ac:dyDescent="0.35">
      <c r="A1993" t="s">
        <v>38</v>
      </c>
      <c r="B1993" t="s">
        <v>99</v>
      </c>
      <c r="C1993" t="s">
        <v>2347</v>
      </c>
      <c r="D1993">
        <v>3</v>
      </c>
      <c r="E1993">
        <v>3</v>
      </c>
      <c r="F1993" t="s">
        <v>7</v>
      </c>
      <c r="G1993" t="s">
        <v>11</v>
      </c>
      <c r="H1993" t="s">
        <v>11</v>
      </c>
    </row>
    <row r="1994" spans="1:8" x14ac:dyDescent="0.35">
      <c r="A1994" t="s">
        <v>38</v>
      </c>
      <c r="B1994" t="s">
        <v>99</v>
      </c>
      <c r="C1994" t="s">
        <v>2348</v>
      </c>
      <c r="D1994">
        <v>3</v>
      </c>
      <c r="E1994">
        <v>3</v>
      </c>
      <c r="F1994" t="s">
        <v>7</v>
      </c>
      <c r="G1994" t="s">
        <v>11</v>
      </c>
      <c r="H1994" t="s">
        <v>11</v>
      </c>
    </row>
    <row r="1995" spans="1:8" x14ac:dyDescent="0.35">
      <c r="A1995" t="s">
        <v>38</v>
      </c>
      <c r="B1995" t="s">
        <v>99</v>
      </c>
      <c r="C1995" t="s">
        <v>2349</v>
      </c>
      <c r="D1995">
        <v>3</v>
      </c>
      <c r="E1995">
        <v>3</v>
      </c>
      <c r="F1995" t="s">
        <v>7</v>
      </c>
      <c r="G1995" t="s">
        <v>115</v>
      </c>
      <c r="H1995" t="s">
        <v>11</v>
      </c>
    </row>
    <row r="1996" spans="1:8" x14ac:dyDescent="0.35">
      <c r="A1996" t="s">
        <v>38</v>
      </c>
      <c r="B1996" t="s">
        <v>99</v>
      </c>
      <c r="C1996" t="s">
        <v>2350</v>
      </c>
      <c r="D1996">
        <v>3</v>
      </c>
      <c r="E1996">
        <v>3</v>
      </c>
      <c r="F1996" t="s">
        <v>7</v>
      </c>
      <c r="G1996" t="s">
        <v>11</v>
      </c>
      <c r="H1996" t="s">
        <v>11</v>
      </c>
    </row>
    <row r="1997" spans="1:8" x14ac:dyDescent="0.35">
      <c r="A1997" t="s">
        <v>38</v>
      </c>
      <c r="B1997" t="s">
        <v>99</v>
      </c>
      <c r="C1997" t="s">
        <v>2351</v>
      </c>
      <c r="D1997">
        <v>3</v>
      </c>
      <c r="E1997">
        <v>4</v>
      </c>
      <c r="F1997" t="s">
        <v>7</v>
      </c>
      <c r="G1997" t="s">
        <v>11</v>
      </c>
      <c r="H1997" t="s">
        <v>11</v>
      </c>
    </row>
    <row r="1998" spans="1:8" x14ac:dyDescent="0.35">
      <c r="A1998" t="s">
        <v>38</v>
      </c>
      <c r="B1998" t="s">
        <v>99</v>
      </c>
      <c r="C1998" t="s">
        <v>2352</v>
      </c>
      <c r="D1998">
        <v>3</v>
      </c>
      <c r="E1998">
        <v>3</v>
      </c>
      <c r="F1998" t="s">
        <v>7</v>
      </c>
      <c r="G1998" t="s">
        <v>11</v>
      </c>
      <c r="H1998" t="s">
        <v>11</v>
      </c>
    </row>
    <row r="1999" spans="1:8" x14ac:dyDescent="0.35">
      <c r="A1999" t="s">
        <v>38</v>
      </c>
      <c r="B1999" t="s">
        <v>99</v>
      </c>
      <c r="C1999" t="s">
        <v>1265</v>
      </c>
      <c r="D1999">
        <v>2</v>
      </c>
      <c r="E1999">
        <v>4</v>
      </c>
      <c r="F1999" t="s">
        <v>7</v>
      </c>
      <c r="G1999" t="s">
        <v>11</v>
      </c>
      <c r="H1999" t="s">
        <v>11</v>
      </c>
    </row>
    <row r="2000" spans="1:8" x14ac:dyDescent="0.35">
      <c r="A2000" t="s">
        <v>38</v>
      </c>
      <c r="B2000" t="s">
        <v>99</v>
      </c>
      <c r="C2000" t="s">
        <v>1168</v>
      </c>
      <c r="D2000">
        <v>3</v>
      </c>
      <c r="E2000">
        <v>3</v>
      </c>
      <c r="F2000" t="s">
        <v>7</v>
      </c>
      <c r="G2000" t="s">
        <v>11</v>
      </c>
      <c r="H2000" t="s">
        <v>11</v>
      </c>
    </row>
    <row r="2001" spans="1:8" x14ac:dyDescent="0.35">
      <c r="A2001" t="s">
        <v>38</v>
      </c>
      <c r="B2001" t="s">
        <v>99</v>
      </c>
      <c r="C2001" t="s">
        <v>1533</v>
      </c>
      <c r="D2001">
        <v>3</v>
      </c>
      <c r="E2001">
        <v>3</v>
      </c>
      <c r="F2001" t="s">
        <v>7</v>
      </c>
      <c r="G2001" t="s">
        <v>11</v>
      </c>
      <c r="H2001" t="s">
        <v>11</v>
      </c>
    </row>
    <row r="2002" spans="1:8" x14ac:dyDescent="0.35">
      <c r="A2002" t="s">
        <v>38</v>
      </c>
      <c r="B2002" t="s">
        <v>99</v>
      </c>
      <c r="C2002" t="s">
        <v>2353</v>
      </c>
      <c r="D2002">
        <v>3</v>
      </c>
      <c r="E2002">
        <v>3</v>
      </c>
      <c r="F2002" t="s">
        <v>7</v>
      </c>
      <c r="G2002" t="s">
        <v>11</v>
      </c>
      <c r="H2002" t="s">
        <v>11</v>
      </c>
    </row>
    <row r="2003" spans="1:8" x14ac:dyDescent="0.35">
      <c r="A2003" t="s">
        <v>38</v>
      </c>
      <c r="B2003" t="s">
        <v>99</v>
      </c>
      <c r="C2003" t="s">
        <v>2236</v>
      </c>
      <c r="D2003">
        <v>1</v>
      </c>
      <c r="E2003">
        <v>4</v>
      </c>
      <c r="F2003" t="s">
        <v>7</v>
      </c>
      <c r="G2003" t="s">
        <v>11</v>
      </c>
      <c r="H2003" t="s">
        <v>11</v>
      </c>
    </row>
    <row r="2004" spans="1:8" x14ac:dyDescent="0.35">
      <c r="A2004" t="s">
        <v>38</v>
      </c>
      <c r="B2004" t="s">
        <v>99</v>
      </c>
      <c r="C2004" t="s">
        <v>1857</v>
      </c>
      <c r="D2004">
        <v>3</v>
      </c>
      <c r="E2004">
        <v>3</v>
      </c>
      <c r="F2004" t="s">
        <v>7</v>
      </c>
      <c r="G2004" t="s">
        <v>11</v>
      </c>
      <c r="H2004" t="s">
        <v>11</v>
      </c>
    </row>
    <row r="2005" spans="1:8" x14ac:dyDescent="0.35">
      <c r="A2005" t="s">
        <v>38</v>
      </c>
      <c r="B2005" t="s">
        <v>99</v>
      </c>
      <c r="C2005" t="s">
        <v>2354</v>
      </c>
      <c r="D2005">
        <v>2</v>
      </c>
      <c r="E2005">
        <v>4</v>
      </c>
      <c r="F2005" t="s">
        <v>7</v>
      </c>
      <c r="G2005" t="s">
        <v>11</v>
      </c>
      <c r="H2005" t="s">
        <v>11</v>
      </c>
    </row>
    <row r="2006" spans="1:8" x14ac:dyDescent="0.35">
      <c r="A2006" t="s">
        <v>38</v>
      </c>
      <c r="B2006" t="s">
        <v>99</v>
      </c>
      <c r="C2006" t="s">
        <v>2355</v>
      </c>
      <c r="D2006">
        <v>3</v>
      </c>
      <c r="E2006">
        <v>3</v>
      </c>
      <c r="F2006" t="s">
        <v>7</v>
      </c>
      <c r="G2006" t="s">
        <v>11</v>
      </c>
      <c r="H2006" t="s">
        <v>11</v>
      </c>
    </row>
    <row r="2007" spans="1:8" x14ac:dyDescent="0.35">
      <c r="A2007" t="s">
        <v>38</v>
      </c>
      <c r="B2007" t="s">
        <v>99</v>
      </c>
      <c r="C2007" t="s">
        <v>2139</v>
      </c>
      <c r="D2007">
        <v>3</v>
      </c>
      <c r="E2007">
        <v>3</v>
      </c>
      <c r="F2007" t="s">
        <v>7</v>
      </c>
      <c r="G2007" t="s">
        <v>11</v>
      </c>
      <c r="H2007" t="s">
        <v>11</v>
      </c>
    </row>
    <row r="2008" spans="1:8" x14ac:dyDescent="0.35">
      <c r="A2008" t="s">
        <v>38</v>
      </c>
      <c r="B2008" t="s">
        <v>99</v>
      </c>
      <c r="C2008" t="s">
        <v>2356</v>
      </c>
      <c r="D2008">
        <v>3</v>
      </c>
      <c r="E2008">
        <v>3</v>
      </c>
      <c r="F2008" t="s">
        <v>7</v>
      </c>
      <c r="G2008" t="s">
        <v>11</v>
      </c>
      <c r="H2008" t="s">
        <v>11</v>
      </c>
    </row>
    <row r="2009" spans="1:8" x14ac:dyDescent="0.35">
      <c r="A2009" t="s">
        <v>38</v>
      </c>
      <c r="B2009" t="s">
        <v>99</v>
      </c>
      <c r="C2009" t="s">
        <v>2357</v>
      </c>
      <c r="D2009">
        <v>2</v>
      </c>
      <c r="E2009">
        <v>4</v>
      </c>
      <c r="F2009" t="s">
        <v>7</v>
      </c>
      <c r="G2009" t="s">
        <v>11</v>
      </c>
      <c r="H2009" t="s">
        <v>11</v>
      </c>
    </row>
    <row r="2010" spans="1:8" x14ac:dyDescent="0.35">
      <c r="A2010" t="s">
        <v>38</v>
      </c>
      <c r="B2010" t="s">
        <v>99</v>
      </c>
      <c r="C2010" t="s">
        <v>2358</v>
      </c>
      <c r="D2010">
        <v>2</v>
      </c>
      <c r="E2010">
        <v>4</v>
      </c>
      <c r="F2010" t="s">
        <v>7</v>
      </c>
      <c r="G2010" t="s">
        <v>11</v>
      </c>
      <c r="H2010" t="s">
        <v>11</v>
      </c>
    </row>
    <row r="2011" spans="1:8" x14ac:dyDescent="0.35">
      <c r="A2011" t="s">
        <v>38</v>
      </c>
      <c r="B2011" t="s">
        <v>99</v>
      </c>
      <c r="C2011" t="s">
        <v>2359</v>
      </c>
      <c r="D2011">
        <v>2</v>
      </c>
      <c r="E2011">
        <v>4</v>
      </c>
      <c r="F2011" t="s">
        <v>7</v>
      </c>
      <c r="G2011" t="s">
        <v>11</v>
      </c>
      <c r="H2011" t="s">
        <v>11</v>
      </c>
    </row>
    <row r="2012" spans="1:8" x14ac:dyDescent="0.35">
      <c r="A2012" t="s">
        <v>38</v>
      </c>
      <c r="B2012" t="s">
        <v>99</v>
      </c>
      <c r="C2012" t="s">
        <v>2360</v>
      </c>
      <c r="D2012">
        <v>1</v>
      </c>
      <c r="E2012">
        <v>4</v>
      </c>
      <c r="F2012" t="s">
        <v>7</v>
      </c>
      <c r="G2012" t="s">
        <v>11</v>
      </c>
      <c r="H2012" t="s">
        <v>11</v>
      </c>
    </row>
    <row r="2013" spans="1:8" x14ac:dyDescent="0.35">
      <c r="A2013" t="s">
        <v>38</v>
      </c>
      <c r="B2013" t="s">
        <v>99</v>
      </c>
      <c r="C2013" t="s">
        <v>2361</v>
      </c>
      <c r="D2013">
        <v>3</v>
      </c>
      <c r="E2013">
        <v>3</v>
      </c>
      <c r="F2013" t="s">
        <v>7</v>
      </c>
      <c r="G2013" t="s">
        <v>11</v>
      </c>
      <c r="H2013" t="s">
        <v>11</v>
      </c>
    </row>
    <row r="2014" spans="1:8" x14ac:dyDescent="0.35">
      <c r="A2014" t="s">
        <v>38</v>
      </c>
      <c r="B2014" t="s">
        <v>99</v>
      </c>
      <c r="C2014" t="s">
        <v>1277</v>
      </c>
      <c r="D2014">
        <v>3</v>
      </c>
      <c r="E2014">
        <v>3</v>
      </c>
      <c r="F2014" t="s">
        <v>7</v>
      </c>
      <c r="G2014" t="s">
        <v>11</v>
      </c>
      <c r="H2014" t="s">
        <v>11</v>
      </c>
    </row>
    <row r="2015" spans="1:8" x14ac:dyDescent="0.35">
      <c r="A2015" t="s">
        <v>38</v>
      </c>
      <c r="B2015" t="s">
        <v>99</v>
      </c>
      <c r="C2015" t="s">
        <v>2362</v>
      </c>
      <c r="D2015">
        <v>2</v>
      </c>
      <c r="E2015">
        <v>4</v>
      </c>
      <c r="F2015" t="s">
        <v>7</v>
      </c>
      <c r="G2015" t="s">
        <v>11</v>
      </c>
      <c r="H2015" t="s">
        <v>11</v>
      </c>
    </row>
    <row r="2016" spans="1:8" x14ac:dyDescent="0.35">
      <c r="A2016" t="s">
        <v>38</v>
      </c>
      <c r="B2016" t="s">
        <v>99</v>
      </c>
      <c r="C2016" t="s">
        <v>2363</v>
      </c>
      <c r="D2016">
        <v>2</v>
      </c>
      <c r="E2016">
        <v>4</v>
      </c>
      <c r="F2016" t="s">
        <v>7</v>
      </c>
      <c r="G2016" t="s">
        <v>11</v>
      </c>
      <c r="H2016" t="s">
        <v>11</v>
      </c>
    </row>
    <row r="2017" spans="1:8" x14ac:dyDescent="0.35">
      <c r="A2017" t="s">
        <v>38</v>
      </c>
      <c r="B2017" t="s">
        <v>99</v>
      </c>
      <c r="C2017" t="s">
        <v>1555</v>
      </c>
      <c r="D2017">
        <v>2</v>
      </c>
      <c r="E2017">
        <v>4</v>
      </c>
      <c r="F2017" t="s">
        <v>7</v>
      </c>
      <c r="G2017" t="s">
        <v>11</v>
      </c>
      <c r="H2017" t="s">
        <v>11</v>
      </c>
    </row>
    <row r="2018" spans="1:8" x14ac:dyDescent="0.35">
      <c r="A2018" t="s">
        <v>38</v>
      </c>
      <c r="B2018" t="s">
        <v>99</v>
      </c>
      <c r="C2018" t="s">
        <v>1177</v>
      </c>
      <c r="D2018">
        <v>3</v>
      </c>
      <c r="E2018">
        <v>3</v>
      </c>
      <c r="F2018" t="s">
        <v>7</v>
      </c>
      <c r="G2018" t="s">
        <v>11</v>
      </c>
      <c r="H2018" t="s">
        <v>11</v>
      </c>
    </row>
    <row r="2019" spans="1:8" x14ac:dyDescent="0.35">
      <c r="A2019" t="s">
        <v>38</v>
      </c>
      <c r="B2019" t="s">
        <v>99</v>
      </c>
      <c r="C2019" t="s">
        <v>2364</v>
      </c>
      <c r="D2019">
        <v>1</v>
      </c>
      <c r="E2019">
        <v>5</v>
      </c>
      <c r="F2019" t="s">
        <v>7</v>
      </c>
      <c r="G2019" t="s">
        <v>11</v>
      </c>
      <c r="H2019" t="s">
        <v>11</v>
      </c>
    </row>
    <row r="2020" spans="1:8" x14ac:dyDescent="0.35">
      <c r="A2020" t="s">
        <v>38</v>
      </c>
      <c r="B2020" t="s">
        <v>99</v>
      </c>
      <c r="C2020" t="s">
        <v>1556</v>
      </c>
      <c r="D2020">
        <v>3</v>
      </c>
      <c r="E2020">
        <v>3</v>
      </c>
      <c r="F2020" t="s">
        <v>7</v>
      </c>
      <c r="G2020" t="s">
        <v>11</v>
      </c>
      <c r="H2020" t="s">
        <v>11</v>
      </c>
    </row>
    <row r="2021" spans="1:8" x14ac:dyDescent="0.35">
      <c r="A2021" t="s">
        <v>38</v>
      </c>
      <c r="B2021" t="s">
        <v>99</v>
      </c>
      <c r="C2021" t="s">
        <v>1560</v>
      </c>
      <c r="D2021">
        <v>2</v>
      </c>
      <c r="E2021">
        <v>4</v>
      </c>
      <c r="F2021" t="s">
        <v>7</v>
      </c>
      <c r="G2021" t="s">
        <v>11</v>
      </c>
      <c r="H2021" t="s">
        <v>11</v>
      </c>
    </row>
    <row r="2022" spans="1:8" x14ac:dyDescent="0.35">
      <c r="A2022" t="s">
        <v>38</v>
      </c>
      <c r="B2022" t="s">
        <v>99</v>
      </c>
      <c r="C2022" t="s">
        <v>1805</v>
      </c>
      <c r="D2022">
        <v>3</v>
      </c>
      <c r="E2022">
        <v>3</v>
      </c>
      <c r="F2022" t="s">
        <v>7</v>
      </c>
      <c r="G2022" t="s">
        <v>11</v>
      </c>
      <c r="H2022" t="s">
        <v>11</v>
      </c>
    </row>
    <row r="2023" spans="1:8" x14ac:dyDescent="0.35">
      <c r="A2023" t="s">
        <v>38</v>
      </c>
      <c r="B2023" t="s">
        <v>99</v>
      </c>
      <c r="C2023" t="s">
        <v>2365</v>
      </c>
      <c r="D2023">
        <v>2</v>
      </c>
      <c r="E2023">
        <v>4</v>
      </c>
      <c r="F2023" t="s">
        <v>7</v>
      </c>
      <c r="G2023" t="s">
        <v>11</v>
      </c>
      <c r="H2023" t="s">
        <v>11</v>
      </c>
    </row>
    <row r="2024" spans="1:8" x14ac:dyDescent="0.35">
      <c r="A2024" t="s">
        <v>38</v>
      </c>
      <c r="B2024" t="s">
        <v>99</v>
      </c>
      <c r="C2024" t="s">
        <v>2366</v>
      </c>
      <c r="D2024">
        <v>2</v>
      </c>
      <c r="E2024">
        <v>5</v>
      </c>
      <c r="F2024" t="s">
        <v>7</v>
      </c>
      <c r="G2024" t="s">
        <v>11</v>
      </c>
      <c r="H2024" t="s">
        <v>11</v>
      </c>
    </row>
    <row r="2025" spans="1:8" x14ac:dyDescent="0.35">
      <c r="A2025" t="s">
        <v>39</v>
      </c>
      <c r="B2025" t="s">
        <v>71</v>
      </c>
      <c r="C2025" t="s">
        <v>1338</v>
      </c>
      <c r="D2025">
        <v>1</v>
      </c>
      <c r="E2025">
        <v>6</v>
      </c>
      <c r="F2025" t="s">
        <v>7</v>
      </c>
      <c r="G2025" t="s">
        <v>11</v>
      </c>
      <c r="H2025" t="s">
        <v>11</v>
      </c>
    </row>
    <row r="2026" spans="1:8" x14ac:dyDescent="0.35">
      <c r="A2026" t="s">
        <v>39</v>
      </c>
      <c r="B2026" t="s">
        <v>71</v>
      </c>
      <c r="C2026" t="s">
        <v>2367</v>
      </c>
      <c r="D2026">
        <v>1</v>
      </c>
      <c r="E2026">
        <v>7</v>
      </c>
      <c r="F2026" t="s">
        <v>11</v>
      </c>
      <c r="G2026" t="s">
        <v>11</v>
      </c>
      <c r="H2026" t="s">
        <v>11</v>
      </c>
    </row>
    <row r="2027" spans="1:8" x14ac:dyDescent="0.35">
      <c r="A2027" t="s">
        <v>39</v>
      </c>
      <c r="B2027" t="s">
        <v>71</v>
      </c>
      <c r="C2027" t="s">
        <v>2368</v>
      </c>
      <c r="D2027">
        <v>1</v>
      </c>
      <c r="E2027">
        <v>7</v>
      </c>
      <c r="F2027" t="s">
        <v>11</v>
      </c>
      <c r="G2027" t="s">
        <v>11</v>
      </c>
      <c r="H2027" t="s">
        <v>11</v>
      </c>
    </row>
    <row r="2028" spans="1:8" x14ac:dyDescent="0.35">
      <c r="A2028" t="s">
        <v>39</v>
      </c>
      <c r="B2028" t="s">
        <v>71</v>
      </c>
      <c r="C2028" t="s">
        <v>2369</v>
      </c>
      <c r="D2028">
        <v>1</v>
      </c>
      <c r="E2028">
        <v>6</v>
      </c>
      <c r="F2028" t="s">
        <v>7</v>
      </c>
      <c r="G2028" t="s">
        <v>11</v>
      </c>
      <c r="H2028" t="s">
        <v>11</v>
      </c>
    </row>
    <row r="2029" spans="1:8" x14ac:dyDescent="0.35">
      <c r="A2029" t="s">
        <v>39</v>
      </c>
      <c r="B2029" t="s">
        <v>71</v>
      </c>
      <c r="C2029" t="s">
        <v>2370</v>
      </c>
      <c r="D2029">
        <v>1</v>
      </c>
      <c r="E2029">
        <v>7</v>
      </c>
      <c r="F2029" t="s">
        <v>11</v>
      </c>
      <c r="G2029" t="s">
        <v>11</v>
      </c>
      <c r="H2029" t="s">
        <v>11</v>
      </c>
    </row>
    <row r="2030" spans="1:8" x14ac:dyDescent="0.35">
      <c r="A2030" t="s">
        <v>39</v>
      </c>
      <c r="B2030" t="s">
        <v>71</v>
      </c>
      <c r="C2030" t="s">
        <v>2371</v>
      </c>
      <c r="D2030">
        <v>1</v>
      </c>
      <c r="E2030">
        <v>6</v>
      </c>
      <c r="F2030" t="s">
        <v>7</v>
      </c>
      <c r="G2030" t="s">
        <v>11</v>
      </c>
      <c r="H2030" t="s">
        <v>11</v>
      </c>
    </row>
    <row r="2031" spans="1:8" x14ac:dyDescent="0.35">
      <c r="A2031" t="s">
        <v>39</v>
      </c>
      <c r="B2031" t="s">
        <v>71</v>
      </c>
      <c r="C2031" t="s">
        <v>1467</v>
      </c>
      <c r="D2031">
        <v>1</v>
      </c>
      <c r="E2031">
        <v>7</v>
      </c>
      <c r="F2031" t="s">
        <v>11</v>
      </c>
      <c r="G2031" t="s">
        <v>11</v>
      </c>
      <c r="H2031" t="s">
        <v>11</v>
      </c>
    </row>
    <row r="2032" spans="1:8" x14ac:dyDescent="0.35">
      <c r="A2032" t="s">
        <v>39</v>
      </c>
      <c r="B2032" t="s">
        <v>71</v>
      </c>
      <c r="C2032" t="s">
        <v>2372</v>
      </c>
      <c r="D2032">
        <v>1</v>
      </c>
      <c r="E2032">
        <v>6</v>
      </c>
      <c r="F2032" t="s">
        <v>7</v>
      </c>
      <c r="G2032" t="s">
        <v>11</v>
      </c>
      <c r="H2032" t="s">
        <v>11</v>
      </c>
    </row>
    <row r="2033" spans="1:8" x14ac:dyDescent="0.35">
      <c r="A2033" t="s">
        <v>39</v>
      </c>
      <c r="B2033" t="s">
        <v>71</v>
      </c>
      <c r="C2033" t="s">
        <v>1605</v>
      </c>
      <c r="D2033">
        <v>1</v>
      </c>
      <c r="E2033">
        <v>7</v>
      </c>
      <c r="F2033" t="s">
        <v>11</v>
      </c>
      <c r="G2033" t="s">
        <v>11</v>
      </c>
      <c r="H2033" t="s">
        <v>11</v>
      </c>
    </row>
    <row r="2034" spans="1:8" x14ac:dyDescent="0.35">
      <c r="A2034" t="s">
        <v>39</v>
      </c>
      <c r="B2034" t="s">
        <v>71</v>
      </c>
      <c r="C2034" t="s">
        <v>2373</v>
      </c>
      <c r="D2034">
        <v>1</v>
      </c>
      <c r="E2034">
        <v>7</v>
      </c>
      <c r="F2034" t="s">
        <v>11</v>
      </c>
      <c r="G2034" t="s">
        <v>11</v>
      </c>
      <c r="H2034" t="s">
        <v>11</v>
      </c>
    </row>
    <row r="2035" spans="1:8" x14ac:dyDescent="0.35">
      <c r="A2035" t="s">
        <v>39</v>
      </c>
      <c r="B2035" t="s">
        <v>71</v>
      </c>
      <c r="C2035" t="s">
        <v>2374</v>
      </c>
      <c r="D2035">
        <v>1</v>
      </c>
      <c r="E2035">
        <v>6</v>
      </c>
      <c r="F2035" t="s">
        <v>7</v>
      </c>
      <c r="G2035" t="s">
        <v>11</v>
      </c>
      <c r="H2035" t="s">
        <v>11</v>
      </c>
    </row>
    <row r="2036" spans="1:8" x14ac:dyDescent="0.35">
      <c r="A2036" t="s">
        <v>39</v>
      </c>
      <c r="B2036" t="s">
        <v>71</v>
      </c>
      <c r="C2036" t="s">
        <v>2375</v>
      </c>
      <c r="D2036">
        <v>1</v>
      </c>
      <c r="E2036">
        <v>7</v>
      </c>
      <c r="F2036" t="s">
        <v>11</v>
      </c>
      <c r="G2036" t="s">
        <v>11</v>
      </c>
      <c r="H2036" t="s">
        <v>11</v>
      </c>
    </row>
    <row r="2037" spans="1:8" x14ac:dyDescent="0.35">
      <c r="A2037" t="s">
        <v>39</v>
      </c>
      <c r="B2037" t="s">
        <v>71</v>
      </c>
      <c r="C2037" t="s">
        <v>2376</v>
      </c>
      <c r="D2037">
        <v>1</v>
      </c>
      <c r="E2037">
        <v>6</v>
      </c>
      <c r="F2037" t="s">
        <v>7</v>
      </c>
      <c r="G2037" t="s">
        <v>11</v>
      </c>
      <c r="H2037" t="s">
        <v>11</v>
      </c>
    </row>
    <row r="2038" spans="1:8" x14ac:dyDescent="0.35">
      <c r="A2038" t="s">
        <v>39</v>
      </c>
      <c r="B2038" t="s">
        <v>71</v>
      </c>
      <c r="C2038" t="s">
        <v>2256</v>
      </c>
      <c r="D2038">
        <v>1</v>
      </c>
      <c r="E2038">
        <v>7</v>
      </c>
      <c r="F2038" t="s">
        <v>11</v>
      </c>
      <c r="G2038" t="s">
        <v>11</v>
      </c>
      <c r="H2038" t="s">
        <v>11</v>
      </c>
    </row>
    <row r="2039" spans="1:8" x14ac:dyDescent="0.35">
      <c r="A2039" t="s">
        <v>39</v>
      </c>
      <c r="B2039" t="s">
        <v>71</v>
      </c>
      <c r="C2039" t="s">
        <v>2377</v>
      </c>
      <c r="D2039">
        <v>1</v>
      </c>
      <c r="E2039">
        <v>6</v>
      </c>
      <c r="F2039" t="s">
        <v>7</v>
      </c>
      <c r="G2039" t="s">
        <v>11</v>
      </c>
      <c r="H2039" t="s">
        <v>11</v>
      </c>
    </row>
    <row r="2040" spans="1:8" x14ac:dyDescent="0.35">
      <c r="A2040" t="s">
        <v>39</v>
      </c>
      <c r="B2040" t="s">
        <v>71</v>
      </c>
      <c r="C2040" t="s">
        <v>2378</v>
      </c>
      <c r="D2040">
        <v>1</v>
      </c>
      <c r="E2040">
        <v>7</v>
      </c>
      <c r="F2040" t="s">
        <v>11</v>
      </c>
      <c r="G2040" t="s">
        <v>11</v>
      </c>
      <c r="H2040" t="s">
        <v>11</v>
      </c>
    </row>
    <row r="2041" spans="1:8" x14ac:dyDescent="0.35">
      <c r="A2041" t="s">
        <v>39</v>
      </c>
      <c r="B2041" t="s">
        <v>71</v>
      </c>
      <c r="C2041" t="s">
        <v>2156</v>
      </c>
      <c r="D2041">
        <v>1</v>
      </c>
      <c r="E2041">
        <v>6</v>
      </c>
      <c r="F2041" t="s">
        <v>7</v>
      </c>
      <c r="G2041" t="s">
        <v>11</v>
      </c>
      <c r="H2041" t="s">
        <v>11</v>
      </c>
    </row>
    <row r="2042" spans="1:8" x14ac:dyDescent="0.35">
      <c r="A2042" t="s">
        <v>39</v>
      </c>
      <c r="B2042" t="s">
        <v>71</v>
      </c>
      <c r="C2042" t="s">
        <v>2379</v>
      </c>
      <c r="D2042">
        <v>1</v>
      </c>
      <c r="E2042">
        <v>7</v>
      </c>
      <c r="F2042" t="s">
        <v>11</v>
      </c>
      <c r="G2042" t="s">
        <v>11</v>
      </c>
      <c r="H2042" t="s">
        <v>11</v>
      </c>
    </row>
    <row r="2043" spans="1:8" x14ac:dyDescent="0.35">
      <c r="A2043" t="s">
        <v>39</v>
      </c>
      <c r="B2043" t="s">
        <v>71</v>
      </c>
      <c r="C2043" t="s">
        <v>1246</v>
      </c>
      <c r="D2043">
        <v>1</v>
      </c>
      <c r="E2043">
        <v>6</v>
      </c>
      <c r="F2043" t="s">
        <v>7</v>
      </c>
      <c r="G2043" t="s">
        <v>11</v>
      </c>
      <c r="H2043" t="s">
        <v>11</v>
      </c>
    </row>
    <row r="2044" spans="1:8" x14ac:dyDescent="0.35">
      <c r="A2044" t="s">
        <v>39</v>
      </c>
      <c r="B2044" t="s">
        <v>71</v>
      </c>
      <c r="C2044" t="s">
        <v>2380</v>
      </c>
      <c r="D2044">
        <v>1</v>
      </c>
      <c r="E2044">
        <v>7</v>
      </c>
      <c r="F2044" t="s">
        <v>11</v>
      </c>
      <c r="G2044" t="s">
        <v>11</v>
      </c>
      <c r="H2044" t="s">
        <v>11</v>
      </c>
    </row>
    <row r="2045" spans="1:8" x14ac:dyDescent="0.35">
      <c r="A2045" t="s">
        <v>39</v>
      </c>
      <c r="B2045" t="s">
        <v>71</v>
      </c>
      <c r="C2045" t="s">
        <v>2381</v>
      </c>
      <c r="D2045">
        <v>1</v>
      </c>
      <c r="E2045">
        <v>6</v>
      </c>
      <c r="F2045" t="s">
        <v>7</v>
      </c>
      <c r="G2045" t="s">
        <v>11</v>
      </c>
      <c r="H2045" t="s">
        <v>11</v>
      </c>
    </row>
    <row r="2046" spans="1:8" x14ac:dyDescent="0.35">
      <c r="A2046" t="s">
        <v>39</v>
      </c>
      <c r="B2046" t="s">
        <v>71</v>
      </c>
      <c r="C2046" t="s">
        <v>2382</v>
      </c>
      <c r="D2046">
        <v>1</v>
      </c>
      <c r="E2046">
        <v>7</v>
      </c>
      <c r="F2046" t="s">
        <v>11</v>
      </c>
      <c r="G2046" t="s">
        <v>11</v>
      </c>
      <c r="H2046" t="s">
        <v>11</v>
      </c>
    </row>
    <row r="2047" spans="1:8" x14ac:dyDescent="0.35">
      <c r="A2047" t="s">
        <v>39</v>
      </c>
      <c r="B2047" t="s">
        <v>71</v>
      </c>
      <c r="C2047" t="s">
        <v>2383</v>
      </c>
      <c r="D2047">
        <v>1</v>
      </c>
      <c r="E2047">
        <v>6</v>
      </c>
      <c r="F2047" t="s">
        <v>7</v>
      </c>
      <c r="G2047" t="s">
        <v>11</v>
      </c>
      <c r="H2047" t="s">
        <v>11</v>
      </c>
    </row>
    <row r="2048" spans="1:8" x14ac:dyDescent="0.35">
      <c r="A2048" t="s">
        <v>39</v>
      </c>
      <c r="B2048" t="s">
        <v>71</v>
      </c>
      <c r="C2048" t="s">
        <v>1256</v>
      </c>
      <c r="D2048">
        <v>1</v>
      </c>
      <c r="E2048">
        <v>6</v>
      </c>
      <c r="F2048" t="s">
        <v>7</v>
      </c>
      <c r="G2048" t="s">
        <v>11</v>
      </c>
      <c r="H2048" t="s">
        <v>11</v>
      </c>
    </row>
    <row r="2049" spans="1:8" x14ac:dyDescent="0.35">
      <c r="A2049" t="s">
        <v>39</v>
      </c>
      <c r="B2049" t="s">
        <v>71</v>
      </c>
      <c r="C2049" t="s">
        <v>1633</v>
      </c>
      <c r="D2049">
        <v>1</v>
      </c>
      <c r="E2049">
        <v>7</v>
      </c>
      <c r="F2049" t="s">
        <v>11</v>
      </c>
      <c r="G2049" t="s">
        <v>11</v>
      </c>
      <c r="H2049" t="s">
        <v>11</v>
      </c>
    </row>
    <row r="2050" spans="1:8" x14ac:dyDescent="0.35">
      <c r="A2050" t="s">
        <v>39</v>
      </c>
      <c r="B2050" t="s">
        <v>71</v>
      </c>
      <c r="C2050" t="s">
        <v>1521</v>
      </c>
      <c r="D2050">
        <v>1</v>
      </c>
      <c r="E2050">
        <v>6</v>
      </c>
      <c r="F2050" t="s">
        <v>7</v>
      </c>
      <c r="G2050" t="s">
        <v>11</v>
      </c>
      <c r="H2050" t="s">
        <v>11</v>
      </c>
    </row>
    <row r="2051" spans="1:8" x14ac:dyDescent="0.35">
      <c r="A2051" t="s">
        <v>39</v>
      </c>
      <c r="B2051" t="s">
        <v>71</v>
      </c>
      <c r="C2051" t="s">
        <v>2384</v>
      </c>
      <c r="D2051">
        <v>1</v>
      </c>
      <c r="E2051">
        <v>6</v>
      </c>
      <c r="F2051" t="s">
        <v>7</v>
      </c>
      <c r="G2051" t="s">
        <v>11</v>
      </c>
      <c r="H2051" t="s">
        <v>11</v>
      </c>
    </row>
    <row r="2052" spans="1:8" x14ac:dyDescent="0.35">
      <c r="A2052" t="s">
        <v>39</v>
      </c>
      <c r="B2052" t="s">
        <v>71</v>
      </c>
      <c r="C2052" t="s">
        <v>1634</v>
      </c>
      <c r="D2052">
        <v>1</v>
      </c>
      <c r="E2052">
        <v>7</v>
      </c>
      <c r="F2052" t="s">
        <v>11</v>
      </c>
      <c r="G2052" t="s">
        <v>11</v>
      </c>
      <c r="H2052" t="s">
        <v>11</v>
      </c>
    </row>
    <row r="2053" spans="1:8" x14ac:dyDescent="0.35">
      <c r="A2053" t="s">
        <v>39</v>
      </c>
      <c r="B2053" t="s">
        <v>71</v>
      </c>
      <c r="C2053" t="s">
        <v>1636</v>
      </c>
      <c r="D2053">
        <v>1</v>
      </c>
      <c r="E2053">
        <v>6</v>
      </c>
      <c r="F2053" t="s">
        <v>7</v>
      </c>
      <c r="G2053" t="s">
        <v>11</v>
      </c>
      <c r="H2053" t="s">
        <v>11</v>
      </c>
    </row>
    <row r="2054" spans="1:8" x14ac:dyDescent="0.35">
      <c r="A2054" t="s">
        <v>39</v>
      </c>
      <c r="B2054" t="s">
        <v>71</v>
      </c>
      <c r="C2054" t="s">
        <v>1775</v>
      </c>
      <c r="D2054">
        <v>1</v>
      </c>
      <c r="E2054">
        <v>6</v>
      </c>
      <c r="F2054" t="s">
        <v>7</v>
      </c>
      <c r="G2054" t="s">
        <v>11</v>
      </c>
      <c r="H2054" t="s">
        <v>11</v>
      </c>
    </row>
    <row r="2055" spans="1:8" x14ac:dyDescent="0.35">
      <c r="A2055" t="s">
        <v>39</v>
      </c>
      <c r="B2055" t="s">
        <v>71</v>
      </c>
      <c r="C2055" t="s">
        <v>2385</v>
      </c>
      <c r="D2055">
        <v>1</v>
      </c>
      <c r="E2055">
        <v>7</v>
      </c>
      <c r="F2055" t="s">
        <v>11</v>
      </c>
      <c r="G2055" t="s">
        <v>11</v>
      </c>
      <c r="H2055" t="s">
        <v>11</v>
      </c>
    </row>
    <row r="2056" spans="1:8" x14ac:dyDescent="0.35">
      <c r="A2056" t="s">
        <v>39</v>
      </c>
      <c r="B2056" t="s">
        <v>71</v>
      </c>
      <c r="C2056" t="s">
        <v>1849</v>
      </c>
      <c r="D2056">
        <v>1</v>
      </c>
      <c r="E2056">
        <v>7</v>
      </c>
      <c r="F2056" t="s">
        <v>11</v>
      </c>
      <c r="G2056" t="s">
        <v>11</v>
      </c>
      <c r="H2056" t="s">
        <v>11</v>
      </c>
    </row>
    <row r="2057" spans="1:8" x14ac:dyDescent="0.35">
      <c r="A2057" t="s">
        <v>39</v>
      </c>
      <c r="B2057" t="s">
        <v>71</v>
      </c>
      <c r="C2057" t="s">
        <v>2386</v>
      </c>
      <c r="D2057">
        <v>1</v>
      </c>
      <c r="E2057">
        <v>6</v>
      </c>
      <c r="F2057" t="s">
        <v>7</v>
      </c>
      <c r="G2057" t="s">
        <v>11</v>
      </c>
      <c r="H2057" t="s">
        <v>11</v>
      </c>
    </row>
    <row r="2058" spans="1:8" x14ac:dyDescent="0.35">
      <c r="A2058" t="s">
        <v>39</v>
      </c>
      <c r="B2058" t="s">
        <v>71</v>
      </c>
      <c r="C2058" t="s">
        <v>2387</v>
      </c>
      <c r="D2058">
        <v>1</v>
      </c>
      <c r="E2058">
        <v>7</v>
      </c>
      <c r="F2058" t="s">
        <v>11</v>
      </c>
      <c r="G2058" t="s">
        <v>11</v>
      </c>
      <c r="H2058" t="s">
        <v>11</v>
      </c>
    </row>
    <row r="2059" spans="1:8" x14ac:dyDescent="0.35">
      <c r="A2059" t="s">
        <v>39</v>
      </c>
      <c r="B2059" t="s">
        <v>71</v>
      </c>
      <c r="C2059" t="s">
        <v>1530</v>
      </c>
      <c r="D2059">
        <v>1</v>
      </c>
      <c r="E2059">
        <v>7</v>
      </c>
      <c r="F2059" t="s">
        <v>11</v>
      </c>
      <c r="G2059" t="s">
        <v>11</v>
      </c>
      <c r="H2059" t="s">
        <v>11</v>
      </c>
    </row>
    <row r="2060" spans="1:8" x14ac:dyDescent="0.35">
      <c r="A2060" t="s">
        <v>39</v>
      </c>
      <c r="B2060" t="s">
        <v>71</v>
      </c>
      <c r="C2060" t="s">
        <v>2050</v>
      </c>
      <c r="D2060">
        <v>1</v>
      </c>
      <c r="E2060">
        <v>7</v>
      </c>
      <c r="F2060" t="s">
        <v>11</v>
      </c>
      <c r="G2060" t="s">
        <v>11</v>
      </c>
      <c r="H2060" t="s">
        <v>11</v>
      </c>
    </row>
    <row r="2061" spans="1:8" x14ac:dyDescent="0.35">
      <c r="A2061" t="s">
        <v>39</v>
      </c>
      <c r="B2061" t="s">
        <v>71</v>
      </c>
      <c r="C2061" t="s">
        <v>2388</v>
      </c>
      <c r="D2061">
        <v>1</v>
      </c>
      <c r="E2061">
        <v>6</v>
      </c>
      <c r="F2061" t="s">
        <v>7</v>
      </c>
      <c r="G2061" t="s">
        <v>11</v>
      </c>
      <c r="H2061" t="s">
        <v>11</v>
      </c>
    </row>
    <row r="2062" spans="1:8" x14ac:dyDescent="0.35">
      <c r="A2062" t="s">
        <v>39</v>
      </c>
      <c r="B2062" t="s">
        <v>71</v>
      </c>
      <c r="C2062" t="s">
        <v>2053</v>
      </c>
      <c r="D2062">
        <v>1</v>
      </c>
      <c r="E2062">
        <v>7</v>
      </c>
      <c r="F2062" t="s">
        <v>11</v>
      </c>
      <c r="G2062" t="s">
        <v>11</v>
      </c>
      <c r="H2062" t="s">
        <v>11</v>
      </c>
    </row>
    <row r="2063" spans="1:8" x14ac:dyDescent="0.35">
      <c r="A2063" t="s">
        <v>39</v>
      </c>
      <c r="B2063" t="s">
        <v>71</v>
      </c>
      <c r="C2063" t="s">
        <v>1641</v>
      </c>
      <c r="D2063">
        <v>1</v>
      </c>
      <c r="E2063">
        <v>6</v>
      </c>
      <c r="F2063" t="s">
        <v>7</v>
      </c>
      <c r="G2063" t="s">
        <v>11</v>
      </c>
      <c r="H2063" t="s">
        <v>11</v>
      </c>
    </row>
    <row r="2064" spans="1:8" x14ac:dyDescent="0.35">
      <c r="A2064" t="s">
        <v>39</v>
      </c>
      <c r="B2064" t="s">
        <v>71</v>
      </c>
      <c r="C2064" t="s">
        <v>2389</v>
      </c>
      <c r="D2064">
        <v>1</v>
      </c>
      <c r="E2064">
        <v>7</v>
      </c>
      <c r="F2064" t="s">
        <v>11</v>
      </c>
      <c r="G2064" t="s">
        <v>11</v>
      </c>
      <c r="H2064" t="s">
        <v>11</v>
      </c>
    </row>
    <row r="2065" spans="1:8" x14ac:dyDescent="0.35">
      <c r="A2065" t="s">
        <v>39</v>
      </c>
      <c r="B2065" t="s">
        <v>71</v>
      </c>
      <c r="C2065" t="s">
        <v>2390</v>
      </c>
      <c r="D2065">
        <v>1</v>
      </c>
      <c r="E2065">
        <v>6</v>
      </c>
      <c r="F2065" t="s">
        <v>7</v>
      </c>
      <c r="G2065" t="s">
        <v>11</v>
      </c>
      <c r="H2065" t="s">
        <v>11</v>
      </c>
    </row>
    <row r="2066" spans="1:8" x14ac:dyDescent="0.35">
      <c r="A2066" t="s">
        <v>39</v>
      </c>
      <c r="B2066" t="s">
        <v>71</v>
      </c>
      <c r="C2066" t="s">
        <v>1794</v>
      </c>
      <c r="D2066">
        <v>1</v>
      </c>
      <c r="E2066">
        <v>7</v>
      </c>
      <c r="F2066" t="s">
        <v>11</v>
      </c>
      <c r="G2066" t="s">
        <v>11</v>
      </c>
      <c r="H2066" t="s">
        <v>11</v>
      </c>
    </row>
    <row r="2067" spans="1:8" x14ac:dyDescent="0.35">
      <c r="A2067" t="s">
        <v>39</v>
      </c>
      <c r="B2067" t="s">
        <v>71</v>
      </c>
      <c r="C2067" t="s">
        <v>1734</v>
      </c>
      <c r="D2067">
        <v>1</v>
      </c>
      <c r="E2067">
        <v>6</v>
      </c>
      <c r="F2067" t="s">
        <v>7</v>
      </c>
      <c r="G2067" t="s">
        <v>11</v>
      </c>
      <c r="H2067" t="s">
        <v>11</v>
      </c>
    </row>
    <row r="2068" spans="1:8" x14ac:dyDescent="0.35">
      <c r="A2068" t="s">
        <v>39</v>
      </c>
      <c r="B2068" t="s">
        <v>71</v>
      </c>
      <c r="C2068" t="s">
        <v>2391</v>
      </c>
      <c r="D2068">
        <v>1</v>
      </c>
      <c r="E2068">
        <v>6</v>
      </c>
      <c r="F2068" t="s">
        <v>7</v>
      </c>
      <c r="G2068" t="s">
        <v>11</v>
      </c>
      <c r="H2068" t="s">
        <v>11</v>
      </c>
    </row>
    <row r="2069" spans="1:8" x14ac:dyDescent="0.35">
      <c r="A2069" t="s">
        <v>39</v>
      </c>
      <c r="B2069" t="s">
        <v>71</v>
      </c>
      <c r="C2069" t="s">
        <v>1645</v>
      </c>
      <c r="D2069">
        <v>1</v>
      </c>
      <c r="E2069">
        <v>6</v>
      </c>
      <c r="F2069" t="s">
        <v>7</v>
      </c>
      <c r="G2069" t="s">
        <v>11</v>
      </c>
      <c r="H2069" t="s">
        <v>11</v>
      </c>
    </row>
    <row r="2070" spans="1:8" x14ac:dyDescent="0.35">
      <c r="A2070" t="s">
        <v>39</v>
      </c>
      <c r="B2070" t="s">
        <v>71</v>
      </c>
      <c r="C2070" t="s">
        <v>2060</v>
      </c>
      <c r="D2070">
        <v>1</v>
      </c>
      <c r="E2070">
        <v>7</v>
      </c>
      <c r="F2070" t="s">
        <v>11</v>
      </c>
      <c r="G2070" t="s">
        <v>11</v>
      </c>
      <c r="H2070" t="s">
        <v>11</v>
      </c>
    </row>
    <row r="2071" spans="1:8" x14ac:dyDescent="0.35">
      <c r="A2071" t="s">
        <v>39</v>
      </c>
      <c r="B2071" t="s">
        <v>71</v>
      </c>
      <c r="C2071" t="s">
        <v>2392</v>
      </c>
      <c r="D2071">
        <v>1</v>
      </c>
      <c r="E2071">
        <v>7</v>
      </c>
      <c r="F2071" t="s">
        <v>11</v>
      </c>
      <c r="G2071" t="s">
        <v>11</v>
      </c>
      <c r="H2071" t="s">
        <v>11</v>
      </c>
    </row>
    <row r="2072" spans="1:8" x14ac:dyDescent="0.35">
      <c r="A2072" t="s">
        <v>39</v>
      </c>
      <c r="B2072" t="s">
        <v>71</v>
      </c>
      <c r="C2072" t="s">
        <v>2393</v>
      </c>
      <c r="D2072">
        <v>1</v>
      </c>
      <c r="E2072">
        <v>7</v>
      </c>
      <c r="F2072" t="s">
        <v>11</v>
      </c>
      <c r="G2072" t="s">
        <v>11</v>
      </c>
      <c r="H2072" t="s">
        <v>11</v>
      </c>
    </row>
    <row r="2073" spans="1:8" x14ac:dyDescent="0.35">
      <c r="A2073" t="s">
        <v>39</v>
      </c>
      <c r="B2073" t="s">
        <v>71</v>
      </c>
      <c r="C2073" t="s">
        <v>2394</v>
      </c>
      <c r="D2073">
        <v>1</v>
      </c>
      <c r="E2073">
        <v>7</v>
      </c>
      <c r="F2073" t="s">
        <v>11</v>
      </c>
      <c r="G2073" t="s">
        <v>11</v>
      </c>
      <c r="H2073" t="s">
        <v>11</v>
      </c>
    </row>
    <row r="2074" spans="1:8" x14ac:dyDescent="0.35">
      <c r="A2074" t="s">
        <v>39</v>
      </c>
      <c r="B2074" t="s">
        <v>71</v>
      </c>
      <c r="C2074" t="s">
        <v>2395</v>
      </c>
      <c r="D2074">
        <v>1</v>
      </c>
      <c r="E2074">
        <v>7</v>
      </c>
      <c r="F2074" t="s">
        <v>11</v>
      </c>
      <c r="G2074" t="s">
        <v>11</v>
      </c>
      <c r="H2074" t="s">
        <v>11</v>
      </c>
    </row>
    <row r="2075" spans="1:8" x14ac:dyDescent="0.35">
      <c r="A2075" t="s">
        <v>39</v>
      </c>
      <c r="B2075" t="s">
        <v>71</v>
      </c>
      <c r="C2075" t="s">
        <v>2396</v>
      </c>
      <c r="D2075">
        <v>1</v>
      </c>
      <c r="E2075">
        <v>7</v>
      </c>
      <c r="F2075" t="s">
        <v>11</v>
      </c>
      <c r="G2075" t="s">
        <v>11</v>
      </c>
      <c r="H2075" t="s">
        <v>11</v>
      </c>
    </row>
    <row r="2076" spans="1:8" x14ac:dyDescent="0.35">
      <c r="A2076" t="s">
        <v>39</v>
      </c>
      <c r="B2076" t="s">
        <v>71</v>
      </c>
      <c r="C2076" t="s">
        <v>1694</v>
      </c>
      <c r="D2076">
        <v>1</v>
      </c>
      <c r="E2076">
        <v>7</v>
      </c>
      <c r="F2076" t="s">
        <v>11</v>
      </c>
      <c r="G2076" t="s">
        <v>11</v>
      </c>
      <c r="H2076" t="s">
        <v>11</v>
      </c>
    </row>
    <row r="2077" spans="1:8" x14ac:dyDescent="0.35">
      <c r="A2077" t="s">
        <v>39</v>
      </c>
      <c r="B2077" t="s">
        <v>71</v>
      </c>
      <c r="C2077" t="s">
        <v>2397</v>
      </c>
      <c r="D2077">
        <v>1</v>
      </c>
      <c r="E2077">
        <v>7</v>
      </c>
      <c r="F2077" t="s">
        <v>11</v>
      </c>
      <c r="G2077" t="s">
        <v>11</v>
      </c>
      <c r="H2077" t="s">
        <v>11</v>
      </c>
    </row>
    <row r="2078" spans="1:8" x14ac:dyDescent="0.35">
      <c r="A2078" t="s">
        <v>68</v>
      </c>
      <c r="C2078" t="s">
        <v>2398</v>
      </c>
      <c r="D2078" t="s">
        <v>11</v>
      </c>
      <c r="E2078">
        <v>1</v>
      </c>
      <c r="F2078" t="s">
        <v>7</v>
      </c>
      <c r="G2078" t="s">
        <v>115</v>
      </c>
      <c r="H2078" t="s">
        <v>3455</v>
      </c>
    </row>
    <row r="2079" spans="1:8" x14ac:dyDescent="0.35">
      <c r="A2079" t="s">
        <v>47</v>
      </c>
      <c r="B2079" t="s">
        <v>100</v>
      </c>
      <c r="C2079" t="s">
        <v>1338</v>
      </c>
      <c r="D2079">
        <v>1</v>
      </c>
      <c r="E2079">
        <v>4</v>
      </c>
      <c r="F2079" t="s">
        <v>7</v>
      </c>
      <c r="G2079" t="s">
        <v>11</v>
      </c>
      <c r="H2079" t="s">
        <v>11</v>
      </c>
    </row>
    <row r="2080" spans="1:8" x14ac:dyDescent="0.35">
      <c r="A2080" t="s">
        <v>47</v>
      </c>
      <c r="B2080" t="s">
        <v>100</v>
      </c>
      <c r="C2080" t="s">
        <v>1655</v>
      </c>
      <c r="D2080">
        <v>1</v>
      </c>
      <c r="E2080">
        <v>5</v>
      </c>
      <c r="F2080" t="s">
        <v>7</v>
      </c>
      <c r="G2080" t="s">
        <v>11</v>
      </c>
      <c r="H2080" t="s">
        <v>11</v>
      </c>
    </row>
    <row r="2081" spans="1:8" x14ac:dyDescent="0.35">
      <c r="A2081" t="s">
        <v>47</v>
      </c>
      <c r="B2081" t="s">
        <v>100</v>
      </c>
      <c r="C2081" t="s">
        <v>2399</v>
      </c>
      <c r="D2081">
        <v>1</v>
      </c>
      <c r="E2081">
        <v>5</v>
      </c>
      <c r="F2081" t="s">
        <v>7</v>
      </c>
      <c r="G2081" t="s">
        <v>11</v>
      </c>
      <c r="H2081" t="s">
        <v>11</v>
      </c>
    </row>
    <row r="2082" spans="1:8" x14ac:dyDescent="0.35">
      <c r="A2082" t="s">
        <v>47</v>
      </c>
      <c r="B2082" t="s">
        <v>100</v>
      </c>
      <c r="C2082" t="s">
        <v>2400</v>
      </c>
      <c r="D2082">
        <v>2</v>
      </c>
      <c r="E2082">
        <v>5</v>
      </c>
      <c r="F2082" t="s">
        <v>7</v>
      </c>
      <c r="G2082" t="s">
        <v>11</v>
      </c>
      <c r="H2082" t="s">
        <v>11</v>
      </c>
    </row>
    <row r="2083" spans="1:8" x14ac:dyDescent="0.35">
      <c r="A2083" t="s">
        <v>47</v>
      </c>
      <c r="B2083" t="s">
        <v>100</v>
      </c>
      <c r="C2083" t="s">
        <v>2401</v>
      </c>
      <c r="D2083">
        <v>2</v>
      </c>
      <c r="E2083">
        <v>5</v>
      </c>
      <c r="F2083" t="s">
        <v>7</v>
      </c>
      <c r="G2083" t="s">
        <v>11</v>
      </c>
      <c r="H2083" t="s">
        <v>11</v>
      </c>
    </row>
    <row r="2084" spans="1:8" x14ac:dyDescent="0.35">
      <c r="A2084" t="s">
        <v>47</v>
      </c>
      <c r="B2084" t="s">
        <v>100</v>
      </c>
      <c r="C2084" t="s">
        <v>2402</v>
      </c>
      <c r="D2084">
        <v>1</v>
      </c>
      <c r="E2084">
        <v>5</v>
      </c>
      <c r="F2084" t="s">
        <v>7</v>
      </c>
      <c r="G2084" t="s">
        <v>11</v>
      </c>
      <c r="H2084" t="s">
        <v>11</v>
      </c>
    </row>
    <row r="2085" spans="1:8" x14ac:dyDescent="0.35">
      <c r="A2085" t="s">
        <v>47</v>
      </c>
      <c r="B2085" t="s">
        <v>100</v>
      </c>
      <c r="C2085" t="s">
        <v>2403</v>
      </c>
      <c r="D2085">
        <v>1</v>
      </c>
      <c r="E2085">
        <v>5</v>
      </c>
      <c r="F2085" t="s">
        <v>7</v>
      </c>
      <c r="G2085" t="s">
        <v>11</v>
      </c>
      <c r="H2085" t="s">
        <v>11</v>
      </c>
    </row>
    <row r="2086" spans="1:8" x14ac:dyDescent="0.35">
      <c r="A2086" t="s">
        <v>47</v>
      </c>
      <c r="B2086" t="s">
        <v>100</v>
      </c>
      <c r="C2086" t="s">
        <v>1603</v>
      </c>
      <c r="D2086">
        <v>2</v>
      </c>
      <c r="E2086">
        <v>4</v>
      </c>
      <c r="F2086" t="s">
        <v>7</v>
      </c>
      <c r="G2086" t="s">
        <v>11</v>
      </c>
      <c r="H2086" t="s">
        <v>11</v>
      </c>
    </row>
    <row r="2087" spans="1:8" x14ac:dyDescent="0.35">
      <c r="A2087" t="s">
        <v>47</v>
      </c>
      <c r="B2087" t="s">
        <v>100</v>
      </c>
      <c r="C2087" t="s">
        <v>1119</v>
      </c>
      <c r="D2087">
        <v>1</v>
      </c>
      <c r="E2087">
        <v>5</v>
      </c>
      <c r="F2087" t="s">
        <v>7</v>
      </c>
      <c r="G2087" t="s">
        <v>11</v>
      </c>
      <c r="H2087" t="s">
        <v>11</v>
      </c>
    </row>
    <row r="2088" spans="1:8" x14ac:dyDescent="0.35">
      <c r="A2088" t="s">
        <v>47</v>
      </c>
      <c r="B2088" t="s">
        <v>100</v>
      </c>
      <c r="C2088" t="s">
        <v>1231</v>
      </c>
      <c r="D2088">
        <v>1</v>
      </c>
      <c r="E2088">
        <v>5</v>
      </c>
      <c r="F2088" t="s">
        <v>7</v>
      </c>
      <c r="G2088" t="s">
        <v>11</v>
      </c>
      <c r="H2088" t="s">
        <v>11</v>
      </c>
    </row>
    <row r="2089" spans="1:8" x14ac:dyDescent="0.35">
      <c r="A2089" t="s">
        <v>47</v>
      </c>
      <c r="B2089" t="s">
        <v>100</v>
      </c>
      <c r="C2089" t="s">
        <v>1606</v>
      </c>
      <c r="D2089">
        <v>1</v>
      </c>
      <c r="E2089">
        <v>5</v>
      </c>
      <c r="F2089" t="s">
        <v>7</v>
      </c>
      <c r="G2089" t="s">
        <v>11</v>
      </c>
      <c r="H2089" t="s">
        <v>11</v>
      </c>
    </row>
    <row r="2090" spans="1:8" x14ac:dyDescent="0.35">
      <c r="A2090" t="s">
        <v>47</v>
      </c>
      <c r="B2090" t="s">
        <v>100</v>
      </c>
      <c r="C2090" t="s">
        <v>1233</v>
      </c>
      <c r="D2090">
        <v>1</v>
      </c>
      <c r="E2090">
        <v>5</v>
      </c>
      <c r="F2090" t="s">
        <v>7</v>
      </c>
      <c r="G2090" t="s">
        <v>11</v>
      </c>
      <c r="H2090" t="s">
        <v>11</v>
      </c>
    </row>
    <row r="2091" spans="1:8" x14ac:dyDescent="0.35">
      <c r="A2091" t="s">
        <v>47</v>
      </c>
      <c r="B2091" t="s">
        <v>100</v>
      </c>
      <c r="C2091" t="s">
        <v>2404</v>
      </c>
      <c r="D2091">
        <v>2</v>
      </c>
      <c r="E2091">
        <v>4</v>
      </c>
      <c r="F2091" t="s">
        <v>7</v>
      </c>
      <c r="G2091" t="s">
        <v>11</v>
      </c>
      <c r="H2091" t="s">
        <v>11</v>
      </c>
    </row>
    <row r="2092" spans="1:8" x14ac:dyDescent="0.35">
      <c r="A2092" t="s">
        <v>47</v>
      </c>
      <c r="B2092" t="s">
        <v>100</v>
      </c>
      <c r="C2092" t="s">
        <v>1608</v>
      </c>
      <c r="D2092">
        <v>1</v>
      </c>
      <c r="E2092">
        <v>5</v>
      </c>
      <c r="F2092" t="s">
        <v>7</v>
      </c>
      <c r="G2092" t="s">
        <v>11</v>
      </c>
      <c r="H2092" t="s">
        <v>11</v>
      </c>
    </row>
    <row r="2093" spans="1:8" x14ac:dyDescent="0.35">
      <c r="A2093" t="s">
        <v>47</v>
      </c>
      <c r="B2093" t="s">
        <v>100</v>
      </c>
      <c r="C2093" t="s">
        <v>2405</v>
      </c>
      <c r="D2093">
        <v>1</v>
      </c>
      <c r="E2093">
        <v>5</v>
      </c>
      <c r="F2093" t="s">
        <v>7</v>
      </c>
      <c r="G2093" t="s">
        <v>11</v>
      </c>
      <c r="H2093" t="s">
        <v>11</v>
      </c>
    </row>
    <row r="2094" spans="1:8" x14ac:dyDescent="0.35">
      <c r="A2094" t="s">
        <v>47</v>
      </c>
      <c r="B2094" t="s">
        <v>100</v>
      </c>
      <c r="C2094" t="s">
        <v>2406</v>
      </c>
      <c r="D2094">
        <v>1</v>
      </c>
      <c r="E2094">
        <v>5</v>
      </c>
      <c r="F2094" t="s">
        <v>7</v>
      </c>
      <c r="G2094" t="s">
        <v>11</v>
      </c>
      <c r="H2094" t="s">
        <v>11</v>
      </c>
    </row>
    <row r="2095" spans="1:8" x14ac:dyDescent="0.35">
      <c r="A2095" t="s">
        <v>47</v>
      </c>
      <c r="B2095" t="s">
        <v>100</v>
      </c>
      <c r="C2095" t="s">
        <v>1238</v>
      </c>
      <c r="D2095">
        <v>1</v>
      </c>
      <c r="E2095">
        <v>5</v>
      </c>
      <c r="F2095" t="s">
        <v>7</v>
      </c>
      <c r="G2095" t="s">
        <v>11</v>
      </c>
      <c r="H2095" t="s">
        <v>11</v>
      </c>
    </row>
    <row r="2096" spans="1:8" x14ac:dyDescent="0.35">
      <c r="A2096" t="s">
        <v>47</v>
      </c>
      <c r="B2096" t="s">
        <v>100</v>
      </c>
      <c r="C2096" t="s">
        <v>2407</v>
      </c>
      <c r="D2096">
        <v>2</v>
      </c>
      <c r="E2096">
        <v>5</v>
      </c>
      <c r="F2096" t="s">
        <v>7</v>
      </c>
      <c r="G2096" t="s">
        <v>11</v>
      </c>
      <c r="H2096" t="s">
        <v>11</v>
      </c>
    </row>
    <row r="2097" spans="1:8" x14ac:dyDescent="0.35">
      <c r="A2097" t="s">
        <v>47</v>
      </c>
      <c r="B2097" t="s">
        <v>100</v>
      </c>
      <c r="C2097" t="s">
        <v>2408</v>
      </c>
      <c r="D2097">
        <v>1</v>
      </c>
      <c r="E2097">
        <v>5</v>
      </c>
      <c r="F2097" t="s">
        <v>7</v>
      </c>
      <c r="G2097" t="s">
        <v>11</v>
      </c>
      <c r="H2097" t="s">
        <v>11</v>
      </c>
    </row>
    <row r="2098" spans="1:8" x14ac:dyDescent="0.35">
      <c r="A2098" t="s">
        <v>47</v>
      </c>
      <c r="B2098" t="s">
        <v>100</v>
      </c>
      <c r="C2098" t="s">
        <v>2409</v>
      </c>
      <c r="D2098">
        <v>2</v>
      </c>
      <c r="E2098">
        <v>5</v>
      </c>
      <c r="F2098" t="s">
        <v>7</v>
      </c>
      <c r="G2098" t="s">
        <v>11</v>
      </c>
      <c r="H2098" t="s">
        <v>11</v>
      </c>
    </row>
    <row r="2099" spans="1:8" x14ac:dyDescent="0.35">
      <c r="A2099" t="s">
        <v>47</v>
      </c>
      <c r="B2099" t="s">
        <v>100</v>
      </c>
      <c r="C2099" t="s">
        <v>1660</v>
      </c>
      <c r="D2099">
        <v>1</v>
      </c>
      <c r="E2099">
        <v>5</v>
      </c>
      <c r="F2099" t="s">
        <v>7</v>
      </c>
      <c r="G2099" t="s">
        <v>11</v>
      </c>
      <c r="H2099" t="s">
        <v>11</v>
      </c>
    </row>
    <row r="2100" spans="1:8" x14ac:dyDescent="0.35">
      <c r="A2100" t="s">
        <v>47</v>
      </c>
      <c r="B2100" t="s">
        <v>100</v>
      </c>
      <c r="C2100" t="s">
        <v>2282</v>
      </c>
      <c r="D2100">
        <v>2</v>
      </c>
      <c r="E2100">
        <v>5</v>
      </c>
      <c r="F2100" t="s">
        <v>7</v>
      </c>
      <c r="G2100" t="s">
        <v>11</v>
      </c>
      <c r="H2100" t="s">
        <v>11</v>
      </c>
    </row>
    <row r="2101" spans="1:8" x14ac:dyDescent="0.35">
      <c r="A2101" t="s">
        <v>47</v>
      </c>
      <c r="B2101" t="s">
        <v>100</v>
      </c>
      <c r="C2101" t="s">
        <v>1393</v>
      </c>
      <c r="D2101">
        <v>1</v>
      </c>
      <c r="E2101">
        <v>5</v>
      </c>
      <c r="F2101" t="s">
        <v>7</v>
      </c>
      <c r="G2101" t="s">
        <v>11</v>
      </c>
      <c r="H2101" t="s">
        <v>11</v>
      </c>
    </row>
    <row r="2102" spans="1:8" x14ac:dyDescent="0.35">
      <c r="A2102" t="s">
        <v>47</v>
      </c>
      <c r="B2102" t="s">
        <v>100</v>
      </c>
      <c r="C2102" t="s">
        <v>1141</v>
      </c>
      <c r="D2102">
        <v>1</v>
      </c>
      <c r="E2102">
        <v>5</v>
      </c>
      <c r="F2102" t="s">
        <v>7</v>
      </c>
      <c r="G2102" t="s">
        <v>11</v>
      </c>
      <c r="H2102" t="s">
        <v>11</v>
      </c>
    </row>
    <row r="2103" spans="1:8" x14ac:dyDescent="0.35">
      <c r="A2103" t="s">
        <v>47</v>
      </c>
      <c r="B2103" t="s">
        <v>100</v>
      </c>
      <c r="C2103" t="s">
        <v>1142</v>
      </c>
      <c r="D2103">
        <v>1</v>
      </c>
      <c r="E2103">
        <v>5</v>
      </c>
      <c r="F2103" t="s">
        <v>7</v>
      </c>
      <c r="G2103" t="s">
        <v>11</v>
      </c>
      <c r="H2103" t="s">
        <v>11</v>
      </c>
    </row>
    <row r="2104" spans="1:8" x14ac:dyDescent="0.35">
      <c r="A2104" t="s">
        <v>47</v>
      </c>
      <c r="B2104" t="s">
        <v>100</v>
      </c>
      <c r="C2104" t="s">
        <v>1244</v>
      </c>
      <c r="D2104">
        <v>2</v>
      </c>
      <c r="E2104">
        <v>5</v>
      </c>
      <c r="F2104" t="s">
        <v>7</v>
      </c>
      <c r="G2104" t="s">
        <v>11</v>
      </c>
      <c r="H2104" t="s">
        <v>11</v>
      </c>
    </row>
    <row r="2105" spans="1:8" x14ac:dyDescent="0.35">
      <c r="A2105" t="s">
        <v>47</v>
      </c>
      <c r="B2105" t="s">
        <v>100</v>
      </c>
      <c r="C2105" t="s">
        <v>2410</v>
      </c>
      <c r="D2105">
        <v>2</v>
      </c>
      <c r="E2105">
        <v>4</v>
      </c>
      <c r="F2105" t="s">
        <v>7</v>
      </c>
      <c r="G2105" t="s">
        <v>11</v>
      </c>
      <c r="H2105" t="s">
        <v>11</v>
      </c>
    </row>
    <row r="2106" spans="1:8" x14ac:dyDescent="0.35">
      <c r="A2106" t="s">
        <v>47</v>
      </c>
      <c r="B2106" t="s">
        <v>100</v>
      </c>
      <c r="C2106" t="s">
        <v>2411</v>
      </c>
      <c r="D2106">
        <v>2</v>
      </c>
      <c r="E2106">
        <v>5</v>
      </c>
      <c r="F2106" t="s">
        <v>7</v>
      </c>
      <c r="G2106" t="s">
        <v>11</v>
      </c>
      <c r="H2106" t="s">
        <v>11</v>
      </c>
    </row>
    <row r="2107" spans="1:8" x14ac:dyDescent="0.35">
      <c r="A2107" t="s">
        <v>47</v>
      </c>
      <c r="B2107" t="s">
        <v>100</v>
      </c>
      <c r="C2107" t="s">
        <v>1144</v>
      </c>
      <c r="D2107">
        <v>1</v>
      </c>
      <c r="E2107">
        <v>5</v>
      </c>
      <c r="F2107" t="s">
        <v>7</v>
      </c>
      <c r="G2107" t="s">
        <v>11</v>
      </c>
      <c r="H2107" t="s">
        <v>11</v>
      </c>
    </row>
    <row r="2108" spans="1:8" x14ac:dyDescent="0.35">
      <c r="A2108" t="s">
        <v>47</v>
      </c>
      <c r="B2108" t="s">
        <v>100</v>
      </c>
      <c r="C2108" t="s">
        <v>2412</v>
      </c>
      <c r="D2108">
        <v>1</v>
      </c>
      <c r="E2108">
        <v>5</v>
      </c>
      <c r="F2108" t="s">
        <v>7</v>
      </c>
      <c r="G2108" t="s">
        <v>11</v>
      </c>
      <c r="H2108" t="s">
        <v>11</v>
      </c>
    </row>
    <row r="2109" spans="1:8" x14ac:dyDescent="0.35">
      <c r="A2109" t="s">
        <v>47</v>
      </c>
      <c r="B2109" t="s">
        <v>100</v>
      </c>
      <c r="C2109" t="s">
        <v>1422</v>
      </c>
      <c r="D2109">
        <v>1</v>
      </c>
      <c r="E2109">
        <v>4</v>
      </c>
      <c r="F2109" t="s">
        <v>7</v>
      </c>
      <c r="G2109" t="s">
        <v>11</v>
      </c>
      <c r="H2109" t="s">
        <v>11</v>
      </c>
    </row>
    <row r="2110" spans="1:8" x14ac:dyDescent="0.35">
      <c r="A2110" t="s">
        <v>47</v>
      </c>
      <c r="B2110" t="s">
        <v>100</v>
      </c>
      <c r="C2110" t="s">
        <v>1506</v>
      </c>
      <c r="D2110">
        <v>1</v>
      </c>
      <c r="E2110">
        <v>5</v>
      </c>
      <c r="F2110" t="s">
        <v>7</v>
      </c>
      <c r="G2110" t="s">
        <v>11</v>
      </c>
      <c r="H2110" t="s">
        <v>11</v>
      </c>
    </row>
    <row r="2111" spans="1:8" x14ac:dyDescent="0.35">
      <c r="A2111" t="s">
        <v>47</v>
      </c>
      <c r="B2111" t="s">
        <v>100</v>
      </c>
      <c r="C2111" t="s">
        <v>1618</v>
      </c>
      <c r="D2111">
        <v>1</v>
      </c>
      <c r="E2111">
        <v>5</v>
      </c>
      <c r="F2111" t="s">
        <v>7</v>
      </c>
      <c r="G2111" t="s">
        <v>11</v>
      </c>
      <c r="H2111" t="s">
        <v>11</v>
      </c>
    </row>
    <row r="2112" spans="1:8" x14ac:dyDescent="0.35">
      <c r="A2112" t="s">
        <v>47</v>
      </c>
      <c r="B2112" t="s">
        <v>100</v>
      </c>
      <c r="C2112" t="s">
        <v>1665</v>
      </c>
      <c r="D2112">
        <v>1</v>
      </c>
      <c r="E2112">
        <v>5</v>
      </c>
      <c r="F2112" t="s">
        <v>7</v>
      </c>
      <c r="G2112" t="s">
        <v>11</v>
      </c>
      <c r="H2112" t="s">
        <v>11</v>
      </c>
    </row>
    <row r="2113" spans="1:8" x14ac:dyDescent="0.35">
      <c r="A2113" t="s">
        <v>47</v>
      </c>
      <c r="B2113" t="s">
        <v>100</v>
      </c>
      <c r="C2113" t="s">
        <v>1146</v>
      </c>
      <c r="D2113">
        <v>2</v>
      </c>
      <c r="E2113">
        <v>5</v>
      </c>
      <c r="F2113" t="s">
        <v>7</v>
      </c>
      <c r="G2113" t="s">
        <v>11</v>
      </c>
      <c r="H2113" t="s">
        <v>11</v>
      </c>
    </row>
    <row r="2114" spans="1:8" x14ac:dyDescent="0.35">
      <c r="A2114" t="s">
        <v>47</v>
      </c>
      <c r="B2114" t="s">
        <v>100</v>
      </c>
      <c r="C2114" t="s">
        <v>2413</v>
      </c>
      <c r="D2114">
        <v>2</v>
      </c>
      <c r="E2114">
        <v>5</v>
      </c>
      <c r="F2114" t="s">
        <v>7</v>
      </c>
      <c r="G2114" t="s">
        <v>11</v>
      </c>
      <c r="H2114" t="s">
        <v>11</v>
      </c>
    </row>
    <row r="2115" spans="1:8" x14ac:dyDescent="0.35">
      <c r="A2115" t="s">
        <v>47</v>
      </c>
      <c r="B2115" t="s">
        <v>100</v>
      </c>
      <c r="C2115" t="s">
        <v>2414</v>
      </c>
      <c r="D2115">
        <v>2</v>
      </c>
      <c r="E2115">
        <v>5</v>
      </c>
      <c r="F2115" t="s">
        <v>7</v>
      </c>
      <c r="G2115" t="s">
        <v>11</v>
      </c>
      <c r="H2115" t="s">
        <v>11</v>
      </c>
    </row>
    <row r="2116" spans="1:8" x14ac:dyDescent="0.35">
      <c r="A2116" t="s">
        <v>47</v>
      </c>
      <c r="B2116" t="s">
        <v>100</v>
      </c>
      <c r="C2116" t="s">
        <v>1428</v>
      </c>
      <c r="D2116">
        <v>1</v>
      </c>
      <c r="E2116">
        <v>5</v>
      </c>
      <c r="F2116" t="s">
        <v>7</v>
      </c>
      <c r="G2116" t="s">
        <v>11</v>
      </c>
      <c r="H2116" t="s">
        <v>11</v>
      </c>
    </row>
    <row r="2117" spans="1:8" x14ac:dyDescent="0.35">
      <c r="A2117" t="s">
        <v>47</v>
      </c>
      <c r="B2117" t="s">
        <v>100</v>
      </c>
      <c r="C2117" t="s">
        <v>1968</v>
      </c>
      <c r="D2117">
        <v>1</v>
      </c>
      <c r="E2117">
        <v>5</v>
      </c>
      <c r="F2117" t="s">
        <v>7</v>
      </c>
      <c r="G2117" t="s">
        <v>11</v>
      </c>
      <c r="H2117" t="s">
        <v>11</v>
      </c>
    </row>
    <row r="2118" spans="1:8" x14ac:dyDescent="0.35">
      <c r="A2118" t="s">
        <v>47</v>
      </c>
      <c r="B2118" t="s">
        <v>100</v>
      </c>
      <c r="C2118" t="s">
        <v>1148</v>
      </c>
      <c r="D2118">
        <v>2</v>
      </c>
      <c r="E2118">
        <v>5</v>
      </c>
      <c r="F2118" t="s">
        <v>7</v>
      </c>
      <c r="G2118" t="s">
        <v>11</v>
      </c>
      <c r="H2118" t="s">
        <v>11</v>
      </c>
    </row>
    <row r="2119" spans="1:8" x14ac:dyDescent="0.35">
      <c r="A2119" t="s">
        <v>47</v>
      </c>
      <c r="B2119" t="s">
        <v>100</v>
      </c>
      <c r="C2119" t="s">
        <v>1149</v>
      </c>
      <c r="D2119">
        <v>1</v>
      </c>
      <c r="E2119">
        <v>5</v>
      </c>
      <c r="F2119" t="s">
        <v>7</v>
      </c>
      <c r="G2119" t="s">
        <v>11</v>
      </c>
      <c r="H2119" t="s">
        <v>11</v>
      </c>
    </row>
    <row r="2120" spans="1:8" x14ac:dyDescent="0.35">
      <c r="A2120" t="s">
        <v>47</v>
      </c>
      <c r="B2120" t="s">
        <v>100</v>
      </c>
      <c r="C2120" t="s">
        <v>1626</v>
      </c>
      <c r="D2120">
        <v>1</v>
      </c>
      <c r="E2120">
        <v>5</v>
      </c>
      <c r="F2120" t="s">
        <v>7</v>
      </c>
      <c r="G2120" t="s">
        <v>11</v>
      </c>
      <c r="H2120" t="s">
        <v>11</v>
      </c>
    </row>
    <row r="2121" spans="1:8" x14ac:dyDescent="0.35">
      <c r="A2121" t="s">
        <v>47</v>
      </c>
      <c r="B2121" t="s">
        <v>100</v>
      </c>
      <c r="C2121" t="s">
        <v>1298</v>
      </c>
      <c r="D2121">
        <v>2</v>
      </c>
      <c r="E2121">
        <v>5</v>
      </c>
      <c r="F2121" t="s">
        <v>7</v>
      </c>
      <c r="G2121" t="s">
        <v>11</v>
      </c>
      <c r="H2121" t="s">
        <v>11</v>
      </c>
    </row>
    <row r="2122" spans="1:8" x14ac:dyDescent="0.35">
      <c r="A2122" t="s">
        <v>47</v>
      </c>
      <c r="B2122" t="s">
        <v>100</v>
      </c>
      <c r="C2122" t="s">
        <v>1152</v>
      </c>
      <c r="D2122">
        <v>2</v>
      </c>
      <c r="E2122">
        <v>4</v>
      </c>
      <c r="F2122" t="s">
        <v>7</v>
      </c>
      <c r="G2122" t="s">
        <v>11</v>
      </c>
      <c r="H2122" t="s">
        <v>11</v>
      </c>
    </row>
    <row r="2123" spans="1:8" x14ac:dyDescent="0.35">
      <c r="A2123" t="s">
        <v>47</v>
      </c>
      <c r="B2123" t="s">
        <v>100</v>
      </c>
      <c r="C2123" t="s">
        <v>2415</v>
      </c>
      <c r="D2123">
        <v>1</v>
      </c>
      <c r="E2123">
        <v>5</v>
      </c>
      <c r="F2123" t="s">
        <v>7</v>
      </c>
      <c r="G2123" t="s">
        <v>11</v>
      </c>
      <c r="H2123" t="s">
        <v>11</v>
      </c>
    </row>
    <row r="2124" spans="1:8" x14ac:dyDescent="0.35">
      <c r="A2124" t="s">
        <v>47</v>
      </c>
      <c r="B2124" t="s">
        <v>100</v>
      </c>
      <c r="C2124" t="s">
        <v>1256</v>
      </c>
      <c r="D2124">
        <v>1</v>
      </c>
      <c r="E2124">
        <v>5</v>
      </c>
      <c r="F2124" t="s">
        <v>7</v>
      </c>
      <c r="G2124" t="s">
        <v>11</v>
      </c>
      <c r="H2124" t="s">
        <v>11</v>
      </c>
    </row>
    <row r="2125" spans="1:8" x14ac:dyDescent="0.35">
      <c r="A2125" t="s">
        <v>47</v>
      </c>
      <c r="B2125" t="s">
        <v>100</v>
      </c>
      <c r="C2125" t="s">
        <v>2416</v>
      </c>
      <c r="D2125">
        <v>2</v>
      </c>
      <c r="E2125">
        <v>5</v>
      </c>
      <c r="F2125" t="s">
        <v>7</v>
      </c>
      <c r="G2125" t="s">
        <v>11</v>
      </c>
      <c r="H2125" t="s">
        <v>11</v>
      </c>
    </row>
    <row r="2126" spans="1:8" x14ac:dyDescent="0.35">
      <c r="A2126" t="s">
        <v>47</v>
      </c>
      <c r="B2126" t="s">
        <v>100</v>
      </c>
      <c r="C2126" t="s">
        <v>1719</v>
      </c>
      <c r="D2126">
        <v>2</v>
      </c>
      <c r="E2126">
        <v>5</v>
      </c>
      <c r="F2126" t="s">
        <v>7</v>
      </c>
      <c r="G2126" t="s">
        <v>11</v>
      </c>
      <c r="H2126" t="s">
        <v>11</v>
      </c>
    </row>
    <row r="2127" spans="1:8" x14ac:dyDescent="0.35">
      <c r="A2127" t="s">
        <v>47</v>
      </c>
      <c r="B2127" t="s">
        <v>100</v>
      </c>
      <c r="C2127" t="s">
        <v>1157</v>
      </c>
      <c r="D2127">
        <v>1</v>
      </c>
      <c r="E2127">
        <v>5</v>
      </c>
      <c r="F2127" t="s">
        <v>7</v>
      </c>
      <c r="G2127" t="s">
        <v>11</v>
      </c>
      <c r="H2127" t="s">
        <v>11</v>
      </c>
    </row>
    <row r="2128" spans="1:8" x14ac:dyDescent="0.35">
      <c r="A2128" t="s">
        <v>47</v>
      </c>
      <c r="B2128" t="s">
        <v>100</v>
      </c>
      <c r="C2128" t="s">
        <v>2417</v>
      </c>
      <c r="D2128">
        <v>2</v>
      </c>
      <c r="E2128">
        <v>5</v>
      </c>
      <c r="F2128" t="s">
        <v>7</v>
      </c>
      <c r="G2128" t="s">
        <v>11</v>
      </c>
      <c r="H2128" t="s">
        <v>11</v>
      </c>
    </row>
    <row r="2129" spans="1:8" x14ac:dyDescent="0.35">
      <c r="A2129" t="s">
        <v>47</v>
      </c>
      <c r="B2129" t="s">
        <v>100</v>
      </c>
      <c r="C2129" t="s">
        <v>1159</v>
      </c>
      <c r="D2129">
        <v>1</v>
      </c>
      <c r="E2129">
        <v>5</v>
      </c>
      <c r="F2129" t="s">
        <v>7</v>
      </c>
      <c r="G2129" t="s">
        <v>11</v>
      </c>
      <c r="H2129" t="s">
        <v>11</v>
      </c>
    </row>
    <row r="2130" spans="1:8" x14ac:dyDescent="0.35">
      <c r="A2130" t="s">
        <v>47</v>
      </c>
      <c r="B2130" t="s">
        <v>100</v>
      </c>
      <c r="C2130" t="s">
        <v>2418</v>
      </c>
      <c r="D2130">
        <v>2</v>
      </c>
      <c r="E2130">
        <v>5</v>
      </c>
      <c r="F2130" t="s">
        <v>7</v>
      </c>
      <c r="G2130" t="s">
        <v>11</v>
      </c>
      <c r="H2130" t="s">
        <v>11</v>
      </c>
    </row>
    <row r="2131" spans="1:8" x14ac:dyDescent="0.35">
      <c r="A2131" t="s">
        <v>47</v>
      </c>
      <c r="B2131" t="s">
        <v>100</v>
      </c>
      <c r="C2131" t="s">
        <v>2419</v>
      </c>
      <c r="D2131">
        <v>2</v>
      </c>
      <c r="E2131">
        <v>5</v>
      </c>
      <c r="F2131" t="s">
        <v>7</v>
      </c>
      <c r="G2131" t="s">
        <v>11</v>
      </c>
      <c r="H2131" t="s">
        <v>11</v>
      </c>
    </row>
    <row r="2132" spans="1:8" x14ac:dyDescent="0.35">
      <c r="A2132" t="s">
        <v>47</v>
      </c>
      <c r="B2132" t="s">
        <v>100</v>
      </c>
      <c r="C2132" t="s">
        <v>1636</v>
      </c>
      <c r="D2132">
        <v>1</v>
      </c>
      <c r="E2132">
        <v>5</v>
      </c>
      <c r="F2132" t="s">
        <v>7</v>
      </c>
      <c r="G2132" t="s">
        <v>11</v>
      </c>
      <c r="H2132" t="s">
        <v>11</v>
      </c>
    </row>
    <row r="2133" spans="1:8" x14ac:dyDescent="0.35">
      <c r="A2133" t="s">
        <v>47</v>
      </c>
      <c r="B2133" t="s">
        <v>100</v>
      </c>
      <c r="C2133" t="s">
        <v>1673</v>
      </c>
      <c r="D2133">
        <v>1</v>
      </c>
      <c r="E2133">
        <v>5</v>
      </c>
      <c r="F2133" t="s">
        <v>7</v>
      </c>
      <c r="G2133" t="s">
        <v>11</v>
      </c>
      <c r="H2133" t="s">
        <v>11</v>
      </c>
    </row>
    <row r="2134" spans="1:8" x14ac:dyDescent="0.35">
      <c r="A2134" t="s">
        <v>47</v>
      </c>
      <c r="B2134" t="s">
        <v>100</v>
      </c>
      <c r="C2134" t="s">
        <v>1162</v>
      </c>
      <c r="D2134">
        <v>2</v>
      </c>
      <c r="E2134">
        <v>5</v>
      </c>
      <c r="F2134" t="s">
        <v>7</v>
      </c>
      <c r="G2134" t="s">
        <v>11</v>
      </c>
      <c r="H2134" t="s">
        <v>11</v>
      </c>
    </row>
    <row r="2135" spans="1:8" x14ac:dyDescent="0.35">
      <c r="A2135" t="s">
        <v>47</v>
      </c>
      <c r="B2135" t="s">
        <v>100</v>
      </c>
      <c r="C2135" t="s">
        <v>1163</v>
      </c>
      <c r="D2135">
        <v>1</v>
      </c>
      <c r="E2135">
        <v>5</v>
      </c>
      <c r="F2135" t="s">
        <v>7</v>
      </c>
      <c r="G2135" t="s">
        <v>11</v>
      </c>
      <c r="H2135" t="s">
        <v>11</v>
      </c>
    </row>
    <row r="2136" spans="1:8" x14ac:dyDescent="0.35">
      <c r="A2136" t="s">
        <v>47</v>
      </c>
      <c r="B2136" t="s">
        <v>100</v>
      </c>
      <c r="C2136" t="s">
        <v>1164</v>
      </c>
      <c r="D2136">
        <v>2</v>
      </c>
      <c r="E2136">
        <v>5</v>
      </c>
      <c r="F2136" t="s">
        <v>7</v>
      </c>
      <c r="G2136" t="s">
        <v>11</v>
      </c>
      <c r="H2136" t="s">
        <v>11</v>
      </c>
    </row>
    <row r="2137" spans="1:8" x14ac:dyDescent="0.35">
      <c r="A2137" t="s">
        <v>47</v>
      </c>
      <c r="B2137" t="s">
        <v>100</v>
      </c>
      <c r="C2137" t="s">
        <v>2420</v>
      </c>
      <c r="D2137">
        <v>1</v>
      </c>
      <c r="E2137">
        <v>5</v>
      </c>
      <c r="F2137" t="s">
        <v>7</v>
      </c>
      <c r="G2137" t="s">
        <v>11</v>
      </c>
      <c r="H2137" t="s">
        <v>11</v>
      </c>
    </row>
    <row r="2138" spans="1:8" x14ac:dyDescent="0.35">
      <c r="A2138" t="s">
        <v>47</v>
      </c>
      <c r="B2138" t="s">
        <v>100</v>
      </c>
      <c r="C2138" t="s">
        <v>2421</v>
      </c>
      <c r="D2138">
        <v>1</v>
      </c>
      <c r="E2138">
        <v>5</v>
      </c>
      <c r="F2138" t="s">
        <v>7</v>
      </c>
      <c r="G2138" t="s">
        <v>11</v>
      </c>
      <c r="H2138" t="s">
        <v>11</v>
      </c>
    </row>
    <row r="2139" spans="1:8" x14ac:dyDescent="0.35">
      <c r="A2139" t="s">
        <v>47</v>
      </c>
      <c r="B2139" t="s">
        <v>100</v>
      </c>
      <c r="C2139" t="s">
        <v>1674</v>
      </c>
      <c r="D2139">
        <v>2</v>
      </c>
      <c r="E2139">
        <v>5</v>
      </c>
      <c r="F2139" t="s">
        <v>7</v>
      </c>
      <c r="G2139" t="s">
        <v>11</v>
      </c>
      <c r="H2139" t="s">
        <v>11</v>
      </c>
    </row>
    <row r="2140" spans="1:8" x14ac:dyDescent="0.35">
      <c r="A2140" t="s">
        <v>47</v>
      </c>
      <c r="B2140" t="s">
        <v>100</v>
      </c>
      <c r="C2140" t="s">
        <v>1782</v>
      </c>
      <c r="D2140">
        <v>2</v>
      </c>
      <c r="E2140">
        <v>5</v>
      </c>
      <c r="F2140" t="s">
        <v>7</v>
      </c>
      <c r="G2140" t="s">
        <v>11</v>
      </c>
      <c r="H2140" t="s">
        <v>11</v>
      </c>
    </row>
    <row r="2141" spans="1:8" x14ac:dyDescent="0.35">
      <c r="A2141" t="s">
        <v>47</v>
      </c>
      <c r="B2141" t="s">
        <v>100</v>
      </c>
      <c r="C2141" t="s">
        <v>1528</v>
      </c>
      <c r="D2141">
        <v>2</v>
      </c>
      <c r="E2141">
        <v>5</v>
      </c>
      <c r="F2141" t="s">
        <v>7</v>
      </c>
      <c r="G2141" t="s">
        <v>11</v>
      </c>
      <c r="H2141" t="s">
        <v>11</v>
      </c>
    </row>
    <row r="2142" spans="1:8" x14ac:dyDescent="0.35">
      <c r="A2142" t="s">
        <v>47</v>
      </c>
      <c r="B2142" t="s">
        <v>100</v>
      </c>
      <c r="C2142" t="s">
        <v>1165</v>
      </c>
      <c r="D2142">
        <v>1</v>
      </c>
      <c r="E2142">
        <v>5</v>
      </c>
      <c r="F2142" t="s">
        <v>7</v>
      </c>
      <c r="G2142" t="s">
        <v>11</v>
      </c>
      <c r="H2142" t="s">
        <v>11</v>
      </c>
    </row>
    <row r="2143" spans="1:8" x14ac:dyDescent="0.35">
      <c r="A2143" t="s">
        <v>47</v>
      </c>
      <c r="B2143" t="s">
        <v>100</v>
      </c>
      <c r="C2143" t="s">
        <v>2422</v>
      </c>
      <c r="D2143">
        <v>1</v>
      </c>
      <c r="E2143">
        <v>5</v>
      </c>
      <c r="F2143" t="s">
        <v>7</v>
      </c>
      <c r="G2143" t="s">
        <v>11</v>
      </c>
      <c r="H2143" t="s">
        <v>11</v>
      </c>
    </row>
    <row r="2144" spans="1:8" x14ac:dyDescent="0.35">
      <c r="A2144" t="s">
        <v>47</v>
      </c>
      <c r="B2144" t="s">
        <v>100</v>
      </c>
      <c r="C2144" t="s">
        <v>1167</v>
      </c>
      <c r="D2144">
        <v>1</v>
      </c>
      <c r="E2144">
        <v>4</v>
      </c>
      <c r="F2144" t="s">
        <v>7</v>
      </c>
      <c r="G2144" t="s">
        <v>11</v>
      </c>
      <c r="H2144" t="s">
        <v>11</v>
      </c>
    </row>
    <row r="2145" spans="1:8" x14ac:dyDescent="0.35">
      <c r="A2145" t="s">
        <v>47</v>
      </c>
      <c r="B2145" t="s">
        <v>100</v>
      </c>
      <c r="C2145" t="s">
        <v>2423</v>
      </c>
      <c r="D2145">
        <v>2</v>
      </c>
      <c r="E2145">
        <v>5</v>
      </c>
      <c r="F2145" t="s">
        <v>7</v>
      </c>
      <c r="G2145" t="s">
        <v>11</v>
      </c>
      <c r="H2145" t="s">
        <v>11</v>
      </c>
    </row>
    <row r="2146" spans="1:8" x14ac:dyDescent="0.35">
      <c r="A2146" t="s">
        <v>47</v>
      </c>
      <c r="B2146" t="s">
        <v>100</v>
      </c>
      <c r="C2146" t="s">
        <v>2424</v>
      </c>
      <c r="D2146">
        <v>1</v>
      </c>
      <c r="E2146">
        <v>5</v>
      </c>
      <c r="F2146" t="s">
        <v>7</v>
      </c>
      <c r="G2146" t="s">
        <v>11</v>
      </c>
      <c r="H2146" t="s">
        <v>11</v>
      </c>
    </row>
    <row r="2147" spans="1:8" x14ac:dyDescent="0.35">
      <c r="A2147" t="s">
        <v>47</v>
      </c>
      <c r="B2147" t="s">
        <v>100</v>
      </c>
      <c r="C2147" t="s">
        <v>1443</v>
      </c>
      <c r="D2147">
        <v>2</v>
      </c>
      <c r="E2147">
        <v>5</v>
      </c>
      <c r="F2147" t="s">
        <v>7</v>
      </c>
      <c r="G2147" t="s">
        <v>11</v>
      </c>
      <c r="H2147" t="s">
        <v>11</v>
      </c>
    </row>
    <row r="2148" spans="1:8" x14ac:dyDescent="0.35">
      <c r="A2148" t="s">
        <v>47</v>
      </c>
      <c r="B2148" t="s">
        <v>100</v>
      </c>
      <c r="C2148" t="s">
        <v>1641</v>
      </c>
      <c r="D2148">
        <v>1</v>
      </c>
      <c r="E2148">
        <v>5</v>
      </c>
      <c r="F2148" t="s">
        <v>7</v>
      </c>
      <c r="G2148" t="s">
        <v>11</v>
      </c>
      <c r="H2148" t="s">
        <v>11</v>
      </c>
    </row>
    <row r="2149" spans="1:8" x14ac:dyDescent="0.35">
      <c r="A2149" t="s">
        <v>47</v>
      </c>
      <c r="B2149" t="s">
        <v>100</v>
      </c>
      <c r="C2149" t="s">
        <v>2425</v>
      </c>
      <c r="D2149">
        <v>1</v>
      </c>
      <c r="E2149">
        <v>5</v>
      </c>
      <c r="F2149" t="s">
        <v>7</v>
      </c>
      <c r="G2149" t="s">
        <v>11</v>
      </c>
      <c r="H2149" t="s">
        <v>11</v>
      </c>
    </row>
    <row r="2150" spans="1:8" x14ac:dyDescent="0.35">
      <c r="A2150" t="s">
        <v>47</v>
      </c>
      <c r="B2150" t="s">
        <v>100</v>
      </c>
      <c r="C2150" t="s">
        <v>2426</v>
      </c>
      <c r="D2150">
        <v>2</v>
      </c>
      <c r="E2150">
        <v>5</v>
      </c>
      <c r="F2150" t="s">
        <v>7</v>
      </c>
      <c r="G2150" t="s">
        <v>11</v>
      </c>
      <c r="H2150" t="s">
        <v>11</v>
      </c>
    </row>
    <row r="2151" spans="1:8" x14ac:dyDescent="0.35">
      <c r="A2151" t="s">
        <v>47</v>
      </c>
      <c r="B2151" t="s">
        <v>100</v>
      </c>
      <c r="C2151" t="s">
        <v>2427</v>
      </c>
      <c r="D2151">
        <v>2</v>
      </c>
      <c r="E2151">
        <v>4</v>
      </c>
      <c r="F2151" t="s">
        <v>7</v>
      </c>
      <c r="G2151" t="s">
        <v>11</v>
      </c>
      <c r="H2151" t="s">
        <v>11</v>
      </c>
    </row>
    <row r="2152" spans="1:8" x14ac:dyDescent="0.35">
      <c r="A2152" t="s">
        <v>47</v>
      </c>
      <c r="B2152" t="s">
        <v>100</v>
      </c>
      <c r="C2152" t="s">
        <v>2296</v>
      </c>
      <c r="D2152">
        <v>1</v>
      </c>
      <c r="E2152">
        <v>5</v>
      </c>
      <c r="F2152" t="s">
        <v>7</v>
      </c>
      <c r="G2152" t="s">
        <v>11</v>
      </c>
      <c r="H2152" t="s">
        <v>11</v>
      </c>
    </row>
    <row r="2153" spans="1:8" x14ac:dyDescent="0.35">
      <c r="A2153" t="s">
        <v>47</v>
      </c>
      <c r="B2153" t="s">
        <v>100</v>
      </c>
      <c r="C2153" t="s">
        <v>1171</v>
      </c>
      <c r="D2153">
        <v>1</v>
      </c>
      <c r="E2153">
        <v>5</v>
      </c>
      <c r="F2153" t="s">
        <v>7</v>
      </c>
      <c r="G2153" t="s">
        <v>11</v>
      </c>
      <c r="H2153" t="s">
        <v>11</v>
      </c>
    </row>
    <row r="2154" spans="1:8" x14ac:dyDescent="0.35">
      <c r="A2154" t="s">
        <v>47</v>
      </c>
      <c r="B2154" t="s">
        <v>100</v>
      </c>
      <c r="C2154" t="s">
        <v>1645</v>
      </c>
      <c r="D2154">
        <v>1</v>
      </c>
      <c r="E2154">
        <v>5</v>
      </c>
      <c r="F2154" t="s">
        <v>7</v>
      </c>
      <c r="G2154" t="s">
        <v>11</v>
      </c>
      <c r="H2154" t="s">
        <v>11</v>
      </c>
    </row>
    <row r="2155" spans="1:8" x14ac:dyDescent="0.35">
      <c r="A2155" t="s">
        <v>47</v>
      </c>
      <c r="B2155" t="s">
        <v>100</v>
      </c>
      <c r="C2155" t="s">
        <v>1390</v>
      </c>
      <c r="D2155">
        <v>1</v>
      </c>
      <c r="E2155">
        <v>5</v>
      </c>
      <c r="F2155" t="s">
        <v>7</v>
      </c>
      <c r="G2155" t="s">
        <v>11</v>
      </c>
      <c r="H2155" t="s">
        <v>11</v>
      </c>
    </row>
    <row r="2156" spans="1:8" x14ac:dyDescent="0.35">
      <c r="A2156" t="s">
        <v>47</v>
      </c>
      <c r="B2156" t="s">
        <v>100</v>
      </c>
      <c r="C2156" t="s">
        <v>2428</v>
      </c>
      <c r="D2156">
        <v>2</v>
      </c>
      <c r="E2156">
        <v>5</v>
      </c>
      <c r="F2156" t="s">
        <v>7</v>
      </c>
      <c r="G2156" t="s">
        <v>11</v>
      </c>
      <c r="H2156" t="s">
        <v>11</v>
      </c>
    </row>
    <row r="2157" spans="1:8" x14ac:dyDescent="0.35">
      <c r="A2157" t="s">
        <v>47</v>
      </c>
      <c r="B2157" t="s">
        <v>100</v>
      </c>
      <c r="C2157" t="s">
        <v>2429</v>
      </c>
      <c r="D2157">
        <v>1</v>
      </c>
      <c r="E2157">
        <v>5</v>
      </c>
      <c r="F2157" t="s">
        <v>7</v>
      </c>
      <c r="G2157" t="s">
        <v>11</v>
      </c>
      <c r="H2157" t="s">
        <v>11</v>
      </c>
    </row>
    <row r="2158" spans="1:8" x14ac:dyDescent="0.35">
      <c r="A2158" t="s">
        <v>47</v>
      </c>
      <c r="B2158" t="s">
        <v>100</v>
      </c>
      <c r="C2158" t="s">
        <v>1277</v>
      </c>
      <c r="D2158">
        <v>1</v>
      </c>
      <c r="E2158">
        <v>5</v>
      </c>
      <c r="F2158" t="s">
        <v>7</v>
      </c>
      <c r="G2158" t="s">
        <v>11</v>
      </c>
      <c r="H2158" t="s">
        <v>11</v>
      </c>
    </row>
    <row r="2159" spans="1:8" x14ac:dyDescent="0.35">
      <c r="A2159" t="s">
        <v>47</v>
      </c>
      <c r="B2159" t="s">
        <v>100</v>
      </c>
      <c r="C2159" t="s">
        <v>2430</v>
      </c>
      <c r="D2159">
        <v>1</v>
      </c>
      <c r="E2159">
        <v>5</v>
      </c>
      <c r="F2159" t="s">
        <v>7</v>
      </c>
      <c r="G2159" t="s">
        <v>11</v>
      </c>
      <c r="H2159" t="s">
        <v>11</v>
      </c>
    </row>
    <row r="2160" spans="1:8" x14ac:dyDescent="0.35">
      <c r="A2160" t="s">
        <v>47</v>
      </c>
      <c r="B2160" t="s">
        <v>100</v>
      </c>
      <c r="C2160" t="s">
        <v>2431</v>
      </c>
      <c r="D2160">
        <v>2</v>
      </c>
      <c r="E2160">
        <v>5</v>
      </c>
      <c r="F2160" t="s">
        <v>7</v>
      </c>
      <c r="G2160" t="s">
        <v>11</v>
      </c>
      <c r="H2160" t="s">
        <v>11</v>
      </c>
    </row>
    <row r="2161" spans="1:8" x14ac:dyDescent="0.35">
      <c r="A2161" t="s">
        <v>47</v>
      </c>
      <c r="B2161" t="s">
        <v>100</v>
      </c>
      <c r="C2161" t="s">
        <v>1555</v>
      </c>
      <c r="D2161">
        <v>1</v>
      </c>
      <c r="E2161">
        <v>5</v>
      </c>
      <c r="F2161" t="s">
        <v>7</v>
      </c>
      <c r="G2161" t="s">
        <v>11</v>
      </c>
      <c r="H2161" t="s">
        <v>11</v>
      </c>
    </row>
    <row r="2162" spans="1:8" x14ac:dyDescent="0.35">
      <c r="A2162" t="s">
        <v>47</v>
      </c>
      <c r="B2162" t="s">
        <v>100</v>
      </c>
      <c r="C2162" t="s">
        <v>1177</v>
      </c>
      <c r="D2162">
        <v>2</v>
      </c>
      <c r="E2162">
        <v>4</v>
      </c>
      <c r="F2162" t="s">
        <v>7</v>
      </c>
      <c r="G2162" t="s">
        <v>11</v>
      </c>
      <c r="H2162" t="s">
        <v>11</v>
      </c>
    </row>
    <row r="2163" spans="1:8" x14ac:dyDescent="0.35">
      <c r="A2163" t="s">
        <v>47</v>
      </c>
      <c r="B2163" t="s">
        <v>100</v>
      </c>
      <c r="C2163" t="s">
        <v>1556</v>
      </c>
      <c r="D2163">
        <v>1</v>
      </c>
      <c r="E2163">
        <v>5</v>
      </c>
      <c r="F2163" t="s">
        <v>7</v>
      </c>
      <c r="G2163" t="s">
        <v>11</v>
      </c>
      <c r="H2163" t="s">
        <v>11</v>
      </c>
    </row>
    <row r="2164" spans="1:8" x14ac:dyDescent="0.35">
      <c r="A2164" t="s">
        <v>47</v>
      </c>
      <c r="B2164" t="s">
        <v>100</v>
      </c>
      <c r="C2164" t="s">
        <v>2397</v>
      </c>
      <c r="D2164">
        <v>2</v>
      </c>
      <c r="E2164">
        <v>5</v>
      </c>
      <c r="F2164" t="s">
        <v>7</v>
      </c>
      <c r="G2164" t="s">
        <v>11</v>
      </c>
      <c r="H2164" t="s">
        <v>11</v>
      </c>
    </row>
    <row r="2165" spans="1:8" x14ac:dyDescent="0.35">
      <c r="A2165" t="s">
        <v>47</v>
      </c>
      <c r="B2165" t="s">
        <v>100</v>
      </c>
      <c r="C2165" t="s">
        <v>2432</v>
      </c>
      <c r="D2165">
        <v>2</v>
      </c>
      <c r="E2165">
        <v>5</v>
      </c>
      <c r="F2165" t="s">
        <v>7</v>
      </c>
      <c r="G2165" t="s">
        <v>11</v>
      </c>
      <c r="H2165" t="s">
        <v>11</v>
      </c>
    </row>
    <row r="2166" spans="1:8" x14ac:dyDescent="0.35">
      <c r="A2166" t="s">
        <v>47</v>
      </c>
      <c r="B2166" t="s">
        <v>100</v>
      </c>
      <c r="C2166" t="s">
        <v>2433</v>
      </c>
      <c r="D2166">
        <v>1</v>
      </c>
      <c r="E2166">
        <v>5</v>
      </c>
      <c r="F2166" t="s">
        <v>7</v>
      </c>
      <c r="G2166" t="s">
        <v>11</v>
      </c>
      <c r="H2166" t="s">
        <v>11</v>
      </c>
    </row>
    <row r="2167" spans="1:8" x14ac:dyDescent="0.35">
      <c r="A2167" t="s">
        <v>48</v>
      </c>
      <c r="B2167" t="s">
        <v>110</v>
      </c>
      <c r="C2167" t="s">
        <v>1696</v>
      </c>
      <c r="D2167">
        <v>2</v>
      </c>
      <c r="E2167">
        <v>3</v>
      </c>
      <c r="F2167" t="s">
        <v>7</v>
      </c>
      <c r="G2167" t="s">
        <v>11</v>
      </c>
      <c r="H2167" t="s">
        <v>11</v>
      </c>
    </row>
    <row r="2168" spans="1:8" x14ac:dyDescent="0.35">
      <c r="A2168" t="s">
        <v>48</v>
      </c>
      <c r="B2168" t="s">
        <v>110</v>
      </c>
      <c r="C2168" t="s">
        <v>2434</v>
      </c>
      <c r="D2168">
        <v>3</v>
      </c>
      <c r="E2168">
        <v>3</v>
      </c>
      <c r="F2168" t="s">
        <v>7</v>
      </c>
      <c r="G2168" t="s">
        <v>11</v>
      </c>
      <c r="H2168" t="s">
        <v>11</v>
      </c>
    </row>
    <row r="2169" spans="1:8" x14ac:dyDescent="0.35">
      <c r="A2169" t="s">
        <v>48</v>
      </c>
      <c r="B2169" t="s">
        <v>110</v>
      </c>
      <c r="C2169" t="s">
        <v>2435</v>
      </c>
      <c r="D2169">
        <v>3</v>
      </c>
      <c r="E2169">
        <v>3</v>
      </c>
      <c r="F2169" t="s">
        <v>7</v>
      </c>
      <c r="G2169" t="s">
        <v>11</v>
      </c>
      <c r="H2169" t="s">
        <v>11</v>
      </c>
    </row>
    <row r="2170" spans="1:8" x14ac:dyDescent="0.35">
      <c r="A2170" t="s">
        <v>48</v>
      </c>
      <c r="B2170" t="s">
        <v>110</v>
      </c>
      <c r="C2170" t="s">
        <v>2436</v>
      </c>
      <c r="D2170">
        <v>2</v>
      </c>
      <c r="E2170">
        <v>4</v>
      </c>
      <c r="F2170" t="s">
        <v>75</v>
      </c>
      <c r="G2170" t="s">
        <v>11</v>
      </c>
      <c r="H2170" t="s">
        <v>11</v>
      </c>
    </row>
    <row r="2171" spans="1:8" x14ac:dyDescent="0.35">
      <c r="A2171" t="s">
        <v>48</v>
      </c>
      <c r="B2171" t="s">
        <v>110</v>
      </c>
      <c r="C2171" t="s">
        <v>2437</v>
      </c>
      <c r="D2171">
        <v>3</v>
      </c>
      <c r="E2171">
        <v>3</v>
      </c>
      <c r="F2171" t="s">
        <v>7</v>
      </c>
      <c r="G2171" t="s">
        <v>11</v>
      </c>
      <c r="H2171" t="s">
        <v>11</v>
      </c>
    </row>
    <row r="2172" spans="1:8" x14ac:dyDescent="0.35">
      <c r="A2172" t="s">
        <v>48</v>
      </c>
      <c r="B2172" t="s">
        <v>110</v>
      </c>
      <c r="C2172" t="s">
        <v>1573</v>
      </c>
      <c r="D2172">
        <v>3</v>
      </c>
      <c r="E2172">
        <v>3</v>
      </c>
      <c r="F2172" t="s">
        <v>7</v>
      </c>
      <c r="G2172" t="s">
        <v>11</v>
      </c>
      <c r="H2172" t="s">
        <v>11</v>
      </c>
    </row>
    <row r="2173" spans="1:8" x14ac:dyDescent="0.35">
      <c r="A2173" t="s">
        <v>48</v>
      </c>
      <c r="B2173" t="s">
        <v>110</v>
      </c>
      <c r="C2173" t="s">
        <v>1465</v>
      </c>
      <c r="D2173">
        <v>3</v>
      </c>
      <c r="E2173">
        <v>3</v>
      </c>
      <c r="F2173" t="s">
        <v>7</v>
      </c>
      <c r="G2173" t="s">
        <v>11</v>
      </c>
      <c r="H2173" t="s">
        <v>11</v>
      </c>
    </row>
    <row r="2174" spans="1:8" x14ac:dyDescent="0.35">
      <c r="A2174" t="s">
        <v>48</v>
      </c>
      <c r="B2174" t="s">
        <v>110</v>
      </c>
      <c r="C2174" t="s">
        <v>1870</v>
      </c>
      <c r="D2174">
        <v>3</v>
      </c>
      <c r="E2174">
        <v>3</v>
      </c>
      <c r="F2174" t="s">
        <v>7</v>
      </c>
      <c r="G2174" t="s">
        <v>11</v>
      </c>
      <c r="H2174" t="s">
        <v>11</v>
      </c>
    </row>
    <row r="2175" spans="1:8" x14ac:dyDescent="0.35">
      <c r="A2175" t="s">
        <v>48</v>
      </c>
      <c r="B2175" t="s">
        <v>110</v>
      </c>
      <c r="C2175" t="s">
        <v>2438</v>
      </c>
      <c r="D2175">
        <v>3</v>
      </c>
      <c r="E2175">
        <v>3</v>
      </c>
      <c r="F2175" t="s">
        <v>7</v>
      </c>
      <c r="G2175" t="s">
        <v>11</v>
      </c>
      <c r="H2175" t="s">
        <v>11</v>
      </c>
    </row>
    <row r="2176" spans="1:8" x14ac:dyDescent="0.35">
      <c r="A2176" t="s">
        <v>48</v>
      </c>
      <c r="B2176" t="s">
        <v>110</v>
      </c>
      <c r="C2176" t="s">
        <v>1822</v>
      </c>
      <c r="D2176">
        <v>3</v>
      </c>
      <c r="E2176">
        <v>3</v>
      </c>
      <c r="F2176" t="s">
        <v>7</v>
      </c>
      <c r="G2176" t="s">
        <v>11</v>
      </c>
      <c r="H2176" t="s">
        <v>11</v>
      </c>
    </row>
    <row r="2177" spans="1:8" x14ac:dyDescent="0.35">
      <c r="A2177" t="s">
        <v>48</v>
      </c>
      <c r="B2177" t="s">
        <v>110</v>
      </c>
      <c r="C2177" t="s">
        <v>1122</v>
      </c>
      <c r="D2177">
        <v>2</v>
      </c>
      <c r="E2177">
        <v>3</v>
      </c>
      <c r="F2177" t="s">
        <v>7</v>
      </c>
      <c r="G2177" t="s">
        <v>11</v>
      </c>
      <c r="H2177" t="s">
        <v>11</v>
      </c>
    </row>
    <row r="2178" spans="1:8" x14ac:dyDescent="0.35">
      <c r="A2178" t="s">
        <v>48</v>
      </c>
      <c r="B2178" t="s">
        <v>110</v>
      </c>
      <c r="C2178" t="s">
        <v>1124</v>
      </c>
      <c r="D2178">
        <v>3</v>
      </c>
      <c r="E2178">
        <v>3</v>
      </c>
      <c r="F2178" t="s">
        <v>7</v>
      </c>
      <c r="G2178" t="s">
        <v>11</v>
      </c>
      <c r="H2178" t="s">
        <v>11</v>
      </c>
    </row>
    <row r="2179" spans="1:8" x14ac:dyDescent="0.35">
      <c r="A2179" t="s">
        <v>48</v>
      </c>
      <c r="B2179" t="s">
        <v>110</v>
      </c>
      <c r="C2179" t="s">
        <v>2439</v>
      </c>
      <c r="D2179">
        <v>2</v>
      </c>
      <c r="E2179">
        <v>4</v>
      </c>
      <c r="F2179" t="s">
        <v>75</v>
      </c>
      <c r="G2179" t="s">
        <v>11</v>
      </c>
      <c r="H2179" t="s">
        <v>11</v>
      </c>
    </row>
    <row r="2180" spans="1:8" x14ac:dyDescent="0.35">
      <c r="A2180" t="s">
        <v>48</v>
      </c>
      <c r="B2180" t="s">
        <v>110</v>
      </c>
      <c r="C2180" t="s">
        <v>1234</v>
      </c>
      <c r="D2180">
        <v>3</v>
      </c>
      <c r="E2180">
        <v>3</v>
      </c>
      <c r="F2180" t="s">
        <v>7</v>
      </c>
      <c r="G2180" t="s">
        <v>11</v>
      </c>
      <c r="H2180" t="s">
        <v>11</v>
      </c>
    </row>
    <row r="2181" spans="1:8" x14ac:dyDescent="0.35">
      <c r="A2181" t="s">
        <v>48</v>
      </c>
      <c r="B2181" t="s">
        <v>110</v>
      </c>
      <c r="C2181" t="s">
        <v>2440</v>
      </c>
      <c r="D2181">
        <v>3</v>
      </c>
      <c r="E2181">
        <v>3</v>
      </c>
      <c r="F2181" t="s">
        <v>7</v>
      </c>
      <c r="G2181" t="s">
        <v>11</v>
      </c>
      <c r="H2181" t="s">
        <v>11</v>
      </c>
    </row>
    <row r="2182" spans="1:8" x14ac:dyDescent="0.35">
      <c r="A2182" t="s">
        <v>48</v>
      </c>
      <c r="B2182" t="s">
        <v>110</v>
      </c>
      <c r="C2182" t="s">
        <v>1750</v>
      </c>
      <c r="D2182">
        <v>3</v>
      </c>
      <c r="E2182">
        <v>3</v>
      </c>
      <c r="F2182" t="s">
        <v>7</v>
      </c>
      <c r="G2182" t="s">
        <v>11</v>
      </c>
      <c r="H2182" t="s">
        <v>11</v>
      </c>
    </row>
    <row r="2183" spans="1:8" x14ac:dyDescent="0.35">
      <c r="A2183" t="s">
        <v>48</v>
      </c>
      <c r="B2183" t="s">
        <v>110</v>
      </c>
      <c r="C2183" t="s">
        <v>2441</v>
      </c>
      <c r="D2183">
        <v>3</v>
      </c>
      <c r="E2183">
        <v>3</v>
      </c>
      <c r="F2183" t="s">
        <v>7</v>
      </c>
      <c r="G2183" t="s">
        <v>11</v>
      </c>
      <c r="H2183" t="s">
        <v>11</v>
      </c>
    </row>
    <row r="2184" spans="1:8" x14ac:dyDescent="0.35">
      <c r="A2184" t="s">
        <v>48</v>
      </c>
      <c r="B2184" t="s">
        <v>110</v>
      </c>
      <c r="C2184" t="s">
        <v>2442</v>
      </c>
      <c r="D2184">
        <v>3</v>
      </c>
      <c r="E2184">
        <v>3</v>
      </c>
      <c r="F2184" t="s">
        <v>7</v>
      </c>
      <c r="G2184" t="s">
        <v>11</v>
      </c>
      <c r="H2184" t="s">
        <v>11</v>
      </c>
    </row>
    <row r="2185" spans="1:8" x14ac:dyDescent="0.35">
      <c r="A2185" t="s">
        <v>48</v>
      </c>
      <c r="B2185" t="s">
        <v>110</v>
      </c>
      <c r="C2185" t="s">
        <v>2443</v>
      </c>
      <c r="D2185">
        <v>3</v>
      </c>
      <c r="E2185">
        <v>3</v>
      </c>
      <c r="F2185" t="s">
        <v>7</v>
      </c>
      <c r="G2185" t="s">
        <v>11</v>
      </c>
      <c r="H2185" t="s">
        <v>11</v>
      </c>
    </row>
    <row r="2186" spans="1:8" x14ac:dyDescent="0.35">
      <c r="A2186" t="s">
        <v>48</v>
      </c>
      <c r="B2186" t="s">
        <v>110</v>
      </c>
      <c r="C2186" t="s">
        <v>1352</v>
      </c>
      <c r="D2186">
        <v>3</v>
      </c>
      <c r="E2186">
        <v>3</v>
      </c>
      <c r="F2186" t="s">
        <v>7</v>
      </c>
      <c r="G2186" t="s">
        <v>11</v>
      </c>
      <c r="H2186" t="s">
        <v>11</v>
      </c>
    </row>
    <row r="2187" spans="1:8" x14ac:dyDescent="0.35">
      <c r="A2187" t="s">
        <v>48</v>
      </c>
      <c r="B2187" t="s">
        <v>110</v>
      </c>
      <c r="C2187" t="s">
        <v>1660</v>
      </c>
      <c r="D2187">
        <v>2</v>
      </c>
      <c r="E2187">
        <v>3</v>
      </c>
      <c r="F2187" t="s">
        <v>7</v>
      </c>
      <c r="G2187" t="s">
        <v>11</v>
      </c>
      <c r="H2187" t="s">
        <v>11</v>
      </c>
    </row>
    <row r="2188" spans="1:8" x14ac:dyDescent="0.35">
      <c r="A2188" t="s">
        <v>48</v>
      </c>
      <c r="B2188" t="s">
        <v>110</v>
      </c>
      <c r="C2188" t="s">
        <v>2444</v>
      </c>
      <c r="D2188">
        <v>3</v>
      </c>
      <c r="E2188">
        <v>3</v>
      </c>
      <c r="F2188" t="s">
        <v>7</v>
      </c>
      <c r="G2188" t="s">
        <v>11</v>
      </c>
      <c r="H2188" t="s">
        <v>11</v>
      </c>
    </row>
    <row r="2189" spans="1:8" x14ac:dyDescent="0.35">
      <c r="A2189" t="s">
        <v>48</v>
      </c>
      <c r="B2189" t="s">
        <v>110</v>
      </c>
      <c r="C2189" t="s">
        <v>1754</v>
      </c>
      <c r="D2189">
        <v>2</v>
      </c>
      <c r="E2189">
        <v>3</v>
      </c>
      <c r="F2189" t="s">
        <v>7</v>
      </c>
      <c r="G2189" t="s">
        <v>11</v>
      </c>
      <c r="H2189" t="s">
        <v>11</v>
      </c>
    </row>
    <row r="2190" spans="1:8" x14ac:dyDescent="0.35">
      <c r="A2190" t="s">
        <v>48</v>
      </c>
      <c r="B2190" t="s">
        <v>110</v>
      </c>
      <c r="C2190" t="s">
        <v>1361</v>
      </c>
      <c r="D2190">
        <v>3</v>
      </c>
      <c r="E2190">
        <v>3</v>
      </c>
      <c r="F2190" t="s">
        <v>7</v>
      </c>
      <c r="G2190" t="s">
        <v>11</v>
      </c>
      <c r="H2190" t="s">
        <v>11</v>
      </c>
    </row>
    <row r="2191" spans="1:8" x14ac:dyDescent="0.35">
      <c r="A2191" t="s">
        <v>48</v>
      </c>
      <c r="B2191" t="s">
        <v>110</v>
      </c>
      <c r="C2191" t="s">
        <v>2445</v>
      </c>
      <c r="D2191">
        <v>3</v>
      </c>
      <c r="E2191">
        <v>3</v>
      </c>
      <c r="F2191" t="s">
        <v>7</v>
      </c>
      <c r="G2191" t="s">
        <v>11</v>
      </c>
      <c r="H2191" t="s">
        <v>11</v>
      </c>
    </row>
    <row r="2192" spans="1:8" x14ac:dyDescent="0.35">
      <c r="A2192" t="s">
        <v>48</v>
      </c>
      <c r="B2192" t="s">
        <v>110</v>
      </c>
      <c r="C2192" t="s">
        <v>1502</v>
      </c>
      <c r="D2192">
        <v>3</v>
      </c>
      <c r="E2192">
        <v>3</v>
      </c>
      <c r="F2192" t="s">
        <v>7</v>
      </c>
      <c r="G2192" t="s">
        <v>11</v>
      </c>
      <c r="H2192" t="s">
        <v>11</v>
      </c>
    </row>
    <row r="2193" spans="1:8" x14ac:dyDescent="0.35">
      <c r="A2193" t="s">
        <v>48</v>
      </c>
      <c r="B2193" t="s">
        <v>110</v>
      </c>
      <c r="C2193" t="s">
        <v>1246</v>
      </c>
      <c r="D2193">
        <v>3</v>
      </c>
      <c r="E2193">
        <v>3</v>
      </c>
      <c r="F2193" t="s">
        <v>7</v>
      </c>
      <c r="G2193" t="s">
        <v>11</v>
      </c>
      <c r="H2193" t="s">
        <v>11</v>
      </c>
    </row>
    <row r="2194" spans="1:8" x14ac:dyDescent="0.35">
      <c r="A2194" t="s">
        <v>48</v>
      </c>
      <c r="B2194" t="s">
        <v>110</v>
      </c>
      <c r="C2194" t="s">
        <v>2446</v>
      </c>
      <c r="D2194">
        <v>3</v>
      </c>
      <c r="E2194">
        <v>3</v>
      </c>
      <c r="F2194" t="s">
        <v>7</v>
      </c>
      <c r="G2194" t="s">
        <v>11</v>
      </c>
      <c r="H2194" t="s">
        <v>11</v>
      </c>
    </row>
    <row r="2195" spans="1:8" x14ac:dyDescent="0.35">
      <c r="A2195" t="s">
        <v>48</v>
      </c>
      <c r="B2195" t="s">
        <v>110</v>
      </c>
      <c r="C2195" t="s">
        <v>2447</v>
      </c>
      <c r="D2195">
        <v>3</v>
      </c>
      <c r="E2195">
        <v>3</v>
      </c>
      <c r="F2195" t="s">
        <v>7</v>
      </c>
      <c r="G2195" t="s">
        <v>11</v>
      </c>
      <c r="H2195" t="s">
        <v>11</v>
      </c>
    </row>
    <row r="2196" spans="1:8" x14ac:dyDescent="0.35">
      <c r="A2196" t="s">
        <v>48</v>
      </c>
      <c r="B2196" t="s">
        <v>110</v>
      </c>
      <c r="C2196" t="s">
        <v>1762</v>
      </c>
      <c r="D2196">
        <v>3</v>
      </c>
      <c r="E2196">
        <v>3</v>
      </c>
      <c r="F2196" t="s">
        <v>7</v>
      </c>
      <c r="G2196" t="s">
        <v>11</v>
      </c>
      <c r="H2196" t="s">
        <v>11</v>
      </c>
    </row>
    <row r="2197" spans="1:8" x14ac:dyDescent="0.35">
      <c r="A2197" t="s">
        <v>48</v>
      </c>
      <c r="B2197" t="s">
        <v>110</v>
      </c>
      <c r="C2197" t="s">
        <v>1764</v>
      </c>
      <c r="D2197">
        <v>3</v>
      </c>
      <c r="E2197">
        <v>3</v>
      </c>
      <c r="F2197" t="s">
        <v>7</v>
      </c>
      <c r="G2197" t="s">
        <v>11</v>
      </c>
      <c r="H2197" t="s">
        <v>11</v>
      </c>
    </row>
    <row r="2198" spans="1:8" x14ac:dyDescent="0.35">
      <c r="A2198" t="s">
        <v>48</v>
      </c>
      <c r="B2198" t="s">
        <v>110</v>
      </c>
      <c r="C2198" t="s">
        <v>2448</v>
      </c>
      <c r="D2198">
        <v>3</v>
      </c>
      <c r="E2198">
        <v>3</v>
      </c>
      <c r="F2198" t="s">
        <v>7</v>
      </c>
      <c r="G2198" t="s">
        <v>11</v>
      </c>
      <c r="H2198" t="s">
        <v>11</v>
      </c>
    </row>
    <row r="2199" spans="1:8" x14ac:dyDescent="0.35">
      <c r="A2199" t="s">
        <v>48</v>
      </c>
      <c r="B2199" t="s">
        <v>110</v>
      </c>
      <c r="C2199" t="s">
        <v>1148</v>
      </c>
      <c r="D2199">
        <v>3</v>
      </c>
      <c r="E2199">
        <v>3</v>
      </c>
      <c r="F2199" t="s">
        <v>7</v>
      </c>
      <c r="G2199" t="s">
        <v>11</v>
      </c>
      <c r="H2199" t="s">
        <v>11</v>
      </c>
    </row>
    <row r="2200" spans="1:8" x14ac:dyDescent="0.35">
      <c r="A2200" t="s">
        <v>48</v>
      </c>
      <c r="B2200" t="s">
        <v>110</v>
      </c>
      <c r="C2200" t="s">
        <v>1149</v>
      </c>
      <c r="D2200">
        <v>3</v>
      </c>
      <c r="E2200">
        <v>3</v>
      </c>
      <c r="F2200" t="s">
        <v>7</v>
      </c>
      <c r="G2200" t="s">
        <v>11</v>
      </c>
      <c r="H2200" t="s">
        <v>11</v>
      </c>
    </row>
    <row r="2201" spans="1:8" x14ac:dyDescent="0.35">
      <c r="A2201" t="s">
        <v>48</v>
      </c>
      <c r="B2201" t="s">
        <v>110</v>
      </c>
      <c r="C2201" t="s">
        <v>2338</v>
      </c>
      <c r="D2201">
        <v>3</v>
      </c>
      <c r="E2201">
        <v>3</v>
      </c>
      <c r="F2201" t="s">
        <v>7</v>
      </c>
      <c r="G2201" t="s">
        <v>11</v>
      </c>
      <c r="H2201" t="s">
        <v>11</v>
      </c>
    </row>
    <row r="2202" spans="1:8" x14ac:dyDescent="0.35">
      <c r="A2202" t="s">
        <v>48</v>
      </c>
      <c r="B2202" t="s">
        <v>110</v>
      </c>
      <c r="C2202" t="s">
        <v>2449</v>
      </c>
      <c r="D2202">
        <v>3</v>
      </c>
      <c r="E2202">
        <v>3</v>
      </c>
      <c r="F2202" t="s">
        <v>7</v>
      </c>
      <c r="G2202" t="s">
        <v>11</v>
      </c>
      <c r="H2202" t="s">
        <v>11</v>
      </c>
    </row>
    <row r="2203" spans="1:8" x14ac:dyDescent="0.35">
      <c r="A2203" t="s">
        <v>48</v>
      </c>
      <c r="B2203" t="s">
        <v>110</v>
      </c>
      <c r="C2203" t="s">
        <v>2450</v>
      </c>
      <c r="D2203">
        <v>3</v>
      </c>
      <c r="E2203">
        <v>3</v>
      </c>
      <c r="F2203" t="s">
        <v>7</v>
      </c>
      <c r="G2203" t="s">
        <v>11</v>
      </c>
      <c r="H2203" t="s">
        <v>11</v>
      </c>
    </row>
    <row r="2204" spans="1:8" x14ac:dyDescent="0.35">
      <c r="A2204" t="s">
        <v>48</v>
      </c>
      <c r="B2204" t="s">
        <v>110</v>
      </c>
      <c r="C2204" t="s">
        <v>1367</v>
      </c>
      <c r="D2204">
        <v>3</v>
      </c>
      <c r="E2204">
        <v>3</v>
      </c>
      <c r="F2204" t="s">
        <v>7</v>
      </c>
      <c r="G2204" t="s">
        <v>11</v>
      </c>
      <c r="H2204" t="s">
        <v>11</v>
      </c>
    </row>
    <row r="2205" spans="1:8" x14ac:dyDescent="0.35">
      <c r="A2205" t="s">
        <v>48</v>
      </c>
      <c r="B2205" t="s">
        <v>110</v>
      </c>
      <c r="C2205" t="s">
        <v>2451</v>
      </c>
      <c r="D2205">
        <v>3</v>
      </c>
      <c r="E2205">
        <v>3</v>
      </c>
      <c r="F2205" t="s">
        <v>7</v>
      </c>
      <c r="G2205" t="s">
        <v>11</v>
      </c>
      <c r="H2205" t="s">
        <v>11</v>
      </c>
    </row>
    <row r="2206" spans="1:8" x14ac:dyDescent="0.35">
      <c r="A2206" t="s">
        <v>48</v>
      </c>
      <c r="B2206" t="s">
        <v>110</v>
      </c>
      <c r="C2206" t="s">
        <v>2452</v>
      </c>
      <c r="D2206">
        <v>3</v>
      </c>
      <c r="E2206">
        <v>3</v>
      </c>
      <c r="F2206" t="s">
        <v>7</v>
      </c>
      <c r="G2206" t="s">
        <v>11</v>
      </c>
      <c r="H2206" t="s">
        <v>11</v>
      </c>
    </row>
    <row r="2207" spans="1:8" x14ac:dyDescent="0.35">
      <c r="A2207" t="s">
        <v>48</v>
      </c>
      <c r="B2207" t="s">
        <v>110</v>
      </c>
      <c r="C2207" t="s">
        <v>1254</v>
      </c>
      <c r="D2207">
        <v>3</v>
      </c>
      <c r="E2207">
        <v>3</v>
      </c>
      <c r="F2207" t="s">
        <v>7</v>
      </c>
      <c r="G2207" t="s">
        <v>11</v>
      </c>
      <c r="H2207" t="s">
        <v>11</v>
      </c>
    </row>
    <row r="2208" spans="1:8" x14ac:dyDescent="0.35">
      <c r="A2208" t="s">
        <v>48</v>
      </c>
      <c r="B2208" t="s">
        <v>110</v>
      </c>
      <c r="C2208" t="s">
        <v>1256</v>
      </c>
      <c r="D2208">
        <v>3</v>
      </c>
      <c r="E2208">
        <v>3</v>
      </c>
      <c r="F2208" t="s">
        <v>7</v>
      </c>
      <c r="G2208" t="s">
        <v>11</v>
      </c>
      <c r="H2208" t="s">
        <v>11</v>
      </c>
    </row>
    <row r="2209" spans="1:8" x14ac:dyDescent="0.35">
      <c r="A2209" t="s">
        <v>48</v>
      </c>
      <c r="B2209" t="s">
        <v>110</v>
      </c>
      <c r="C2209" t="s">
        <v>2453</v>
      </c>
      <c r="D2209">
        <v>3</v>
      </c>
      <c r="E2209">
        <v>3</v>
      </c>
      <c r="F2209" t="s">
        <v>7</v>
      </c>
      <c r="G2209" t="s">
        <v>11</v>
      </c>
      <c r="H2209" t="s">
        <v>11</v>
      </c>
    </row>
    <row r="2210" spans="1:8" x14ac:dyDescent="0.35">
      <c r="A2210" t="s">
        <v>48</v>
      </c>
      <c r="B2210" t="s">
        <v>110</v>
      </c>
      <c r="C2210" t="s">
        <v>2454</v>
      </c>
      <c r="D2210">
        <v>3</v>
      </c>
      <c r="E2210">
        <v>3</v>
      </c>
      <c r="F2210" t="s">
        <v>7</v>
      </c>
      <c r="G2210" t="s">
        <v>11</v>
      </c>
      <c r="H2210" t="s">
        <v>11</v>
      </c>
    </row>
    <row r="2211" spans="1:8" x14ac:dyDescent="0.35">
      <c r="A2211" t="s">
        <v>48</v>
      </c>
      <c r="B2211" t="s">
        <v>110</v>
      </c>
      <c r="C2211" t="s">
        <v>1160</v>
      </c>
      <c r="D2211">
        <v>3</v>
      </c>
      <c r="E2211">
        <v>3</v>
      </c>
      <c r="F2211" t="s">
        <v>7</v>
      </c>
      <c r="G2211" t="s">
        <v>11</v>
      </c>
      <c r="H2211" t="s">
        <v>11</v>
      </c>
    </row>
    <row r="2212" spans="1:8" x14ac:dyDescent="0.35">
      <c r="A2212" t="s">
        <v>48</v>
      </c>
      <c r="B2212" t="s">
        <v>110</v>
      </c>
      <c r="C2212" t="s">
        <v>2455</v>
      </c>
      <c r="D2212">
        <v>2</v>
      </c>
      <c r="E2212">
        <v>3</v>
      </c>
      <c r="F2212" t="s">
        <v>7</v>
      </c>
      <c r="G2212" t="s">
        <v>11</v>
      </c>
      <c r="H2212" t="s">
        <v>11</v>
      </c>
    </row>
    <row r="2213" spans="1:8" x14ac:dyDescent="0.35">
      <c r="A2213" t="s">
        <v>48</v>
      </c>
      <c r="B2213" t="s">
        <v>110</v>
      </c>
      <c r="C2213" t="s">
        <v>2456</v>
      </c>
      <c r="D2213">
        <v>3</v>
      </c>
      <c r="E2213">
        <v>3</v>
      </c>
      <c r="F2213" t="s">
        <v>7</v>
      </c>
      <c r="G2213" t="s">
        <v>11</v>
      </c>
      <c r="H2213" t="s">
        <v>11</v>
      </c>
    </row>
    <row r="2214" spans="1:8" x14ac:dyDescent="0.35">
      <c r="A2214" t="s">
        <v>48</v>
      </c>
      <c r="B2214" t="s">
        <v>110</v>
      </c>
      <c r="C2214" t="s">
        <v>2457</v>
      </c>
      <c r="D2214">
        <v>3</v>
      </c>
      <c r="E2214">
        <v>3</v>
      </c>
      <c r="F2214" t="s">
        <v>7</v>
      </c>
      <c r="G2214" t="s">
        <v>11</v>
      </c>
      <c r="H2214" t="s">
        <v>11</v>
      </c>
    </row>
    <row r="2215" spans="1:8" x14ac:dyDescent="0.35">
      <c r="A2215" t="s">
        <v>48</v>
      </c>
      <c r="B2215" t="s">
        <v>110</v>
      </c>
      <c r="C2215" t="s">
        <v>1521</v>
      </c>
      <c r="D2215">
        <v>3</v>
      </c>
      <c r="E2215">
        <v>3</v>
      </c>
      <c r="F2215" t="s">
        <v>7</v>
      </c>
      <c r="G2215" t="s">
        <v>11</v>
      </c>
      <c r="H2215" t="s">
        <v>11</v>
      </c>
    </row>
    <row r="2216" spans="1:8" x14ac:dyDescent="0.35">
      <c r="A2216" t="s">
        <v>48</v>
      </c>
      <c r="B2216" t="s">
        <v>110</v>
      </c>
      <c r="C2216" t="s">
        <v>1524</v>
      </c>
      <c r="D2216">
        <v>3</v>
      </c>
      <c r="E2216">
        <v>3</v>
      </c>
      <c r="F2216" t="s">
        <v>7</v>
      </c>
      <c r="G2216" t="s">
        <v>11</v>
      </c>
      <c r="H2216" t="s">
        <v>11</v>
      </c>
    </row>
    <row r="2217" spans="1:8" x14ac:dyDescent="0.35">
      <c r="A2217" t="s">
        <v>48</v>
      </c>
      <c r="B2217" t="s">
        <v>110</v>
      </c>
      <c r="C2217" t="s">
        <v>2458</v>
      </c>
      <c r="D2217">
        <v>3</v>
      </c>
      <c r="E2217">
        <v>3</v>
      </c>
      <c r="F2217" t="s">
        <v>7</v>
      </c>
      <c r="G2217" t="s">
        <v>11</v>
      </c>
      <c r="H2217" t="s">
        <v>11</v>
      </c>
    </row>
    <row r="2218" spans="1:8" x14ac:dyDescent="0.35">
      <c r="A2218" t="s">
        <v>48</v>
      </c>
      <c r="B2218" t="s">
        <v>110</v>
      </c>
      <c r="C2218" t="s">
        <v>1674</v>
      </c>
      <c r="D2218">
        <v>3</v>
      </c>
      <c r="E2218">
        <v>3</v>
      </c>
      <c r="F2218" t="s">
        <v>7</v>
      </c>
      <c r="G2218" t="s">
        <v>11</v>
      </c>
      <c r="H2218" t="s">
        <v>11</v>
      </c>
    </row>
    <row r="2219" spans="1:8" x14ac:dyDescent="0.35">
      <c r="A2219" t="s">
        <v>48</v>
      </c>
      <c r="B2219" t="s">
        <v>110</v>
      </c>
      <c r="C2219" t="s">
        <v>2459</v>
      </c>
      <c r="D2219">
        <v>3</v>
      </c>
      <c r="E2219">
        <v>3</v>
      </c>
      <c r="F2219" t="s">
        <v>7</v>
      </c>
      <c r="G2219" t="s">
        <v>11</v>
      </c>
      <c r="H2219" t="s">
        <v>11</v>
      </c>
    </row>
    <row r="2220" spans="1:8" x14ac:dyDescent="0.35">
      <c r="A2220" t="s">
        <v>48</v>
      </c>
      <c r="B2220" t="s">
        <v>110</v>
      </c>
      <c r="C2220" t="s">
        <v>2460</v>
      </c>
      <c r="D2220">
        <v>3</v>
      </c>
      <c r="E2220">
        <v>3</v>
      </c>
      <c r="F2220" t="s">
        <v>7</v>
      </c>
      <c r="G2220" t="s">
        <v>11</v>
      </c>
      <c r="H2220" t="s">
        <v>11</v>
      </c>
    </row>
    <row r="2221" spans="1:8" x14ac:dyDescent="0.35">
      <c r="A2221" t="s">
        <v>48</v>
      </c>
      <c r="B2221" t="s">
        <v>110</v>
      </c>
      <c r="C2221" t="s">
        <v>2461</v>
      </c>
      <c r="D2221">
        <v>3</v>
      </c>
      <c r="E2221">
        <v>3</v>
      </c>
      <c r="F2221" t="s">
        <v>7</v>
      </c>
      <c r="G2221" t="s">
        <v>11</v>
      </c>
      <c r="H2221" t="s">
        <v>11</v>
      </c>
    </row>
    <row r="2222" spans="1:8" x14ac:dyDescent="0.35">
      <c r="A2222" t="s">
        <v>48</v>
      </c>
      <c r="B2222" t="s">
        <v>110</v>
      </c>
      <c r="C2222" t="s">
        <v>2462</v>
      </c>
      <c r="D2222">
        <v>3</v>
      </c>
      <c r="E2222">
        <v>3</v>
      </c>
      <c r="F2222" t="s">
        <v>7</v>
      </c>
      <c r="G2222" t="s">
        <v>11</v>
      </c>
      <c r="H2222" t="s">
        <v>11</v>
      </c>
    </row>
    <row r="2223" spans="1:8" x14ac:dyDescent="0.35">
      <c r="A2223" t="s">
        <v>48</v>
      </c>
      <c r="B2223" t="s">
        <v>110</v>
      </c>
      <c r="C2223" t="s">
        <v>1780</v>
      </c>
      <c r="D2223">
        <v>3</v>
      </c>
      <c r="E2223">
        <v>3</v>
      </c>
      <c r="F2223" t="s">
        <v>7</v>
      </c>
      <c r="G2223" t="s">
        <v>11</v>
      </c>
      <c r="H2223" t="s">
        <v>11</v>
      </c>
    </row>
    <row r="2224" spans="1:8" x14ac:dyDescent="0.35">
      <c r="A2224" t="s">
        <v>48</v>
      </c>
      <c r="B2224" t="s">
        <v>110</v>
      </c>
      <c r="C2224" t="s">
        <v>1782</v>
      </c>
      <c r="D2224">
        <v>3</v>
      </c>
      <c r="E2224">
        <v>3</v>
      </c>
      <c r="F2224" t="s">
        <v>7</v>
      </c>
      <c r="G2224" t="s">
        <v>11</v>
      </c>
      <c r="H2224" t="s">
        <v>11</v>
      </c>
    </row>
    <row r="2225" spans="1:8" x14ac:dyDescent="0.35">
      <c r="A2225" t="s">
        <v>48</v>
      </c>
      <c r="B2225" t="s">
        <v>110</v>
      </c>
      <c r="C2225" t="s">
        <v>1783</v>
      </c>
      <c r="D2225">
        <v>3</v>
      </c>
      <c r="E2225">
        <v>3</v>
      </c>
      <c r="F2225" t="s">
        <v>7</v>
      </c>
      <c r="G2225" t="s">
        <v>11</v>
      </c>
      <c r="H2225" t="s">
        <v>11</v>
      </c>
    </row>
    <row r="2226" spans="1:8" x14ac:dyDescent="0.35">
      <c r="A2226" t="s">
        <v>48</v>
      </c>
      <c r="B2226" t="s">
        <v>110</v>
      </c>
      <c r="C2226" t="s">
        <v>2463</v>
      </c>
      <c r="D2226">
        <v>3</v>
      </c>
      <c r="E2226">
        <v>3</v>
      </c>
      <c r="F2226" t="s">
        <v>7</v>
      </c>
      <c r="G2226" t="s">
        <v>11</v>
      </c>
      <c r="H2226" t="s">
        <v>11</v>
      </c>
    </row>
    <row r="2227" spans="1:8" x14ac:dyDescent="0.35">
      <c r="A2227" t="s">
        <v>48</v>
      </c>
      <c r="B2227" t="s">
        <v>110</v>
      </c>
      <c r="C2227" t="s">
        <v>2464</v>
      </c>
      <c r="D2227">
        <v>3</v>
      </c>
      <c r="E2227">
        <v>3</v>
      </c>
      <c r="F2227" t="s">
        <v>7</v>
      </c>
      <c r="G2227" t="s">
        <v>11</v>
      </c>
      <c r="H2227" t="s">
        <v>11</v>
      </c>
    </row>
    <row r="2228" spans="1:8" x14ac:dyDescent="0.35">
      <c r="A2228" t="s">
        <v>48</v>
      </c>
      <c r="B2228" t="s">
        <v>110</v>
      </c>
      <c r="C2228" t="s">
        <v>2092</v>
      </c>
      <c r="D2228">
        <v>3</v>
      </c>
      <c r="E2228">
        <v>3</v>
      </c>
      <c r="F2228" t="s">
        <v>7</v>
      </c>
      <c r="G2228" t="s">
        <v>11</v>
      </c>
      <c r="H2228" t="s">
        <v>11</v>
      </c>
    </row>
    <row r="2229" spans="1:8" x14ac:dyDescent="0.35">
      <c r="A2229" t="s">
        <v>48</v>
      </c>
      <c r="B2229" t="s">
        <v>110</v>
      </c>
      <c r="C2229" t="s">
        <v>1784</v>
      </c>
      <c r="D2229">
        <v>3</v>
      </c>
      <c r="E2229">
        <v>3</v>
      </c>
      <c r="F2229" t="s">
        <v>7</v>
      </c>
      <c r="G2229" t="s">
        <v>11</v>
      </c>
      <c r="H2229" t="s">
        <v>11</v>
      </c>
    </row>
    <row r="2230" spans="1:8" x14ac:dyDescent="0.35">
      <c r="A2230" t="s">
        <v>48</v>
      </c>
      <c r="B2230" t="s">
        <v>110</v>
      </c>
      <c r="C2230" t="s">
        <v>2465</v>
      </c>
      <c r="D2230">
        <v>3</v>
      </c>
      <c r="E2230">
        <v>3</v>
      </c>
      <c r="F2230" t="s">
        <v>7</v>
      </c>
      <c r="G2230" t="s">
        <v>11</v>
      </c>
      <c r="H2230" t="s">
        <v>11</v>
      </c>
    </row>
    <row r="2231" spans="1:8" x14ac:dyDescent="0.35">
      <c r="A2231" t="s">
        <v>48</v>
      </c>
      <c r="B2231" t="s">
        <v>110</v>
      </c>
      <c r="C2231" t="s">
        <v>2466</v>
      </c>
      <c r="D2231">
        <v>3</v>
      </c>
      <c r="E2231">
        <v>3</v>
      </c>
      <c r="F2231" t="s">
        <v>7</v>
      </c>
      <c r="G2231" t="s">
        <v>11</v>
      </c>
      <c r="H2231" t="s">
        <v>11</v>
      </c>
    </row>
    <row r="2232" spans="1:8" x14ac:dyDescent="0.35">
      <c r="A2232" t="s">
        <v>48</v>
      </c>
      <c r="B2232" t="s">
        <v>110</v>
      </c>
      <c r="C2232" t="s">
        <v>2467</v>
      </c>
      <c r="D2232">
        <v>3</v>
      </c>
      <c r="E2232">
        <v>3</v>
      </c>
      <c r="F2232" t="s">
        <v>7</v>
      </c>
      <c r="G2232" t="s">
        <v>11</v>
      </c>
      <c r="H2232" t="s">
        <v>11</v>
      </c>
    </row>
    <row r="2233" spans="1:8" x14ac:dyDescent="0.35">
      <c r="A2233" t="s">
        <v>48</v>
      </c>
      <c r="B2233" t="s">
        <v>110</v>
      </c>
      <c r="C2233" t="s">
        <v>1448</v>
      </c>
      <c r="D2233">
        <v>3</v>
      </c>
      <c r="E2233">
        <v>3</v>
      </c>
      <c r="F2233" t="s">
        <v>7</v>
      </c>
      <c r="G2233" t="s">
        <v>11</v>
      </c>
      <c r="H2233" t="s">
        <v>11</v>
      </c>
    </row>
    <row r="2234" spans="1:8" x14ac:dyDescent="0.35">
      <c r="A2234" t="s">
        <v>48</v>
      </c>
      <c r="B2234" t="s">
        <v>110</v>
      </c>
      <c r="C2234" t="s">
        <v>2468</v>
      </c>
      <c r="D2234">
        <v>2</v>
      </c>
      <c r="E2234">
        <v>3</v>
      </c>
      <c r="F2234" t="s">
        <v>7</v>
      </c>
      <c r="G2234" t="s">
        <v>11</v>
      </c>
      <c r="H2234" t="s">
        <v>11</v>
      </c>
    </row>
    <row r="2235" spans="1:8" x14ac:dyDescent="0.35">
      <c r="A2235" t="s">
        <v>48</v>
      </c>
      <c r="B2235" t="s">
        <v>110</v>
      </c>
      <c r="C2235" t="s">
        <v>1538</v>
      </c>
      <c r="D2235">
        <v>3</v>
      </c>
      <c r="E2235">
        <v>3</v>
      </c>
      <c r="F2235" t="s">
        <v>7</v>
      </c>
      <c r="G2235" t="s">
        <v>11</v>
      </c>
      <c r="H2235" t="s">
        <v>11</v>
      </c>
    </row>
    <row r="2236" spans="1:8" x14ac:dyDescent="0.35">
      <c r="A2236" t="s">
        <v>48</v>
      </c>
      <c r="B2236" t="s">
        <v>110</v>
      </c>
      <c r="C2236" t="s">
        <v>2143</v>
      </c>
      <c r="D2236">
        <v>2</v>
      </c>
      <c r="E2236">
        <v>4</v>
      </c>
      <c r="F2236" t="s">
        <v>75</v>
      </c>
      <c r="G2236" t="s">
        <v>11</v>
      </c>
      <c r="H2236" t="s">
        <v>11</v>
      </c>
    </row>
    <row r="2237" spans="1:8" x14ac:dyDescent="0.35">
      <c r="A2237" t="s">
        <v>48</v>
      </c>
      <c r="B2237" t="s">
        <v>110</v>
      </c>
      <c r="C2237" t="s">
        <v>2469</v>
      </c>
      <c r="D2237">
        <v>3</v>
      </c>
      <c r="E2237">
        <v>3</v>
      </c>
      <c r="F2237" t="s">
        <v>7</v>
      </c>
      <c r="G2237" t="s">
        <v>11</v>
      </c>
      <c r="H2237" t="s">
        <v>11</v>
      </c>
    </row>
    <row r="2238" spans="1:8" x14ac:dyDescent="0.35">
      <c r="A2238" t="s">
        <v>48</v>
      </c>
      <c r="B2238" t="s">
        <v>110</v>
      </c>
      <c r="C2238" t="s">
        <v>2470</v>
      </c>
      <c r="D2238">
        <v>3</v>
      </c>
      <c r="E2238">
        <v>3</v>
      </c>
      <c r="F2238" t="s">
        <v>7</v>
      </c>
      <c r="G2238" t="s">
        <v>11</v>
      </c>
      <c r="H2238" t="s">
        <v>11</v>
      </c>
    </row>
    <row r="2239" spans="1:8" x14ac:dyDescent="0.35">
      <c r="A2239" t="s">
        <v>48</v>
      </c>
      <c r="B2239" t="s">
        <v>110</v>
      </c>
      <c r="C2239" t="s">
        <v>2471</v>
      </c>
      <c r="D2239">
        <v>3</v>
      </c>
      <c r="E2239">
        <v>3</v>
      </c>
      <c r="F2239" t="s">
        <v>7</v>
      </c>
      <c r="G2239" t="s">
        <v>11</v>
      </c>
      <c r="H2239" t="s">
        <v>11</v>
      </c>
    </row>
    <row r="2240" spans="1:8" x14ac:dyDescent="0.35">
      <c r="A2240" t="s">
        <v>48</v>
      </c>
      <c r="B2240" t="s">
        <v>110</v>
      </c>
      <c r="C2240" t="s">
        <v>1177</v>
      </c>
      <c r="D2240">
        <v>3</v>
      </c>
      <c r="E2240">
        <v>3</v>
      </c>
      <c r="F2240" t="s">
        <v>7</v>
      </c>
      <c r="G2240" t="s">
        <v>11</v>
      </c>
      <c r="H2240" t="s">
        <v>11</v>
      </c>
    </row>
    <row r="2241" spans="1:8" x14ac:dyDescent="0.35">
      <c r="A2241" t="s">
        <v>48</v>
      </c>
      <c r="B2241" t="s">
        <v>110</v>
      </c>
      <c r="C2241" t="s">
        <v>2472</v>
      </c>
      <c r="D2241">
        <v>3</v>
      </c>
      <c r="E2241">
        <v>3</v>
      </c>
      <c r="F2241" t="s">
        <v>7</v>
      </c>
      <c r="G2241" t="s">
        <v>11</v>
      </c>
      <c r="H2241" t="s">
        <v>11</v>
      </c>
    </row>
    <row r="2242" spans="1:8" x14ac:dyDescent="0.35">
      <c r="A2242" t="s">
        <v>48</v>
      </c>
      <c r="B2242" t="s">
        <v>110</v>
      </c>
      <c r="C2242" t="s">
        <v>2473</v>
      </c>
      <c r="D2242">
        <v>3</v>
      </c>
      <c r="E2242">
        <v>3</v>
      </c>
      <c r="F2242" t="s">
        <v>7</v>
      </c>
      <c r="G2242" t="s">
        <v>11</v>
      </c>
      <c r="H2242" t="s">
        <v>11</v>
      </c>
    </row>
    <row r="2243" spans="1:8" x14ac:dyDescent="0.35">
      <c r="A2243" t="s">
        <v>48</v>
      </c>
      <c r="B2243" t="s">
        <v>110</v>
      </c>
      <c r="C2243" t="s">
        <v>2474</v>
      </c>
      <c r="D2243">
        <v>3</v>
      </c>
      <c r="E2243">
        <v>3</v>
      </c>
      <c r="F2243" t="s">
        <v>7</v>
      </c>
      <c r="G2243" t="s">
        <v>11</v>
      </c>
      <c r="H2243" t="s">
        <v>11</v>
      </c>
    </row>
    <row r="2244" spans="1:8" x14ac:dyDescent="0.35">
      <c r="A2244" t="s">
        <v>49</v>
      </c>
      <c r="B2244" t="s">
        <v>101</v>
      </c>
      <c r="C2244" t="s">
        <v>1406</v>
      </c>
      <c r="D2244">
        <v>2</v>
      </c>
      <c r="E2244">
        <v>5</v>
      </c>
      <c r="F2244" t="s">
        <v>75</v>
      </c>
      <c r="G2244" t="s">
        <v>11</v>
      </c>
      <c r="H2244" t="s">
        <v>11</v>
      </c>
    </row>
    <row r="2245" spans="1:8" x14ac:dyDescent="0.35">
      <c r="A2245" t="s">
        <v>49</v>
      </c>
      <c r="B2245" t="s">
        <v>101</v>
      </c>
      <c r="C2245" t="s">
        <v>1228</v>
      </c>
      <c r="D2245">
        <v>3</v>
      </c>
      <c r="E2245">
        <v>4</v>
      </c>
      <c r="F2245" t="s">
        <v>105</v>
      </c>
      <c r="G2245" t="s">
        <v>11</v>
      </c>
      <c r="H2245" t="s">
        <v>11</v>
      </c>
    </row>
    <row r="2246" spans="1:8" x14ac:dyDescent="0.35">
      <c r="A2246" t="s">
        <v>49</v>
      </c>
      <c r="B2246" t="s">
        <v>101</v>
      </c>
      <c r="C2246" t="s">
        <v>2475</v>
      </c>
      <c r="D2246">
        <v>3</v>
      </c>
      <c r="E2246">
        <v>4</v>
      </c>
      <c r="F2246" t="s">
        <v>105</v>
      </c>
      <c r="G2246" t="s">
        <v>11</v>
      </c>
      <c r="H2246" t="s">
        <v>11</v>
      </c>
    </row>
    <row r="2247" spans="1:8" x14ac:dyDescent="0.35">
      <c r="A2247" t="s">
        <v>49</v>
      </c>
      <c r="B2247" t="s">
        <v>101</v>
      </c>
      <c r="C2247" t="s">
        <v>2476</v>
      </c>
      <c r="D2247">
        <v>2</v>
      </c>
      <c r="E2247">
        <v>4</v>
      </c>
      <c r="F2247" t="s">
        <v>105</v>
      </c>
      <c r="G2247" t="s">
        <v>11</v>
      </c>
      <c r="H2247" t="s">
        <v>11</v>
      </c>
    </row>
    <row r="2248" spans="1:8" x14ac:dyDescent="0.35">
      <c r="A2248" t="s">
        <v>49</v>
      </c>
      <c r="B2248" t="s">
        <v>101</v>
      </c>
      <c r="C2248" t="s">
        <v>1235</v>
      </c>
      <c r="D2248">
        <v>2</v>
      </c>
      <c r="E2248">
        <v>4</v>
      </c>
      <c r="F2248" t="s">
        <v>105</v>
      </c>
      <c r="G2248" t="s">
        <v>11</v>
      </c>
      <c r="H2248" t="s">
        <v>11</v>
      </c>
    </row>
    <row r="2249" spans="1:8" x14ac:dyDescent="0.35">
      <c r="A2249" t="s">
        <v>49</v>
      </c>
      <c r="B2249" t="s">
        <v>101</v>
      </c>
      <c r="C2249" t="s">
        <v>2233</v>
      </c>
      <c r="D2249">
        <v>3</v>
      </c>
      <c r="E2249">
        <v>4</v>
      </c>
      <c r="F2249" t="s">
        <v>105</v>
      </c>
      <c r="G2249" t="s">
        <v>11</v>
      </c>
      <c r="H2249" t="s">
        <v>11</v>
      </c>
    </row>
    <row r="2250" spans="1:8" x14ac:dyDescent="0.35">
      <c r="A2250" t="s">
        <v>49</v>
      </c>
      <c r="B2250" t="s">
        <v>101</v>
      </c>
      <c r="C2250" t="s">
        <v>2477</v>
      </c>
      <c r="D2250">
        <v>2</v>
      </c>
      <c r="E2250">
        <v>5</v>
      </c>
      <c r="F2250" t="s">
        <v>75</v>
      </c>
      <c r="G2250" t="s">
        <v>11</v>
      </c>
      <c r="H2250" t="s">
        <v>11</v>
      </c>
    </row>
    <row r="2251" spans="1:8" x14ac:dyDescent="0.35">
      <c r="A2251" t="s">
        <v>49</v>
      </c>
      <c r="B2251" t="s">
        <v>101</v>
      </c>
      <c r="C2251" t="s">
        <v>2253</v>
      </c>
      <c r="D2251">
        <v>3</v>
      </c>
      <c r="E2251">
        <v>4</v>
      </c>
      <c r="F2251" t="s">
        <v>105</v>
      </c>
      <c r="G2251" t="s">
        <v>11</v>
      </c>
      <c r="H2251" t="s">
        <v>11</v>
      </c>
    </row>
    <row r="2252" spans="1:8" x14ac:dyDescent="0.35">
      <c r="A2252" t="s">
        <v>49</v>
      </c>
      <c r="B2252" t="s">
        <v>101</v>
      </c>
      <c r="C2252" t="s">
        <v>2478</v>
      </c>
      <c r="D2252">
        <v>3</v>
      </c>
      <c r="E2252">
        <v>5</v>
      </c>
      <c r="F2252" t="s">
        <v>75</v>
      </c>
      <c r="G2252" t="s">
        <v>11</v>
      </c>
      <c r="H2252" t="s">
        <v>11</v>
      </c>
    </row>
    <row r="2253" spans="1:8" x14ac:dyDescent="0.35">
      <c r="A2253" t="s">
        <v>49</v>
      </c>
      <c r="B2253" t="s">
        <v>101</v>
      </c>
      <c r="C2253" t="s">
        <v>1356</v>
      </c>
      <c r="D2253">
        <v>3</v>
      </c>
      <c r="E2253">
        <v>4</v>
      </c>
      <c r="F2253" t="s">
        <v>105</v>
      </c>
      <c r="G2253" t="s">
        <v>11</v>
      </c>
      <c r="H2253" t="s">
        <v>11</v>
      </c>
    </row>
    <row r="2254" spans="1:8" x14ac:dyDescent="0.35">
      <c r="A2254" t="s">
        <v>49</v>
      </c>
      <c r="B2254" t="s">
        <v>101</v>
      </c>
      <c r="C2254" t="s">
        <v>2479</v>
      </c>
      <c r="D2254">
        <v>2</v>
      </c>
      <c r="E2254">
        <v>5</v>
      </c>
      <c r="F2254" t="s">
        <v>75</v>
      </c>
      <c r="G2254" t="s">
        <v>11</v>
      </c>
      <c r="H2254" t="s">
        <v>11</v>
      </c>
    </row>
    <row r="2255" spans="1:8" x14ac:dyDescent="0.35">
      <c r="A2255" t="s">
        <v>49</v>
      </c>
      <c r="B2255" t="s">
        <v>101</v>
      </c>
      <c r="C2255" t="s">
        <v>1246</v>
      </c>
      <c r="D2255">
        <v>2</v>
      </c>
      <c r="E2255">
        <v>5</v>
      </c>
      <c r="F2255" t="s">
        <v>75</v>
      </c>
      <c r="G2255" t="s">
        <v>11</v>
      </c>
      <c r="H2255" t="s">
        <v>11</v>
      </c>
    </row>
    <row r="2256" spans="1:8" x14ac:dyDescent="0.35">
      <c r="A2256" t="s">
        <v>49</v>
      </c>
      <c r="B2256" t="s">
        <v>101</v>
      </c>
      <c r="C2256" t="s">
        <v>2480</v>
      </c>
      <c r="D2256">
        <v>2</v>
      </c>
      <c r="E2256">
        <v>5</v>
      </c>
      <c r="F2256" t="s">
        <v>75</v>
      </c>
      <c r="G2256" t="s">
        <v>11</v>
      </c>
      <c r="H2256" t="s">
        <v>11</v>
      </c>
    </row>
    <row r="2257" spans="1:8" x14ac:dyDescent="0.35">
      <c r="A2257" t="s">
        <v>49</v>
      </c>
      <c r="B2257" t="s">
        <v>101</v>
      </c>
      <c r="C2257" t="s">
        <v>2481</v>
      </c>
      <c r="D2257">
        <v>2</v>
      </c>
      <c r="E2257">
        <v>5</v>
      </c>
      <c r="F2257" t="s">
        <v>75</v>
      </c>
      <c r="G2257" t="s">
        <v>11</v>
      </c>
      <c r="H2257" t="s">
        <v>11</v>
      </c>
    </row>
    <row r="2258" spans="1:8" x14ac:dyDescent="0.35">
      <c r="A2258" t="s">
        <v>49</v>
      </c>
      <c r="B2258" t="s">
        <v>101</v>
      </c>
      <c r="C2258" t="s">
        <v>1148</v>
      </c>
      <c r="D2258">
        <v>3</v>
      </c>
      <c r="E2258">
        <v>4</v>
      </c>
      <c r="F2258" t="s">
        <v>105</v>
      </c>
      <c r="G2258" t="s">
        <v>11</v>
      </c>
      <c r="H2258" t="s">
        <v>11</v>
      </c>
    </row>
    <row r="2259" spans="1:8" x14ac:dyDescent="0.35">
      <c r="A2259" t="s">
        <v>49</v>
      </c>
      <c r="B2259" t="s">
        <v>101</v>
      </c>
      <c r="C2259" t="s">
        <v>1149</v>
      </c>
      <c r="D2259">
        <v>2</v>
      </c>
      <c r="E2259">
        <v>5</v>
      </c>
      <c r="F2259" t="s">
        <v>75</v>
      </c>
      <c r="G2259" t="s">
        <v>11</v>
      </c>
      <c r="H2259" t="s">
        <v>11</v>
      </c>
    </row>
    <row r="2260" spans="1:8" x14ac:dyDescent="0.35">
      <c r="A2260" t="s">
        <v>49</v>
      </c>
      <c r="B2260" t="s">
        <v>101</v>
      </c>
      <c r="C2260" t="s">
        <v>2482</v>
      </c>
      <c r="D2260">
        <v>3</v>
      </c>
      <c r="E2260">
        <v>4</v>
      </c>
      <c r="F2260" t="s">
        <v>105</v>
      </c>
      <c r="G2260" t="s">
        <v>11</v>
      </c>
      <c r="H2260" t="s">
        <v>11</v>
      </c>
    </row>
    <row r="2261" spans="1:8" x14ac:dyDescent="0.35">
      <c r="A2261" t="s">
        <v>49</v>
      </c>
      <c r="B2261" t="s">
        <v>101</v>
      </c>
      <c r="C2261" t="s">
        <v>2483</v>
      </c>
      <c r="D2261">
        <v>2</v>
      </c>
      <c r="E2261">
        <v>5</v>
      </c>
      <c r="F2261" t="s">
        <v>75</v>
      </c>
      <c r="G2261" t="s">
        <v>11</v>
      </c>
      <c r="H2261" t="s">
        <v>11</v>
      </c>
    </row>
    <row r="2262" spans="1:8" x14ac:dyDescent="0.35">
      <c r="A2262" t="s">
        <v>49</v>
      </c>
      <c r="B2262" t="s">
        <v>101</v>
      </c>
      <c r="C2262" t="s">
        <v>1298</v>
      </c>
      <c r="D2262">
        <v>2</v>
      </c>
      <c r="E2262">
        <v>5</v>
      </c>
      <c r="F2262" t="s">
        <v>75</v>
      </c>
      <c r="G2262" t="s">
        <v>11</v>
      </c>
      <c r="H2262" t="s">
        <v>11</v>
      </c>
    </row>
    <row r="2263" spans="1:8" x14ac:dyDescent="0.35">
      <c r="A2263" t="s">
        <v>49</v>
      </c>
      <c r="B2263" t="s">
        <v>101</v>
      </c>
      <c r="C2263" t="s">
        <v>1770</v>
      </c>
      <c r="D2263">
        <v>3</v>
      </c>
      <c r="E2263">
        <v>4</v>
      </c>
      <c r="F2263" t="s">
        <v>105</v>
      </c>
      <c r="G2263" t="s">
        <v>11</v>
      </c>
      <c r="H2263" t="s">
        <v>11</v>
      </c>
    </row>
    <row r="2264" spans="1:8" x14ac:dyDescent="0.35">
      <c r="A2264" t="s">
        <v>49</v>
      </c>
      <c r="B2264" t="s">
        <v>101</v>
      </c>
      <c r="C2264" t="s">
        <v>1254</v>
      </c>
      <c r="D2264">
        <v>3</v>
      </c>
      <c r="E2264">
        <v>4</v>
      </c>
      <c r="F2264" t="s">
        <v>105</v>
      </c>
      <c r="G2264" t="s">
        <v>11</v>
      </c>
      <c r="H2264" t="s">
        <v>11</v>
      </c>
    </row>
    <row r="2265" spans="1:8" x14ac:dyDescent="0.35">
      <c r="A2265" t="s">
        <v>49</v>
      </c>
      <c r="B2265" t="s">
        <v>101</v>
      </c>
      <c r="C2265" t="s">
        <v>1717</v>
      </c>
      <c r="D2265">
        <v>3</v>
      </c>
      <c r="E2265">
        <v>4</v>
      </c>
      <c r="F2265" t="s">
        <v>105</v>
      </c>
      <c r="G2265" t="s">
        <v>11</v>
      </c>
      <c r="H2265" t="s">
        <v>11</v>
      </c>
    </row>
    <row r="2266" spans="1:8" x14ac:dyDescent="0.35">
      <c r="A2266" t="s">
        <v>49</v>
      </c>
      <c r="B2266" t="s">
        <v>101</v>
      </c>
      <c r="C2266" t="s">
        <v>2484</v>
      </c>
      <c r="D2266">
        <v>2</v>
      </c>
      <c r="E2266">
        <v>5</v>
      </c>
      <c r="F2266" t="s">
        <v>75</v>
      </c>
      <c r="G2266" t="s">
        <v>11</v>
      </c>
      <c r="H2266" t="s">
        <v>11</v>
      </c>
    </row>
    <row r="2267" spans="1:8" x14ac:dyDescent="0.35">
      <c r="A2267" t="s">
        <v>49</v>
      </c>
      <c r="B2267" t="s">
        <v>101</v>
      </c>
      <c r="C2267" t="s">
        <v>1159</v>
      </c>
      <c r="D2267">
        <v>3</v>
      </c>
      <c r="E2267">
        <v>4</v>
      </c>
      <c r="F2267" t="s">
        <v>105</v>
      </c>
      <c r="G2267" t="s">
        <v>11</v>
      </c>
      <c r="H2267" t="s">
        <v>11</v>
      </c>
    </row>
    <row r="2268" spans="1:8" x14ac:dyDescent="0.35">
      <c r="A2268" t="s">
        <v>49</v>
      </c>
      <c r="B2268" t="s">
        <v>101</v>
      </c>
      <c r="C2268" t="s">
        <v>2420</v>
      </c>
      <c r="D2268">
        <v>2</v>
      </c>
      <c r="E2268">
        <v>5</v>
      </c>
      <c r="F2268" t="s">
        <v>75</v>
      </c>
      <c r="G2268" t="s">
        <v>11</v>
      </c>
      <c r="H2268" t="s">
        <v>11</v>
      </c>
    </row>
    <row r="2269" spans="1:8" x14ac:dyDescent="0.35">
      <c r="A2269" t="s">
        <v>49</v>
      </c>
      <c r="B2269" t="s">
        <v>101</v>
      </c>
      <c r="C2269" t="s">
        <v>2485</v>
      </c>
      <c r="D2269">
        <v>2</v>
      </c>
      <c r="E2269">
        <v>4</v>
      </c>
      <c r="F2269" t="s">
        <v>105</v>
      </c>
      <c r="G2269" t="s">
        <v>11</v>
      </c>
      <c r="H2269" t="s">
        <v>11</v>
      </c>
    </row>
    <row r="2270" spans="1:8" x14ac:dyDescent="0.35">
      <c r="A2270" t="s">
        <v>49</v>
      </c>
      <c r="B2270" t="s">
        <v>101</v>
      </c>
      <c r="C2270" t="s">
        <v>1265</v>
      </c>
      <c r="D2270">
        <v>3</v>
      </c>
      <c r="E2270">
        <v>4</v>
      </c>
      <c r="F2270" t="s">
        <v>105</v>
      </c>
      <c r="G2270" t="s">
        <v>11</v>
      </c>
      <c r="H2270" t="s">
        <v>11</v>
      </c>
    </row>
    <row r="2271" spans="1:8" x14ac:dyDescent="0.35">
      <c r="A2271" t="s">
        <v>49</v>
      </c>
      <c r="B2271" t="s">
        <v>101</v>
      </c>
      <c r="C2271" t="s">
        <v>1795</v>
      </c>
      <c r="D2271">
        <v>2</v>
      </c>
      <c r="E2271">
        <v>5</v>
      </c>
      <c r="F2271" t="s">
        <v>75</v>
      </c>
      <c r="G2271" t="s">
        <v>11</v>
      </c>
      <c r="H2271" t="s">
        <v>11</v>
      </c>
    </row>
    <row r="2272" spans="1:8" x14ac:dyDescent="0.35">
      <c r="A2272" t="s">
        <v>49</v>
      </c>
      <c r="B2272" t="s">
        <v>101</v>
      </c>
      <c r="C2272" t="s">
        <v>2486</v>
      </c>
      <c r="D2272">
        <v>3</v>
      </c>
      <c r="E2272">
        <v>4</v>
      </c>
      <c r="F2272" t="s">
        <v>105</v>
      </c>
      <c r="G2272" t="s">
        <v>11</v>
      </c>
      <c r="H2272" t="s">
        <v>11</v>
      </c>
    </row>
    <row r="2273" spans="1:8" x14ac:dyDescent="0.35">
      <c r="A2273" t="s">
        <v>49</v>
      </c>
      <c r="B2273" t="s">
        <v>101</v>
      </c>
      <c r="C2273" t="s">
        <v>2487</v>
      </c>
      <c r="D2273">
        <v>2</v>
      </c>
      <c r="E2273">
        <v>5</v>
      </c>
      <c r="F2273" t="s">
        <v>75</v>
      </c>
      <c r="G2273" t="s">
        <v>11</v>
      </c>
      <c r="H2273" t="s">
        <v>11</v>
      </c>
    </row>
    <row r="2274" spans="1:8" x14ac:dyDescent="0.35">
      <c r="A2274" t="s">
        <v>49</v>
      </c>
      <c r="B2274" t="s">
        <v>101</v>
      </c>
      <c r="C2274" t="s">
        <v>1277</v>
      </c>
      <c r="D2274">
        <v>2</v>
      </c>
      <c r="E2274">
        <v>5</v>
      </c>
      <c r="F2274" t="s">
        <v>75</v>
      </c>
      <c r="G2274" t="s">
        <v>11</v>
      </c>
      <c r="H2274" t="s">
        <v>11</v>
      </c>
    </row>
    <row r="2275" spans="1:8" x14ac:dyDescent="0.35">
      <c r="A2275" t="s">
        <v>49</v>
      </c>
      <c r="B2275" t="s">
        <v>101</v>
      </c>
      <c r="C2275" t="s">
        <v>2488</v>
      </c>
      <c r="D2275">
        <v>3</v>
      </c>
      <c r="E2275">
        <v>5</v>
      </c>
      <c r="F2275" t="s">
        <v>75</v>
      </c>
      <c r="G2275" t="s">
        <v>11</v>
      </c>
      <c r="H2275" t="s">
        <v>11</v>
      </c>
    </row>
    <row r="2276" spans="1:8" x14ac:dyDescent="0.35">
      <c r="A2276" t="s">
        <v>49</v>
      </c>
      <c r="B2276" t="s">
        <v>101</v>
      </c>
      <c r="C2276" t="s">
        <v>2489</v>
      </c>
      <c r="D2276">
        <v>2</v>
      </c>
      <c r="E2276">
        <v>5</v>
      </c>
      <c r="F2276" t="s">
        <v>75</v>
      </c>
      <c r="G2276" t="s">
        <v>11</v>
      </c>
      <c r="H2276" t="s">
        <v>11</v>
      </c>
    </row>
    <row r="2277" spans="1:8" x14ac:dyDescent="0.35">
      <c r="A2277" t="s">
        <v>49</v>
      </c>
      <c r="B2277" t="s">
        <v>101</v>
      </c>
      <c r="C2277" t="s">
        <v>1177</v>
      </c>
      <c r="D2277">
        <v>2</v>
      </c>
      <c r="E2277">
        <v>4</v>
      </c>
      <c r="F2277" t="s">
        <v>105</v>
      </c>
      <c r="G2277" t="s">
        <v>11</v>
      </c>
      <c r="H2277" t="s">
        <v>11</v>
      </c>
    </row>
    <row r="2278" spans="1:8" x14ac:dyDescent="0.35">
      <c r="A2278" t="s">
        <v>49</v>
      </c>
      <c r="B2278" t="s">
        <v>101</v>
      </c>
      <c r="C2278" t="s">
        <v>1558</v>
      </c>
      <c r="D2278">
        <v>2</v>
      </c>
      <c r="E2278">
        <v>5</v>
      </c>
      <c r="F2278" t="s">
        <v>75</v>
      </c>
      <c r="G2278" t="s">
        <v>11</v>
      </c>
      <c r="H2278" t="s">
        <v>11</v>
      </c>
    </row>
    <row r="2279" spans="1:8" x14ac:dyDescent="0.35">
      <c r="A2279" t="s">
        <v>49</v>
      </c>
      <c r="B2279" t="s">
        <v>101</v>
      </c>
      <c r="C2279" t="s">
        <v>2490</v>
      </c>
      <c r="D2279">
        <v>2</v>
      </c>
      <c r="E2279">
        <v>4</v>
      </c>
      <c r="F2279" t="s">
        <v>105</v>
      </c>
      <c r="G2279" t="s">
        <v>11</v>
      </c>
      <c r="H2279" t="s">
        <v>11</v>
      </c>
    </row>
    <row r="2280" spans="1:8" x14ac:dyDescent="0.35">
      <c r="A2280" t="s">
        <v>50</v>
      </c>
      <c r="B2280" t="s">
        <v>81</v>
      </c>
      <c r="C2280" t="s">
        <v>1338</v>
      </c>
      <c r="D2280">
        <v>1</v>
      </c>
      <c r="E2280">
        <v>5</v>
      </c>
      <c r="F2280" t="s">
        <v>7</v>
      </c>
      <c r="G2280" t="s">
        <v>11</v>
      </c>
      <c r="H2280" t="s">
        <v>11</v>
      </c>
    </row>
    <row r="2281" spans="1:8" x14ac:dyDescent="0.35">
      <c r="A2281" t="s">
        <v>50</v>
      </c>
      <c r="B2281" t="s">
        <v>81</v>
      </c>
      <c r="C2281" t="s">
        <v>2491</v>
      </c>
      <c r="D2281">
        <v>1</v>
      </c>
      <c r="E2281">
        <v>5</v>
      </c>
      <c r="F2281" t="s">
        <v>7</v>
      </c>
      <c r="G2281" t="s">
        <v>11</v>
      </c>
      <c r="H2281" t="s">
        <v>11</v>
      </c>
    </row>
    <row r="2282" spans="1:8" x14ac:dyDescent="0.35">
      <c r="A2282" t="s">
        <v>50</v>
      </c>
      <c r="B2282" t="s">
        <v>81</v>
      </c>
      <c r="C2282" t="s">
        <v>2492</v>
      </c>
      <c r="D2282">
        <v>1</v>
      </c>
      <c r="E2282">
        <v>5</v>
      </c>
      <c r="F2282" t="s">
        <v>7</v>
      </c>
      <c r="G2282" t="s">
        <v>11</v>
      </c>
      <c r="H2282" t="s">
        <v>11</v>
      </c>
    </row>
    <row r="2283" spans="1:8" x14ac:dyDescent="0.35">
      <c r="A2283" t="s">
        <v>50</v>
      </c>
      <c r="B2283" t="s">
        <v>81</v>
      </c>
      <c r="C2283" t="s">
        <v>2436</v>
      </c>
      <c r="D2283">
        <v>1</v>
      </c>
      <c r="E2283">
        <v>5</v>
      </c>
      <c r="F2283" t="s">
        <v>7</v>
      </c>
      <c r="G2283" t="s">
        <v>11</v>
      </c>
      <c r="H2283" t="s">
        <v>11</v>
      </c>
    </row>
    <row r="2284" spans="1:8" x14ac:dyDescent="0.35">
      <c r="A2284" t="s">
        <v>50</v>
      </c>
      <c r="B2284" t="s">
        <v>81</v>
      </c>
      <c r="C2284" t="s">
        <v>2493</v>
      </c>
      <c r="D2284">
        <v>1</v>
      </c>
      <c r="E2284">
        <v>5</v>
      </c>
      <c r="F2284" t="s">
        <v>7</v>
      </c>
      <c r="G2284" t="s">
        <v>11</v>
      </c>
      <c r="H2284" t="s">
        <v>11</v>
      </c>
    </row>
    <row r="2285" spans="1:8" x14ac:dyDescent="0.35">
      <c r="A2285" t="s">
        <v>50</v>
      </c>
      <c r="B2285" t="s">
        <v>81</v>
      </c>
      <c r="C2285" t="s">
        <v>2494</v>
      </c>
      <c r="D2285">
        <v>1</v>
      </c>
      <c r="E2285">
        <v>5</v>
      </c>
      <c r="F2285" t="s">
        <v>7</v>
      </c>
      <c r="G2285" t="s">
        <v>11</v>
      </c>
      <c r="H2285" t="s">
        <v>11</v>
      </c>
    </row>
    <row r="2286" spans="1:8" x14ac:dyDescent="0.35">
      <c r="A2286" t="s">
        <v>50</v>
      </c>
      <c r="B2286" t="s">
        <v>81</v>
      </c>
      <c r="C2286" t="s">
        <v>2495</v>
      </c>
      <c r="D2286">
        <v>1</v>
      </c>
      <c r="E2286">
        <v>5</v>
      </c>
      <c r="F2286" t="s">
        <v>7</v>
      </c>
      <c r="G2286" t="s">
        <v>11</v>
      </c>
      <c r="H2286" t="s">
        <v>11</v>
      </c>
    </row>
    <row r="2287" spans="1:8" x14ac:dyDescent="0.35">
      <c r="A2287" t="s">
        <v>50</v>
      </c>
      <c r="B2287" t="s">
        <v>81</v>
      </c>
      <c r="C2287" t="s">
        <v>1408</v>
      </c>
      <c r="D2287">
        <v>1</v>
      </c>
      <c r="E2287">
        <v>5</v>
      </c>
      <c r="F2287" t="s">
        <v>7</v>
      </c>
      <c r="G2287" t="s">
        <v>11</v>
      </c>
      <c r="H2287" t="s">
        <v>11</v>
      </c>
    </row>
    <row r="2288" spans="1:8" x14ac:dyDescent="0.35">
      <c r="A2288" t="s">
        <v>50</v>
      </c>
      <c r="B2288" t="s">
        <v>81</v>
      </c>
      <c r="C2288" t="s">
        <v>2496</v>
      </c>
      <c r="D2288">
        <v>1</v>
      </c>
      <c r="E2288">
        <v>4</v>
      </c>
      <c r="F2288" t="s">
        <v>7</v>
      </c>
      <c r="G2288" t="s">
        <v>11</v>
      </c>
      <c r="H2288" t="s">
        <v>11</v>
      </c>
    </row>
    <row r="2289" spans="1:8" x14ac:dyDescent="0.35">
      <c r="A2289" t="s">
        <v>50</v>
      </c>
      <c r="B2289" t="s">
        <v>81</v>
      </c>
      <c r="C2289" t="s">
        <v>1119</v>
      </c>
      <c r="D2289">
        <v>1</v>
      </c>
      <c r="E2289">
        <v>5</v>
      </c>
      <c r="F2289" t="s">
        <v>7</v>
      </c>
      <c r="G2289" t="s">
        <v>11</v>
      </c>
      <c r="H2289" t="s">
        <v>11</v>
      </c>
    </row>
    <row r="2290" spans="1:8" x14ac:dyDescent="0.35">
      <c r="A2290" t="s">
        <v>50</v>
      </c>
      <c r="B2290" t="s">
        <v>81</v>
      </c>
      <c r="C2290" t="s">
        <v>2497</v>
      </c>
      <c r="D2290">
        <v>2</v>
      </c>
      <c r="E2290">
        <v>5</v>
      </c>
      <c r="F2290" t="s">
        <v>7</v>
      </c>
      <c r="G2290" t="s">
        <v>11</v>
      </c>
      <c r="H2290" t="s">
        <v>11</v>
      </c>
    </row>
    <row r="2291" spans="1:8" x14ac:dyDescent="0.35">
      <c r="A2291" t="s">
        <v>50</v>
      </c>
      <c r="B2291" t="s">
        <v>81</v>
      </c>
      <c r="C2291" t="s">
        <v>1872</v>
      </c>
      <c r="D2291">
        <v>1</v>
      </c>
      <c r="E2291">
        <v>6</v>
      </c>
      <c r="F2291" t="s">
        <v>7</v>
      </c>
      <c r="G2291" t="s">
        <v>11</v>
      </c>
      <c r="H2291" t="s">
        <v>11</v>
      </c>
    </row>
    <row r="2292" spans="1:8" x14ac:dyDescent="0.35">
      <c r="A2292" t="s">
        <v>50</v>
      </c>
      <c r="B2292" t="s">
        <v>81</v>
      </c>
      <c r="C2292" t="s">
        <v>2147</v>
      </c>
      <c r="D2292">
        <v>1</v>
      </c>
      <c r="E2292">
        <v>5</v>
      </c>
      <c r="F2292" t="s">
        <v>7</v>
      </c>
      <c r="G2292" t="s">
        <v>11</v>
      </c>
      <c r="H2292" t="s">
        <v>11</v>
      </c>
    </row>
    <row r="2293" spans="1:8" x14ac:dyDescent="0.35">
      <c r="A2293" t="s">
        <v>50</v>
      </c>
      <c r="B2293" t="s">
        <v>81</v>
      </c>
      <c r="C2293" t="s">
        <v>2498</v>
      </c>
      <c r="D2293">
        <v>1</v>
      </c>
      <c r="E2293">
        <v>5</v>
      </c>
      <c r="F2293" t="s">
        <v>7</v>
      </c>
      <c r="G2293" t="s">
        <v>11</v>
      </c>
      <c r="H2293" t="s">
        <v>11</v>
      </c>
    </row>
    <row r="2294" spans="1:8" x14ac:dyDescent="0.35">
      <c r="A2294" t="s">
        <v>50</v>
      </c>
      <c r="B2294" t="s">
        <v>81</v>
      </c>
      <c r="C2294" t="s">
        <v>2499</v>
      </c>
      <c r="D2294">
        <v>1</v>
      </c>
      <c r="E2294">
        <v>4</v>
      </c>
      <c r="F2294" t="s">
        <v>7</v>
      </c>
      <c r="G2294" t="s">
        <v>11</v>
      </c>
      <c r="H2294" t="s">
        <v>11</v>
      </c>
    </row>
    <row r="2295" spans="1:8" x14ac:dyDescent="0.35">
      <c r="A2295" t="s">
        <v>50</v>
      </c>
      <c r="B2295" t="s">
        <v>81</v>
      </c>
      <c r="C2295" t="s">
        <v>2500</v>
      </c>
      <c r="D2295">
        <v>1</v>
      </c>
      <c r="E2295">
        <v>5</v>
      </c>
      <c r="F2295" t="s">
        <v>7</v>
      </c>
      <c r="G2295" t="s">
        <v>11</v>
      </c>
      <c r="H2295" t="s">
        <v>11</v>
      </c>
    </row>
    <row r="2296" spans="1:8" x14ac:dyDescent="0.35">
      <c r="A2296" t="s">
        <v>50</v>
      </c>
      <c r="B2296" t="s">
        <v>81</v>
      </c>
      <c r="C2296" t="s">
        <v>2501</v>
      </c>
      <c r="D2296">
        <v>1</v>
      </c>
      <c r="E2296">
        <v>6</v>
      </c>
      <c r="F2296" t="s">
        <v>7</v>
      </c>
      <c r="G2296" t="s">
        <v>11</v>
      </c>
      <c r="H2296" t="s">
        <v>11</v>
      </c>
    </row>
    <row r="2297" spans="1:8" x14ac:dyDescent="0.35">
      <c r="A2297" t="s">
        <v>50</v>
      </c>
      <c r="B2297" t="s">
        <v>81</v>
      </c>
      <c r="C2297" t="s">
        <v>1608</v>
      </c>
      <c r="D2297">
        <v>1</v>
      </c>
      <c r="E2297">
        <v>5</v>
      </c>
      <c r="F2297" t="s">
        <v>7</v>
      </c>
      <c r="G2297" t="s">
        <v>11</v>
      </c>
      <c r="H2297" t="s">
        <v>11</v>
      </c>
    </row>
    <row r="2298" spans="1:8" x14ac:dyDescent="0.35">
      <c r="A2298" t="s">
        <v>50</v>
      </c>
      <c r="B2298" t="s">
        <v>81</v>
      </c>
      <c r="C2298" t="s">
        <v>1235</v>
      </c>
      <c r="D2298">
        <v>1</v>
      </c>
      <c r="E2298">
        <v>5</v>
      </c>
      <c r="F2298" t="s">
        <v>7</v>
      </c>
      <c r="G2298" t="s">
        <v>11</v>
      </c>
      <c r="H2298" t="s">
        <v>11</v>
      </c>
    </row>
    <row r="2299" spans="1:8" x14ac:dyDescent="0.35">
      <c r="A2299" t="s">
        <v>50</v>
      </c>
      <c r="B2299" t="s">
        <v>81</v>
      </c>
      <c r="C2299" t="s">
        <v>1238</v>
      </c>
      <c r="D2299">
        <v>2</v>
      </c>
      <c r="E2299">
        <v>5</v>
      </c>
      <c r="F2299" t="s">
        <v>7</v>
      </c>
      <c r="G2299" t="s">
        <v>11</v>
      </c>
      <c r="H2299" t="s">
        <v>11</v>
      </c>
    </row>
    <row r="2300" spans="1:8" x14ac:dyDescent="0.35">
      <c r="A2300" t="s">
        <v>50</v>
      </c>
      <c r="B2300" t="s">
        <v>81</v>
      </c>
      <c r="C2300" t="s">
        <v>1610</v>
      </c>
      <c r="D2300">
        <v>1</v>
      </c>
      <c r="E2300">
        <v>5</v>
      </c>
      <c r="F2300" t="s">
        <v>7</v>
      </c>
      <c r="G2300" t="s">
        <v>11</v>
      </c>
      <c r="H2300" t="s">
        <v>11</v>
      </c>
    </row>
    <row r="2301" spans="1:8" x14ac:dyDescent="0.35">
      <c r="A2301" t="s">
        <v>50</v>
      </c>
      <c r="B2301" t="s">
        <v>81</v>
      </c>
      <c r="C2301" t="s">
        <v>2502</v>
      </c>
      <c r="D2301">
        <v>1</v>
      </c>
      <c r="E2301">
        <v>5</v>
      </c>
      <c r="F2301" t="s">
        <v>7</v>
      </c>
      <c r="G2301" t="s">
        <v>11</v>
      </c>
      <c r="H2301" t="s">
        <v>11</v>
      </c>
    </row>
    <row r="2302" spans="1:8" x14ac:dyDescent="0.35">
      <c r="A2302" t="s">
        <v>50</v>
      </c>
      <c r="B2302" t="s">
        <v>81</v>
      </c>
      <c r="C2302" t="s">
        <v>1660</v>
      </c>
      <c r="D2302">
        <v>1</v>
      </c>
      <c r="E2302">
        <v>4</v>
      </c>
      <c r="F2302" t="s">
        <v>7</v>
      </c>
      <c r="G2302" t="s">
        <v>11</v>
      </c>
      <c r="H2302" t="s">
        <v>11</v>
      </c>
    </row>
    <row r="2303" spans="1:8" x14ac:dyDescent="0.35">
      <c r="A2303" t="s">
        <v>50</v>
      </c>
      <c r="B2303" t="s">
        <v>81</v>
      </c>
      <c r="C2303" t="s">
        <v>1753</v>
      </c>
      <c r="D2303">
        <v>2</v>
      </c>
      <c r="E2303">
        <v>6</v>
      </c>
      <c r="F2303" t="s">
        <v>7</v>
      </c>
      <c r="G2303" t="s">
        <v>11</v>
      </c>
      <c r="H2303" t="s">
        <v>11</v>
      </c>
    </row>
    <row r="2304" spans="1:8" x14ac:dyDescent="0.35">
      <c r="A2304" t="s">
        <v>50</v>
      </c>
      <c r="B2304" t="s">
        <v>81</v>
      </c>
      <c r="C2304" t="s">
        <v>2282</v>
      </c>
      <c r="D2304">
        <v>2</v>
      </c>
      <c r="E2304">
        <v>5</v>
      </c>
      <c r="F2304" t="s">
        <v>7</v>
      </c>
      <c r="G2304" t="s">
        <v>11</v>
      </c>
      <c r="H2304" t="s">
        <v>11</v>
      </c>
    </row>
    <row r="2305" spans="1:8" x14ac:dyDescent="0.35">
      <c r="A2305" t="s">
        <v>50</v>
      </c>
      <c r="B2305" t="s">
        <v>81</v>
      </c>
      <c r="C2305" t="s">
        <v>1141</v>
      </c>
      <c r="D2305">
        <v>2</v>
      </c>
      <c r="E2305">
        <v>5</v>
      </c>
      <c r="F2305" t="s">
        <v>7</v>
      </c>
      <c r="G2305" t="s">
        <v>11</v>
      </c>
      <c r="H2305" t="s">
        <v>11</v>
      </c>
    </row>
    <row r="2306" spans="1:8" x14ac:dyDescent="0.35">
      <c r="A2306" t="s">
        <v>50</v>
      </c>
      <c r="B2306" t="s">
        <v>81</v>
      </c>
      <c r="C2306" t="s">
        <v>2503</v>
      </c>
      <c r="D2306">
        <v>2</v>
      </c>
      <c r="E2306">
        <v>5</v>
      </c>
      <c r="F2306" t="s">
        <v>7</v>
      </c>
      <c r="G2306" t="s">
        <v>11</v>
      </c>
      <c r="H2306" t="s">
        <v>11</v>
      </c>
    </row>
    <row r="2307" spans="1:8" x14ac:dyDescent="0.35">
      <c r="A2307" t="s">
        <v>50</v>
      </c>
      <c r="B2307" t="s">
        <v>81</v>
      </c>
      <c r="C2307" t="s">
        <v>1142</v>
      </c>
      <c r="D2307">
        <v>1</v>
      </c>
      <c r="E2307">
        <v>5</v>
      </c>
      <c r="F2307" t="s">
        <v>7</v>
      </c>
      <c r="G2307" t="s">
        <v>11</v>
      </c>
      <c r="H2307" t="s">
        <v>11</v>
      </c>
    </row>
    <row r="2308" spans="1:8" x14ac:dyDescent="0.35">
      <c r="A2308" t="s">
        <v>50</v>
      </c>
      <c r="B2308" t="s">
        <v>81</v>
      </c>
      <c r="C2308" t="s">
        <v>1244</v>
      </c>
      <c r="D2308">
        <v>1</v>
      </c>
      <c r="E2308">
        <v>5</v>
      </c>
      <c r="F2308" t="s">
        <v>7</v>
      </c>
      <c r="G2308" t="s">
        <v>11</v>
      </c>
      <c r="H2308" t="s">
        <v>11</v>
      </c>
    </row>
    <row r="2309" spans="1:8" x14ac:dyDescent="0.35">
      <c r="A2309" t="s">
        <v>50</v>
      </c>
      <c r="B2309" t="s">
        <v>81</v>
      </c>
      <c r="C2309" t="s">
        <v>1144</v>
      </c>
      <c r="D2309">
        <v>2</v>
      </c>
      <c r="E2309">
        <v>5</v>
      </c>
      <c r="F2309" t="s">
        <v>7</v>
      </c>
      <c r="G2309" t="s">
        <v>11</v>
      </c>
      <c r="H2309" t="s">
        <v>11</v>
      </c>
    </row>
    <row r="2310" spans="1:8" x14ac:dyDescent="0.35">
      <c r="A2310" t="s">
        <v>50</v>
      </c>
      <c r="B2310" t="s">
        <v>81</v>
      </c>
      <c r="C2310" t="s">
        <v>2504</v>
      </c>
      <c r="D2310">
        <v>1</v>
      </c>
      <c r="E2310">
        <v>5</v>
      </c>
      <c r="F2310" t="s">
        <v>7</v>
      </c>
      <c r="G2310" t="s">
        <v>11</v>
      </c>
      <c r="H2310" t="s">
        <v>11</v>
      </c>
    </row>
    <row r="2311" spans="1:8" x14ac:dyDescent="0.35">
      <c r="A2311" t="s">
        <v>50</v>
      </c>
      <c r="B2311" t="s">
        <v>81</v>
      </c>
      <c r="C2311" t="s">
        <v>2505</v>
      </c>
      <c r="D2311">
        <v>1</v>
      </c>
      <c r="E2311">
        <v>5</v>
      </c>
      <c r="F2311" t="s">
        <v>7</v>
      </c>
      <c r="G2311" t="s">
        <v>11</v>
      </c>
      <c r="H2311" t="s">
        <v>11</v>
      </c>
    </row>
    <row r="2312" spans="1:8" x14ac:dyDescent="0.35">
      <c r="A2312" t="s">
        <v>50</v>
      </c>
      <c r="B2312" t="s">
        <v>81</v>
      </c>
      <c r="C2312" t="s">
        <v>1149</v>
      </c>
      <c r="D2312">
        <v>2</v>
      </c>
      <c r="E2312">
        <v>5</v>
      </c>
      <c r="F2312" t="s">
        <v>7</v>
      </c>
      <c r="G2312" t="s">
        <v>11</v>
      </c>
      <c r="H2312" t="s">
        <v>11</v>
      </c>
    </row>
    <row r="2313" spans="1:8" x14ac:dyDescent="0.35">
      <c r="A2313" t="s">
        <v>50</v>
      </c>
      <c r="B2313" t="s">
        <v>81</v>
      </c>
      <c r="C2313" t="s">
        <v>2506</v>
      </c>
      <c r="D2313">
        <v>1</v>
      </c>
      <c r="E2313">
        <v>5</v>
      </c>
      <c r="F2313" t="s">
        <v>7</v>
      </c>
      <c r="G2313" t="s">
        <v>11</v>
      </c>
      <c r="H2313" t="s">
        <v>11</v>
      </c>
    </row>
    <row r="2314" spans="1:8" x14ac:dyDescent="0.35">
      <c r="A2314" t="s">
        <v>50</v>
      </c>
      <c r="B2314" t="s">
        <v>81</v>
      </c>
      <c r="C2314" t="s">
        <v>2507</v>
      </c>
      <c r="D2314">
        <v>1</v>
      </c>
      <c r="E2314">
        <v>5</v>
      </c>
      <c r="F2314" t="s">
        <v>7</v>
      </c>
      <c r="G2314" t="s">
        <v>11</v>
      </c>
      <c r="H2314" t="s">
        <v>11</v>
      </c>
    </row>
    <row r="2315" spans="1:8" x14ac:dyDescent="0.35">
      <c r="A2315" t="s">
        <v>50</v>
      </c>
      <c r="B2315" t="s">
        <v>81</v>
      </c>
      <c r="C2315" t="s">
        <v>2205</v>
      </c>
      <c r="D2315">
        <v>1</v>
      </c>
      <c r="E2315">
        <v>5</v>
      </c>
      <c r="F2315" t="s">
        <v>7</v>
      </c>
      <c r="G2315" t="s">
        <v>11</v>
      </c>
      <c r="H2315" t="s">
        <v>11</v>
      </c>
    </row>
    <row r="2316" spans="1:8" x14ac:dyDescent="0.35">
      <c r="A2316" t="s">
        <v>50</v>
      </c>
      <c r="B2316" t="s">
        <v>81</v>
      </c>
      <c r="C2316" t="s">
        <v>1152</v>
      </c>
      <c r="D2316">
        <v>2</v>
      </c>
      <c r="E2316">
        <v>5</v>
      </c>
      <c r="F2316" t="s">
        <v>7</v>
      </c>
      <c r="G2316" t="s">
        <v>11</v>
      </c>
      <c r="H2316" t="s">
        <v>11</v>
      </c>
    </row>
    <row r="2317" spans="1:8" x14ac:dyDescent="0.35">
      <c r="A2317" t="s">
        <v>50</v>
      </c>
      <c r="B2317" t="s">
        <v>81</v>
      </c>
      <c r="C2317" t="s">
        <v>2508</v>
      </c>
      <c r="D2317">
        <v>1</v>
      </c>
      <c r="E2317">
        <v>5</v>
      </c>
      <c r="F2317" t="s">
        <v>7</v>
      </c>
      <c r="G2317" t="s">
        <v>11</v>
      </c>
      <c r="H2317" t="s">
        <v>11</v>
      </c>
    </row>
    <row r="2318" spans="1:8" x14ac:dyDescent="0.35">
      <c r="A2318" t="s">
        <v>50</v>
      </c>
      <c r="B2318" t="s">
        <v>81</v>
      </c>
      <c r="C2318" t="s">
        <v>2509</v>
      </c>
      <c r="D2318">
        <v>1</v>
      </c>
      <c r="E2318">
        <v>5</v>
      </c>
      <c r="F2318" t="s">
        <v>7</v>
      </c>
      <c r="G2318" t="s">
        <v>11</v>
      </c>
      <c r="H2318" t="s">
        <v>11</v>
      </c>
    </row>
    <row r="2319" spans="1:8" x14ac:dyDescent="0.35">
      <c r="A2319" t="s">
        <v>50</v>
      </c>
      <c r="B2319" t="s">
        <v>81</v>
      </c>
      <c r="C2319" t="s">
        <v>2510</v>
      </c>
      <c r="D2319">
        <v>1</v>
      </c>
      <c r="E2319">
        <v>5</v>
      </c>
      <c r="F2319" t="s">
        <v>7</v>
      </c>
      <c r="G2319" t="s">
        <v>11</v>
      </c>
      <c r="H2319" t="s">
        <v>11</v>
      </c>
    </row>
    <row r="2320" spans="1:8" x14ac:dyDescent="0.35">
      <c r="A2320" t="s">
        <v>50</v>
      </c>
      <c r="B2320" t="s">
        <v>81</v>
      </c>
      <c r="C2320" t="s">
        <v>2511</v>
      </c>
      <c r="D2320">
        <v>1</v>
      </c>
      <c r="E2320">
        <v>5</v>
      </c>
      <c r="F2320" t="s">
        <v>7</v>
      </c>
      <c r="G2320" t="s">
        <v>11</v>
      </c>
      <c r="H2320" t="s">
        <v>11</v>
      </c>
    </row>
    <row r="2321" spans="1:8" x14ac:dyDescent="0.35">
      <c r="A2321" t="s">
        <v>50</v>
      </c>
      <c r="B2321" t="s">
        <v>81</v>
      </c>
      <c r="C2321" t="s">
        <v>2512</v>
      </c>
      <c r="D2321">
        <v>2</v>
      </c>
      <c r="E2321">
        <v>6</v>
      </c>
      <c r="F2321" t="s">
        <v>7</v>
      </c>
      <c r="G2321" t="s">
        <v>11</v>
      </c>
      <c r="H2321" t="s">
        <v>11</v>
      </c>
    </row>
    <row r="2322" spans="1:8" x14ac:dyDescent="0.35">
      <c r="A2322" t="s">
        <v>50</v>
      </c>
      <c r="B2322" t="s">
        <v>81</v>
      </c>
      <c r="C2322" t="s">
        <v>1636</v>
      </c>
      <c r="D2322">
        <v>2</v>
      </c>
      <c r="E2322">
        <v>5</v>
      </c>
      <c r="F2322" t="s">
        <v>7</v>
      </c>
      <c r="G2322" t="s">
        <v>11</v>
      </c>
      <c r="H2322" t="s">
        <v>11</v>
      </c>
    </row>
    <row r="2323" spans="1:8" x14ac:dyDescent="0.35">
      <c r="A2323" t="s">
        <v>50</v>
      </c>
      <c r="B2323" t="s">
        <v>81</v>
      </c>
      <c r="C2323" t="s">
        <v>2513</v>
      </c>
      <c r="D2323">
        <v>1</v>
      </c>
      <c r="E2323">
        <v>5</v>
      </c>
      <c r="F2323" t="s">
        <v>7</v>
      </c>
      <c r="G2323" t="s">
        <v>11</v>
      </c>
      <c r="H2323" t="s">
        <v>11</v>
      </c>
    </row>
    <row r="2324" spans="1:8" x14ac:dyDescent="0.35">
      <c r="A2324" t="s">
        <v>50</v>
      </c>
      <c r="B2324" t="s">
        <v>81</v>
      </c>
      <c r="C2324" t="s">
        <v>1162</v>
      </c>
      <c r="D2324">
        <v>1</v>
      </c>
      <c r="E2324">
        <v>5</v>
      </c>
      <c r="F2324" t="s">
        <v>7</v>
      </c>
      <c r="G2324" t="s">
        <v>11</v>
      </c>
      <c r="H2324" t="s">
        <v>11</v>
      </c>
    </row>
    <row r="2325" spans="1:8" x14ac:dyDescent="0.35">
      <c r="A2325" t="s">
        <v>50</v>
      </c>
      <c r="B2325" t="s">
        <v>81</v>
      </c>
      <c r="C2325" t="s">
        <v>1163</v>
      </c>
      <c r="D2325">
        <v>1</v>
      </c>
      <c r="E2325">
        <v>4</v>
      </c>
      <c r="F2325" t="s">
        <v>7</v>
      </c>
      <c r="G2325" t="s">
        <v>11</v>
      </c>
      <c r="H2325" t="s">
        <v>11</v>
      </c>
    </row>
    <row r="2326" spans="1:8" x14ac:dyDescent="0.35">
      <c r="A2326" t="s">
        <v>50</v>
      </c>
      <c r="B2326" t="s">
        <v>81</v>
      </c>
      <c r="C2326" t="s">
        <v>2514</v>
      </c>
      <c r="D2326">
        <v>1</v>
      </c>
      <c r="E2326">
        <v>5</v>
      </c>
      <c r="F2326" t="s">
        <v>7</v>
      </c>
      <c r="G2326" t="s">
        <v>11</v>
      </c>
      <c r="H2326" t="s">
        <v>11</v>
      </c>
    </row>
    <row r="2327" spans="1:8" x14ac:dyDescent="0.35">
      <c r="A2327" t="s">
        <v>50</v>
      </c>
      <c r="B2327" t="s">
        <v>81</v>
      </c>
      <c r="C2327" t="s">
        <v>2345</v>
      </c>
      <c r="D2327">
        <v>1</v>
      </c>
      <c r="E2327">
        <v>5</v>
      </c>
      <c r="F2327" t="s">
        <v>7</v>
      </c>
      <c r="G2327" t="s">
        <v>11</v>
      </c>
      <c r="H2327" t="s">
        <v>11</v>
      </c>
    </row>
    <row r="2328" spans="1:8" x14ac:dyDescent="0.35">
      <c r="A2328" t="s">
        <v>50</v>
      </c>
      <c r="B2328" t="s">
        <v>81</v>
      </c>
      <c r="C2328" t="s">
        <v>2515</v>
      </c>
      <c r="D2328">
        <v>1</v>
      </c>
      <c r="E2328">
        <v>5</v>
      </c>
      <c r="F2328" t="s">
        <v>7</v>
      </c>
      <c r="G2328" t="s">
        <v>11</v>
      </c>
      <c r="H2328" t="s">
        <v>11</v>
      </c>
    </row>
    <row r="2329" spans="1:8" x14ac:dyDescent="0.35">
      <c r="A2329" t="s">
        <v>50</v>
      </c>
      <c r="B2329" t="s">
        <v>81</v>
      </c>
      <c r="C2329" t="s">
        <v>1165</v>
      </c>
      <c r="D2329">
        <v>1</v>
      </c>
      <c r="E2329">
        <v>5</v>
      </c>
      <c r="F2329" t="s">
        <v>7</v>
      </c>
      <c r="G2329" t="s">
        <v>11</v>
      </c>
      <c r="H2329" t="s">
        <v>11</v>
      </c>
    </row>
    <row r="2330" spans="1:8" x14ac:dyDescent="0.35">
      <c r="A2330" t="s">
        <v>50</v>
      </c>
      <c r="B2330" t="s">
        <v>81</v>
      </c>
      <c r="C2330" t="s">
        <v>2516</v>
      </c>
      <c r="D2330">
        <v>3</v>
      </c>
      <c r="E2330">
        <v>4</v>
      </c>
      <c r="F2330" t="s">
        <v>7</v>
      </c>
      <c r="G2330" t="s">
        <v>11</v>
      </c>
      <c r="H2330" t="s">
        <v>11</v>
      </c>
    </row>
    <row r="2331" spans="1:8" x14ac:dyDescent="0.35">
      <c r="A2331" t="s">
        <v>50</v>
      </c>
      <c r="B2331" t="s">
        <v>81</v>
      </c>
      <c r="C2331" t="s">
        <v>1167</v>
      </c>
      <c r="D2331">
        <v>2</v>
      </c>
      <c r="E2331">
        <v>5</v>
      </c>
      <c r="F2331" t="s">
        <v>7</v>
      </c>
      <c r="G2331" t="s">
        <v>11</v>
      </c>
      <c r="H2331" t="s">
        <v>11</v>
      </c>
    </row>
    <row r="2332" spans="1:8" x14ac:dyDescent="0.35">
      <c r="A2332" t="s">
        <v>50</v>
      </c>
      <c r="B2332" t="s">
        <v>81</v>
      </c>
      <c r="C2332" t="s">
        <v>2517</v>
      </c>
      <c r="D2332">
        <v>2</v>
      </c>
      <c r="E2332">
        <v>6</v>
      </c>
      <c r="F2332" t="s">
        <v>7</v>
      </c>
      <c r="G2332" t="s">
        <v>11</v>
      </c>
      <c r="H2332" t="s">
        <v>11</v>
      </c>
    </row>
    <row r="2333" spans="1:8" x14ac:dyDescent="0.35">
      <c r="A2333" t="s">
        <v>50</v>
      </c>
      <c r="B2333" t="s">
        <v>81</v>
      </c>
      <c r="C2333" t="s">
        <v>2518</v>
      </c>
      <c r="D2333">
        <v>1</v>
      </c>
      <c r="E2333">
        <v>5</v>
      </c>
      <c r="F2333" t="s">
        <v>7</v>
      </c>
      <c r="G2333" t="s">
        <v>11</v>
      </c>
      <c r="H2333" t="s">
        <v>11</v>
      </c>
    </row>
    <row r="2334" spans="1:8" x14ac:dyDescent="0.35">
      <c r="A2334" t="s">
        <v>50</v>
      </c>
      <c r="B2334" t="s">
        <v>81</v>
      </c>
      <c r="C2334" t="s">
        <v>2519</v>
      </c>
      <c r="D2334">
        <v>1</v>
      </c>
      <c r="E2334">
        <v>5</v>
      </c>
      <c r="F2334" t="s">
        <v>7</v>
      </c>
      <c r="G2334" t="s">
        <v>11</v>
      </c>
      <c r="H2334" t="s">
        <v>11</v>
      </c>
    </row>
    <row r="2335" spans="1:8" x14ac:dyDescent="0.35">
      <c r="A2335" t="s">
        <v>50</v>
      </c>
      <c r="B2335" t="s">
        <v>81</v>
      </c>
      <c r="C2335" t="s">
        <v>1916</v>
      </c>
      <c r="D2335">
        <v>2</v>
      </c>
      <c r="E2335">
        <v>5</v>
      </c>
      <c r="F2335" t="s">
        <v>7</v>
      </c>
      <c r="G2335" t="s">
        <v>11</v>
      </c>
      <c r="H2335" t="s">
        <v>11</v>
      </c>
    </row>
    <row r="2336" spans="1:8" x14ac:dyDescent="0.35">
      <c r="A2336" t="s">
        <v>50</v>
      </c>
      <c r="B2336" t="s">
        <v>81</v>
      </c>
      <c r="C2336" t="s">
        <v>1686</v>
      </c>
      <c r="D2336">
        <v>1</v>
      </c>
      <c r="E2336">
        <v>5</v>
      </c>
      <c r="F2336" t="s">
        <v>7</v>
      </c>
      <c r="G2336" t="s">
        <v>11</v>
      </c>
      <c r="H2336" t="s">
        <v>11</v>
      </c>
    </row>
    <row r="2337" spans="1:8" x14ac:dyDescent="0.35">
      <c r="A2337" t="s">
        <v>50</v>
      </c>
      <c r="B2337" t="s">
        <v>81</v>
      </c>
      <c r="C2337" t="s">
        <v>2520</v>
      </c>
      <c r="D2337">
        <v>1</v>
      </c>
      <c r="E2337">
        <v>6</v>
      </c>
      <c r="F2337" t="s">
        <v>7</v>
      </c>
      <c r="G2337" t="s">
        <v>11</v>
      </c>
      <c r="H2337" t="s">
        <v>11</v>
      </c>
    </row>
    <row r="2338" spans="1:8" x14ac:dyDescent="0.35">
      <c r="A2338" t="s">
        <v>50</v>
      </c>
      <c r="B2338" t="s">
        <v>81</v>
      </c>
      <c r="C2338" t="s">
        <v>2297</v>
      </c>
      <c r="D2338">
        <v>1</v>
      </c>
      <c r="E2338">
        <v>6</v>
      </c>
      <c r="F2338" t="s">
        <v>7</v>
      </c>
      <c r="G2338" t="s">
        <v>11</v>
      </c>
      <c r="H2338" t="s">
        <v>11</v>
      </c>
    </row>
    <row r="2339" spans="1:8" x14ac:dyDescent="0.35">
      <c r="A2339" t="s">
        <v>50</v>
      </c>
      <c r="B2339" t="s">
        <v>81</v>
      </c>
      <c r="C2339" t="s">
        <v>1277</v>
      </c>
      <c r="D2339">
        <v>1</v>
      </c>
      <c r="E2339">
        <v>5</v>
      </c>
      <c r="F2339" t="s">
        <v>7</v>
      </c>
      <c r="G2339" t="s">
        <v>11</v>
      </c>
      <c r="H2339" t="s">
        <v>11</v>
      </c>
    </row>
    <row r="2340" spans="1:8" x14ac:dyDescent="0.35">
      <c r="A2340" t="s">
        <v>50</v>
      </c>
      <c r="B2340" t="s">
        <v>81</v>
      </c>
      <c r="C2340" t="s">
        <v>2521</v>
      </c>
      <c r="D2340">
        <v>1</v>
      </c>
      <c r="E2340">
        <v>5</v>
      </c>
      <c r="F2340" t="s">
        <v>7</v>
      </c>
      <c r="G2340" t="s">
        <v>11</v>
      </c>
      <c r="H2340" t="s">
        <v>11</v>
      </c>
    </row>
    <row r="2341" spans="1:8" x14ac:dyDescent="0.35">
      <c r="A2341" t="s">
        <v>50</v>
      </c>
      <c r="B2341" t="s">
        <v>81</v>
      </c>
      <c r="C2341" t="s">
        <v>1555</v>
      </c>
      <c r="D2341">
        <v>2</v>
      </c>
      <c r="E2341">
        <v>5</v>
      </c>
      <c r="F2341" t="s">
        <v>7</v>
      </c>
      <c r="G2341" t="s">
        <v>11</v>
      </c>
      <c r="H2341" t="s">
        <v>11</v>
      </c>
    </row>
    <row r="2342" spans="1:8" x14ac:dyDescent="0.35">
      <c r="A2342" t="s">
        <v>50</v>
      </c>
      <c r="B2342" t="s">
        <v>81</v>
      </c>
      <c r="C2342" t="s">
        <v>1177</v>
      </c>
      <c r="D2342">
        <v>2</v>
      </c>
      <c r="E2342">
        <v>5</v>
      </c>
      <c r="F2342" t="s">
        <v>7</v>
      </c>
      <c r="G2342" t="s">
        <v>11</v>
      </c>
      <c r="H2342" t="s">
        <v>11</v>
      </c>
    </row>
    <row r="2343" spans="1:8" x14ac:dyDescent="0.35">
      <c r="A2343" t="s">
        <v>50</v>
      </c>
      <c r="B2343" t="s">
        <v>81</v>
      </c>
      <c r="C2343" t="s">
        <v>1556</v>
      </c>
      <c r="D2343">
        <v>2</v>
      </c>
      <c r="E2343">
        <v>6</v>
      </c>
      <c r="F2343" t="s">
        <v>7</v>
      </c>
      <c r="G2343" t="s">
        <v>11</v>
      </c>
      <c r="H2343" t="s">
        <v>11</v>
      </c>
    </row>
    <row r="2344" spans="1:8" x14ac:dyDescent="0.35">
      <c r="A2344" t="s">
        <v>50</v>
      </c>
      <c r="B2344" t="s">
        <v>81</v>
      </c>
      <c r="C2344" t="s">
        <v>2522</v>
      </c>
      <c r="D2344">
        <v>1</v>
      </c>
      <c r="E2344">
        <v>5</v>
      </c>
      <c r="F2344" t="s">
        <v>7</v>
      </c>
      <c r="G2344" t="s">
        <v>11</v>
      </c>
      <c r="H2344" t="s">
        <v>11</v>
      </c>
    </row>
    <row r="2345" spans="1:8" x14ac:dyDescent="0.35">
      <c r="A2345" t="s">
        <v>50</v>
      </c>
      <c r="B2345" t="s">
        <v>81</v>
      </c>
      <c r="C2345" t="s">
        <v>2301</v>
      </c>
      <c r="D2345">
        <v>1</v>
      </c>
      <c r="E2345">
        <v>5</v>
      </c>
      <c r="F2345" t="s">
        <v>7</v>
      </c>
      <c r="G2345" t="s">
        <v>11</v>
      </c>
      <c r="H2345" t="s">
        <v>11</v>
      </c>
    </row>
    <row r="2346" spans="1:8" x14ac:dyDescent="0.35">
      <c r="A2346" t="s">
        <v>50</v>
      </c>
      <c r="B2346" t="s">
        <v>81</v>
      </c>
      <c r="C2346" t="s">
        <v>1918</v>
      </c>
      <c r="D2346">
        <v>1</v>
      </c>
      <c r="E2346">
        <v>4</v>
      </c>
      <c r="F2346" t="s">
        <v>7</v>
      </c>
      <c r="G2346" t="s">
        <v>11</v>
      </c>
      <c r="H2346" t="s">
        <v>11</v>
      </c>
    </row>
    <row r="2347" spans="1:8" x14ac:dyDescent="0.35">
      <c r="A2347" t="s">
        <v>69</v>
      </c>
      <c r="C2347" t="s">
        <v>5155</v>
      </c>
      <c r="D2347">
        <v>2</v>
      </c>
      <c r="E2347">
        <v>1</v>
      </c>
      <c r="F2347" t="s">
        <v>7</v>
      </c>
      <c r="G2347" t="s">
        <v>115</v>
      </c>
      <c r="H2347" t="s">
        <v>3455</v>
      </c>
    </row>
    <row r="2348" spans="1:8" x14ac:dyDescent="0.35">
      <c r="A2348" t="s">
        <v>69</v>
      </c>
      <c r="C2348" t="s">
        <v>5156</v>
      </c>
      <c r="D2348">
        <v>2</v>
      </c>
      <c r="E2348">
        <v>1</v>
      </c>
      <c r="F2348" t="s">
        <v>7</v>
      </c>
      <c r="G2348" t="s">
        <v>115</v>
      </c>
      <c r="H2348" t="s">
        <v>3455</v>
      </c>
    </row>
    <row r="2349" spans="1:8" x14ac:dyDescent="0.35">
      <c r="A2349" t="s">
        <v>69</v>
      </c>
      <c r="C2349" t="s">
        <v>5157</v>
      </c>
      <c r="D2349">
        <v>2</v>
      </c>
      <c r="E2349">
        <v>1</v>
      </c>
      <c r="F2349" t="s">
        <v>7</v>
      </c>
      <c r="G2349" t="s">
        <v>115</v>
      </c>
      <c r="H2349" t="s">
        <v>3455</v>
      </c>
    </row>
    <row r="2350" spans="1:8" x14ac:dyDescent="0.35">
      <c r="A2350" t="s">
        <v>69</v>
      </c>
      <c r="C2350" t="s">
        <v>5158</v>
      </c>
      <c r="D2350">
        <v>2</v>
      </c>
      <c r="E2350">
        <v>1</v>
      </c>
      <c r="F2350" t="s">
        <v>7</v>
      </c>
      <c r="G2350" t="s">
        <v>115</v>
      </c>
      <c r="H2350" t="s">
        <v>3455</v>
      </c>
    </row>
    <row r="2351" spans="1:8" x14ac:dyDescent="0.35">
      <c r="A2351" t="s">
        <v>69</v>
      </c>
      <c r="C2351" t="s">
        <v>5159</v>
      </c>
      <c r="D2351">
        <v>2</v>
      </c>
      <c r="E2351">
        <v>1</v>
      </c>
      <c r="F2351" t="s">
        <v>7</v>
      </c>
      <c r="G2351" t="s">
        <v>115</v>
      </c>
      <c r="H2351" t="s">
        <v>3455</v>
      </c>
    </row>
    <row r="2352" spans="1:8" x14ac:dyDescent="0.35">
      <c r="A2352" t="s">
        <v>69</v>
      </c>
      <c r="C2352" t="s">
        <v>5160</v>
      </c>
      <c r="D2352">
        <v>2</v>
      </c>
      <c r="E2352">
        <v>1</v>
      </c>
      <c r="F2352" t="s">
        <v>7</v>
      </c>
      <c r="G2352" t="s">
        <v>115</v>
      </c>
      <c r="H2352" t="s">
        <v>3455</v>
      </c>
    </row>
    <row r="2353" spans="1:8" x14ac:dyDescent="0.35">
      <c r="A2353" t="s">
        <v>69</v>
      </c>
      <c r="C2353" t="s">
        <v>5161</v>
      </c>
      <c r="D2353">
        <v>2</v>
      </c>
      <c r="E2353">
        <v>1</v>
      </c>
      <c r="F2353" t="s">
        <v>7</v>
      </c>
      <c r="G2353" t="s">
        <v>115</v>
      </c>
      <c r="H2353" t="s">
        <v>3455</v>
      </c>
    </row>
    <row r="2354" spans="1:8" x14ac:dyDescent="0.35">
      <c r="A2354" t="s">
        <v>69</v>
      </c>
      <c r="C2354" t="s">
        <v>5162</v>
      </c>
      <c r="D2354">
        <v>2</v>
      </c>
      <c r="E2354">
        <v>1</v>
      </c>
      <c r="F2354" t="s">
        <v>7</v>
      </c>
      <c r="G2354" t="s">
        <v>115</v>
      </c>
      <c r="H2354" t="s">
        <v>3455</v>
      </c>
    </row>
    <row r="2355" spans="1:8" x14ac:dyDescent="0.35">
      <c r="A2355" t="s">
        <v>69</v>
      </c>
      <c r="C2355" t="s">
        <v>5163</v>
      </c>
      <c r="D2355">
        <v>2</v>
      </c>
      <c r="E2355">
        <v>1</v>
      </c>
      <c r="F2355" t="s">
        <v>7</v>
      </c>
      <c r="G2355" t="s">
        <v>115</v>
      </c>
      <c r="H2355" t="s">
        <v>3455</v>
      </c>
    </row>
    <row r="2356" spans="1:8" x14ac:dyDescent="0.35">
      <c r="A2356" t="s">
        <v>69</v>
      </c>
      <c r="C2356" t="s">
        <v>5164</v>
      </c>
      <c r="D2356">
        <v>2</v>
      </c>
      <c r="E2356">
        <v>1</v>
      </c>
      <c r="F2356" t="s">
        <v>7</v>
      </c>
      <c r="G2356" t="s">
        <v>115</v>
      </c>
      <c r="H2356" t="s">
        <v>3455</v>
      </c>
    </row>
    <row r="2357" spans="1:8" x14ac:dyDescent="0.35">
      <c r="A2357" t="s">
        <v>69</v>
      </c>
      <c r="C2357" t="s">
        <v>5165</v>
      </c>
      <c r="D2357">
        <v>2</v>
      </c>
      <c r="E2357">
        <v>1</v>
      </c>
      <c r="F2357" t="s">
        <v>7</v>
      </c>
      <c r="G2357" t="s">
        <v>115</v>
      </c>
      <c r="H2357" t="s">
        <v>3455</v>
      </c>
    </row>
    <row r="2358" spans="1:8" x14ac:dyDescent="0.35">
      <c r="A2358" t="s">
        <v>69</v>
      </c>
      <c r="C2358" t="s">
        <v>5166</v>
      </c>
      <c r="D2358">
        <v>2</v>
      </c>
      <c r="E2358">
        <v>1</v>
      </c>
      <c r="F2358" t="s">
        <v>7</v>
      </c>
      <c r="G2358" t="s">
        <v>115</v>
      </c>
      <c r="H2358" t="s">
        <v>3455</v>
      </c>
    </row>
    <row r="2359" spans="1:8" x14ac:dyDescent="0.35">
      <c r="A2359" t="s">
        <v>69</v>
      </c>
      <c r="C2359" t="s">
        <v>5167</v>
      </c>
      <c r="D2359">
        <v>2</v>
      </c>
      <c r="E2359">
        <v>1</v>
      </c>
      <c r="F2359" t="s">
        <v>7</v>
      </c>
      <c r="G2359" t="s">
        <v>115</v>
      </c>
      <c r="H2359" t="s">
        <v>3455</v>
      </c>
    </row>
    <row r="2360" spans="1:8" x14ac:dyDescent="0.35">
      <c r="A2360" t="s">
        <v>69</v>
      </c>
      <c r="C2360" t="s">
        <v>5168</v>
      </c>
      <c r="D2360">
        <v>2</v>
      </c>
      <c r="E2360">
        <v>1</v>
      </c>
      <c r="F2360" t="s">
        <v>7</v>
      </c>
      <c r="G2360" t="s">
        <v>115</v>
      </c>
      <c r="H2360" t="s">
        <v>3455</v>
      </c>
    </row>
    <row r="2361" spans="1:8" x14ac:dyDescent="0.35">
      <c r="A2361" t="s">
        <v>69</v>
      </c>
      <c r="C2361" t="s">
        <v>5169</v>
      </c>
      <c r="D2361">
        <v>2</v>
      </c>
      <c r="E2361">
        <v>1</v>
      </c>
      <c r="F2361" t="s">
        <v>7</v>
      </c>
      <c r="G2361" t="s">
        <v>115</v>
      </c>
      <c r="H2361" t="s">
        <v>3455</v>
      </c>
    </row>
    <row r="2362" spans="1:8" x14ac:dyDescent="0.35">
      <c r="A2362" t="s">
        <v>69</v>
      </c>
      <c r="C2362" t="s">
        <v>5170</v>
      </c>
      <c r="D2362">
        <v>2</v>
      </c>
      <c r="E2362">
        <v>1</v>
      </c>
      <c r="F2362" t="s">
        <v>7</v>
      </c>
      <c r="G2362" t="s">
        <v>115</v>
      </c>
      <c r="H2362" t="s">
        <v>3455</v>
      </c>
    </row>
    <row r="2363" spans="1:8" x14ac:dyDescent="0.35">
      <c r="A2363" t="s">
        <v>69</v>
      </c>
      <c r="C2363" t="s">
        <v>5171</v>
      </c>
      <c r="D2363">
        <v>2</v>
      </c>
      <c r="E2363">
        <v>1</v>
      </c>
      <c r="F2363" t="s">
        <v>7</v>
      </c>
      <c r="G2363" t="s">
        <v>115</v>
      </c>
      <c r="H2363" t="s">
        <v>3455</v>
      </c>
    </row>
    <row r="2364" spans="1:8" x14ac:dyDescent="0.35">
      <c r="A2364" t="s">
        <v>69</v>
      </c>
      <c r="C2364" t="s">
        <v>5172</v>
      </c>
      <c r="D2364">
        <v>2</v>
      </c>
      <c r="E2364">
        <v>1</v>
      </c>
      <c r="F2364" t="s">
        <v>7</v>
      </c>
      <c r="G2364" t="s">
        <v>115</v>
      </c>
      <c r="H2364" t="s">
        <v>3455</v>
      </c>
    </row>
    <row r="2365" spans="1:8" x14ac:dyDescent="0.35">
      <c r="A2365" t="s">
        <v>69</v>
      </c>
      <c r="C2365" t="s">
        <v>5173</v>
      </c>
      <c r="D2365">
        <v>2</v>
      </c>
      <c r="E2365">
        <v>1</v>
      </c>
      <c r="F2365" t="s">
        <v>7</v>
      </c>
      <c r="G2365" t="s">
        <v>115</v>
      </c>
      <c r="H2365" t="s">
        <v>3455</v>
      </c>
    </row>
    <row r="2366" spans="1:8" x14ac:dyDescent="0.35">
      <c r="A2366" t="s">
        <v>69</v>
      </c>
      <c r="C2366" t="s">
        <v>5174</v>
      </c>
      <c r="D2366">
        <v>2</v>
      </c>
      <c r="E2366">
        <v>1</v>
      </c>
      <c r="F2366" t="s">
        <v>7</v>
      </c>
      <c r="G2366" t="s">
        <v>115</v>
      </c>
      <c r="H2366" t="s">
        <v>3455</v>
      </c>
    </row>
    <row r="2367" spans="1:8" x14ac:dyDescent="0.35">
      <c r="A2367" t="s">
        <v>69</v>
      </c>
      <c r="C2367" t="s">
        <v>5175</v>
      </c>
      <c r="D2367">
        <v>2</v>
      </c>
      <c r="E2367">
        <v>1</v>
      </c>
      <c r="F2367" t="s">
        <v>7</v>
      </c>
      <c r="G2367" t="s">
        <v>115</v>
      </c>
      <c r="H2367" t="s">
        <v>3455</v>
      </c>
    </row>
    <row r="2368" spans="1:8" x14ac:dyDescent="0.35">
      <c r="A2368" t="s">
        <v>69</v>
      </c>
      <c r="C2368" t="s">
        <v>5176</v>
      </c>
      <c r="D2368">
        <v>2</v>
      </c>
      <c r="E2368">
        <v>1</v>
      </c>
      <c r="F2368" t="s">
        <v>7</v>
      </c>
      <c r="G2368" t="s">
        <v>115</v>
      </c>
      <c r="H2368" t="s">
        <v>3455</v>
      </c>
    </row>
    <row r="2369" spans="1:8" x14ac:dyDescent="0.35">
      <c r="A2369" t="s">
        <v>69</v>
      </c>
      <c r="C2369" t="s">
        <v>5177</v>
      </c>
      <c r="D2369">
        <v>2</v>
      </c>
      <c r="E2369">
        <v>1</v>
      </c>
      <c r="F2369" t="s">
        <v>7</v>
      </c>
      <c r="G2369" t="s">
        <v>115</v>
      </c>
      <c r="H2369" t="s">
        <v>3455</v>
      </c>
    </row>
    <row r="2370" spans="1:8" x14ac:dyDescent="0.35">
      <c r="A2370" t="s">
        <v>69</v>
      </c>
      <c r="C2370" t="s">
        <v>5178</v>
      </c>
      <c r="D2370">
        <v>2</v>
      </c>
      <c r="E2370">
        <v>1</v>
      </c>
      <c r="F2370" t="s">
        <v>7</v>
      </c>
      <c r="G2370" t="s">
        <v>115</v>
      </c>
      <c r="H2370" t="s">
        <v>3455</v>
      </c>
    </row>
    <row r="2371" spans="1:8" x14ac:dyDescent="0.35">
      <c r="A2371" t="s">
        <v>69</v>
      </c>
      <c r="C2371" t="s">
        <v>5179</v>
      </c>
      <c r="D2371">
        <v>2</v>
      </c>
      <c r="E2371">
        <v>1</v>
      </c>
      <c r="F2371" t="s">
        <v>7</v>
      </c>
      <c r="G2371" t="s">
        <v>115</v>
      </c>
      <c r="H2371" t="s">
        <v>3455</v>
      </c>
    </row>
    <row r="2372" spans="1:8" x14ac:dyDescent="0.35">
      <c r="A2372" t="s">
        <v>69</v>
      </c>
      <c r="C2372" t="s">
        <v>5180</v>
      </c>
      <c r="D2372">
        <v>2</v>
      </c>
      <c r="E2372">
        <v>1</v>
      </c>
      <c r="F2372" t="s">
        <v>7</v>
      </c>
      <c r="G2372" t="s">
        <v>115</v>
      </c>
      <c r="H2372" t="s">
        <v>3455</v>
      </c>
    </row>
    <row r="2373" spans="1:8" x14ac:dyDescent="0.35">
      <c r="A2373" t="s">
        <v>69</v>
      </c>
      <c r="C2373" t="s">
        <v>5181</v>
      </c>
      <c r="D2373">
        <v>2</v>
      </c>
      <c r="E2373">
        <v>1</v>
      </c>
      <c r="F2373" t="s">
        <v>7</v>
      </c>
      <c r="G2373" t="s">
        <v>115</v>
      </c>
      <c r="H2373" t="s">
        <v>3455</v>
      </c>
    </row>
    <row r="2374" spans="1:8" x14ac:dyDescent="0.35">
      <c r="A2374" t="s">
        <v>69</v>
      </c>
      <c r="C2374" t="s">
        <v>20</v>
      </c>
      <c r="D2374">
        <v>2</v>
      </c>
      <c r="E2374">
        <v>1</v>
      </c>
      <c r="F2374" t="s">
        <v>7</v>
      </c>
      <c r="G2374" t="s">
        <v>115</v>
      </c>
      <c r="H2374" t="s">
        <v>3455</v>
      </c>
    </row>
    <row r="2375" spans="1:8" x14ac:dyDescent="0.35">
      <c r="A2375" t="s">
        <v>69</v>
      </c>
      <c r="C2375" t="s">
        <v>5182</v>
      </c>
      <c r="D2375">
        <v>2</v>
      </c>
      <c r="E2375">
        <v>1</v>
      </c>
      <c r="F2375" t="s">
        <v>7</v>
      </c>
      <c r="G2375" t="s">
        <v>115</v>
      </c>
      <c r="H2375" t="s">
        <v>3455</v>
      </c>
    </row>
    <row r="2376" spans="1:8" x14ac:dyDescent="0.35">
      <c r="A2376" t="s">
        <v>69</v>
      </c>
      <c r="C2376" t="s">
        <v>5183</v>
      </c>
      <c r="D2376">
        <v>2</v>
      </c>
      <c r="E2376">
        <v>1</v>
      </c>
      <c r="F2376" t="s">
        <v>7</v>
      </c>
      <c r="G2376" t="s">
        <v>115</v>
      </c>
      <c r="H2376" t="s">
        <v>3455</v>
      </c>
    </row>
    <row r="2377" spans="1:8" x14ac:dyDescent="0.35">
      <c r="A2377" t="s">
        <v>69</v>
      </c>
      <c r="C2377" t="s">
        <v>5184</v>
      </c>
      <c r="D2377">
        <v>2</v>
      </c>
      <c r="E2377">
        <v>1</v>
      </c>
      <c r="F2377" t="s">
        <v>7</v>
      </c>
      <c r="G2377" t="s">
        <v>115</v>
      </c>
      <c r="H2377" t="s">
        <v>3455</v>
      </c>
    </row>
    <row r="2378" spans="1:8" x14ac:dyDescent="0.35">
      <c r="A2378" t="s">
        <v>69</v>
      </c>
      <c r="C2378" t="s">
        <v>5185</v>
      </c>
      <c r="D2378">
        <v>2</v>
      </c>
      <c r="E2378">
        <v>1</v>
      </c>
      <c r="F2378" t="s">
        <v>7</v>
      </c>
      <c r="G2378" t="s">
        <v>115</v>
      </c>
      <c r="H2378" t="s">
        <v>3455</v>
      </c>
    </row>
    <row r="2379" spans="1:8" x14ac:dyDescent="0.35">
      <c r="A2379" t="s">
        <v>69</v>
      </c>
      <c r="C2379" t="s">
        <v>5186</v>
      </c>
      <c r="D2379">
        <v>2</v>
      </c>
      <c r="E2379">
        <v>1</v>
      </c>
      <c r="F2379" t="s">
        <v>7</v>
      </c>
      <c r="G2379" t="s">
        <v>115</v>
      </c>
      <c r="H2379" t="s">
        <v>3455</v>
      </c>
    </row>
    <row r="2380" spans="1:8" x14ac:dyDescent="0.35">
      <c r="A2380" t="s">
        <v>69</v>
      </c>
      <c r="C2380" t="s">
        <v>5187</v>
      </c>
      <c r="D2380">
        <v>2</v>
      </c>
      <c r="E2380">
        <v>1</v>
      </c>
      <c r="F2380" t="s">
        <v>7</v>
      </c>
      <c r="G2380" t="s">
        <v>115</v>
      </c>
      <c r="H2380" t="s">
        <v>3455</v>
      </c>
    </row>
    <row r="2381" spans="1:8" x14ac:dyDescent="0.35">
      <c r="A2381" t="s">
        <v>69</v>
      </c>
      <c r="C2381" t="s">
        <v>5188</v>
      </c>
      <c r="D2381">
        <v>2</v>
      </c>
      <c r="E2381">
        <v>1</v>
      </c>
      <c r="F2381" t="s">
        <v>7</v>
      </c>
      <c r="G2381" t="s">
        <v>115</v>
      </c>
      <c r="H2381" t="s">
        <v>3455</v>
      </c>
    </row>
    <row r="2382" spans="1:8" x14ac:dyDescent="0.35">
      <c r="A2382" t="s">
        <v>69</v>
      </c>
      <c r="C2382" t="s">
        <v>5189</v>
      </c>
      <c r="D2382">
        <v>2</v>
      </c>
      <c r="E2382">
        <v>1</v>
      </c>
      <c r="F2382" t="s">
        <v>7</v>
      </c>
      <c r="G2382" t="s">
        <v>115</v>
      </c>
      <c r="H2382" t="s">
        <v>3455</v>
      </c>
    </row>
    <row r="2383" spans="1:8" x14ac:dyDescent="0.35">
      <c r="A2383" t="s">
        <v>69</v>
      </c>
      <c r="C2383" t="s">
        <v>5190</v>
      </c>
      <c r="D2383">
        <v>2</v>
      </c>
      <c r="E2383">
        <v>1</v>
      </c>
      <c r="F2383" t="s">
        <v>7</v>
      </c>
      <c r="G2383" t="s">
        <v>115</v>
      </c>
      <c r="H2383" t="s">
        <v>3455</v>
      </c>
    </row>
    <row r="2384" spans="1:8" x14ac:dyDescent="0.35">
      <c r="A2384" t="s">
        <v>69</v>
      </c>
      <c r="C2384" t="s">
        <v>5191</v>
      </c>
      <c r="D2384">
        <v>2</v>
      </c>
      <c r="E2384">
        <v>1</v>
      </c>
      <c r="F2384" t="s">
        <v>7</v>
      </c>
      <c r="G2384" t="s">
        <v>115</v>
      </c>
      <c r="H2384" t="s">
        <v>3455</v>
      </c>
    </row>
    <row r="2385" spans="1:8" x14ac:dyDescent="0.35">
      <c r="A2385" t="s">
        <v>69</v>
      </c>
      <c r="C2385" t="s">
        <v>5192</v>
      </c>
      <c r="D2385">
        <v>2</v>
      </c>
      <c r="E2385">
        <v>1</v>
      </c>
      <c r="F2385" t="s">
        <v>7</v>
      </c>
      <c r="G2385" t="s">
        <v>115</v>
      </c>
      <c r="H2385" t="s">
        <v>3455</v>
      </c>
    </row>
    <row r="2386" spans="1:8" x14ac:dyDescent="0.35">
      <c r="A2386" t="s">
        <v>69</v>
      </c>
      <c r="C2386" t="s">
        <v>5193</v>
      </c>
      <c r="D2386">
        <v>2</v>
      </c>
      <c r="E2386">
        <v>1</v>
      </c>
      <c r="F2386" t="s">
        <v>7</v>
      </c>
      <c r="G2386" t="s">
        <v>115</v>
      </c>
      <c r="H2386" t="s">
        <v>3455</v>
      </c>
    </row>
    <row r="2387" spans="1:8" x14ac:dyDescent="0.35">
      <c r="A2387" t="s">
        <v>69</v>
      </c>
      <c r="C2387" t="s">
        <v>5194</v>
      </c>
      <c r="D2387">
        <v>2</v>
      </c>
      <c r="E2387">
        <v>1</v>
      </c>
      <c r="F2387" t="s">
        <v>7</v>
      </c>
      <c r="G2387" t="s">
        <v>115</v>
      </c>
      <c r="H2387" t="s">
        <v>3455</v>
      </c>
    </row>
    <row r="2388" spans="1:8" x14ac:dyDescent="0.35">
      <c r="A2388" t="s">
        <v>69</v>
      </c>
      <c r="C2388" t="s">
        <v>5195</v>
      </c>
      <c r="D2388">
        <v>2</v>
      </c>
      <c r="E2388">
        <v>1</v>
      </c>
      <c r="F2388" t="s">
        <v>7</v>
      </c>
      <c r="G2388" t="s">
        <v>115</v>
      </c>
      <c r="H2388" t="s">
        <v>3455</v>
      </c>
    </row>
    <row r="2389" spans="1:8" x14ac:dyDescent="0.35">
      <c r="A2389" t="s">
        <v>69</v>
      </c>
      <c r="C2389" t="s">
        <v>5196</v>
      </c>
      <c r="D2389">
        <v>2</v>
      </c>
      <c r="E2389">
        <v>1</v>
      </c>
      <c r="F2389" t="s">
        <v>7</v>
      </c>
      <c r="G2389" t="s">
        <v>115</v>
      </c>
      <c r="H2389" t="s">
        <v>3455</v>
      </c>
    </row>
    <row r="2390" spans="1:8" x14ac:dyDescent="0.35">
      <c r="A2390" t="s">
        <v>69</v>
      </c>
      <c r="C2390" t="s">
        <v>5197</v>
      </c>
      <c r="D2390">
        <v>2</v>
      </c>
      <c r="E2390">
        <v>1</v>
      </c>
      <c r="F2390" t="s">
        <v>7</v>
      </c>
      <c r="G2390" t="s">
        <v>115</v>
      </c>
      <c r="H2390" t="s">
        <v>3455</v>
      </c>
    </row>
    <row r="2391" spans="1:8" x14ac:dyDescent="0.35">
      <c r="A2391" t="s">
        <v>69</v>
      </c>
      <c r="C2391" t="s">
        <v>5198</v>
      </c>
      <c r="D2391">
        <v>2</v>
      </c>
      <c r="E2391">
        <v>1</v>
      </c>
      <c r="F2391" t="s">
        <v>7</v>
      </c>
      <c r="G2391" t="s">
        <v>115</v>
      </c>
      <c r="H2391" t="s">
        <v>3455</v>
      </c>
    </row>
    <row r="2392" spans="1:8" x14ac:dyDescent="0.35">
      <c r="A2392" t="s">
        <v>69</v>
      </c>
      <c r="C2392" t="s">
        <v>5199</v>
      </c>
      <c r="D2392">
        <v>2</v>
      </c>
      <c r="E2392">
        <v>1</v>
      </c>
      <c r="F2392" t="s">
        <v>7</v>
      </c>
      <c r="G2392" t="s">
        <v>115</v>
      </c>
      <c r="H2392" t="s">
        <v>3455</v>
      </c>
    </row>
    <row r="2393" spans="1:8" x14ac:dyDescent="0.35">
      <c r="A2393" t="s">
        <v>69</v>
      </c>
      <c r="C2393" t="s">
        <v>5200</v>
      </c>
      <c r="D2393">
        <v>2</v>
      </c>
      <c r="E2393">
        <v>1</v>
      </c>
      <c r="F2393" t="s">
        <v>7</v>
      </c>
      <c r="G2393" t="s">
        <v>115</v>
      </c>
      <c r="H2393" t="s">
        <v>3455</v>
      </c>
    </row>
    <row r="2394" spans="1:8" x14ac:dyDescent="0.35">
      <c r="A2394" t="s">
        <v>69</v>
      </c>
      <c r="C2394" t="s">
        <v>5201</v>
      </c>
      <c r="D2394">
        <v>2</v>
      </c>
      <c r="E2394">
        <v>1</v>
      </c>
      <c r="F2394" t="s">
        <v>7</v>
      </c>
      <c r="G2394" t="s">
        <v>115</v>
      </c>
      <c r="H2394" t="s">
        <v>3455</v>
      </c>
    </row>
    <row r="2395" spans="1:8" x14ac:dyDescent="0.35">
      <c r="A2395" t="s">
        <v>69</v>
      </c>
      <c r="C2395" t="s">
        <v>5202</v>
      </c>
      <c r="D2395">
        <v>2</v>
      </c>
      <c r="E2395">
        <v>1</v>
      </c>
      <c r="F2395" t="s">
        <v>7</v>
      </c>
      <c r="G2395" t="s">
        <v>115</v>
      </c>
      <c r="H2395" t="s">
        <v>3455</v>
      </c>
    </row>
    <row r="2396" spans="1:8" x14ac:dyDescent="0.35">
      <c r="A2396" t="s">
        <v>69</v>
      </c>
      <c r="C2396" t="s">
        <v>5203</v>
      </c>
      <c r="D2396">
        <v>2</v>
      </c>
      <c r="E2396">
        <v>1</v>
      </c>
      <c r="F2396" t="s">
        <v>7</v>
      </c>
      <c r="G2396" t="s">
        <v>115</v>
      </c>
      <c r="H2396" t="s">
        <v>3455</v>
      </c>
    </row>
    <row r="2397" spans="1:8" x14ac:dyDescent="0.35">
      <c r="A2397" t="s">
        <v>69</v>
      </c>
      <c r="C2397" t="s">
        <v>5204</v>
      </c>
      <c r="D2397">
        <v>2</v>
      </c>
      <c r="E2397">
        <v>1</v>
      </c>
      <c r="F2397" t="s">
        <v>7</v>
      </c>
      <c r="G2397" t="s">
        <v>115</v>
      </c>
      <c r="H2397" t="s">
        <v>3455</v>
      </c>
    </row>
    <row r="2398" spans="1:8" x14ac:dyDescent="0.35">
      <c r="A2398" t="s">
        <v>69</v>
      </c>
      <c r="C2398" t="s">
        <v>5205</v>
      </c>
      <c r="D2398">
        <v>2</v>
      </c>
      <c r="E2398">
        <v>1</v>
      </c>
      <c r="F2398" t="s">
        <v>7</v>
      </c>
      <c r="G2398" t="s">
        <v>115</v>
      </c>
      <c r="H2398" t="s">
        <v>3455</v>
      </c>
    </row>
    <row r="2399" spans="1:8" x14ac:dyDescent="0.35">
      <c r="A2399" t="s">
        <v>69</v>
      </c>
      <c r="C2399" t="s">
        <v>5206</v>
      </c>
      <c r="D2399">
        <v>2</v>
      </c>
      <c r="E2399">
        <v>1</v>
      </c>
      <c r="F2399" t="s">
        <v>7</v>
      </c>
      <c r="G2399" t="s">
        <v>115</v>
      </c>
      <c r="H2399" t="s">
        <v>3455</v>
      </c>
    </row>
    <row r="2400" spans="1:8" x14ac:dyDescent="0.35">
      <c r="A2400" t="s">
        <v>69</v>
      </c>
      <c r="C2400" t="s">
        <v>5207</v>
      </c>
      <c r="D2400">
        <v>2</v>
      </c>
      <c r="E2400">
        <v>1</v>
      </c>
      <c r="F2400" t="s">
        <v>7</v>
      </c>
      <c r="G2400" t="s">
        <v>115</v>
      </c>
      <c r="H2400" t="s">
        <v>3455</v>
      </c>
    </row>
    <row r="2401" spans="1:8" x14ac:dyDescent="0.35">
      <c r="A2401" t="s">
        <v>69</v>
      </c>
      <c r="C2401" t="s">
        <v>5208</v>
      </c>
      <c r="D2401">
        <v>2</v>
      </c>
      <c r="E2401">
        <v>1</v>
      </c>
      <c r="F2401" t="s">
        <v>7</v>
      </c>
      <c r="G2401" t="s">
        <v>115</v>
      </c>
      <c r="H2401" t="s">
        <v>3455</v>
      </c>
    </row>
    <row r="2402" spans="1:8" x14ac:dyDescent="0.35">
      <c r="A2402" t="s">
        <v>69</v>
      </c>
      <c r="C2402" t="s">
        <v>5209</v>
      </c>
      <c r="D2402">
        <v>2</v>
      </c>
      <c r="E2402">
        <v>1</v>
      </c>
      <c r="F2402" t="s">
        <v>7</v>
      </c>
      <c r="G2402" t="s">
        <v>115</v>
      </c>
      <c r="H2402" t="s">
        <v>3455</v>
      </c>
    </row>
    <row r="2403" spans="1:8" x14ac:dyDescent="0.35">
      <c r="A2403" t="s">
        <v>69</v>
      </c>
      <c r="C2403" t="s">
        <v>5210</v>
      </c>
      <c r="D2403">
        <v>2</v>
      </c>
      <c r="E2403">
        <v>1</v>
      </c>
      <c r="F2403" t="s">
        <v>7</v>
      </c>
      <c r="G2403" t="s">
        <v>115</v>
      </c>
      <c r="H2403" t="s">
        <v>3455</v>
      </c>
    </row>
    <row r="2404" spans="1:8" x14ac:dyDescent="0.35">
      <c r="A2404" t="s">
        <v>69</v>
      </c>
      <c r="C2404" t="s">
        <v>5211</v>
      </c>
      <c r="D2404">
        <v>2</v>
      </c>
      <c r="E2404">
        <v>1</v>
      </c>
      <c r="F2404" t="s">
        <v>7</v>
      </c>
      <c r="G2404" t="s">
        <v>115</v>
      </c>
      <c r="H2404" t="s">
        <v>3455</v>
      </c>
    </row>
    <row r="2405" spans="1:8" x14ac:dyDescent="0.35">
      <c r="A2405" t="s">
        <v>69</v>
      </c>
      <c r="C2405" t="s">
        <v>5212</v>
      </c>
      <c r="D2405">
        <v>2</v>
      </c>
      <c r="E2405">
        <v>1</v>
      </c>
      <c r="F2405" t="s">
        <v>7</v>
      </c>
      <c r="G2405" t="s">
        <v>115</v>
      </c>
      <c r="H2405" t="s">
        <v>3455</v>
      </c>
    </row>
    <row r="2406" spans="1:8" x14ac:dyDescent="0.35">
      <c r="A2406" t="s">
        <v>69</v>
      </c>
      <c r="C2406" t="s">
        <v>5213</v>
      </c>
      <c r="D2406">
        <v>2</v>
      </c>
      <c r="E2406">
        <v>1</v>
      </c>
      <c r="F2406" t="s">
        <v>7</v>
      </c>
      <c r="G2406" t="s">
        <v>115</v>
      </c>
      <c r="H2406" t="s">
        <v>3455</v>
      </c>
    </row>
    <row r="2407" spans="1:8" x14ac:dyDescent="0.35">
      <c r="A2407" t="s">
        <v>69</v>
      </c>
      <c r="C2407" t="s">
        <v>5214</v>
      </c>
      <c r="D2407">
        <v>2</v>
      </c>
      <c r="E2407">
        <v>1</v>
      </c>
      <c r="F2407" t="s">
        <v>7</v>
      </c>
      <c r="G2407" t="s">
        <v>115</v>
      </c>
      <c r="H2407" t="s">
        <v>3455</v>
      </c>
    </row>
    <row r="2408" spans="1:8" x14ac:dyDescent="0.35">
      <c r="A2408" t="s">
        <v>69</v>
      </c>
      <c r="C2408" t="s">
        <v>5215</v>
      </c>
      <c r="D2408">
        <v>2</v>
      </c>
      <c r="E2408">
        <v>1</v>
      </c>
      <c r="F2408" t="s">
        <v>7</v>
      </c>
      <c r="G2408" t="s">
        <v>115</v>
      </c>
      <c r="H2408" t="s">
        <v>3455</v>
      </c>
    </row>
    <row r="2409" spans="1:8" x14ac:dyDescent="0.35">
      <c r="A2409" t="s">
        <v>69</v>
      </c>
      <c r="C2409" t="s">
        <v>5216</v>
      </c>
      <c r="D2409">
        <v>2</v>
      </c>
      <c r="E2409">
        <v>1</v>
      </c>
      <c r="F2409" t="s">
        <v>7</v>
      </c>
      <c r="G2409" t="s">
        <v>115</v>
      </c>
      <c r="H2409" t="s">
        <v>3455</v>
      </c>
    </row>
    <row r="2410" spans="1:8" x14ac:dyDescent="0.35">
      <c r="A2410" t="s">
        <v>69</v>
      </c>
      <c r="C2410" t="s">
        <v>5217</v>
      </c>
      <c r="D2410">
        <v>2</v>
      </c>
      <c r="E2410">
        <v>1</v>
      </c>
      <c r="F2410" t="s">
        <v>7</v>
      </c>
      <c r="G2410" t="s">
        <v>115</v>
      </c>
      <c r="H2410" t="s">
        <v>3455</v>
      </c>
    </row>
    <row r="2411" spans="1:8" x14ac:dyDescent="0.35">
      <c r="A2411" t="s">
        <v>69</v>
      </c>
      <c r="C2411" t="s">
        <v>5218</v>
      </c>
      <c r="D2411">
        <v>2</v>
      </c>
      <c r="E2411">
        <v>1</v>
      </c>
      <c r="F2411" t="s">
        <v>7</v>
      </c>
      <c r="G2411" t="s">
        <v>115</v>
      </c>
      <c r="H2411" t="s">
        <v>3455</v>
      </c>
    </row>
    <row r="2412" spans="1:8" x14ac:dyDescent="0.35">
      <c r="A2412" t="s">
        <v>69</v>
      </c>
      <c r="C2412" t="s">
        <v>5219</v>
      </c>
      <c r="D2412">
        <v>2</v>
      </c>
      <c r="E2412">
        <v>1</v>
      </c>
      <c r="F2412" t="s">
        <v>7</v>
      </c>
      <c r="G2412" t="s">
        <v>115</v>
      </c>
      <c r="H2412" t="s">
        <v>3455</v>
      </c>
    </row>
    <row r="2413" spans="1:8" x14ac:dyDescent="0.35">
      <c r="A2413" t="s">
        <v>69</v>
      </c>
      <c r="C2413" t="s">
        <v>5220</v>
      </c>
      <c r="D2413">
        <v>2</v>
      </c>
      <c r="E2413">
        <v>1</v>
      </c>
      <c r="F2413" t="s">
        <v>7</v>
      </c>
      <c r="G2413" t="s">
        <v>115</v>
      </c>
      <c r="H2413" t="s">
        <v>3455</v>
      </c>
    </row>
    <row r="2414" spans="1:8" x14ac:dyDescent="0.35">
      <c r="A2414" t="s">
        <v>69</v>
      </c>
      <c r="C2414" t="s">
        <v>5221</v>
      </c>
      <c r="D2414">
        <v>2</v>
      </c>
      <c r="E2414">
        <v>1</v>
      </c>
      <c r="F2414" t="s">
        <v>7</v>
      </c>
      <c r="G2414" t="s">
        <v>115</v>
      </c>
      <c r="H2414" t="s">
        <v>3455</v>
      </c>
    </row>
    <row r="2415" spans="1:8" x14ac:dyDescent="0.35">
      <c r="A2415" t="s">
        <v>69</v>
      </c>
      <c r="C2415" t="s">
        <v>5222</v>
      </c>
      <c r="D2415">
        <v>2</v>
      </c>
      <c r="E2415">
        <v>1</v>
      </c>
      <c r="F2415" t="s">
        <v>7</v>
      </c>
      <c r="G2415" t="s">
        <v>115</v>
      </c>
      <c r="H2415" t="s">
        <v>3455</v>
      </c>
    </row>
    <row r="2416" spans="1:8" x14ac:dyDescent="0.35">
      <c r="A2416" t="s">
        <v>69</v>
      </c>
      <c r="C2416" t="s">
        <v>5223</v>
      </c>
      <c r="D2416">
        <v>2</v>
      </c>
      <c r="E2416">
        <v>1</v>
      </c>
      <c r="F2416" t="s">
        <v>7</v>
      </c>
      <c r="G2416" t="s">
        <v>115</v>
      </c>
      <c r="H2416" t="s">
        <v>3455</v>
      </c>
    </row>
    <row r="2417" spans="1:8" x14ac:dyDescent="0.35">
      <c r="A2417" t="s">
        <v>69</v>
      </c>
      <c r="C2417" t="s">
        <v>5224</v>
      </c>
      <c r="D2417">
        <v>2</v>
      </c>
      <c r="E2417">
        <v>1</v>
      </c>
      <c r="F2417" t="s">
        <v>7</v>
      </c>
      <c r="G2417" t="s">
        <v>115</v>
      </c>
      <c r="H2417" t="s">
        <v>3455</v>
      </c>
    </row>
    <row r="2418" spans="1:8" x14ac:dyDescent="0.35">
      <c r="A2418" t="s">
        <v>69</v>
      </c>
      <c r="C2418" t="s">
        <v>5225</v>
      </c>
      <c r="D2418">
        <v>2</v>
      </c>
      <c r="E2418">
        <v>1</v>
      </c>
      <c r="F2418" t="s">
        <v>7</v>
      </c>
      <c r="G2418" t="s">
        <v>115</v>
      </c>
      <c r="H2418" t="s">
        <v>3455</v>
      </c>
    </row>
    <row r="2419" spans="1:8" x14ac:dyDescent="0.35">
      <c r="A2419" t="s">
        <v>69</v>
      </c>
      <c r="C2419" t="s">
        <v>5226</v>
      </c>
      <c r="D2419">
        <v>2</v>
      </c>
      <c r="E2419">
        <v>1</v>
      </c>
      <c r="F2419" t="s">
        <v>7</v>
      </c>
      <c r="G2419" t="s">
        <v>115</v>
      </c>
      <c r="H2419" t="s">
        <v>3455</v>
      </c>
    </row>
    <row r="2420" spans="1:8" x14ac:dyDescent="0.35">
      <c r="A2420" t="s">
        <v>69</v>
      </c>
      <c r="C2420" t="s">
        <v>5227</v>
      </c>
      <c r="D2420">
        <v>2</v>
      </c>
      <c r="E2420">
        <v>1</v>
      </c>
      <c r="F2420" t="s">
        <v>7</v>
      </c>
      <c r="G2420" t="s">
        <v>115</v>
      </c>
      <c r="H2420" t="s">
        <v>3455</v>
      </c>
    </row>
    <row r="2421" spans="1:8" x14ac:dyDescent="0.35">
      <c r="A2421" t="s">
        <v>69</v>
      </c>
      <c r="C2421" t="s">
        <v>5228</v>
      </c>
      <c r="D2421">
        <v>2</v>
      </c>
      <c r="E2421">
        <v>1</v>
      </c>
      <c r="F2421" t="s">
        <v>7</v>
      </c>
      <c r="G2421" t="s">
        <v>115</v>
      </c>
      <c r="H2421" t="s">
        <v>3455</v>
      </c>
    </row>
    <row r="2422" spans="1:8" x14ac:dyDescent="0.35">
      <c r="A2422" t="s">
        <v>69</v>
      </c>
      <c r="C2422" t="s">
        <v>5229</v>
      </c>
      <c r="D2422">
        <v>2</v>
      </c>
      <c r="E2422">
        <v>1</v>
      </c>
      <c r="F2422" t="s">
        <v>7</v>
      </c>
      <c r="G2422" t="s">
        <v>115</v>
      </c>
      <c r="H2422" t="s">
        <v>3455</v>
      </c>
    </row>
    <row r="2423" spans="1:8" x14ac:dyDescent="0.35">
      <c r="A2423" t="s">
        <v>69</v>
      </c>
      <c r="C2423" t="s">
        <v>5230</v>
      </c>
      <c r="D2423">
        <v>2</v>
      </c>
      <c r="E2423">
        <v>1</v>
      </c>
      <c r="F2423" t="s">
        <v>7</v>
      </c>
      <c r="G2423" t="s">
        <v>115</v>
      </c>
      <c r="H2423" t="s">
        <v>3455</v>
      </c>
    </row>
    <row r="2424" spans="1:8" x14ac:dyDescent="0.35">
      <c r="A2424" t="s">
        <v>69</v>
      </c>
      <c r="C2424" t="s">
        <v>5231</v>
      </c>
      <c r="D2424">
        <v>2</v>
      </c>
      <c r="E2424">
        <v>1</v>
      </c>
      <c r="F2424" t="s">
        <v>7</v>
      </c>
      <c r="G2424" t="s">
        <v>115</v>
      </c>
      <c r="H2424" t="s">
        <v>3455</v>
      </c>
    </row>
    <row r="2425" spans="1:8" x14ac:dyDescent="0.35">
      <c r="A2425" t="s">
        <v>51</v>
      </c>
      <c r="B2425" t="s">
        <v>102</v>
      </c>
      <c r="C2425" t="s">
        <v>1938</v>
      </c>
      <c r="D2425">
        <v>3</v>
      </c>
      <c r="E2425">
        <v>5</v>
      </c>
      <c r="F2425" t="s">
        <v>7</v>
      </c>
      <c r="G2425" t="s">
        <v>11</v>
      </c>
      <c r="H2425" t="s">
        <v>11</v>
      </c>
    </row>
    <row r="2426" spans="1:8" x14ac:dyDescent="0.35">
      <c r="A2426" t="s">
        <v>51</v>
      </c>
      <c r="B2426" t="s">
        <v>102</v>
      </c>
      <c r="C2426" t="s">
        <v>1401</v>
      </c>
      <c r="D2426">
        <v>1</v>
      </c>
      <c r="E2426">
        <v>5</v>
      </c>
      <c r="F2426" t="s">
        <v>7</v>
      </c>
      <c r="G2426" t="s">
        <v>11</v>
      </c>
      <c r="H2426" t="s">
        <v>11</v>
      </c>
    </row>
    <row r="2427" spans="1:8" x14ac:dyDescent="0.35">
      <c r="A2427" t="s">
        <v>51</v>
      </c>
      <c r="B2427" t="s">
        <v>102</v>
      </c>
      <c r="C2427" t="s">
        <v>2523</v>
      </c>
      <c r="D2427">
        <v>2</v>
      </c>
      <c r="E2427">
        <v>5</v>
      </c>
      <c r="F2427" t="s">
        <v>7</v>
      </c>
      <c r="G2427" t="s">
        <v>11</v>
      </c>
      <c r="H2427" t="s">
        <v>11</v>
      </c>
    </row>
    <row r="2428" spans="1:8" x14ac:dyDescent="0.35">
      <c r="A2428" t="s">
        <v>51</v>
      </c>
      <c r="B2428" t="s">
        <v>102</v>
      </c>
      <c r="C2428" t="s">
        <v>2524</v>
      </c>
      <c r="D2428">
        <v>2</v>
      </c>
      <c r="E2428">
        <v>5</v>
      </c>
      <c r="F2428" t="s">
        <v>7</v>
      </c>
      <c r="G2428" t="s">
        <v>11</v>
      </c>
      <c r="H2428" t="s">
        <v>11</v>
      </c>
    </row>
    <row r="2429" spans="1:8" x14ac:dyDescent="0.35">
      <c r="A2429" t="s">
        <v>51</v>
      </c>
      <c r="B2429" t="s">
        <v>102</v>
      </c>
      <c r="C2429" t="s">
        <v>1177</v>
      </c>
      <c r="D2429">
        <v>1</v>
      </c>
      <c r="E2429">
        <v>5</v>
      </c>
      <c r="F2429" t="s">
        <v>7</v>
      </c>
      <c r="G2429" t="s">
        <v>11</v>
      </c>
      <c r="H2429" t="s">
        <v>11</v>
      </c>
    </row>
    <row r="2430" spans="1:8" x14ac:dyDescent="0.35">
      <c r="A2430" t="s">
        <v>52</v>
      </c>
      <c r="B2430" t="s">
        <v>118</v>
      </c>
      <c r="C2430" t="s">
        <v>2525</v>
      </c>
      <c r="D2430">
        <v>2</v>
      </c>
      <c r="E2430">
        <v>3</v>
      </c>
      <c r="F2430" t="s">
        <v>7</v>
      </c>
      <c r="G2430" t="s">
        <v>11</v>
      </c>
      <c r="H2430" t="s">
        <v>11</v>
      </c>
    </row>
    <row r="2431" spans="1:8" x14ac:dyDescent="0.35">
      <c r="A2431" t="s">
        <v>52</v>
      </c>
      <c r="B2431" t="s">
        <v>118</v>
      </c>
      <c r="C2431" t="s">
        <v>2526</v>
      </c>
      <c r="D2431">
        <v>3</v>
      </c>
      <c r="E2431">
        <v>3</v>
      </c>
      <c r="F2431" t="s">
        <v>7</v>
      </c>
      <c r="G2431" t="s">
        <v>11</v>
      </c>
      <c r="H2431" t="s">
        <v>11</v>
      </c>
    </row>
    <row r="2432" spans="1:8" x14ac:dyDescent="0.35">
      <c r="A2432" t="s">
        <v>52</v>
      </c>
      <c r="B2432" t="s">
        <v>118</v>
      </c>
      <c r="C2432" t="s">
        <v>2527</v>
      </c>
      <c r="D2432">
        <v>3</v>
      </c>
      <c r="E2432">
        <v>3</v>
      </c>
      <c r="F2432" t="s">
        <v>7</v>
      </c>
      <c r="G2432" t="s">
        <v>115</v>
      </c>
      <c r="H2432" t="s">
        <v>11</v>
      </c>
    </row>
    <row r="2433" spans="1:8" x14ac:dyDescent="0.35">
      <c r="A2433" t="s">
        <v>52</v>
      </c>
      <c r="B2433" t="s">
        <v>118</v>
      </c>
      <c r="C2433" t="s">
        <v>1741</v>
      </c>
      <c r="D2433">
        <v>2</v>
      </c>
      <c r="E2433">
        <v>3</v>
      </c>
      <c r="F2433" t="s">
        <v>7</v>
      </c>
      <c r="G2433" t="s">
        <v>11</v>
      </c>
      <c r="H2433" t="s">
        <v>11</v>
      </c>
    </row>
    <row r="2434" spans="1:8" x14ac:dyDescent="0.35">
      <c r="A2434" t="s">
        <v>52</v>
      </c>
      <c r="B2434" t="s">
        <v>118</v>
      </c>
      <c r="C2434" t="s">
        <v>2528</v>
      </c>
      <c r="D2434">
        <v>3</v>
      </c>
      <c r="E2434">
        <v>3</v>
      </c>
      <c r="F2434" t="s">
        <v>7</v>
      </c>
      <c r="G2434" t="s">
        <v>115</v>
      </c>
      <c r="H2434" t="s">
        <v>11</v>
      </c>
    </row>
    <row r="2435" spans="1:8" x14ac:dyDescent="0.35">
      <c r="A2435" t="s">
        <v>52</v>
      </c>
      <c r="B2435" t="s">
        <v>118</v>
      </c>
      <c r="C2435" t="s">
        <v>2529</v>
      </c>
      <c r="D2435">
        <v>3</v>
      </c>
      <c r="E2435">
        <v>3</v>
      </c>
      <c r="F2435" t="s">
        <v>7</v>
      </c>
      <c r="G2435" t="s">
        <v>115</v>
      </c>
      <c r="H2435" t="s">
        <v>11</v>
      </c>
    </row>
    <row r="2436" spans="1:8" x14ac:dyDescent="0.35">
      <c r="A2436" t="s">
        <v>52</v>
      </c>
      <c r="B2436" t="s">
        <v>118</v>
      </c>
      <c r="C2436" t="s">
        <v>2308</v>
      </c>
      <c r="D2436">
        <v>3</v>
      </c>
      <c r="E2436">
        <v>3</v>
      </c>
      <c r="F2436" t="s">
        <v>7</v>
      </c>
      <c r="G2436" t="s">
        <v>115</v>
      </c>
      <c r="H2436" t="s">
        <v>11</v>
      </c>
    </row>
    <row r="2437" spans="1:8" x14ac:dyDescent="0.35">
      <c r="A2437" t="s">
        <v>52</v>
      </c>
      <c r="B2437" t="s">
        <v>118</v>
      </c>
      <c r="C2437" t="s">
        <v>2530</v>
      </c>
      <c r="D2437">
        <v>3</v>
      </c>
      <c r="E2437">
        <v>3</v>
      </c>
      <c r="F2437" t="s">
        <v>7</v>
      </c>
      <c r="G2437" t="s">
        <v>115</v>
      </c>
      <c r="H2437" t="s">
        <v>11</v>
      </c>
    </row>
    <row r="2438" spans="1:8" x14ac:dyDescent="0.35">
      <c r="A2438" t="s">
        <v>52</v>
      </c>
      <c r="B2438" t="s">
        <v>118</v>
      </c>
      <c r="C2438" t="s">
        <v>1120</v>
      </c>
      <c r="D2438">
        <v>3</v>
      </c>
      <c r="E2438">
        <v>3</v>
      </c>
      <c r="F2438" t="s">
        <v>7</v>
      </c>
      <c r="G2438" t="s">
        <v>11</v>
      </c>
      <c r="H2438" t="s">
        <v>11</v>
      </c>
    </row>
    <row r="2439" spans="1:8" x14ac:dyDescent="0.35">
      <c r="A2439" t="s">
        <v>52</v>
      </c>
      <c r="B2439" t="s">
        <v>118</v>
      </c>
      <c r="C2439" t="s">
        <v>2531</v>
      </c>
      <c r="D2439">
        <v>3</v>
      </c>
      <c r="E2439">
        <v>3</v>
      </c>
      <c r="F2439" t="s">
        <v>7</v>
      </c>
      <c r="G2439" t="s">
        <v>115</v>
      </c>
      <c r="H2439" t="s">
        <v>11</v>
      </c>
    </row>
    <row r="2440" spans="1:8" x14ac:dyDescent="0.35">
      <c r="A2440" t="s">
        <v>52</v>
      </c>
      <c r="B2440" t="s">
        <v>118</v>
      </c>
      <c r="C2440" t="s">
        <v>1122</v>
      </c>
      <c r="D2440">
        <v>2</v>
      </c>
      <c r="E2440">
        <v>3</v>
      </c>
      <c r="F2440" t="s">
        <v>7</v>
      </c>
      <c r="G2440" t="s">
        <v>11</v>
      </c>
      <c r="H2440" t="s">
        <v>11</v>
      </c>
    </row>
    <row r="2441" spans="1:8" x14ac:dyDescent="0.35">
      <c r="A2441" t="s">
        <v>52</v>
      </c>
      <c r="B2441" t="s">
        <v>118</v>
      </c>
      <c r="C2441" t="s">
        <v>2499</v>
      </c>
      <c r="D2441">
        <v>3</v>
      </c>
      <c r="E2441">
        <v>3</v>
      </c>
      <c r="F2441" t="s">
        <v>7</v>
      </c>
      <c r="G2441" t="s">
        <v>11</v>
      </c>
      <c r="H2441" t="s">
        <v>11</v>
      </c>
    </row>
    <row r="2442" spans="1:8" x14ac:dyDescent="0.35">
      <c r="A2442" t="s">
        <v>52</v>
      </c>
      <c r="B2442" t="s">
        <v>118</v>
      </c>
      <c r="C2442" t="s">
        <v>2532</v>
      </c>
      <c r="D2442">
        <v>3</v>
      </c>
      <c r="E2442">
        <v>3</v>
      </c>
      <c r="F2442" t="s">
        <v>7</v>
      </c>
      <c r="G2442" t="s">
        <v>11</v>
      </c>
      <c r="H2442" t="s">
        <v>11</v>
      </c>
    </row>
    <row r="2443" spans="1:8" x14ac:dyDescent="0.35">
      <c r="A2443" t="s">
        <v>52</v>
      </c>
      <c r="B2443" t="s">
        <v>118</v>
      </c>
      <c r="C2443" t="s">
        <v>2533</v>
      </c>
      <c r="D2443">
        <v>3</v>
      </c>
      <c r="E2443">
        <v>3</v>
      </c>
      <c r="F2443" t="s">
        <v>7</v>
      </c>
      <c r="G2443" t="s">
        <v>11</v>
      </c>
      <c r="H2443" t="s">
        <v>11</v>
      </c>
    </row>
    <row r="2444" spans="1:8" x14ac:dyDescent="0.35">
      <c r="A2444" t="s">
        <v>52</v>
      </c>
      <c r="B2444" t="s">
        <v>118</v>
      </c>
      <c r="C2444" t="s">
        <v>2534</v>
      </c>
      <c r="D2444">
        <v>3</v>
      </c>
      <c r="E2444">
        <v>3</v>
      </c>
      <c r="F2444" t="s">
        <v>7</v>
      </c>
      <c r="G2444" t="s">
        <v>115</v>
      </c>
      <c r="H2444" t="s">
        <v>11</v>
      </c>
    </row>
    <row r="2445" spans="1:8" x14ac:dyDescent="0.35">
      <c r="A2445" t="s">
        <v>52</v>
      </c>
      <c r="B2445" t="s">
        <v>118</v>
      </c>
      <c r="C2445" t="s">
        <v>2535</v>
      </c>
      <c r="D2445">
        <v>3</v>
      </c>
      <c r="E2445">
        <v>3</v>
      </c>
      <c r="F2445" t="s">
        <v>7</v>
      </c>
      <c r="G2445" t="s">
        <v>11</v>
      </c>
      <c r="H2445" t="s">
        <v>11</v>
      </c>
    </row>
    <row r="2446" spans="1:8" x14ac:dyDescent="0.35">
      <c r="A2446" t="s">
        <v>52</v>
      </c>
      <c r="B2446" t="s">
        <v>118</v>
      </c>
      <c r="C2446" t="s">
        <v>2536</v>
      </c>
      <c r="D2446">
        <v>3</v>
      </c>
      <c r="E2446">
        <v>3</v>
      </c>
      <c r="F2446" t="s">
        <v>7</v>
      </c>
      <c r="G2446" t="s">
        <v>11</v>
      </c>
      <c r="H2446" t="s">
        <v>11</v>
      </c>
    </row>
    <row r="2447" spans="1:8" x14ac:dyDescent="0.35">
      <c r="A2447" t="s">
        <v>52</v>
      </c>
      <c r="B2447" t="s">
        <v>118</v>
      </c>
      <c r="C2447" t="s">
        <v>1927</v>
      </c>
      <c r="D2447">
        <v>3</v>
      </c>
      <c r="E2447">
        <v>3</v>
      </c>
      <c r="F2447" t="s">
        <v>7</v>
      </c>
      <c r="G2447" t="s">
        <v>115</v>
      </c>
      <c r="H2447" t="s">
        <v>11</v>
      </c>
    </row>
    <row r="2448" spans="1:8" x14ac:dyDescent="0.35">
      <c r="A2448" t="s">
        <v>52</v>
      </c>
      <c r="B2448" t="s">
        <v>118</v>
      </c>
      <c r="C2448" t="s">
        <v>2537</v>
      </c>
      <c r="D2448">
        <v>3</v>
      </c>
      <c r="E2448">
        <v>3</v>
      </c>
      <c r="F2448" t="s">
        <v>7</v>
      </c>
      <c r="G2448" t="s">
        <v>11</v>
      </c>
      <c r="H2448" t="s">
        <v>11</v>
      </c>
    </row>
    <row r="2449" spans="1:8" x14ac:dyDescent="0.35">
      <c r="A2449" t="s">
        <v>52</v>
      </c>
      <c r="B2449" t="s">
        <v>118</v>
      </c>
      <c r="C2449" t="s">
        <v>1393</v>
      </c>
      <c r="D2449">
        <v>3</v>
      </c>
      <c r="E2449">
        <v>3</v>
      </c>
      <c r="F2449" t="s">
        <v>7</v>
      </c>
      <c r="G2449" t="s">
        <v>11</v>
      </c>
      <c r="H2449" t="s">
        <v>11</v>
      </c>
    </row>
    <row r="2450" spans="1:8" x14ac:dyDescent="0.35">
      <c r="A2450" t="s">
        <v>52</v>
      </c>
      <c r="B2450" t="s">
        <v>118</v>
      </c>
      <c r="C2450" t="s">
        <v>2538</v>
      </c>
      <c r="D2450">
        <v>3</v>
      </c>
      <c r="E2450">
        <v>3</v>
      </c>
      <c r="F2450" t="s">
        <v>7</v>
      </c>
      <c r="G2450" t="s">
        <v>11</v>
      </c>
      <c r="H2450" t="s">
        <v>11</v>
      </c>
    </row>
    <row r="2451" spans="1:8" x14ac:dyDescent="0.35">
      <c r="A2451" t="s">
        <v>52</v>
      </c>
      <c r="B2451" t="s">
        <v>118</v>
      </c>
      <c r="C2451" t="s">
        <v>2539</v>
      </c>
      <c r="D2451">
        <v>3</v>
      </c>
      <c r="E2451">
        <v>3</v>
      </c>
      <c r="F2451" t="s">
        <v>7</v>
      </c>
      <c r="G2451" t="s">
        <v>115</v>
      </c>
      <c r="H2451" t="s">
        <v>11</v>
      </c>
    </row>
    <row r="2452" spans="1:8" x14ac:dyDescent="0.35">
      <c r="A2452" t="s">
        <v>52</v>
      </c>
      <c r="B2452" t="s">
        <v>118</v>
      </c>
      <c r="C2452" t="s">
        <v>2540</v>
      </c>
      <c r="D2452">
        <v>1</v>
      </c>
      <c r="E2452">
        <v>3</v>
      </c>
      <c r="F2452" t="s">
        <v>7</v>
      </c>
      <c r="G2452" t="s">
        <v>11</v>
      </c>
      <c r="H2452" t="s">
        <v>11</v>
      </c>
    </row>
    <row r="2453" spans="1:8" x14ac:dyDescent="0.35">
      <c r="A2453" t="s">
        <v>52</v>
      </c>
      <c r="B2453" t="s">
        <v>118</v>
      </c>
      <c r="C2453" t="s">
        <v>1761</v>
      </c>
      <c r="D2453">
        <v>3</v>
      </c>
      <c r="E2453">
        <v>3</v>
      </c>
      <c r="F2453" t="s">
        <v>7</v>
      </c>
      <c r="G2453" t="s">
        <v>11</v>
      </c>
      <c r="H2453" t="s">
        <v>11</v>
      </c>
    </row>
    <row r="2454" spans="1:8" x14ac:dyDescent="0.35">
      <c r="A2454" t="s">
        <v>52</v>
      </c>
      <c r="B2454" t="s">
        <v>118</v>
      </c>
      <c r="C2454" t="s">
        <v>2541</v>
      </c>
      <c r="D2454">
        <v>3</v>
      </c>
      <c r="E2454">
        <v>3</v>
      </c>
      <c r="F2454" t="s">
        <v>7</v>
      </c>
      <c r="G2454" t="s">
        <v>115</v>
      </c>
      <c r="H2454" t="s">
        <v>11</v>
      </c>
    </row>
    <row r="2455" spans="1:8" x14ac:dyDescent="0.35">
      <c r="A2455" t="s">
        <v>52</v>
      </c>
      <c r="B2455" t="s">
        <v>118</v>
      </c>
      <c r="C2455" t="s">
        <v>2542</v>
      </c>
      <c r="D2455">
        <v>3</v>
      </c>
      <c r="E2455">
        <v>3</v>
      </c>
      <c r="F2455" t="s">
        <v>7</v>
      </c>
      <c r="G2455" t="s">
        <v>115</v>
      </c>
      <c r="H2455" t="s">
        <v>11</v>
      </c>
    </row>
    <row r="2456" spans="1:8" x14ac:dyDescent="0.35">
      <c r="A2456" t="s">
        <v>52</v>
      </c>
      <c r="B2456" t="s">
        <v>118</v>
      </c>
      <c r="C2456" t="s">
        <v>1512</v>
      </c>
      <c r="D2456">
        <v>3</v>
      </c>
      <c r="E2456">
        <v>3</v>
      </c>
      <c r="F2456" t="s">
        <v>7</v>
      </c>
      <c r="G2456" t="s">
        <v>115</v>
      </c>
      <c r="H2456" t="s">
        <v>11</v>
      </c>
    </row>
    <row r="2457" spans="1:8" x14ac:dyDescent="0.35">
      <c r="A2457" t="s">
        <v>52</v>
      </c>
      <c r="B2457" t="s">
        <v>118</v>
      </c>
      <c r="C2457" t="s">
        <v>2543</v>
      </c>
      <c r="D2457">
        <v>3</v>
      </c>
      <c r="E2457">
        <v>3</v>
      </c>
      <c r="F2457" t="s">
        <v>7</v>
      </c>
      <c r="G2457" t="s">
        <v>11</v>
      </c>
      <c r="H2457" t="s">
        <v>11</v>
      </c>
    </row>
    <row r="2458" spans="1:8" x14ac:dyDescent="0.35">
      <c r="A2458" t="s">
        <v>52</v>
      </c>
      <c r="B2458" t="s">
        <v>118</v>
      </c>
      <c r="C2458" t="s">
        <v>2205</v>
      </c>
      <c r="D2458">
        <v>3</v>
      </c>
      <c r="E2458">
        <v>3</v>
      </c>
      <c r="F2458" t="s">
        <v>7</v>
      </c>
      <c r="G2458" t="s">
        <v>11</v>
      </c>
      <c r="H2458" t="s">
        <v>11</v>
      </c>
    </row>
    <row r="2459" spans="1:8" x14ac:dyDescent="0.35">
      <c r="A2459" t="s">
        <v>52</v>
      </c>
      <c r="B2459" t="s">
        <v>118</v>
      </c>
      <c r="C2459" t="s">
        <v>1517</v>
      </c>
      <c r="D2459">
        <v>2</v>
      </c>
      <c r="E2459">
        <v>3</v>
      </c>
      <c r="F2459" t="s">
        <v>7</v>
      </c>
      <c r="G2459" t="s">
        <v>11</v>
      </c>
      <c r="H2459" t="s">
        <v>11</v>
      </c>
    </row>
    <row r="2460" spans="1:8" x14ac:dyDescent="0.35">
      <c r="A2460" t="s">
        <v>52</v>
      </c>
      <c r="B2460" t="s">
        <v>118</v>
      </c>
      <c r="C2460" t="s">
        <v>1153</v>
      </c>
      <c r="D2460">
        <v>3</v>
      </c>
      <c r="E2460">
        <v>3</v>
      </c>
      <c r="F2460" t="s">
        <v>7</v>
      </c>
      <c r="G2460" t="s">
        <v>11</v>
      </c>
      <c r="H2460" t="s">
        <v>11</v>
      </c>
    </row>
    <row r="2461" spans="1:8" x14ac:dyDescent="0.35">
      <c r="A2461" t="s">
        <v>52</v>
      </c>
      <c r="B2461" t="s">
        <v>118</v>
      </c>
      <c r="C2461" t="s">
        <v>2544</v>
      </c>
      <c r="D2461">
        <v>3</v>
      </c>
      <c r="E2461">
        <v>3</v>
      </c>
      <c r="F2461" t="s">
        <v>7</v>
      </c>
      <c r="G2461" t="s">
        <v>11</v>
      </c>
      <c r="H2461" t="s">
        <v>11</v>
      </c>
    </row>
    <row r="2462" spans="1:8" x14ac:dyDescent="0.35">
      <c r="A2462" t="s">
        <v>52</v>
      </c>
      <c r="B2462" t="s">
        <v>118</v>
      </c>
      <c r="C2462" t="s">
        <v>1159</v>
      </c>
      <c r="D2462">
        <v>3</v>
      </c>
      <c r="E2462">
        <v>3</v>
      </c>
      <c r="F2462" t="s">
        <v>7</v>
      </c>
      <c r="G2462" t="s">
        <v>11</v>
      </c>
      <c r="H2462" t="s">
        <v>11</v>
      </c>
    </row>
    <row r="2463" spans="1:8" x14ac:dyDescent="0.35">
      <c r="A2463" t="s">
        <v>52</v>
      </c>
      <c r="B2463" t="s">
        <v>118</v>
      </c>
      <c r="C2463" t="s">
        <v>2545</v>
      </c>
      <c r="D2463">
        <v>3</v>
      </c>
      <c r="E2463">
        <v>3</v>
      </c>
      <c r="F2463" t="s">
        <v>7</v>
      </c>
      <c r="G2463" t="s">
        <v>11</v>
      </c>
      <c r="H2463" t="s">
        <v>11</v>
      </c>
    </row>
    <row r="2464" spans="1:8" x14ac:dyDescent="0.35">
      <c r="A2464" t="s">
        <v>52</v>
      </c>
      <c r="B2464" t="s">
        <v>118</v>
      </c>
      <c r="C2464" t="s">
        <v>2546</v>
      </c>
      <c r="D2464">
        <v>3</v>
      </c>
      <c r="E2464">
        <v>3</v>
      </c>
      <c r="F2464" t="s">
        <v>7</v>
      </c>
      <c r="G2464" t="s">
        <v>11</v>
      </c>
      <c r="H2464" t="s">
        <v>11</v>
      </c>
    </row>
    <row r="2465" spans="1:8" x14ac:dyDescent="0.35">
      <c r="A2465" t="s">
        <v>52</v>
      </c>
      <c r="B2465" t="s">
        <v>118</v>
      </c>
      <c r="C2465" t="s">
        <v>2547</v>
      </c>
      <c r="D2465">
        <v>3</v>
      </c>
      <c r="E2465">
        <v>3</v>
      </c>
      <c r="F2465" t="s">
        <v>7</v>
      </c>
      <c r="G2465" t="s">
        <v>11</v>
      </c>
      <c r="H2465" t="s">
        <v>11</v>
      </c>
    </row>
    <row r="2466" spans="1:8" x14ac:dyDescent="0.35">
      <c r="A2466" t="s">
        <v>52</v>
      </c>
      <c r="B2466" t="s">
        <v>118</v>
      </c>
      <c r="C2466" t="s">
        <v>1526</v>
      </c>
      <c r="D2466">
        <v>2</v>
      </c>
      <c r="E2466">
        <v>3</v>
      </c>
      <c r="F2466" t="s">
        <v>7</v>
      </c>
      <c r="G2466" t="s">
        <v>11</v>
      </c>
      <c r="H2466" t="s">
        <v>11</v>
      </c>
    </row>
    <row r="2467" spans="1:8" x14ac:dyDescent="0.35">
      <c r="A2467" t="s">
        <v>52</v>
      </c>
      <c r="B2467" t="s">
        <v>118</v>
      </c>
      <c r="C2467" t="s">
        <v>2548</v>
      </c>
      <c r="D2467">
        <v>3</v>
      </c>
      <c r="E2467">
        <v>3</v>
      </c>
      <c r="F2467" t="s">
        <v>7</v>
      </c>
      <c r="G2467" t="s">
        <v>11</v>
      </c>
      <c r="H2467" t="s">
        <v>11</v>
      </c>
    </row>
    <row r="2468" spans="1:8" x14ac:dyDescent="0.35">
      <c r="A2468" t="s">
        <v>52</v>
      </c>
      <c r="B2468" t="s">
        <v>118</v>
      </c>
      <c r="C2468" t="s">
        <v>1166</v>
      </c>
      <c r="D2468">
        <v>2</v>
      </c>
      <c r="E2468">
        <v>3</v>
      </c>
      <c r="F2468" t="s">
        <v>7</v>
      </c>
      <c r="G2468" t="s">
        <v>11</v>
      </c>
      <c r="H2468" t="s">
        <v>11</v>
      </c>
    </row>
    <row r="2469" spans="1:8" x14ac:dyDescent="0.35">
      <c r="A2469" t="s">
        <v>52</v>
      </c>
      <c r="B2469" t="s">
        <v>118</v>
      </c>
      <c r="C2469" t="s">
        <v>1641</v>
      </c>
      <c r="D2469">
        <v>3</v>
      </c>
      <c r="E2469">
        <v>3</v>
      </c>
      <c r="F2469" t="s">
        <v>7</v>
      </c>
      <c r="G2469" t="s">
        <v>11</v>
      </c>
      <c r="H2469" t="s">
        <v>11</v>
      </c>
    </row>
    <row r="2470" spans="1:8" x14ac:dyDescent="0.35">
      <c r="A2470" t="s">
        <v>52</v>
      </c>
      <c r="B2470" t="s">
        <v>118</v>
      </c>
      <c r="C2470" t="s">
        <v>2549</v>
      </c>
      <c r="D2470">
        <v>3</v>
      </c>
      <c r="E2470">
        <v>3</v>
      </c>
      <c r="F2470" t="s">
        <v>7</v>
      </c>
      <c r="G2470" t="s">
        <v>11</v>
      </c>
      <c r="H2470" t="s">
        <v>11</v>
      </c>
    </row>
    <row r="2471" spans="1:8" x14ac:dyDescent="0.35">
      <c r="A2471" t="s">
        <v>52</v>
      </c>
      <c r="B2471" t="s">
        <v>118</v>
      </c>
      <c r="C2471" t="s">
        <v>2550</v>
      </c>
      <c r="D2471">
        <v>2</v>
      </c>
      <c r="E2471">
        <v>3</v>
      </c>
      <c r="F2471" t="s">
        <v>7</v>
      </c>
      <c r="G2471" t="s">
        <v>11</v>
      </c>
      <c r="H2471" t="s">
        <v>11</v>
      </c>
    </row>
    <row r="2472" spans="1:8" x14ac:dyDescent="0.35">
      <c r="A2472" t="s">
        <v>52</v>
      </c>
      <c r="B2472" t="s">
        <v>118</v>
      </c>
      <c r="C2472" t="s">
        <v>1172</v>
      </c>
      <c r="D2472">
        <v>3</v>
      </c>
      <c r="E2472">
        <v>3</v>
      </c>
      <c r="F2472" t="s">
        <v>7</v>
      </c>
      <c r="G2472" t="s">
        <v>11</v>
      </c>
      <c r="H2472" t="s">
        <v>11</v>
      </c>
    </row>
    <row r="2473" spans="1:8" x14ac:dyDescent="0.35">
      <c r="A2473" t="s">
        <v>52</v>
      </c>
      <c r="B2473" t="s">
        <v>118</v>
      </c>
      <c r="C2473" t="s">
        <v>1277</v>
      </c>
      <c r="D2473">
        <v>3</v>
      </c>
      <c r="E2473">
        <v>3</v>
      </c>
      <c r="F2473" t="s">
        <v>7</v>
      </c>
      <c r="G2473" t="s">
        <v>11</v>
      </c>
      <c r="H2473" t="s">
        <v>11</v>
      </c>
    </row>
    <row r="2474" spans="1:8" x14ac:dyDescent="0.35">
      <c r="A2474" t="s">
        <v>52</v>
      </c>
      <c r="B2474" t="s">
        <v>118</v>
      </c>
      <c r="C2474" t="s">
        <v>2551</v>
      </c>
      <c r="D2474">
        <v>3</v>
      </c>
      <c r="E2474">
        <v>3</v>
      </c>
      <c r="F2474" t="s">
        <v>7</v>
      </c>
      <c r="G2474" t="s">
        <v>11</v>
      </c>
      <c r="H2474" t="s">
        <v>11</v>
      </c>
    </row>
    <row r="2475" spans="1:8" x14ac:dyDescent="0.35">
      <c r="A2475" t="s">
        <v>52</v>
      </c>
      <c r="B2475" t="s">
        <v>118</v>
      </c>
      <c r="C2475" t="s">
        <v>1918</v>
      </c>
      <c r="D2475">
        <v>2</v>
      </c>
      <c r="E2475">
        <v>3</v>
      </c>
      <c r="F2475" t="s">
        <v>7</v>
      </c>
      <c r="G2475" t="s">
        <v>11</v>
      </c>
      <c r="H2475" t="s">
        <v>11</v>
      </c>
    </row>
    <row r="2476" spans="1:8" x14ac:dyDescent="0.35">
      <c r="A2476" t="s">
        <v>53</v>
      </c>
      <c r="B2476" t="s">
        <v>82</v>
      </c>
      <c r="C2476" t="s">
        <v>2552</v>
      </c>
      <c r="D2476">
        <v>1</v>
      </c>
      <c r="E2476">
        <v>6</v>
      </c>
      <c r="F2476" t="s">
        <v>7</v>
      </c>
      <c r="G2476" t="s">
        <v>11</v>
      </c>
      <c r="H2476" t="s">
        <v>11</v>
      </c>
    </row>
    <row r="2477" spans="1:8" x14ac:dyDescent="0.35">
      <c r="A2477" t="s">
        <v>53</v>
      </c>
      <c r="B2477" t="s">
        <v>82</v>
      </c>
      <c r="C2477" t="s">
        <v>2553</v>
      </c>
      <c r="D2477">
        <v>1</v>
      </c>
      <c r="E2477">
        <v>6</v>
      </c>
      <c r="F2477" t="s">
        <v>7</v>
      </c>
      <c r="G2477" t="s">
        <v>11</v>
      </c>
      <c r="H2477" t="s">
        <v>11</v>
      </c>
    </row>
    <row r="2478" spans="1:8" x14ac:dyDescent="0.35">
      <c r="A2478" t="s">
        <v>53</v>
      </c>
      <c r="B2478" t="s">
        <v>82</v>
      </c>
      <c r="C2478" t="s">
        <v>2554</v>
      </c>
      <c r="D2478">
        <v>2</v>
      </c>
      <c r="E2478">
        <v>5</v>
      </c>
      <c r="F2478" t="s">
        <v>7</v>
      </c>
      <c r="G2478" t="s">
        <v>11</v>
      </c>
      <c r="H2478" t="s">
        <v>11</v>
      </c>
    </row>
    <row r="2479" spans="1:8" x14ac:dyDescent="0.35">
      <c r="A2479" t="s">
        <v>53</v>
      </c>
      <c r="B2479" t="s">
        <v>82</v>
      </c>
      <c r="C2479" t="s">
        <v>2555</v>
      </c>
      <c r="D2479">
        <v>1</v>
      </c>
      <c r="E2479">
        <v>5</v>
      </c>
      <c r="F2479" t="s">
        <v>7</v>
      </c>
      <c r="G2479" t="s">
        <v>11</v>
      </c>
      <c r="H2479" t="s">
        <v>11</v>
      </c>
    </row>
    <row r="2480" spans="1:8" x14ac:dyDescent="0.35">
      <c r="A2480" t="s">
        <v>53</v>
      </c>
      <c r="B2480" t="s">
        <v>82</v>
      </c>
      <c r="C2480" t="s">
        <v>2556</v>
      </c>
      <c r="D2480">
        <v>1</v>
      </c>
      <c r="E2480">
        <v>6</v>
      </c>
      <c r="F2480" t="s">
        <v>7</v>
      </c>
      <c r="G2480" t="s">
        <v>11</v>
      </c>
      <c r="H2480" t="s">
        <v>11</v>
      </c>
    </row>
    <row r="2481" spans="1:8" x14ac:dyDescent="0.35">
      <c r="A2481" t="s">
        <v>53</v>
      </c>
      <c r="B2481" t="s">
        <v>82</v>
      </c>
      <c r="C2481" t="s">
        <v>1603</v>
      </c>
      <c r="D2481">
        <v>1</v>
      </c>
      <c r="E2481">
        <v>6</v>
      </c>
      <c r="F2481" t="s">
        <v>7</v>
      </c>
      <c r="G2481" t="s">
        <v>11</v>
      </c>
      <c r="H2481" t="s">
        <v>11</v>
      </c>
    </row>
    <row r="2482" spans="1:8" x14ac:dyDescent="0.35">
      <c r="A2482" t="s">
        <v>53</v>
      </c>
      <c r="B2482" t="s">
        <v>82</v>
      </c>
      <c r="C2482" t="s">
        <v>2557</v>
      </c>
      <c r="D2482">
        <v>1</v>
      </c>
      <c r="E2482">
        <v>6</v>
      </c>
      <c r="F2482" t="s">
        <v>7</v>
      </c>
      <c r="G2482" t="s">
        <v>11</v>
      </c>
      <c r="H2482" t="s">
        <v>11</v>
      </c>
    </row>
    <row r="2483" spans="1:8" x14ac:dyDescent="0.35">
      <c r="A2483" t="s">
        <v>53</v>
      </c>
      <c r="B2483" t="s">
        <v>82</v>
      </c>
      <c r="C2483" t="s">
        <v>2184</v>
      </c>
      <c r="D2483">
        <v>1</v>
      </c>
      <c r="E2483">
        <v>6</v>
      </c>
      <c r="F2483" t="s">
        <v>7</v>
      </c>
      <c r="G2483" t="s">
        <v>11</v>
      </c>
      <c r="H2483" t="s">
        <v>11</v>
      </c>
    </row>
    <row r="2484" spans="1:8" x14ac:dyDescent="0.35">
      <c r="A2484" t="s">
        <v>53</v>
      </c>
      <c r="B2484" t="s">
        <v>82</v>
      </c>
      <c r="C2484" t="s">
        <v>1285</v>
      </c>
      <c r="D2484">
        <v>2</v>
      </c>
      <c r="E2484">
        <v>6</v>
      </c>
      <c r="F2484" t="s">
        <v>7</v>
      </c>
      <c r="G2484" t="s">
        <v>11</v>
      </c>
      <c r="H2484" t="s">
        <v>11</v>
      </c>
    </row>
    <row r="2485" spans="1:8" x14ac:dyDescent="0.35">
      <c r="A2485" t="s">
        <v>53</v>
      </c>
      <c r="B2485" t="s">
        <v>82</v>
      </c>
      <c r="C2485" t="s">
        <v>1820</v>
      </c>
      <c r="D2485">
        <v>1</v>
      </c>
      <c r="E2485">
        <v>6</v>
      </c>
      <c r="F2485" t="s">
        <v>7</v>
      </c>
      <c r="G2485" t="s">
        <v>11</v>
      </c>
      <c r="H2485" t="s">
        <v>11</v>
      </c>
    </row>
    <row r="2486" spans="1:8" x14ac:dyDescent="0.35">
      <c r="A2486" t="s">
        <v>53</v>
      </c>
      <c r="B2486" t="s">
        <v>82</v>
      </c>
      <c r="C2486" t="s">
        <v>2558</v>
      </c>
      <c r="D2486">
        <v>1</v>
      </c>
      <c r="E2486">
        <v>5</v>
      </c>
      <c r="F2486" t="s">
        <v>7</v>
      </c>
      <c r="G2486" t="s">
        <v>11</v>
      </c>
      <c r="H2486" t="s">
        <v>11</v>
      </c>
    </row>
    <row r="2487" spans="1:8" x14ac:dyDescent="0.35">
      <c r="A2487" t="s">
        <v>53</v>
      </c>
      <c r="B2487" t="s">
        <v>82</v>
      </c>
      <c r="C2487" t="s">
        <v>1233</v>
      </c>
      <c r="D2487">
        <v>1</v>
      </c>
      <c r="E2487">
        <v>6</v>
      </c>
      <c r="F2487" t="s">
        <v>7</v>
      </c>
      <c r="G2487" t="s">
        <v>11</v>
      </c>
      <c r="H2487" t="s">
        <v>11</v>
      </c>
    </row>
    <row r="2488" spans="1:8" x14ac:dyDescent="0.35">
      <c r="A2488" t="s">
        <v>53</v>
      </c>
      <c r="B2488" t="s">
        <v>82</v>
      </c>
      <c r="C2488" t="s">
        <v>1126</v>
      </c>
      <c r="D2488">
        <v>1</v>
      </c>
      <c r="E2488">
        <v>5</v>
      </c>
      <c r="F2488" t="s">
        <v>7</v>
      </c>
      <c r="G2488" t="s">
        <v>11</v>
      </c>
      <c r="H2488" t="s">
        <v>11</v>
      </c>
    </row>
    <row r="2489" spans="1:8" x14ac:dyDescent="0.35">
      <c r="A2489" t="s">
        <v>53</v>
      </c>
      <c r="B2489" t="s">
        <v>82</v>
      </c>
      <c r="C2489" t="s">
        <v>2559</v>
      </c>
      <c r="D2489">
        <v>1</v>
      </c>
      <c r="E2489">
        <v>6</v>
      </c>
      <c r="F2489" t="s">
        <v>7</v>
      </c>
      <c r="G2489" t="s">
        <v>11</v>
      </c>
      <c r="H2489" t="s">
        <v>11</v>
      </c>
    </row>
    <row r="2490" spans="1:8" x14ac:dyDescent="0.35">
      <c r="A2490" t="s">
        <v>53</v>
      </c>
      <c r="B2490" t="s">
        <v>82</v>
      </c>
      <c r="C2490" t="s">
        <v>2560</v>
      </c>
      <c r="D2490">
        <v>1</v>
      </c>
      <c r="E2490">
        <v>6</v>
      </c>
      <c r="F2490" t="s">
        <v>7</v>
      </c>
      <c r="G2490" t="s">
        <v>11</v>
      </c>
      <c r="H2490" t="s">
        <v>11</v>
      </c>
    </row>
    <row r="2491" spans="1:8" x14ac:dyDescent="0.35">
      <c r="A2491" t="s">
        <v>53</v>
      </c>
      <c r="B2491" t="s">
        <v>82</v>
      </c>
      <c r="C2491" t="s">
        <v>1352</v>
      </c>
      <c r="D2491">
        <v>2</v>
      </c>
      <c r="E2491">
        <v>6</v>
      </c>
      <c r="F2491" t="s">
        <v>7</v>
      </c>
      <c r="G2491" t="s">
        <v>11</v>
      </c>
      <c r="H2491" t="s">
        <v>11</v>
      </c>
    </row>
    <row r="2492" spans="1:8" x14ac:dyDescent="0.35">
      <c r="A2492" t="s">
        <v>53</v>
      </c>
      <c r="B2492" t="s">
        <v>82</v>
      </c>
      <c r="C2492" t="s">
        <v>2561</v>
      </c>
      <c r="D2492">
        <v>1</v>
      </c>
      <c r="E2492">
        <v>6</v>
      </c>
      <c r="F2492" t="s">
        <v>7</v>
      </c>
      <c r="G2492" t="s">
        <v>11</v>
      </c>
      <c r="H2492" t="s">
        <v>11</v>
      </c>
    </row>
    <row r="2493" spans="1:8" x14ac:dyDescent="0.35">
      <c r="A2493" t="s">
        <v>53</v>
      </c>
      <c r="B2493" t="s">
        <v>82</v>
      </c>
      <c r="C2493" t="s">
        <v>2562</v>
      </c>
      <c r="D2493">
        <v>1</v>
      </c>
      <c r="E2493">
        <v>6</v>
      </c>
      <c r="F2493" t="s">
        <v>7</v>
      </c>
      <c r="G2493" t="s">
        <v>11</v>
      </c>
      <c r="H2493" t="s">
        <v>11</v>
      </c>
    </row>
    <row r="2494" spans="1:8" x14ac:dyDescent="0.35">
      <c r="A2494" t="s">
        <v>53</v>
      </c>
      <c r="B2494" t="s">
        <v>82</v>
      </c>
      <c r="C2494" t="s">
        <v>2190</v>
      </c>
      <c r="D2494">
        <v>1</v>
      </c>
      <c r="E2494">
        <v>6</v>
      </c>
      <c r="F2494" t="s">
        <v>7</v>
      </c>
      <c r="G2494" t="s">
        <v>11</v>
      </c>
      <c r="H2494" t="s">
        <v>11</v>
      </c>
    </row>
    <row r="2495" spans="1:8" x14ac:dyDescent="0.35">
      <c r="A2495" t="s">
        <v>53</v>
      </c>
      <c r="B2495" t="s">
        <v>82</v>
      </c>
      <c r="C2495" t="s">
        <v>2444</v>
      </c>
      <c r="D2495">
        <v>2</v>
      </c>
      <c r="E2495">
        <v>6</v>
      </c>
      <c r="F2495" t="s">
        <v>7</v>
      </c>
      <c r="G2495" t="s">
        <v>11</v>
      </c>
      <c r="H2495" t="s">
        <v>11</v>
      </c>
    </row>
    <row r="2496" spans="1:8" x14ac:dyDescent="0.35">
      <c r="A2496" t="s">
        <v>53</v>
      </c>
      <c r="B2496" t="s">
        <v>82</v>
      </c>
      <c r="C2496" t="s">
        <v>1356</v>
      </c>
      <c r="D2496">
        <v>1</v>
      </c>
      <c r="E2496">
        <v>5</v>
      </c>
      <c r="F2496" t="s">
        <v>7</v>
      </c>
      <c r="G2496" t="s">
        <v>11</v>
      </c>
      <c r="H2496" t="s">
        <v>11</v>
      </c>
    </row>
    <row r="2497" spans="1:8" x14ac:dyDescent="0.35">
      <c r="A2497" t="s">
        <v>53</v>
      </c>
      <c r="B2497" t="s">
        <v>82</v>
      </c>
      <c r="C2497" t="s">
        <v>2563</v>
      </c>
      <c r="D2497">
        <v>1</v>
      </c>
      <c r="E2497">
        <v>6</v>
      </c>
      <c r="F2497" t="s">
        <v>7</v>
      </c>
      <c r="G2497" t="s">
        <v>11</v>
      </c>
      <c r="H2497" t="s">
        <v>11</v>
      </c>
    </row>
    <row r="2498" spans="1:8" x14ac:dyDescent="0.35">
      <c r="A2498" t="s">
        <v>53</v>
      </c>
      <c r="B2498" t="s">
        <v>82</v>
      </c>
      <c r="C2498" t="s">
        <v>2564</v>
      </c>
      <c r="D2498">
        <v>2</v>
      </c>
      <c r="E2498">
        <v>6</v>
      </c>
      <c r="F2498" t="s">
        <v>7</v>
      </c>
      <c r="G2498" t="s">
        <v>11</v>
      </c>
      <c r="H2498" t="s">
        <v>11</v>
      </c>
    </row>
    <row r="2499" spans="1:8" x14ac:dyDescent="0.35">
      <c r="A2499" t="s">
        <v>53</v>
      </c>
      <c r="B2499" t="s">
        <v>82</v>
      </c>
      <c r="C2499" t="s">
        <v>2565</v>
      </c>
      <c r="D2499">
        <v>1</v>
      </c>
      <c r="E2499">
        <v>6</v>
      </c>
      <c r="F2499" t="s">
        <v>7</v>
      </c>
      <c r="G2499" t="s">
        <v>11</v>
      </c>
      <c r="H2499" t="s">
        <v>11</v>
      </c>
    </row>
    <row r="2500" spans="1:8" x14ac:dyDescent="0.35">
      <c r="A2500" t="s">
        <v>53</v>
      </c>
      <c r="B2500" t="s">
        <v>82</v>
      </c>
      <c r="C2500" t="s">
        <v>1246</v>
      </c>
      <c r="D2500">
        <v>1</v>
      </c>
      <c r="E2500">
        <v>6</v>
      </c>
      <c r="F2500" t="s">
        <v>7</v>
      </c>
      <c r="G2500" t="s">
        <v>11</v>
      </c>
      <c r="H2500" t="s">
        <v>11</v>
      </c>
    </row>
    <row r="2501" spans="1:8" x14ac:dyDescent="0.35">
      <c r="A2501" t="s">
        <v>53</v>
      </c>
      <c r="B2501" t="s">
        <v>82</v>
      </c>
      <c r="C2501" t="s">
        <v>2566</v>
      </c>
      <c r="D2501">
        <v>2</v>
      </c>
      <c r="E2501">
        <v>5</v>
      </c>
      <c r="F2501" t="s">
        <v>7</v>
      </c>
      <c r="G2501" t="s">
        <v>11</v>
      </c>
      <c r="H2501" t="s">
        <v>11</v>
      </c>
    </row>
    <row r="2502" spans="1:8" x14ac:dyDescent="0.35">
      <c r="A2502" t="s">
        <v>53</v>
      </c>
      <c r="B2502" t="s">
        <v>82</v>
      </c>
      <c r="C2502" t="s">
        <v>2567</v>
      </c>
      <c r="D2502">
        <v>2</v>
      </c>
      <c r="E2502">
        <v>6</v>
      </c>
      <c r="F2502" t="s">
        <v>7</v>
      </c>
      <c r="G2502" t="s">
        <v>11</v>
      </c>
      <c r="H2502" t="s">
        <v>11</v>
      </c>
    </row>
    <row r="2503" spans="1:8" x14ac:dyDescent="0.35">
      <c r="A2503" t="s">
        <v>53</v>
      </c>
      <c r="B2503" t="s">
        <v>82</v>
      </c>
      <c r="C2503" t="s">
        <v>2568</v>
      </c>
      <c r="D2503">
        <v>1</v>
      </c>
      <c r="E2503">
        <v>6</v>
      </c>
      <c r="F2503" t="s">
        <v>7</v>
      </c>
      <c r="G2503" t="s">
        <v>11</v>
      </c>
      <c r="H2503" t="s">
        <v>11</v>
      </c>
    </row>
    <row r="2504" spans="1:8" x14ac:dyDescent="0.35">
      <c r="A2504" t="s">
        <v>53</v>
      </c>
      <c r="B2504" t="s">
        <v>82</v>
      </c>
      <c r="C2504" t="s">
        <v>2569</v>
      </c>
      <c r="D2504">
        <v>1</v>
      </c>
      <c r="E2504">
        <v>6</v>
      </c>
      <c r="F2504" t="s">
        <v>7</v>
      </c>
      <c r="G2504" t="s">
        <v>11</v>
      </c>
      <c r="H2504" t="s">
        <v>11</v>
      </c>
    </row>
    <row r="2505" spans="1:8" x14ac:dyDescent="0.35">
      <c r="A2505" t="s">
        <v>53</v>
      </c>
      <c r="B2505" t="s">
        <v>82</v>
      </c>
      <c r="C2505" t="s">
        <v>2570</v>
      </c>
      <c r="D2505">
        <v>1</v>
      </c>
      <c r="E2505">
        <v>6</v>
      </c>
      <c r="F2505" t="s">
        <v>7</v>
      </c>
      <c r="G2505" t="s">
        <v>11</v>
      </c>
      <c r="H2505" t="s">
        <v>11</v>
      </c>
    </row>
    <row r="2506" spans="1:8" x14ac:dyDescent="0.35">
      <c r="A2506" t="s">
        <v>53</v>
      </c>
      <c r="B2506" t="s">
        <v>82</v>
      </c>
      <c r="C2506" t="s">
        <v>2258</v>
      </c>
      <c r="D2506">
        <v>2</v>
      </c>
      <c r="E2506">
        <v>6</v>
      </c>
      <c r="F2506" t="s">
        <v>7</v>
      </c>
      <c r="G2506" t="s">
        <v>11</v>
      </c>
      <c r="H2506" t="s">
        <v>11</v>
      </c>
    </row>
    <row r="2507" spans="1:8" x14ac:dyDescent="0.35">
      <c r="A2507" t="s">
        <v>53</v>
      </c>
      <c r="B2507" t="s">
        <v>82</v>
      </c>
      <c r="C2507" t="s">
        <v>2448</v>
      </c>
      <c r="D2507">
        <v>1</v>
      </c>
      <c r="E2507">
        <v>6</v>
      </c>
      <c r="F2507" t="s">
        <v>7</v>
      </c>
      <c r="G2507" t="s">
        <v>11</v>
      </c>
      <c r="H2507" t="s">
        <v>11</v>
      </c>
    </row>
    <row r="2508" spans="1:8" x14ac:dyDescent="0.35">
      <c r="A2508" t="s">
        <v>53</v>
      </c>
      <c r="B2508" t="s">
        <v>82</v>
      </c>
      <c r="C2508" t="s">
        <v>2571</v>
      </c>
      <c r="D2508">
        <v>1</v>
      </c>
      <c r="E2508">
        <v>5</v>
      </c>
      <c r="F2508" t="s">
        <v>7</v>
      </c>
      <c r="G2508" t="s">
        <v>11</v>
      </c>
      <c r="H2508" t="s">
        <v>11</v>
      </c>
    </row>
    <row r="2509" spans="1:8" x14ac:dyDescent="0.35">
      <c r="A2509" t="s">
        <v>53</v>
      </c>
      <c r="B2509" t="s">
        <v>82</v>
      </c>
      <c r="C2509" t="s">
        <v>2336</v>
      </c>
      <c r="D2509">
        <v>1</v>
      </c>
      <c r="E2509">
        <v>6</v>
      </c>
      <c r="F2509" t="s">
        <v>7</v>
      </c>
      <c r="G2509" t="s">
        <v>11</v>
      </c>
      <c r="H2509" t="s">
        <v>11</v>
      </c>
    </row>
    <row r="2510" spans="1:8" x14ac:dyDescent="0.35">
      <c r="A2510" t="s">
        <v>53</v>
      </c>
      <c r="B2510" t="s">
        <v>82</v>
      </c>
      <c r="C2510" t="s">
        <v>1148</v>
      </c>
      <c r="D2510">
        <v>2</v>
      </c>
      <c r="E2510">
        <v>5</v>
      </c>
      <c r="F2510" t="s">
        <v>7</v>
      </c>
      <c r="G2510" t="s">
        <v>11</v>
      </c>
      <c r="H2510" t="s">
        <v>11</v>
      </c>
    </row>
    <row r="2511" spans="1:8" x14ac:dyDescent="0.35">
      <c r="A2511" t="s">
        <v>53</v>
      </c>
      <c r="B2511" t="s">
        <v>82</v>
      </c>
      <c r="C2511" t="s">
        <v>2572</v>
      </c>
      <c r="D2511">
        <v>1</v>
      </c>
      <c r="E2511">
        <v>6</v>
      </c>
      <c r="F2511" t="s">
        <v>7</v>
      </c>
      <c r="G2511" t="s">
        <v>11</v>
      </c>
      <c r="H2511" t="s">
        <v>11</v>
      </c>
    </row>
    <row r="2512" spans="1:8" x14ac:dyDescent="0.35">
      <c r="A2512" t="s">
        <v>53</v>
      </c>
      <c r="B2512" t="s">
        <v>82</v>
      </c>
      <c r="C2512" t="s">
        <v>1515</v>
      </c>
      <c r="D2512">
        <v>2</v>
      </c>
      <c r="E2512">
        <v>6</v>
      </c>
      <c r="F2512" t="s">
        <v>7</v>
      </c>
      <c r="G2512" t="s">
        <v>11</v>
      </c>
      <c r="H2512" t="s">
        <v>11</v>
      </c>
    </row>
    <row r="2513" spans="1:8" x14ac:dyDescent="0.35">
      <c r="A2513" t="s">
        <v>53</v>
      </c>
      <c r="B2513" t="s">
        <v>82</v>
      </c>
      <c r="C2513" t="s">
        <v>2573</v>
      </c>
      <c r="D2513">
        <v>1</v>
      </c>
      <c r="E2513">
        <v>6</v>
      </c>
      <c r="F2513" t="s">
        <v>7</v>
      </c>
      <c r="G2513" t="s">
        <v>11</v>
      </c>
      <c r="H2513" t="s">
        <v>11</v>
      </c>
    </row>
    <row r="2514" spans="1:8" x14ac:dyDescent="0.35">
      <c r="A2514" t="s">
        <v>53</v>
      </c>
      <c r="B2514" t="s">
        <v>82</v>
      </c>
      <c r="C2514" t="s">
        <v>1298</v>
      </c>
      <c r="D2514">
        <v>1</v>
      </c>
      <c r="E2514">
        <v>6</v>
      </c>
      <c r="F2514" t="s">
        <v>7</v>
      </c>
      <c r="G2514" t="s">
        <v>11</v>
      </c>
      <c r="H2514" t="s">
        <v>11</v>
      </c>
    </row>
    <row r="2515" spans="1:8" x14ac:dyDescent="0.35">
      <c r="A2515" t="s">
        <v>53</v>
      </c>
      <c r="B2515" t="s">
        <v>82</v>
      </c>
      <c r="C2515" t="s">
        <v>1152</v>
      </c>
      <c r="D2515">
        <v>2</v>
      </c>
      <c r="E2515">
        <v>6</v>
      </c>
      <c r="F2515" t="s">
        <v>7</v>
      </c>
      <c r="G2515" t="s">
        <v>11</v>
      </c>
      <c r="H2515" t="s">
        <v>11</v>
      </c>
    </row>
    <row r="2516" spans="1:8" x14ac:dyDescent="0.35">
      <c r="A2516" t="s">
        <v>53</v>
      </c>
      <c r="B2516" t="s">
        <v>82</v>
      </c>
      <c r="C2516" t="s">
        <v>1254</v>
      </c>
      <c r="D2516">
        <v>1</v>
      </c>
      <c r="E2516">
        <v>6</v>
      </c>
      <c r="F2516" t="s">
        <v>7</v>
      </c>
      <c r="G2516" t="s">
        <v>11</v>
      </c>
      <c r="H2516" t="s">
        <v>11</v>
      </c>
    </row>
    <row r="2517" spans="1:8" x14ac:dyDescent="0.35">
      <c r="A2517" t="s">
        <v>53</v>
      </c>
      <c r="B2517" t="s">
        <v>82</v>
      </c>
      <c r="C2517" t="s">
        <v>2574</v>
      </c>
      <c r="D2517">
        <v>1</v>
      </c>
      <c r="E2517">
        <v>6</v>
      </c>
      <c r="F2517" t="s">
        <v>7</v>
      </c>
      <c r="G2517" t="s">
        <v>11</v>
      </c>
      <c r="H2517" t="s">
        <v>11</v>
      </c>
    </row>
    <row r="2518" spans="1:8" x14ac:dyDescent="0.35">
      <c r="A2518" t="s">
        <v>53</v>
      </c>
      <c r="B2518" t="s">
        <v>82</v>
      </c>
      <c r="C2518" t="s">
        <v>1160</v>
      </c>
      <c r="D2518">
        <v>1</v>
      </c>
      <c r="E2518">
        <v>6</v>
      </c>
      <c r="F2518" t="s">
        <v>7</v>
      </c>
      <c r="G2518" t="s">
        <v>11</v>
      </c>
      <c r="H2518" t="s">
        <v>11</v>
      </c>
    </row>
    <row r="2519" spans="1:8" x14ac:dyDescent="0.35">
      <c r="A2519" t="s">
        <v>53</v>
      </c>
      <c r="B2519" t="s">
        <v>82</v>
      </c>
      <c r="C2519" t="s">
        <v>2575</v>
      </c>
      <c r="D2519">
        <v>1</v>
      </c>
      <c r="E2519">
        <v>6</v>
      </c>
      <c r="F2519" t="s">
        <v>7</v>
      </c>
      <c r="G2519" t="s">
        <v>11</v>
      </c>
      <c r="H2519" t="s">
        <v>11</v>
      </c>
    </row>
    <row r="2520" spans="1:8" x14ac:dyDescent="0.35">
      <c r="A2520" t="s">
        <v>53</v>
      </c>
      <c r="B2520" t="s">
        <v>82</v>
      </c>
      <c r="C2520" t="s">
        <v>1772</v>
      </c>
      <c r="D2520">
        <v>1</v>
      </c>
      <c r="E2520">
        <v>6</v>
      </c>
      <c r="F2520" t="s">
        <v>7</v>
      </c>
      <c r="G2520" t="s">
        <v>11</v>
      </c>
      <c r="H2520" t="s">
        <v>11</v>
      </c>
    </row>
    <row r="2521" spans="1:8" x14ac:dyDescent="0.35">
      <c r="A2521" t="s">
        <v>53</v>
      </c>
      <c r="B2521" t="s">
        <v>82</v>
      </c>
      <c r="C2521" t="s">
        <v>1773</v>
      </c>
      <c r="D2521">
        <v>2</v>
      </c>
      <c r="E2521">
        <v>6</v>
      </c>
      <c r="F2521" t="s">
        <v>7</v>
      </c>
      <c r="G2521" t="s">
        <v>11</v>
      </c>
      <c r="H2521" t="s">
        <v>11</v>
      </c>
    </row>
    <row r="2522" spans="1:8" x14ac:dyDescent="0.35">
      <c r="A2522" t="s">
        <v>53</v>
      </c>
      <c r="B2522" t="s">
        <v>82</v>
      </c>
      <c r="C2522" t="s">
        <v>2576</v>
      </c>
      <c r="D2522">
        <v>2</v>
      </c>
      <c r="E2522">
        <v>5</v>
      </c>
      <c r="F2522" t="s">
        <v>7</v>
      </c>
      <c r="G2522" t="s">
        <v>11</v>
      </c>
      <c r="H2522" t="s">
        <v>11</v>
      </c>
    </row>
    <row r="2523" spans="1:8" x14ac:dyDescent="0.35">
      <c r="A2523" t="s">
        <v>53</v>
      </c>
      <c r="B2523" t="s">
        <v>82</v>
      </c>
      <c r="C2523" t="s">
        <v>2577</v>
      </c>
      <c r="D2523">
        <v>1</v>
      </c>
      <c r="E2523">
        <v>6</v>
      </c>
      <c r="F2523" t="s">
        <v>7</v>
      </c>
      <c r="G2523" t="s">
        <v>11</v>
      </c>
      <c r="H2523" t="s">
        <v>11</v>
      </c>
    </row>
    <row r="2524" spans="1:8" x14ac:dyDescent="0.35">
      <c r="A2524" t="s">
        <v>53</v>
      </c>
      <c r="B2524" t="s">
        <v>82</v>
      </c>
      <c r="C2524" t="s">
        <v>2578</v>
      </c>
      <c r="D2524">
        <v>1</v>
      </c>
      <c r="E2524">
        <v>6</v>
      </c>
      <c r="F2524" t="s">
        <v>7</v>
      </c>
      <c r="G2524" t="s">
        <v>11</v>
      </c>
      <c r="H2524" t="s">
        <v>11</v>
      </c>
    </row>
    <row r="2525" spans="1:8" x14ac:dyDescent="0.35">
      <c r="A2525" t="s">
        <v>53</v>
      </c>
      <c r="B2525" t="s">
        <v>82</v>
      </c>
      <c r="C2525" t="s">
        <v>2579</v>
      </c>
      <c r="D2525">
        <v>1</v>
      </c>
      <c r="E2525">
        <v>6</v>
      </c>
      <c r="F2525" t="s">
        <v>7</v>
      </c>
      <c r="G2525" t="s">
        <v>11</v>
      </c>
      <c r="H2525" t="s">
        <v>11</v>
      </c>
    </row>
    <row r="2526" spans="1:8" x14ac:dyDescent="0.35">
      <c r="A2526" t="s">
        <v>53</v>
      </c>
      <c r="B2526" t="s">
        <v>82</v>
      </c>
      <c r="C2526" t="s">
        <v>2047</v>
      </c>
      <c r="D2526">
        <v>2</v>
      </c>
      <c r="E2526">
        <v>6</v>
      </c>
      <c r="F2526" t="s">
        <v>7</v>
      </c>
      <c r="G2526" t="s">
        <v>11</v>
      </c>
      <c r="H2526" t="s">
        <v>11</v>
      </c>
    </row>
    <row r="2527" spans="1:8" x14ac:dyDescent="0.35">
      <c r="A2527" t="s">
        <v>53</v>
      </c>
      <c r="B2527" t="s">
        <v>82</v>
      </c>
      <c r="C2527" t="s">
        <v>2212</v>
      </c>
      <c r="D2527">
        <v>1</v>
      </c>
      <c r="E2527">
        <v>6</v>
      </c>
      <c r="F2527" t="s">
        <v>7</v>
      </c>
      <c r="G2527" t="s">
        <v>11</v>
      </c>
      <c r="H2527" t="s">
        <v>11</v>
      </c>
    </row>
    <row r="2528" spans="1:8" x14ac:dyDescent="0.35">
      <c r="A2528" t="s">
        <v>53</v>
      </c>
      <c r="B2528" t="s">
        <v>82</v>
      </c>
      <c r="C2528" t="s">
        <v>2517</v>
      </c>
      <c r="D2528">
        <v>1</v>
      </c>
      <c r="E2528">
        <v>6</v>
      </c>
      <c r="F2528" t="s">
        <v>7</v>
      </c>
      <c r="G2528" t="s">
        <v>11</v>
      </c>
      <c r="H2528" t="s">
        <v>11</v>
      </c>
    </row>
    <row r="2529" spans="1:8" x14ac:dyDescent="0.35">
      <c r="A2529" t="s">
        <v>53</v>
      </c>
      <c r="B2529" t="s">
        <v>82</v>
      </c>
      <c r="C2529" t="s">
        <v>2580</v>
      </c>
      <c r="D2529">
        <v>1</v>
      </c>
      <c r="E2529">
        <v>6</v>
      </c>
      <c r="F2529" t="s">
        <v>7</v>
      </c>
      <c r="G2529" t="s">
        <v>11</v>
      </c>
      <c r="H2529" t="s">
        <v>11</v>
      </c>
    </row>
    <row r="2530" spans="1:8" x14ac:dyDescent="0.35">
      <c r="A2530" t="s">
        <v>53</v>
      </c>
      <c r="B2530" t="s">
        <v>82</v>
      </c>
      <c r="C2530" t="s">
        <v>2581</v>
      </c>
      <c r="D2530">
        <v>1</v>
      </c>
      <c r="E2530">
        <v>6</v>
      </c>
      <c r="F2530" t="s">
        <v>7</v>
      </c>
      <c r="G2530" t="s">
        <v>11</v>
      </c>
      <c r="H2530" t="s">
        <v>11</v>
      </c>
    </row>
    <row r="2531" spans="1:8" x14ac:dyDescent="0.35">
      <c r="A2531" t="s">
        <v>53</v>
      </c>
      <c r="B2531" t="s">
        <v>82</v>
      </c>
      <c r="C2531" t="s">
        <v>2140</v>
      </c>
      <c r="D2531">
        <v>2</v>
      </c>
      <c r="E2531">
        <v>6</v>
      </c>
      <c r="F2531" t="s">
        <v>7</v>
      </c>
      <c r="G2531" t="s">
        <v>11</v>
      </c>
      <c r="H2531" t="s">
        <v>11</v>
      </c>
    </row>
    <row r="2532" spans="1:8" x14ac:dyDescent="0.35">
      <c r="A2532" t="s">
        <v>53</v>
      </c>
      <c r="B2532" t="s">
        <v>82</v>
      </c>
      <c r="C2532" t="s">
        <v>2582</v>
      </c>
      <c r="D2532">
        <v>1</v>
      </c>
      <c r="E2532">
        <v>6</v>
      </c>
      <c r="F2532" t="s">
        <v>7</v>
      </c>
      <c r="G2532" t="s">
        <v>11</v>
      </c>
      <c r="H2532" t="s">
        <v>11</v>
      </c>
    </row>
    <row r="2533" spans="1:8" x14ac:dyDescent="0.35">
      <c r="A2533" t="s">
        <v>53</v>
      </c>
      <c r="B2533" t="s">
        <v>82</v>
      </c>
      <c r="C2533" t="s">
        <v>2583</v>
      </c>
      <c r="D2533">
        <v>1</v>
      </c>
      <c r="E2533">
        <v>6</v>
      </c>
      <c r="F2533" t="s">
        <v>7</v>
      </c>
      <c r="G2533" t="s">
        <v>11</v>
      </c>
      <c r="H2533" t="s">
        <v>11</v>
      </c>
    </row>
    <row r="2534" spans="1:8" x14ac:dyDescent="0.35">
      <c r="A2534" t="s">
        <v>53</v>
      </c>
      <c r="B2534" t="s">
        <v>82</v>
      </c>
      <c r="C2534" t="s">
        <v>2584</v>
      </c>
      <c r="D2534">
        <v>1</v>
      </c>
      <c r="E2534">
        <v>6</v>
      </c>
      <c r="F2534" t="s">
        <v>7</v>
      </c>
      <c r="G2534" t="s">
        <v>11</v>
      </c>
      <c r="H2534" t="s">
        <v>11</v>
      </c>
    </row>
    <row r="2535" spans="1:8" x14ac:dyDescent="0.35">
      <c r="A2535" t="s">
        <v>53</v>
      </c>
      <c r="B2535" t="s">
        <v>82</v>
      </c>
      <c r="C2535" t="s">
        <v>1859</v>
      </c>
      <c r="D2535">
        <v>2</v>
      </c>
      <c r="E2535">
        <v>5</v>
      </c>
      <c r="F2535" t="s">
        <v>7</v>
      </c>
      <c r="G2535" t="s">
        <v>11</v>
      </c>
      <c r="H2535" t="s">
        <v>11</v>
      </c>
    </row>
    <row r="2536" spans="1:8" x14ac:dyDescent="0.35">
      <c r="A2536" t="s">
        <v>53</v>
      </c>
      <c r="B2536" t="s">
        <v>82</v>
      </c>
      <c r="C2536" t="s">
        <v>2585</v>
      </c>
      <c r="D2536">
        <v>2</v>
      </c>
      <c r="E2536">
        <v>5</v>
      </c>
      <c r="F2536" t="s">
        <v>7</v>
      </c>
      <c r="G2536" t="s">
        <v>11</v>
      </c>
      <c r="H2536" t="s">
        <v>11</v>
      </c>
    </row>
    <row r="2537" spans="1:8" x14ac:dyDescent="0.35">
      <c r="A2537" t="s">
        <v>53</v>
      </c>
      <c r="B2537" t="s">
        <v>82</v>
      </c>
      <c r="C2537" t="s">
        <v>1551</v>
      </c>
      <c r="D2537">
        <v>1</v>
      </c>
      <c r="E2537">
        <v>6</v>
      </c>
      <c r="F2537" t="s">
        <v>7</v>
      </c>
      <c r="G2537" t="s">
        <v>11</v>
      </c>
      <c r="H2537" t="s">
        <v>11</v>
      </c>
    </row>
    <row r="2538" spans="1:8" x14ac:dyDescent="0.35">
      <c r="A2538" t="s">
        <v>53</v>
      </c>
      <c r="B2538" t="s">
        <v>82</v>
      </c>
      <c r="C2538" t="s">
        <v>1277</v>
      </c>
      <c r="D2538">
        <v>1</v>
      </c>
      <c r="E2538">
        <v>5</v>
      </c>
      <c r="F2538" t="s">
        <v>7</v>
      </c>
      <c r="G2538" t="s">
        <v>11</v>
      </c>
      <c r="H2538" t="s">
        <v>11</v>
      </c>
    </row>
    <row r="2539" spans="1:8" x14ac:dyDescent="0.35">
      <c r="A2539" t="s">
        <v>53</v>
      </c>
      <c r="B2539" t="s">
        <v>82</v>
      </c>
      <c r="C2539" t="s">
        <v>2586</v>
      </c>
      <c r="D2539">
        <v>1</v>
      </c>
      <c r="E2539">
        <v>6</v>
      </c>
      <c r="F2539" t="s">
        <v>7</v>
      </c>
      <c r="G2539" t="s">
        <v>11</v>
      </c>
      <c r="H2539" t="s">
        <v>11</v>
      </c>
    </row>
    <row r="2540" spans="1:8" x14ac:dyDescent="0.35">
      <c r="A2540" t="s">
        <v>53</v>
      </c>
      <c r="B2540" t="s">
        <v>82</v>
      </c>
      <c r="C2540" t="s">
        <v>2587</v>
      </c>
      <c r="D2540">
        <v>1</v>
      </c>
      <c r="E2540">
        <v>5</v>
      </c>
      <c r="F2540" t="s">
        <v>7</v>
      </c>
      <c r="G2540" t="s">
        <v>11</v>
      </c>
      <c r="H2540" t="s">
        <v>11</v>
      </c>
    </row>
    <row r="2541" spans="1:8" x14ac:dyDescent="0.35">
      <c r="A2541" t="s">
        <v>53</v>
      </c>
      <c r="B2541" t="s">
        <v>82</v>
      </c>
      <c r="C2541" t="s">
        <v>2588</v>
      </c>
      <c r="D2541">
        <v>2</v>
      </c>
      <c r="E2541">
        <v>6</v>
      </c>
      <c r="F2541" t="s">
        <v>7</v>
      </c>
      <c r="G2541" t="s">
        <v>11</v>
      </c>
      <c r="H2541" t="s">
        <v>11</v>
      </c>
    </row>
    <row r="2542" spans="1:8" x14ac:dyDescent="0.35">
      <c r="A2542" t="s">
        <v>55</v>
      </c>
      <c r="B2542" t="s">
        <v>111</v>
      </c>
      <c r="C2542" t="s">
        <v>1741</v>
      </c>
      <c r="D2542">
        <v>1</v>
      </c>
      <c r="E2542">
        <v>4</v>
      </c>
      <c r="F2542" t="s">
        <v>7</v>
      </c>
      <c r="G2542" t="s">
        <v>11</v>
      </c>
      <c r="H2542" t="s">
        <v>11</v>
      </c>
    </row>
    <row r="2543" spans="1:8" x14ac:dyDescent="0.35">
      <c r="A2543" t="s">
        <v>55</v>
      </c>
      <c r="B2543" t="s">
        <v>111</v>
      </c>
      <c r="C2543" t="s">
        <v>2493</v>
      </c>
      <c r="D2543">
        <v>1</v>
      </c>
      <c r="E2543">
        <v>4</v>
      </c>
      <c r="F2543" t="s">
        <v>7</v>
      </c>
      <c r="G2543" t="s">
        <v>11</v>
      </c>
      <c r="H2543" t="s">
        <v>11</v>
      </c>
    </row>
    <row r="2544" spans="1:8" x14ac:dyDescent="0.35">
      <c r="A2544" t="s">
        <v>55</v>
      </c>
      <c r="B2544" t="s">
        <v>111</v>
      </c>
      <c r="C2544" t="s">
        <v>1228</v>
      </c>
      <c r="D2544">
        <v>2</v>
      </c>
      <c r="E2544">
        <v>4</v>
      </c>
      <c r="F2544" t="s">
        <v>7</v>
      </c>
      <c r="G2544" t="s">
        <v>11</v>
      </c>
      <c r="H2544" t="s">
        <v>11</v>
      </c>
    </row>
    <row r="2545" spans="1:8" x14ac:dyDescent="0.35">
      <c r="A2545" t="s">
        <v>55</v>
      </c>
      <c r="B2545" t="s">
        <v>111</v>
      </c>
      <c r="C2545" t="s">
        <v>2589</v>
      </c>
      <c r="D2545">
        <v>3</v>
      </c>
      <c r="E2545">
        <v>4</v>
      </c>
      <c r="F2545" t="s">
        <v>7</v>
      </c>
      <c r="G2545" t="s">
        <v>11</v>
      </c>
      <c r="H2545" t="s">
        <v>11</v>
      </c>
    </row>
    <row r="2546" spans="1:8" x14ac:dyDescent="0.35">
      <c r="A2546" t="s">
        <v>55</v>
      </c>
      <c r="B2546" t="s">
        <v>111</v>
      </c>
      <c r="C2546" t="s">
        <v>1117</v>
      </c>
      <c r="D2546">
        <v>1</v>
      </c>
      <c r="E2546">
        <v>4</v>
      </c>
      <c r="F2546" t="s">
        <v>7</v>
      </c>
      <c r="G2546" t="s">
        <v>11</v>
      </c>
      <c r="H2546" t="s">
        <v>11</v>
      </c>
    </row>
    <row r="2547" spans="1:8" x14ac:dyDescent="0.35">
      <c r="A2547" t="s">
        <v>55</v>
      </c>
      <c r="B2547" t="s">
        <v>111</v>
      </c>
      <c r="C2547" t="s">
        <v>1230</v>
      </c>
      <c r="D2547">
        <v>1</v>
      </c>
      <c r="E2547">
        <v>4</v>
      </c>
      <c r="F2547" t="s">
        <v>7</v>
      </c>
      <c r="G2547" t="s">
        <v>11</v>
      </c>
      <c r="H2547" t="s">
        <v>11</v>
      </c>
    </row>
    <row r="2548" spans="1:8" x14ac:dyDescent="0.35">
      <c r="A2548" t="s">
        <v>55</v>
      </c>
      <c r="B2548" t="s">
        <v>111</v>
      </c>
      <c r="C2548" t="s">
        <v>1820</v>
      </c>
      <c r="D2548">
        <v>3</v>
      </c>
      <c r="E2548">
        <v>4</v>
      </c>
      <c r="F2548" t="s">
        <v>7</v>
      </c>
      <c r="G2548" t="s">
        <v>11</v>
      </c>
      <c r="H2548" t="s">
        <v>11</v>
      </c>
    </row>
    <row r="2549" spans="1:8" x14ac:dyDescent="0.35">
      <c r="A2549" t="s">
        <v>55</v>
      </c>
      <c r="B2549" t="s">
        <v>111</v>
      </c>
      <c r="C2549" t="s">
        <v>2590</v>
      </c>
      <c r="D2549">
        <v>2</v>
      </c>
      <c r="E2549">
        <v>4</v>
      </c>
      <c r="F2549" t="s">
        <v>7</v>
      </c>
      <c r="G2549" t="s">
        <v>11</v>
      </c>
      <c r="H2549" t="s">
        <v>11</v>
      </c>
    </row>
    <row r="2550" spans="1:8" x14ac:dyDescent="0.35">
      <c r="A2550" t="s">
        <v>55</v>
      </c>
      <c r="B2550" t="s">
        <v>111</v>
      </c>
      <c r="C2550" t="s">
        <v>1231</v>
      </c>
      <c r="D2550">
        <v>3</v>
      </c>
      <c r="E2550">
        <v>4</v>
      </c>
      <c r="F2550" t="s">
        <v>7</v>
      </c>
      <c r="G2550" t="s">
        <v>11</v>
      </c>
      <c r="H2550" t="s">
        <v>11</v>
      </c>
    </row>
    <row r="2551" spans="1:8" x14ac:dyDescent="0.35">
      <c r="A2551" t="s">
        <v>55</v>
      </c>
      <c r="B2551" t="s">
        <v>111</v>
      </c>
      <c r="C2551" t="s">
        <v>1822</v>
      </c>
      <c r="D2551">
        <v>2</v>
      </c>
      <c r="E2551">
        <v>4</v>
      </c>
      <c r="F2551" t="s">
        <v>7</v>
      </c>
      <c r="G2551" t="s">
        <v>11</v>
      </c>
      <c r="H2551" t="s">
        <v>11</v>
      </c>
    </row>
    <row r="2552" spans="1:8" x14ac:dyDescent="0.35">
      <c r="A2552" t="s">
        <v>55</v>
      </c>
      <c r="B2552" t="s">
        <v>111</v>
      </c>
      <c r="C2552" t="s">
        <v>2591</v>
      </c>
      <c r="D2552">
        <v>2</v>
      </c>
      <c r="E2552">
        <v>4</v>
      </c>
      <c r="F2552" t="s">
        <v>7</v>
      </c>
      <c r="G2552" t="s">
        <v>11</v>
      </c>
      <c r="H2552" t="s">
        <v>11</v>
      </c>
    </row>
    <row r="2553" spans="1:8" x14ac:dyDescent="0.35">
      <c r="A2553" t="s">
        <v>55</v>
      </c>
      <c r="B2553" t="s">
        <v>111</v>
      </c>
      <c r="C2553" t="s">
        <v>2499</v>
      </c>
      <c r="D2553">
        <v>2</v>
      </c>
      <c r="E2553">
        <v>3</v>
      </c>
      <c r="F2553" t="s">
        <v>7</v>
      </c>
      <c r="G2553" t="s">
        <v>11</v>
      </c>
      <c r="H2553" t="s">
        <v>11</v>
      </c>
    </row>
    <row r="2554" spans="1:8" x14ac:dyDescent="0.35">
      <c r="A2554" t="s">
        <v>55</v>
      </c>
      <c r="B2554" t="s">
        <v>111</v>
      </c>
      <c r="C2554" t="s">
        <v>1874</v>
      </c>
      <c r="D2554">
        <v>1</v>
      </c>
      <c r="E2554">
        <v>4</v>
      </c>
      <c r="F2554" t="s">
        <v>7</v>
      </c>
      <c r="G2554" t="s">
        <v>11</v>
      </c>
      <c r="H2554" t="s">
        <v>11</v>
      </c>
    </row>
    <row r="2555" spans="1:8" x14ac:dyDescent="0.35">
      <c r="A2555" t="s">
        <v>55</v>
      </c>
      <c r="B2555" t="s">
        <v>111</v>
      </c>
      <c r="C2555" t="s">
        <v>1126</v>
      </c>
      <c r="D2555">
        <v>2</v>
      </c>
      <c r="E2555">
        <v>4</v>
      </c>
      <c r="F2555" t="s">
        <v>7</v>
      </c>
      <c r="G2555" t="s">
        <v>11</v>
      </c>
      <c r="H2555" t="s">
        <v>11</v>
      </c>
    </row>
    <row r="2556" spans="1:8" x14ac:dyDescent="0.35">
      <c r="A2556" t="s">
        <v>55</v>
      </c>
      <c r="B2556" t="s">
        <v>111</v>
      </c>
      <c r="C2556" t="s">
        <v>2592</v>
      </c>
      <c r="D2556">
        <v>2</v>
      </c>
      <c r="E2556">
        <v>4</v>
      </c>
      <c r="F2556" t="s">
        <v>7</v>
      </c>
      <c r="G2556" t="s">
        <v>11</v>
      </c>
      <c r="H2556" t="s">
        <v>11</v>
      </c>
    </row>
    <row r="2557" spans="1:8" x14ac:dyDescent="0.35">
      <c r="A2557" t="s">
        <v>55</v>
      </c>
      <c r="B2557" t="s">
        <v>111</v>
      </c>
      <c r="C2557" t="s">
        <v>1128</v>
      </c>
      <c r="D2557">
        <v>2</v>
      </c>
      <c r="E2557">
        <v>4</v>
      </c>
      <c r="F2557" t="s">
        <v>7</v>
      </c>
      <c r="G2557" t="s">
        <v>11</v>
      </c>
      <c r="H2557" t="s">
        <v>11</v>
      </c>
    </row>
    <row r="2558" spans="1:8" x14ac:dyDescent="0.35">
      <c r="A2558" t="s">
        <v>55</v>
      </c>
      <c r="B2558" t="s">
        <v>111</v>
      </c>
      <c r="C2558" t="s">
        <v>2593</v>
      </c>
      <c r="D2558">
        <v>3</v>
      </c>
      <c r="E2558">
        <v>3</v>
      </c>
      <c r="F2558" t="s">
        <v>7</v>
      </c>
      <c r="G2558" t="s">
        <v>11</v>
      </c>
      <c r="H2558" t="s">
        <v>11</v>
      </c>
    </row>
    <row r="2559" spans="1:8" x14ac:dyDescent="0.35">
      <c r="A2559" t="s">
        <v>55</v>
      </c>
      <c r="B2559" t="s">
        <v>111</v>
      </c>
      <c r="C2559" t="s">
        <v>1610</v>
      </c>
      <c r="D2559">
        <v>3</v>
      </c>
      <c r="E2559">
        <v>4</v>
      </c>
      <c r="F2559" t="s">
        <v>7</v>
      </c>
      <c r="G2559" t="s">
        <v>11</v>
      </c>
      <c r="H2559" t="s">
        <v>11</v>
      </c>
    </row>
    <row r="2560" spans="1:8" x14ac:dyDescent="0.35">
      <c r="A2560" t="s">
        <v>55</v>
      </c>
      <c r="B2560" t="s">
        <v>111</v>
      </c>
      <c r="C2560" t="s">
        <v>2322</v>
      </c>
      <c r="D2560">
        <v>1</v>
      </c>
      <c r="E2560">
        <v>4</v>
      </c>
      <c r="F2560" t="s">
        <v>7</v>
      </c>
      <c r="G2560" t="s">
        <v>11</v>
      </c>
      <c r="H2560" t="s">
        <v>11</v>
      </c>
    </row>
    <row r="2561" spans="1:8" x14ac:dyDescent="0.35">
      <c r="A2561" t="s">
        <v>55</v>
      </c>
      <c r="B2561" t="s">
        <v>111</v>
      </c>
      <c r="C2561" t="s">
        <v>1485</v>
      </c>
      <c r="D2561">
        <v>2</v>
      </c>
      <c r="E2561">
        <v>4</v>
      </c>
      <c r="F2561" t="s">
        <v>7</v>
      </c>
      <c r="G2561" t="s">
        <v>11</v>
      </c>
      <c r="H2561" t="s">
        <v>11</v>
      </c>
    </row>
    <row r="2562" spans="1:8" x14ac:dyDescent="0.35">
      <c r="A2562" t="s">
        <v>55</v>
      </c>
      <c r="B2562" t="s">
        <v>111</v>
      </c>
      <c r="C2562" t="s">
        <v>1486</v>
      </c>
      <c r="D2562">
        <v>2</v>
      </c>
      <c r="E2562">
        <v>4</v>
      </c>
      <c r="F2562" t="s">
        <v>7</v>
      </c>
      <c r="G2562" t="s">
        <v>11</v>
      </c>
      <c r="H2562" t="s">
        <v>11</v>
      </c>
    </row>
    <row r="2563" spans="1:8" x14ac:dyDescent="0.35">
      <c r="A2563" t="s">
        <v>55</v>
      </c>
      <c r="B2563" t="s">
        <v>111</v>
      </c>
      <c r="C2563" t="s">
        <v>2594</v>
      </c>
      <c r="D2563">
        <v>2</v>
      </c>
      <c r="E2563">
        <v>4</v>
      </c>
      <c r="F2563" t="s">
        <v>7</v>
      </c>
      <c r="G2563" t="s">
        <v>11</v>
      </c>
      <c r="H2563" t="s">
        <v>11</v>
      </c>
    </row>
    <row r="2564" spans="1:8" x14ac:dyDescent="0.35">
      <c r="A2564" t="s">
        <v>55</v>
      </c>
      <c r="B2564" t="s">
        <v>111</v>
      </c>
      <c r="C2564" t="s">
        <v>2595</v>
      </c>
      <c r="D2564">
        <v>3</v>
      </c>
      <c r="E2564">
        <v>3</v>
      </c>
      <c r="F2564" t="s">
        <v>7</v>
      </c>
      <c r="G2564" t="s">
        <v>11</v>
      </c>
      <c r="H2564" t="s">
        <v>11</v>
      </c>
    </row>
    <row r="2565" spans="1:8" x14ac:dyDescent="0.35">
      <c r="A2565" t="s">
        <v>55</v>
      </c>
      <c r="B2565" t="s">
        <v>111</v>
      </c>
      <c r="C2565" t="s">
        <v>1141</v>
      </c>
      <c r="D2565">
        <v>3</v>
      </c>
      <c r="E2565">
        <v>3</v>
      </c>
      <c r="F2565" t="s">
        <v>7</v>
      </c>
      <c r="G2565" t="s">
        <v>11</v>
      </c>
      <c r="H2565" t="s">
        <v>11</v>
      </c>
    </row>
    <row r="2566" spans="1:8" x14ac:dyDescent="0.35">
      <c r="A2566" t="s">
        <v>55</v>
      </c>
      <c r="B2566" t="s">
        <v>111</v>
      </c>
      <c r="C2566" t="s">
        <v>2596</v>
      </c>
      <c r="D2566">
        <v>2</v>
      </c>
      <c r="E2566">
        <v>4</v>
      </c>
      <c r="F2566" t="s">
        <v>7</v>
      </c>
      <c r="G2566" t="s">
        <v>11</v>
      </c>
      <c r="H2566" t="s">
        <v>11</v>
      </c>
    </row>
    <row r="2567" spans="1:8" x14ac:dyDescent="0.35">
      <c r="A2567" t="s">
        <v>55</v>
      </c>
      <c r="B2567" t="s">
        <v>111</v>
      </c>
      <c r="C2567" t="s">
        <v>1142</v>
      </c>
      <c r="D2567">
        <v>3</v>
      </c>
      <c r="E2567">
        <v>4</v>
      </c>
      <c r="F2567" t="s">
        <v>7</v>
      </c>
      <c r="G2567" t="s">
        <v>11</v>
      </c>
      <c r="H2567" t="s">
        <v>11</v>
      </c>
    </row>
    <row r="2568" spans="1:8" x14ac:dyDescent="0.35">
      <c r="A2568" t="s">
        <v>55</v>
      </c>
      <c r="B2568" t="s">
        <v>111</v>
      </c>
      <c r="C2568" t="s">
        <v>1664</v>
      </c>
      <c r="D2568">
        <v>3</v>
      </c>
      <c r="E2568">
        <v>4</v>
      </c>
      <c r="F2568" t="s">
        <v>7</v>
      </c>
      <c r="G2568" t="s">
        <v>11</v>
      </c>
      <c r="H2568" t="s">
        <v>11</v>
      </c>
    </row>
    <row r="2569" spans="1:8" x14ac:dyDescent="0.35">
      <c r="A2569" t="s">
        <v>55</v>
      </c>
      <c r="B2569" t="s">
        <v>111</v>
      </c>
      <c r="C2569" t="s">
        <v>2597</v>
      </c>
      <c r="D2569">
        <v>1</v>
      </c>
      <c r="E2569">
        <v>4</v>
      </c>
      <c r="F2569" t="s">
        <v>7</v>
      </c>
      <c r="G2569" t="s">
        <v>11</v>
      </c>
      <c r="H2569" t="s">
        <v>11</v>
      </c>
    </row>
    <row r="2570" spans="1:8" x14ac:dyDescent="0.35">
      <c r="A2570" t="s">
        <v>55</v>
      </c>
      <c r="B2570" t="s">
        <v>111</v>
      </c>
      <c r="C2570" t="s">
        <v>2598</v>
      </c>
      <c r="D2570">
        <v>1</v>
      </c>
      <c r="E2570">
        <v>4</v>
      </c>
      <c r="F2570" t="s">
        <v>7</v>
      </c>
      <c r="G2570" t="s">
        <v>11</v>
      </c>
      <c r="H2570" t="s">
        <v>11</v>
      </c>
    </row>
    <row r="2571" spans="1:8" x14ac:dyDescent="0.35">
      <c r="A2571" t="s">
        <v>55</v>
      </c>
      <c r="B2571" t="s">
        <v>111</v>
      </c>
      <c r="C2571" t="s">
        <v>1144</v>
      </c>
      <c r="D2571">
        <v>1</v>
      </c>
      <c r="E2571">
        <v>4</v>
      </c>
      <c r="F2571" t="s">
        <v>7</v>
      </c>
      <c r="G2571" t="s">
        <v>11</v>
      </c>
      <c r="H2571" t="s">
        <v>11</v>
      </c>
    </row>
    <row r="2572" spans="1:8" x14ac:dyDescent="0.35">
      <c r="A2572" t="s">
        <v>55</v>
      </c>
      <c r="B2572" t="s">
        <v>111</v>
      </c>
      <c r="C2572" t="s">
        <v>1617</v>
      </c>
      <c r="D2572">
        <v>3</v>
      </c>
      <c r="E2572">
        <v>4</v>
      </c>
      <c r="F2572" t="s">
        <v>7</v>
      </c>
      <c r="G2572" t="s">
        <v>11</v>
      </c>
      <c r="H2572" t="s">
        <v>11</v>
      </c>
    </row>
    <row r="2573" spans="1:8" x14ac:dyDescent="0.35">
      <c r="A2573" t="s">
        <v>55</v>
      </c>
      <c r="B2573" t="s">
        <v>111</v>
      </c>
      <c r="C2573" t="s">
        <v>2599</v>
      </c>
      <c r="D2573">
        <v>1</v>
      </c>
      <c r="E2573">
        <v>4</v>
      </c>
      <c r="F2573" t="s">
        <v>7</v>
      </c>
      <c r="G2573" t="s">
        <v>11</v>
      </c>
      <c r="H2573" t="s">
        <v>11</v>
      </c>
    </row>
    <row r="2574" spans="1:8" x14ac:dyDescent="0.35">
      <c r="A2574" t="s">
        <v>55</v>
      </c>
      <c r="B2574" t="s">
        <v>111</v>
      </c>
      <c r="C2574" t="s">
        <v>1422</v>
      </c>
      <c r="D2574">
        <v>2</v>
      </c>
      <c r="E2574">
        <v>4</v>
      </c>
      <c r="F2574" t="s">
        <v>7</v>
      </c>
      <c r="G2574" t="s">
        <v>11</v>
      </c>
      <c r="H2574" t="s">
        <v>11</v>
      </c>
    </row>
    <row r="2575" spans="1:8" x14ac:dyDescent="0.35">
      <c r="A2575" t="s">
        <v>55</v>
      </c>
      <c r="B2575" t="s">
        <v>111</v>
      </c>
      <c r="C2575" t="s">
        <v>1506</v>
      </c>
      <c r="D2575">
        <v>1</v>
      </c>
      <c r="E2575">
        <v>4</v>
      </c>
      <c r="F2575" t="s">
        <v>7</v>
      </c>
      <c r="G2575" t="s">
        <v>11</v>
      </c>
      <c r="H2575" t="s">
        <v>11</v>
      </c>
    </row>
    <row r="2576" spans="1:8" x14ac:dyDescent="0.35">
      <c r="A2576" t="s">
        <v>55</v>
      </c>
      <c r="B2576" t="s">
        <v>111</v>
      </c>
      <c r="C2576" t="s">
        <v>2600</v>
      </c>
      <c r="D2576">
        <v>3</v>
      </c>
      <c r="E2576">
        <v>3</v>
      </c>
      <c r="F2576" t="s">
        <v>7</v>
      </c>
      <c r="G2576" t="s">
        <v>11</v>
      </c>
      <c r="H2576" t="s">
        <v>11</v>
      </c>
    </row>
    <row r="2577" spans="1:8" x14ac:dyDescent="0.35">
      <c r="A2577" t="s">
        <v>55</v>
      </c>
      <c r="B2577" t="s">
        <v>111</v>
      </c>
      <c r="C2577" t="s">
        <v>1618</v>
      </c>
      <c r="D2577">
        <v>2</v>
      </c>
      <c r="E2577">
        <v>3</v>
      </c>
      <c r="F2577" t="s">
        <v>7</v>
      </c>
      <c r="G2577" t="s">
        <v>11</v>
      </c>
      <c r="H2577" t="s">
        <v>11</v>
      </c>
    </row>
    <row r="2578" spans="1:8" x14ac:dyDescent="0.35">
      <c r="A2578" t="s">
        <v>55</v>
      </c>
      <c r="B2578" t="s">
        <v>111</v>
      </c>
      <c r="C2578" t="s">
        <v>2601</v>
      </c>
      <c r="D2578">
        <v>1</v>
      </c>
      <c r="E2578">
        <v>4</v>
      </c>
      <c r="F2578" t="s">
        <v>7</v>
      </c>
      <c r="G2578" t="s">
        <v>11</v>
      </c>
      <c r="H2578" t="s">
        <v>11</v>
      </c>
    </row>
    <row r="2579" spans="1:8" x14ac:dyDescent="0.35">
      <c r="A2579" t="s">
        <v>55</v>
      </c>
      <c r="B2579" t="s">
        <v>111</v>
      </c>
      <c r="C2579" t="s">
        <v>2333</v>
      </c>
      <c r="D2579">
        <v>3</v>
      </c>
      <c r="E2579">
        <v>3</v>
      </c>
      <c r="F2579" t="s">
        <v>7</v>
      </c>
      <c r="G2579" t="s">
        <v>11</v>
      </c>
      <c r="H2579" t="s">
        <v>11</v>
      </c>
    </row>
    <row r="2580" spans="1:8" x14ac:dyDescent="0.35">
      <c r="A2580" t="s">
        <v>55</v>
      </c>
      <c r="B2580" t="s">
        <v>111</v>
      </c>
      <c r="C2580" t="s">
        <v>1619</v>
      </c>
      <c r="D2580">
        <v>2</v>
      </c>
      <c r="E2580">
        <v>3</v>
      </c>
      <c r="F2580" t="s">
        <v>7</v>
      </c>
      <c r="G2580" t="s">
        <v>11</v>
      </c>
      <c r="H2580" t="s">
        <v>11</v>
      </c>
    </row>
    <row r="2581" spans="1:8" x14ac:dyDescent="0.35">
      <c r="A2581" t="s">
        <v>55</v>
      </c>
      <c r="B2581" t="s">
        <v>111</v>
      </c>
      <c r="C2581" t="s">
        <v>1146</v>
      </c>
      <c r="D2581">
        <v>3</v>
      </c>
      <c r="E2581">
        <v>4</v>
      </c>
      <c r="F2581" t="s">
        <v>7</v>
      </c>
      <c r="G2581" t="s">
        <v>11</v>
      </c>
      <c r="H2581" t="s">
        <v>11</v>
      </c>
    </row>
    <row r="2582" spans="1:8" x14ac:dyDescent="0.35">
      <c r="A2582" t="s">
        <v>55</v>
      </c>
      <c r="B2582" t="s">
        <v>111</v>
      </c>
      <c r="C2582" t="s">
        <v>1834</v>
      </c>
      <c r="D2582">
        <v>1</v>
      </c>
      <c r="E2582">
        <v>4</v>
      </c>
      <c r="F2582" t="s">
        <v>7</v>
      </c>
      <c r="G2582" t="s">
        <v>11</v>
      </c>
      <c r="H2582" t="s">
        <v>11</v>
      </c>
    </row>
    <row r="2583" spans="1:8" x14ac:dyDescent="0.35">
      <c r="A2583" t="s">
        <v>55</v>
      </c>
      <c r="B2583" t="s">
        <v>111</v>
      </c>
      <c r="C2583" t="s">
        <v>1147</v>
      </c>
      <c r="D2583">
        <v>2</v>
      </c>
      <c r="E2583">
        <v>4</v>
      </c>
      <c r="F2583" t="s">
        <v>7</v>
      </c>
      <c r="G2583" t="s">
        <v>11</v>
      </c>
      <c r="H2583" t="s">
        <v>11</v>
      </c>
    </row>
    <row r="2584" spans="1:8" x14ac:dyDescent="0.35">
      <c r="A2584" t="s">
        <v>55</v>
      </c>
      <c r="B2584" t="s">
        <v>111</v>
      </c>
      <c r="C2584" t="s">
        <v>2081</v>
      </c>
      <c r="D2584">
        <v>1</v>
      </c>
      <c r="E2584">
        <v>4</v>
      </c>
      <c r="F2584" t="s">
        <v>7</v>
      </c>
      <c r="G2584" t="s">
        <v>11</v>
      </c>
      <c r="H2584" t="s">
        <v>11</v>
      </c>
    </row>
    <row r="2585" spans="1:8" x14ac:dyDescent="0.35">
      <c r="A2585" t="s">
        <v>55</v>
      </c>
      <c r="B2585" t="s">
        <v>111</v>
      </c>
      <c r="C2585" t="s">
        <v>1148</v>
      </c>
      <c r="D2585">
        <v>1</v>
      </c>
      <c r="E2585">
        <v>4</v>
      </c>
      <c r="F2585" t="s">
        <v>7</v>
      </c>
      <c r="G2585" t="s">
        <v>11</v>
      </c>
      <c r="H2585" t="s">
        <v>11</v>
      </c>
    </row>
    <row r="2586" spans="1:8" x14ac:dyDescent="0.35">
      <c r="A2586" t="s">
        <v>55</v>
      </c>
      <c r="B2586" t="s">
        <v>111</v>
      </c>
      <c r="C2586" t="s">
        <v>1149</v>
      </c>
      <c r="D2586">
        <v>1</v>
      </c>
      <c r="E2586">
        <v>4</v>
      </c>
      <c r="F2586" t="s">
        <v>7</v>
      </c>
      <c r="G2586" t="s">
        <v>11</v>
      </c>
      <c r="H2586" t="s">
        <v>11</v>
      </c>
    </row>
    <row r="2587" spans="1:8" x14ac:dyDescent="0.35">
      <c r="A2587" t="s">
        <v>55</v>
      </c>
      <c r="B2587" t="s">
        <v>111</v>
      </c>
      <c r="C2587" t="s">
        <v>1252</v>
      </c>
      <c r="D2587">
        <v>2</v>
      </c>
      <c r="E2587">
        <v>4</v>
      </c>
      <c r="F2587" t="s">
        <v>7</v>
      </c>
      <c r="G2587" t="s">
        <v>11</v>
      </c>
      <c r="H2587" t="s">
        <v>11</v>
      </c>
    </row>
    <row r="2588" spans="1:8" x14ac:dyDescent="0.35">
      <c r="A2588" t="s">
        <v>55</v>
      </c>
      <c r="B2588" t="s">
        <v>111</v>
      </c>
      <c r="C2588" t="s">
        <v>1626</v>
      </c>
      <c r="D2588">
        <v>1</v>
      </c>
      <c r="E2588">
        <v>4</v>
      </c>
      <c r="F2588" t="s">
        <v>7</v>
      </c>
      <c r="G2588" t="s">
        <v>11</v>
      </c>
      <c r="H2588" t="s">
        <v>11</v>
      </c>
    </row>
    <row r="2589" spans="1:8" x14ac:dyDescent="0.35">
      <c r="A2589" t="s">
        <v>55</v>
      </c>
      <c r="B2589" t="s">
        <v>111</v>
      </c>
      <c r="C2589" t="s">
        <v>1298</v>
      </c>
      <c r="D2589">
        <v>3</v>
      </c>
      <c r="E2589">
        <v>3</v>
      </c>
      <c r="F2589" t="s">
        <v>7</v>
      </c>
      <c r="G2589" t="s">
        <v>11</v>
      </c>
      <c r="H2589" t="s">
        <v>11</v>
      </c>
    </row>
    <row r="2590" spans="1:8" x14ac:dyDescent="0.35">
      <c r="A2590" t="s">
        <v>55</v>
      </c>
      <c r="B2590" t="s">
        <v>111</v>
      </c>
      <c r="C2590" t="s">
        <v>1151</v>
      </c>
      <c r="D2590">
        <v>3</v>
      </c>
      <c r="E2590">
        <v>3</v>
      </c>
      <c r="F2590" t="s">
        <v>7</v>
      </c>
      <c r="G2590" t="s">
        <v>11</v>
      </c>
      <c r="H2590" t="s">
        <v>11</v>
      </c>
    </row>
    <row r="2591" spans="1:8" x14ac:dyDescent="0.35">
      <c r="A2591" t="s">
        <v>55</v>
      </c>
      <c r="B2591" t="s">
        <v>111</v>
      </c>
      <c r="C2591" t="s">
        <v>1152</v>
      </c>
      <c r="D2591">
        <v>1</v>
      </c>
      <c r="E2591">
        <v>4</v>
      </c>
      <c r="F2591" t="s">
        <v>7</v>
      </c>
      <c r="G2591" t="s">
        <v>11</v>
      </c>
      <c r="H2591" t="s">
        <v>11</v>
      </c>
    </row>
    <row r="2592" spans="1:8" x14ac:dyDescent="0.35">
      <c r="A2592" t="s">
        <v>55</v>
      </c>
      <c r="B2592" t="s">
        <v>111</v>
      </c>
      <c r="C2592" t="s">
        <v>1590</v>
      </c>
      <c r="D2592">
        <v>1</v>
      </c>
      <c r="E2592">
        <v>4</v>
      </c>
      <c r="F2592" t="s">
        <v>7</v>
      </c>
      <c r="G2592" t="s">
        <v>11</v>
      </c>
      <c r="H2592" t="s">
        <v>11</v>
      </c>
    </row>
    <row r="2593" spans="1:8" x14ac:dyDescent="0.35">
      <c r="A2593" t="s">
        <v>55</v>
      </c>
      <c r="B2593" t="s">
        <v>111</v>
      </c>
      <c r="C2593" t="s">
        <v>1254</v>
      </c>
      <c r="D2593">
        <v>1</v>
      </c>
      <c r="E2593">
        <v>4</v>
      </c>
      <c r="F2593" t="s">
        <v>7</v>
      </c>
      <c r="G2593" t="s">
        <v>11</v>
      </c>
      <c r="H2593" t="s">
        <v>11</v>
      </c>
    </row>
    <row r="2594" spans="1:8" x14ac:dyDescent="0.35">
      <c r="A2594" t="s">
        <v>55</v>
      </c>
      <c r="B2594" t="s">
        <v>111</v>
      </c>
      <c r="C2594" t="s">
        <v>2602</v>
      </c>
      <c r="D2594">
        <v>1</v>
      </c>
      <c r="E2594">
        <v>4</v>
      </c>
      <c r="F2594" t="s">
        <v>7</v>
      </c>
      <c r="G2594" t="s">
        <v>11</v>
      </c>
      <c r="H2594" t="s">
        <v>11</v>
      </c>
    </row>
    <row r="2595" spans="1:8" x14ac:dyDescent="0.35">
      <c r="A2595" t="s">
        <v>55</v>
      </c>
      <c r="B2595" t="s">
        <v>111</v>
      </c>
      <c r="C2595" t="s">
        <v>1156</v>
      </c>
      <c r="D2595">
        <v>2</v>
      </c>
      <c r="E2595">
        <v>4</v>
      </c>
      <c r="F2595" t="s">
        <v>7</v>
      </c>
      <c r="G2595" t="s">
        <v>11</v>
      </c>
      <c r="H2595" t="s">
        <v>11</v>
      </c>
    </row>
    <row r="2596" spans="1:8" x14ac:dyDescent="0.35">
      <c r="A2596" t="s">
        <v>55</v>
      </c>
      <c r="B2596" t="s">
        <v>111</v>
      </c>
      <c r="C2596" t="s">
        <v>1157</v>
      </c>
      <c r="D2596">
        <v>3</v>
      </c>
      <c r="E2596">
        <v>3</v>
      </c>
      <c r="F2596" t="s">
        <v>7</v>
      </c>
      <c r="G2596" t="s">
        <v>11</v>
      </c>
      <c r="H2596" t="s">
        <v>11</v>
      </c>
    </row>
    <row r="2597" spans="1:8" x14ac:dyDescent="0.35">
      <c r="A2597" t="s">
        <v>55</v>
      </c>
      <c r="B2597" t="s">
        <v>111</v>
      </c>
      <c r="C2597" t="s">
        <v>1159</v>
      </c>
      <c r="D2597">
        <v>3</v>
      </c>
      <c r="E2597">
        <v>4</v>
      </c>
      <c r="F2597" t="s">
        <v>7</v>
      </c>
      <c r="G2597" t="s">
        <v>11</v>
      </c>
      <c r="H2597" t="s">
        <v>11</v>
      </c>
    </row>
    <row r="2598" spans="1:8" x14ac:dyDescent="0.35">
      <c r="A2598" t="s">
        <v>55</v>
      </c>
      <c r="B2598" t="s">
        <v>111</v>
      </c>
      <c r="C2598" t="s">
        <v>1160</v>
      </c>
      <c r="D2598">
        <v>1</v>
      </c>
      <c r="E2598">
        <v>4</v>
      </c>
      <c r="F2598" t="s">
        <v>7</v>
      </c>
      <c r="G2598" t="s">
        <v>11</v>
      </c>
      <c r="H2598" t="s">
        <v>11</v>
      </c>
    </row>
    <row r="2599" spans="1:8" x14ac:dyDescent="0.35">
      <c r="A2599" t="s">
        <v>55</v>
      </c>
      <c r="B2599" t="s">
        <v>111</v>
      </c>
      <c r="C2599" t="s">
        <v>2603</v>
      </c>
      <c r="D2599">
        <v>1</v>
      </c>
      <c r="E2599">
        <v>4</v>
      </c>
      <c r="F2599" t="s">
        <v>7</v>
      </c>
      <c r="G2599" t="s">
        <v>11</v>
      </c>
      <c r="H2599" t="s">
        <v>11</v>
      </c>
    </row>
    <row r="2600" spans="1:8" x14ac:dyDescent="0.35">
      <c r="A2600" t="s">
        <v>55</v>
      </c>
      <c r="B2600" t="s">
        <v>111</v>
      </c>
      <c r="C2600" t="s">
        <v>2604</v>
      </c>
      <c r="D2600">
        <v>1</v>
      </c>
      <c r="E2600">
        <v>4</v>
      </c>
      <c r="F2600" t="s">
        <v>7</v>
      </c>
      <c r="G2600" t="s">
        <v>11</v>
      </c>
      <c r="H2600" t="s">
        <v>11</v>
      </c>
    </row>
    <row r="2601" spans="1:8" x14ac:dyDescent="0.35">
      <c r="A2601" t="s">
        <v>55</v>
      </c>
      <c r="B2601" t="s">
        <v>111</v>
      </c>
      <c r="C2601" t="s">
        <v>2605</v>
      </c>
      <c r="D2601">
        <v>2</v>
      </c>
      <c r="E2601">
        <v>3</v>
      </c>
      <c r="F2601" t="s">
        <v>7</v>
      </c>
      <c r="G2601" t="s">
        <v>11</v>
      </c>
      <c r="H2601" t="s">
        <v>11</v>
      </c>
    </row>
    <row r="2602" spans="1:8" x14ac:dyDescent="0.35">
      <c r="A2602" t="s">
        <v>55</v>
      </c>
      <c r="B2602" t="s">
        <v>111</v>
      </c>
      <c r="C2602" t="s">
        <v>2419</v>
      </c>
      <c r="D2602">
        <v>1</v>
      </c>
      <c r="E2602">
        <v>4</v>
      </c>
      <c r="F2602" t="s">
        <v>7</v>
      </c>
      <c r="G2602" t="s">
        <v>11</v>
      </c>
      <c r="H2602" t="s">
        <v>11</v>
      </c>
    </row>
    <row r="2603" spans="1:8" x14ac:dyDescent="0.35">
      <c r="A2603" t="s">
        <v>55</v>
      </c>
      <c r="B2603" t="s">
        <v>111</v>
      </c>
      <c r="C2603" t="s">
        <v>1162</v>
      </c>
      <c r="D2603">
        <v>1</v>
      </c>
      <c r="E2603">
        <v>4</v>
      </c>
      <c r="F2603" t="s">
        <v>7</v>
      </c>
      <c r="G2603" t="s">
        <v>11</v>
      </c>
      <c r="H2603" t="s">
        <v>11</v>
      </c>
    </row>
    <row r="2604" spans="1:8" x14ac:dyDescent="0.35">
      <c r="A2604" t="s">
        <v>55</v>
      </c>
      <c r="B2604" t="s">
        <v>111</v>
      </c>
      <c r="C2604" t="s">
        <v>1163</v>
      </c>
      <c r="D2604">
        <v>2</v>
      </c>
      <c r="E2604">
        <v>4</v>
      </c>
      <c r="F2604" t="s">
        <v>7</v>
      </c>
      <c r="G2604" t="s">
        <v>11</v>
      </c>
      <c r="H2604" t="s">
        <v>11</v>
      </c>
    </row>
    <row r="2605" spans="1:8" x14ac:dyDescent="0.35">
      <c r="A2605" t="s">
        <v>55</v>
      </c>
      <c r="B2605" t="s">
        <v>111</v>
      </c>
      <c r="C2605" t="s">
        <v>2342</v>
      </c>
      <c r="D2605">
        <v>1</v>
      </c>
      <c r="E2605">
        <v>4</v>
      </c>
      <c r="F2605" t="s">
        <v>7</v>
      </c>
      <c r="G2605" t="s">
        <v>11</v>
      </c>
      <c r="H2605" t="s">
        <v>11</v>
      </c>
    </row>
    <row r="2606" spans="1:8" x14ac:dyDescent="0.35">
      <c r="A2606" t="s">
        <v>55</v>
      </c>
      <c r="B2606" t="s">
        <v>111</v>
      </c>
      <c r="C2606" t="s">
        <v>1164</v>
      </c>
      <c r="D2606">
        <v>3</v>
      </c>
      <c r="E2606">
        <v>4</v>
      </c>
      <c r="F2606" t="s">
        <v>7</v>
      </c>
      <c r="G2606" t="s">
        <v>11</v>
      </c>
      <c r="H2606" t="s">
        <v>11</v>
      </c>
    </row>
    <row r="2607" spans="1:8" x14ac:dyDescent="0.35">
      <c r="A2607" t="s">
        <v>55</v>
      </c>
      <c r="B2607" t="s">
        <v>111</v>
      </c>
      <c r="C2607" t="s">
        <v>2606</v>
      </c>
      <c r="D2607">
        <v>3</v>
      </c>
      <c r="E2607">
        <v>4</v>
      </c>
      <c r="F2607" t="s">
        <v>7</v>
      </c>
      <c r="G2607" t="s">
        <v>11</v>
      </c>
      <c r="H2607" t="s">
        <v>11</v>
      </c>
    </row>
    <row r="2608" spans="1:8" x14ac:dyDescent="0.35">
      <c r="A2608" t="s">
        <v>55</v>
      </c>
      <c r="B2608" t="s">
        <v>111</v>
      </c>
      <c r="C2608" t="s">
        <v>2607</v>
      </c>
      <c r="D2608">
        <v>2</v>
      </c>
      <c r="E2608">
        <v>4</v>
      </c>
      <c r="F2608" t="s">
        <v>7</v>
      </c>
      <c r="G2608" t="s">
        <v>11</v>
      </c>
      <c r="H2608" t="s">
        <v>11</v>
      </c>
    </row>
    <row r="2609" spans="1:8" x14ac:dyDescent="0.35">
      <c r="A2609" t="s">
        <v>55</v>
      </c>
      <c r="B2609" t="s">
        <v>111</v>
      </c>
      <c r="C2609" t="s">
        <v>1165</v>
      </c>
      <c r="D2609">
        <v>1</v>
      </c>
      <c r="E2609">
        <v>4</v>
      </c>
      <c r="F2609" t="s">
        <v>7</v>
      </c>
      <c r="G2609" t="s">
        <v>11</v>
      </c>
      <c r="H2609" t="s">
        <v>11</v>
      </c>
    </row>
    <row r="2610" spans="1:8" x14ac:dyDescent="0.35">
      <c r="A2610" t="s">
        <v>55</v>
      </c>
      <c r="B2610" t="s">
        <v>111</v>
      </c>
      <c r="C2610" t="s">
        <v>2608</v>
      </c>
      <c r="D2610">
        <v>2</v>
      </c>
      <c r="E2610">
        <v>4</v>
      </c>
      <c r="F2610" t="s">
        <v>7</v>
      </c>
      <c r="G2610" t="s">
        <v>11</v>
      </c>
      <c r="H2610" t="s">
        <v>11</v>
      </c>
    </row>
    <row r="2611" spans="1:8" x14ac:dyDescent="0.35">
      <c r="A2611" t="s">
        <v>55</v>
      </c>
      <c r="B2611" t="s">
        <v>111</v>
      </c>
      <c r="C2611" t="s">
        <v>1265</v>
      </c>
      <c r="D2611">
        <v>2</v>
      </c>
      <c r="E2611">
        <v>4</v>
      </c>
      <c r="F2611" t="s">
        <v>7</v>
      </c>
      <c r="G2611" t="s">
        <v>11</v>
      </c>
      <c r="H2611" t="s">
        <v>11</v>
      </c>
    </row>
    <row r="2612" spans="1:8" x14ac:dyDescent="0.35">
      <c r="A2612" t="s">
        <v>55</v>
      </c>
      <c r="B2612" t="s">
        <v>111</v>
      </c>
      <c r="C2612" t="s">
        <v>1443</v>
      </c>
      <c r="D2612">
        <v>2</v>
      </c>
      <c r="E2612">
        <v>4</v>
      </c>
      <c r="F2612" t="s">
        <v>7</v>
      </c>
      <c r="G2612" t="s">
        <v>11</v>
      </c>
      <c r="H2612" t="s">
        <v>11</v>
      </c>
    </row>
    <row r="2613" spans="1:8" x14ac:dyDescent="0.35">
      <c r="A2613" t="s">
        <v>55</v>
      </c>
      <c r="B2613" t="s">
        <v>111</v>
      </c>
      <c r="C2613" t="s">
        <v>2609</v>
      </c>
      <c r="D2613">
        <v>3</v>
      </c>
      <c r="E2613">
        <v>4</v>
      </c>
      <c r="F2613" t="s">
        <v>7</v>
      </c>
      <c r="G2613" t="s">
        <v>11</v>
      </c>
      <c r="H2613" t="s">
        <v>11</v>
      </c>
    </row>
    <row r="2614" spans="1:8" x14ac:dyDescent="0.35">
      <c r="A2614" t="s">
        <v>55</v>
      </c>
      <c r="B2614" t="s">
        <v>111</v>
      </c>
      <c r="C2614" t="s">
        <v>2610</v>
      </c>
      <c r="D2614">
        <v>1</v>
      </c>
      <c r="E2614">
        <v>4</v>
      </c>
      <c r="F2614" t="s">
        <v>7</v>
      </c>
      <c r="G2614" t="s">
        <v>11</v>
      </c>
      <c r="H2614" t="s">
        <v>11</v>
      </c>
    </row>
    <row r="2615" spans="1:8" x14ac:dyDescent="0.35">
      <c r="A2615" t="s">
        <v>55</v>
      </c>
      <c r="B2615" t="s">
        <v>111</v>
      </c>
      <c r="C2615" t="s">
        <v>1855</v>
      </c>
      <c r="D2615">
        <v>2</v>
      </c>
      <c r="E2615">
        <v>4</v>
      </c>
      <c r="F2615" t="s">
        <v>7</v>
      </c>
      <c r="G2615" t="s">
        <v>11</v>
      </c>
      <c r="H2615" t="s">
        <v>11</v>
      </c>
    </row>
    <row r="2616" spans="1:8" x14ac:dyDescent="0.35">
      <c r="A2616" t="s">
        <v>55</v>
      </c>
      <c r="B2616" t="s">
        <v>111</v>
      </c>
      <c r="C2616" t="s">
        <v>2354</v>
      </c>
      <c r="D2616">
        <v>1</v>
      </c>
      <c r="E2616">
        <v>4</v>
      </c>
      <c r="F2616" t="s">
        <v>7</v>
      </c>
      <c r="G2616" t="s">
        <v>11</v>
      </c>
      <c r="H2616" t="s">
        <v>11</v>
      </c>
    </row>
    <row r="2617" spans="1:8" x14ac:dyDescent="0.35">
      <c r="A2617" t="s">
        <v>55</v>
      </c>
      <c r="B2617" t="s">
        <v>111</v>
      </c>
      <c r="C2617" t="s">
        <v>1271</v>
      </c>
      <c r="D2617">
        <v>3</v>
      </c>
      <c r="E2617">
        <v>4</v>
      </c>
      <c r="F2617" t="s">
        <v>7</v>
      </c>
      <c r="G2617" t="s">
        <v>11</v>
      </c>
      <c r="H2617" t="s">
        <v>11</v>
      </c>
    </row>
    <row r="2618" spans="1:8" x14ac:dyDescent="0.35">
      <c r="A2618" t="s">
        <v>55</v>
      </c>
      <c r="B2618" t="s">
        <v>111</v>
      </c>
      <c r="C2618" t="s">
        <v>2611</v>
      </c>
      <c r="D2618">
        <v>3</v>
      </c>
      <c r="E2618">
        <v>4</v>
      </c>
      <c r="F2618" t="s">
        <v>7</v>
      </c>
      <c r="G2618" t="s">
        <v>11</v>
      </c>
      <c r="H2618" t="s">
        <v>11</v>
      </c>
    </row>
    <row r="2619" spans="1:8" x14ac:dyDescent="0.35">
      <c r="A2619" t="s">
        <v>55</v>
      </c>
      <c r="B2619" t="s">
        <v>111</v>
      </c>
      <c r="C2619" t="s">
        <v>1274</v>
      </c>
      <c r="D2619">
        <v>2</v>
      </c>
      <c r="E2619">
        <v>4</v>
      </c>
      <c r="F2619" t="s">
        <v>7</v>
      </c>
      <c r="G2619" t="s">
        <v>11</v>
      </c>
      <c r="H2619" t="s">
        <v>11</v>
      </c>
    </row>
    <row r="2620" spans="1:8" x14ac:dyDescent="0.35">
      <c r="A2620" t="s">
        <v>55</v>
      </c>
      <c r="B2620" t="s">
        <v>111</v>
      </c>
      <c r="C2620" t="s">
        <v>1171</v>
      </c>
      <c r="D2620">
        <v>3</v>
      </c>
      <c r="E2620">
        <v>3</v>
      </c>
      <c r="F2620" t="s">
        <v>7</v>
      </c>
      <c r="G2620" t="s">
        <v>11</v>
      </c>
      <c r="H2620" t="s">
        <v>11</v>
      </c>
    </row>
    <row r="2621" spans="1:8" x14ac:dyDescent="0.35">
      <c r="A2621" t="s">
        <v>55</v>
      </c>
      <c r="B2621" t="s">
        <v>111</v>
      </c>
      <c r="C2621" t="s">
        <v>1796</v>
      </c>
      <c r="D2621">
        <v>1</v>
      </c>
      <c r="E2621">
        <v>4</v>
      </c>
      <c r="F2621" t="s">
        <v>7</v>
      </c>
      <c r="G2621" t="s">
        <v>11</v>
      </c>
      <c r="H2621" t="s">
        <v>11</v>
      </c>
    </row>
    <row r="2622" spans="1:8" x14ac:dyDescent="0.35">
      <c r="A2622" t="s">
        <v>55</v>
      </c>
      <c r="B2622" t="s">
        <v>111</v>
      </c>
      <c r="C2622" t="s">
        <v>1539</v>
      </c>
      <c r="D2622">
        <v>2</v>
      </c>
      <c r="E2622">
        <v>4</v>
      </c>
      <c r="F2622" t="s">
        <v>7</v>
      </c>
      <c r="G2622" t="s">
        <v>11</v>
      </c>
      <c r="H2622" t="s">
        <v>11</v>
      </c>
    </row>
    <row r="2623" spans="1:8" x14ac:dyDescent="0.35">
      <c r="A2623" t="s">
        <v>55</v>
      </c>
      <c r="B2623" t="s">
        <v>111</v>
      </c>
      <c r="C2623" t="s">
        <v>1686</v>
      </c>
      <c r="D2623">
        <v>1</v>
      </c>
      <c r="E2623">
        <v>4</v>
      </c>
      <c r="F2623" t="s">
        <v>7</v>
      </c>
      <c r="G2623" t="s">
        <v>11</v>
      </c>
      <c r="H2623" t="s">
        <v>11</v>
      </c>
    </row>
    <row r="2624" spans="1:8" x14ac:dyDescent="0.35">
      <c r="A2624" t="s">
        <v>55</v>
      </c>
      <c r="B2624" t="s">
        <v>111</v>
      </c>
      <c r="C2624" t="s">
        <v>1800</v>
      </c>
      <c r="D2624">
        <v>2</v>
      </c>
      <c r="E2624">
        <v>4</v>
      </c>
      <c r="F2624" t="s">
        <v>7</v>
      </c>
      <c r="G2624" t="s">
        <v>11</v>
      </c>
      <c r="H2624" t="s">
        <v>11</v>
      </c>
    </row>
    <row r="2625" spans="1:8" x14ac:dyDescent="0.35">
      <c r="A2625" t="s">
        <v>55</v>
      </c>
      <c r="B2625" t="s">
        <v>111</v>
      </c>
      <c r="C2625" t="s">
        <v>1689</v>
      </c>
      <c r="D2625">
        <v>3</v>
      </c>
      <c r="E2625">
        <v>3</v>
      </c>
      <c r="F2625" t="s">
        <v>7</v>
      </c>
      <c r="G2625" t="s">
        <v>11</v>
      </c>
      <c r="H2625" t="s">
        <v>11</v>
      </c>
    </row>
    <row r="2626" spans="1:8" x14ac:dyDescent="0.35">
      <c r="A2626" t="s">
        <v>55</v>
      </c>
      <c r="B2626" t="s">
        <v>111</v>
      </c>
      <c r="C2626" t="s">
        <v>2612</v>
      </c>
      <c r="D2626">
        <v>1</v>
      </c>
      <c r="E2626">
        <v>4</v>
      </c>
      <c r="F2626" t="s">
        <v>7</v>
      </c>
      <c r="G2626" t="s">
        <v>11</v>
      </c>
      <c r="H2626" t="s">
        <v>11</v>
      </c>
    </row>
    <row r="2627" spans="1:8" x14ac:dyDescent="0.35">
      <c r="A2627" t="s">
        <v>55</v>
      </c>
      <c r="B2627" t="s">
        <v>111</v>
      </c>
      <c r="C2627" t="s">
        <v>2613</v>
      </c>
      <c r="D2627">
        <v>2</v>
      </c>
      <c r="E2627">
        <v>4</v>
      </c>
      <c r="F2627" t="s">
        <v>7</v>
      </c>
      <c r="G2627" t="s">
        <v>11</v>
      </c>
      <c r="H2627" t="s">
        <v>11</v>
      </c>
    </row>
    <row r="2628" spans="1:8" x14ac:dyDescent="0.35">
      <c r="A2628" t="s">
        <v>55</v>
      </c>
      <c r="B2628" t="s">
        <v>111</v>
      </c>
      <c r="C2628" t="s">
        <v>1277</v>
      </c>
      <c r="D2628">
        <v>1</v>
      </c>
      <c r="E2628">
        <v>4</v>
      </c>
      <c r="F2628" t="s">
        <v>7</v>
      </c>
      <c r="G2628" t="s">
        <v>11</v>
      </c>
      <c r="H2628" t="s">
        <v>11</v>
      </c>
    </row>
    <row r="2629" spans="1:8" x14ac:dyDescent="0.35">
      <c r="A2629" t="s">
        <v>55</v>
      </c>
      <c r="B2629" t="s">
        <v>111</v>
      </c>
      <c r="C2629" t="s">
        <v>1278</v>
      </c>
      <c r="D2629">
        <v>2</v>
      </c>
      <c r="E2629">
        <v>4</v>
      </c>
      <c r="F2629" t="s">
        <v>7</v>
      </c>
      <c r="G2629" t="s">
        <v>11</v>
      </c>
      <c r="H2629" t="s">
        <v>11</v>
      </c>
    </row>
    <row r="2630" spans="1:8" x14ac:dyDescent="0.35">
      <c r="A2630" t="s">
        <v>55</v>
      </c>
      <c r="B2630" t="s">
        <v>111</v>
      </c>
      <c r="C2630" t="s">
        <v>1555</v>
      </c>
      <c r="D2630">
        <v>2</v>
      </c>
      <c r="E2630">
        <v>4</v>
      </c>
      <c r="F2630" t="s">
        <v>7</v>
      </c>
      <c r="G2630" t="s">
        <v>11</v>
      </c>
      <c r="H2630" t="s">
        <v>11</v>
      </c>
    </row>
    <row r="2631" spans="1:8" x14ac:dyDescent="0.35">
      <c r="A2631" t="s">
        <v>55</v>
      </c>
      <c r="B2631" t="s">
        <v>111</v>
      </c>
      <c r="C2631" t="s">
        <v>1177</v>
      </c>
      <c r="D2631">
        <v>1</v>
      </c>
      <c r="E2631">
        <v>4</v>
      </c>
      <c r="F2631" t="s">
        <v>7</v>
      </c>
      <c r="G2631" t="s">
        <v>11</v>
      </c>
      <c r="H2631" t="s">
        <v>11</v>
      </c>
    </row>
    <row r="2632" spans="1:8" x14ac:dyDescent="0.35">
      <c r="A2632" t="s">
        <v>55</v>
      </c>
      <c r="B2632" t="s">
        <v>111</v>
      </c>
      <c r="C2632" t="s">
        <v>1556</v>
      </c>
      <c r="D2632">
        <v>1</v>
      </c>
      <c r="E2632">
        <v>4</v>
      </c>
      <c r="F2632" t="s">
        <v>7</v>
      </c>
      <c r="G2632" t="s">
        <v>11</v>
      </c>
      <c r="H2632" t="s">
        <v>11</v>
      </c>
    </row>
    <row r="2633" spans="1:8" x14ac:dyDescent="0.35">
      <c r="A2633" t="s">
        <v>55</v>
      </c>
      <c r="B2633" t="s">
        <v>111</v>
      </c>
      <c r="C2633" t="s">
        <v>2614</v>
      </c>
      <c r="D2633">
        <v>3</v>
      </c>
      <c r="E2633">
        <v>4</v>
      </c>
      <c r="F2633" t="s">
        <v>7</v>
      </c>
      <c r="G2633" t="s">
        <v>11</v>
      </c>
      <c r="H2633" t="s">
        <v>11</v>
      </c>
    </row>
    <row r="2634" spans="1:8" x14ac:dyDescent="0.35">
      <c r="A2634" t="s">
        <v>55</v>
      </c>
      <c r="B2634" t="s">
        <v>111</v>
      </c>
      <c r="C2634" t="s">
        <v>1279</v>
      </c>
      <c r="D2634">
        <v>2</v>
      </c>
      <c r="E2634">
        <v>4</v>
      </c>
      <c r="F2634" t="s">
        <v>7</v>
      </c>
      <c r="G2634" t="s">
        <v>11</v>
      </c>
      <c r="H2634" t="s">
        <v>11</v>
      </c>
    </row>
    <row r="2635" spans="1:8" x14ac:dyDescent="0.35">
      <c r="A2635" t="s">
        <v>55</v>
      </c>
      <c r="B2635" t="s">
        <v>111</v>
      </c>
      <c r="C2635" t="s">
        <v>1652</v>
      </c>
      <c r="D2635">
        <v>1</v>
      </c>
      <c r="E2635">
        <v>4</v>
      </c>
      <c r="F2635" t="s">
        <v>7</v>
      </c>
      <c r="G2635" t="s">
        <v>11</v>
      </c>
      <c r="H2635" t="s">
        <v>11</v>
      </c>
    </row>
    <row r="2636" spans="1:8" x14ac:dyDescent="0.35">
      <c r="A2636" t="s">
        <v>55</v>
      </c>
      <c r="B2636" t="s">
        <v>111</v>
      </c>
      <c r="C2636" t="s">
        <v>1805</v>
      </c>
      <c r="D2636">
        <v>1</v>
      </c>
      <c r="E2636">
        <v>4</v>
      </c>
      <c r="F2636" t="s">
        <v>7</v>
      </c>
      <c r="G2636" t="s">
        <v>11</v>
      </c>
      <c r="H2636" t="s">
        <v>11</v>
      </c>
    </row>
    <row r="2637" spans="1:8" x14ac:dyDescent="0.35">
      <c r="A2637" t="s">
        <v>57</v>
      </c>
      <c r="B2637" t="s">
        <v>112</v>
      </c>
      <c r="C2637" t="s">
        <v>1741</v>
      </c>
      <c r="D2637">
        <v>3</v>
      </c>
      <c r="E2637">
        <v>2</v>
      </c>
      <c r="F2637" t="s">
        <v>7</v>
      </c>
      <c r="G2637" t="s">
        <v>115</v>
      </c>
      <c r="H2637" t="s">
        <v>11</v>
      </c>
    </row>
    <row r="2638" spans="1:8" x14ac:dyDescent="0.35">
      <c r="A2638" t="s">
        <v>57</v>
      </c>
      <c r="B2638" t="s">
        <v>112</v>
      </c>
      <c r="C2638" t="s">
        <v>2615</v>
      </c>
      <c r="D2638">
        <v>3</v>
      </c>
      <c r="E2638">
        <v>3</v>
      </c>
      <c r="F2638" t="s">
        <v>75</v>
      </c>
      <c r="G2638" t="s">
        <v>11</v>
      </c>
      <c r="H2638" t="s">
        <v>11</v>
      </c>
    </row>
    <row r="2639" spans="1:8" x14ac:dyDescent="0.35">
      <c r="A2639" t="s">
        <v>57</v>
      </c>
      <c r="B2639" t="s">
        <v>112</v>
      </c>
      <c r="C2639" t="s">
        <v>2616</v>
      </c>
      <c r="D2639">
        <v>3</v>
      </c>
      <c r="E2639">
        <v>2</v>
      </c>
      <c r="F2639" t="s">
        <v>7</v>
      </c>
      <c r="G2639" t="s">
        <v>115</v>
      </c>
      <c r="H2639" t="s">
        <v>11</v>
      </c>
    </row>
    <row r="2640" spans="1:8" x14ac:dyDescent="0.35">
      <c r="A2640" t="s">
        <v>57</v>
      </c>
      <c r="B2640" t="s">
        <v>112</v>
      </c>
      <c r="C2640" t="s">
        <v>2617</v>
      </c>
      <c r="D2640">
        <v>3</v>
      </c>
      <c r="E2640">
        <v>2</v>
      </c>
      <c r="F2640" t="s">
        <v>7</v>
      </c>
      <c r="G2640" t="s">
        <v>115</v>
      </c>
      <c r="H2640" t="s">
        <v>11</v>
      </c>
    </row>
    <row r="2641" spans="1:8" x14ac:dyDescent="0.35">
      <c r="A2641" t="s">
        <v>57</v>
      </c>
      <c r="B2641" t="s">
        <v>112</v>
      </c>
      <c r="C2641" t="s">
        <v>2618</v>
      </c>
      <c r="D2641">
        <v>3</v>
      </c>
      <c r="E2641">
        <v>3</v>
      </c>
      <c r="F2641" t="s">
        <v>7</v>
      </c>
      <c r="G2641" t="s">
        <v>11</v>
      </c>
      <c r="H2641" t="s">
        <v>11</v>
      </c>
    </row>
    <row r="2642" spans="1:8" x14ac:dyDescent="0.35">
      <c r="A2642" t="s">
        <v>57</v>
      </c>
      <c r="B2642" t="s">
        <v>112</v>
      </c>
      <c r="C2642" t="s">
        <v>2492</v>
      </c>
      <c r="D2642">
        <v>2</v>
      </c>
      <c r="E2642">
        <v>4</v>
      </c>
      <c r="F2642" t="s">
        <v>75</v>
      </c>
      <c r="G2642" t="s">
        <v>11</v>
      </c>
      <c r="H2642" t="s">
        <v>11</v>
      </c>
    </row>
    <row r="2643" spans="1:8" x14ac:dyDescent="0.35">
      <c r="A2643" t="s">
        <v>57</v>
      </c>
      <c r="B2643" t="s">
        <v>112</v>
      </c>
      <c r="C2643" t="s">
        <v>2619</v>
      </c>
      <c r="D2643">
        <v>3</v>
      </c>
      <c r="E2643">
        <v>2</v>
      </c>
      <c r="F2643" t="s">
        <v>7</v>
      </c>
      <c r="G2643" t="s">
        <v>115</v>
      </c>
      <c r="H2643" t="s">
        <v>11</v>
      </c>
    </row>
    <row r="2644" spans="1:8" x14ac:dyDescent="0.35">
      <c r="A2644" t="s">
        <v>57</v>
      </c>
      <c r="B2644" t="s">
        <v>112</v>
      </c>
      <c r="C2644" t="s">
        <v>2620</v>
      </c>
      <c r="D2644">
        <v>3</v>
      </c>
      <c r="E2644">
        <v>2</v>
      </c>
      <c r="F2644" t="s">
        <v>7</v>
      </c>
      <c r="G2644" t="s">
        <v>115</v>
      </c>
      <c r="H2644" t="s">
        <v>11</v>
      </c>
    </row>
    <row r="2645" spans="1:8" x14ac:dyDescent="0.35">
      <c r="A2645" t="s">
        <v>57</v>
      </c>
      <c r="B2645" t="s">
        <v>112</v>
      </c>
      <c r="C2645" t="s">
        <v>2621</v>
      </c>
      <c r="D2645">
        <v>2</v>
      </c>
      <c r="E2645">
        <v>4</v>
      </c>
      <c r="F2645" t="s">
        <v>75</v>
      </c>
      <c r="G2645" t="s">
        <v>11</v>
      </c>
      <c r="H2645" t="s">
        <v>11</v>
      </c>
    </row>
    <row r="2646" spans="1:8" x14ac:dyDescent="0.35">
      <c r="A2646" t="s">
        <v>57</v>
      </c>
      <c r="B2646" t="s">
        <v>112</v>
      </c>
      <c r="C2646" t="s">
        <v>2622</v>
      </c>
      <c r="D2646">
        <v>3</v>
      </c>
      <c r="E2646">
        <v>2</v>
      </c>
      <c r="F2646" t="s">
        <v>75</v>
      </c>
      <c r="G2646" t="s">
        <v>11</v>
      </c>
      <c r="H2646" t="s">
        <v>11</v>
      </c>
    </row>
    <row r="2647" spans="1:8" x14ac:dyDescent="0.35">
      <c r="A2647" t="s">
        <v>57</v>
      </c>
      <c r="B2647" t="s">
        <v>112</v>
      </c>
      <c r="C2647" t="s">
        <v>2623</v>
      </c>
      <c r="D2647">
        <v>3</v>
      </c>
      <c r="E2647">
        <v>2</v>
      </c>
      <c r="F2647" t="s">
        <v>7</v>
      </c>
      <c r="G2647" t="s">
        <v>115</v>
      </c>
      <c r="H2647" t="s">
        <v>11</v>
      </c>
    </row>
    <row r="2648" spans="1:8" x14ac:dyDescent="0.35">
      <c r="A2648" t="s">
        <v>57</v>
      </c>
      <c r="B2648" t="s">
        <v>112</v>
      </c>
      <c r="C2648" t="s">
        <v>2624</v>
      </c>
      <c r="D2648">
        <v>3</v>
      </c>
      <c r="E2648">
        <v>3</v>
      </c>
      <c r="F2648" t="s">
        <v>75</v>
      </c>
      <c r="G2648" t="s">
        <v>11</v>
      </c>
      <c r="H2648" t="s">
        <v>11</v>
      </c>
    </row>
    <row r="2649" spans="1:8" x14ac:dyDescent="0.35">
      <c r="A2649" t="s">
        <v>57</v>
      </c>
      <c r="B2649" t="s">
        <v>112</v>
      </c>
      <c r="C2649" t="s">
        <v>2625</v>
      </c>
      <c r="D2649">
        <v>3</v>
      </c>
      <c r="E2649">
        <v>2</v>
      </c>
      <c r="F2649" t="s">
        <v>7</v>
      </c>
      <c r="G2649" t="s">
        <v>115</v>
      </c>
      <c r="H2649" t="s">
        <v>11</v>
      </c>
    </row>
    <row r="2650" spans="1:8" x14ac:dyDescent="0.35">
      <c r="A2650" t="s">
        <v>57</v>
      </c>
      <c r="B2650" t="s">
        <v>112</v>
      </c>
      <c r="C2650" t="s">
        <v>1811</v>
      </c>
      <c r="D2650">
        <v>3</v>
      </c>
      <c r="E2650">
        <v>2</v>
      </c>
      <c r="F2650" t="s">
        <v>7</v>
      </c>
      <c r="G2650" t="s">
        <v>115</v>
      </c>
      <c r="H2650" t="s">
        <v>11</v>
      </c>
    </row>
    <row r="2651" spans="1:8" x14ac:dyDescent="0.35">
      <c r="A2651" t="s">
        <v>57</v>
      </c>
      <c r="B2651" t="s">
        <v>112</v>
      </c>
      <c r="C2651" t="s">
        <v>2626</v>
      </c>
      <c r="D2651">
        <v>3</v>
      </c>
      <c r="E2651">
        <v>2</v>
      </c>
      <c r="F2651" t="s">
        <v>7</v>
      </c>
      <c r="G2651" t="s">
        <v>115</v>
      </c>
      <c r="H2651" t="s">
        <v>11</v>
      </c>
    </row>
    <row r="2652" spans="1:8" x14ac:dyDescent="0.35">
      <c r="A2652" t="s">
        <v>57</v>
      </c>
      <c r="B2652" t="s">
        <v>112</v>
      </c>
      <c r="C2652" t="s">
        <v>2627</v>
      </c>
      <c r="D2652">
        <v>3</v>
      </c>
      <c r="E2652">
        <v>3</v>
      </c>
      <c r="F2652" t="s">
        <v>7</v>
      </c>
      <c r="G2652" t="s">
        <v>115</v>
      </c>
      <c r="H2652" t="s">
        <v>11</v>
      </c>
    </row>
    <row r="2653" spans="1:8" x14ac:dyDescent="0.35">
      <c r="A2653" t="s">
        <v>57</v>
      </c>
      <c r="B2653" t="s">
        <v>112</v>
      </c>
      <c r="C2653" t="s">
        <v>2628</v>
      </c>
      <c r="D2653">
        <v>3</v>
      </c>
      <c r="E2653">
        <v>3</v>
      </c>
      <c r="F2653" t="s">
        <v>75</v>
      </c>
      <c r="G2653" t="s">
        <v>11</v>
      </c>
      <c r="H2653" t="s">
        <v>11</v>
      </c>
    </row>
    <row r="2654" spans="1:8" x14ac:dyDescent="0.35">
      <c r="A2654" t="s">
        <v>57</v>
      </c>
      <c r="B2654" t="s">
        <v>112</v>
      </c>
      <c r="C2654" t="s">
        <v>2629</v>
      </c>
      <c r="D2654">
        <v>3</v>
      </c>
      <c r="E2654">
        <v>2</v>
      </c>
      <c r="F2654" t="s">
        <v>7</v>
      </c>
      <c r="G2654" t="s">
        <v>115</v>
      </c>
      <c r="H2654" t="s">
        <v>11</v>
      </c>
    </row>
    <row r="2655" spans="1:8" x14ac:dyDescent="0.35">
      <c r="A2655" t="s">
        <v>57</v>
      </c>
      <c r="B2655" t="s">
        <v>112</v>
      </c>
      <c r="C2655" t="s">
        <v>2630</v>
      </c>
      <c r="D2655">
        <v>3</v>
      </c>
      <c r="E2655">
        <v>3</v>
      </c>
      <c r="F2655" t="s">
        <v>7</v>
      </c>
      <c r="G2655" t="s">
        <v>115</v>
      </c>
      <c r="H2655" t="s">
        <v>11</v>
      </c>
    </row>
    <row r="2656" spans="1:8" x14ac:dyDescent="0.35">
      <c r="A2656" t="s">
        <v>57</v>
      </c>
      <c r="B2656" t="s">
        <v>112</v>
      </c>
      <c r="C2656" t="s">
        <v>2631</v>
      </c>
      <c r="D2656">
        <v>3</v>
      </c>
      <c r="E2656">
        <v>2</v>
      </c>
      <c r="F2656" t="s">
        <v>7</v>
      </c>
      <c r="G2656" t="s">
        <v>115</v>
      </c>
      <c r="H2656" t="s">
        <v>11</v>
      </c>
    </row>
    <row r="2657" spans="1:8" x14ac:dyDescent="0.35">
      <c r="A2657" t="s">
        <v>57</v>
      </c>
      <c r="B2657" t="s">
        <v>112</v>
      </c>
      <c r="C2657" t="s">
        <v>2632</v>
      </c>
      <c r="D2657">
        <v>3</v>
      </c>
      <c r="E2657">
        <v>2</v>
      </c>
      <c r="F2657" t="s">
        <v>7</v>
      </c>
      <c r="G2657" t="s">
        <v>115</v>
      </c>
      <c r="H2657" t="s">
        <v>11</v>
      </c>
    </row>
    <row r="2658" spans="1:8" x14ac:dyDescent="0.35">
      <c r="A2658" t="s">
        <v>57</v>
      </c>
      <c r="B2658" t="s">
        <v>112</v>
      </c>
      <c r="C2658" t="s">
        <v>2633</v>
      </c>
      <c r="D2658">
        <v>2</v>
      </c>
      <c r="E2658">
        <v>3</v>
      </c>
      <c r="F2658" t="s">
        <v>75</v>
      </c>
      <c r="G2658" t="s">
        <v>11</v>
      </c>
      <c r="H2658" t="s">
        <v>11</v>
      </c>
    </row>
    <row r="2659" spans="1:8" x14ac:dyDescent="0.35">
      <c r="A2659" t="s">
        <v>57</v>
      </c>
      <c r="B2659" t="s">
        <v>112</v>
      </c>
      <c r="C2659" t="s">
        <v>2634</v>
      </c>
      <c r="D2659">
        <v>3</v>
      </c>
      <c r="E2659">
        <v>4</v>
      </c>
      <c r="F2659" t="s">
        <v>75</v>
      </c>
      <c r="G2659" t="s">
        <v>11</v>
      </c>
      <c r="H2659" t="s">
        <v>11</v>
      </c>
    </row>
    <row r="2660" spans="1:8" x14ac:dyDescent="0.35">
      <c r="A2660" t="s">
        <v>57</v>
      </c>
      <c r="B2660" t="s">
        <v>112</v>
      </c>
      <c r="C2660" t="s">
        <v>1464</v>
      </c>
      <c r="D2660">
        <v>3</v>
      </c>
      <c r="E2660">
        <v>2</v>
      </c>
      <c r="F2660" t="s">
        <v>7</v>
      </c>
      <c r="G2660" t="s">
        <v>115</v>
      </c>
      <c r="H2660" t="s">
        <v>11</v>
      </c>
    </row>
    <row r="2661" spans="1:8" x14ac:dyDescent="0.35">
      <c r="A2661" t="s">
        <v>57</v>
      </c>
      <c r="B2661" t="s">
        <v>112</v>
      </c>
      <c r="C2661" t="s">
        <v>1603</v>
      </c>
      <c r="D2661">
        <v>3</v>
      </c>
      <c r="E2661">
        <v>3</v>
      </c>
      <c r="F2661" t="s">
        <v>7</v>
      </c>
      <c r="G2661" t="s">
        <v>115</v>
      </c>
      <c r="H2661" t="s">
        <v>11</v>
      </c>
    </row>
    <row r="2662" spans="1:8" x14ac:dyDescent="0.35">
      <c r="A2662" t="s">
        <v>57</v>
      </c>
      <c r="B2662" t="s">
        <v>112</v>
      </c>
      <c r="C2662" t="s">
        <v>2635</v>
      </c>
      <c r="D2662">
        <v>3</v>
      </c>
      <c r="E2662">
        <v>2</v>
      </c>
      <c r="F2662" t="s">
        <v>7</v>
      </c>
      <c r="G2662" t="s">
        <v>115</v>
      </c>
      <c r="H2662" t="s">
        <v>11</v>
      </c>
    </row>
    <row r="2663" spans="1:8" x14ac:dyDescent="0.35">
      <c r="A2663" t="s">
        <v>57</v>
      </c>
      <c r="B2663" t="s">
        <v>112</v>
      </c>
      <c r="C2663" t="s">
        <v>2636</v>
      </c>
      <c r="D2663">
        <v>3</v>
      </c>
      <c r="E2663">
        <v>3</v>
      </c>
      <c r="F2663" t="s">
        <v>7</v>
      </c>
      <c r="G2663" t="s">
        <v>115</v>
      </c>
      <c r="H2663" t="s">
        <v>11</v>
      </c>
    </row>
    <row r="2664" spans="1:8" x14ac:dyDescent="0.35">
      <c r="A2664" t="s">
        <v>57</v>
      </c>
      <c r="B2664" t="s">
        <v>112</v>
      </c>
      <c r="C2664" t="s">
        <v>1818</v>
      </c>
      <c r="D2664">
        <v>3</v>
      </c>
      <c r="E2664">
        <v>2</v>
      </c>
      <c r="F2664" t="s">
        <v>7</v>
      </c>
      <c r="G2664" t="s">
        <v>115</v>
      </c>
      <c r="H2664" t="s">
        <v>11</v>
      </c>
    </row>
    <row r="2665" spans="1:8" x14ac:dyDescent="0.35">
      <c r="A2665" t="s">
        <v>57</v>
      </c>
      <c r="B2665" t="s">
        <v>112</v>
      </c>
      <c r="C2665" t="s">
        <v>1120</v>
      </c>
      <c r="D2665">
        <v>3</v>
      </c>
      <c r="E2665">
        <v>2</v>
      </c>
      <c r="F2665" t="s">
        <v>7</v>
      </c>
      <c r="G2665" t="s">
        <v>115</v>
      </c>
      <c r="H2665" t="s">
        <v>11</v>
      </c>
    </row>
    <row r="2666" spans="1:8" x14ac:dyDescent="0.35">
      <c r="A2666" t="s">
        <v>57</v>
      </c>
      <c r="B2666" t="s">
        <v>112</v>
      </c>
      <c r="C2666" t="s">
        <v>2637</v>
      </c>
      <c r="D2666">
        <v>3</v>
      </c>
      <c r="E2666">
        <v>3</v>
      </c>
      <c r="F2666" t="s">
        <v>75</v>
      </c>
      <c r="G2666" t="s">
        <v>11</v>
      </c>
      <c r="H2666" t="s">
        <v>11</v>
      </c>
    </row>
    <row r="2667" spans="1:8" x14ac:dyDescent="0.35">
      <c r="A2667" t="s">
        <v>57</v>
      </c>
      <c r="B2667" t="s">
        <v>112</v>
      </c>
      <c r="C2667" t="s">
        <v>1872</v>
      </c>
      <c r="D2667">
        <v>3</v>
      </c>
      <c r="E2667">
        <v>2</v>
      </c>
      <c r="F2667" t="s">
        <v>7</v>
      </c>
      <c r="G2667" t="s">
        <v>115</v>
      </c>
      <c r="H2667" t="s">
        <v>11</v>
      </c>
    </row>
    <row r="2668" spans="1:8" x14ac:dyDescent="0.35">
      <c r="A2668" t="s">
        <v>57</v>
      </c>
      <c r="B2668" t="s">
        <v>112</v>
      </c>
      <c r="C2668" t="s">
        <v>2638</v>
      </c>
      <c r="D2668">
        <v>3</v>
      </c>
      <c r="E2668">
        <v>3</v>
      </c>
      <c r="F2668" t="s">
        <v>7</v>
      </c>
      <c r="G2668" t="s">
        <v>115</v>
      </c>
      <c r="H2668" t="s">
        <v>11</v>
      </c>
    </row>
    <row r="2669" spans="1:8" x14ac:dyDescent="0.35">
      <c r="A2669" t="s">
        <v>57</v>
      </c>
      <c r="B2669" t="s">
        <v>112</v>
      </c>
      <c r="C2669" t="s">
        <v>2639</v>
      </c>
      <c r="D2669">
        <v>2</v>
      </c>
      <c r="E2669">
        <v>4</v>
      </c>
      <c r="F2669" t="s">
        <v>75</v>
      </c>
      <c r="G2669" t="s">
        <v>11</v>
      </c>
      <c r="H2669" t="s">
        <v>11</v>
      </c>
    </row>
    <row r="2670" spans="1:8" x14ac:dyDescent="0.35">
      <c r="A2670" t="s">
        <v>57</v>
      </c>
      <c r="B2670" t="s">
        <v>112</v>
      </c>
      <c r="C2670" t="s">
        <v>1605</v>
      </c>
      <c r="D2670">
        <v>3</v>
      </c>
      <c r="E2670">
        <v>3</v>
      </c>
      <c r="F2670" t="s">
        <v>7</v>
      </c>
      <c r="G2670" t="s">
        <v>115</v>
      </c>
      <c r="H2670" t="s">
        <v>11</v>
      </c>
    </row>
    <row r="2671" spans="1:8" x14ac:dyDescent="0.35">
      <c r="A2671" t="s">
        <v>57</v>
      </c>
      <c r="B2671" t="s">
        <v>112</v>
      </c>
      <c r="C2671" t="s">
        <v>2640</v>
      </c>
      <c r="D2671">
        <v>2</v>
      </c>
      <c r="E2671">
        <v>4</v>
      </c>
      <c r="F2671" t="s">
        <v>75</v>
      </c>
      <c r="G2671" t="s">
        <v>11</v>
      </c>
      <c r="H2671" t="s">
        <v>11</v>
      </c>
    </row>
    <row r="2672" spans="1:8" x14ac:dyDescent="0.35">
      <c r="A2672" t="s">
        <v>57</v>
      </c>
      <c r="B2672" t="s">
        <v>112</v>
      </c>
      <c r="C2672" t="s">
        <v>1121</v>
      </c>
      <c r="D2672">
        <v>3</v>
      </c>
      <c r="E2672">
        <v>2</v>
      </c>
      <c r="F2672" t="s">
        <v>7</v>
      </c>
      <c r="G2672" t="s">
        <v>115</v>
      </c>
      <c r="H2672" t="s">
        <v>11</v>
      </c>
    </row>
    <row r="2673" spans="1:8" x14ac:dyDescent="0.35">
      <c r="A2673" t="s">
        <v>57</v>
      </c>
      <c r="B2673" t="s">
        <v>112</v>
      </c>
      <c r="C2673" t="s">
        <v>1122</v>
      </c>
      <c r="D2673">
        <v>3</v>
      </c>
      <c r="E2673">
        <v>2</v>
      </c>
      <c r="F2673" t="s">
        <v>7</v>
      </c>
      <c r="G2673" t="s">
        <v>115</v>
      </c>
      <c r="H2673" t="s">
        <v>11</v>
      </c>
    </row>
    <row r="2674" spans="1:8" x14ac:dyDescent="0.35">
      <c r="A2674" t="s">
        <v>57</v>
      </c>
      <c r="B2674" t="s">
        <v>112</v>
      </c>
      <c r="C2674" t="s">
        <v>2641</v>
      </c>
      <c r="D2674">
        <v>3</v>
      </c>
      <c r="E2674">
        <v>3</v>
      </c>
      <c r="F2674" t="s">
        <v>75</v>
      </c>
      <c r="G2674" t="s">
        <v>11</v>
      </c>
      <c r="H2674" t="s">
        <v>11</v>
      </c>
    </row>
    <row r="2675" spans="1:8" x14ac:dyDescent="0.35">
      <c r="A2675" t="s">
        <v>57</v>
      </c>
      <c r="B2675" t="s">
        <v>112</v>
      </c>
      <c r="C2675" t="s">
        <v>1126</v>
      </c>
      <c r="D2675">
        <v>3</v>
      </c>
      <c r="E2675">
        <v>3</v>
      </c>
      <c r="F2675" t="s">
        <v>7</v>
      </c>
      <c r="G2675" t="s">
        <v>11</v>
      </c>
      <c r="H2675" t="s">
        <v>11</v>
      </c>
    </row>
    <row r="2676" spans="1:8" x14ac:dyDescent="0.35">
      <c r="A2676" t="s">
        <v>57</v>
      </c>
      <c r="B2676" t="s">
        <v>112</v>
      </c>
      <c r="C2676" t="s">
        <v>2642</v>
      </c>
      <c r="D2676">
        <v>3</v>
      </c>
      <c r="E2676">
        <v>4</v>
      </c>
      <c r="F2676" t="s">
        <v>75</v>
      </c>
      <c r="G2676" t="s">
        <v>11</v>
      </c>
      <c r="H2676" t="s">
        <v>11</v>
      </c>
    </row>
    <row r="2677" spans="1:8" x14ac:dyDescent="0.35">
      <c r="A2677" t="s">
        <v>57</v>
      </c>
      <c r="B2677" t="s">
        <v>112</v>
      </c>
      <c r="C2677" t="s">
        <v>2643</v>
      </c>
      <c r="D2677">
        <v>3</v>
      </c>
      <c r="E2677">
        <v>3</v>
      </c>
      <c r="F2677" t="s">
        <v>75</v>
      </c>
      <c r="G2677" t="s">
        <v>11</v>
      </c>
      <c r="H2677" t="s">
        <v>11</v>
      </c>
    </row>
    <row r="2678" spans="1:8" x14ac:dyDescent="0.35">
      <c r="A2678" t="s">
        <v>57</v>
      </c>
      <c r="B2678" t="s">
        <v>112</v>
      </c>
      <c r="C2678" t="s">
        <v>2644</v>
      </c>
      <c r="D2678">
        <v>3</v>
      </c>
      <c r="E2678">
        <v>3</v>
      </c>
      <c r="F2678" t="s">
        <v>75</v>
      </c>
      <c r="G2678" t="s">
        <v>11</v>
      </c>
      <c r="H2678" t="s">
        <v>11</v>
      </c>
    </row>
    <row r="2679" spans="1:8" x14ac:dyDescent="0.35">
      <c r="A2679" t="s">
        <v>57</v>
      </c>
      <c r="B2679" t="s">
        <v>112</v>
      </c>
      <c r="C2679" t="s">
        <v>2645</v>
      </c>
      <c r="D2679">
        <v>3</v>
      </c>
      <c r="E2679">
        <v>3</v>
      </c>
      <c r="F2679" t="s">
        <v>7</v>
      </c>
      <c r="G2679" t="s">
        <v>115</v>
      </c>
      <c r="H2679" t="s">
        <v>11</v>
      </c>
    </row>
    <row r="2680" spans="1:8" x14ac:dyDescent="0.35">
      <c r="A2680" t="s">
        <v>57</v>
      </c>
      <c r="B2680" t="s">
        <v>112</v>
      </c>
      <c r="C2680" t="s">
        <v>2646</v>
      </c>
      <c r="D2680">
        <v>3</v>
      </c>
      <c r="E2680">
        <v>3</v>
      </c>
      <c r="F2680" t="s">
        <v>75</v>
      </c>
      <c r="G2680" t="s">
        <v>11</v>
      </c>
      <c r="H2680" t="s">
        <v>11</v>
      </c>
    </row>
    <row r="2681" spans="1:8" x14ac:dyDescent="0.35">
      <c r="A2681" t="s">
        <v>57</v>
      </c>
      <c r="B2681" t="s">
        <v>112</v>
      </c>
      <c r="C2681" t="s">
        <v>2647</v>
      </c>
      <c r="D2681">
        <v>3</v>
      </c>
      <c r="E2681">
        <v>2</v>
      </c>
      <c r="F2681" t="s">
        <v>7</v>
      </c>
      <c r="G2681" t="s">
        <v>115</v>
      </c>
      <c r="H2681" t="s">
        <v>11</v>
      </c>
    </row>
    <row r="2682" spans="1:8" x14ac:dyDescent="0.35">
      <c r="A2682" t="s">
        <v>57</v>
      </c>
      <c r="B2682" t="s">
        <v>112</v>
      </c>
      <c r="C2682" t="s">
        <v>2648</v>
      </c>
      <c r="D2682">
        <v>3</v>
      </c>
      <c r="E2682">
        <v>2</v>
      </c>
      <c r="F2682" t="s">
        <v>7</v>
      </c>
      <c r="G2682" t="s">
        <v>115</v>
      </c>
      <c r="H2682" t="s">
        <v>11</v>
      </c>
    </row>
    <row r="2683" spans="1:8" x14ac:dyDescent="0.35">
      <c r="A2683" t="s">
        <v>57</v>
      </c>
      <c r="B2683" t="s">
        <v>112</v>
      </c>
      <c r="C2683" t="s">
        <v>1750</v>
      </c>
      <c r="D2683">
        <v>3</v>
      </c>
      <c r="E2683">
        <v>3</v>
      </c>
      <c r="F2683" t="s">
        <v>7</v>
      </c>
      <c r="G2683" t="s">
        <v>115</v>
      </c>
      <c r="H2683" t="s">
        <v>11</v>
      </c>
    </row>
    <row r="2684" spans="1:8" x14ac:dyDescent="0.35">
      <c r="A2684" t="s">
        <v>57</v>
      </c>
      <c r="B2684" t="s">
        <v>112</v>
      </c>
      <c r="C2684" t="s">
        <v>2649</v>
      </c>
      <c r="D2684">
        <v>3</v>
      </c>
      <c r="E2684">
        <v>3</v>
      </c>
      <c r="F2684" t="s">
        <v>75</v>
      </c>
      <c r="G2684" t="s">
        <v>11</v>
      </c>
      <c r="H2684" t="s">
        <v>11</v>
      </c>
    </row>
    <row r="2685" spans="1:8" x14ac:dyDescent="0.35">
      <c r="A2685" t="s">
        <v>57</v>
      </c>
      <c r="B2685" t="s">
        <v>112</v>
      </c>
      <c r="C2685" t="s">
        <v>2650</v>
      </c>
      <c r="D2685">
        <v>3</v>
      </c>
      <c r="E2685">
        <v>3</v>
      </c>
      <c r="F2685" t="s">
        <v>7</v>
      </c>
      <c r="G2685" t="s">
        <v>11</v>
      </c>
      <c r="H2685" t="s">
        <v>11</v>
      </c>
    </row>
    <row r="2686" spans="1:8" x14ac:dyDescent="0.35">
      <c r="A2686" t="s">
        <v>57</v>
      </c>
      <c r="B2686" t="s">
        <v>112</v>
      </c>
      <c r="C2686" t="s">
        <v>2651</v>
      </c>
      <c r="D2686">
        <v>3</v>
      </c>
      <c r="E2686">
        <v>2</v>
      </c>
      <c r="F2686" t="s">
        <v>7</v>
      </c>
      <c r="G2686" t="s">
        <v>115</v>
      </c>
      <c r="H2686" t="s">
        <v>11</v>
      </c>
    </row>
    <row r="2687" spans="1:8" x14ac:dyDescent="0.35">
      <c r="A2687" t="s">
        <v>57</v>
      </c>
      <c r="B2687" t="s">
        <v>112</v>
      </c>
      <c r="C2687" t="s">
        <v>2652</v>
      </c>
      <c r="D2687">
        <v>3</v>
      </c>
      <c r="E2687">
        <v>3</v>
      </c>
      <c r="F2687" t="s">
        <v>75</v>
      </c>
      <c r="G2687" t="s">
        <v>11</v>
      </c>
      <c r="H2687" t="s">
        <v>11</v>
      </c>
    </row>
    <row r="2688" spans="1:8" x14ac:dyDescent="0.35">
      <c r="A2688" t="s">
        <v>57</v>
      </c>
      <c r="B2688" t="s">
        <v>112</v>
      </c>
      <c r="C2688" t="s">
        <v>2653</v>
      </c>
      <c r="D2688">
        <v>3</v>
      </c>
      <c r="E2688">
        <v>3</v>
      </c>
      <c r="F2688" t="s">
        <v>75</v>
      </c>
      <c r="G2688" t="s">
        <v>11</v>
      </c>
      <c r="H2688" t="s">
        <v>11</v>
      </c>
    </row>
    <row r="2689" spans="1:8" x14ac:dyDescent="0.35">
      <c r="A2689" t="s">
        <v>57</v>
      </c>
      <c r="B2689" t="s">
        <v>112</v>
      </c>
      <c r="C2689" t="s">
        <v>2593</v>
      </c>
      <c r="D2689">
        <v>3</v>
      </c>
      <c r="E2689">
        <v>3</v>
      </c>
      <c r="F2689" t="s">
        <v>75</v>
      </c>
      <c r="G2689" t="s">
        <v>11</v>
      </c>
      <c r="H2689" t="s">
        <v>11</v>
      </c>
    </row>
    <row r="2690" spans="1:8" x14ac:dyDescent="0.35">
      <c r="A2690" t="s">
        <v>57</v>
      </c>
      <c r="B2690" t="s">
        <v>112</v>
      </c>
      <c r="C2690" t="s">
        <v>2654</v>
      </c>
      <c r="D2690">
        <v>2</v>
      </c>
      <c r="E2690">
        <v>3</v>
      </c>
      <c r="F2690" t="s">
        <v>75</v>
      </c>
      <c r="G2690" t="s">
        <v>11</v>
      </c>
      <c r="H2690" t="s">
        <v>11</v>
      </c>
    </row>
    <row r="2691" spans="1:8" x14ac:dyDescent="0.35">
      <c r="A2691" t="s">
        <v>57</v>
      </c>
      <c r="B2691" t="s">
        <v>112</v>
      </c>
      <c r="C2691" t="s">
        <v>2655</v>
      </c>
      <c r="D2691">
        <v>2</v>
      </c>
      <c r="E2691">
        <v>3</v>
      </c>
      <c r="F2691" t="s">
        <v>75</v>
      </c>
      <c r="G2691" t="s">
        <v>11</v>
      </c>
      <c r="H2691" t="s">
        <v>11</v>
      </c>
    </row>
    <row r="2692" spans="1:8" x14ac:dyDescent="0.35">
      <c r="A2692" t="s">
        <v>57</v>
      </c>
      <c r="B2692" t="s">
        <v>112</v>
      </c>
      <c r="C2692" t="s">
        <v>2656</v>
      </c>
      <c r="D2692">
        <v>2</v>
      </c>
      <c r="E2692">
        <v>4</v>
      </c>
      <c r="F2692" t="s">
        <v>75</v>
      </c>
      <c r="G2692" t="s">
        <v>11</v>
      </c>
      <c r="H2692" t="s">
        <v>11</v>
      </c>
    </row>
    <row r="2693" spans="1:8" x14ac:dyDescent="0.35">
      <c r="A2693" t="s">
        <v>57</v>
      </c>
      <c r="B2693" t="s">
        <v>112</v>
      </c>
      <c r="C2693" t="s">
        <v>1136</v>
      </c>
      <c r="D2693">
        <v>3</v>
      </c>
      <c r="E2693">
        <v>3</v>
      </c>
      <c r="F2693" t="s">
        <v>7</v>
      </c>
      <c r="G2693" t="s">
        <v>115</v>
      </c>
      <c r="H2693" t="s">
        <v>11</v>
      </c>
    </row>
    <row r="2694" spans="1:8" x14ac:dyDescent="0.35">
      <c r="A2694" t="s">
        <v>57</v>
      </c>
      <c r="B2694" t="s">
        <v>112</v>
      </c>
      <c r="C2694" t="s">
        <v>1484</v>
      </c>
      <c r="D2694">
        <v>3</v>
      </c>
      <c r="E2694">
        <v>3</v>
      </c>
      <c r="F2694" t="s">
        <v>75</v>
      </c>
      <c r="G2694" t="s">
        <v>11</v>
      </c>
      <c r="H2694" t="s">
        <v>11</v>
      </c>
    </row>
    <row r="2695" spans="1:8" x14ac:dyDescent="0.35">
      <c r="A2695" t="s">
        <v>57</v>
      </c>
      <c r="B2695" t="s">
        <v>112</v>
      </c>
      <c r="C2695" t="s">
        <v>2657</v>
      </c>
      <c r="D2695">
        <v>3</v>
      </c>
      <c r="E2695">
        <v>2</v>
      </c>
      <c r="F2695" t="s">
        <v>7</v>
      </c>
      <c r="G2695" t="s">
        <v>115</v>
      </c>
      <c r="H2695" t="s">
        <v>11</v>
      </c>
    </row>
    <row r="2696" spans="1:8" x14ac:dyDescent="0.35">
      <c r="A2696" t="s">
        <v>57</v>
      </c>
      <c r="B2696" t="s">
        <v>112</v>
      </c>
      <c r="C2696" t="s">
        <v>2658</v>
      </c>
      <c r="D2696">
        <v>2</v>
      </c>
      <c r="E2696">
        <v>4</v>
      </c>
      <c r="F2696" t="s">
        <v>75</v>
      </c>
      <c r="G2696" t="s">
        <v>11</v>
      </c>
      <c r="H2696" t="s">
        <v>11</v>
      </c>
    </row>
    <row r="2697" spans="1:8" x14ac:dyDescent="0.35">
      <c r="A2697" t="s">
        <v>57</v>
      </c>
      <c r="B2697" t="s">
        <v>112</v>
      </c>
      <c r="C2697" t="s">
        <v>1353</v>
      </c>
      <c r="D2697">
        <v>3</v>
      </c>
      <c r="E2697">
        <v>3</v>
      </c>
      <c r="F2697" t="s">
        <v>7</v>
      </c>
      <c r="G2697" t="s">
        <v>11</v>
      </c>
      <c r="H2697" t="s">
        <v>11</v>
      </c>
    </row>
    <row r="2698" spans="1:8" x14ac:dyDescent="0.35">
      <c r="A2698" t="s">
        <v>57</v>
      </c>
      <c r="B2698" t="s">
        <v>112</v>
      </c>
      <c r="C2698" t="s">
        <v>2659</v>
      </c>
      <c r="D2698">
        <v>3</v>
      </c>
      <c r="E2698">
        <v>3</v>
      </c>
      <c r="F2698" t="s">
        <v>7</v>
      </c>
      <c r="G2698" t="s">
        <v>115</v>
      </c>
      <c r="H2698" t="s">
        <v>11</v>
      </c>
    </row>
    <row r="2699" spans="1:8" x14ac:dyDescent="0.35">
      <c r="A2699" t="s">
        <v>57</v>
      </c>
      <c r="B2699" t="s">
        <v>112</v>
      </c>
      <c r="C2699" t="s">
        <v>2660</v>
      </c>
      <c r="D2699">
        <v>3</v>
      </c>
      <c r="E2699">
        <v>3</v>
      </c>
      <c r="F2699" t="s">
        <v>75</v>
      </c>
      <c r="G2699" t="s">
        <v>11</v>
      </c>
      <c r="H2699" t="s">
        <v>11</v>
      </c>
    </row>
    <row r="2700" spans="1:8" x14ac:dyDescent="0.35">
      <c r="A2700" t="s">
        <v>57</v>
      </c>
      <c r="B2700" t="s">
        <v>112</v>
      </c>
      <c r="C2700" t="s">
        <v>2661</v>
      </c>
      <c r="D2700">
        <v>3</v>
      </c>
      <c r="E2700">
        <v>2</v>
      </c>
      <c r="F2700" t="s">
        <v>75</v>
      </c>
      <c r="G2700" t="s">
        <v>11</v>
      </c>
      <c r="H2700" t="s">
        <v>11</v>
      </c>
    </row>
    <row r="2701" spans="1:8" x14ac:dyDescent="0.35">
      <c r="A2701" t="s">
        <v>57</v>
      </c>
      <c r="B2701" t="s">
        <v>112</v>
      </c>
      <c r="C2701" t="s">
        <v>2662</v>
      </c>
      <c r="D2701">
        <v>2</v>
      </c>
      <c r="E2701">
        <v>4</v>
      </c>
      <c r="F2701" t="s">
        <v>75</v>
      </c>
      <c r="G2701" t="s">
        <v>11</v>
      </c>
      <c r="H2701" t="s">
        <v>11</v>
      </c>
    </row>
    <row r="2702" spans="1:8" x14ac:dyDescent="0.35">
      <c r="A2702" t="s">
        <v>57</v>
      </c>
      <c r="B2702" t="s">
        <v>112</v>
      </c>
      <c r="C2702" t="s">
        <v>1416</v>
      </c>
      <c r="D2702">
        <v>3</v>
      </c>
      <c r="E2702">
        <v>2</v>
      </c>
      <c r="F2702" t="s">
        <v>7</v>
      </c>
      <c r="G2702" t="s">
        <v>115</v>
      </c>
      <c r="H2702" t="s">
        <v>11</v>
      </c>
    </row>
    <row r="2703" spans="1:8" x14ac:dyDescent="0.35">
      <c r="A2703" t="s">
        <v>57</v>
      </c>
      <c r="B2703" t="s">
        <v>112</v>
      </c>
      <c r="C2703" t="s">
        <v>2663</v>
      </c>
      <c r="D2703">
        <v>3</v>
      </c>
      <c r="E2703">
        <v>3</v>
      </c>
      <c r="F2703" t="s">
        <v>7</v>
      </c>
      <c r="G2703" t="s">
        <v>11</v>
      </c>
      <c r="H2703" t="s">
        <v>11</v>
      </c>
    </row>
    <row r="2704" spans="1:8" x14ac:dyDescent="0.35">
      <c r="A2704" t="s">
        <v>57</v>
      </c>
      <c r="B2704" t="s">
        <v>112</v>
      </c>
      <c r="C2704" t="s">
        <v>2664</v>
      </c>
      <c r="D2704">
        <v>3</v>
      </c>
      <c r="E2704">
        <v>3</v>
      </c>
      <c r="F2704" t="s">
        <v>75</v>
      </c>
      <c r="G2704" t="s">
        <v>11</v>
      </c>
      <c r="H2704" t="s">
        <v>11</v>
      </c>
    </row>
    <row r="2705" spans="1:8" x14ac:dyDescent="0.35">
      <c r="A2705" t="s">
        <v>57</v>
      </c>
      <c r="B2705" t="s">
        <v>112</v>
      </c>
      <c r="C2705" t="s">
        <v>1614</v>
      </c>
      <c r="D2705">
        <v>3</v>
      </c>
      <c r="E2705">
        <v>2</v>
      </c>
      <c r="F2705" t="s">
        <v>75</v>
      </c>
      <c r="G2705" t="s">
        <v>11</v>
      </c>
      <c r="H2705" t="s">
        <v>11</v>
      </c>
    </row>
    <row r="2706" spans="1:8" x14ac:dyDescent="0.35">
      <c r="A2706" t="s">
        <v>57</v>
      </c>
      <c r="B2706" t="s">
        <v>112</v>
      </c>
      <c r="C2706" t="s">
        <v>1358</v>
      </c>
      <c r="D2706">
        <v>3</v>
      </c>
      <c r="E2706">
        <v>3</v>
      </c>
      <c r="F2706" t="s">
        <v>75</v>
      </c>
      <c r="G2706" t="s">
        <v>11</v>
      </c>
      <c r="H2706" t="s">
        <v>11</v>
      </c>
    </row>
    <row r="2707" spans="1:8" x14ac:dyDescent="0.35">
      <c r="A2707" t="s">
        <v>57</v>
      </c>
      <c r="B2707" t="s">
        <v>112</v>
      </c>
      <c r="C2707" t="s">
        <v>1754</v>
      </c>
      <c r="D2707">
        <v>3</v>
      </c>
      <c r="E2707">
        <v>3</v>
      </c>
      <c r="F2707" t="s">
        <v>7</v>
      </c>
      <c r="G2707" t="s">
        <v>115</v>
      </c>
      <c r="H2707" t="s">
        <v>11</v>
      </c>
    </row>
    <row r="2708" spans="1:8" x14ac:dyDescent="0.35">
      <c r="A2708" t="s">
        <v>57</v>
      </c>
      <c r="B2708" t="s">
        <v>112</v>
      </c>
      <c r="C2708" t="s">
        <v>2665</v>
      </c>
      <c r="D2708">
        <v>3</v>
      </c>
      <c r="E2708">
        <v>3</v>
      </c>
      <c r="F2708" t="s">
        <v>7</v>
      </c>
      <c r="G2708" t="s">
        <v>115</v>
      </c>
      <c r="H2708" t="s">
        <v>11</v>
      </c>
    </row>
    <row r="2709" spans="1:8" x14ac:dyDescent="0.35">
      <c r="A2709" t="s">
        <v>57</v>
      </c>
      <c r="B2709" t="s">
        <v>112</v>
      </c>
      <c r="C2709" t="s">
        <v>2666</v>
      </c>
      <c r="D2709">
        <v>3</v>
      </c>
      <c r="E2709">
        <v>2</v>
      </c>
      <c r="F2709" t="s">
        <v>7</v>
      </c>
      <c r="G2709" t="s">
        <v>115</v>
      </c>
      <c r="H2709" t="s">
        <v>11</v>
      </c>
    </row>
    <row r="2710" spans="1:8" x14ac:dyDescent="0.35">
      <c r="A2710" t="s">
        <v>57</v>
      </c>
      <c r="B2710" t="s">
        <v>112</v>
      </c>
      <c r="C2710" t="s">
        <v>1495</v>
      </c>
      <c r="D2710">
        <v>3</v>
      </c>
      <c r="E2710">
        <v>3</v>
      </c>
      <c r="F2710" t="s">
        <v>7</v>
      </c>
      <c r="G2710" t="s">
        <v>11</v>
      </c>
      <c r="H2710" t="s">
        <v>11</v>
      </c>
    </row>
    <row r="2711" spans="1:8" x14ac:dyDescent="0.35">
      <c r="A2711" t="s">
        <v>57</v>
      </c>
      <c r="B2711" t="s">
        <v>112</v>
      </c>
      <c r="C2711" t="s">
        <v>1141</v>
      </c>
      <c r="D2711">
        <v>3</v>
      </c>
      <c r="E2711">
        <v>2</v>
      </c>
      <c r="F2711" t="s">
        <v>7</v>
      </c>
      <c r="G2711" t="s">
        <v>115</v>
      </c>
      <c r="H2711" t="s">
        <v>11</v>
      </c>
    </row>
    <row r="2712" spans="1:8" x14ac:dyDescent="0.35">
      <c r="A2712" t="s">
        <v>57</v>
      </c>
      <c r="B2712" t="s">
        <v>112</v>
      </c>
      <c r="C2712" t="s">
        <v>2667</v>
      </c>
      <c r="D2712">
        <v>3</v>
      </c>
      <c r="E2712">
        <v>3</v>
      </c>
      <c r="F2712" t="s">
        <v>75</v>
      </c>
      <c r="G2712" t="s">
        <v>11</v>
      </c>
      <c r="H2712" t="s">
        <v>11</v>
      </c>
    </row>
    <row r="2713" spans="1:8" x14ac:dyDescent="0.35">
      <c r="A2713" t="s">
        <v>57</v>
      </c>
      <c r="B2713" t="s">
        <v>112</v>
      </c>
      <c r="C2713" t="s">
        <v>1496</v>
      </c>
      <c r="D2713">
        <v>2</v>
      </c>
      <c r="E2713">
        <v>4</v>
      </c>
      <c r="F2713" t="s">
        <v>75</v>
      </c>
      <c r="G2713" t="s">
        <v>11</v>
      </c>
      <c r="H2713" t="s">
        <v>11</v>
      </c>
    </row>
    <row r="2714" spans="1:8" x14ac:dyDescent="0.35">
      <c r="A2714" t="s">
        <v>57</v>
      </c>
      <c r="B2714" t="s">
        <v>112</v>
      </c>
      <c r="C2714" t="s">
        <v>2668</v>
      </c>
      <c r="D2714">
        <v>3</v>
      </c>
      <c r="E2714">
        <v>3</v>
      </c>
      <c r="F2714" t="s">
        <v>75</v>
      </c>
      <c r="G2714" t="s">
        <v>11</v>
      </c>
      <c r="H2714" t="s">
        <v>11</v>
      </c>
    </row>
    <row r="2715" spans="1:8" x14ac:dyDescent="0.35">
      <c r="A2715" t="s">
        <v>57</v>
      </c>
      <c r="B2715" t="s">
        <v>112</v>
      </c>
      <c r="C2715" t="s">
        <v>2669</v>
      </c>
      <c r="D2715">
        <v>3</v>
      </c>
      <c r="E2715">
        <v>2</v>
      </c>
      <c r="F2715" t="s">
        <v>7</v>
      </c>
      <c r="G2715" t="s">
        <v>115</v>
      </c>
      <c r="H2715" t="s">
        <v>11</v>
      </c>
    </row>
    <row r="2716" spans="1:8" x14ac:dyDescent="0.35">
      <c r="A2716" t="s">
        <v>57</v>
      </c>
      <c r="B2716" t="s">
        <v>112</v>
      </c>
      <c r="C2716" t="s">
        <v>1142</v>
      </c>
      <c r="D2716">
        <v>3</v>
      </c>
      <c r="E2716">
        <v>3</v>
      </c>
      <c r="F2716" t="s">
        <v>7</v>
      </c>
      <c r="G2716" t="s">
        <v>115</v>
      </c>
      <c r="H2716" t="s">
        <v>11</v>
      </c>
    </row>
    <row r="2717" spans="1:8" x14ac:dyDescent="0.35">
      <c r="A2717" t="s">
        <v>57</v>
      </c>
      <c r="B2717" t="s">
        <v>112</v>
      </c>
      <c r="C2717" t="s">
        <v>2670</v>
      </c>
      <c r="D2717">
        <v>3</v>
      </c>
      <c r="E2717">
        <v>2</v>
      </c>
      <c r="F2717" t="s">
        <v>7</v>
      </c>
      <c r="G2717" t="s">
        <v>115</v>
      </c>
      <c r="H2717" t="s">
        <v>11</v>
      </c>
    </row>
    <row r="2718" spans="1:8" x14ac:dyDescent="0.35">
      <c r="A2718" t="s">
        <v>57</v>
      </c>
      <c r="B2718" t="s">
        <v>112</v>
      </c>
      <c r="C2718" t="s">
        <v>2671</v>
      </c>
      <c r="D2718">
        <v>3</v>
      </c>
      <c r="E2718">
        <v>2</v>
      </c>
      <c r="F2718" t="s">
        <v>75</v>
      </c>
      <c r="G2718" t="s">
        <v>11</v>
      </c>
      <c r="H2718" t="s">
        <v>11</v>
      </c>
    </row>
    <row r="2719" spans="1:8" x14ac:dyDescent="0.35">
      <c r="A2719" t="s">
        <v>57</v>
      </c>
      <c r="B2719" t="s">
        <v>112</v>
      </c>
      <c r="C2719" t="s">
        <v>2672</v>
      </c>
      <c r="D2719">
        <v>3</v>
      </c>
      <c r="E2719">
        <v>3</v>
      </c>
      <c r="F2719" t="s">
        <v>75</v>
      </c>
      <c r="G2719" t="s">
        <v>11</v>
      </c>
      <c r="H2719" t="s">
        <v>11</v>
      </c>
    </row>
    <row r="2720" spans="1:8" x14ac:dyDescent="0.35">
      <c r="A2720" t="s">
        <v>57</v>
      </c>
      <c r="B2720" t="s">
        <v>112</v>
      </c>
      <c r="C2720" t="s">
        <v>2673</v>
      </c>
      <c r="D2720">
        <v>3</v>
      </c>
      <c r="E2720">
        <v>2</v>
      </c>
      <c r="F2720" t="s">
        <v>7</v>
      </c>
      <c r="G2720" t="s">
        <v>115</v>
      </c>
      <c r="H2720" t="s">
        <v>11</v>
      </c>
    </row>
    <row r="2721" spans="1:8" x14ac:dyDescent="0.35">
      <c r="A2721" t="s">
        <v>57</v>
      </c>
      <c r="B2721" t="s">
        <v>112</v>
      </c>
      <c r="C2721" t="s">
        <v>2674</v>
      </c>
      <c r="D2721">
        <v>2</v>
      </c>
      <c r="E2721">
        <v>3</v>
      </c>
      <c r="F2721" t="s">
        <v>75</v>
      </c>
      <c r="G2721" t="s">
        <v>11</v>
      </c>
      <c r="H2721" t="s">
        <v>11</v>
      </c>
    </row>
    <row r="2722" spans="1:8" x14ac:dyDescent="0.35">
      <c r="A2722" t="s">
        <v>57</v>
      </c>
      <c r="B2722" t="s">
        <v>112</v>
      </c>
      <c r="C2722" t="s">
        <v>2675</v>
      </c>
      <c r="D2722">
        <v>3</v>
      </c>
      <c r="E2722">
        <v>3</v>
      </c>
      <c r="F2722" t="s">
        <v>7</v>
      </c>
      <c r="G2722" t="s">
        <v>115</v>
      </c>
      <c r="H2722" t="s">
        <v>11</v>
      </c>
    </row>
    <row r="2723" spans="1:8" x14ac:dyDescent="0.35">
      <c r="A2723" t="s">
        <v>57</v>
      </c>
      <c r="B2723" t="s">
        <v>112</v>
      </c>
      <c r="C2723" t="s">
        <v>2676</v>
      </c>
      <c r="D2723">
        <v>3</v>
      </c>
      <c r="E2723">
        <v>3</v>
      </c>
      <c r="F2723" t="s">
        <v>75</v>
      </c>
      <c r="G2723" t="s">
        <v>11</v>
      </c>
      <c r="H2723" t="s">
        <v>11</v>
      </c>
    </row>
    <row r="2724" spans="1:8" x14ac:dyDescent="0.35">
      <c r="A2724" t="s">
        <v>57</v>
      </c>
      <c r="B2724" t="s">
        <v>112</v>
      </c>
      <c r="C2724" t="s">
        <v>2677</v>
      </c>
      <c r="D2724">
        <v>3</v>
      </c>
      <c r="E2724">
        <v>2</v>
      </c>
      <c r="F2724" t="s">
        <v>7</v>
      </c>
      <c r="G2724" t="s">
        <v>115</v>
      </c>
      <c r="H2724" t="s">
        <v>11</v>
      </c>
    </row>
    <row r="2725" spans="1:8" x14ac:dyDescent="0.35">
      <c r="A2725" t="s">
        <v>57</v>
      </c>
      <c r="B2725" t="s">
        <v>112</v>
      </c>
      <c r="C2725" t="s">
        <v>2678</v>
      </c>
      <c r="D2725">
        <v>3</v>
      </c>
      <c r="E2725">
        <v>2</v>
      </c>
      <c r="F2725" t="s">
        <v>7</v>
      </c>
      <c r="G2725" t="s">
        <v>115</v>
      </c>
      <c r="H2725" t="s">
        <v>11</v>
      </c>
    </row>
    <row r="2726" spans="1:8" x14ac:dyDescent="0.35">
      <c r="A2726" t="s">
        <v>57</v>
      </c>
      <c r="B2726" t="s">
        <v>112</v>
      </c>
      <c r="C2726" t="s">
        <v>1759</v>
      </c>
      <c r="D2726">
        <v>2</v>
      </c>
      <c r="E2726">
        <v>4</v>
      </c>
      <c r="F2726" t="s">
        <v>75</v>
      </c>
      <c r="G2726" t="s">
        <v>11</v>
      </c>
      <c r="H2726" t="s">
        <v>11</v>
      </c>
    </row>
    <row r="2727" spans="1:8" x14ac:dyDescent="0.35">
      <c r="A2727" t="s">
        <v>57</v>
      </c>
      <c r="B2727" t="s">
        <v>112</v>
      </c>
      <c r="C2727" t="s">
        <v>1830</v>
      </c>
      <c r="D2727">
        <v>3</v>
      </c>
      <c r="E2727">
        <v>3</v>
      </c>
      <c r="F2727" t="s">
        <v>7</v>
      </c>
      <c r="G2727" t="s">
        <v>11</v>
      </c>
      <c r="H2727" t="s">
        <v>11</v>
      </c>
    </row>
    <row r="2728" spans="1:8" x14ac:dyDescent="0.35">
      <c r="A2728" t="s">
        <v>57</v>
      </c>
      <c r="B2728" t="s">
        <v>112</v>
      </c>
      <c r="C2728" t="s">
        <v>2679</v>
      </c>
      <c r="D2728">
        <v>3</v>
      </c>
      <c r="E2728">
        <v>3</v>
      </c>
      <c r="F2728" t="s">
        <v>7</v>
      </c>
      <c r="G2728" t="s">
        <v>115</v>
      </c>
      <c r="H2728" t="s">
        <v>11</v>
      </c>
    </row>
    <row r="2729" spans="1:8" x14ac:dyDescent="0.35">
      <c r="A2729" t="s">
        <v>57</v>
      </c>
      <c r="B2729" t="s">
        <v>112</v>
      </c>
      <c r="C2729" t="s">
        <v>2680</v>
      </c>
      <c r="D2729">
        <v>3</v>
      </c>
      <c r="E2729">
        <v>2</v>
      </c>
      <c r="F2729" t="s">
        <v>7</v>
      </c>
      <c r="G2729" t="s">
        <v>115</v>
      </c>
      <c r="H2729" t="s">
        <v>11</v>
      </c>
    </row>
    <row r="2730" spans="1:8" x14ac:dyDescent="0.35">
      <c r="A2730" t="s">
        <v>57</v>
      </c>
      <c r="B2730" t="s">
        <v>112</v>
      </c>
      <c r="C2730" t="s">
        <v>2257</v>
      </c>
      <c r="D2730">
        <v>3</v>
      </c>
      <c r="E2730">
        <v>2</v>
      </c>
      <c r="F2730" t="s">
        <v>7</v>
      </c>
      <c r="G2730" t="s">
        <v>115</v>
      </c>
      <c r="H2730" t="s">
        <v>11</v>
      </c>
    </row>
    <row r="2731" spans="1:8" x14ac:dyDescent="0.35">
      <c r="A2731" t="s">
        <v>57</v>
      </c>
      <c r="B2731" t="s">
        <v>112</v>
      </c>
      <c r="C2731" t="s">
        <v>1145</v>
      </c>
      <c r="D2731">
        <v>2</v>
      </c>
      <c r="E2731">
        <v>4</v>
      </c>
      <c r="F2731" t="s">
        <v>75</v>
      </c>
      <c r="G2731" t="s">
        <v>11</v>
      </c>
      <c r="H2731" t="s">
        <v>11</v>
      </c>
    </row>
    <row r="2732" spans="1:8" x14ac:dyDescent="0.35">
      <c r="A2732" t="s">
        <v>57</v>
      </c>
      <c r="B2732" t="s">
        <v>112</v>
      </c>
      <c r="C2732" t="s">
        <v>1505</v>
      </c>
      <c r="D2732">
        <v>3</v>
      </c>
      <c r="E2732">
        <v>3</v>
      </c>
      <c r="F2732" t="s">
        <v>75</v>
      </c>
      <c r="G2732" t="s">
        <v>11</v>
      </c>
      <c r="H2732" t="s">
        <v>11</v>
      </c>
    </row>
    <row r="2733" spans="1:8" x14ac:dyDescent="0.35">
      <c r="A2733" t="s">
        <v>57</v>
      </c>
      <c r="B2733" t="s">
        <v>112</v>
      </c>
      <c r="C2733" t="s">
        <v>1422</v>
      </c>
      <c r="D2733">
        <v>3</v>
      </c>
      <c r="E2733">
        <v>3</v>
      </c>
      <c r="F2733" t="s">
        <v>7</v>
      </c>
      <c r="G2733" t="s">
        <v>115</v>
      </c>
      <c r="H2733" t="s">
        <v>11</v>
      </c>
    </row>
    <row r="2734" spans="1:8" x14ac:dyDescent="0.35">
      <c r="A2734" t="s">
        <v>57</v>
      </c>
      <c r="B2734" t="s">
        <v>112</v>
      </c>
      <c r="C2734" t="s">
        <v>2681</v>
      </c>
      <c r="D2734">
        <v>2</v>
      </c>
      <c r="E2734">
        <v>4</v>
      </c>
      <c r="F2734" t="s">
        <v>75</v>
      </c>
      <c r="G2734" t="s">
        <v>11</v>
      </c>
      <c r="H2734" t="s">
        <v>11</v>
      </c>
    </row>
    <row r="2735" spans="1:8" x14ac:dyDescent="0.35">
      <c r="A2735" t="s">
        <v>57</v>
      </c>
      <c r="B2735" t="s">
        <v>112</v>
      </c>
      <c r="C2735" t="s">
        <v>2600</v>
      </c>
      <c r="D2735">
        <v>3</v>
      </c>
      <c r="E2735">
        <v>3</v>
      </c>
      <c r="F2735" t="s">
        <v>75</v>
      </c>
      <c r="G2735" t="s">
        <v>11</v>
      </c>
      <c r="H2735" t="s">
        <v>11</v>
      </c>
    </row>
    <row r="2736" spans="1:8" x14ac:dyDescent="0.35">
      <c r="A2736" t="s">
        <v>57</v>
      </c>
      <c r="B2736" t="s">
        <v>112</v>
      </c>
      <c r="C2736" t="s">
        <v>1618</v>
      </c>
      <c r="D2736">
        <v>3</v>
      </c>
      <c r="E2736">
        <v>2</v>
      </c>
      <c r="F2736" t="s">
        <v>7</v>
      </c>
      <c r="G2736" t="s">
        <v>115</v>
      </c>
      <c r="H2736" t="s">
        <v>11</v>
      </c>
    </row>
    <row r="2737" spans="1:8" x14ac:dyDescent="0.35">
      <c r="A2737" t="s">
        <v>57</v>
      </c>
      <c r="B2737" t="s">
        <v>112</v>
      </c>
      <c r="C2737" t="s">
        <v>1508</v>
      </c>
      <c r="D2737">
        <v>3</v>
      </c>
      <c r="E2737">
        <v>2</v>
      </c>
      <c r="F2737" t="s">
        <v>7</v>
      </c>
      <c r="G2737" t="s">
        <v>115</v>
      </c>
      <c r="H2737" t="s">
        <v>11</v>
      </c>
    </row>
    <row r="2738" spans="1:8" x14ac:dyDescent="0.35">
      <c r="A2738" t="s">
        <v>57</v>
      </c>
      <c r="B2738" t="s">
        <v>112</v>
      </c>
      <c r="C2738" t="s">
        <v>1665</v>
      </c>
      <c r="D2738">
        <v>3</v>
      </c>
      <c r="E2738">
        <v>3</v>
      </c>
      <c r="F2738" t="s">
        <v>7</v>
      </c>
      <c r="G2738" t="s">
        <v>115</v>
      </c>
      <c r="H2738" t="s">
        <v>11</v>
      </c>
    </row>
    <row r="2739" spans="1:8" x14ac:dyDescent="0.35">
      <c r="A2739" t="s">
        <v>57</v>
      </c>
      <c r="B2739" t="s">
        <v>112</v>
      </c>
      <c r="C2739" t="s">
        <v>2682</v>
      </c>
      <c r="D2739">
        <v>2</v>
      </c>
      <c r="E2739">
        <v>4</v>
      </c>
      <c r="F2739" t="s">
        <v>75</v>
      </c>
      <c r="G2739" t="s">
        <v>11</v>
      </c>
      <c r="H2739" t="s">
        <v>11</v>
      </c>
    </row>
    <row r="2740" spans="1:8" x14ac:dyDescent="0.35">
      <c r="A2740" t="s">
        <v>57</v>
      </c>
      <c r="B2740" t="s">
        <v>112</v>
      </c>
      <c r="C2740" t="s">
        <v>1764</v>
      </c>
      <c r="D2740">
        <v>3</v>
      </c>
      <c r="E2740">
        <v>3</v>
      </c>
      <c r="F2740" t="s">
        <v>75</v>
      </c>
      <c r="G2740" t="s">
        <v>11</v>
      </c>
      <c r="H2740" t="s">
        <v>11</v>
      </c>
    </row>
    <row r="2741" spans="1:8" x14ac:dyDescent="0.35">
      <c r="A2741" t="s">
        <v>57</v>
      </c>
      <c r="B2741" t="s">
        <v>112</v>
      </c>
      <c r="C2741" t="s">
        <v>2683</v>
      </c>
      <c r="D2741">
        <v>3</v>
      </c>
      <c r="E2741">
        <v>2</v>
      </c>
      <c r="F2741" t="s">
        <v>7</v>
      </c>
      <c r="G2741" t="s">
        <v>115</v>
      </c>
      <c r="H2741" t="s">
        <v>11</v>
      </c>
    </row>
    <row r="2742" spans="1:8" x14ac:dyDescent="0.35">
      <c r="A2742" t="s">
        <v>57</v>
      </c>
      <c r="B2742" t="s">
        <v>112</v>
      </c>
      <c r="C2742" t="s">
        <v>2684</v>
      </c>
      <c r="D2742">
        <v>2</v>
      </c>
      <c r="E2742">
        <v>3</v>
      </c>
      <c r="F2742" t="s">
        <v>75</v>
      </c>
      <c r="G2742" t="s">
        <v>11</v>
      </c>
      <c r="H2742" t="s">
        <v>11</v>
      </c>
    </row>
    <row r="2743" spans="1:8" x14ac:dyDescent="0.35">
      <c r="A2743" t="s">
        <v>57</v>
      </c>
      <c r="B2743" t="s">
        <v>112</v>
      </c>
      <c r="C2743" t="s">
        <v>1619</v>
      </c>
      <c r="D2743">
        <v>3</v>
      </c>
      <c r="E2743">
        <v>3</v>
      </c>
      <c r="F2743" t="s">
        <v>7</v>
      </c>
      <c r="G2743" t="s">
        <v>115</v>
      </c>
      <c r="H2743" t="s">
        <v>11</v>
      </c>
    </row>
    <row r="2744" spans="1:8" x14ac:dyDescent="0.35">
      <c r="A2744" t="s">
        <v>57</v>
      </c>
      <c r="B2744" t="s">
        <v>112</v>
      </c>
      <c r="C2744" t="s">
        <v>2259</v>
      </c>
      <c r="D2744">
        <v>3</v>
      </c>
      <c r="E2744">
        <v>2</v>
      </c>
      <c r="F2744" t="s">
        <v>7</v>
      </c>
      <c r="G2744" t="s">
        <v>115</v>
      </c>
      <c r="H2744" t="s">
        <v>11</v>
      </c>
    </row>
    <row r="2745" spans="1:8" x14ac:dyDescent="0.35">
      <c r="A2745" t="s">
        <v>57</v>
      </c>
      <c r="B2745" t="s">
        <v>112</v>
      </c>
      <c r="C2745" t="s">
        <v>2158</v>
      </c>
      <c r="D2745">
        <v>3</v>
      </c>
      <c r="E2745">
        <v>2</v>
      </c>
      <c r="F2745" t="s">
        <v>7</v>
      </c>
      <c r="G2745" t="s">
        <v>115</v>
      </c>
      <c r="H2745" t="s">
        <v>11</v>
      </c>
    </row>
    <row r="2746" spans="1:8" x14ac:dyDescent="0.35">
      <c r="A2746" t="s">
        <v>57</v>
      </c>
      <c r="B2746" t="s">
        <v>112</v>
      </c>
      <c r="C2746" t="s">
        <v>2685</v>
      </c>
      <c r="D2746">
        <v>2</v>
      </c>
      <c r="E2746">
        <v>4</v>
      </c>
      <c r="F2746" t="s">
        <v>75</v>
      </c>
      <c r="G2746" t="s">
        <v>11</v>
      </c>
      <c r="H2746" t="s">
        <v>11</v>
      </c>
    </row>
    <row r="2747" spans="1:8" x14ac:dyDescent="0.35">
      <c r="A2747" t="s">
        <v>57</v>
      </c>
      <c r="B2747" t="s">
        <v>112</v>
      </c>
      <c r="C2747" t="s">
        <v>2686</v>
      </c>
      <c r="D2747">
        <v>3</v>
      </c>
      <c r="E2747">
        <v>3</v>
      </c>
      <c r="F2747" t="s">
        <v>7</v>
      </c>
      <c r="G2747" t="s">
        <v>115</v>
      </c>
      <c r="H2747" t="s">
        <v>11</v>
      </c>
    </row>
    <row r="2748" spans="1:8" x14ac:dyDescent="0.35">
      <c r="A2748" t="s">
        <v>57</v>
      </c>
      <c r="B2748" t="s">
        <v>112</v>
      </c>
      <c r="C2748" t="s">
        <v>1835</v>
      </c>
      <c r="D2748">
        <v>3</v>
      </c>
      <c r="E2748">
        <v>3</v>
      </c>
      <c r="F2748" t="s">
        <v>7</v>
      </c>
      <c r="G2748" t="s">
        <v>115</v>
      </c>
      <c r="H2748" t="s">
        <v>11</v>
      </c>
    </row>
    <row r="2749" spans="1:8" x14ac:dyDescent="0.35">
      <c r="A2749" t="s">
        <v>57</v>
      </c>
      <c r="B2749" t="s">
        <v>112</v>
      </c>
      <c r="C2749" t="s">
        <v>1147</v>
      </c>
      <c r="D2749">
        <v>3</v>
      </c>
      <c r="E2749">
        <v>2</v>
      </c>
      <c r="F2749" t="s">
        <v>7</v>
      </c>
      <c r="G2749" t="s">
        <v>115</v>
      </c>
      <c r="H2749" t="s">
        <v>11</v>
      </c>
    </row>
    <row r="2750" spans="1:8" x14ac:dyDescent="0.35">
      <c r="A2750" t="s">
        <v>57</v>
      </c>
      <c r="B2750" t="s">
        <v>112</v>
      </c>
      <c r="C2750" t="s">
        <v>1249</v>
      </c>
      <c r="D2750">
        <v>3</v>
      </c>
      <c r="E2750">
        <v>3</v>
      </c>
      <c r="F2750" t="s">
        <v>75</v>
      </c>
      <c r="G2750" t="s">
        <v>11</v>
      </c>
      <c r="H2750" t="s">
        <v>11</v>
      </c>
    </row>
    <row r="2751" spans="1:8" x14ac:dyDescent="0.35">
      <c r="A2751" t="s">
        <v>57</v>
      </c>
      <c r="B2751" t="s">
        <v>112</v>
      </c>
      <c r="C2751" t="s">
        <v>2687</v>
      </c>
      <c r="D2751">
        <v>2</v>
      </c>
      <c r="E2751">
        <v>3</v>
      </c>
      <c r="F2751" t="s">
        <v>75</v>
      </c>
      <c r="G2751" t="s">
        <v>11</v>
      </c>
      <c r="H2751" t="s">
        <v>11</v>
      </c>
    </row>
    <row r="2752" spans="1:8" x14ac:dyDescent="0.35">
      <c r="A2752" t="s">
        <v>57</v>
      </c>
      <c r="B2752" t="s">
        <v>112</v>
      </c>
      <c r="C2752" t="s">
        <v>2688</v>
      </c>
      <c r="D2752">
        <v>3</v>
      </c>
      <c r="E2752">
        <v>3</v>
      </c>
      <c r="F2752" t="s">
        <v>7</v>
      </c>
      <c r="G2752" t="s">
        <v>115</v>
      </c>
      <c r="H2752" t="s">
        <v>11</v>
      </c>
    </row>
    <row r="2753" spans="1:8" x14ac:dyDescent="0.35">
      <c r="A2753" t="s">
        <v>57</v>
      </c>
      <c r="B2753" t="s">
        <v>112</v>
      </c>
      <c r="C2753" t="s">
        <v>2571</v>
      </c>
      <c r="D2753">
        <v>2</v>
      </c>
      <c r="E2753">
        <v>4</v>
      </c>
      <c r="F2753" t="s">
        <v>75</v>
      </c>
      <c r="G2753" t="s">
        <v>11</v>
      </c>
      <c r="H2753" t="s">
        <v>11</v>
      </c>
    </row>
    <row r="2754" spans="1:8" x14ac:dyDescent="0.35">
      <c r="A2754" t="s">
        <v>57</v>
      </c>
      <c r="B2754" t="s">
        <v>112</v>
      </c>
      <c r="C2754" t="s">
        <v>2689</v>
      </c>
      <c r="D2754">
        <v>3</v>
      </c>
      <c r="E2754">
        <v>3</v>
      </c>
      <c r="F2754" t="s">
        <v>75</v>
      </c>
      <c r="G2754" t="s">
        <v>11</v>
      </c>
      <c r="H2754" t="s">
        <v>11</v>
      </c>
    </row>
    <row r="2755" spans="1:8" x14ac:dyDescent="0.35">
      <c r="A2755" t="s">
        <v>57</v>
      </c>
      <c r="B2755" t="s">
        <v>112</v>
      </c>
      <c r="C2755" t="s">
        <v>2690</v>
      </c>
      <c r="D2755">
        <v>3</v>
      </c>
      <c r="E2755">
        <v>3</v>
      </c>
      <c r="F2755" t="s">
        <v>7</v>
      </c>
      <c r="G2755" t="s">
        <v>11</v>
      </c>
      <c r="H2755" t="s">
        <v>11</v>
      </c>
    </row>
    <row r="2756" spans="1:8" x14ac:dyDescent="0.35">
      <c r="A2756" t="s">
        <v>57</v>
      </c>
      <c r="B2756" t="s">
        <v>112</v>
      </c>
      <c r="C2756" t="s">
        <v>1148</v>
      </c>
      <c r="D2756">
        <v>3</v>
      </c>
      <c r="E2756">
        <v>2</v>
      </c>
      <c r="F2756" t="s">
        <v>7</v>
      </c>
      <c r="G2756" t="s">
        <v>115</v>
      </c>
      <c r="H2756" t="s">
        <v>11</v>
      </c>
    </row>
    <row r="2757" spans="1:8" x14ac:dyDescent="0.35">
      <c r="A2757" t="s">
        <v>57</v>
      </c>
      <c r="B2757" t="s">
        <v>112</v>
      </c>
      <c r="C2757" t="s">
        <v>1512</v>
      </c>
      <c r="D2757">
        <v>3</v>
      </c>
      <c r="E2757">
        <v>2</v>
      </c>
      <c r="F2757" t="s">
        <v>7</v>
      </c>
      <c r="G2757" t="s">
        <v>115</v>
      </c>
      <c r="H2757" t="s">
        <v>11</v>
      </c>
    </row>
    <row r="2758" spans="1:8" x14ac:dyDescent="0.35">
      <c r="A2758" t="s">
        <v>57</v>
      </c>
      <c r="B2758" t="s">
        <v>112</v>
      </c>
      <c r="C2758" t="s">
        <v>1513</v>
      </c>
      <c r="D2758">
        <v>2</v>
      </c>
      <c r="E2758">
        <v>3</v>
      </c>
      <c r="F2758" t="s">
        <v>75</v>
      </c>
      <c r="G2758" t="s">
        <v>11</v>
      </c>
      <c r="H2758" t="s">
        <v>11</v>
      </c>
    </row>
    <row r="2759" spans="1:8" x14ac:dyDescent="0.35">
      <c r="A2759" t="s">
        <v>57</v>
      </c>
      <c r="B2759" t="s">
        <v>112</v>
      </c>
      <c r="C2759" t="s">
        <v>1149</v>
      </c>
      <c r="D2759">
        <v>3</v>
      </c>
      <c r="E2759">
        <v>2</v>
      </c>
      <c r="F2759" t="s">
        <v>7</v>
      </c>
      <c r="G2759" t="s">
        <v>115</v>
      </c>
      <c r="H2759" t="s">
        <v>11</v>
      </c>
    </row>
    <row r="2760" spans="1:8" x14ac:dyDescent="0.35">
      <c r="A2760" t="s">
        <v>57</v>
      </c>
      <c r="B2760" t="s">
        <v>112</v>
      </c>
      <c r="C2760" t="s">
        <v>2691</v>
      </c>
      <c r="D2760">
        <v>3</v>
      </c>
      <c r="E2760">
        <v>2</v>
      </c>
      <c r="F2760" t="s">
        <v>7</v>
      </c>
      <c r="G2760" t="s">
        <v>115</v>
      </c>
      <c r="H2760" t="s">
        <v>11</v>
      </c>
    </row>
    <row r="2761" spans="1:8" x14ac:dyDescent="0.35">
      <c r="A2761" t="s">
        <v>57</v>
      </c>
      <c r="B2761" t="s">
        <v>112</v>
      </c>
      <c r="C2761" t="s">
        <v>2692</v>
      </c>
      <c r="D2761">
        <v>3</v>
      </c>
      <c r="E2761">
        <v>2</v>
      </c>
      <c r="F2761" t="s">
        <v>7</v>
      </c>
      <c r="G2761" t="s">
        <v>115</v>
      </c>
      <c r="H2761" t="s">
        <v>11</v>
      </c>
    </row>
    <row r="2762" spans="1:8" x14ac:dyDescent="0.35">
      <c r="A2762" t="s">
        <v>57</v>
      </c>
      <c r="B2762" t="s">
        <v>112</v>
      </c>
      <c r="C2762" t="s">
        <v>1252</v>
      </c>
      <c r="D2762">
        <v>3</v>
      </c>
      <c r="E2762">
        <v>3</v>
      </c>
      <c r="F2762" t="s">
        <v>7</v>
      </c>
      <c r="G2762" t="s">
        <v>115</v>
      </c>
      <c r="H2762" t="s">
        <v>11</v>
      </c>
    </row>
    <row r="2763" spans="1:8" x14ac:dyDescent="0.35">
      <c r="A2763" t="s">
        <v>57</v>
      </c>
      <c r="B2763" t="s">
        <v>112</v>
      </c>
      <c r="C2763" t="s">
        <v>1515</v>
      </c>
      <c r="D2763">
        <v>3</v>
      </c>
      <c r="E2763">
        <v>3</v>
      </c>
      <c r="F2763" t="s">
        <v>75</v>
      </c>
      <c r="G2763" t="s">
        <v>11</v>
      </c>
      <c r="H2763" t="s">
        <v>11</v>
      </c>
    </row>
    <row r="2764" spans="1:8" x14ac:dyDescent="0.35">
      <c r="A2764" t="s">
        <v>57</v>
      </c>
      <c r="B2764" t="s">
        <v>112</v>
      </c>
      <c r="C2764" t="s">
        <v>2693</v>
      </c>
      <c r="D2764">
        <v>3</v>
      </c>
      <c r="E2764">
        <v>2</v>
      </c>
      <c r="F2764" t="s">
        <v>7</v>
      </c>
      <c r="G2764" t="s">
        <v>115</v>
      </c>
      <c r="H2764" t="s">
        <v>11</v>
      </c>
    </row>
    <row r="2765" spans="1:8" x14ac:dyDescent="0.35">
      <c r="A2765" t="s">
        <v>57</v>
      </c>
      <c r="B2765" t="s">
        <v>112</v>
      </c>
      <c r="C2765" t="s">
        <v>2694</v>
      </c>
      <c r="D2765">
        <v>3</v>
      </c>
      <c r="E2765">
        <v>3</v>
      </c>
      <c r="F2765" t="s">
        <v>7</v>
      </c>
      <c r="G2765" t="s">
        <v>115</v>
      </c>
      <c r="H2765" t="s">
        <v>11</v>
      </c>
    </row>
    <row r="2766" spans="1:8" x14ac:dyDescent="0.35">
      <c r="A2766" t="s">
        <v>57</v>
      </c>
      <c r="B2766" t="s">
        <v>112</v>
      </c>
      <c r="C2766" t="s">
        <v>1625</v>
      </c>
      <c r="D2766">
        <v>3</v>
      </c>
      <c r="E2766">
        <v>3</v>
      </c>
      <c r="F2766" t="s">
        <v>7</v>
      </c>
      <c r="G2766" t="s">
        <v>115</v>
      </c>
      <c r="H2766" t="s">
        <v>11</v>
      </c>
    </row>
    <row r="2767" spans="1:8" x14ac:dyDescent="0.35">
      <c r="A2767" t="s">
        <v>57</v>
      </c>
      <c r="B2767" t="s">
        <v>112</v>
      </c>
      <c r="C2767" t="s">
        <v>2695</v>
      </c>
      <c r="D2767">
        <v>3</v>
      </c>
      <c r="E2767">
        <v>2</v>
      </c>
      <c r="F2767" t="s">
        <v>7</v>
      </c>
      <c r="G2767" t="s">
        <v>115</v>
      </c>
      <c r="H2767" t="s">
        <v>11</v>
      </c>
    </row>
    <row r="2768" spans="1:8" x14ac:dyDescent="0.35">
      <c r="A2768" t="s">
        <v>57</v>
      </c>
      <c r="B2768" t="s">
        <v>112</v>
      </c>
      <c r="C2768" t="s">
        <v>1401</v>
      </c>
      <c r="D2768">
        <v>3</v>
      </c>
      <c r="E2768">
        <v>3</v>
      </c>
      <c r="F2768" t="s">
        <v>75</v>
      </c>
      <c r="G2768" t="s">
        <v>11</v>
      </c>
      <c r="H2768" t="s">
        <v>11</v>
      </c>
    </row>
    <row r="2769" spans="1:8" x14ac:dyDescent="0.35">
      <c r="A2769" t="s">
        <v>57</v>
      </c>
      <c r="B2769" t="s">
        <v>112</v>
      </c>
      <c r="C2769" t="s">
        <v>2696</v>
      </c>
      <c r="D2769">
        <v>3</v>
      </c>
      <c r="E2769">
        <v>3</v>
      </c>
      <c r="F2769" t="s">
        <v>75</v>
      </c>
      <c r="G2769" t="s">
        <v>11</v>
      </c>
      <c r="H2769" t="s">
        <v>11</v>
      </c>
    </row>
    <row r="2770" spans="1:8" x14ac:dyDescent="0.35">
      <c r="A2770" t="s">
        <v>57</v>
      </c>
      <c r="B2770" t="s">
        <v>112</v>
      </c>
      <c r="C2770" t="s">
        <v>2697</v>
      </c>
      <c r="D2770">
        <v>3</v>
      </c>
      <c r="E2770">
        <v>3</v>
      </c>
      <c r="F2770" t="s">
        <v>75</v>
      </c>
      <c r="G2770" t="s">
        <v>11</v>
      </c>
      <c r="H2770" t="s">
        <v>11</v>
      </c>
    </row>
    <row r="2771" spans="1:8" x14ac:dyDescent="0.35">
      <c r="A2771" t="s">
        <v>57</v>
      </c>
      <c r="B2771" t="s">
        <v>112</v>
      </c>
      <c r="C2771" t="s">
        <v>2698</v>
      </c>
      <c r="D2771">
        <v>3</v>
      </c>
      <c r="E2771">
        <v>3</v>
      </c>
      <c r="F2771" t="s">
        <v>75</v>
      </c>
      <c r="G2771" t="s">
        <v>11</v>
      </c>
      <c r="H2771" t="s">
        <v>11</v>
      </c>
    </row>
    <row r="2772" spans="1:8" x14ac:dyDescent="0.35">
      <c r="A2772" t="s">
        <v>57</v>
      </c>
      <c r="B2772" t="s">
        <v>112</v>
      </c>
      <c r="C2772" t="s">
        <v>2699</v>
      </c>
      <c r="D2772">
        <v>3</v>
      </c>
      <c r="E2772">
        <v>2</v>
      </c>
      <c r="F2772" t="s">
        <v>75</v>
      </c>
      <c r="G2772" t="s">
        <v>11</v>
      </c>
      <c r="H2772" t="s">
        <v>11</v>
      </c>
    </row>
    <row r="2773" spans="1:8" x14ac:dyDescent="0.35">
      <c r="A2773" t="s">
        <v>57</v>
      </c>
      <c r="B2773" t="s">
        <v>112</v>
      </c>
      <c r="C2773" t="s">
        <v>2700</v>
      </c>
      <c r="D2773">
        <v>3</v>
      </c>
      <c r="E2773">
        <v>2</v>
      </c>
      <c r="F2773" t="s">
        <v>7</v>
      </c>
      <c r="G2773" t="s">
        <v>115</v>
      </c>
      <c r="H2773" t="s">
        <v>11</v>
      </c>
    </row>
    <row r="2774" spans="1:8" x14ac:dyDescent="0.35">
      <c r="A2774" t="s">
        <v>57</v>
      </c>
      <c r="B2774" t="s">
        <v>112</v>
      </c>
      <c r="C2774" t="s">
        <v>1626</v>
      </c>
      <c r="D2774">
        <v>3</v>
      </c>
      <c r="E2774">
        <v>3</v>
      </c>
      <c r="F2774" t="s">
        <v>75</v>
      </c>
      <c r="G2774" t="s">
        <v>11</v>
      </c>
      <c r="H2774" t="s">
        <v>11</v>
      </c>
    </row>
    <row r="2775" spans="1:8" x14ac:dyDescent="0.35">
      <c r="A2775" t="s">
        <v>57</v>
      </c>
      <c r="B2775" t="s">
        <v>112</v>
      </c>
      <c r="C2775" t="s">
        <v>1627</v>
      </c>
      <c r="D2775">
        <v>3</v>
      </c>
      <c r="E2775">
        <v>2</v>
      </c>
      <c r="F2775" t="s">
        <v>75</v>
      </c>
      <c r="G2775" t="s">
        <v>11</v>
      </c>
      <c r="H2775" t="s">
        <v>11</v>
      </c>
    </row>
    <row r="2776" spans="1:8" x14ac:dyDescent="0.35">
      <c r="A2776" t="s">
        <v>57</v>
      </c>
      <c r="B2776" t="s">
        <v>112</v>
      </c>
      <c r="C2776" t="s">
        <v>1150</v>
      </c>
      <c r="D2776">
        <v>3</v>
      </c>
      <c r="E2776">
        <v>3</v>
      </c>
      <c r="F2776" t="s">
        <v>7</v>
      </c>
      <c r="G2776" t="s">
        <v>115</v>
      </c>
      <c r="H2776" t="s">
        <v>11</v>
      </c>
    </row>
    <row r="2777" spans="1:8" x14ac:dyDescent="0.35">
      <c r="A2777" t="s">
        <v>57</v>
      </c>
      <c r="B2777" t="s">
        <v>112</v>
      </c>
      <c r="C2777" t="s">
        <v>2701</v>
      </c>
      <c r="D2777">
        <v>2</v>
      </c>
      <c r="E2777">
        <v>4</v>
      </c>
      <c r="F2777" t="s">
        <v>75</v>
      </c>
      <c r="G2777" t="s">
        <v>11</v>
      </c>
      <c r="H2777" t="s">
        <v>11</v>
      </c>
    </row>
    <row r="2778" spans="1:8" x14ac:dyDescent="0.35">
      <c r="A2778" t="s">
        <v>57</v>
      </c>
      <c r="B2778" t="s">
        <v>112</v>
      </c>
      <c r="C2778" t="s">
        <v>2702</v>
      </c>
      <c r="D2778">
        <v>3</v>
      </c>
      <c r="E2778">
        <v>3</v>
      </c>
      <c r="F2778" t="s">
        <v>7</v>
      </c>
      <c r="G2778" t="s">
        <v>115</v>
      </c>
      <c r="H2778" t="s">
        <v>11</v>
      </c>
    </row>
    <row r="2779" spans="1:8" x14ac:dyDescent="0.35">
      <c r="A2779" t="s">
        <v>57</v>
      </c>
      <c r="B2779" t="s">
        <v>112</v>
      </c>
      <c r="C2779" t="s">
        <v>2703</v>
      </c>
      <c r="D2779">
        <v>3</v>
      </c>
      <c r="E2779">
        <v>2</v>
      </c>
      <c r="F2779" t="s">
        <v>7</v>
      </c>
      <c r="G2779" t="s">
        <v>115</v>
      </c>
      <c r="H2779" t="s">
        <v>11</v>
      </c>
    </row>
    <row r="2780" spans="1:8" x14ac:dyDescent="0.35">
      <c r="A2780" t="s">
        <v>57</v>
      </c>
      <c r="B2780" t="s">
        <v>112</v>
      </c>
      <c r="C2780" t="s">
        <v>1153</v>
      </c>
      <c r="D2780">
        <v>3</v>
      </c>
      <c r="E2780">
        <v>2</v>
      </c>
      <c r="F2780" t="s">
        <v>7</v>
      </c>
      <c r="G2780" t="s">
        <v>115</v>
      </c>
      <c r="H2780" t="s">
        <v>11</v>
      </c>
    </row>
    <row r="2781" spans="1:8" x14ac:dyDescent="0.35">
      <c r="A2781" t="s">
        <v>57</v>
      </c>
      <c r="B2781" t="s">
        <v>112</v>
      </c>
      <c r="C2781" t="s">
        <v>1430</v>
      </c>
      <c r="D2781">
        <v>3</v>
      </c>
      <c r="E2781">
        <v>2</v>
      </c>
      <c r="F2781" t="s">
        <v>7</v>
      </c>
      <c r="G2781" t="s">
        <v>115</v>
      </c>
      <c r="H2781" t="s">
        <v>11</v>
      </c>
    </row>
    <row r="2782" spans="1:8" x14ac:dyDescent="0.35">
      <c r="A2782" t="s">
        <v>57</v>
      </c>
      <c r="B2782" t="s">
        <v>112</v>
      </c>
      <c r="C2782" t="s">
        <v>1432</v>
      </c>
      <c r="D2782">
        <v>3</v>
      </c>
      <c r="E2782">
        <v>2</v>
      </c>
      <c r="F2782" t="s">
        <v>7</v>
      </c>
      <c r="G2782" t="s">
        <v>115</v>
      </c>
      <c r="H2782" t="s">
        <v>11</v>
      </c>
    </row>
    <row r="2783" spans="1:8" x14ac:dyDescent="0.35">
      <c r="A2783" t="s">
        <v>57</v>
      </c>
      <c r="B2783" t="s">
        <v>112</v>
      </c>
      <c r="C2783" t="s">
        <v>1154</v>
      </c>
      <c r="D2783">
        <v>3</v>
      </c>
      <c r="E2783">
        <v>2</v>
      </c>
      <c r="F2783" t="s">
        <v>7</v>
      </c>
      <c r="G2783" t="s">
        <v>115</v>
      </c>
      <c r="H2783" t="s">
        <v>11</v>
      </c>
    </row>
    <row r="2784" spans="1:8" x14ac:dyDescent="0.35">
      <c r="A2784" t="s">
        <v>57</v>
      </c>
      <c r="B2784" t="s">
        <v>112</v>
      </c>
      <c r="C2784" t="s">
        <v>2704</v>
      </c>
      <c r="D2784">
        <v>2</v>
      </c>
      <c r="E2784">
        <v>4</v>
      </c>
      <c r="F2784" t="s">
        <v>75</v>
      </c>
      <c r="G2784" t="s">
        <v>11</v>
      </c>
      <c r="H2784" t="s">
        <v>11</v>
      </c>
    </row>
    <row r="2785" spans="1:8" x14ac:dyDescent="0.35">
      <c r="A2785" t="s">
        <v>57</v>
      </c>
      <c r="B2785" t="s">
        <v>112</v>
      </c>
      <c r="C2785" t="s">
        <v>2705</v>
      </c>
      <c r="D2785">
        <v>3</v>
      </c>
      <c r="E2785">
        <v>2</v>
      </c>
      <c r="F2785" t="s">
        <v>7</v>
      </c>
      <c r="G2785" t="s">
        <v>115</v>
      </c>
      <c r="H2785" t="s">
        <v>11</v>
      </c>
    </row>
    <row r="2786" spans="1:8" x14ac:dyDescent="0.35">
      <c r="A2786" t="s">
        <v>57</v>
      </c>
      <c r="B2786" t="s">
        <v>112</v>
      </c>
      <c r="C2786" t="s">
        <v>2706</v>
      </c>
      <c r="D2786">
        <v>2</v>
      </c>
      <c r="E2786">
        <v>3</v>
      </c>
      <c r="F2786" t="s">
        <v>7</v>
      </c>
      <c r="G2786" t="s">
        <v>115</v>
      </c>
      <c r="H2786" t="s">
        <v>11</v>
      </c>
    </row>
    <row r="2787" spans="1:8" x14ac:dyDescent="0.35">
      <c r="A2787" t="s">
        <v>57</v>
      </c>
      <c r="B2787" t="s">
        <v>112</v>
      </c>
      <c r="C2787" t="s">
        <v>2707</v>
      </c>
      <c r="D2787">
        <v>3</v>
      </c>
      <c r="E2787">
        <v>3</v>
      </c>
      <c r="F2787" t="s">
        <v>75</v>
      </c>
      <c r="G2787" t="s">
        <v>11</v>
      </c>
      <c r="H2787" t="s">
        <v>11</v>
      </c>
    </row>
    <row r="2788" spans="1:8" x14ac:dyDescent="0.35">
      <c r="A2788" t="s">
        <v>57</v>
      </c>
      <c r="B2788" t="s">
        <v>112</v>
      </c>
      <c r="C2788" t="s">
        <v>2708</v>
      </c>
      <c r="D2788">
        <v>2</v>
      </c>
      <c r="E2788">
        <v>3</v>
      </c>
      <c r="F2788" t="s">
        <v>75</v>
      </c>
      <c r="G2788" t="s">
        <v>11</v>
      </c>
      <c r="H2788" t="s">
        <v>11</v>
      </c>
    </row>
    <row r="2789" spans="1:8" x14ac:dyDescent="0.35">
      <c r="A2789" t="s">
        <v>57</v>
      </c>
      <c r="B2789" t="s">
        <v>112</v>
      </c>
      <c r="C2789" t="s">
        <v>2709</v>
      </c>
      <c r="D2789">
        <v>2</v>
      </c>
      <c r="E2789">
        <v>3</v>
      </c>
      <c r="F2789" t="s">
        <v>75</v>
      </c>
      <c r="G2789" t="s">
        <v>11</v>
      </c>
      <c r="H2789" t="s">
        <v>11</v>
      </c>
    </row>
    <row r="2790" spans="1:8" x14ac:dyDescent="0.35">
      <c r="A2790" t="s">
        <v>57</v>
      </c>
      <c r="B2790" t="s">
        <v>112</v>
      </c>
      <c r="C2790" t="s">
        <v>1157</v>
      </c>
      <c r="D2790">
        <v>3</v>
      </c>
      <c r="E2790">
        <v>2</v>
      </c>
      <c r="F2790" t="s">
        <v>7</v>
      </c>
      <c r="G2790" t="s">
        <v>115</v>
      </c>
      <c r="H2790" t="s">
        <v>11</v>
      </c>
    </row>
    <row r="2791" spans="1:8" x14ac:dyDescent="0.35">
      <c r="A2791" t="s">
        <v>57</v>
      </c>
      <c r="B2791" t="s">
        <v>112</v>
      </c>
      <c r="C2791" t="s">
        <v>1159</v>
      </c>
      <c r="D2791">
        <v>3</v>
      </c>
      <c r="E2791">
        <v>3</v>
      </c>
      <c r="F2791" t="s">
        <v>7</v>
      </c>
      <c r="G2791" t="s">
        <v>115</v>
      </c>
      <c r="H2791" t="s">
        <v>11</v>
      </c>
    </row>
    <row r="2792" spans="1:8" x14ac:dyDescent="0.35">
      <c r="A2792" t="s">
        <v>57</v>
      </c>
      <c r="B2792" t="s">
        <v>112</v>
      </c>
      <c r="C2792" t="s">
        <v>1434</v>
      </c>
      <c r="D2792">
        <v>3</v>
      </c>
      <c r="E2792">
        <v>3</v>
      </c>
      <c r="F2792" t="s">
        <v>75</v>
      </c>
      <c r="G2792" t="s">
        <v>11</v>
      </c>
      <c r="H2792" t="s">
        <v>11</v>
      </c>
    </row>
    <row r="2793" spans="1:8" x14ac:dyDescent="0.35">
      <c r="A2793" t="s">
        <v>57</v>
      </c>
      <c r="B2793" t="s">
        <v>112</v>
      </c>
      <c r="C2793" t="s">
        <v>1630</v>
      </c>
      <c r="D2793">
        <v>2</v>
      </c>
      <c r="E2793">
        <v>3</v>
      </c>
      <c r="F2793" t="s">
        <v>75</v>
      </c>
      <c r="G2793" t="s">
        <v>11</v>
      </c>
      <c r="H2793" t="s">
        <v>11</v>
      </c>
    </row>
    <row r="2794" spans="1:8" x14ac:dyDescent="0.35">
      <c r="A2794" t="s">
        <v>57</v>
      </c>
      <c r="B2794" t="s">
        <v>112</v>
      </c>
      <c r="C2794" t="s">
        <v>2710</v>
      </c>
      <c r="D2794">
        <v>3</v>
      </c>
      <c r="E2794">
        <v>2</v>
      </c>
      <c r="F2794" t="s">
        <v>7</v>
      </c>
      <c r="G2794" t="s">
        <v>115</v>
      </c>
      <c r="H2794" t="s">
        <v>11</v>
      </c>
    </row>
    <row r="2795" spans="1:8" x14ac:dyDescent="0.35">
      <c r="A2795" t="s">
        <v>57</v>
      </c>
      <c r="B2795" t="s">
        <v>112</v>
      </c>
      <c r="C2795" t="s">
        <v>2711</v>
      </c>
      <c r="D2795">
        <v>3</v>
      </c>
      <c r="E2795">
        <v>2</v>
      </c>
      <c r="F2795" t="s">
        <v>75</v>
      </c>
      <c r="G2795" t="s">
        <v>11</v>
      </c>
      <c r="H2795" t="s">
        <v>11</v>
      </c>
    </row>
    <row r="2796" spans="1:8" x14ac:dyDescent="0.35">
      <c r="A2796" t="s">
        <v>57</v>
      </c>
      <c r="B2796" t="s">
        <v>112</v>
      </c>
      <c r="C2796" t="s">
        <v>2712</v>
      </c>
      <c r="D2796">
        <v>3</v>
      </c>
      <c r="E2796">
        <v>3</v>
      </c>
      <c r="F2796" t="s">
        <v>75</v>
      </c>
      <c r="G2796" t="s">
        <v>11</v>
      </c>
      <c r="H2796" t="s">
        <v>11</v>
      </c>
    </row>
    <row r="2797" spans="1:8" x14ac:dyDescent="0.35">
      <c r="A2797" t="s">
        <v>57</v>
      </c>
      <c r="B2797" t="s">
        <v>112</v>
      </c>
      <c r="C2797" t="s">
        <v>2713</v>
      </c>
      <c r="D2797">
        <v>3</v>
      </c>
      <c r="E2797">
        <v>2</v>
      </c>
      <c r="F2797" t="s">
        <v>7</v>
      </c>
      <c r="G2797" t="s">
        <v>115</v>
      </c>
      <c r="H2797" t="s">
        <v>11</v>
      </c>
    </row>
    <row r="2798" spans="1:8" x14ac:dyDescent="0.35">
      <c r="A2798" t="s">
        <v>57</v>
      </c>
      <c r="B2798" t="s">
        <v>112</v>
      </c>
      <c r="C2798" t="s">
        <v>2714</v>
      </c>
      <c r="D2798">
        <v>3</v>
      </c>
      <c r="E2798">
        <v>2</v>
      </c>
      <c r="F2798" t="s">
        <v>7</v>
      </c>
      <c r="G2798" t="s">
        <v>115</v>
      </c>
      <c r="H2798" t="s">
        <v>11</v>
      </c>
    </row>
    <row r="2799" spans="1:8" x14ac:dyDescent="0.35">
      <c r="A2799" t="s">
        <v>57</v>
      </c>
      <c r="B2799" t="s">
        <v>112</v>
      </c>
      <c r="C2799" t="s">
        <v>2418</v>
      </c>
      <c r="D2799">
        <v>3</v>
      </c>
      <c r="E2799">
        <v>2</v>
      </c>
      <c r="F2799" t="s">
        <v>75</v>
      </c>
      <c r="G2799" t="s">
        <v>11</v>
      </c>
      <c r="H2799" t="s">
        <v>11</v>
      </c>
    </row>
    <row r="2800" spans="1:8" x14ac:dyDescent="0.35">
      <c r="A2800" t="s">
        <v>57</v>
      </c>
      <c r="B2800" t="s">
        <v>112</v>
      </c>
      <c r="C2800" t="s">
        <v>1635</v>
      </c>
      <c r="D2800">
        <v>3</v>
      </c>
      <c r="E2800">
        <v>3</v>
      </c>
      <c r="F2800" t="s">
        <v>75</v>
      </c>
      <c r="G2800" t="s">
        <v>11</v>
      </c>
      <c r="H2800" t="s">
        <v>11</v>
      </c>
    </row>
    <row r="2801" spans="1:8" x14ac:dyDescent="0.35">
      <c r="A2801" t="s">
        <v>57</v>
      </c>
      <c r="B2801" t="s">
        <v>112</v>
      </c>
      <c r="C2801" t="s">
        <v>1987</v>
      </c>
      <c r="D2801">
        <v>3</v>
      </c>
      <c r="E2801">
        <v>3</v>
      </c>
      <c r="F2801" t="s">
        <v>75</v>
      </c>
      <c r="G2801" t="s">
        <v>11</v>
      </c>
      <c r="H2801" t="s">
        <v>11</v>
      </c>
    </row>
    <row r="2802" spans="1:8" x14ac:dyDescent="0.35">
      <c r="A2802" t="s">
        <v>57</v>
      </c>
      <c r="B2802" t="s">
        <v>112</v>
      </c>
      <c r="C2802" t="s">
        <v>2715</v>
      </c>
      <c r="D2802">
        <v>3</v>
      </c>
      <c r="E2802">
        <v>2</v>
      </c>
      <c r="F2802" t="s">
        <v>7</v>
      </c>
      <c r="G2802" t="s">
        <v>115</v>
      </c>
      <c r="H2802" t="s">
        <v>11</v>
      </c>
    </row>
    <row r="2803" spans="1:8" x14ac:dyDescent="0.35">
      <c r="A2803" t="s">
        <v>57</v>
      </c>
      <c r="B2803" t="s">
        <v>112</v>
      </c>
      <c r="C2803" t="s">
        <v>1722</v>
      </c>
      <c r="D2803">
        <v>3</v>
      </c>
      <c r="E2803">
        <v>3</v>
      </c>
      <c r="F2803" t="s">
        <v>7</v>
      </c>
      <c r="G2803" t="s">
        <v>115</v>
      </c>
      <c r="H2803" t="s">
        <v>11</v>
      </c>
    </row>
    <row r="2804" spans="1:8" x14ac:dyDescent="0.35">
      <c r="A2804" t="s">
        <v>57</v>
      </c>
      <c r="B2804" t="s">
        <v>112</v>
      </c>
      <c r="C2804" t="s">
        <v>1523</v>
      </c>
      <c r="D2804">
        <v>3</v>
      </c>
      <c r="E2804">
        <v>3</v>
      </c>
      <c r="F2804" t="s">
        <v>75</v>
      </c>
      <c r="G2804" t="s">
        <v>11</v>
      </c>
      <c r="H2804" t="s">
        <v>11</v>
      </c>
    </row>
    <row r="2805" spans="1:8" x14ac:dyDescent="0.35">
      <c r="A2805" t="s">
        <v>57</v>
      </c>
      <c r="B2805" t="s">
        <v>112</v>
      </c>
      <c r="C2805" t="s">
        <v>2716</v>
      </c>
      <c r="D2805">
        <v>3</v>
      </c>
      <c r="E2805">
        <v>3</v>
      </c>
      <c r="F2805" t="s">
        <v>7</v>
      </c>
      <c r="G2805" t="s">
        <v>11</v>
      </c>
      <c r="H2805" t="s">
        <v>11</v>
      </c>
    </row>
    <row r="2806" spans="1:8" x14ac:dyDescent="0.35">
      <c r="A2806" t="s">
        <v>57</v>
      </c>
      <c r="B2806" t="s">
        <v>112</v>
      </c>
      <c r="C2806" t="s">
        <v>1163</v>
      </c>
      <c r="D2806">
        <v>3</v>
      </c>
      <c r="E2806">
        <v>2</v>
      </c>
      <c r="F2806" t="s">
        <v>7</v>
      </c>
      <c r="G2806" t="s">
        <v>115</v>
      </c>
      <c r="H2806" t="s">
        <v>11</v>
      </c>
    </row>
    <row r="2807" spans="1:8" x14ac:dyDescent="0.35">
      <c r="A2807" t="s">
        <v>57</v>
      </c>
      <c r="B2807" t="s">
        <v>112</v>
      </c>
      <c r="C2807" t="s">
        <v>2342</v>
      </c>
      <c r="D2807">
        <v>2</v>
      </c>
      <c r="E2807">
        <v>4</v>
      </c>
      <c r="F2807" t="s">
        <v>75</v>
      </c>
      <c r="G2807" t="s">
        <v>11</v>
      </c>
      <c r="H2807" t="s">
        <v>11</v>
      </c>
    </row>
    <row r="2808" spans="1:8" x14ac:dyDescent="0.35">
      <c r="A2808" t="s">
        <v>57</v>
      </c>
      <c r="B2808" t="s">
        <v>112</v>
      </c>
      <c r="C2808" t="s">
        <v>1774</v>
      </c>
      <c r="D2808">
        <v>3</v>
      </c>
      <c r="E2808">
        <v>3</v>
      </c>
      <c r="F2808" t="s">
        <v>7</v>
      </c>
      <c r="G2808" t="s">
        <v>115</v>
      </c>
      <c r="H2808" t="s">
        <v>11</v>
      </c>
    </row>
    <row r="2809" spans="1:8" x14ac:dyDescent="0.35">
      <c r="A2809" t="s">
        <v>57</v>
      </c>
      <c r="B2809" t="s">
        <v>112</v>
      </c>
      <c r="C2809" t="s">
        <v>2717</v>
      </c>
      <c r="D2809">
        <v>3</v>
      </c>
      <c r="E2809">
        <v>3</v>
      </c>
      <c r="F2809" t="s">
        <v>75</v>
      </c>
      <c r="G2809" t="s">
        <v>11</v>
      </c>
      <c r="H2809" t="s">
        <v>11</v>
      </c>
    </row>
    <row r="2810" spans="1:8" x14ac:dyDescent="0.35">
      <c r="A2810" t="s">
        <v>57</v>
      </c>
      <c r="B2810" t="s">
        <v>112</v>
      </c>
      <c r="C2810" t="s">
        <v>2718</v>
      </c>
      <c r="D2810">
        <v>3</v>
      </c>
      <c r="E2810">
        <v>3</v>
      </c>
      <c r="F2810" t="s">
        <v>7</v>
      </c>
      <c r="G2810" t="s">
        <v>115</v>
      </c>
      <c r="H2810" t="s">
        <v>11</v>
      </c>
    </row>
    <row r="2811" spans="1:8" x14ac:dyDescent="0.35">
      <c r="A2811" t="s">
        <v>57</v>
      </c>
      <c r="B2811" t="s">
        <v>112</v>
      </c>
      <c r="C2811" t="s">
        <v>2719</v>
      </c>
      <c r="D2811">
        <v>3</v>
      </c>
      <c r="E2811">
        <v>3</v>
      </c>
      <c r="F2811" t="s">
        <v>7</v>
      </c>
      <c r="G2811" t="s">
        <v>115</v>
      </c>
      <c r="H2811" t="s">
        <v>11</v>
      </c>
    </row>
    <row r="2812" spans="1:8" x14ac:dyDescent="0.35">
      <c r="A2812" t="s">
        <v>57</v>
      </c>
      <c r="B2812" t="s">
        <v>112</v>
      </c>
      <c r="C2812" t="s">
        <v>1261</v>
      </c>
      <c r="D2812">
        <v>3</v>
      </c>
      <c r="E2812">
        <v>2</v>
      </c>
      <c r="F2812" t="s">
        <v>7</v>
      </c>
      <c r="G2812" t="s">
        <v>115</v>
      </c>
      <c r="H2812" t="s">
        <v>11</v>
      </c>
    </row>
    <row r="2813" spans="1:8" x14ac:dyDescent="0.35">
      <c r="A2813" t="s">
        <v>57</v>
      </c>
      <c r="B2813" t="s">
        <v>112</v>
      </c>
      <c r="C2813" t="s">
        <v>2720</v>
      </c>
      <c r="D2813">
        <v>3</v>
      </c>
      <c r="E2813">
        <v>3</v>
      </c>
      <c r="F2813" t="s">
        <v>75</v>
      </c>
      <c r="G2813" t="s">
        <v>11</v>
      </c>
      <c r="H2813" t="s">
        <v>11</v>
      </c>
    </row>
    <row r="2814" spans="1:8" x14ac:dyDescent="0.35">
      <c r="A2814" t="s">
        <v>57</v>
      </c>
      <c r="B2814" t="s">
        <v>112</v>
      </c>
      <c r="C2814" t="s">
        <v>2721</v>
      </c>
      <c r="D2814">
        <v>3</v>
      </c>
      <c r="E2814">
        <v>2</v>
      </c>
      <c r="F2814" t="s">
        <v>7</v>
      </c>
      <c r="G2814" t="s">
        <v>115</v>
      </c>
      <c r="H2814" t="s">
        <v>11</v>
      </c>
    </row>
    <row r="2815" spans="1:8" x14ac:dyDescent="0.35">
      <c r="A2815" t="s">
        <v>57</v>
      </c>
      <c r="B2815" t="s">
        <v>112</v>
      </c>
      <c r="C2815" t="s">
        <v>2722</v>
      </c>
      <c r="D2815">
        <v>2</v>
      </c>
      <c r="E2815">
        <v>4</v>
      </c>
      <c r="F2815" t="s">
        <v>75</v>
      </c>
      <c r="G2815" t="s">
        <v>11</v>
      </c>
      <c r="H2815" t="s">
        <v>11</v>
      </c>
    </row>
    <row r="2816" spans="1:8" x14ac:dyDescent="0.35">
      <c r="A2816" t="s">
        <v>57</v>
      </c>
      <c r="B2816" t="s">
        <v>112</v>
      </c>
      <c r="C2816" t="s">
        <v>1851</v>
      </c>
      <c r="D2816">
        <v>2</v>
      </c>
      <c r="E2816">
        <v>4</v>
      </c>
      <c r="F2816" t="s">
        <v>75</v>
      </c>
      <c r="G2816" t="s">
        <v>11</v>
      </c>
      <c r="H2816" t="s">
        <v>11</v>
      </c>
    </row>
    <row r="2817" spans="1:8" x14ac:dyDescent="0.35">
      <c r="A2817" t="s">
        <v>57</v>
      </c>
      <c r="B2817" t="s">
        <v>112</v>
      </c>
      <c r="C2817" t="s">
        <v>1310</v>
      </c>
      <c r="D2817">
        <v>3</v>
      </c>
      <c r="E2817">
        <v>2</v>
      </c>
      <c r="F2817" t="s">
        <v>7</v>
      </c>
      <c r="G2817" t="s">
        <v>115</v>
      </c>
      <c r="H2817" t="s">
        <v>11</v>
      </c>
    </row>
    <row r="2818" spans="1:8" x14ac:dyDescent="0.35">
      <c r="A2818" t="s">
        <v>57</v>
      </c>
      <c r="B2818" t="s">
        <v>112</v>
      </c>
      <c r="C2818" t="s">
        <v>2723</v>
      </c>
      <c r="D2818">
        <v>3</v>
      </c>
      <c r="E2818">
        <v>3</v>
      </c>
      <c r="F2818" t="s">
        <v>7</v>
      </c>
      <c r="G2818" t="s">
        <v>115</v>
      </c>
      <c r="H2818" t="s">
        <v>11</v>
      </c>
    </row>
    <row r="2819" spans="1:8" x14ac:dyDescent="0.35">
      <c r="A2819" t="s">
        <v>57</v>
      </c>
      <c r="B2819" t="s">
        <v>112</v>
      </c>
      <c r="C2819" t="s">
        <v>2090</v>
      </c>
      <c r="D2819">
        <v>3</v>
      </c>
      <c r="E2819">
        <v>3</v>
      </c>
      <c r="F2819" t="s">
        <v>7</v>
      </c>
      <c r="G2819" t="s">
        <v>115</v>
      </c>
      <c r="H2819" t="s">
        <v>11</v>
      </c>
    </row>
    <row r="2820" spans="1:8" x14ac:dyDescent="0.35">
      <c r="A2820" t="s">
        <v>57</v>
      </c>
      <c r="B2820" t="s">
        <v>112</v>
      </c>
      <c r="C2820" t="s">
        <v>2724</v>
      </c>
      <c r="D2820">
        <v>3</v>
      </c>
      <c r="E2820">
        <v>3</v>
      </c>
      <c r="F2820" t="s">
        <v>7</v>
      </c>
      <c r="G2820" t="s">
        <v>115</v>
      </c>
      <c r="H2820" t="s">
        <v>11</v>
      </c>
    </row>
    <row r="2821" spans="1:8" x14ac:dyDescent="0.35">
      <c r="A2821" t="s">
        <v>57</v>
      </c>
      <c r="B2821" t="s">
        <v>112</v>
      </c>
      <c r="C2821" t="s">
        <v>2725</v>
      </c>
      <c r="D2821">
        <v>2</v>
      </c>
      <c r="E2821">
        <v>4</v>
      </c>
      <c r="F2821" t="s">
        <v>75</v>
      </c>
      <c r="G2821" t="s">
        <v>11</v>
      </c>
      <c r="H2821" t="s">
        <v>11</v>
      </c>
    </row>
    <row r="2822" spans="1:8" x14ac:dyDescent="0.35">
      <c r="A2822" t="s">
        <v>57</v>
      </c>
      <c r="B2822" t="s">
        <v>112</v>
      </c>
      <c r="C2822" t="s">
        <v>2726</v>
      </c>
      <c r="D2822">
        <v>3</v>
      </c>
      <c r="E2822">
        <v>3</v>
      </c>
      <c r="F2822" t="s">
        <v>75</v>
      </c>
      <c r="G2822" t="s">
        <v>11</v>
      </c>
      <c r="H2822" t="s">
        <v>11</v>
      </c>
    </row>
    <row r="2823" spans="1:8" x14ac:dyDescent="0.35">
      <c r="A2823" t="s">
        <v>57</v>
      </c>
      <c r="B2823" t="s">
        <v>112</v>
      </c>
      <c r="C2823" t="s">
        <v>1265</v>
      </c>
      <c r="D2823">
        <v>3</v>
      </c>
      <c r="E2823">
        <v>2</v>
      </c>
      <c r="F2823" t="s">
        <v>7</v>
      </c>
      <c r="G2823" t="s">
        <v>115</v>
      </c>
      <c r="H2823" t="s">
        <v>11</v>
      </c>
    </row>
    <row r="2824" spans="1:8" x14ac:dyDescent="0.35">
      <c r="A2824" t="s">
        <v>57</v>
      </c>
      <c r="B2824" t="s">
        <v>112</v>
      </c>
      <c r="C2824" t="s">
        <v>2517</v>
      </c>
      <c r="D2824">
        <v>2</v>
      </c>
      <c r="E2824">
        <v>4</v>
      </c>
      <c r="F2824" t="s">
        <v>75</v>
      </c>
      <c r="G2824" t="s">
        <v>11</v>
      </c>
      <c r="H2824" t="s">
        <v>11</v>
      </c>
    </row>
    <row r="2825" spans="1:8" x14ac:dyDescent="0.35">
      <c r="A2825" t="s">
        <v>57</v>
      </c>
      <c r="B2825" t="s">
        <v>112</v>
      </c>
      <c r="C2825" t="s">
        <v>2727</v>
      </c>
      <c r="D2825">
        <v>2</v>
      </c>
      <c r="E2825">
        <v>3</v>
      </c>
      <c r="F2825" t="s">
        <v>75</v>
      </c>
      <c r="G2825" t="s">
        <v>11</v>
      </c>
      <c r="H2825" t="s">
        <v>11</v>
      </c>
    </row>
    <row r="2826" spans="1:8" x14ac:dyDescent="0.35">
      <c r="A2826" t="s">
        <v>57</v>
      </c>
      <c r="B2826" t="s">
        <v>112</v>
      </c>
      <c r="C2826" t="s">
        <v>2728</v>
      </c>
      <c r="D2826">
        <v>3</v>
      </c>
      <c r="E2826">
        <v>3</v>
      </c>
      <c r="F2826" t="s">
        <v>7</v>
      </c>
      <c r="G2826" t="s">
        <v>115</v>
      </c>
      <c r="H2826" t="s">
        <v>11</v>
      </c>
    </row>
    <row r="2827" spans="1:8" x14ac:dyDescent="0.35">
      <c r="A2827" t="s">
        <v>57</v>
      </c>
      <c r="B2827" t="s">
        <v>112</v>
      </c>
      <c r="C2827" t="s">
        <v>2729</v>
      </c>
      <c r="D2827">
        <v>2</v>
      </c>
      <c r="E2827">
        <v>4</v>
      </c>
      <c r="F2827" t="s">
        <v>75</v>
      </c>
      <c r="G2827" t="s">
        <v>11</v>
      </c>
      <c r="H2827" t="s">
        <v>11</v>
      </c>
    </row>
    <row r="2828" spans="1:8" x14ac:dyDescent="0.35">
      <c r="A2828" t="s">
        <v>57</v>
      </c>
      <c r="B2828" t="s">
        <v>112</v>
      </c>
      <c r="C2828" t="s">
        <v>2730</v>
      </c>
      <c r="D2828">
        <v>3</v>
      </c>
      <c r="E2828">
        <v>3</v>
      </c>
      <c r="F2828" t="s">
        <v>75</v>
      </c>
      <c r="G2828" t="s">
        <v>11</v>
      </c>
      <c r="H2828" t="s">
        <v>11</v>
      </c>
    </row>
    <row r="2829" spans="1:8" x14ac:dyDescent="0.35">
      <c r="A2829" t="s">
        <v>57</v>
      </c>
      <c r="B2829" t="s">
        <v>112</v>
      </c>
      <c r="C2829" t="s">
        <v>2731</v>
      </c>
      <c r="D2829">
        <v>3</v>
      </c>
      <c r="E2829">
        <v>2</v>
      </c>
      <c r="F2829" t="s">
        <v>75</v>
      </c>
      <c r="G2829" t="s">
        <v>11</v>
      </c>
      <c r="H2829" t="s">
        <v>11</v>
      </c>
    </row>
    <row r="2830" spans="1:8" x14ac:dyDescent="0.35">
      <c r="A2830" t="s">
        <v>57</v>
      </c>
      <c r="B2830" t="s">
        <v>112</v>
      </c>
      <c r="C2830" t="s">
        <v>1890</v>
      </c>
      <c r="D2830">
        <v>3</v>
      </c>
      <c r="E2830">
        <v>3</v>
      </c>
      <c r="F2830" t="s">
        <v>7</v>
      </c>
      <c r="G2830" t="s">
        <v>115</v>
      </c>
      <c r="H2830" t="s">
        <v>11</v>
      </c>
    </row>
    <row r="2831" spans="1:8" x14ac:dyDescent="0.35">
      <c r="A2831" t="s">
        <v>57</v>
      </c>
      <c r="B2831" t="s">
        <v>112</v>
      </c>
      <c r="C2831" t="s">
        <v>2732</v>
      </c>
      <c r="D2831">
        <v>2</v>
      </c>
      <c r="E2831">
        <v>3</v>
      </c>
      <c r="F2831" t="s">
        <v>75</v>
      </c>
      <c r="G2831" t="s">
        <v>11</v>
      </c>
      <c r="H2831" t="s">
        <v>11</v>
      </c>
    </row>
    <row r="2832" spans="1:8" x14ac:dyDescent="0.35">
      <c r="A2832" t="s">
        <v>57</v>
      </c>
      <c r="B2832" t="s">
        <v>112</v>
      </c>
      <c r="C2832" t="s">
        <v>2733</v>
      </c>
      <c r="D2832">
        <v>3</v>
      </c>
      <c r="E2832">
        <v>2</v>
      </c>
      <c r="F2832" t="s">
        <v>7</v>
      </c>
      <c r="G2832" t="s">
        <v>115</v>
      </c>
      <c r="H2832" t="s">
        <v>11</v>
      </c>
    </row>
    <row r="2833" spans="1:8" x14ac:dyDescent="0.35">
      <c r="A2833" t="s">
        <v>57</v>
      </c>
      <c r="B2833" t="s">
        <v>112</v>
      </c>
      <c r="C2833" t="s">
        <v>2580</v>
      </c>
      <c r="D2833">
        <v>2</v>
      </c>
      <c r="E2833">
        <v>4</v>
      </c>
      <c r="F2833" t="s">
        <v>75</v>
      </c>
      <c r="G2833" t="s">
        <v>11</v>
      </c>
      <c r="H2833" t="s">
        <v>11</v>
      </c>
    </row>
    <row r="2834" spans="1:8" x14ac:dyDescent="0.35">
      <c r="A2834" t="s">
        <v>57</v>
      </c>
      <c r="B2834" t="s">
        <v>112</v>
      </c>
      <c r="C2834" t="s">
        <v>1855</v>
      </c>
      <c r="D2834">
        <v>3</v>
      </c>
      <c r="E2834">
        <v>2</v>
      </c>
      <c r="F2834" t="s">
        <v>7</v>
      </c>
      <c r="G2834" t="s">
        <v>115</v>
      </c>
      <c r="H2834" t="s">
        <v>11</v>
      </c>
    </row>
    <row r="2835" spans="1:8" x14ac:dyDescent="0.35">
      <c r="A2835" t="s">
        <v>57</v>
      </c>
      <c r="B2835" t="s">
        <v>112</v>
      </c>
      <c r="C2835" t="s">
        <v>2734</v>
      </c>
      <c r="D2835">
        <v>3</v>
      </c>
      <c r="E2835">
        <v>3</v>
      </c>
      <c r="F2835" t="s">
        <v>7</v>
      </c>
      <c r="G2835" t="s">
        <v>115</v>
      </c>
      <c r="H2835" t="s">
        <v>11</v>
      </c>
    </row>
    <row r="2836" spans="1:8" x14ac:dyDescent="0.35">
      <c r="A2836" t="s">
        <v>57</v>
      </c>
      <c r="B2836" t="s">
        <v>112</v>
      </c>
      <c r="C2836" t="s">
        <v>2735</v>
      </c>
      <c r="D2836">
        <v>3</v>
      </c>
      <c r="E2836">
        <v>3</v>
      </c>
      <c r="F2836" t="s">
        <v>75</v>
      </c>
      <c r="G2836" t="s">
        <v>11</v>
      </c>
      <c r="H2836" t="s">
        <v>11</v>
      </c>
    </row>
    <row r="2837" spans="1:8" x14ac:dyDescent="0.35">
      <c r="A2837" t="s">
        <v>57</v>
      </c>
      <c r="B2837" t="s">
        <v>112</v>
      </c>
      <c r="C2837" t="s">
        <v>2736</v>
      </c>
      <c r="D2837">
        <v>3</v>
      </c>
      <c r="E2837">
        <v>3</v>
      </c>
      <c r="F2837" t="s">
        <v>7</v>
      </c>
      <c r="G2837" t="s">
        <v>115</v>
      </c>
      <c r="H2837" t="s">
        <v>11</v>
      </c>
    </row>
    <row r="2838" spans="1:8" x14ac:dyDescent="0.35">
      <c r="A2838" t="s">
        <v>57</v>
      </c>
      <c r="B2838" t="s">
        <v>112</v>
      </c>
      <c r="C2838" t="s">
        <v>1891</v>
      </c>
      <c r="D2838">
        <v>3</v>
      </c>
      <c r="E2838">
        <v>3</v>
      </c>
      <c r="F2838" t="s">
        <v>7</v>
      </c>
      <c r="G2838" t="s">
        <v>115</v>
      </c>
      <c r="H2838" t="s">
        <v>11</v>
      </c>
    </row>
    <row r="2839" spans="1:8" x14ac:dyDescent="0.35">
      <c r="A2839" t="s">
        <v>57</v>
      </c>
      <c r="B2839" t="s">
        <v>112</v>
      </c>
      <c r="C2839" t="s">
        <v>2737</v>
      </c>
      <c r="D2839">
        <v>3</v>
      </c>
      <c r="E2839">
        <v>3</v>
      </c>
      <c r="F2839" t="s">
        <v>7</v>
      </c>
      <c r="G2839" t="s">
        <v>115</v>
      </c>
      <c r="H2839" t="s">
        <v>11</v>
      </c>
    </row>
    <row r="2840" spans="1:8" x14ac:dyDescent="0.35">
      <c r="A2840" t="s">
        <v>57</v>
      </c>
      <c r="B2840" t="s">
        <v>112</v>
      </c>
      <c r="C2840" t="s">
        <v>2738</v>
      </c>
      <c r="D2840">
        <v>3</v>
      </c>
      <c r="E2840">
        <v>2</v>
      </c>
      <c r="F2840" t="s">
        <v>7</v>
      </c>
      <c r="G2840" t="s">
        <v>115</v>
      </c>
      <c r="H2840" t="s">
        <v>11</v>
      </c>
    </row>
    <row r="2841" spans="1:8" x14ac:dyDescent="0.35">
      <c r="A2841" t="s">
        <v>57</v>
      </c>
      <c r="B2841" t="s">
        <v>112</v>
      </c>
      <c r="C2841" t="s">
        <v>2739</v>
      </c>
      <c r="D2841">
        <v>3</v>
      </c>
      <c r="E2841">
        <v>2</v>
      </c>
      <c r="F2841" t="s">
        <v>7</v>
      </c>
      <c r="G2841" t="s">
        <v>115</v>
      </c>
      <c r="H2841" t="s">
        <v>11</v>
      </c>
    </row>
    <row r="2842" spans="1:8" x14ac:dyDescent="0.35">
      <c r="A2842" t="s">
        <v>57</v>
      </c>
      <c r="B2842" t="s">
        <v>112</v>
      </c>
      <c r="C2842" t="s">
        <v>2740</v>
      </c>
      <c r="D2842">
        <v>3</v>
      </c>
      <c r="E2842">
        <v>3</v>
      </c>
      <c r="F2842" t="s">
        <v>7</v>
      </c>
      <c r="G2842" t="s">
        <v>115</v>
      </c>
      <c r="H2842" t="s">
        <v>11</v>
      </c>
    </row>
    <row r="2843" spans="1:8" x14ac:dyDescent="0.35">
      <c r="A2843" t="s">
        <v>57</v>
      </c>
      <c r="B2843" t="s">
        <v>112</v>
      </c>
      <c r="C2843" t="s">
        <v>2741</v>
      </c>
      <c r="D2843">
        <v>3</v>
      </c>
      <c r="E2843">
        <v>3</v>
      </c>
      <c r="F2843" t="s">
        <v>75</v>
      </c>
      <c r="G2843" t="s">
        <v>11</v>
      </c>
      <c r="H2843" t="s">
        <v>11</v>
      </c>
    </row>
    <row r="2844" spans="1:8" x14ac:dyDescent="0.35">
      <c r="A2844" t="s">
        <v>57</v>
      </c>
      <c r="B2844" t="s">
        <v>112</v>
      </c>
      <c r="C2844" t="s">
        <v>2742</v>
      </c>
      <c r="D2844">
        <v>3</v>
      </c>
      <c r="E2844">
        <v>3</v>
      </c>
      <c r="F2844" t="s">
        <v>75</v>
      </c>
      <c r="G2844" t="s">
        <v>11</v>
      </c>
      <c r="H2844" t="s">
        <v>11</v>
      </c>
    </row>
    <row r="2845" spans="1:8" x14ac:dyDescent="0.35">
      <c r="A2845" t="s">
        <v>57</v>
      </c>
      <c r="B2845" t="s">
        <v>112</v>
      </c>
      <c r="C2845" t="s">
        <v>2743</v>
      </c>
      <c r="D2845">
        <v>3</v>
      </c>
      <c r="E2845">
        <v>3</v>
      </c>
      <c r="F2845" t="s">
        <v>75</v>
      </c>
      <c r="G2845" t="s">
        <v>11</v>
      </c>
      <c r="H2845" t="s">
        <v>11</v>
      </c>
    </row>
    <row r="2846" spans="1:8" x14ac:dyDescent="0.35">
      <c r="A2846" t="s">
        <v>57</v>
      </c>
      <c r="B2846" t="s">
        <v>112</v>
      </c>
      <c r="C2846" t="s">
        <v>1171</v>
      </c>
      <c r="D2846">
        <v>3</v>
      </c>
      <c r="E2846">
        <v>3</v>
      </c>
      <c r="F2846" t="s">
        <v>7</v>
      </c>
      <c r="G2846" t="s">
        <v>115</v>
      </c>
      <c r="H2846" t="s">
        <v>11</v>
      </c>
    </row>
    <row r="2847" spans="1:8" x14ac:dyDescent="0.35">
      <c r="A2847" t="s">
        <v>57</v>
      </c>
      <c r="B2847" t="s">
        <v>112</v>
      </c>
      <c r="C2847" t="s">
        <v>1795</v>
      </c>
      <c r="D2847">
        <v>2</v>
      </c>
      <c r="E2847">
        <v>4</v>
      </c>
      <c r="F2847" t="s">
        <v>75</v>
      </c>
      <c r="G2847" t="s">
        <v>11</v>
      </c>
      <c r="H2847" t="s">
        <v>11</v>
      </c>
    </row>
    <row r="2848" spans="1:8" x14ac:dyDescent="0.35">
      <c r="A2848" t="s">
        <v>57</v>
      </c>
      <c r="B2848" t="s">
        <v>112</v>
      </c>
      <c r="C2848" t="s">
        <v>1796</v>
      </c>
      <c r="D2848">
        <v>3</v>
      </c>
      <c r="E2848">
        <v>3</v>
      </c>
      <c r="F2848" t="s">
        <v>7</v>
      </c>
      <c r="G2848" t="s">
        <v>115</v>
      </c>
      <c r="H2848" t="s">
        <v>11</v>
      </c>
    </row>
    <row r="2849" spans="1:8" x14ac:dyDescent="0.35">
      <c r="A2849" t="s">
        <v>57</v>
      </c>
      <c r="B2849" t="s">
        <v>112</v>
      </c>
      <c r="C2849" t="s">
        <v>2744</v>
      </c>
      <c r="D2849">
        <v>3</v>
      </c>
      <c r="E2849">
        <v>3</v>
      </c>
      <c r="F2849" t="s">
        <v>7</v>
      </c>
      <c r="G2849" t="s">
        <v>115</v>
      </c>
      <c r="H2849" t="s">
        <v>11</v>
      </c>
    </row>
    <row r="2850" spans="1:8" x14ac:dyDescent="0.35">
      <c r="A2850" t="s">
        <v>57</v>
      </c>
      <c r="B2850" t="s">
        <v>112</v>
      </c>
      <c r="C2850" t="s">
        <v>2745</v>
      </c>
      <c r="D2850">
        <v>3</v>
      </c>
      <c r="E2850">
        <v>2</v>
      </c>
      <c r="F2850" t="s">
        <v>7</v>
      </c>
      <c r="G2850" t="s">
        <v>115</v>
      </c>
      <c r="H2850" t="s">
        <v>11</v>
      </c>
    </row>
    <row r="2851" spans="1:8" x14ac:dyDescent="0.35">
      <c r="A2851" t="s">
        <v>57</v>
      </c>
      <c r="B2851" t="s">
        <v>112</v>
      </c>
      <c r="C2851" t="s">
        <v>1538</v>
      </c>
      <c r="D2851">
        <v>3</v>
      </c>
      <c r="E2851">
        <v>3</v>
      </c>
      <c r="F2851" t="s">
        <v>7</v>
      </c>
      <c r="G2851" t="s">
        <v>11</v>
      </c>
      <c r="H2851" t="s">
        <v>11</v>
      </c>
    </row>
    <row r="2852" spans="1:8" x14ac:dyDescent="0.35">
      <c r="A2852" t="s">
        <v>57</v>
      </c>
      <c r="B2852" t="s">
        <v>112</v>
      </c>
      <c r="C2852" t="s">
        <v>2746</v>
      </c>
      <c r="D2852">
        <v>3</v>
      </c>
      <c r="E2852">
        <v>3</v>
      </c>
      <c r="F2852" t="s">
        <v>75</v>
      </c>
      <c r="G2852" t="s">
        <v>11</v>
      </c>
      <c r="H2852" t="s">
        <v>11</v>
      </c>
    </row>
    <row r="2853" spans="1:8" x14ac:dyDescent="0.35">
      <c r="A2853" t="s">
        <v>57</v>
      </c>
      <c r="B2853" t="s">
        <v>112</v>
      </c>
      <c r="C2853" t="s">
        <v>2747</v>
      </c>
      <c r="D2853">
        <v>3</v>
      </c>
      <c r="E2853">
        <v>3</v>
      </c>
      <c r="F2853" t="s">
        <v>75</v>
      </c>
      <c r="G2853" t="s">
        <v>11</v>
      </c>
      <c r="H2853" t="s">
        <v>11</v>
      </c>
    </row>
    <row r="2854" spans="1:8" x14ac:dyDescent="0.35">
      <c r="A2854" t="s">
        <v>57</v>
      </c>
      <c r="B2854" t="s">
        <v>112</v>
      </c>
      <c r="C2854" t="s">
        <v>2748</v>
      </c>
      <c r="D2854">
        <v>3</v>
      </c>
      <c r="E2854">
        <v>3</v>
      </c>
      <c r="F2854" t="s">
        <v>75</v>
      </c>
      <c r="G2854" t="s">
        <v>11</v>
      </c>
      <c r="H2854" t="s">
        <v>11</v>
      </c>
    </row>
    <row r="2855" spans="1:8" x14ac:dyDescent="0.35">
      <c r="A2855" t="s">
        <v>57</v>
      </c>
      <c r="B2855" t="s">
        <v>112</v>
      </c>
      <c r="C2855" t="s">
        <v>2749</v>
      </c>
      <c r="D2855">
        <v>2</v>
      </c>
      <c r="E2855">
        <v>4</v>
      </c>
      <c r="F2855" t="s">
        <v>75</v>
      </c>
      <c r="G2855" t="s">
        <v>11</v>
      </c>
      <c r="H2855" t="s">
        <v>11</v>
      </c>
    </row>
    <row r="2856" spans="1:8" x14ac:dyDescent="0.35">
      <c r="A2856" t="s">
        <v>57</v>
      </c>
      <c r="B2856" t="s">
        <v>112</v>
      </c>
      <c r="C2856" t="s">
        <v>2750</v>
      </c>
      <c r="D2856">
        <v>3</v>
      </c>
      <c r="E2856">
        <v>3</v>
      </c>
      <c r="F2856" t="s">
        <v>7</v>
      </c>
      <c r="G2856" t="s">
        <v>115</v>
      </c>
      <c r="H2856" t="s">
        <v>11</v>
      </c>
    </row>
    <row r="2857" spans="1:8" x14ac:dyDescent="0.35">
      <c r="A2857" t="s">
        <v>57</v>
      </c>
      <c r="B2857" t="s">
        <v>112</v>
      </c>
      <c r="C2857" t="s">
        <v>1450</v>
      </c>
      <c r="D2857">
        <v>3</v>
      </c>
      <c r="E2857">
        <v>3</v>
      </c>
      <c r="F2857" t="s">
        <v>75</v>
      </c>
      <c r="G2857" t="s">
        <v>11</v>
      </c>
      <c r="H2857" t="s">
        <v>11</v>
      </c>
    </row>
    <row r="2858" spans="1:8" x14ac:dyDescent="0.35">
      <c r="A2858" t="s">
        <v>57</v>
      </c>
      <c r="B2858" t="s">
        <v>112</v>
      </c>
      <c r="C2858" t="s">
        <v>1544</v>
      </c>
      <c r="D2858">
        <v>2</v>
      </c>
      <c r="E2858">
        <v>3</v>
      </c>
      <c r="F2858" t="s">
        <v>75</v>
      </c>
      <c r="G2858" t="s">
        <v>11</v>
      </c>
      <c r="H2858" t="s">
        <v>11</v>
      </c>
    </row>
    <row r="2859" spans="1:8" x14ac:dyDescent="0.35">
      <c r="A2859" t="s">
        <v>57</v>
      </c>
      <c r="B2859" t="s">
        <v>112</v>
      </c>
      <c r="C2859" t="s">
        <v>2751</v>
      </c>
      <c r="D2859">
        <v>3</v>
      </c>
      <c r="E2859">
        <v>3</v>
      </c>
      <c r="F2859" t="s">
        <v>75</v>
      </c>
      <c r="G2859" t="s">
        <v>11</v>
      </c>
      <c r="H2859" t="s">
        <v>11</v>
      </c>
    </row>
    <row r="2860" spans="1:8" x14ac:dyDescent="0.35">
      <c r="A2860" t="s">
        <v>57</v>
      </c>
      <c r="B2860" t="s">
        <v>112</v>
      </c>
      <c r="C2860" t="s">
        <v>2752</v>
      </c>
      <c r="D2860">
        <v>3</v>
      </c>
      <c r="E2860">
        <v>3</v>
      </c>
      <c r="F2860" t="s">
        <v>75</v>
      </c>
      <c r="G2860" t="s">
        <v>11</v>
      </c>
      <c r="H2860" t="s">
        <v>11</v>
      </c>
    </row>
    <row r="2861" spans="1:8" x14ac:dyDescent="0.35">
      <c r="A2861" t="s">
        <v>57</v>
      </c>
      <c r="B2861" t="s">
        <v>112</v>
      </c>
      <c r="C2861" t="s">
        <v>2753</v>
      </c>
      <c r="D2861">
        <v>3</v>
      </c>
      <c r="E2861">
        <v>3</v>
      </c>
      <c r="F2861" t="s">
        <v>7</v>
      </c>
      <c r="G2861" t="s">
        <v>115</v>
      </c>
      <c r="H2861" t="s">
        <v>11</v>
      </c>
    </row>
    <row r="2862" spans="1:8" x14ac:dyDescent="0.35">
      <c r="A2862" t="s">
        <v>57</v>
      </c>
      <c r="B2862" t="s">
        <v>112</v>
      </c>
      <c r="C2862" t="s">
        <v>2754</v>
      </c>
      <c r="D2862">
        <v>3</v>
      </c>
      <c r="E2862">
        <v>3</v>
      </c>
      <c r="F2862" t="s">
        <v>75</v>
      </c>
      <c r="G2862" t="s">
        <v>11</v>
      </c>
      <c r="H2862" t="s">
        <v>11</v>
      </c>
    </row>
    <row r="2863" spans="1:8" x14ac:dyDescent="0.35">
      <c r="A2863" t="s">
        <v>57</v>
      </c>
      <c r="B2863" t="s">
        <v>112</v>
      </c>
      <c r="C2863" t="s">
        <v>2755</v>
      </c>
      <c r="D2863">
        <v>3</v>
      </c>
      <c r="E2863">
        <v>2</v>
      </c>
      <c r="F2863" t="s">
        <v>7</v>
      </c>
      <c r="G2863" t="s">
        <v>115</v>
      </c>
      <c r="H2863" t="s">
        <v>11</v>
      </c>
    </row>
    <row r="2864" spans="1:8" x14ac:dyDescent="0.35">
      <c r="A2864" t="s">
        <v>57</v>
      </c>
      <c r="B2864" t="s">
        <v>112</v>
      </c>
      <c r="C2864" t="s">
        <v>1332</v>
      </c>
      <c r="D2864">
        <v>3</v>
      </c>
      <c r="E2864">
        <v>2</v>
      </c>
      <c r="F2864" t="s">
        <v>7</v>
      </c>
      <c r="G2864" t="s">
        <v>115</v>
      </c>
      <c r="H2864" t="s">
        <v>11</v>
      </c>
    </row>
    <row r="2865" spans="1:8" x14ac:dyDescent="0.35">
      <c r="A2865" t="s">
        <v>57</v>
      </c>
      <c r="B2865" t="s">
        <v>112</v>
      </c>
      <c r="C2865" t="s">
        <v>2756</v>
      </c>
      <c r="D2865">
        <v>3</v>
      </c>
      <c r="E2865">
        <v>2</v>
      </c>
      <c r="F2865" t="s">
        <v>7</v>
      </c>
      <c r="G2865" t="s">
        <v>115</v>
      </c>
      <c r="H2865" t="s">
        <v>11</v>
      </c>
    </row>
    <row r="2866" spans="1:8" x14ac:dyDescent="0.35">
      <c r="A2866" t="s">
        <v>57</v>
      </c>
      <c r="B2866" t="s">
        <v>112</v>
      </c>
      <c r="C2866" t="s">
        <v>2757</v>
      </c>
      <c r="D2866">
        <v>3</v>
      </c>
      <c r="E2866">
        <v>3</v>
      </c>
      <c r="F2866" t="s">
        <v>7</v>
      </c>
      <c r="G2866" t="s">
        <v>115</v>
      </c>
      <c r="H2866" t="s">
        <v>11</v>
      </c>
    </row>
    <row r="2867" spans="1:8" x14ac:dyDescent="0.35">
      <c r="A2867" t="s">
        <v>57</v>
      </c>
      <c r="B2867" t="s">
        <v>112</v>
      </c>
      <c r="C2867" t="s">
        <v>2758</v>
      </c>
      <c r="D2867">
        <v>3</v>
      </c>
      <c r="E2867">
        <v>3</v>
      </c>
      <c r="F2867" t="s">
        <v>75</v>
      </c>
      <c r="G2867" t="s">
        <v>11</v>
      </c>
      <c r="H2867" t="s">
        <v>11</v>
      </c>
    </row>
    <row r="2868" spans="1:8" x14ac:dyDescent="0.35">
      <c r="A2868" t="s">
        <v>57</v>
      </c>
      <c r="B2868" t="s">
        <v>112</v>
      </c>
      <c r="C2868" t="s">
        <v>2759</v>
      </c>
      <c r="D2868">
        <v>3</v>
      </c>
      <c r="E2868">
        <v>2</v>
      </c>
      <c r="F2868" t="s">
        <v>75</v>
      </c>
      <c r="G2868" t="s">
        <v>11</v>
      </c>
      <c r="H2868" t="s">
        <v>11</v>
      </c>
    </row>
    <row r="2869" spans="1:8" x14ac:dyDescent="0.35">
      <c r="A2869" t="s">
        <v>57</v>
      </c>
      <c r="B2869" t="s">
        <v>112</v>
      </c>
      <c r="C2869" t="s">
        <v>2760</v>
      </c>
      <c r="D2869">
        <v>3</v>
      </c>
      <c r="E2869">
        <v>2</v>
      </c>
      <c r="F2869" t="s">
        <v>75</v>
      </c>
      <c r="G2869" t="s">
        <v>11</v>
      </c>
      <c r="H2869" t="s">
        <v>11</v>
      </c>
    </row>
    <row r="2870" spans="1:8" x14ac:dyDescent="0.35">
      <c r="A2870" t="s">
        <v>57</v>
      </c>
      <c r="B2870" t="s">
        <v>112</v>
      </c>
      <c r="C2870" t="s">
        <v>2761</v>
      </c>
      <c r="D2870">
        <v>3</v>
      </c>
      <c r="E2870">
        <v>3</v>
      </c>
      <c r="F2870" t="s">
        <v>7</v>
      </c>
      <c r="G2870" t="s">
        <v>115</v>
      </c>
      <c r="H2870" t="s">
        <v>11</v>
      </c>
    </row>
    <row r="2871" spans="1:8" x14ac:dyDescent="0.35">
      <c r="A2871" t="s">
        <v>57</v>
      </c>
      <c r="B2871" t="s">
        <v>112</v>
      </c>
      <c r="C2871" t="s">
        <v>2762</v>
      </c>
      <c r="D2871">
        <v>3</v>
      </c>
      <c r="E2871">
        <v>2</v>
      </c>
      <c r="F2871" t="s">
        <v>7</v>
      </c>
      <c r="G2871" t="s">
        <v>115</v>
      </c>
      <c r="H2871" t="s">
        <v>11</v>
      </c>
    </row>
    <row r="2872" spans="1:8" x14ac:dyDescent="0.35">
      <c r="A2872" t="s">
        <v>57</v>
      </c>
      <c r="B2872" t="s">
        <v>112</v>
      </c>
      <c r="C2872" t="s">
        <v>1176</v>
      </c>
      <c r="D2872">
        <v>3</v>
      </c>
      <c r="E2872">
        <v>2</v>
      </c>
      <c r="F2872" t="s">
        <v>7</v>
      </c>
      <c r="G2872" t="s">
        <v>115</v>
      </c>
      <c r="H2872" t="s">
        <v>11</v>
      </c>
    </row>
    <row r="2873" spans="1:8" x14ac:dyDescent="0.35">
      <c r="A2873" t="s">
        <v>57</v>
      </c>
      <c r="B2873" t="s">
        <v>112</v>
      </c>
      <c r="C2873" t="s">
        <v>2763</v>
      </c>
      <c r="D2873">
        <v>3</v>
      </c>
      <c r="E2873">
        <v>2</v>
      </c>
      <c r="F2873" t="s">
        <v>7</v>
      </c>
      <c r="G2873" t="s">
        <v>115</v>
      </c>
      <c r="H2873" t="s">
        <v>11</v>
      </c>
    </row>
    <row r="2874" spans="1:8" x14ac:dyDescent="0.35">
      <c r="A2874" t="s">
        <v>57</v>
      </c>
      <c r="B2874" t="s">
        <v>112</v>
      </c>
      <c r="C2874" t="s">
        <v>2396</v>
      </c>
      <c r="D2874">
        <v>3</v>
      </c>
      <c r="E2874">
        <v>3</v>
      </c>
      <c r="F2874" t="s">
        <v>75</v>
      </c>
      <c r="G2874" t="s">
        <v>11</v>
      </c>
      <c r="H2874" t="s">
        <v>11</v>
      </c>
    </row>
    <row r="2875" spans="1:8" x14ac:dyDescent="0.35">
      <c r="A2875" t="s">
        <v>57</v>
      </c>
      <c r="B2875" t="s">
        <v>112</v>
      </c>
      <c r="C2875" t="s">
        <v>1177</v>
      </c>
      <c r="D2875">
        <v>3</v>
      </c>
      <c r="E2875">
        <v>2</v>
      </c>
      <c r="F2875" t="s">
        <v>7</v>
      </c>
      <c r="G2875" t="s">
        <v>115</v>
      </c>
      <c r="H2875" t="s">
        <v>11</v>
      </c>
    </row>
    <row r="2876" spans="1:8" x14ac:dyDescent="0.35">
      <c r="A2876" t="s">
        <v>57</v>
      </c>
      <c r="B2876" t="s">
        <v>112</v>
      </c>
      <c r="C2876" t="s">
        <v>2764</v>
      </c>
      <c r="D2876">
        <v>3</v>
      </c>
      <c r="E2876">
        <v>2</v>
      </c>
      <c r="F2876" t="s">
        <v>75</v>
      </c>
      <c r="G2876" t="s">
        <v>11</v>
      </c>
      <c r="H2876" t="s">
        <v>11</v>
      </c>
    </row>
    <row r="2877" spans="1:8" x14ac:dyDescent="0.35">
      <c r="A2877" t="s">
        <v>57</v>
      </c>
      <c r="B2877" t="s">
        <v>112</v>
      </c>
      <c r="C2877" t="s">
        <v>2765</v>
      </c>
      <c r="D2877">
        <v>3</v>
      </c>
      <c r="E2877">
        <v>2</v>
      </c>
      <c r="F2877" t="s">
        <v>7</v>
      </c>
      <c r="G2877" t="s">
        <v>115</v>
      </c>
      <c r="H2877" t="s">
        <v>11</v>
      </c>
    </row>
    <row r="2878" spans="1:8" x14ac:dyDescent="0.35">
      <c r="A2878" t="s">
        <v>57</v>
      </c>
      <c r="B2878" t="s">
        <v>112</v>
      </c>
      <c r="C2878" t="s">
        <v>1558</v>
      </c>
      <c r="D2878">
        <v>3</v>
      </c>
      <c r="E2878">
        <v>3</v>
      </c>
      <c r="F2878" t="s">
        <v>75</v>
      </c>
      <c r="G2878" t="s">
        <v>11</v>
      </c>
      <c r="H2878" t="s">
        <v>11</v>
      </c>
    </row>
    <row r="2879" spans="1:8" x14ac:dyDescent="0.35">
      <c r="A2879" t="s">
        <v>57</v>
      </c>
      <c r="B2879" t="s">
        <v>112</v>
      </c>
      <c r="C2879" t="s">
        <v>1804</v>
      </c>
      <c r="D2879">
        <v>3</v>
      </c>
      <c r="E2879">
        <v>3</v>
      </c>
      <c r="F2879" t="s">
        <v>7</v>
      </c>
      <c r="G2879" t="s">
        <v>11</v>
      </c>
      <c r="H2879" t="s">
        <v>11</v>
      </c>
    </row>
    <row r="2880" spans="1:8" x14ac:dyDescent="0.35">
      <c r="A2880" t="s">
        <v>57</v>
      </c>
      <c r="B2880" t="s">
        <v>112</v>
      </c>
      <c r="C2880" t="s">
        <v>2766</v>
      </c>
      <c r="D2880">
        <v>3</v>
      </c>
      <c r="E2880">
        <v>3</v>
      </c>
      <c r="F2880" t="s">
        <v>75</v>
      </c>
      <c r="G2880" t="s">
        <v>11</v>
      </c>
      <c r="H2880" t="s">
        <v>11</v>
      </c>
    </row>
    <row r="2881" spans="1:8" x14ac:dyDescent="0.35">
      <c r="A2881" t="s">
        <v>57</v>
      </c>
      <c r="B2881" t="s">
        <v>112</v>
      </c>
      <c r="C2881" t="s">
        <v>2767</v>
      </c>
      <c r="D2881">
        <v>3</v>
      </c>
      <c r="E2881">
        <v>2</v>
      </c>
      <c r="F2881" t="s">
        <v>7</v>
      </c>
      <c r="G2881" t="s">
        <v>115</v>
      </c>
      <c r="H2881" t="s">
        <v>11</v>
      </c>
    </row>
    <row r="2882" spans="1:8" x14ac:dyDescent="0.35">
      <c r="A2882" t="s">
        <v>57</v>
      </c>
      <c r="B2882" t="s">
        <v>112</v>
      </c>
      <c r="C2882" t="s">
        <v>1652</v>
      </c>
      <c r="D2882">
        <v>3</v>
      </c>
      <c r="E2882">
        <v>2</v>
      </c>
      <c r="F2882" t="s">
        <v>7</v>
      </c>
      <c r="G2882" t="s">
        <v>115</v>
      </c>
      <c r="H2882" t="s">
        <v>11</v>
      </c>
    </row>
    <row r="2883" spans="1:8" x14ac:dyDescent="0.35">
      <c r="A2883" t="s">
        <v>57</v>
      </c>
      <c r="B2883" t="s">
        <v>112</v>
      </c>
      <c r="C2883" t="s">
        <v>1805</v>
      </c>
      <c r="D2883">
        <v>3</v>
      </c>
      <c r="E2883">
        <v>2</v>
      </c>
      <c r="F2883" t="s">
        <v>7</v>
      </c>
      <c r="G2883" t="s">
        <v>115</v>
      </c>
      <c r="H2883" t="s">
        <v>11</v>
      </c>
    </row>
    <row r="2884" spans="1:8" x14ac:dyDescent="0.35">
      <c r="A2884" t="s">
        <v>57</v>
      </c>
      <c r="B2884" t="s">
        <v>112</v>
      </c>
      <c r="C2884" t="s">
        <v>2768</v>
      </c>
      <c r="D2884">
        <v>3</v>
      </c>
      <c r="E2884">
        <v>3</v>
      </c>
      <c r="F2884" t="s">
        <v>75</v>
      </c>
      <c r="G2884" t="s">
        <v>11</v>
      </c>
      <c r="H2884" t="s">
        <v>11</v>
      </c>
    </row>
    <row r="2885" spans="1:8" x14ac:dyDescent="0.35">
      <c r="A2885" t="s">
        <v>57</v>
      </c>
      <c r="B2885" t="s">
        <v>112</v>
      </c>
      <c r="C2885" t="s">
        <v>2769</v>
      </c>
      <c r="D2885">
        <v>3</v>
      </c>
      <c r="E2885">
        <v>3</v>
      </c>
      <c r="F2885" t="s">
        <v>7</v>
      </c>
      <c r="G2885" t="s">
        <v>11</v>
      </c>
      <c r="H2885" t="s">
        <v>11</v>
      </c>
    </row>
    <row r="2886" spans="1:8" x14ac:dyDescent="0.35">
      <c r="A2886" t="s">
        <v>57</v>
      </c>
      <c r="B2886" t="s">
        <v>112</v>
      </c>
      <c r="C2886" t="s">
        <v>2432</v>
      </c>
      <c r="D2886">
        <v>3</v>
      </c>
      <c r="E2886">
        <v>3</v>
      </c>
      <c r="F2886" t="s">
        <v>7</v>
      </c>
      <c r="G2886" t="s">
        <v>115</v>
      </c>
      <c r="H2886" t="s">
        <v>11</v>
      </c>
    </row>
    <row r="2887" spans="1:8" x14ac:dyDescent="0.35">
      <c r="A2887" t="s">
        <v>57</v>
      </c>
      <c r="B2887" t="s">
        <v>112</v>
      </c>
      <c r="C2887" t="s">
        <v>2770</v>
      </c>
      <c r="D2887">
        <v>3</v>
      </c>
      <c r="E2887">
        <v>4</v>
      </c>
      <c r="F2887" t="s">
        <v>75</v>
      </c>
      <c r="G2887" t="s">
        <v>11</v>
      </c>
      <c r="H2887" t="s">
        <v>11</v>
      </c>
    </row>
    <row r="2888" spans="1:8" x14ac:dyDescent="0.35">
      <c r="A2888" t="s">
        <v>57</v>
      </c>
      <c r="B2888" t="s">
        <v>112</v>
      </c>
      <c r="C2888" t="s">
        <v>2771</v>
      </c>
      <c r="D2888">
        <v>3</v>
      </c>
      <c r="E2888">
        <v>3</v>
      </c>
      <c r="F2888" t="s">
        <v>7</v>
      </c>
      <c r="G2888" t="s">
        <v>11</v>
      </c>
      <c r="H2888" t="s">
        <v>11</v>
      </c>
    </row>
    <row r="2889" spans="1:8" x14ac:dyDescent="0.35">
      <c r="A2889" t="s">
        <v>57</v>
      </c>
      <c r="B2889" t="s">
        <v>112</v>
      </c>
      <c r="C2889" t="s">
        <v>2772</v>
      </c>
      <c r="D2889">
        <v>3</v>
      </c>
      <c r="E2889">
        <v>2</v>
      </c>
      <c r="F2889" t="s">
        <v>75</v>
      </c>
      <c r="G2889" t="s">
        <v>11</v>
      </c>
      <c r="H2889" t="s">
        <v>11</v>
      </c>
    </row>
    <row r="2890" spans="1:8" x14ac:dyDescent="0.35">
      <c r="A2890" t="s">
        <v>57</v>
      </c>
      <c r="B2890" t="s">
        <v>112</v>
      </c>
      <c r="C2890" t="s">
        <v>2773</v>
      </c>
      <c r="D2890">
        <v>3</v>
      </c>
      <c r="E2890">
        <v>2</v>
      </c>
      <c r="F2890" t="s">
        <v>75</v>
      </c>
      <c r="G2890" t="s">
        <v>11</v>
      </c>
      <c r="H2890" t="s">
        <v>11</v>
      </c>
    </row>
    <row r="2891" spans="1:8" x14ac:dyDescent="0.35">
      <c r="A2891" t="s">
        <v>58</v>
      </c>
      <c r="B2891" t="s">
        <v>83</v>
      </c>
      <c r="C2891" t="s">
        <v>2436</v>
      </c>
      <c r="D2891">
        <v>2</v>
      </c>
      <c r="E2891">
        <v>5</v>
      </c>
      <c r="F2891" t="s">
        <v>75</v>
      </c>
      <c r="G2891" t="s">
        <v>11</v>
      </c>
      <c r="H2891" t="s">
        <v>11</v>
      </c>
    </row>
    <row r="2892" spans="1:8" x14ac:dyDescent="0.35">
      <c r="A2892" t="s">
        <v>58</v>
      </c>
      <c r="B2892" t="s">
        <v>83</v>
      </c>
      <c r="C2892" t="s">
        <v>2774</v>
      </c>
      <c r="D2892">
        <v>2</v>
      </c>
      <c r="E2892">
        <v>6</v>
      </c>
      <c r="F2892" t="s">
        <v>75</v>
      </c>
      <c r="G2892" t="s">
        <v>11</v>
      </c>
      <c r="H2892" t="s">
        <v>11</v>
      </c>
    </row>
    <row r="2893" spans="1:8" x14ac:dyDescent="0.35">
      <c r="A2893" t="s">
        <v>58</v>
      </c>
      <c r="B2893" t="s">
        <v>83</v>
      </c>
      <c r="C2893" t="s">
        <v>2775</v>
      </c>
      <c r="D2893">
        <v>2</v>
      </c>
      <c r="E2893">
        <v>6</v>
      </c>
      <c r="F2893" t="s">
        <v>75</v>
      </c>
      <c r="G2893" t="s">
        <v>11</v>
      </c>
      <c r="H2893" t="s">
        <v>11</v>
      </c>
    </row>
    <row r="2894" spans="1:8" x14ac:dyDescent="0.35">
      <c r="A2894" t="s">
        <v>58</v>
      </c>
      <c r="B2894" t="s">
        <v>83</v>
      </c>
      <c r="C2894" t="s">
        <v>2147</v>
      </c>
      <c r="D2894">
        <v>1</v>
      </c>
      <c r="E2894">
        <v>6</v>
      </c>
      <c r="F2894" t="s">
        <v>75</v>
      </c>
      <c r="G2894" t="s">
        <v>11</v>
      </c>
      <c r="H2894" t="s">
        <v>11</v>
      </c>
    </row>
    <row r="2895" spans="1:8" x14ac:dyDescent="0.35">
      <c r="A2895" t="s">
        <v>58</v>
      </c>
      <c r="B2895" t="s">
        <v>83</v>
      </c>
      <c r="C2895" t="s">
        <v>2776</v>
      </c>
      <c r="D2895">
        <v>2</v>
      </c>
      <c r="E2895">
        <v>6</v>
      </c>
      <c r="F2895" t="s">
        <v>75</v>
      </c>
      <c r="G2895" t="s">
        <v>11</v>
      </c>
      <c r="H2895" t="s">
        <v>11</v>
      </c>
    </row>
    <row r="2896" spans="1:8" x14ac:dyDescent="0.35">
      <c r="A2896" t="s">
        <v>58</v>
      </c>
      <c r="B2896" t="s">
        <v>83</v>
      </c>
      <c r="C2896" t="s">
        <v>1707</v>
      </c>
      <c r="D2896">
        <v>2</v>
      </c>
      <c r="E2896">
        <v>5</v>
      </c>
      <c r="F2896" t="s">
        <v>75</v>
      </c>
      <c r="G2896" t="s">
        <v>11</v>
      </c>
      <c r="H2896" t="s">
        <v>11</v>
      </c>
    </row>
    <row r="2897" spans="1:8" x14ac:dyDescent="0.35">
      <c r="A2897" t="s">
        <v>58</v>
      </c>
      <c r="B2897" t="s">
        <v>83</v>
      </c>
      <c r="C2897" t="s">
        <v>2777</v>
      </c>
      <c r="D2897">
        <v>1</v>
      </c>
      <c r="E2897">
        <v>6</v>
      </c>
      <c r="F2897" t="s">
        <v>75</v>
      </c>
      <c r="G2897" t="s">
        <v>11</v>
      </c>
      <c r="H2897" t="s">
        <v>11</v>
      </c>
    </row>
    <row r="2898" spans="1:8" x14ac:dyDescent="0.35">
      <c r="A2898" t="s">
        <v>58</v>
      </c>
      <c r="B2898" t="s">
        <v>83</v>
      </c>
      <c r="C2898" t="s">
        <v>2778</v>
      </c>
      <c r="D2898">
        <v>2</v>
      </c>
      <c r="E2898">
        <v>5</v>
      </c>
      <c r="F2898" t="s">
        <v>75</v>
      </c>
      <c r="G2898" t="s">
        <v>11</v>
      </c>
      <c r="H2898" t="s">
        <v>11</v>
      </c>
    </row>
    <row r="2899" spans="1:8" x14ac:dyDescent="0.35">
      <c r="A2899" t="s">
        <v>58</v>
      </c>
      <c r="B2899" t="s">
        <v>83</v>
      </c>
      <c r="C2899" t="s">
        <v>1361</v>
      </c>
      <c r="D2899">
        <v>2</v>
      </c>
      <c r="E2899">
        <v>5</v>
      </c>
      <c r="F2899" t="s">
        <v>75</v>
      </c>
      <c r="G2899" t="s">
        <v>11</v>
      </c>
      <c r="H2899" t="s">
        <v>11</v>
      </c>
    </row>
    <row r="2900" spans="1:8" x14ac:dyDescent="0.35">
      <c r="A2900" t="s">
        <v>58</v>
      </c>
      <c r="B2900" t="s">
        <v>83</v>
      </c>
      <c r="C2900" t="s">
        <v>1363</v>
      </c>
      <c r="D2900">
        <v>1</v>
      </c>
      <c r="E2900">
        <v>5</v>
      </c>
      <c r="F2900" t="s">
        <v>75</v>
      </c>
      <c r="G2900" t="s">
        <v>11</v>
      </c>
      <c r="H2900" t="s">
        <v>11</v>
      </c>
    </row>
    <row r="2901" spans="1:8" x14ac:dyDescent="0.35">
      <c r="A2901" t="s">
        <v>58</v>
      </c>
      <c r="B2901" t="s">
        <v>83</v>
      </c>
      <c r="C2901" t="s">
        <v>1972</v>
      </c>
      <c r="D2901">
        <v>2</v>
      </c>
      <c r="E2901">
        <v>5</v>
      </c>
      <c r="F2901" t="s">
        <v>75</v>
      </c>
      <c r="G2901" t="s">
        <v>11</v>
      </c>
      <c r="H2901" t="s">
        <v>11</v>
      </c>
    </row>
    <row r="2902" spans="1:8" x14ac:dyDescent="0.35">
      <c r="A2902" t="s">
        <v>58</v>
      </c>
      <c r="B2902" t="s">
        <v>83</v>
      </c>
      <c r="C2902" t="s">
        <v>2779</v>
      </c>
      <c r="D2902">
        <v>2</v>
      </c>
      <c r="E2902">
        <v>5</v>
      </c>
      <c r="F2902" t="s">
        <v>75</v>
      </c>
      <c r="G2902" t="s">
        <v>11</v>
      </c>
      <c r="H2902" t="s">
        <v>11</v>
      </c>
    </row>
    <row r="2903" spans="1:8" x14ac:dyDescent="0.35">
      <c r="A2903" t="s">
        <v>58</v>
      </c>
      <c r="B2903" t="s">
        <v>83</v>
      </c>
      <c r="C2903" t="s">
        <v>1623</v>
      </c>
      <c r="D2903">
        <v>2</v>
      </c>
      <c r="E2903">
        <v>5</v>
      </c>
      <c r="F2903" t="s">
        <v>75</v>
      </c>
      <c r="G2903" t="s">
        <v>11</v>
      </c>
      <c r="H2903" t="s">
        <v>11</v>
      </c>
    </row>
    <row r="2904" spans="1:8" x14ac:dyDescent="0.35">
      <c r="A2904" t="s">
        <v>58</v>
      </c>
      <c r="B2904" t="s">
        <v>83</v>
      </c>
      <c r="C2904" t="s">
        <v>2780</v>
      </c>
      <c r="D2904">
        <v>2</v>
      </c>
      <c r="E2904">
        <v>5</v>
      </c>
      <c r="F2904" t="s">
        <v>75</v>
      </c>
      <c r="G2904" t="s">
        <v>11</v>
      </c>
      <c r="H2904" t="s">
        <v>11</v>
      </c>
    </row>
    <row r="2905" spans="1:8" x14ac:dyDescent="0.35">
      <c r="A2905" t="s">
        <v>58</v>
      </c>
      <c r="B2905" t="s">
        <v>83</v>
      </c>
      <c r="C2905" t="s">
        <v>1164</v>
      </c>
      <c r="D2905">
        <v>2</v>
      </c>
      <c r="E2905">
        <v>6</v>
      </c>
      <c r="F2905" t="s">
        <v>75</v>
      </c>
      <c r="G2905" t="s">
        <v>11</v>
      </c>
      <c r="H2905" t="s">
        <v>11</v>
      </c>
    </row>
    <row r="2906" spans="1:8" x14ac:dyDescent="0.35">
      <c r="A2906" t="s">
        <v>58</v>
      </c>
      <c r="B2906" t="s">
        <v>83</v>
      </c>
      <c r="C2906" t="s">
        <v>2781</v>
      </c>
      <c r="D2906">
        <v>1</v>
      </c>
      <c r="E2906">
        <v>5</v>
      </c>
      <c r="F2906" t="s">
        <v>75</v>
      </c>
      <c r="G2906" t="s">
        <v>11</v>
      </c>
      <c r="H2906" t="s">
        <v>11</v>
      </c>
    </row>
    <row r="2907" spans="1:8" x14ac:dyDescent="0.35">
      <c r="A2907" t="s">
        <v>58</v>
      </c>
      <c r="B2907" t="s">
        <v>83</v>
      </c>
      <c r="C2907" t="s">
        <v>2782</v>
      </c>
      <c r="D2907">
        <v>2</v>
      </c>
      <c r="E2907">
        <v>6</v>
      </c>
      <c r="F2907" t="s">
        <v>75</v>
      </c>
      <c r="G2907" t="s">
        <v>11</v>
      </c>
      <c r="H2907" t="s">
        <v>11</v>
      </c>
    </row>
    <row r="2908" spans="1:8" x14ac:dyDescent="0.35">
      <c r="A2908" t="s">
        <v>58</v>
      </c>
      <c r="B2908" t="s">
        <v>83</v>
      </c>
      <c r="C2908" t="s">
        <v>2783</v>
      </c>
      <c r="D2908">
        <v>2</v>
      </c>
      <c r="E2908">
        <v>5</v>
      </c>
      <c r="F2908" t="s">
        <v>75</v>
      </c>
      <c r="G2908" t="s">
        <v>11</v>
      </c>
      <c r="H2908" t="s">
        <v>11</v>
      </c>
    </row>
    <row r="2909" spans="1:8" x14ac:dyDescent="0.35">
      <c r="A2909" t="s">
        <v>58</v>
      </c>
      <c r="B2909" t="s">
        <v>83</v>
      </c>
      <c r="C2909" t="s">
        <v>1387</v>
      </c>
      <c r="D2909">
        <v>2</v>
      </c>
      <c r="E2909">
        <v>5</v>
      </c>
      <c r="F2909" t="s">
        <v>75</v>
      </c>
      <c r="G2909" t="s">
        <v>11</v>
      </c>
      <c r="H2909" t="s">
        <v>11</v>
      </c>
    </row>
    <row r="2910" spans="1:8" x14ac:dyDescent="0.35">
      <c r="A2910" t="s">
        <v>58</v>
      </c>
      <c r="B2910" t="s">
        <v>83</v>
      </c>
      <c r="C2910" t="s">
        <v>2784</v>
      </c>
      <c r="D2910">
        <v>1</v>
      </c>
      <c r="E2910">
        <v>5</v>
      </c>
      <c r="F2910" t="s">
        <v>75</v>
      </c>
      <c r="G2910" t="s">
        <v>11</v>
      </c>
      <c r="H2910" t="s">
        <v>11</v>
      </c>
    </row>
    <row r="2911" spans="1:8" x14ac:dyDescent="0.35">
      <c r="A2911" t="s">
        <v>58</v>
      </c>
      <c r="B2911" t="s">
        <v>83</v>
      </c>
      <c r="C2911" t="s">
        <v>1274</v>
      </c>
      <c r="D2911">
        <v>1</v>
      </c>
      <c r="E2911">
        <v>5</v>
      </c>
      <c r="F2911" t="s">
        <v>75</v>
      </c>
      <c r="G2911" t="s">
        <v>11</v>
      </c>
      <c r="H2911" t="s">
        <v>11</v>
      </c>
    </row>
    <row r="2912" spans="1:8" x14ac:dyDescent="0.35">
      <c r="A2912" t="s">
        <v>58</v>
      </c>
      <c r="B2912" t="s">
        <v>83</v>
      </c>
      <c r="C2912" t="s">
        <v>1390</v>
      </c>
      <c r="D2912">
        <v>2</v>
      </c>
      <c r="E2912">
        <v>6</v>
      </c>
      <c r="F2912" t="s">
        <v>75</v>
      </c>
      <c r="G2912" t="s">
        <v>11</v>
      </c>
      <c r="H2912" t="s">
        <v>11</v>
      </c>
    </row>
    <row r="2913" spans="1:8" x14ac:dyDescent="0.35">
      <c r="A2913" t="s">
        <v>58</v>
      </c>
      <c r="B2913" t="s">
        <v>83</v>
      </c>
      <c r="C2913" t="s">
        <v>2785</v>
      </c>
      <c r="D2913">
        <v>2</v>
      </c>
      <c r="E2913">
        <v>5</v>
      </c>
      <c r="F2913" t="s">
        <v>75</v>
      </c>
      <c r="G2913" t="s">
        <v>11</v>
      </c>
      <c r="H2913" t="s">
        <v>11</v>
      </c>
    </row>
    <row r="2914" spans="1:8" x14ac:dyDescent="0.35">
      <c r="A2914" t="s">
        <v>58</v>
      </c>
      <c r="B2914" t="s">
        <v>83</v>
      </c>
      <c r="C2914" t="s">
        <v>2786</v>
      </c>
      <c r="D2914">
        <v>1</v>
      </c>
      <c r="E2914">
        <v>6</v>
      </c>
      <c r="F2914" t="s">
        <v>75</v>
      </c>
      <c r="G2914" t="s">
        <v>11</v>
      </c>
      <c r="H2914" t="s">
        <v>11</v>
      </c>
    </row>
    <row r="2915" spans="1:8" x14ac:dyDescent="0.35">
      <c r="A2915" t="s">
        <v>58</v>
      </c>
      <c r="B2915" t="s">
        <v>83</v>
      </c>
      <c r="C2915" t="s">
        <v>2787</v>
      </c>
      <c r="D2915">
        <v>2</v>
      </c>
      <c r="E2915">
        <v>5</v>
      </c>
      <c r="F2915" t="s">
        <v>75</v>
      </c>
      <c r="G2915" t="s">
        <v>11</v>
      </c>
      <c r="H2915" t="s">
        <v>11</v>
      </c>
    </row>
    <row r="2916" spans="1:8" x14ac:dyDescent="0.35">
      <c r="A2916" t="s">
        <v>58</v>
      </c>
      <c r="B2916" t="s">
        <v>83</v>
      </c>
      <c r="C2916" t="s">
        <v>2788</v>
      </c>
      <c r="D2916">
        <v>2</v>
      </c>
      <c r="E2916">
        <v>6</v>
      </c>
      <c r="F2916" t="s">
        <v>75</v>
      </c>
      <c r="G2916" t="s">
        <v>11</v>
      </c>
      <c r="H2916" t="s">
        <v>11</v>
      </c>
    </row>
    <row r="2917" spans="1:8" x14ac:dyDescent="0.35">
      <c r="A2917" t="s">
        <v>58</v>
      </c>
      <c r="B2917" t="s">
        <v>83</v>
      </c>
      <c r="C2917" t="s">
        <v>1177</v>
      </c>
      <c r="D2917">
        <v>2</v>
      </c>
      <c r="E2917">
        <v>3</v>
      </c>
      <c r="F2917" t="s">
        <v>75</v>
      </c>
      <c r="G2917" t="s">
        <v>11</v>
      </c>
      <c r="H2917" t="s">
        <v>11</v>
      </c>
    </row>
    <row r="2918" spans="1:8" x14ac:dyDescent="0.35">
      <c r="A2918" t="s">
        <v>58</v>
      </c>
      <c r="B2918" t="s">
        <v>83</v>
      </c>
      <c r="C2918" t="s">
        <v>1556</v>
      </c>
      <c r="D2918">
        <v>2</v>
      </c>
      <c r="E2918">
        <v>5</v>
      </c>
      <c r="F2918" t="s">
        <v>75</v>
      </c>
      <c r="G2918" t="s">
        <v>11</v>
      </c>
      <c r="H2918" t="s">
        <v>11</v>
      </c>
    </row>
    <row r="2919" spans="1:8" x14ac:dyDescent="0.35">
      <c r="A2919" t="s">
        <v>58</v>
      </c>
      <c r="B2919" t="s">
        <v>83</v>
      </c>
      <c r="C2919" t="s">
        <v>2789</v>
      </c>
      <c r="D2919">
        <v>2</v>
      </c>
      <c r="E2919">
        <v>5</v>
      </c>
      <c r="F2919" t="s">
        <v>75</v>
      </c>
      <c r="G2919" t="s">
        <v>11</v>
      </c>
      <c r="H2919" t="s">
        <v>11</v>
      </c>
    </row>
    <row r="2920" spans="1:8" x14ac:dyDescent="0.35">
      <c r="A2920" t="s">
        <v>60</v>
      </c>
      <c r="B2920" t="s">
        <v>84</v>
      </c>
      <c r="C2920" t="s">
        <v>2790</v>
      </c>
      <c r="D2920">
        <v>2</v>
      </c>
      <c r="E2920">
        <v>6</v>
      </c>
      <c r="F2920" t="s">
        <v>7</v>
      </c>
      <c r="G2920" t="s">
        <v>11</v>
      </c>
      <c r="H2920" t="s">
        <v>11</v>
      </c>
    </row>
    <row r="2921" spans="1:8" x14ac:dyDescent="0.35">
      <c r="A2921" t="s">
        <v>60</v>
      </c>
      <c r="B2921" t="s">
        <v>84</v>
      </c>
      <c r="C2921" t="s">
        <v>2791</v>
      </c>
      <c r="D2921">
        <v>2</v>
      </c>
      <c r="E2921">
        <v>6</v>
      </c>
      <c r="F2921" t="s">
        <v>7</v>
      </c>
      <c r="G2921" t="s">
        <v>11</v>
      </c>
      <c r="H2921" t="s">
        <v>11</v>
      </c>
    </row>
    <row r="2922" spans="1:8" x14ac:dyDescent="0.35">
      <c r="A2922" t="s">
        <v>60</v>
      </c>
      <c r="B2922" t="s">
        <v>84</v>
      </c>
      <c r="C2922" t="s">
        <v>2792</v>
      </c>
      <c r="D2922">
        <v>2</v>
      </c>
      <c r="E2922">
        <v>6</v>
      </c>
      <c r="F2922" t="s">
        <v>7</v>
      </c>
      <c r="G2922" t="s">
        <v>11</v>
      </c>
      <c r="H2922" t="s">
        <v>11</v>
      </c>
    </row>
    <row r="2923" spans="1:8" x14ac:dyDescent="0.35">
      <c r="A2923" t="s">
        <v>60</v>
      </c>
      <c r="B2923" t="s">
        <v>84</v>
      </c>
      <c r="C2923" t="s">
        <v>2793</v>
      </c>
      <c r="D2923">
        <v>3</v>
      </c>
      <c r="E2923">
        <v>6</v>
      </c>
      <c r="F2923" t="s">
        <v>7</v>
      </c>
      <c r="G2923" t="s">
        <v>11</v>
      </c>
      <c r="H2923" t="s">
        <v>11</v>
      </c>
    </row>
    <row r="2924" spans="1:8" x14ac:dyDescent="0.35">
      <c r="A2924" t="s">
        <v>60</v>
      </c>
      <c r="B2924" t="s">
        <v>84</v>
      </c>
      <c r="C2924" t="s">
        <v>1940</v>
      </c>
      <c r="D2924">
        <v>2</v>
      </c>
      <c r="E2924">
        <v>6</v>
      </c>
      <c r="F2924" t="s">
        <v>7</v>
      </c>
      <c r="G2924" t="s">
        <v>11</v>
      </c>
      <c r="H2924" t="s">
        <v>11</v>
      </c>
    </row>
    <row r="2925" spans="1:8" x14ac:dyDescent="0.35">
      <c r="A2925" t="s">
        <v>60</v>
      </c>
      <c r="B2925" t="s">
        <v>84</v>
      </c>
      <c r="C2925" t="s">
        <v>1142</v>
      </c>
      <c r="D2925">
        <v>2</v>
      </c>
      <c r="E2925">
        <v>6</v>
      </c>
      <c r="F2925" t="s">
        <v>7</v>
      </c>
      <c r="G2925" t="s">
        <v>11</v>
      </c>
      <c r="H2925" t="s">
        <v>11</v>
      </c>
    </row>
    <row r="2926" spans="1:8" x14ac:dyDescent="0.35">
      <c r="A2926" t="s">
        <v>60</v>
      </c>
      <c r="B2926" t="s">
        <v>84</v>
      </c>
      <c r="C2926" t="s">
        <v>2794</v>
      </c>
      <c r="D2926">
        <v>3</v>
      </c>
      <c r="E2926">
        <v>6</v>
      </c>
      <c r="F2926" t="s">
        <v>7</v>
      </c>
      <c r="G2926" t="s">
        <v>11</v>
      </c>
      <c r="H2926" t="s">
        <v>11</v>
      </c>
    </row>
    <row r="2927" spans="1:8" x14ac:dyDescent="0.35">
      <c r="A2927" t="s">
        <v>60</v>
      </c>
      <c r="B2927" t="s">
        <v>84</v>
      </c>
      <c r="C2927" t="s">
        <v>2795</v>
      </c>
      <c r="D2927">
        <v>2</v>
      </c>
      <c r="E2927">
        <v>6</v>
      </c>
      <c r="F2927" t="s">
        <v>7</v>
      </c>
      <c r="G2927" t="s">
        <v>11</v>
      </c>
      <c r="H2927" t="s">
        <v>11</v>
      </c>
    </row>
    <row r="2928" spans="1:8" x14ac:dyDescent="0.35">
      <c r="A2928" t="s">
        <v>60</v>
      </c>
      <c r="B2928" t="s">
        <v>84</v>
      </c>
      <c r="C2928" t="s">
        <v>1310</v>
      </c>
      <c r="D2928">
        <v>2</v>
      </c>
      <c r="E2928">
        <v>6</v>
      </c>
      <c r="F2928" t="s">
        <v>7</v>
      </c>
      <c r="G2928" t="s">
        <v>11</v>
      </c>
      <c r="H2928" t="s">
        <v>11</v>
      </c>
    </row>
    <row r="2929" spans="1:8" x14ac:dyDescent="0.35">
      <c r="A2929" t="s">
        <v>60</v>
      </c>
      <c r="B2929" t="s">
        <v>84</v>
      </c>
      <c r="C2929" t="s">
        <v>1886</v>
      </c>
      <c r="D2929">
        <v>2</v>
      </c>
      <c r="E2929">
        <v>6</v>
      </c>
      <c r="F2929" t="s">
        <v>7</v>
      </c>
      <c r="G2929" t="s">
        <v>11</v>
      </c>
      <c r="H2929" t="s">
        <v>11</v>
      </c>
    </row>
    <row r="2930" spans="1:8" x14ac:dyDescent="0.35">
      <c r="A2930" t="s">
        <v>60</v>
      </c>
      <c r="B2930" t="s">
        <v>84</v>
      </c>
      <c r="C2930" t="s">
        <v>2796</v>
      </c>
      <c r="D2930">
        <v>2</v>
      </c>
      <c r="E2930">
        <v>6</v>
      </c>
      <c r="F2930" t="s">
        <v>7</v>
      </c>
      <c r="G2930" t="s">
        <v>11</v>
      </c>
      <c r="H2930" t="s">
        <v>11</v>
      </c>
    </row>
    <row r="2931" spans="1:8" x14ac:dyDescent="0.35">
      <c r="A2931" t="s">
        <v>60</v>
      </c>
      <c r="B2931" t="s">
        <v>84</v>
      </c>
      <c r="C2931" t="s">
        <v>1177</v>
      </c>
      <c r="D2931">
        <v>2</v>
      </c>
      <c r="E2931">
        <v>6</v>
      </c>
      <c r="F2931" t="s">
        <v>7</v>
      </c>
      <c r="G2931" t="s">
        <v>11</v>
      </c>
      <c r="H2931" t="s">
        <v>11</v>
      </c>
    </row>
    <row r="2932" spans="1:8" x14ac:dyDescent="0.35">
      <c r="A2932" t="s">
        <v>60</v>
      </c>
      <c r="B2932" t="s">
        <v>84</v>
      </c>
      <c r="C2932" t="s">
        <v>1400</v>
      </c>
      <c r="D2932">
        <v>2</v>
      </c>
      <c r="E2932">
        <v>6</v>
      </c>
      <c r="F2932" t="s">
        <v>7</v>
      </c>
      <c r="G2932" t="s">
        <v>11</v>
      </c>
      <c r="H2932" t="s">
        <v>11</v>
      </c>
    </row>
    <row r="2933" spans="1:8" x14ac:dyDescent="0.35">
      <c r="A2933" t="s">
        <v>60</v>
      </c>
      <c r="B2933" t="s">
        <v>84</v>
      </c>
      <c r="C2933" t="s">
        <v>2797</v>
      </c>
      <c r="D2933">
        <v>2</v>
      </c>
      <c r="E2933">
        <v>6</v>
      </c>
      <c r="F2933" t="s">
        <v>7</v>
      </c>
      <c r="G2933" t="s">
        <v>11</v>
      </c>
      <c r="H2933" t="s">
        <v>11</v>
      </c>
    </row>
    <row r="2934" spans="1:8" x14ac:dyDescent="0.35">
      <c r="A2934" t="s">
        <v>70</v>
      </c>
      <c r="C2934" t="s">
        <v>2798</v>
      </c>
      <c r="D2934" t="s">
        <v>11</v>
      </c>
      <c r="E2934">
        <v>1</v>
      </c>
      <c r="F2934" t="s">
        <v>7</v>
      </c>
      <c r="G2934" t="s">
        <v>115</v>
      </c>
      <c r="H2934" t="s">
        <v>3455</v>
      </c>
    </row>
    <row r="2935" spans="1:8" x14ac:dyDescent="0.35">
      <c r="A2935" t="s">
        <v>59</v>
      </c>
      <c r="B2935" t="s">
        <v>113</v>
      </c>
      <c r="C2935" t="s">
        <v>2799</v>
      </c>
      <c r="D2935">
        <v>3</v>
      </c>
      <c r="E2935">
        <v>4</v>
      </c>
      <c r="F2935" t="s">
        <v>7</v>
      </c>
      <c r="G2935" t="s">
        <v>11</v>
      </c>
      <c r="H2935" t="s">
        <v>11</v>
      </c>
    </row>
    <row r="2936" spans="1:8" x14ac:dyDescent="0.35">
      <c r="A2936" t="s">
        <v>59</v>
      </c>
      <c r="B2936" t="s">
        <v>113</v>
      </c>
      <c r="C2936" t="s">
        <v>2800</v>
      </c>
      <c r="D2936">
        <v>2</v>
      </c>
      <c r="E2936">
        <v>4</v>
      </c>
      <c r="F2936" t="s">
        <v>7</v>
      </c>
      <c r="G2936" t="s">
        <v>11</v>
      </c>
      <c r="H2936" t="s">
        <v>11</v>
      </c>
    </row>
    <row r="2937" spans="1:8" x14ac:dyDescent="0.35">
      <c r="A2937" t="s">
        <v>59</v>
      </c>
      <c r="B2937" t="s">
        <v>113</v>
      </c>
      <c r="C2937" t="s">
        <v>2801</v>
      </c>
      <c r="D2937">
        <v>3</v>
      </c>
      <c r="E2937">
        <v>4</v>
      </c>
      <c r="F2937" t="s">
        <v>7</v>
      </c>
      <c r="G2937" t="s">
        <v>11</v>
      </c>
      <c r="H2937" t="s">
        <v>11</v>
      </c>
    </row>
    <row r="2938" spans="1:8" x14ac:dyDescent="0.35">
      <c r="A2938" t="s">
        <v>59</v>
      </c>
      <c r="B2938" t="s">
        <v>113</v>
      </c>
      <c r="C2938" t="s">
        <v>2304</v>
      </c>
      <c r="D2938">
        <v>1</v>
      </c>
      <c r="E2938">
        <v>4</v>
      </c>
      <c r="F2938" t="s">
        <v>7</v>
      </c>
      <c r="G2938" t="s">
        <v>11</v>
      </c>
      <c r="H2938" t="s">
        <v>11</v>
      </c>
    </row>
    <row r="2939" spans="1:8" x14ac:dyDescent="0.35">
      <c r="A2939" t="s">
        <v>59</v>
      </c>
      <c r="B2939" t="s">
        <v>113</v>
      </c>
      <c r="C2939" t="s">
        <v>2802</v>
      </c>
      <c r="D2939">
        <v>1</v>
      </c>
      <c r="E2939">
        <v>4</v>
      </c>
      <c r="F2939" t="s">
        <v>7</v>
      </c>
      <c r="G2939" t="s">
        <v>11</v>
      </c>
      <c r="H2939" t="s">
        <v>11</v>
      </c>
    </row>
    <row r="2940" spans="1:8" x14ac:dyDescent="0.35">
      <c r="A2940" t="s">
        <v>59</v>
      </c>
      <c r="B2940" t="s">
        <v>113</v>
      </c>
      <c r="C2940" t="s">
        <v>2803</v>
      </c>
      <c r="D2940">
        <v>2</v>
      </c>
      <c r="E2940">
        <v>4</v>
      </c>
      <c r="F2940" t="s">
        <v>7</v>
      </c>
      <c r="G2940" t="s">
        <v>11</v>
      </c>
      <c r="H2940" t="s">
        <v>11</v>
      </c>
    </row>
    <row r="2941" spans="1:8" x14ac:dyDescent="0.35">
      <c r="A2941" t="s">
        <v>59</v>
      </c>
      <c r="B2941" t="s">
        <v>113</v>
      </c>
      <c r="C2941" t="s">
        <v>2804</v>
      </c>
      <c r="D2941">
        <v>1</v>
      </c>
      <c r="E2941">
        <v>4</v>
      </c>
      <c r="F2941" t="s">
        <v>7</v>
      </c>
      <c r="G2941" t="s">
        <v>11</v>
      </c>
      <c r="H2941" t="s">
        <v>11</v>
      </c>
    </row>
    <row r="2942" spans="1:8" x14ac:dyDescent="0.35">
      <c r="A2942" t="s">
        <v>59</v>
      </c>
      <c r="B2942" t="s">
        <v>113</v>
      </c>
      <c r="C2942" t="s">
        <v>2805</v>
      </c>
      <c r="D2942">
        <v>2</v>
      </c>
      <c r="E2942">
        <v>4</v>
      </c>
      <c r="F2942" t="s">
        <v>7</v>
      </c>
      <c r="G2942" t="s">
        <v>11</v>
      </c>
      <c r="H2942" t="s">
        <v>11</v>
      </c>
    </row>
    <row r="2943" spans="1:8" x14ac:dyDescent="0.35">
      <c r="A2943" t="s">
        <v>59</v>
      </c>
      <c r="B2943" t="s">
        <v>113</v>
      </c>
      <c r="C2943" t="s">
        <v>2806</v>
      </c>
      <c r="D2943">
        <v>1</v>
      </c>
      <c r="E2943">
        <v>4</v>
      </c>
      <c r="F2943" t="s">
        <v>7</v>
      </c>
      <c r="G2943" t="s">
        <v>11</v>
      </c>
      <c r="H2943" t="s">
        <v>11</v>
      </c>
    </row>
    <row r="2944" spans="1:8" x14ac:dyDescent="0.35">
      <c r="A2944" t="s">
        <v>59</v>
      </c>
      <c r="B2944" t="s">
        <v>113</v>
      </c>
      <c r="C2944" t="s">
        <v>1810</v>
      </c>
      <c r="D2944">
        <v>1</v>
      </c>
      <c r="E2944">
        <v>4</v>
      </c>
      <c r="F2944" t="s">
        <v>7</v>
      </c>
      <c r="G2944" t="s">
        <v>11</v>
      </c>
      <c r="H2944" t="s">
        <v>11</v>
      </c>
    </row>
    <row r="2945" spans="1:8" x14ac:dyDescent="0.35">
      <c r="A2945" t="s">
        <v>59</v>
      </c>
      <c r="B2945" t="s">
        <v>113</v>
      </c>
      <c r="C2945" t="s">
        <v>2493</v>
      </c>
      <c r="D2945">
        <v>2</v>
      </c>
      <c r="E2945">
        <v>4</v>
      </c>
      <c r="F2945" t="s">
        <v>7</v>
      </c>
      <c r="G2945" t="s">
        <v>11</v>
      </c>
      <c r="H2945" t="s">
        <v>11</v>
      </c>
    </row>
    <row r="2946" spans="1:8" x14ac:dyDescent="0.35">
      <c r="A2946" t="s">
        <v>59</v>
      </c>
      <c r="B2946" t="s">
        <v>113</v>
      </c>
      <c r="C2946" t="s">
        <v>2807</v>
      </c>
      <c r="D2946">
        <v>1</v>
      </c>
      <c r="E2946">
        <v>4</v>
      </c>
      <c r="F2946" t="s">
        <v>7</v>
      </c>
      <c r="G2946" t="s">
        <v>11</v>
      </c>
      <c r="H2946" t="s">
        <v>11</v>
      </c>
    </row>
    <row r="2947" spans="1:8" x14ac:dyDescent="0.35">
      <c r="A2947" t="s">
        <v>59</v>
      </c>
      <c r="B2947" t="s">
        <v>113</v>
      </c>
      <c r="C2947" t="s">
        <v>2808</v>
      </c>
      <c r="D2947">
        <v>1</v>
      </c>
      <c r="E2947">
        <v>4</v>
      </c>
      <c r="F2947" t="s">
        <v>7</v>
      </c>
      <c r="G2947" t="s">
        <v>11</v>
      </c>
      <c r="H2947" t="s">
        <v>11</v>
      </c>
    </row>
    <row r="2948" spans="1:8" x14ac:dyDescent="0.35">
      <c r="A2948" t="s">
        <v>59</v>
      </c>
      <c r="B2948" t="s">
        <v>113</v>
      </c>
      <c r="C2948" t="s">
        <v>2809</v>
      </c>
      <c r="D2948">
        <v>1</v>
      </c>
      <c r="E2948">
        <v>4</v>
      </c>
      <c r="F2948" t="s">
        <v>7</v>
      </c>
      <c r="G2948" t="s">
        <v>11</v>
      </c>
      <c r="H2948" t="s">
        <v>11</v>
      </c>
    </row>
    <row r="2949" spans="1:8" x14ac:dyDescent="0.35">
      <c r="A2949" t="s">
        <v>59</v>
      </c>
      <c r="B2949" t="s">
        <v>113</v>
      </c>
      <c r="C2949" t="s">
        <v>2311</v>
      </c>
      <c r="D2949">
        <v>1</v>
      </c>
      <c r="E2949">
        <v>4</v>
      </c>
      <c r="F2949" t="s">
        <v>7</v>
      </c>
      <c r="G2949" t="s">
        <v>11</v>
      </c>
      <c r="H2949" t="s">
        <v>11</v>
      </c>
    </row>
    <row r="2950" spans="1:8" x14ac:dyDescent="0.35">
      <c r="A2950" t="s">
        <v>59</v>
      </c>
      <c r="B2950" t="s">
        <v>113</v>
      </c>
      <c r="C2950" t="s">
        <v>1702</v>
      </c>
      <c r="D2950">
        <v>2</v>
      </c>
      <c r="E2950">
        <v>4</v>
      </c>
      <c r="F2950" t="s">
        <v>7</v>
      </c>
      <c r="G2950" t="s">
        <v>11</v>
      </c>
      <c r="H2950" t="s">
        <v>11</v>
      </c>
    </row>
    <row r="2951" spans="1:8" x14ac:dyDescent="0.35">
      <c r="A2951" t="s">
        <v>59</v>
      </c>
      <c r="B2951" t="s">
        <v>113</v>
      </c>
      <c r="C2951" t="s">
        <v>2810</v>
      </c>
      <c r="D2951">
        <v>1</v>
      </c>
      <c r="E2951">
        <v>4</v>
      </c>
      <c r="F2951" t="s">
        <v>7</v>
      </c>
      <c r="G2951" t="s">
        <v>11</v>
      </c>
      <c r="H2951" t="s">
        <v>11</v>
      </c>
    </row>
    <row r="2952" spans="1:8" x14ac:dyDescent="0.35">
      <c r="A2952" t="s">
        <v>59</v>
      </c>
      <c r="B2952" t="s">
        <v>113</v>
      </c>
      <c r="C2952" t="s">
        <v>2811</v>
      </c>
      <c r="D2952">
        <v>1</v>
      </c>
      <c r="E2952">
        <v>4</v>
      </c>
      <c r="F2952" t="s">
        <v>7</v>
      </c>
      <c r="G2952" t="s">
        <v>11</v>
      </c>
      <c r="H2952" t="s">
        <v>11</v>
      </c>
    </row>
    <row r="2953" spans="1:8" x14ac:dyDescent="0.35">
      <c r="A2953" t="s">
        <v>59</v>
      </c>
      <c r="B2953" t="s">
        <v>113</v>
      </c>
      <c r="C2953" t="s">
        <v>1820</v>
      </c>
      <c r="D2953">
        <v>1</v>
      </c>
      <c r="E2953">
        <v>4</v>
      </c>
      <c r="F2953" t="s">
        <v>7</v>
      </c>
      <c r="G2953" t="s">
        <v>11</v>
      </c>
      <c r="H2953" t="s">
        <v>11</v>
      </c>
    </row>
    <row r="2954" spans="1:8" x14ac:dyDescent="0.35">
      <c r="A2954" t="s">
        <v>59</v>
      </c>
      <c r="B2954" t="s">
        <v>113</v>
      </c>
      <c r="C2954" t="s">
        <v>1924</v>
      </c>
      <c r="D2954">
        <v>3</v>
      </c>
      <c r="E2954">
        <v>4</v>
      </c>
      <c r="F2954" t="s">
        <v>7</v>
      </c>
      <c r="G2954" t="s">
        <v>11</v>
      </c>
      <c r="H2954" t="s">
        <v>11</v>
      </c>
    </row>
    <row r="2955" spans="1:8" x14ac:dyDescent="0.35">
      <c r="A2955" t="s">
        <v>59</v>
      </c>
      <c r="B2955" t="s">
        <v>113</v>
      </c>
      <c r="C2955" t="s">
        <v>1231</v>
      </c>
      <c r="D2955">
        <v>2</v>
      </c>
      <c r="E2955">
        <v>4</v>
      </c>
      <c r="F2955" t="s">
        <v>7</v>
      </c>
      <c r="G2955" t="s">
        <v>11</v>
      </c>
      <c r="H2955" t="s">
        <v>11</v>
      </c>
    </row>
    <row r="2956" spans="1:8" x14ac:dyDescent="0.35">
      <c r="A2956" t="s">
        <v>59</v>
      </c>
      <c r="B2956" t="s">
        <v>113</v>
      </c>
      <c r="C2956" t="s">
        <v>2812</v>
      </c>
      <c r="D2956">
        <v>3</v>
      </c>
      <c r="E2956">
        <v>4</v>
      </c>
      <c r="F2956" t="s">
        <v>7</v>
      </c>
      <c r="G2956" t="s">
        <v>11</v>
      </c>
      <c r="H2956" t="s">
        <v>11</v>
      </c>
    </row>
    <row r="2957" spans="1:8" x14ac:dyDescent="0.35">
      <c r="A2957" t="s">
        <v>59</v>
      </c>
      <c r="B2957" t="s">
        <v>113</v>
      </c>
      <c r="C2957" t="s">
        <v>1411</v>
      </c>
      <c r="D2957">
        <v>2</v>
      </c>
      <c r="E2957">
        <v>4</v>
      </c>
      <c r="F2957" t="s">
        <v>7</v>
      </c>
      <c r="G2957" t="s">
        <v>11</v>
      </c>
      <c r="H2957" t="s">
        <v>11</v>
      </c>
    </row>
    <row r="2958" spans="1:8" x14ac:dyDescent="0.35">
      <c r="A2958" t="s">
        <v>59</v>
      </c>
      <c r="B2958" t="s">
        <v>113</v>
      </c>
      <c r="C2958" t="s">
        <v>2813</v>
      </c>
      <c r="D2958">
        <v>2</v>
      </c>
      <c r="E2958">
        <v>4</v>
      </c>
      <c r="F2958" t="s">
        <v>7</v>
      </c>
      <c r="G2958" t="s">
        <v>11</v>
      </c>
      <c r="H2958" t="s">
        <v>11</v>
      </c>
    </row>
    <row r="2959" spans="1:8" x14ac:dyDescent="0.35">
      <c r="A2959" t="s">
        <v>59</v>
      </c>
      <c r="B2959" t="s">
        <v>113</v>
      </c>
      <c r="C2959" t="s">
        <v>2814</v>
      </c>
      <c r="D2959">
        <v>3</v>
      </c>
      <c r="E2959">
        <v>4</v>
      </c>
      <c r="F2959" t="s">
        <v>7</v>
      </c>
      <c r="G2959" t="s">
        <v>11</v>
      </c>
      <c r="H2959" t="s">
        <v>11</v>
      </c>
    </row>
    <row r="2960" spans="1:8" x14ac:dyDescent="0.35">
      <c r="A2960" t="s">
        <v>59</v>
      </c>
      <c r="B2960" t="s">
        <v>113</v>
      </c>
      <c r="C2960" t="s">
        <v>2532</v>
      </c>
      <c r="D2960">
        <v>1</v>
      </c>
      <c r="E2960">
        <v>4</v>
      </c>
      <c r="F2960" t="s">
        <v>7</v>
      </c>
      <c r="G2960" t="s">
        <v>11</v>
      </c>
      <c r="H2960" t="s">
        <v>11</v>
      </c>
    </row>
    <row r="2961" spans="1:8" x14ac:dyDescent="0.35">
      <c r="A2961" t="s">
        <v>59</v>
      </c>
      <c r="B2961" t="s">
        <v>113</v>
      </c>
      <c r="C2961" t="s">
        <v>1125</v>
      </c>
      <c r="D2961">
        <v>1</v>
      </c>
      <c r="E2961">
        <v>4</v>
      </c>
      <c r="F2961" t="s">
        <v>7</v>
      </c>
      <c r="G2961" t="s">
        <v>11</v>
      </c>
      <c r="H2961" t="s">
        <v>11</v>
      </c>
    </row>
    <row r="2962" spans="1:8" x14ac:dyDescent="0.35">
      <c r="A2962" t="s">
        <v>59</v>
      </c>
      <c r="B2962" t="s">
        <v>113</v>
      </c>
      <c r="C2962" t="s">
        <v>2815</v>
      </c>
      <c r="D2962">
        <v>3</v>
      </c>
      <c r="E2962">
        <v>4</v>
      </c>
      <c r="F2962" t="s">
        <v>7</v>
      </c>
      <c r="G2962" t="s">
        <v>11</v>
      </c>
      <c r="H2962" t="s">
        <v>11</v>
      </c>
    </row>
    <row r="2963" spans="1:8" x14ac:dyDescent="0.35">
      <c r="A2963" t="s">
        <v>59</v>
      </c>
      <c r="B2963" t="s">
        <v>113</v>
      </c>
      <c r="C2963" t="s">
        <v>2816</v>
      </c>
      <c r="D2963">
        <v>1</v>
      </c>
      <c r="E2963">
        <v>4</v>
      </c>
      <c r="F2963" t="s">
        <v>7</v>
      </c>
      <c r="G2963" t="s">
        <v>11</v>
      </c>
      <c r="H2963" t="s">
        <v>11</v>
      </c>
    </row>
    <row r="2964" spans="1:8" x14ac:dyDescent="0.35">
      <c r="A2964" t="s">
        <v>59</v>
      </c>
      <c r="B2964" t="s">
        <v>113</v>
      </c>
      <c r="C2964" t="s">
        <v>2442</v>
      </c>
      <c r="D2964">
        <v>1</v>
      </c>
      <c r="E2964">
        <v>4</v>
      </c>
      <c r="F2964" t="s">
        <v>7</v>
      </c>
      <c r="G2964" t="s">
        <v>11</v>
      </c>
      <c r="H2964" t="s">
        <v>11</v>
      </c>
    </row>
    <row r="2965" spans="1:8" x14ac:dyDescent="0.35">
      <c r="A2965" t="s">
        <v>59</v>
      </c>
      <c r="B2965" t="s">
        <v>113</v>
      </c>
      <c r="C2965" t="s">
        <v>2817</v>
      </c>
      <c r="D2965">
        <v>2</v>
      </c>
      <c r="E2965">
        <v>4</v>
      </c>
      <c r="F2965" t="s">
        <v>7</v>
      </c>
      <c r="G2965" t="s">
        <v>11</v>
      </c>
      <c r="H2965" t="s">
        <v>11</v>
      </c>
    </row>
    <row r="2966" spans="1:8" x14ac:dyDescent="0.35">
      <c r="A2966" t="s">
        <v>59</v>
      </c>
      <c r="B2966" t="s">
        <v>113</v>
      </c>
      <c r="C2966" t="s">
        <v>1610</v>
      </c>
      <c r="D2966">
        <v>1</v>
      </c>
      <c r="E2966">
        <v>4</v>
      </c>
      <c r="F2966" t="s">
        <v>7</v>
      </c>
      <c r="G2966" t="s">
        <v>11</v>
      </c>
      <c r="H2966" t="s">
        <v>11</v>
      </c>
    </row>
    <row r="2967" spans="1:8" x14ac:dyDescent="0.35">
      <c r="A2967" t="s">
        <v>59</v>
      </c>
      <c r="B2967" t="s">
        <v>113</v>
      </c>
      <c r="C2967" t="s">
        <v>2818</v>
      </c>
      <c r="D2967">
        <v>1</v>
      </c>
      <c r="E2967">
        <v>4</v>
      </c>
      <c r="F2967" t="s">
        <v>7</v>
      </c>
      <c r="G2967" t="s">
        <v>11</v>
      </c>
      <c r="H2967" t="s">
        <v>11</v>
      </c>
    </row>
    <row r="2968" spans="1:8" x14ac:dyDescent="0.35">
      <c r="A2968" t="s">
        <v>59</v>
      </c>
      <c r="B2968" t="s">
        <v>113</v>
      </c>
      <c r="C2968" t="s">
        <v>2819</v>
      </c>
      <c r="D2968">
        <v>2</v>
      </c>
      <c r="E2968">
        <v>4</v>
      </c>
      <c r="F2968" t="s">
        <v>7</v>
      </c>
      <c r="G2968" t="s">
        <v>11</v>
      </c>
      <c r="H2968" t="s">
        <v>11</v>
      </c>
    </row>
    <row r="2969" spans="1:8" x14ac:dyDescent="0.35">
      <c r="A2969" t="s">
        <v>59</v>
      </c>
      <c r="B2969" t="s">
        <v>113</v>
      </c>
      <c r="C2969" t="s">
        <v>2820</v>
      </c>
      <c r="D2969">
        <v>1</v>
      </c>
      <c r="E2969">
        <v>4</v>
      </c>
      <c r="F2969" t="s">
        <v>7</v>
      </c>
      <c r="G2969" t="s">
        <v>11</v>
      </c>
      <c r="H2969" t="s">
        <v>11</v>
      </c>
    </row>
    <row r="2970" spans="1:8" x14ac:dyDescent="0.35">
      <c r="A2970" t="s">
        <v>59</v>
      </c>
      <c r="B2970" t="s">
        <v>113</v>
      </c>
      <c r="C2970" t="s">
        <v>1940</v>
      </c>
      <c r="D2970">
        <v>3</v>
      </c>
      <c r="E2970">
        <v>4</v>
      </c>
      <c r="F2970" t="s">
        <v>7</v>
      </c>
      <c r="G2970" t="s">
        <v>11</v>
      </c>
      <c r="H2970" t="s">
        <v>11</v>
      </c>
    </row>
    <row r="2971" spans="1:8" x14ac:dyDescent="0.35">
      <c r="A2971" t="s">
        <v>59</v>
      </c>
      <c r="B2971" t="s">
        <v>113</v>
      </c>
      <c r="C2971" t="s">
        <v>2821</v>
      </c>
      <c r="D2971">
        <v>1</v>
      </c>
      <c r="E2971">
        <v>4</v>
      </c>
      <c r="F2971" t="s">
        <v>7</v>
      </c>
      <c r="G2971" t="s">
        <v>11</v>
      </c>
      <c r="H2971" t="s">
        <v>11</v>
      </c>
    </row>
    <row r="2972" spans="1:8" x14ac:dyDescent="0.35">
      <c r="A2972" t="s">
        <v>59</v>
      </c>
      <c r="B2972" t="s">
        <v>113</v>
      </c>
      <c r="C2972" t="s">
        <v>2822</v>
      </c>
      <c r="D2972">
        <v>1</v>
      </c>
      <c r="E2972">
        <v>4</v>
      </c>
      <c r="F2972" t="s">
        <v>7</v>
      </c>
      <c r="G2972" t="s">
        <v>11</v>
      </c>
      <c r="H2972" t="s">
        <v>11</v>
      </c>
    </row>
    <row r="2973" spans="1:8" x14ac:dyDescent="0.35">
      <c r="A2973" t="s">
        <v>59</v>
      </c>
      <c r="B2973" t="s">
        <v>113</v>
      </c>
      <c r="C2973" t="s">
        <v>2823</v>
      </c>
      <c r="D2973">
        <v>1</v>
      </c>
      <c r="E2973">
        <v>4</v>
      </c>
      <c r="F2973" t="s">
        <v>7</v>
      </c>
      <c r="G2973" t="s">
        <v>11</v>
      </c>
      <c r="H2973" t="s">
        <v>11</v>
      </c>
    </row>
    <row r="2974" spans="1:8" x14ac:dyDescent="0.35">
      <c r="A2974" t="s">
        <v>59</v>
      </c>
      <c r="B2974" t="s">
        <v>113</v>
      </c>
      <c r="C2974" t="s">
        <v>2824</v>
      </c>
      <c r="D2974">
        <v>2</v>
      </c>
      <c r="E2974">
        <v>4</v>
      </c>
      <c r="F2974" t="s">
        <v>7</v>
      </c>
      <c r="G2974" t="s">
        <v>11</v>
      </c>
      <c r="H2974" t="s">
        <v>11</v>
      </c>
    </row>
    <row r="2975" spans="1:8" x14ac:dyDescent="0.35">
      <c r="A2975" t="s">
        <v>59</v>
      </c>
      <c r="B2975" t="s">
        <v>113</v>
      </c>
      <c r="C2975" t="s">
        <v>1496</v>
      </c>
      <c r="D2975">
        <v>2</v>
      </c>
      <c r="E2975">
        <v>4</v>
      </c>
      <c r="F2975" t="s">
        <v>7</v>
      </c>
      <c r="G2975" t="s">
        <v>11</v>
      </c>
      <c r="H2975" t="s">
        <v>11</v>
      </c>
    </row>
    <row r="2976" spans="1:8" x14ac:dyDescent="0.35">
      <c r="A2976" t="s">
        <v>59</v>
      </c>
      <c r="B2976" t="s">
        <v>113</v>
      </c>
      <c r="C2976" t="s">
        <v>2825</v>
      </c>
      <c r="D2976">
        <v>1</v>
      </c>
      <c r="E2976">
        <v>4</v>
      </c>
      <c r="F2976" t="s">
        <v>7</v>
      </c>
      <c r="G2976" t="s">
        <v>11</v>
      </c>
      <c r="H2976" t="s">
        <v>11</v>
      </c>
    </row>
    <row r="2977" spans="1:8" x14ac:dyDescent="0.35">
      <c r="A2977" t="s">
        <v>59</v>
      </c>
      <c r="B2977" t="s">
        <v>113</v>
      </c>
      <c r="C2977" t="s">
        <v>1142</v>
      </c>
      <c r="D2977">
        <v>2</v>
      </c>
      <c r="E2977">
        <v>4</v>
      </c>
      <c r="F2977" t="s">
        <v>7</v>
      </c>
      <c r="G2977" t="s">
        <v>11</v>
      </c>
      <c r="H2977" t="s">
        <v>11</v>
      </c>
    </row>
    <row r="2978" spans="1:8" x14ac:dyDescent="0.35">
      <c r="A2978" t="s">
        <v>59</v>
      </c>
      <c r="B2978" t="s">
        <v>113</v>
      </c>
      <c r="C2978" t="s">
        <v>2826</v>
      </c>
      <c r="D2978">
        <v>2</v>
      </c>
      <c r="E2978">
        <v>4</v>
      </c>
      <c r="F2978" t="s">
        <v>7</v>
      </c>
      <c r="G2978" t="s">
        <v>11</v>
      </c>
      <c r="H2978" t="s">
        <v>11</v>
      </c>
    </row>
    <row r="2979" spans="1:8" x14ac:dyDescent="0.35">
      <c r="A2979" t="s">
        <v>59</v>
      </c>
      <c r="B2979" t="s">
        <v>113</v>
      </c>
      <c r="C2979" t="s">
        <v>1928</v>
      </c>
      <c r="D2979">
        <v>1</v>
      </c>
      <c r="E2979">
        <v>4</v>
      </c>
      <c r="F2979" t="s">
        <v>7</v>
      </c>
      <c r="G2979" t="s">
        <v>11</v>
      </c>
      <c r="H2979" t="s">
        <v>11</v>
      </c>
    </row>
    <row r="2980" spans="1:8" x14ac:dyDescent="0.35">
      <c r="A2980" t="s">
        <v>59</v>
      </c>
      <c r="B2980" t="s">
        <v>113</v>
      </c>
      <c r="C2980" t="s">
        <v>2827</v>
      </c>
      <c r="D2980">
        <v>1</v>
      </c>
      <c r="E2980">
        <v>4</v>
      </c>
      <c r="F2980" t="s">
        <v>7</v>
      </c>
      <c r="G2980" t="s">
        <v>11</v>
      </c>
      <c r="H2980" t="s">
        <v>11</v>
      </c>
    </row>
    <row r="2981" spans="1:8" x14ac:dyDescent="0.35">
      <c r="A2981" t="s">
        <v>59</v>
      </c>
      <c r="B2981" t="s">
        <v>113</v>
      </c>
      <c r="C2981" t="s">
        <v>2828</v>
      </c>
      <c r="D2981">
        <v>2</v>
      </c>
      <c r="E2981">
        <v>4</v>
      </c>
      <c r="F2981" t="s">
        <v>7</v>
      </c>
      <c r="G2981" t="s">
        <v>11</v>
      </c>
      <c r="H2981" t="s">
        <v>11</v>
      </c>
    </row>
    <row r="2982" spans="1:8" x14ac:dyDescent="0.35">
      <c r="A2982" t="s">
        <v>59</v>
      </c>
      <c r="B2982" t="s">
        <v>113</v>
      </c>
      <c r="C2982" t="s">
        <v>2597</v>
      </c>
      <c r="D2982">
        <v>1</v>
      </c>
      <c r="E2982">
        <v>4</v>
      </c>
      <c r="F2982" t="s">
        <v>7</v>
      </c>
      <c r="G2982" t="s">
        <v>11</v>
      </c>
      <c r="H2982" t="s">
        <v>11</v>
      </c>
    </row>
    <row r="2983" spans="1:8" x14ac:dyDescent="0.35">
      <c r="A2983" t="s">
        <v>59</v>
      </c>
      <c r="B2983" t="s">
        <v>113</v>
      </c>
      <c r="C2983" t="s">
        <v>2242</v>
      </c>
      <c r="D2983">
        <v>3</v>
      </c>
      <c r="E2983">
        <v>4</v>
      </c>
      <c r="F2983" t="s">
        <v>7</v>
      </c>
      <c r="G2983" t="s">
        <v>11</v>
      </c>
      <c r="H2983" t="s">
        <v>11</v>
      </c>
    </row>
    <row r="2984" spans="1:8" x14ac:dyDescent="0.35">
      <c r="A2984" t="s">
        <v>59</v>
      </c>
      <c r="B2984" t="s">
        <v>113</v>
      </c>
      <c r="C2984" t="s">
        <v>2829</v>
      </c>
      <c r="D2984">
        <v>1</v>
      </c>
      <c r="E2984">
        <v>4</v>
      </c>
      <c r="F2984" t="s">
        <v>7</v>
      </c>
      <c r="G2984" t="s">
        <v>11</v>
      </c>
      <c r="H2984" t="s">
        <v>11</v>
      </c>
    </row>
    <row r="2985" spans="1:8" x14ac:dyDescent="0.35">
      <c r="A2985" t="s">
        <v>59</v>
      </c>
      <c r="B2985" t="s">
        <v>113</v>
      </c>
      <c r="C2985" t="s">
        <v>1830</v>
      </c>
      <c r="D2985">
        <v>2</v>
      </c>
      <c r="E2985">
        <v>4</v>
      </c>
      <c r="F2985" t="s">
        <v>7</v>
      </c>
      <c r="G2985" t="s">
        <v>11</v>
      </c>
      <c r="H2985" t="s">
        <v>11</v>
      </c>
    </row>
    <row r="2986" spans="1:8" x14ac:dyDescent="0.35">
      <c r="A2986" t="s">
        <v>59</v>
      </c>
      <c r="B2986" t="s">
        <v>113</v>
      </c>
      <c r="C2986" t="s">
        <v>1144</v>
      </c>
      <c r="D2986">
        <v>2</v>
      </c>
      <c r="E2986">
        <v>4</v>
      </c>
      <c r="F2986" t="s">
        <v>7</v>
      </c>
      <c r="G2986" t="s">
        <v>11</v>
      </c>
      <c r="H2986" t="s">
        <v>11</v>
      </c>
    </row>
    <row r="2987" spans="1:8" x14ac:dyDescent="0.35">
      <c r="A2987" t="s">
        <v>59</v>
      </c>
      <c r="B2987" t="s">
        <v>113</v>
      </c>
      <c r="C2987" t="s">
        <v>2830</v>
      </c>
      <c r="D2987">
        <v>3</v>
      </c>
      <c r="E2987">
        <v>4</v>
      </c>
      <c r="F2987" t="s">
        <v>7</v>
      </c>
      <c r="G2987" t="s">
        <v>11</v>
      </c>
      <c r="H2987" t="s">
        <v>11</v>
      </c>
    </row>
    <row r="2988" spans="1:8" x14ac:dyDescent="0.35">
      <c r="A2988" t="s">
        <v>59</v>
      </c>
      <c r="B2988" t="s">
        <v>113</v>
      </c>
      <c r="C2988" t="s">
        <v>2331</v>
      </c>
      <c r="D2988">
        <v>2</v>
      </c>
      <c r="E2988">
        <v>4</v>
      </c>
      <c r="F2988" t="s">
        <v>7</v>
      </c>
      <c r="G2988" t="s">
        <v>11</v>
      </c>
      <c r="H2988" t="s">
        <v>11</v>
      </c>
    </row>
    <row r="2989" spans="1:8" x14ac:dyDescent="0.35">
      <c r="A2989" t="s">
        <v>59</v>
      </c>
      <c r="B2989" t="s">
        <v>113</v>
      </c>
      <c r="C2989" t="s">
        <v>2831</v>
      </c>
      <c r="D2989">
        <v>3</v>
      </c>
      <c r="E2989">
        <v>4</v>
      </c>
      <c r="F2989" t="s">
        <v>7</v>
      </c>
      <c r="G2989" t="s">
        <v>11</v>
      </c>
      <c r="H2989" t="s">
        <v>11</v>
      </c>
    </row>
    <row r="2990" spans="1:8" x14ac:dyDescent="0.35">
      <c r="A2990" t="s">
        <v>59</v>
      </c>
      <c r="B2990" t="s">
        <v>113</v>
      </c>
      <c r="C2990" t="s">
        <v>2832</v>
      </c>
      <c r="D2990">
        <v>3</v>
      </c>
      <c r="E2990">
        <v>4</v>
      </c>
      <c r="F2990" t="s">
        <v>7</v>
      </c>
      <c r="G2990" t="s">
        <v>11</v>
      </c>
      <c r="H2990" t="s">
        <v>11</v>
      </c>
    </row>
    <row r="2991" spans="1:8" x14ac:dyDescent="0.35">
      <c r="A2991" t="s">
        <v>59</v>
      </c>
      <c r="B2991" t="s">
        <v>113</v>
      </c>
      <c r="C2991" t="s">
        <v>2833</v>
      </c>
      <c r="D2991">
        <v>1</v>
      </c>
      <c r="E2991">
        <v>4</v>
      </c>
      <c r="F2991" t="s">
        <v>7</v>
      </c>
      <c r="G2991" t="s">
        <v>11</v>
      </c>
      <c r="H2991" t="s">
        <v>11</v>
      </c>
    </row>
    <row r="2992" spans="1:8" x14ac:dyDescent="0.35">
      <c r="A2992" t="s">
        <v>59</v>
      </c>
      <c r="B2992" t="s">
        <v>113</v>
      </c>
      <c r="C2992" t="s">
        <v>2834</v>
      </c>
      <c r="D2992">
        <v>3</v>
      </c>
      <c r="E2992">
        <v>4</v>
      </c>
      <c r="F2992" t="s">
        <v>7</v>
      </c>
      <c r="G2992" t="s">
        <v>11</v>
      </c>
      <c r="H2992" t="s">
        <v>11</v>
      </c>
    </row>
    <row r="2993" spans="1:8" x14ac:dyDescent="0.35">
      <c r="A2993" t="s">
        <v>59</v>
      </c>
      <c r="B2993" t="s">
        <v>113</v>
      </c>
      <c r="C2993" t="s">
        <v>1146</v>
      </c>
      <c r="D2993">
        <v>1</v>
      </c>
      <c r="E2993">
        <v>4</v>
      </c>
      <c r="F2993" t="s">
        <v>7</v>
      </c>
      <c r="G2993" t="s">
        <v>11</v>
      </c>
      <c r="H2993" t="s">
        <v>11</v>
      </c>
    </row>
    <row r="2994" spans="1:8" x14ac:dyDescent="0.35">
      <c r="A2994" t="s">
        <v>59</v>
      </c>
      <c r="B2994" t="s">
        <v>113</v>
      </c>
      <c r="C2994" t="s">
        <v>2413</v>
      </c>
      <c r="D2994">
        <v>1</v>
      </c>
      <c r="E2994">
        <v>4</v>
      </c>
      <c r="F2994" t="s">
        <v>7</v>
      </c>
      <c r="G2994" t="s">
        <v>11</v>
      </c>
      <c r="H2994" t="s">
        <v>11</v>
      </c>
    </row>
    <row r="2995" spans="1:8" x14ac:dyDescent="0.35">
      <c r="A2995" t="s">
        <v>59</v>
      </c>
      <c r="B2995" t="s">
        <v>113</v>
      </c>
      <c r="C2995" t="s">
        <v>2835</v>
      </c>
      <c r="D2995">
        <v>3</v>
      </c>
      <c r="E2995">
        <v>4</v>
      </c>
      <c r="F2995" t="s">
        <v>7</v>
      </c>
      <c r="G2995" t="s">
        <v>11</v>
      </c>
      <c r="H2995" t="s">
        <v>11</v>
      </c>
    </row>
    <row r="2996" spans="1:8" x14ac:dyDescent="0.35">
      <c r="A2996" t="s">
        <v>59</v>
      </c>
      <c r="B2996" t="s">
        <v>113</v>
      </c>
      <c r="C2996" t="s">
        <v>2836</v>
      </c>
      <c r="D2996">
        <v>3</v>
      </c>
      <c r="E2996">
        <v>4</v>
      </c>
      <c r="F2996" t="s">
        <v>7</v>
      </c>
      <c r="G2996" t="s">
        <v>11</v>
      </c>
      <c r="H2996" t="s">
        <v>11</v>
      </c>
    </row>
    <row r="2997" spans="1:8" x14ac:dyDescent="0.35">
      <c r="A2997" t="s">
        <v>59</v>
      </c>
      <c r="B2997" t="s">
        <v>113</v>
      </c>
      <c r="C2997" t="s">
        <v>2837</v>
      </c>
      <c r="D2997">
        <v>3</v>
      </c>
      <c r="E2997">
        <v>4</v>
      </c>
      <c r="F2997" t="s">
        <v>7</v>
      </c>
      <c r="G2997" t="s">
        <v>11</v>
      </c>
      <c r="H2997" t="s">
        <v>11</v>
      </c>
    </row>
    <row r="2998" spans="1:8" x14ac:dyDescent="0.35">
      <c r="A2998" t="s">
        <v>59</v>
      </c>
      <c r="B2998" t="s">
        <v>113</v>
      </c>
      <c r="C2998" t="s">
        <v>2838</v>
      </c>
      <c r="D2998">
        <v>3</v>
      </c>
      <c r="E2998">
        <v>4</v>
      </c>
      <c r="F2998" t="s">
        <v>7</v>
      </c>
      <c r="G2998" t="s">
        <v>11</v>
      </c>
      <c r="H2998" t="s">
        <v>11</v>
      </c>
    </row>
    <row r="2999" spans="1:8" x14ac:dyDescent="0.35">
      <c r="A2999" t="s">
        <v>59</v>
      </c>
      <c r="B2999" t="s">
        <v>113</v>
      </c>
      <c r="C2999" t="s">
        <v>2839</v>
      </c>
      <c r="D2999">
        <v>3</v>
      </c>
      <c r="E2999">
        <v>4</v>
      </c>
      <c r="F2999" t="s">
        <v>7</v>
      </c>
      <c r="G2999" t="s">
        <v>11</v>
      </c>
      <c r="H2999" t="s">
        <v>11</v>
      </c>
    </row>
    <row r="3000" spans="1:8" x14ac:dyDescent="0.35">
      <c r="A3000" t="s">
        <v>59</v>
      </c>
      <c r="B3000" t="s">
        <v>113</v>
      </c>
      <c r="C3000" t="s">
        <v>2840</v>
      </c>
      <c r="D3000">
        <v>3</v>
      </c>
      <c r="E3000">
        <v>4</v>
      </c>
      <c r="F3000" t="s">
        <v>7</v>
      </c>
      <c r="G3000" t="s">
        <v>11</v>
      </c>
      <c r="H3000" t="s">
        <v>11</v>
      </c>
    </row>
    <row r="3001" spans="1:8" x14ac:dyDescent="0.35">
      <c r="A3001" t="s">
        <v>59</v>
      </c>
      <c r="B3001" t="s">
        <v>113</v>
      </c>
      <c r="C3001" t="s">
        <v>2205</v>
      </c>
      <c r="D3001">
        <v>3</v>
      </c>
      <c r="E3001">
        <v>4</v>
      </c>
      <c r="F3001" t="s">
        <v>7</v>
      </c>
      <c r="G3001" t="s">
        <v>11</v>
      </c>
      <c r="H3001" t="s">
        <v>11</v>
      </c>
    </row>
    <row r="3002" spans="1:8" x14ac:dyDescent="0.35">
      <c r="A3002" t="s">
        <v>59</v>
      </c>
      <c r="B3002" t="s">
        <v>113</v>
      </c>
      <c r="C3002" t="s">
        <v>1153</v>
      </c>
      <c r="D3002">
        <v>1</v>
      </c>
      <c r="E3002">
        <v>4</v>
      </c>
      <c r="F3002" t="s">
        <v>7</v>
      </c>
      <c r="G3002" t="s">
        <v>11</v>
      </c>
      <c r="H3002" t="s">
        <v>11</v>
      </c>
    </row>
    <row r="3003" spans="1:8" x14ac:dyDescent="0.35">
      <c r="A3003" t="s">
        <v>59</v>
      </c>
      <c r="B3003" t="s">
        <v>113</v>
      </c>
      <c r="C3003" t="s">
        <v>2841</v>
      </c>
      <c r="D3003">
        <v>1</v>
      </c>
      <c r="E3003">
        <v>4</v>
      </c>
      <c r="F3003" t="s">
        <v>7</v>
      </c>
      <c r="G3003" t="s">
        <v>11</v>
      </c>
      <c r="H3003" t="s">
        <v>11</v>
      </c>
    </row>
    <row r="3004" spans="1:8" x14ac:dyDescent="0.35">
      <c r="A3004" t="s">
        <v>59</v>
      </c>
      <c r="B3004" t="s">
        <v>113</v>
      </c>
      <c r="C3004" t="s">
        <v>2842</v>
      </c>
      <c r="D3004">
        <v>2</v>
      </c>
      <c r="E3004">
        <v>4</v>
      </c>
      <c r="F3004" t="s">
        <v>7</v>
      </c>
      <c r="G3004" t="s">
        <v>11</v>
      </c>
      <c r="H3004" t="s">
        <v>11</v>
      </c>
    </row>
    <row r="3005" spans="1:8" x14ac:dyDescent="0.35">
      <c r="A3005" t="s">
        <v>59</v>
      </c>
      <c r="B3005" t="s">
        <v>113</v>
      </c>
      <c r="C3005" t="s">
        <v>1718</v>
      </c>
      <c r="D3005">
        <v>1</v>
      </c>
      <c r="E3005">
        <v>4</v>
      </c>
      <c r="F3005" t="s">
        <v>7</v>
      </c>
      <c r="G3005" t="s">
        <v>11</v>
      </c>
      <c r="H3005" t="s">
        <v>11</v>
      </c>
    </row>
    <row r="3006" spans="1:8" x14ac:dyDescent="0.35">
      <c r="A3006" t="s">
        <v>59</v>
      </c>
      <c r="B3006" t="s">
        <v>113</v>
      </c>
      <c r="C3006" t="s">
        <v>2843</v>
      </c>
      <c r="D3006">
        <v>2</v>
      </c>
      <c r="E3006">
        <v>4</v>
      </c>
      <c r="F3006" t="s">
        <v>7</v>
      </c>
      <c r="G3006" t="s">
        <v>11</v>
      </c>
      <c r="H3006" t="s">
        <v>11</v>
      </c>
    </row>
    <row r="3007" spans="1:8" x14ac:dyDescent="0.35">
      <c r="A3007" t="s">
        <v>59</v>
      </c>
      <c r="B3007" t="s">
        <v>113</v>
      </c>
      <c r="C3007" t="s">
        <v>2844</v>
      </c>
      <c r="D3007">
        <v>2</v>
      </c>
      <c r="E3007">
        <v>4</v>
      </c>
      <c r="F3007" t="s">
        <v>7</v>
      </c>
      <c r="G3007" t="s">
        <v>11</v>
      </c>
      <c r="H3007" t="s">
        <v>11</v>
      </c>
    </row>
    <row r="3008" spans="1:8" x14ac:dyDescent="0.35">
      <c r="A3008" t="s">
        <v>59</v>
      </c>
      <c r="B3008" t="s">
        <v>113</v>
      </c>
      <c r="C3008" t="s">
        <v>1157</v>
      </c>
      <c r="D3008">
        <v>2</v>
      </c>
      <c r="E3008">
        <v>4</v>
      </c>
      <c r="F3008" t="s">
        <v>7</v>
      </c>
      <c r="G3008" t="s">
        <v>11</v>
      </c>
      <c r="H3008" t="s">
        <v>11</v>
      </c>
    </row>
    <row r="3009" spans="1:8" x14ac:dyDescent="0.35">
      <c r="A3009" t="s">
        <v>59</v>
      </c>
      <c r="B3009" t="s">
        <v>113</v>
      </c>
      <c r="C3009" t="s">
        <v>2845</v>
      </c>
      <c r="D3009">
        <v>2</v>
      </c>
      <c r="E3009">
        <v>4</v>
      </c>
      <c r="F3009" t="s">
        <v>7</v>
      </c>
      <c r="G3009" t="s">
        <v>11</v>
      </c>
      <c r="H3009" t="s">
        <v>11</v>
      </c>
    </row>
    <row r="3010" spans="1:8" x14ac:dyDescent="0.35">
      <c r="A3010" t="s">
        <v>59</v>
      </c>
      <c r="B3010" t="s">
        <v>113</v>
      </c>
      <c r="C3010" t="s">
        <v>2846</v>
      </c>
      <c r="D3010">
        <v>2</v>
      </c>
      <c r="E3010">
        <v>4</v>
      </c>
      <c r="F3010" t="s">
        <v>7</v>
      </c>
      <c r="G3010" t="s">
        <v>11</v>
      </c>
      <c r="H3010" t="s">
        <v>11</v>
      </c>
    </row>
    <row r="3011" spans="1:8" x14ac:dyDescent="0.35">
      <c r="A3011" t="s">
        <v>59</v>
      </c>
      <c r="B3011" t="s">
        <v>113</v>
      </c>
      <c r="C3011" t="s">
        <v>2847</v>
      </c>
      <c r="D3011">
        <v>1</v>
      </c>
      <c r="E3011">
        <v>4</v>
      </c>
      <c r="F3011" t="s">
        <v>7</v>
      </c>
      <c r="G3011" t="s">
        <v>11</v>
      </c>
      <c r="H3011" t="s">
        <v>11</v>
      </c>
    </row>
    <row r="3012" spans="1:8" x14ac:dyDescent="0.35">
      <c r="A3012" t="s">
        <v>59</v>
      </c>
      <c r="B3012" t="s">
        <v>113</v>
      </c>
      <c r="C3012" t="s">
        <v>2848</v>
      </c>
      <c r="D3012">
        <v>3</v>
      </c>
      <c r="E3012">
        <v>4</v>
      </c>
      <c r="F3012" t="s">
        <v>7</v>
      </c>
      <c r="G3012" t="s">
        <v>11</v>
      </c>
      <c r="H3012" t="s">
        <v>11</v>
      </c>
    </row>
    <row r="3013" spans="1:8" x14ac:dyDescent="0.35">
      <c r="A3013" t="s">
        <v>59</v>
      </c>
      <c r="B3013" t="s">
        <v>113</v>
      </c>
      <c r="C3013" t="s">
        <v>2341</v>
      </c>
      <c r="D3013">
        <v>2</v>
      </c>
      <c r="E3013">
        <v>4</v>
      </c>
      <c r="F3013" t="s">
        <v>7</v>
      </c>
      <c r="G3013" t="s">
        <v>11</v>
      </c>
      <c r="H3013" t="s">
        <v>11</v>
      </c>
    </row>
    <row r="3014" spans="1:8" x14ac:dyDescent="0.35">
      <c r="A3014" t="s">
        <v>59</v>
      </c>
      <c r="B3014" t="s">
        <v>113</v>
      </c>
      <c r="C3014" t="s">
        <v>1396</v>
      </c>
      <c r="D3014">
        <v>3</v>
      </c>
      <c r="E3014">
        <v>4</v>
      </c>
      <c r="F3014" t="s">
        <v>7</v>
      </c>
      <c r="G3014" t="s">
        <v>11</v>
      </c>
      <c r="H3014" t="s">
        <v>11</v>
      </c>
    </row>
    <row r="3015" spans="1:8" x14ac:dyDescent="0.35">
      <c r="A3015" t="s">
        <v>59</v>
      </c>
      <c r="B3015" t="s">
        <v>113</v>
      </c>
      <c r="C3015" t="s">
        <v>1163</v>
      </c>
      <c r="D3015">
        <v>1</v>
      </c>
      <c r="E3015">
        <v>4</v>
      </c>
      <c r="F3015" t="s">
        <v>7</v>
      </c>
      <c r="G3015" t="s">
        <v>11</v>
      </c>
      <c r="H3015" t="s">
        <v>11</v>
      </c>
    </row>
    <row r="3016" spans="1:8" x14ac:dyDescent="0.35">
      <c r="A3016" t="s">
        <v>59</v>
      </c>
      <c r="B3016" t="s">
        <v>113</v>
      </c>
      <c r="C3016" t="s">
        <v>1849</v>
      </c>
      <c r="D3016">
        <v>2</v>
      </c>
      <c r="E3016">
        <v>4</v>
      </c>
      <c r="F3016" t="s">
        <v>7</v>
      </c>
      <c r="G3016" t="s">
        <v>11</v>
      </c>
      <c r="H3016" t="s">
        <v>11</v>
      </c>
    </row>
    <row r="3017" spans="1:8" x14ac:dyDescent="0.35">
      <c r="A3017" t="s">
        <v>59</v>
      </c>
      <c r="B3017" t="s">
        <v>113</v>
      </c>
      <c r="C3017" t="s">
        <v>2849</v>
      </c>
      <c r="D3017">
        <v>3</v>
      </c>
      <c r="E3017">
        <v>4</v>
      </c>
      <c r="F3017" t="s">
        <v>7</v>
      </c>
      <c r="G3017" t="s">
        <v>11</v>
      </c>
      <c r="H3017" t="s">
        <v>11</v>
      </c>
    </row>
    <row r="3018" spans="1:8" x14ac:dyDescent="0.35">
      <c r="A3018" t="s">
        <v>59</v>
      </c>
      <c r="B3018" t="s">
        <v>113</v>
      </c>
      <c r="C3018" t="s">
        <v>2850</v>
      </c>
      <c r="D3018">
        <v>3</v>
      </c>
      <c r="E3018">
        <v>4</v>
      </c>
      <c r="F3018" t="s">
        <v>7</v>
      </c>
      <c r="G3018" t="s">
        <v>11</v>
      </c>
      <c r="H3018" t="s">
        <v>11</v>
      </c>
    </row>
    <row r="3019" spans="1:8" x14ac:dyDescent="0.35">
      <c r="A3019" t="s">
        <v>59</v>
      </c>
      <c r="B3019" t="s">
        <v>113</v>
      </c>
      <c r="C3019" t="s">
        <v>2851</v>
      </c>
      <c r="D3019">
        <v>3</v>
      </c>
      <c r="E3019">
        <v>4</v>
      </c>
      <c r="F3019" t="s">
        <v>7</v>
      </c>
      <c r="G3019" t="s">
        <v>11</v>
      </c>
      <c r="H3019" t="s">
        <v>11</v>
      </c>
    </row>
    <row r="3020" spans="1:8" x14ac:dyDescent="0.35">
      <c r="A3020" t="s">
        <v>59</v>
      </c>
      <c r="B3020" t="s">
        <v>113</v>
      </c>
      <c r="C3020" t="s">
        <v>2345</v>
      </c>
      <c r="D3020">
        <v>3</v>
      </c>
      <c r="E3020">
        <v>4</v>
      </c>
      <c r="F3020" t="s">
        <v>7</v>
      </c>
      <c r="G3020" t="s">
        <v>11</v>
      </c>
      <c r="H3020" t="s">
        <v>11</v>
      </c>
    </row>
    <row r="3021" spans="1:8" x14ac:dyDescent="0.35">
      <c r="A3021" t="s">
        <v>59</v>
      </c>
      <c r="B3021" t="s">
        <v>113</v>
      </c>
      <c r="C3021" t="s">
        <v>2515</v>
      </c>
      <c r="D3021">
        <v>3</v>
      </c>
      <c r="E3021">
        <v>4</v>
      </c>
      <c r="F3021" t="s">
        <v>7</v>
      </c>
      <c r="G3021" t="s">
        <v>11</v>
      </c>
      <c r="H3021" t="s">
        <v>11</v>
      </c>
    </row>
    <row r="3022" spans="1:8" x14ac:dyDescent="0.35">
      <c r="A3022" t="s">
        <v>59</v>
      </c>
      <c r="B3022" t="s">
        <v>113</v>
      </c>
      <c r="C3022" t="s">
        <v>2852</v>
      </c>
      <c r="D3022">
        <v>2</v>
      </c>
      <c r="E3022">
        <v>4</v>
      </c>
      <c r="F3022" t="s">
        <v>7</v>
      </c>
      <c r="G3022" t="s">
        <v>11</v>
      </c>
      <c r="H3022" t="s">
        <v>11</v>
      </c>
    </row>
    <row r="3023" spans="1:8" x14ac:dyDescent="0.35">
      <c r="A3023" t="s">
        <v>59</v>
      </c>
      <c r="B3023" t="s">
        <v>113</v>
      </c>
      <c r="C3023" t="s">
        <v>2853</v>
      </c>
      <c r="D3023">
        <v>1</v>
      </c>
      <c r="E3023">
        <v>4</v>
      </c>
      <c r="F3023" t="s">
        <v>7</v>
      </c>
      <c r="G3023" t="s">
        <v>11</v>
      </c>
      <c r="H3023" t="s">
        <v>11</v>
      </c>
    </row>
    <row r="3024" spans="1:8" x14ac:dyDescent="0.35">
      <c r="A3024" t="s">
        <v>59</v>
      </c>
      <c r="B3024" t="s">
        <v>113</v>
      </c>
      <c r="C3024" t="s">
        <v>1310</v>
      </c>
      <c r="D3024">
        <v>1</v>
      </c>
      <c r="E3024">
        <v>4</v>
      </c>
      <c r="F3024" t="s">
        <v>7</v>
      </c>
      <c r="G3024" t="s">
        <v>11</v>
      </c>
      <c r="H3024" t="s">
        <v>11</v>
      </c>
    </row>
    <row r="3025" spans="1:8" x14ac:dyDescent="0.35">
      <c r="A3025" t="s">
        <v>59</v>
      </c>
      <c r="B3025" t="s">
        <v>113</v>
      </c>
      <c r="C3025" t="s">
        <v>1726</v>
      </c>
      <c r="D3025">
        <v>1</v>
      </c>
      <c r="E3025">
        <v>4</v>
      </c>
      <c r="F3025" t="s">
        <v>7</v>
      </c>
      <c r="G3025" t="s">
        <v>11</v>
      </c>
      <c r="H3025" t="s">
        <v>11</v>
      </c>
    </row>
    <row r="3026" spans="1:8" x14ac:dyDescent="0.35">
      <c r="A3026" t="s">
        <v>59</v>
      </c>
      <c r="B3026" t="s">
        <v>113</v>
      </c>
      <c r="C3026" t="s">
        <v>2854</v>
      </c>
      <c r="D3026">
        <v>1</v>
      </c>
      <c r="E3026">
        <v>4</v>
      </c>
      <c r="F3026" t="s">
        <v>7</v>
      </c>
      <c r="G3026" t="s">
        <v>11</v>
      </c>
      <c r="H3026" t="s">
        <v>11</v>
      </c>
    </row>
    <row r="3027" spans="1:8" x14ac:dyDescent="0.35">
      <c r="A3027" t="s">
        <v>59</v>
      </c>
      <c r="B3027" t="s">
        <v>113</v>
      </c>
      <c r="C3027" t="s">
        <v>2855</v>
      </c>
      <c r="D3027">
        <v>3</v>
      </c>
      <c r="E3027">
        <v>4</v>
      </c>
      <c r="F3027" t="s">
        <v>7</v>
      </c>
      <c r="G3027" t="s">
        <v>11</v>
      </c>
      <c r="H3027" t="s">
        <v>11</v>
      </c>
    </row>
    <row r="3028" spans="1:8" x14ac:dyDescent="0.35">
      <c r="A3028" t="s">
        <v>59</v>
      </c>
      <c r="B3028" t="s">
        <v>113</v>
      </c>
      <c r="C3028" t="s">
        <v>2856</v>
      </c>
      <c r="D3028">
        <v>1</v>
      </c>
      <c r="E3028">
        <v>4</v>
      </c>
      <c r="F3028" t="s">
        <v>7</v>
      </c>
      <c r="G3028" t="s">
        <v>11</v>
      </c>
      <c r="H3028" t="s">
        <v>11</v>
      </c>
    </row>
    <row r="3029" spans="1:8" x14ac:dyDescent="0.35">
      <c r="A3029" t="s">
        <v>59</v>
      </c>
      <c r="B3029" t="s">
        <v>113</v>
      </c>
      <c r="C3029" t="s">
        <v>2857</v>
      </c>
      <c r="D3029">
        <v>3</v>
      </c>
      <c r="E3029">
        <v>4</v>
      </c>
      <c r="F3029" t="s">
        <v>7</v>
      </c>
      <c r="G3029" t="s">
        <v>11</v>
      </c>
      <c r="H3029" t="s">
        <v>11</v>
      </c>
    </row>
    <row r="3030" spans="1:8" x14ac:dyDescent="0.35">
      <c r="A3030" t="s">
        <v>59</v>
      </c>
      <c r="B3030" t="s">
        <v>113</v>
      </c>
      <c r="C3030" t="s">
        <v>2858</v>
      </c>
      <c r="D3030">
        <v>3</v>
      </c>
      <c r="E3030">
        <v>4</v>
      </c>
      <c r="F3030" t="s">
        <v>7</v>
      </c>
      <c r="G3030" t="s">
        <v>11</v>
      </c>
      <c r="H3030" t="s">
        <v>11</v>
      </c>
    </row>
    <row r="3031" spans="1:8" x14ac:dyDescent="0.35">
      <c r="A3031" t="s">
        <v>59</v>
      </c>
      <c r="B3031" t="s">
        <v>113</v>
      </c>
      <c r="C3031" t="s">
        <v>2859</v>
      </c>
      <c r="D3031">
        <v>1</v>
      </c>
      <c r="E3031">
        <v>4</v>
      </c>
      <c r="F3031" t="s">
        <v>7</v>
      </c>
      <c r="G3031" t="s">
        <v>11</v>
      </c>
      <c r="H3031" t="s">
        <v>11</v>
      </c>
    </row>
    <row r="3032" spans="1:8" x14ac:dyDescent="0.35">
      <c r="A3032" t="s">
        <v>59</v>
      </c>
      <c r="B3032" t="s">
        <v>113</v>
      </c>
      <c r="C3032" t="s">
        <v>2860</v>
      </c>
      <c r="D3032">
        <v>2</v>
      </c>
      <c r="E3032">
        <v>4</v>
      </c>
      <c r="F3032" t="s">
        <v>7</v>
      </c>
      <c r="G3032" t="s">
        <v>11</v>
      </c>
      <c r="H3032" t="s">
        <v>11</v>
      </c>
    </row>
    <row r="3033" spans="1:8" x14ac:dyDescent="0.35">
      <c r="A3033" t="s">
        <v>59</v>
      </c>
      <c r="B3033" t="s">
        <v>113</v>
      </c>
      <c r="C3033" t="s">
        <v>2861</v>
      </c>
      <c r="D3033">
        <v>3</v>
      </c>
      <c r="E3033">
        <v>4</v>
      </c>
      <c r="F3033" t="s">
        <v>7</v>
      </c>
      <c r="G3033" t="s">
        <v>11</v>
      </c>
      <c r="H3033" t="s">
        <v>11</v>
      </c>
    </row>
    <row r="3034" spans="1:8" x14ac:dyDescent="0.35">
      <c r="A3034" t="s">
        <v>59</v>
      </c>
      <c r="B3034" t="s">
        <v>113</v>
      </c>
      <c r="C3034" t="s">
        <v>2862</v>
      </c>
      <c r="D3034">
        <v>2</v>
      </c>
      <c r="E3034">
        <v>4</v>
      </c>
      <c r="F3034" t="s">
        <v>7</v>
      </c>
      <c r="G3034" t="s">
        <v>11</v>
      </c>
      <c r="H3034" t="s">
        <v>11</v>
      </c>
    </row>
    <row r="3035" spans="1:8" x14ac:dyDescent="0.35">
      <c r="A3035" t="s">
        <v>59</v>
      </c>
      <c r="B3035" t="s">
        <v>113</v>
      </c>
      <c r="C3035" t="s">
        <v>1268</v>
      </c>
      <c r="D3035">
        <v>1</v>
      </c>
      <c r="E3035">
        <v>4</v>
      </c>
      <c r="F3035" t="s">
        <v>7</v>
      </c>
      <c r="G3035" t="s">
        <v>11</v>
      </c>
      <c r="H3035" t="s">
        <v>11</v>
      </c>
    </row>
    <row r="3036" spans="1:8" x14ac:dyDescent="0.35">
      <c r="A3036" t="s">
        <v>59</v>
      </c>
      <c r="B3036" t="s">
        <v>113</v>
      </c>
      <c r="C3036" t="s">
        <v>2863</v>
      </c>
      <c r="D3036">
        <v>1</v>
      </c>
      <c r="E3036">
        <v>4</v>
      </c>
      <c r="F3036" t="s">
        <v>7</v>
      </c>
      <c r="G3036" t="s">
        <v>11</v>
      </c>
      <c r="H3036" t="s">
        <v>11</v>
      </c>
    </row>
    <row r="3037" spans="1:8" x14ac:dyDescent="0.35">
      <c r="A3037" t="s">
        <v>59</v>
      </c>
      <c r="B3037" t="s">
        <v>113</v>
      </c>
      <c r="C3037" t="s">
        <v>2864</v>
      </c>
      <c r="D3037">
        <v>2</v>
      </c>
      <c r="E3037">
        <v>4</v>
      </c>
      <c r="F3037" t="s">
        <v>7</v>
      </c>
      <c r="G3037" t="s">
        <v>11</v>
      </c>
      <c r="H3037" t="s">
        <v>11</v>
      </c>
    </row>
    <row r="3038" spans="1:8" x14ac:dyDescent="0.35">
      <c r="A3038" t="s">
        <v>59</v>
      </c>
      <c r="B3038" t="s">
        <v>113</v>
      </c>
      <c r="C3038" t="s">
        <v>1533</v>
      </c>
      <c r="D3038">
        <v>3</v>
      </c>
      <c r="E3038">
        <v>4</v>
      </c>
      <c r="F3038" t="s">
        <v>7</v>
      </c>
      <c r="G3038" t="s">
        <v>11</v>
      </c>
      <c r="H3038" t="s">
        <v>11</v>
      </c>
    </row>
    <row r="3039" spans="1:8" x14ac:dyDescent="0.35">
      <c r="A3039" t="s">
        <v>59</v>
      </c>
      <c r="B3039" t="s">
        <v>113</v>
      </c>
      <c r="C3039" t="s">
        <v>2865</v>
      </c>
      <c r="D3039">
        <v>3</v>
      </c>
      <c r="E3039">
        <v>4</v>
      </c>
      <c r="F3039" t="s">
        <v>7</v>
      </c>
      <c r="G3039" t="s">
        <v>11</v>
      </c>
      <c r="H3039" t="s">
        <v>11</v>
      </c>
    </row>
    <row r="3040" spans="1:8" x14ac:dyDescent="0.35">
      <c r="A3040" t="s">
        <v>59</v>
      </c>
      <c r="B3040" t="s">
        <v>113</v>
      </c>
      <c r="C3040" t="s">
        <v>2866</v>
      </c>
      <c r="D3040">
        <v>1</v>
      </c>
      <c r="E3040">
        <v>4</v>
      </c>
      <c r="F3040" t="s">
        <v>7</v>
      </c>
      <c r="G3040" t="s">
        <v>11</v>
      </c>
      <c r="H3040" t="s">
        <v>11</v>
      </c>
    </row>
    <row r="3041" spans="1:8" x14ac:dyDescent="0.35">
      <c r="A3041" t="s">
        <v>59</v>
      </c>
      <c r="B3041" t="s">
        <v>113</v>
      </c>
      <c r="C3041" t="s">
        <v>2867</v>
      </c>
      <c r="D3041">
        <v>1</v>
      </c>
      <c r="E3041">
        <v>4</v>
      </c>
      <c r="F3041" t="s">
        <v>7</v>
      </c>
      <c r="G3041" t="s">
        <v>11</v>
      </c>
      <c r="H3041" t="s">
        <v>11</v>
      </c>
    </row>
    <row r="3042" spans="1:8" x14ac:dyDescent="0.35">
      <c r="A3042" t="s">
        <v>59</v>
      </c>
      <c r="B3042" t="s">
        <v>113</v>
      </c>
      <c r="C3042" t="s">
        <v>2868</v>
      </c>
      <c r="D3042">
        <v>1</v>
      </c>
      <c r="E3042">
        <v>4</v>
      </c>
      <c r="F3042" t="s">
        <v>7</v>
      </c>
      <c r="G3042" t="s">
        <v>11</v>
      </c>
      <c r="H3042" t="s">
        <v>11</v>
      </c>
    </row>
    <row r="3043" spans="1:8" x14ac:dyDescent="0.35">
      <c r="A3043" t="s">
        <v>59</v>
      </c>
      <c r="B3043" t="s">
        <v>113</v>
      </c>
      <c r="C3043" t="s">
        <v>2236</v>
      </c>
      <c r="D3043">
        <v>1</v>
      </c>
      <c r="E3043">
        <v>4</v>
      </c>
      <c r="F3043" t="s">
        <v>7</v>
      </c>
      <c r="G3043" t="s">
        <v>11</v>
      </c>
      <c r="H3043" t="s">
        <v>11</v>
      </c>
    </row>
    <row r="3044" spans="1:8" x14ac:dyDescent="0.35">
      <c r="A3044" t="s">
        <v>59</v>
      </c>
      <c r="B3044" t="s">
        <v>113</v>
      </c>
      <c r="C3044" t="s">
        <v>1169</v>
      </c>
      <c r="D3044">
        <v>1</v>
      </c>
      <c r="E3044">
        <v>4</v>
      </c>
      <c r="F3044" t="s">
        <v>7</v>
      </c>
      <c r="G3044" t="s">
        <v>11</v>
      </c>
      <c r="H3044" t="s">
        <v>11</v>
      </c>
    </row>
    <row r="3045" spans="1:8" x14ac:dyDescent="0.35">
      <c r="A3045" t="s">
        <v>59</v>
      </c>
      <c r="B3045" t="s">
        <v>113</v>
      </c>
      <c r="C3045" t="s">
        <v>2248</v>
      </c>
      <c r="D3045">
        <v>1</v>
      </c>
      <c r="E3045">
        <v>4</v>
      </c>
      <c r="F3045" t="s">
        <v>7</v>
      </c>
      <c r="G3045" t="s">
        <v>11</v>
      </c>
      <c r="H3045" t="s">
        <v>11</v>
      </c>
    </row>
    <row r="3046" spans="1:8" x14ac:dyDescent="0.35">
      <c r="A3046" t="s">
        <v>59</v>
      </c>
      <c r="B3046" t="s">
        <v>113</v>
      </c>
      <c r="C3046" t="s">
        <v>1271</v>
      </c>
      <c r="D3046">
        <v>1</v>
      </c>
      <c r="E3046">
        <v>4</v>
      </c>
      <c r="F3046" t="s">
        <v>7</v>
      </c>
      <c r="G3046" t="s">
        <v>11</v>
      </c>
      <c r="H3046" t="s">
        <v>11</v>
      </c>
    </row>
    <row r="3047" spans="1:8" x14ac:dyDescent="0.35">
      <c r="A3047" t="s">
        <v>59</v>
      </c>
      <c r="B3047" t="s">
        <v>113</v>
      </c>
      <c r="C3047" t="s">
        <v>2869</v>
      </c>
      <c r="D3047">
        <v>1</v>
      </c>
      <c r="E3047">
        <v>4</v>
      </c>
      <c r="F3047" t="s">
        <v>7</v>
      </c>
      <c r="G3047" t="s">
        <v>11</v>
      </c>
      <c r="H3047" t="s">
        <v>11</v>
      </c>
    </row>
    <row r="3048" spans="1:8" x14ac:dyDescent="0.35">
      <c r="A3048" t="s">
        <v>59</v>
      </c>
      <c r="B3048" t="s">
        <v>113</v>
      </c>
      <c r="C3048" t="s">
        <v>2870</v>
      </c>
      <c r="D3048">
        <v>1</v>
      </c>
      <c r="E3048">
        <v>4</v>
      </c>
      <c r="F3048" t="s">
        <v>7</v>
      </c>
      <c r="G3048" t="s">
        <v>11</v>
      </c>
      <c r="H3048" t="s">
        <v>11</v>
      </c>
    </row>
    <row r="3049" spans="1:8" x14ac:dyDescent="0.35">
      <c r="A3049" t="s">
        <v>59</v>
      </c>
      <c r="B3049" t="s">
        <v>113</v>
      </c>
      <c r="C3049" t="s">
        <v>2871</v>
      </c>
      <c r="D3049">
        <v>3</v>
      </c>
      <c r="E3049">
        <v>4</v>
      </c>
      <c r="F3049" t="s">
        <v>7</v>
      </c>
      <c r="G3049" t="s">
        <v>11</v>
      </c>
      <c r="H3049" t="s">
        <v>11</v>
      </c>
    </row>
    <row r="3050" spans="1:8" x14ac:dyDescent="0.35">
      <c r="A3050" t="s">
        <v>59</v>
      </c>
      <c r="B3050" t="s">
        <v>113</v>
      </c>
      <c r="C3050" t="s">
        <v>2872</v>
      </c>
      <c r="D3050">
        <v>1</v>
      </c>
      <c r="E3050">
        <v>4</v>
      </c>
      <c r="F3050" t="s">
        <v>7</v>
      </c>
      <c r="G3050" t="s">
        <v>11</v>
      </c>
      <c r="H3050" t="s">
        <v>11</v>
      </c>
    </row>
    <row r="3051" spans="1:8" x14ac:dyDescent="0.35">
      <c r="A3051" t="s">
        <v>59</v>
      </c>
      <c r="B3051" t="s">
        <v>113</v>
      </c>
      <c r="C3051" t="s">
        <v>1797</v>
      </c>
      <c r="D3051">
        <v>1</v>
      </c>
      <c r="E3051">
        <v>4</v>
      </c>
      <c r="F3051" t="s">
        <v>7</v>
      </c>
      <c r="G3051" t="s">
        <v>11</v>
      </c>
      <c r="H3051" t="s">
        <v>11</v>
      </c>
    </row>
    <row r="3052" spans="1:8" x14ac:dyDescent="0.35">
      <c r="A3052" t="s">
        <v>59</v>
      </c>
      <c r="B3052" t="s">
        <v>113</v>
      </c>
      <c r="C3052" t="s">
        <v>2873</v>
      </c>
      <c r="D3052">
        <v>1</v>
      </c>
      <c r="E3052">
        <v>4</v>
      </c>
      <c r="F3052" t="s">
        <v>7</v>
      </c>
      <c r="G3052" t="s">
        <v>11</v>
      </c>
      <c r="H3052" t="s">
        <v>11</v>
      </c>
    </row>
    <row r="3053" spans="1:8" x14ac:dyDescent="0.35">
      <c r="A3053" t="s">
        <v>59</v>
      </c>
      <c r="B3053" t="s">
        <v>113</v>
      </c>
      <c r="C3053" t="s">
        <v>2874</v>
      </c>
      <c r="D3053">
        <v>3</v>
      </c>
      <c r="E3053">
        <v>4</v>
      </c>
      <c r="F3053" t="s">
        <v>7</v>
      </c>
      <c r="G3053" t="s">
        <v>11</v>
      </c>
      <c r="H3053" t="s">
        <v>11</v>
      </c>
    </row>
    <row r="3054" spans="1:8" x14ac:dyDescent="0.35">
      <c r="A3054" t="s">
        <v>59</v>
      </c>
      <c r="B3054" t="s">
        <v>113</v>
      </c>
      <c r="C3054" t="s">
        <v>2358</v>
      </c>
      <c r="D3054">
        <v>3</v>
      </c>
      <c r="E3054">
        <v>4</v>
      </c>
      <c r="F3054" t="s">
        <v>7</v>
      </c>
      <c r="G3054" t="s">
        <v>11</v>
      </c>
      <c r="H3054" t="s">
        <v>11</v>
      </c>
    </row>
    <row r="3055" spans="1:8" x14ac:dyDescent="0.35">
      <c r="A3055" t="s">
        <v>59</v>
      </c>
      <c r="B3055" t="s">
        <v>113</v>
      </c>
      <c r="C3055" t="s">
        <v>1403</v>
      </c>
      <c r="D3055">
        <v>3</v>
      </c>
      <c r="E3055">
        <v>4</v>
      </c>
      <c r="F3055" t="s">
        <v>7</v>
      </c>
      <c r="G3055" t="s">
        <v>11</v>
      </c>
      <c r="H3055" t="s">
        <v>11</v>
      </c>
    </row>
    <row r="3056" spans="1:8" x14ac:dyDescent="0.35">
      <c r="A3056" t="s">
        <v>59</v>
      </c>
      <c r="B3056" t="s">
        <v>113</v>
      </c>
      <c r="C3056" t="s">
        <v>1647</v>
      </c>
      <c r="D3056">
        <v>1</v>
      </c>
      <c r="E3056">
        <v>4</v>
      </c>
      <c r="F3056" t="s">
        <v>7</v>
      </c>
      <c r="G3056" t="s">
        <v>11</v>
      </c>
      <c r="H3056" t="s">
        <v>11</v>
      </c>
    </row>
    <row r="3057" spans="1:8" x14ac:dyDescent="0.35">
      <c r="A3057" t="s">
        <v>59</v>
      </c>
      <c r="B3057" t="s">
        <v>113</v>
      </c>
      <c r="C3057" t="s">
        <v>2875</v>
      </c>
      <c r="D3057">
        <v>3</v>
      </c>
      <c r="E3057">
        <v>4</v>
      </c>
      <c r="F3057" t="s">
        <v>7</v>
      </c>
      <c r="G3057" t="s">
        <v>11</v>
      </c>
      <c r="H3057" t="s">
        <v>11</v>
      </c>
    </row>
    <row r="3058" spans="1:8" x14ac:dyDescent="0.35">
      <c r="A3058" t="s">
        <v>59</v>
      </c>
      <c r="B3058" t="s">
        <v>113</v>
      </c>
      <c r="C3058" t="s">
        <v>1555</v>
      </c>
      <c r="D3058">
        <v>1</v>
      </c>
      <c r="E3058">
        <v>4</v>
      </c>
      <c r="F3058" t="s">
        <v>7</v>
      </c>
      <c r="G3058" t="s">
        <v>11</v>
      </c>
      <c r="H3058" t="s">
        <v>11</v>
      </c>
    </row>
    <row r="3059" spans="1:8" x14ac:dyDescent="0.35">
      <c r="A3059" t="s">
        <v>59</v>
      </c>
      <c r="B3059" t="s">
        <v>113</v>
      </c>
      <c r="C3059" t="s">
        <v>1177</v>
      </c>
      <c r="D3059">
        <v>1</v>
      </c>
      <c r="E3059">
        <v>4</v>
      </c>
      <c r="F3059" t="s">
        <v>7</v>
      </c>
      <c r="G3059" t="s">
        <v>11</v>
      </c>
      <c r="H3059" t="s">
        <v>11</v>
      </c>
    </row>
    <row r="3060" spans="1:8" x14ac:dyDescent="0.35">
      <c r="A3060" t="s">
        <v>59</v>
      </c>
      <c r="B3060" t="s">
        <v>113</v>
      </c>
      <c r="C3060" t="s">
        <v>2876</v>
      </c>
      <c r="D3060">
        <v>1</v>
      </c>
      <c r="E3060">
        <v>4</v>
      </c>
      <c r="F3060" t="s">
        <v>7</v>
      </c>
      <c r="G3060" t="s">
        <v>11</v>
      </c>
      <c r="H3060" t="s">
        <v>11</v>
      </c>
    </row>
    <row r="3061" spans="1:8" x14ac:dyDescent="0.35">
      <c r="A3061" t="s">
        <v>59</v>
      </c>
      <c r="B3061" t="s">
        <v>113</v>
      </c>
      <c r="C3061" t="s">
        <v>2522</v>
      </c>
      <c r="D3061">
        <v>3</v>
      </c>
      <c r="E3061">
        <v>4</v>
      </c>
      <c r="F3061" t="s">
        <v>7</v>
      </c>
      <c r="G3061" t="s">
        <v>11</v>
      </c>
      <c r="H3061" t="s">
        <v>11</v>
      </c>
    </row>
    <row r="3062" spans="1:8" x14ac:dyDescent="0.35">
      <c r="A3062" t="s">
        <v>59</v>
      </c>
      <c r="B3062" t="s">
        <v>113</v>
      </c>
      <c r="C3062" t="s">
        <v>2877</v>
      </c>
      <c r="D3062">
        <v>3</v>
      </c>
      <c r="E3062">
        <v>4</v>
      </c>
      <c r="F3062" t="s">
        <v>7</v>
      </c>
      <c r="G3062" t="s">
        <v>11</v>
      </c>
      <c r="H3062" t="s">
        <v>11</v>
      </c>
    </row>
    <row r="3063" spans="1:8" x14ac:dyDescent="0.35">
      <c r="A3063" t="s">
        <v>59</v>
      </c>
      <c r="B3063" t="s">
        <v>113</v>
      </c>
      <c r="C3063" t="s">
        <v>2878</v>
      </c>
      <c r="D3063">
        <v>1</v>
      </c>
      <c r="E3063">
        <v>4</v>
      </c>
      <c r="F3063" t="s">
        <v>7</v>
      </c>
      <c r="G3063" t="s">
        <v>11</v>
      </c>
      <c r="H3063" t="s">
        <v>11</v>
      </c>
    </row>
    <row r="3064" spans="1:8" x14ac:dyDescent="0.35">
      <c r="A3064" t="s">
        <v>59</v>
      </c>
      <c r="B3064" t="s">
        <v>113</v>
      </c>
      <c r="C3064" t="s">
        <v>2769</v>
      </c>
      <c r="D3064">
        <v>2</v>
      </c>
      <c r="E3064">
        <v>4</v>
      </c>
      <c r="F3064" t="s">
        <v>7</v>
      </c>
      <c r="G3064" t="s">
        <v>11</v>
      </c>
      <c r="H3064" t="s">
        <v>11</v>
      </c>
    </row>
    <row r="3065" spans="1:8" x14ac:dyDescent="0.35">
      <c r="A3065" t="s">
        <v>59</v>
      </c>
      <c r="B3065" t="s">
        <v>113</v>
      </c>
      <c r="C3065" t="s">
        <v>2879</v>
      </c>
      <c r="D3065">
        <v>1</v>
      </c>
      <c r="E3065">
        <v>4</v>
      </c>
      <c r="F3065" t="s">
        <v>7</v>
      </c>
      <c r="G3065" t="s">
        <v>11</v>
      </c>
      <c r="H3065" t="s">
        <v>11</v>
      </c>
    </row>
    <row r="3066" spans="1:8" x14ac:dyDescent="0.35">
      <c r="A3066" t="s">
        <v>59</v>
      </c>
      <c r="B3066" t="s">
        <v>113</v>
      </c>
      <c r="C3066" t="s">
        <v>1918</v>
      </c>
      <c r="D3066">
        <v>3</v>
      </c>
      <c r="E3066">
        <v>4</v>
      </c>
      <c r="F3066" t="s">
        <v>7</v>
      </c>
      <c r="G3066" t="s">
        <v>11</v>
      </c>
      <c r="H3066" t="s">
        <v>11</v>
      </c>
    </row>
    <row r="3067" spans="1:8" x14ac:dyDescent="0.35">
      <c r="A3067" t="s">
        <v>61</v>
      </c>
      <c r="B3067" t="s">
        <v>85</v>
      </c>
      <c r="C3067" t="s">
        <v>1338</v>
      </c>
      <c r="D3067">
        <v>2</v>
      </c>
      <c r="E3067">
        <v>5</v>
      </c>
      <c r="F3067" t="s">
        <v>75</v>
      </c>
      <c r="G3067" t="s">
        <v>11</v>
      </c>
      <c r="H3067" t="s">
        <v>11</v>
      </c>
    </row>
    <row r="3068" spans="1:8" x14ac:dyDescent="0.35">
      <c r="A3068" t="s">
        <v>61</v>
      </c>
      <c r="B3068" t="s">
        <v>85</v>
      </c>
      <c r="C3068" t="s">
        <v>2880</v>
      </c>
      <c r="D3068">
        <v>2</v>
      </c>
      <c r="E3068">
        <v>5</v>
      </c>
      <c r="F3068" t="s">
        <v>75</v>
      </c>
      <c r="G3068" t="s">
        <v>11</v>
      </c>
      <c r="H3068" t="s">
        <v>11</v>
      </c>
    </row>
    <row r="3069" spans="1:8" x14ac:dyDescent="0.35">
      <c r="A3069" t="s">
        <v>61</v>
      </c>
      <c r="B3069" t="s">
        <v>85</v>
      </c>
      <c r="C3069" t="s">
        <v>1228</v>
      </c>
      <c r="D3069">
        <v>2</v>
      </c>
      <c r="E3069">
        <v>5</v>
      </c>
      <c r="F3069" t="s">
        <v>75</v>
      </c>
      <c r="G3069" t="s">
        <v>11</v>
      </c>
      <c r="H3069" t="s">
        <v>11</v>
      </c>
    </row>
    <row r="3070" spans="1:8" x14ac:dyDescent="0.35">
      <c r="A3070" t="s">
        <v>61</v>
      </c>
      <c r="B3070" t="s">
        <v>85</v>
      </c>
      <c r="C3070" t="s">
        <v>2881</v>
      </c>
      <c r="D3070">
        <v>3</v>
      </c>
      <c r="E3070">
        <v>5</v>
      </c>
      <c r="F3070" t="s">
        <v>75</v>
      </c>
      <c r="G3070" t="s">
        <v>11</v>
      </c>
      <c r="H3070" t="s">
        <v>11</v>
      </c>
    </row>
    <row r="3071" spans="1:8" x14ac:dyDescent="0.35">
      <c r="A3071" t="s">
        <v>61</v>
      </c>
      <c r="B3071" t="s">
        <v>85</v>
      </c>
      <c r="C3071" t="s">
        <v>2882</v>
      </c>
      <c r="D3071">
        <v>3</v>
      </c>
      <c r="E3071">
        <v>4</v>
      </c>
      <c r="F3071" t="s">
        <v>105</v>
      </c>
      <c r="G3071" t="s">
        <v>11</v>
      </c>
      <c r="H3071" t="s">
        <v>11</v>
      </c>
    </row>
    <row r="3072" spans="1:8" x14ac:dyDescent="0.35">
      <c r="A3072" t="s">
        <v>61</v>
      </c>
      <c r="B3072" t="s">
        <v>85</v>
      </c>
      <c r="C3072" t="s">
        <v>1233</v>
      </c>
      <c r="D3072">
        <v>1</v>
      </c>
      <c r="E3072">
        <v>4</v>
      </c>
      <c r="F3072" t="s">
        <v>105</v>
      </c>
      <c r="G3072" t="s">
        <v>11</v>
      </c>
      <c r="H3072" t="s">
        <v>11</v>
      </c>
    </row>
    <row r="3073" spans="1:8" x14ac:dyDescent="0.35">
      <c r="A3073" t="s">
        <v>61</v>
      </c>
      <c r="B3073" t="s">
        <v>85</v>
      </c>
      <c r="C3073" t="s">
        <v>1235</v>
      </c>
      <c r="D3073">
        <v>2</v>
      </c>
      <c r="E3073">
        <v>5</v>
      </c>
      <c r="F3073" t="s">
        <v>75</v>
      </c>
      <c r="G3073" t="s">
        <v>11</v>
      </c>
      <c r="H3073" t="s">
        <v>11</v>
      </c>
    </row>
    <row r="3074" spans="1:8" x14ac:dyDescent="0.35">
      <c r="A3074" t="s">
        <v>61</v>
      </c>
      <c r="B3074" t="s">
        <v>85</v>
      </c>
      <c r="C3074" t="s">
        <v>2883</v>
      </c>
      <c r="D3074">
        <v>3</v>
      </c>
      <c r="E3074">
        <v>4</v>
      </c>
      <c r="F3074" t="s">
        <v>105</v>
      </c>
      <c r="G3074" t="s">
        <v>11</v>
      </c>
      <c r="H3074" t="s">
        <v>11</v>
      </c>
    </row>
    <row r="3075" spans="1:8" x14ac:dyDescent="0.35">
      <c r="A3075" t="s">
        <v>61</v>
      </c>
      <c r="B3075" t="s">
        <v>85</v>
      </c>
      <c r="C3075" t="s">
        <v>1356</v>
      </c>
      <c r="D3075">
        <v>2</v>
      </c>
      <c r="E3075">
        <v>5</v>
      </c>
      <c r="F3075" t="s">
        <v>75</v>
      </c>
      <c r="G3075" t="s">
        <v>11</v>
      </c>
      <c r="H3075" t="s">
        <v>11</v>
      </c>
    </row>
    <row r="3076" spans="1:8" x14ac:dyDescent="0.35">
      <c r="A3076" t="s">
        <v>61</v>
      </c>
      <c r="B3076" t="s">
        <v>85</v>
      </c>
      <c r="C3076" t="s">
        <v>2884</v>
      </c>
      <c r="D3076">
        <v>1</v>
      </c>
      <c r="E3076">
        <v>6</v>
      </c>
      <c r="F3076" t="s">
        <v>75</v>
      </c>
      <c r="G3076" t="s">
        <v>11</v>
      </c>
      <c r="H3076" t="s">
        <v>11</v>
      </c>
    </row>
    <row r="3077" spans="1:8" x14ac:dyDescent="0.35">
      <c r="A3077" t="s">
        <v>61</v>
      </c>
      <c r="B3077" t="s">
        <v>85</v>
      </c>
      <c r="C3077" t="s">
        <v>1142</v>
      </c>
      <c r="D3077">
        <v>2</v>
      </c>
      <c r="E3077">
        <v>5</v>
      </c>
      <c r="F3077" t="s">
        <v>75</v>
      </c>
      <c r="G3077" t="s">
        <v>11</v>
      </c>
      <c r="H3077" t="s">
        <v>11</v>
      </c>
    </row>
    <row r="3078" spans="1:8" x14ac:dyDescent="0.35">
      <c r="A3078" t="s">
        <v>61</v>
      </c>
      <c r="B3078" t="s">
        <v>85</v>
      </c>
      <c r="C3078" t="s">
        <v>1361</v>
      </c>
      <c r="D3078">
        <v>2</v>
      </c>
      <c r="E3078">
        <v>5</v>
      </c>
      <c r="F3078" t="s">
        <v>75</v>
      </c>
      <c r="G3078" t="s">
        <v>11</v>
      </c>
      <c r="H3078" t="s">
        <v>11</v>
      </c>
    </row>
    <row r="3079" spans="1:8" x14ac:dyDescent="0.35">
      <c r="A3079" t="s">
        <v>61</v>
      </c>
      <c r="B3079" t="s">
        <v>85</v>
      </c>
      <c r="C3079" t="s">
        <v>1246</v>
      </c>
      <c r="D3079">
        <v>2</v>
      </c>
      <c r="E3079">
        <v>5</v>
      </c>
      <c r="F3079" t="s">
        <v>75</v>
      </c>
      <c r="G3079" t="s">
        <v>11</v>
      </c>
      <c r="H3079" t="s">
        <v>11</v>
      </c>
    </row>
    <row r="3080" spans="1:8" x14ac:dyDescent="0.35">
      <c r="A3080" t="s">
        <v>61</v>
      </c>
      <c r="B3080" t="s">
        <v>85</v>
      </c>
      <c r="C3080" t="s">
        <v>2885</v>
      </c>
      <c r="D3080">
        <v>3</v>
      </c>
      <c r="E3080">
        <v>4</v>
      </c>
      <c r="F3080" t="s">
        <v>105</v>
      </c>
      <c r="G3080" t="s">
        <v>11</v>
      </c>
      <c r="H3080" t="s">
        <v>11</v>
      </c>
    </row>
    <row r="3081" spans="1:8" x14ac:dyDescent="0.35">
      <c r="A3081" t="s">
        <v>61</v>
      </c>
      <c r="B3081" t="s">
        <v>85</v>
      </c>
      <c r="C3081" t="s">
        <v>2886</v>
      </c>
      <c r="D3081">
        <v>3</v>
      </c>
      <c r="E3081">
        <v>4</v>
      </c>
      <c r="F3081" t="s">
        <v>105</v>
      </c>
      <c r="G3081" t="s">
        <v>11</v>
      </c>
      <c r="H3081" t="s">
        <v>11</v>
      </c>
    </row>
    <row r="3082" spans="1:8" x14ac:dyDescent="0.35">
      <c r="A3082" t="s">
        <v>61</v>
      </c>
      <c r="B3082" t="s">
        <v>85</v>
      </c>
      <c r="C3082" t="s">
        <v>1149</v>
      </c>
      <c r="D3082">
        <v>3</v>
      </c>
      <c r="E3082">
        <v>4</v>
      </c>
      <c r="F3082" t="s">
        <v>105</v>
      </c>
      <c r="G3082" t="s">
        <v>11</v>
      </c>
      <c r="H3082" t="s">
        <v>11</v>
      </c>
    </row>
    <row r="3083" spans="1:8" x14ac:dyDescent="0.35">
      <c r="A3083" t="s">
        <v>61</v>
      </c>
      <c r="B3083" t="s">
        <v>85</v>
      </c>
      <c r="C3083" t="s">
        <v>2698</v>
      </c>
      <c r="D3083">
        <v>3</v>
      </c>
      <c r="E3083">
        <v>4</v>
      </c>
      <c r="F3083" t="s">
        <v>105</v>
      </c>
      <c r="G3083" t="s">
        <v>11</v>
      </c>
      <c r="H3083" t="s">
        <v>11</v>
      </c>
    </row>
    <row r="3084" spans="1:8" x14ac:dyDescent="0.35">
      <c r="A3084" t="s">
        <v>61</v>
      </c>
      <c r="B3084" t="s">
        <v>85</v>
      </c>
      <c r="C3084" t="s">
        <v>2887</v>
      </c>
      <c r="D3084">
        <v>3</v>
      </c>
      <c r="E3084">
        <v>4</v>
      </c>
      <c r="F3084" t="s">
        <v>105</v>
      </c>
      <c r="G3084" t="s">
        <v>11</v>
      </c>
      <c r="H3084" t="s">
        <v>11</v>
      </c>
    </row>
    <row r="3085" spans="1:8" x14ac:dyDescent="0.35">
      <c r="A3085" t="s">
        <v>61</v>
      </c>
      <c r="B3085" t="s">
        <v>85</v>
      </c>
      <c r="C3085" t="s">
        <v>2888</v>
      </c>
      <c r="D3085">
        <v>2</v>
      </c>
      <c r="E3085">
        <v>5</v>
      </c>
      <c r="F3085" t="s">
        <v>75</v>
      </c>
      <c r="G3085" t="s">
        <v>11</v>
      </c>
      <c r="H3085" t="s">
        <v>11</v>
      </c>
    </row>
    <row r="3086" spans="1:8" x14ac:dyDescent="0.35">
      <c r="A3086" t="s">
        <v>61</v>
      </c>
      <c r="B3086" t="s">
        <v>85</v>
      </c>
      <c r="C3086" t="s">
        <v>2889</v>
      </c>
      <c r="D3086">
        <v>2</v>
      </c>
      <c r="E3086">
        <v>5</v>
      </c>
      <c r="F3086" t="s">
        <v>75</v>
      </c>
      <c r="G3086" t="s">
        <v>11</v>
      </c>
      <c r="H3086" t="s">
        <v>11</v>
      </c>
    </row>
    <row r="3087" spans="1:8" x14ac:dyDescent="0.35">
      <c r="A3087" t="s">
        <v>61</v>
      </c>
      <c r="B3087" t="s">
        <v>85</v>
      </c>
      <c r="C3087" t="s">
        <v>1590</v>
      </c>
      <c r="D3087">
        <v>3</v>
      </c>
      <c r="E3087">
        <v>4</v>
      </c>
      <c r="F3087" t="s">
        <v>105</v>
      </c>
      <c r="G3087" t="s">
        <v>11</v>
      </c>
      <c r="H3087" t="s">
        <v>11</v>
      </c>
    </row>
    <row r="3088" spans="1:8" x14ac:dyDescent="0.35">
      <c r="A3088" t="s">
        <v>61</v>
      </c>
      <c r="B3088" t="s">
        <v>85</v>
      </c>
      <c r="C3088" t="s">
        <v>1254</v>
      </c>
      <c r="D3088">
        <v>2</v>
      </c>
      <c r="E3088">
        <v>5</v>
      </c>
      <c r="F3088" t="s">
        <v>75</v>
      </c>
      <c r="G3088" t="s">
        <v>11</v>
      </c>
      <c r="H3088" t="s">
        <v>11</v>
      </c>
    </row>
    <row r="3089" spans="1:8" x14ac:dyDescent="0.35">
      <c r="A3089" t="s">
        <v>61</v>
      </c>
      <c r="B3089" t="s">
        <v>85</v>
      </c>
      <c r="C3089" t="s">
        <v>1630</v>
      </c>
      <c r="D3089">
        <v>3</v>
      </c>
      <c r="E3089">
        <v>4</v>
      </c>
      <c r="F3089" t="s">
        <v>105</v>
      </c>
      <c r="G3089" t="s">
        <v>11</v>
      </c>
      <c r="H3089" t="s">
        <v>11</v>
      </c>
    </row>
    <row r="3090" spans="1:8" x14ac:dyDescent="0.35">
      <c r="A3090" t="s">
        <v>61</v>
      </c>
      <c r="B3090" t="s">
        <v>85</v>
      </c>
      <c r="C3090" t="s">
        <v>2890</v>
      </c>
      <c r="D3090">
        <v>1</v>
      </c>
      <c r="E3090">
        <v>6</v>
      </c>
      <c r="F3090" t="s">
        <v>75</v>
      </c>
      <c r="G3090" t="s">
        <v>11</v>
      </c>
      <c r="H3090" t="s">
        <v>11</v>
      </c>
    </row>
    <row r="3091" spans="1:8" x14ac:dyDescent="0.35">
      <c r="A3091" t="s">
        <v>61</v>
      </c>
      <c r="B3091" t="s">
        <v>85</v>
      </c>
      <c r="C3091" t="s">
        <v>2891</v>
      </c>
      <c r="D3091">
        <v>3</v>
      </c>
      <c r="E3091">
        <v>4</v>
      </c>
      <c r="F3091" t="s">
        <v>105</v>
      </c>
      <c r="G3091" t="s">
        <v>11</v>
      </c>
      <c r="H3091" t="s">
        <v>11</v>
      </c>
    </row>
    <row r="3092" spans="1:8" x14ac:dyDescent="0.35">
      <c r="A3092" t="s">
        <v>61</v>
      </c>
      <c r="B3092" t="s">
        <v>85</v>
      </c>
      <c r="C3092" t="s">
        <v>2892</v>
      </c>
      <c r="D3092">
        <v>1</v>
      </c>
      <c r="E3092">
        <v>6</v>
      </c>
      <c r="F3092" t="s">
        <v>75</v>
      </c>
      <c r="G3092" t="s">
        <v>11</v>
      </c>
      <c r="H3092" t="s">
        <v>11</v>
      </c>
    </row>
    <row r="3093" spans="1:8" x14ac:dyDescent="0.35">
      <c r="A3093" t="s">
        <v>61</v>
      </c>
      <c r="B3093" t="s">
        <v>85</v>
      </c>
      <c r="C3093" t="s">
        <v>1530</v>
      </c>
      <c r="D3093">
        <v>3</v>
      </c>
      <c r="E3093">
        <v>4</v>
      </c>
      <c r="F3093" t="s">
        <v>105</v>
      </c>
      <c r="G3093" t="s">
        <v>11</v>
      </c>
      <c r="H3093" t="s">
        <v>11</v>
      </c>
    </row>
    <row r="3094" spans="1:8" x14ac:dyDescent="0.35">
      <c r="A3094" t="s">
        <v>61</v>
      </c>
      <c r="B3094" t="s">
        <v>85</v>
      </c>
      <c r="C3094" t="s">
        <v>1387</v>
      </c>
      <c r="D3094">
        <v>3</v>
      </c>
      <c r="E3094">
        <v>4</v>
      </c>
      <c r="F3094" t="s">
        <v>105</v>
      </c>
      <c r="G3094" t="s">
        <v>11</v>
      </c>
      <c r="H3094" t="s">
        <v>11</v>
      </c>
    </row>
    <row r="3095" spans="1:8" x14ac:dyDescent="0.35">
      <c r="A3095" t="s">
        <v>61</v>
      </c>
      <c r="B3095" t="s">
        <v>85</v>
      </c>
      <c r="C3095" t="s">
        <v>2893</v>
      </c>
      <c r="D3095">
        <v>3</v>
      </c>
      <c r="E3095">
        <v>4</v>
      </c>
      <c r="F3095" t="s">
        <v>105</v>
      </c>
      <c r="G3095" t="s">
        <v>11</v>
      </c>
      <c r="H3095" t="s">
        <v>11</v>
      </c>
    </row>
    <row r="3096" spans="1:8" x14ac:dyDescent="0.35">
      <c r="A3096" t="s">
        <v>61</v>
      </c>
      <c r="B3096" t="s">
        <v>85</v>
      </c>
      <c r="C3096" t="s">
        <v>2894</v>
      </c>
      <c r="D3096">
        <v>1</v>
      </c>
      <c r="E3096">
        <v>5</v>
      </c>
      <c r="F3096" t="s">
        <v>75</v>
      </c>
      <c r="G3096" t="s">
        <v>11</v>
      </c>
      <c r="H3096" t="s">
        <v>11</v>
      </c>
    </row>
    <row r="3097" spans="1:8" x14ac:dyDescent="0.35">
      <c r="A3097" t="s">
        <v>61</v>
      </c>
      <c r="B3097" t="s">
        <v>85</v>
      </c>
      <c r="C3097" t="s">
        <v>2895</v>
      </c>
      <c r="D3097">
        <v>3</v>
      </c>
      <c r="E3097">
        <v>4</v>
      </c>
      <c r="F3097" t="s">
        <v>105</v>
      </c>
      <c r="G3097" t="s">
        <v>11</v>
      </c>
      <c r="H3097" t="s">
        <v>11</v>
      </c>
    </row>
    <row r="3098" spans="1:8" x14ac:dyDescent="0.35">
      <c r="A3098" t="s">
        <v>61</v>
      </c>
      <c r="B3098" t="s">
        <v>85</v>
      </c>
      <c r="C3098" t="s">
        <v>2896</v>
      </c>
      <c r="D3098">
        <v>1</v>
      </c>
      <c r="E3098">
        <v>5</v>
      </c>
      <c r="F3098" t="s">
        <v>75</v>
      </c>
      <c r="G3098" t="s">
        <v>11</v>
      </c>
      <c r="H3098" t="s">
        <v>11</v>
      </c>
    </row>
    <row r="3099" spans="1:8" x14ac:dyDescent="0.35">
      <c r="A3099" t="s">
        <v>61</v>
      </c>
      <c r="B3099" t="s">
        <v>85</v>
      </c>
      <c r="C3099" t="s">
        <v>1799</v>
      </c>
      <c r="D3099">
        <v>1</v>
      </c>
      <c r="E3099">
        <v>6</v>
      </c>
      <c r="F3099" t="s">
        <v>75</v>
      </c>
      <c r="G3099" t="s">
        <v>11</v>
      </c>
      <c r="H3099" t="s">
        <v>11</v>
      </c>
    </row>
    <row r="3100" spans="1:8" x14ac:dyDescent="0.35">
      <c r="A3100" t="s">
        <v>61</v>
      </c>
      <c r="B3100" t="s">
        <v>85</v>
      </c>
      <c r="C3100" t="s">
        <v>2219</v>
      </c>
      <c r="D3100">
        <v>3</v>
      </c>
      <c r="E3100">
        <v>4</v>
      </c>
      <c r="F3100" t="s">
        <v>105</v>
      </c>
      <c r="G3100" t="s">
        <v>11</v>
      </c>
      <c r="H3100" t="s">
        <v>11</v>
      </c>
    </row>
    <row r="3101" spans="1:8" x14ac:dyDescent="0.35">
      <c r="A3101" t="s">
        <v>61</v>
      </c>
      <c r="B3101" t="s">
        <v>85</v>
      </c>
      <c r="C3101" t="s">
        <v>2897</v>
      </c>
      <c r="D3101">
        <v>3</v>
      </c>
      <c r="E3101">
        <v>4</v>
      </c>
      <c r="F3101" t="s">
        <v>105</v>
      </c>
      <c r="G3101" t="s">
        <v>11</v>
      </c>
      <c r="H3101" t="s">
        <v>11</v>
      </c>
    </row>
    <row r="3102" spans="1:8" x14ac:dyDescent="0.35">
      <c r="A3102" t="s">
        <v>61</v>
      </c>
      <c r="B3102" t="s">
        <v>85</v>
      </c>
      <c r="C3102" t="s">
        <v>2898</v>
      </c>
      <c r="D3102">
        <v>2</v>
      </c>
      <c r="E3102">
        <v>5</v>
      </c>
      <c r="F3102" t="s">
        <v>75</v>
      </c>
      <c r="G3102" t="s">
        <v>11</v>
      </c>
      <c r="H3102" t="s">
        <v>11</v>
      </c>
    </row>
    <row r="3103" spans="1:8" x14ac:dyDescent="0.35">
      <c r="A3103" t="s">
        <v>61</v>
      </c>
      <c r="B3103" t="s">
        <v>85</v>
      </c>
      <c r="C3103" t="s">
        <v>2899</v>
      </c>
      <c r="D3103">
        <v>3</v>
      </c>
      <c r="E3103">
        <v>4</v>
      </c>
      <c r="F3103" t="s">
        <v>105</v>
      </c>
      <c r="G3103" t="s">
        <v>11</v>
      </c>
      <c r="H3103" t="s">
        <v>11</v>
      </c>
    </row>
    <row r="3104" spans="1:8" x14ac:dyDescent="0.35">
      <c r="A3104" t="s">
        <v>61</v>
      </c>
      <c r="B3104" t="s">
        <v>85</v>
      </c>
      <c r="C3104" t="s">
        <v>2900</v>
      </c>
      <c r="D3104">
        <v>2</v>
      </c>
      <c r="E3104">
        <v>5</v>
      </c>
      <c r="F3104" t="s">
        <v>75</v>
      </c>
      <c r="G3104" t="s">
        <v>11</v>
      </c>
      <c r="H3104" t="s">
        <v>11</v>
      </c>
    </row>
    <row r="3105" spans="1:8" x14ac:dyDescent="0.35">
      <c r="A3105" t="s">
        <v>61</v>
      </c>
      <c r="B3105" t="s">
        <v>85</v>
      </c>
      <c r="C3105" t="s">
        <v>2901</v>
      </c>
      <c r="D3105">
        <v>2</v>
      </c>
      <c r="E3105">
        <v>5</v>
      </c>
      <c r="F3105" t="s">
        <v>75</v>
      </c>
      <c r="G3105" t="s">
        <v>11</v>
      </c>
      <c r="H3105" t="s">
        <v>11</v>
      </c>
    </row>
    <row r="3106" spans="1:8" x14ac:dyDescent="0.35">
      <c r="A3106" t="s">
        <v>63</v>
      </c>
      <c r="B3106" t="s">
        <v>103</v>
      </c>
      <c r="C3106" t="s">
        <v>1115</v>
      </c>
      <c r="D3106">
        <v>2</v>
      </c>
      <c r="E3106">
        <v>5</v>
      </c>
      <c r="F3106" t="s">
        <v>7</v>
      </c>
      <c r="G3106" t="s">
        <v>11</v>
      </c>
      <c r="H3106" t="s">
        <v>11</v>
      </c>
    </row>
    <row r="3107" spans="1:8" x14ac:dyDescent="0.35">
      <c r="A3107" t="s">
        <v>63</v>
      </c>
      <c r="B3107" t="s">
        <v>103</v>
      </c>
      <c r="C3107" t="s">
        <v>2530</v>
      </c>
      <c r="D3107">
        <v>1</v>
      </c>
      <c r="E3107">
        <v>4</v>
      </c>
      <c r="F3107" t="s">
        <v>7</v>
      </c>
      <c r="G3107" t="s">
        <v>11</v>
      </c>
      <c r="H3107" t="s">
        <v>11</v>
      </c>
    </row>
    <row r="3108" spans="1:8" x14ac:dyDescent="0.35">
      <c r="A3108" t="s">
        <v>63</v>
      </c>
      <c r="B3108" t="s">
        <v>103</v>
      </c>
      <c r="C3108" t="s">
        <v>1229</v>
      </c>
      <c r="D3108">
        <v>3</v>
      </c>
      <c r="E3108">
        <v>4</v>
      </c>
      <c r="F3108" t="s">
        <v>7</v>
      </c>
      <c r="G3108" t="s">
        <v>11</v>
      </c>
      <c r="H3108" t="s">
        <v>11</v>
      </c>
    </row>
    <row r="3109" spans="1:8" x14ac:dyDescent="0.35">
      <c r="A3109" t="s">
        <v>63</v>
      </c>
      <c r="B3109" t="s">
        <v>103</v>
      </c>
      <c r="C3109" t="s">
        <v>2902</v>
      </c>
      <c r="D3109">
        <v>2</v>
      </c>
      <c r="E3109">
        <v>4</v>
      </c>
      <c r="F3109" t="s">
        <v>7</v>
      </c>
      <c r="G3109" t="s">
        <v>11</v>
      </c>
      <c r="H3109" t="s">
        <v>11</v>
      </c>
    </row>
    <row r="3110" spans="1:8" x14ac:dyDescent="0.35">
      <c r="A3110" t="s">
        <v>63</v>
      </c>
      <c r="B3110" t="s">
        <v>103</v>
      </c>
      <c r="C3110" t="s">
        <v>2903</v>
      </c>
      <c r="D3110">
        <v>1</v>
      </c>
      <c r="E3110">
        <v>5</v>
      </c>
      <c r="F3110" t="s">
        <v>7</v>
      </c>
      <c r="G3110" t="s">
        <v>11</v>
      </c>
      <c r="H3110" t="s">
        <v>11</v>
      </c>
    </row>
    <row r="3111" spans="1:8" x14ac:dyDescent="0.35">
      <c r="A3111" t="s">
        <v>63</v>
      </c>
      <c r="B3111" t="s">
        <v>103</v>
      </c>
      <c r="C3111" t="s">
        <v>2904</v>
      </c>
      <c r="D3111">
        <v>2</v>
      </c>
      <c r="E3111">
        <v>4</v>
      </c>
      <c r="F3111" t="s">
        <v>7</v>
      </c>
      <c r="G3111" t="s">
        <v>11</v>
      </c>
      <c r="H3111" t="s">
        <v>11</v>
      </c>
    </row>
    <row r="3112" spans="1:8" x14ac:dyDescent="0.35">
      <c r="A3112" t="s">
        <v>63</v>
      </c>
      <c r="B3112" t="s">
        <v>103</v>
      </c>
      <c r="C3112" t="s">
        <v>1120</v>
      </c>
      <c r="D3112">
        <v>2</v>
      </c>
      <c r="E3112">
        <v>4</v>
      </c>
      <c r="F3112" t="s">
        <v>7</v>
      </c>
      <c r="G3112" t="s">
        <v>11</v>
      </c>
      <c r="H3112" t="s">
        <v>11</v>
      </c>
    </row>
    <row r="3113" spans="1:8" x14ac:dyDescent="0.35">
      <c r="A3113" t="s">
        <v>63</v>
      </c>
      <c r="B3113" t="s">
        <v>103</v>
      </c>
      <c r="C3113" t="s">
        <v>1126</v>
      </c>
      <c r="D3113">
        <v>2</v>
      </c>
      <c r="E3113">
        <v>4</v>
      </c>
      <c r="F3113" t="s">
        <v>7</v>
      </c>
      <c r="G3113" t="s">
        <v>11</v>
      </c>
      <c r="H3113" t="s">
        <v>11</v>
      </c>
    </row>
    <row r="3114" spans="1:8" x14ac:dyDescent="0.35">
      <c r="A3114" t="s">
        <v>63</v>
      </c>
      <c r="B3114" t="s">
        <v>103</v>
      </c>
      <c r="C3114" t="s">
        <v>2905</v>
      </c>
      <c r="D3114">
        <v>2</v>
      </c>
      <c r="E3114">
        <v>5</v>
      </c>
      <c r="F3114" t="s">
        <v>7</v>
      </c>
      <c r="G3114" t="s">
        <v>11</v>
      </c>
      <c r="H3114" t="s">
        <v>11</v>
      </c>
    </row>
    <row r="3115" spans="1:8" x14ac:dyDescent="0.35">
      <c r="A3115" t="s">
        <v>63</v>
      </c>
      <c r="B3115" t="s">
        <v>103</v>
      </c>
      <c r="C3115" t="s">
        <v>1141</v>
      </c>
      <c r="D3115">
        <v>2</v>
      </c>
      <c r="E3115">
        <v>5</v>
      </c>
      <c r="F3115" t="s">
        <v>7</v>
      </c>
      <c r="G3115" t="s">
        <v>11</v>
      </c>
      <c r="H3115" t="s">
        <v>11</v>
      </c>
    </row>
    <row r="3116" spans="1:8" x14ac:dyDescent="0.35">
      <c r="A3116" t="s">
        <v>63</v>
      </c>
      <c r="B3116" t="s">
        <v>103</v>
      </c>
      <c r="C3116" t="s">
        <v>1498</v>
      </c>
      <c r="D3116">
        <v>2</v>
      </c>
      <c r="E3116">
        <v>4</v>
      </c>
      <c r="F3116" t="s">
        <v>7</v>
      </c>
      <c r="G3116" t="s">
        <v>11</v>
      </c>
      <c r="H3116" t="s">
        <v>11</v>
      </c>
    </row>
    <row r="3117" spans="1:8" x14ac:dyDescent="0.35">
      <c r="A3117" t="s">
        <v>63</v>
      </c>
      <c r="B3117" t="s">
        <v>103</v>
      </c>
      <c r="C3117" t="s">
        <v>1246</v>
      </c>
      <c r="D3117">
        <v>1</v>
      </c>
      <c r="E3117">
        <v>5</v>
      </c>
      <c r="F3117" t="s">
        <v>7</v>
      </c>
      <c r="G3117" t="s">
        <v>11</v>
      </c>
      <c r="H3117" t="s">
        <v>11</v>
      </c>
    </row>
    <row r="3118" spans="1:8" x14ac:dyDescent="0.35">
      <c r="A3118" t="s">
        <v>63</v>
      </c>
      <c r="B3118" t="s">
        <v>103</v>
      </c>
      <c r="C3118" t="s">
        <v>2906</v>
      </c>
      <c r="D3118">
        <v>1</v>
      </c>
      <c r="E3118">
        <v>5</v>
      </c>
      <c r="F3118" t="s">
        <v>7</v>
      </c>
      <c r="G3118" t="s">
        <v>11</v>
      </c>
      <c r="H3118" t="s">
        <v>11</v>
      </c>
    </row>
    <row r="3119" spans="1:8" x14ac:dyDescent="0.35">
      <c r="A3119" t="s">
        <v>63</v>
      </c>
      <c r="B3119" t="s">
        <v>103</v>
      </c>
      <c r="C3119" t="s">
        <v>1942</v>
      </c>
      <c r="D3119">
        <v>1</v>
      </c>
      <c r="E3119">
        <v>5</v>
      </c>
      <c r="F3119" t="s">
        <v>7</v>
      </c>
      <c r="G3119" t="s">
        <v>11</v>
      </c>
      <c r="H3119" t="s">
        <v>11</v>
      </c>
    </row>
    <row r="3120" spans="1:8" x14ac:dyDescent="0.35">
      <c r="A3120" t="s">
        <v>63</v>
      </c>
      <c r="B3120" t="s">
        <v>103</v>
      </c>
      <c r="C3120" t="s">
        <v>1506</v>
      </c>
      <c r="D3120">
        <v>1</v>
      </c>
      <c r="E3120">
        <v>5</v>
      </c>
      <c r="F3120" t="s">
        <v>7</v>
      </c>
      <c r="G3120" t="s">
        <v>11</v>
      </c>
      <c r="H3120" t="s">
        <v>11</v>
      </c>
    </row>
    <row r="3121" spans="1:8" x14ac:dyDescent="0.35">
      <c r="A3121" t="s">
        <v>63</v>
      </c>
      <c r="B3121" t="s">
        <v>103</v>
      </c>
      <c r="C3121" t="s">
        <v>2907</v>
      </c>
      <c r="D3121">
        <v>1</v>
      </c>
      <c r="E3121">
        <v>5</v>
      </c>
      <c r="F3121" t="s">
        <v>7</v>
      </c>
      <c r="G3121" t="s">
        <v>11</v>
      </c>
      <c r="H3121" t="s">
        <v>11</v>
      </c>
    </row>
    <row r="3122" spans="1:8" x14ac:dyDescent="0.35">
      <c r="A3122" t="s">
        <v>63</v>
      </c>
      <c r="B3122" t="s">
        <v>103</v>
      </c>
      <c r="C3122" t="s">
        <v>1665</v>
      </c>
      <c r="D3122">
        <v>2</v>
      </c>
      <c r="E3122">
        <v>5</v>
      </c>
      <c r="F3122" t="s">
        <v>7</v>
      </c>
      <c r="G3122" t="s">
        <v>11</v>
      </c>
      <c r="H3122" t="s">
        <v>11</v>
      </c>
    </row>
    <row r="3123" spans="1:8" x14ac:dyDescent="0.35">
      <c r="A3123" t="s">
        <v>63</v>
      </c>
      <c r="B3123" t="s">
        <v>103</v>
      </c>
      <c r="C3123" t="s">
        <v>1148</v>
      </c>
      <c r="D3123">
        <v>2</v>
      </c>
      <c r="E3123">
        <v>4</v>
      </c>
      <c r="F3123" t="s">
        <v>7</v>
      </c>
      <c r="G3123" t="s">
        <v>11</v>
      </c>
      <c r="H3123" t="s">
        <v>11</v>
      </c>
    </row>
    <row r="3124" spans="1:8" x14ac:dyDescent="0.35">
      <c r="A3124" t="s">
        <v>63</v>
      </c>
      <c r="B3124" t="s">
        <v>103</v>
      </c>
      <c r="C3124" t="s">
        <v>1149</v>
      </c>
      <c r="D3124">
        <v>1</v>
      </c>
      <c r="E3124">
        <v>4</v>
      </c>
      <c r="F3124" t="s">
        <v>7</v>
      </c>
      <c r="G3124" t="s">
        <v>11</v>
      </c>
      <c r="H3124" t="s">
        <v>11</v>
      </c>
    </row>
    <row r="3125" spans="1:8" x14ac:dyDescent="0.35">
      <c r="A3125" t="s">
        <v>63</v>
      </c>
      <c r="B3125" t="s">
        <v>103</v>
      </c>
      <c r="C3125" t="s">
        <v>2908</v>
      </c>
      <c r="D3125">
        <v>3</v>
      </c>
      <c r="E3125">
        <v>4</v>
      </c>
      <c r="F3125" t="s">
        <v>7</v>
      </c>
      <c r="G3125" t="s">
        <v>11</v>
      </c>
      <c r="H3125" t="s">
        <v>11</v>
      </c>
    </row>
    <row r="3126" spans="1:8" x14ac:dyDescent="0.35">
      <c r="A3126" t="s">
        <v>63</v>
      </c>
      <c r="B3126" t="s">
        <v>103</v>
      </c>
      <c r="C3126" t="s">
        <v>1590</v>
      </c>
      <c r="D3126">
        <v>2</v>
      </c>
      <c r="E3126">
        <v>5</v>
      </c>
      <c r="F3126" t="s">
        <v>7</v>
      </c>
      <c r="G3126" t="s">
        <v>11</v>
      </c>
      <c r="H3126" t="s">
        <v>11</v>
      </c>
    </row>
    <row r="3127" spans="1:8" x14ac:dyDescent="0.35">
      <c r="A3127" t="s">
        <v>63</v>
      </c>
      <c r="B3127" t="s">
        <v>103</v>
      </c>
      <c r="C3127" t="s">
        <v>1254</v>
      </c>
      <c r="D3127">
        <v>2</v>
      </c>
      <c r="E3127">
        <v>4</v>
      </c>
      <c r="F3127" t="s">
        <v>7</v>
      </c>
      <c r="G3127" t="s">
        <v>11</v>
      </c>
      <c r="H3127" t="s">
        <v>11</v>
      </c>
    </row>
    <row r="3128" spans="1:8" x14ac:dyDescent="0.35">
      <c r="A3128" t="s">
        <v>63</v>
      </c>
      <c r="B3128" t="s">
        <v>103</v>
      </c>
      <c r="C3128" t="s">
        <v>1256</v>
      </c>
      <c r="D3128">
        <v>3</v>
      </c>
      <c r="E3128">
        <v>4</v>
      </c>
      <c r="F3128" t="s">
        <v>7</v>
      </c>
      <c r="G3128" t="s">
        <v>11</v>
      </c>
      <c r="H3128" t="s">
        <v>11</v>
      </c>
    </row>
    <row r="3129" spans="1:8" x14ac:dyDescent="0.35">
      <c r="A3129" t="s">
        <v>63</v>
      </c>
      <c r="B3129" t="s">
        <v>103</v>
      </c>
      <c r="C3129" t="s">
        <v>1159</v>
      </c>
      <c r="D3129">
        <v>2</v>
      </c>
      <c r="E3129">
        <v>5</v>
      </c>
      <c r="F3129" t="s">
        <v>7</v>
      </c>
      <c r="G3129" t="s">
        <v>11</v>
      </c>
      <c r="H3129" t="s">
        <v>11</v>
      </c>
    </row>
    <row r="3130" spans="1:8" x14ac:dyDescent="0.35">
      <c r="A3130" t="s">
        <v>63</v>
      </c>
      <c r="B3130" t="s">
        <v>103</v>
      </c>
      <c r="C3130" t="s">
        <v>1160</v>
      </c>
      <c r="D3130">
        <v>1</v>
      </c>
      <c r="E3130">
        <v>5</v>
      </c>
      <c r="F3130" t="s">
        <v>7</v>
      </c>
      <c r="G3130" t="s">
        <v>11</v>
      </c>
      <c r="H3130" t="s">
        <v>11</v>
      </c>
    </row>
    <row r="3131" spans="1:8" x14ac:dyDescent="0.35">
      <c r="A3131" t="s">
        <v>63</v>
      </c>
      <c r="B3131" t="s">
        <v>103</v>
      </c>
      <c r="C3131" t="s">
        <v>1630</v>
      </c>
      <c r="D3131">
        <v>2</v>
      </c>
      <c r="E3131">
        <v>4</v>
      </c>
      <c r="F3131" t="s">
        <v>7</v>
      </c>
      <c r="G3131" t="s">
        <v>11</v>
      </c>
      <c r="H3131" t="s">
        <v>11</v>
      </c>
    </row>
    <row r="3132" spans="1:8" x14ac:dyDescent="0.35">
      <c r="A3132" t="s">
        <v>63</v>
      </c>
      <c r="B3132" t="s">
        <v>103</v>
      </c>
      <c r="C3132" t="s">
        <v>2340</v>
      </c>
      <c r="D3132">
        <v>3</v>
      </c>
      <c r="E3132">
        <v>4</v>
      </c>
      <c r="F3132" t="s">
        <v>7</v>
      </c>
      <c r="G3132" t="s">
        <v>11</v>
      </c>
      <c r="H3132" t="s">
        <v>11</v>
      </c>
    </row>
    <row r="3133" spans="1:8" x14ac:dyDescent="0.35">
      <c r="A3133" t="s">
        <v>63</v>
      </c>
      <c r="B3133" t="s">
        <v>103</v>
      </c>
      <c r="C3133" t="s">
        <v>1636</v>
      </c>
      <c r="D3133">
        <v>1</v>
      </c>
      <c r="E3133">
        <v>4</v>
      </c>
      <c r="F3133" t="s">
        <v>7</v>
      </c>
      <c r="G3133" t="s">
        <v>11</v>
      </c>
      <c r="H3133" t="s">
        <v>11</v>
      </c>
    </row>
    <row r="3134" spans="1:8" x14ac:dyDescent="0.35">
      <c r="A3134" t="s">
        <v>63</v>
      </c>
      <c r="B3134" t="s">
        <v>103</v>
      </c>
      <c r="C3134" t="s">
        <v>1373</v>
      </c>
      <c r="D3134">
        <v>1</v>
      </c>
      <c r="E3134">
        <v>5</v>
      </c>
      <c r="F3134" t="s">
        <v>7</v>
      </c>
      <c r="G3134" t="s">
        <v>11</v>
      </c>
      <c r="H3134" t="s">
        <v>11</v>
      </c>
    </row>
    <row r="3135" spans="1:8" x14ac:dyDescent="0.35">
      <c r="A3135" t="s">
        <v>63</v>
      </c>
      <c r="B3135" t="s">
        <v>103</v>
      </c>
      <c r="C3135" t="s">
        <v>2909</v>
      </c>
      <c r="D3135">
        <v>3</v>
      </c>
      <c r="E3135">
        <v>4</v>
      </c>
      <c r="F3135" t="s">
        <v>7</v>
      </c>
      <c r="G3135" t="s">
        <v>11</v>
      </c>
      <c r="H3135" t="s">
        <v>11</v>
      </c>
    </row>
    <row r="3136" spans="1:8" x14ac:dyDescent="0.35">
      <c r="A3136" t="s">
        <v>63</v>
      </c>
      <c r="B3136" t="s">
        <v>103</v>
      </c>
      <c r="C3136" t="s">
        <v>2910</v>
      </c>
      <c r="D3136">
        <v>1</v>
      </c>
      <c r="E3136">
        <v>5</v>
      </c>
      <c r="F3136" t="s">
        <v>7</v>
      </c>
      <c r="G3136" t="s">
        <v>11</v>
      </c>
      <c r="H3136" t="s">
        <v>11</v>
      </c>
    </row>
    <row r="3137" spans="1:8" x14ac:dyDescent="0.35">
      <c r="A3137" t="s">
        <v>63</v>
      </c>
      <c r="B3137" t="s">
        <v>103</v>
      </c>
      <c r="C3137" t="s">
        <v>1162</v>
      </c>
      <c r="D3137">
        <v>1</v>
      </c>
      <c r="E3137">
        <v>4</v>
      </c>
      <c r="F3137" t="s">
        <v>7</v>
      </c>
      <c r="G3137" t="s">
        <v>11</v>
      </c>
      <c r="H3137" t="s">
        <v>11</v>
      </c>
    </row>
    <row r="3138" spans="1:8" x14ac:dyDescent="0.35">
      <c r="A3138" t="s">
        <v>63</v>
      </c>
      <c r="B3138" t="s">
        <v>103</v>
      </c>
      <c r="C3138" t="s">
        <v>1164</v>
      </c>
      <c r="D3138">
        <v>1</v>
      </c>
      <c r="E3138">
        <v>4</v>
      </c>
      <c r="F3138" t="s">
        <v>7</v>
      </c>
      <c r="G3138" t="s">
        <v>11</v>
      </c>
      <c r="H3138" t="s">
        <v>11</v>
      </c>
    </row>
    <row r="3139" spans="1:8" x14ac:dyDescent="0.35">
      <c r="A3139" t="s">
        <v>63</v>
      </c>
      <c r="B3139" t="s">
        <v>103</v>
      </c>
      <c r="C3139" t="s">
        <v>1850</v>
      </c>
      <c r="D3139">
        <v>2</v>
      </c>
      <c r="E3139">
        <v>5</v>
      </c>
      <c r="F3139" t="s">
        <v>7</v>
      </c>
      <c r="G3139" t="s">
        <v>11</v>
      </c>
      <c r="H3139" t="s">
        <v>11</v>
      </c>
    </row>
    <row r="3140" spans="1:8" x14ac:dyDescent="0.35">
      <c r="A3140" t="s">
        <v>63</v>
      </c>
      <c r="B3140" t="s">
        <v>103</v>
      </c>
      <c r="C3140" t="s">
        <v>1675</v>
      </c>
      <c r="D3140">
        <v>1</v>
      </c>
      <c r="E3140">
        <v>5</v>
      </c>
      <c r="F3140" t="s">
        <v>7</v>
      </c>
      <c r="G3140" t="s">
        <v>11</v>
      </c>
      <c r="H3140" t="s">
        <v>11</v>
      </c>
    </row>
    <row r="3141" spans="1:8" x14ac:dyDescent="0.35">
      <c r="A3141" t="s">
        <v>63</v>
      </c>
      <c r="B3141" t="s">
        <v>103</v>
      </c>
      <c r="C3141" t="s">
        <v>1853</v>
      </c>
      <c r="D3141">
        <v>1</v>
      </c>
      <c r="E3141">
        <v>5</v>
      </c>
      <c r="F3141" t="s">
        <v>7</v>
      </c>
      <c r="G3141" t="s">
        <v>11</v>
      </c>
      <c r="H3141" t="s">
        <v>11</v>
      </c>
    </row>
    <row r="3142" spans="1:8" x14ac:dyDescent="0.35">
      <c r="A3142" t="s">
        <v>63</v>
      </c>
      <c r="B3142" t="s">
        <v>103</v>
      </c>
      <c r="C3142" t="s">
        <v>2911</v>
      </c>
      <c r="D3142">
        <v>2</v>
      </c>
      <c r="E3142">
        <v>4</v>
      </c>
      <c r="F3142" t="s">
        <v>7</v>
      </c>
      <c r="G3142" t="s">
        <v>11</v>
      </c>
      <c r="H3142" t="s">
        <v>11</v>
      </c>
    </row>
    <row r="3143" spans="1:8" x14ac:dyDescent="0.35">
      <c r="A3143" t="s">
        <v>63</v>
      </c>
      <c r="B3143" t="s">
        <v>103</v>
      </c>
      <c r="C3143" t="s">
        <v>1729</v>
      </c>
      <c r="D3143">
        <v>1</v>
      </c>
      <c r="E3143">
        <v>5</v>
      </c>
      <c r="F3143" t="s">
        <v>7</v>
      </c>
      <c r="G3143" t="s">
        <v>11</v>
      </c>
      <c r="H3143" t="s">
        <v>11</v>
      </c>
    </row>
    <row r="3144" spans="1:8" x14ac:dyDescent="0.35">
      <c r="A3144" t="s">
        <v>63</v>
      </c>
      <c r="B3144" t="s">
        <v>103</v>
      </c>
      <c r="C3144" t="s">
        <v>2912</v>
      </c>
      <c r="D3144">
        <v>1</v>
      </c>
      <c r="E3144">
        <v>5</v>
      </c>
      <c r="F3144" t="s">
        <v>7</v>
      </c>
      <c r="G3144" t="s">
        <v>11</v>
      </c>
      <c r="H3144" t="s">
        <v>11</v>
      </c>
    </row>
    <row r="3145" spans="1:8" x14ac:dyDescent="0.35">
      <c r="A3145" t="s">
        <v>63</v>
      </c>
      <c r="B3145" t="s">
        <v>103</v>
      </c>
      <c r="C3145" t="s">
        <v>1443</v>
      </c>
      <c r="D3145">
        <v>2</v>
      </c>
      <c r="E3145">
        <v>4</v>
      </c>
      <c r="F3145" t="s">
        <v>7</v>
      </c>
      <c r="G3145" t="s">
        <v>11</v>
      </c>
      <c r="H3145" t="s">
        <v>11</v>
      </c>
    </row>
    <row r="3146" spans="1:8" x14ac:dyDescent="0.35">
      <c r="A3146" t="s">
        <v>63</v>
      </c>
      <c r="B3146" t="s">
        <v>103</v>
      </c>
      <c r="C3146" t="s">
        <v>2913</v>
      </c>
      <c r="D3146">
        <v>2</v>
      </c>
      <c r="E3146">
        <v>5</v>
      </c>
      <c r="F3146" t="s">
        <v>7</v>
      </c>
      <c r="G3146" t="s">
        <v>11</v>
      </c>
      <c r="H3146" t="s">
        <v>11</v>
      </c>
    </row>
    <row r="3147" spans="1:8" x14ac:dyDescent="0.35">
      <c r="A3147" t="s">
        <v>63</v>
      </c>
      <c r="B3147" t="s">
        <v>103</v>
      </c>
      <c r="C3147" t="s">
        <v>1168</v>
      </c>
      <c r="D3147">
        <v>2</v>
      </c>
      <c r="E3147">
        <v>5</v>
      </c>
      <c r="F3147" t="s">
        <v>7</v>
      </c>
      <c r="G3147" t="s">
        <v>11</v>
      </c>
      <c r="H3147" t="s">
        <v>11</v>
      </c>
    </row>
    <row r="3148" spans="1:8" x14ac:dyDescent="0.35">
      <c r="A3148" t="s">
        <v>63</v>
      </c>
      <c r="B3148" t="s">
        <v>103</v>
      </c>
      <c r="C3148" t="s">
        <v>2914</v>
      </c>
      <c r="D3148">
        <v>2</v>
      </c>
      <c r="E3148">
        <v>4</v>
      </c>
      <c r="F3148" t="s">
        <v>7</v>
      </c>
      <c r="G3148" t="s">
        <v>11</v>
      </c>
      <c r="H3148" t="s">
        <v>11</v>
      </c>
    </row>
    <row r="3149" spans="1:8" x14ac:dyDescent="0.35">
      <c r="A3149" t="s">
        <v>63</v>
      </c>
      <c r="B3149" t="s">
        <v>103</v>
      </c>
      <c r="C3149" t="s">
        <v>2610</v>
      </c>
      <c r="D3149">
        <v>2</v>
      </c>
      <c r="E3149">
        <v>4</v>
      </c>
      <c r="F3149" t="s">
        <v>7</v>
      </c>
      <c r="G3149" t="s">
        <v>11</v>
      </c>
      <c r="H3149" t="s">
        <v>11</v>
      </c>
    </row>
    <row r="3150" spans="1:8" x14ac:dyDescent="0.35">
      <c r="A3150" t="s">
        <v>63</v>
      </c>
      <c r="B3150" t="s">
        <v>103</v>
      </c>
      <c r="C3150" t="s">
        <v>2915</v>
      </c>
      <c r="D3150">
        <v>1</v>
      </c>
      <c r="E3150">
        <v>5</v>
      </c>
      <c r="F3150" t="s">
        <v>7</v>
      </c>
      <c r="G3150" t="s">
        <v>11</v>
      </c>
      <c r="H3150" t="s">
        <v>11</v>
      </c>
    </row>
    <row r="3151" spans="1:8" x14ac:dyDescent="0.35">
      <c r="A3151" t="s">
        <v>63</v>
      </c>
      <c r="B3151" t="s">
        <v>103</v>
      </c>
      <c r="C3151" t="s">
        <v>1450</v>
      </c>
      <c r="D3151">
        <v>2</v>
      </c>
      <c r="E3151">
        <v>5</v>
      </c>
      <c r="F3151" t="s">
        <v>7</v>
      </c>
      <c r="G3151" t="s">
        <v>11</v>
      </c>
      <c r="H3151" t="s">
        <v>11</v>
      </c>
    </row>
    <row r="3152" spans="1:8" x14ac:dyDescent="0.35">
      <c r="A3152" t="s">
        <v>63</v>
      </c>
      <c r="B3152" t="s">
        <v>103</v>
      </c>
      <c r="C3152" t="s">
        <v>2916</v>
      </c>
      <c r="D3152">
        <v>2</v>
      </c>
      <c r="E3152">
        <v>5</v>
      </c>
      <c r="F3152" t="s">
        <v>7</v>
      </c>
      <c r="G3152" t="s">
        <v>11</v>
      </c>
      <c r="H3152" t="s">
        <v>11</v>
      </c>
    </row>
    <row r="3153" spans="1:8" x14ac:dyDescent="0.35">
      <c r="A3153" t="s">
        <v>63</v>
      </c>
      <c r="B3153" t="s">
        <v>103</v>
      </c>
      <c r="C3153" t="s">
        <v>2756</v>
      </c>
      <c r="D3153">
        <v>2</v>
      </c>
      <c r="E3153">
        <v>4</v>
      </c>
      <c r="F3153" t="s">
        <v>7</v>
      </c>
      <c r="G3153" t="s">
        <v>11</v>
      </c>
      <c r="H3153" t="s">
        <v>11</v>
      </c>
    </row>
    <row r="3154" spans="1:8" x14ac:dyDescent="0.35">
      <c r="A3154" t="s">
        <v>63</v>
      </c>
      <c r="B3154" t="s">
        <v>103</v>
      </c>
      <c r="C3154" t="s">
        <v>2757</v>
      </c>
      <c r="D3154">
        <v>2</v>
      </c>
      <c r="E3154">
        <v>5</v>
      </c>
      <c r="F3154" t="s">
        <v>7</v>
      </c>
      <c r="G3154" t="s">
        <v>11</v>
      </c>
      <c r="H3154" t="s">
        <v>11</v>
      </c>
    </row>
    <row r="3155" spans="1:8" x14ac:dyDescent="0.35">
      <c r="A3155" t="s">
        <v>63</v>
      </c>
      <c r="B3155" t="s">
        <v>103</v>
      </c>
      <c r="C3155" t="s">
        <v>1556</v>
      </c>
      <c r="D3155">
        <v>2</v>
      </c>
      <c r="E3155">
        <v>4</v>
      </c>
      <c r="F3155" t="s">
        <v>7</v>
      </c>
      <c r="G3155" t="s">
        <v>11</v>
      </c>
      <c r="H3155" t="s">
        <v>11</v>
      </c>
    </row>
    <row r="3156" spans="1:8" x14ac:dyDescent="0.35">
      <c r="A3156" t="s">
        <v>63</v>
      </c>
      <c r="B3156" t="s">
        <v>103</v>
      </c>
      <c r="C3156" t="s">
        <v>1557</v>
      </c>
      <c r="D3156">
        <v>2</v>
      </c>
      <c r="E3156">
        <v>5</v>
      </c>
      <c r="F3156" t="s">
        <v>7</v>
      </c>
      <c r="G3156" t="s">
        <v>11</v>
      </c>
      <c r="H3156" t="s">
        <v>11</v>
      </c>
    </row>
    <row r="3157" spans="1:8" x14ac:dyDescent="0.35">
      <c r="A3157" t="s">
        <v>63</v>
      </c>
      <c r="B3157" t="s">
        <v>103</v>
      </c>
      <c r="C3157" t="s">
        <v>2917</v>
      </c>
      <c r="D3157">
        <v>1</v>
      </c>
      <c r="E3157">
        <v>5</v>
      </c>
      <c r="F3157" t="s">
        <v>7</v>
      </c>
      <c r="G3157" t="s">
        <v>11</v>
      </c>
      <c r="H3157" t="s">
        <v>11</v>
      </c>
    </row>
    <row r="3158" spans="1:8" x14ac:dyDescent="0.35">
      <c r="A3158" t="s">
        <v>63</v>
      </c>
      <c r="B3158" t="s">
        <v>103</v>
      </c>
      <c r="C3158" t="s">
        <v>2918</v>
      </c>
      <c r="D3158">
        <v>2</v>
      </c>
      <c r="E3158">
        <v>4</v>
      </c>
      <c r="F3158" t="s">
        <v>7</v>
      </c>
      <c r="G3158" t="s">
        <v>11</v>
      </c>
      <c r="H3158" t="s">
        <v>11</v>
      </c>
    </row>
    <row r="3159" spans="1:8" x14ac:dyDescent="0.35">
      <c r="A3159" t="s">
        <v>63</v>
      </c>
      <c r="B3159" t="s">
        <v>103</v>
      </c>
      <c r="C3159" t="s">
        <v>2432</v>
      </c>
      <c r="D3159">
        <v>2</v>
      </c>
      <c r="E3159">
        <v>4</v>
      </c>
      <c r="F3159" t="s">
        <v>7</v>
      </c>
      <c r="G3159" t="s">
        <v>11</v>
      </c>
      <c r="H3159" t="s">
        <v>11</v>
      </c>
    </row>
    <row r="3160" spans="1:8" x14ac:dyDescent="0.35">
      <c r="A3160" t="s">
        <v>63</v>
      </c>
      <c r="B3160" t="s">
        <v>103</v>
      </c>
      <c r="C3160" t="s">
        <v>2301</v>
      </c>
      <c r="D3160">
        <v>3</v>
      </c>
      <c r="E3160">
        <v>4</v>
      </c>
      <c r="F3160" t="s">
        <v>7</v>
      </c>
      <c r="G3160" t="s">
        <v>11</v>
      </c>
      <c r="H3160" t="s">
        <v>11</v>
      </c>
    </row>
    <row r="3161" spans="1:8" x14ac:dyDescent="0.35">
      <c r="A3161" t="s">
        <v>62</v>
      </c>
      <c r="B3161" t="s">
        <v>72</v>
      </c>
      <c r="C3161" t="s">
        <v>1338</v>
      </c>
      <c r="D3161">
        <v>2</v>
      </c>
      <c r="E3161">
        <v>6</v>
      </c>
      <c r="F3161" t="s">
        <v>7</v>
      </c>
      <c r="G3161" t="s">
        <v>11</v>
      </c>
      <c r="H3161" t="s">
        <v>11</v>
      </c>
    </row>
    <row r="3162" spans="1:8" x14ac:dyDescent="0.35">
      <c r="A3162" t="s">
        <v>62</v>
      </c>
      <c r="B3162" t="s">
        <v>72</v>
      </c>
      <c r="C3162" t="s">
        <v>2399</v>
      </c>
      <c r="D3162">
        <v>2</v>
      </c>
      <c r="E3162">
        <v>7</v>
      </c>
      <c r="F3162" t="s">
        <v>11</v>
      </c>
      <c r="G3162" t="s">
        <v>11</v>
      </c>
      <c r="H3162" t="s">
        <v>11</v>
      </c>
    </row>
    <row r="3163" spans="1:8" x14ac:dyDescent="0.35">
      <c r="A3163" t="s">
        <v>62</v>
      </c>
      <c r="B3163" t="s">
        <v>72</v>
      </c>
      <c r="C3163" t="s">
        <v>2919</v>
      </c>
      <c r="D3163">
        <v>2</v>
      </c>
      <c r="E3163">
        <v>6</v>
      </c>
      <c r="F3163" t="s">
        <v>7</v>
      </c>
      <c r="G3163" t="s">
        <v>11</v>
      </c>
      <c r="H3163" t="s">
        <v>11</v>
      </c>
    </row>
    <row r="3164" spans="1:8" x14ac:dyDescent="0.35">
      <c r="A3164" t="s">
        <v>62</v>
      </c>
      <c r="B3164" t="s">
        <v>72</v>
      </c>
      <c r="C3164" t="s">
        <v>2920</v>
      </c>
      <c r="D3164">
        <v>2</v>
      </c>
      <c r="E3164">
        <v>7</v>
      </c>
      <c r="F3164" t="s">
        <v>11</v>
      </c>
      <c r="G3164" t="s">
        <v>11</v>
      </c>
      <c r="H3164" t="s">
        <v>11</v>
      </c>
    </row>
    <row r="3165" spans="1:8" x14ac:dyDescent="0.35">
      <c r="A3165" t="s">
        <v>62</v>
      </c>
      <c r="B3165" t="s">
        <v>72</v>
      </c>
      <c r="C3165" t="s">
        <v>1603</v>
      </c>
      <c r="D3165">
        <v>2</v>
      </c>
      <c r="E3165">
        <v>6</v>
      </c>
      <c r="F3165" t="s">
        <v>7</v>
      </c>
      <c r="G3165" t="s">
        <v>11</v>
      </c>
      <c r="H3165" t="s">
        <v>11</v>
      </c>
    </row>
    <row r="3166" spans="1:8" x14ac:dyDescent="0.35">
      <c r="A3166" t="s">
        <v>62</v>
      </c>
      <c r="B3166" t="s">
        <v>72</v>
      </c>
      <c r="C3166" t="s">
        <v>2184</v>
      </c>
      <c r="D3166">
        <v>1</v>
      </c>
      <c r="E3166">
        <v>6</v>
      </c>
      <c r="F3166" t="s">
        <v>7</v>
      </c>
      <c r="G3166" t="s">
        <v>11</v>
      </c>
      <c r="H3166" t="s">
        <v>11</v>
      </c>
    </row>
    <row r="3167" spans="1:8" x14ac:dyDescent="0.35">
      <c r="A3167" t="s">
        <v>62</v>
      </c>
      <c r="B3167" t="s">
        <v>72</v>
      </c>
      <c r="C3167" t="s">
        <v>2921</v>
      </c>
      <c r="D3167">
        <v>2</v>
      </c>
      <c r="E3167">
        <v>7</v>
      </c>
      <c r="F3167" t="s">
        <v>11</v>
      </c>
      <c r="G3167" t="s">
        <v>11</v>
      </c>
      <c r="H3167" t="s">
        <v>11</v>
      </c>
    </row>
    <row r="3168" spans="1:8" x14ac:dyDescent="0.35">
      <c r="A3168" t="s">
        <v>62</v>
      </c>
      <c r="B3168" t="s">
        <v>72</v>
      </c>
      <c r="C3168" t="s">
        <v>2922</v>
      </c>
      <c r="D3168">
        <v>2</v>
      </c>
      <c r="E3168">
        <v>6</v>
      </c>
      <c r="F3168" t="s">
        <v>7</v>
      </c>
      <c r="G3168" t="s">
        <v>11</v>
      </c>
      <c r="H3168" t="s">
        <v>11</v>
      </c>
    </row>
    <row r="3169" spans="1:8" x14ac:dyDescent="0.35">
      <c r="A3169" t="s">
        <v>62</v>
      </c>
      <c r="B3169" t="s">
        <v>72</v>
      </c>
      <c r="C3169" t="s">
        <v>1958</v>
      </c>
      <c r="D3169">
        <v>2</v>
      </c>
      <c r="E3169">
        <v>6</v>
      </c>
      <c r="F3169" t="s">
        <v>7</v>
      </c>
      <c r="G3169" t="s">
        <v>11</v>
      </c>
      <c r="H3169" t="s">
        <v>11</v>
      </c>
    </row>
    <row r="3170" spans="1:8" x14ac:dyDescent="0.35">
      <c r="A3170" t="s">
        <v>62</v>
      </c>
      <c r="B3170" t="s">
        <v>72</v>
      </c>
      <c r="C3170" t="s">
        <v>1233</v>
      </c>
      <c r="D3170">
        <v>2</v>
      </c>
      <c r="E3170">
        <v>6</v>
      </c>
      <c r="F3170" t="s">
        <v>7</v>
      </c>
      <c r="G3170" t="s">
        <v>11</v>
      </c>
      <c r="H3170" t="s">
        <v>11</v>
      </c>
    </row>
    <row r="3171" spans="1:8" x14ac:dyDescent="0.35">
      <c r="A3171" t="s">
        <v>62</v>
      </c>
      <c r="B3171" t="s">
        <v>72</v>
      </c>
      <c r="C3171" t="s">
        <v>1235</v>
      </c>
      <c r="D3171">
        <v>2</v>
      </c>
      <c r="E3171">
        <v>6</v>
      </c>
      <c r="F3171" t="s">
        <v>7</v>
      </c>
      <c r="G3171" t="s">
        <v>11</v>
      </c>
      <c r="H3171" t="s">
        <v>11</v>
      </c>
    </row>
    <row r="3172" spans="1:8" x14ac:dyDescent="0.35">
      <c r="A3172" t="s">
        <v>62</v>
      </c>
      <c r="B3172" t="s">
        <v>72</v>
      </c>
      <c r="C3172" t="s">
        <v>1238</v>
      </c>
      <c r="D3172">
        <v>1</v>
      </c>
      <c r="E3172">
        <v>6</v>
      </c>
      <c r="F3172" t="s">
        <v>7</v>
      </c>
      <c r="G3172" t="s">
        <v>11</v>
      </c>
      <c r="H3172" t="s">
        <v>11</v>
      </c>
    </row>
    <row r="3173" spans="1:8" x14ac:dyDescent="0.35">
      <c r="A3173" t="s">
        <v>62</v>
      </c>
      <c r="B3173" t="s">
        <v>72</v>
      </c>
      <c r="C3173" t="s">
        <v>2923</v>
      </c>
      <c r="D3173">
        <v>1</v>
      </c>
      <c r="E3173">
        <v>6</v>
      </c>
      <c r="F3173" t="s">
        <v>7</v>
      </c>
      <c r="G3173" t="s">
        <v>11</v>
      </c>
      <c r="H3173" t="s">
        <v>11</v>
      </c>
    </row>
    <row r="3174" spans="1:8" x14ac:dyDescent="0.35">
      <c r="A3174" t="s">
        <v>62</v>
      </c>
      <c r="B3174" t="s">
        <v>72</v>
      </c>
      <c r="C3174" t="s">
        <v>1487</v>
      </c>
      <c r="D3174">
        <v>1</v>
      </c>
      <c r="E3174">
        <v>6</v>
      </c>
      <c r="F3174" t="s">
        <v>7</v>
      </c>
      <c r="G3174" t="s">
        <v>11</v>
      </c>
      <c r="H3174" t="s">
        <v>11</v>
      </c>
    </row>
    <row r="3175" spans="1:8" x14ac:dyDescent="0.35">
      <c r="A3175" t="s">
        <v>62</v>
      </c>
      <c r="B3175" t="s">
        <v>72</v>
      </c>
      <c r="C3175" t="s">
        <v>2924</v>
      </c>
      <c r="D3175">
        <v>1</v>
      </c>
      <c r="E3175">
        <v>6</v>
      </c>
      <c r="F3175" t="s">
        <v>7</v>
      </c>
      <c r="G3175" t="s">
        <v>11</v>
      </c>
      <c r="H3175" t="s">
        <v>11</v>
      </c>
    </row>
    <row r="3176" spans="1:8" x14ac:dyDescent="0.35">
      <c r="A3176" t="s">
        <v>62</v>
      </c>
      <c r="B3176" t="s">
        <v>72</v>
      </c>
      <c r="C3176" t="s">
        <v>1356</v>
      </c>
      <c r="D3176">
        <v>2</v>
      </c>
      <c r="E3176">
        <v>7</v>
      </c>
      <c r="F3176" t="s">
        <v>11</v>
      </c>
      <c r="G3176" t="s">
        <v>11</v>
      </c>
      <c r="H3176" t="s">
        <v>11</v>
      </c>
    </row>
    <row r="3177" spans="1:8" x14ac:dyDescent="0.35">
      <c r="A3177" t="s">
        <v>62</v>
      </c>
      <c r="B3177" t="s">
        <v>72</v>
      </c>
      <c r="C3177" t="s">
        <v>2376</v>
      </c>
      <c r="D3177">
        <v>2</v>
      </c>
      <c r="E3177">
        <v>6</v>
      </c>
      <c r="F3177" t="s">
        <v>7</v>
      </c>
      <c r="G3177" t="s">
        <v>11</v>
      </c>
      <c r="H3177" t="s">
        <v>11</v>
      </c>
    </row>
    <row r="3178" spans="1:8" x14ac:dyDescent="0.35">
      <c r="A3178" t="s">
        <v>62</v>
      </c>
      <c r="B3178" t="s">
        <v>72</v>
      </c>
      <c r="C3178" t="s">
        <v>2925</v>
      </c>
      <c r="D3178">
        <v>2</v>
      </c>
      <c r="E3178">
        <v>6</v>
      </c>
      <c r="F3178" t="s">
        <v>7</v>
      </c>
      <c r="G3178" t="s">
        <v>11</v>
      </c>
      <c r="H3178" t="s">
        <v>11</v>
      </c>
    </row>
    <row r="3179" spans="1:8" x14ac:dyDescent="0.35">
      <c r="A3179" t="s">
        <v>62</v>
      </c>
      <c r="B3179" t="s">
        <v>72</v>
      </c>
      <c r="C3179" t="s">
        <v>2538</v>
      </c>
      <c r="D3179">
        <v>2</v>
      </c>
      <c r="E3179">
        <v>7</v>
      </c>
      <c r="F3179" t="s">
        <v>11</v>
      </c>
      <c r="G3179" t="s">
        <v>11</v>
      </c>
      <c r="H3179" t="s">
        <v>11</v>
      </c>
    </row>
    <row r="3180" spans="1:8" x14ac:dyDescent="0.35">
      <c r="A3180" t="s">
        <v>62</v>
      </c>
      <c r="B3180" t="s">
        <v>72</v>
      </c>
      <c r="C3180" t="s">
        <v>2926</v>
      </c>
      <c r="D3180">
        <v>1</v>
      </c>
      <c r="E3180">
        <v>6</v>
      </c>
      <c r="F3180" t="s">
        <v>7</v>
      </c>
      <c r="G3180" t="s">
        <v>11</v>
      </c>
      <c r="H3180" t="s">
        <v>11</v>
      </c>
    </row>
    <row r="3181" spans="1:8" x14ac:dyDescent="0.35">
      <c r="A3181" t="s">
        <v>62</v>
      </c>
      <c r="B3181" t="s">
        <v>72</v>
      </c>
      <c r="C3181" t="s">
        <v>2503</v>
      </c>
      <c r="D3181">
        <v>2</v>
      </c>
      <c r="E3181">
        <v>7</v>
      </c>
      <c r="F3181" t="s">
        <v>11</v>
      </c>
      <c r="G3181" t="s">
        <v>11</v>
      </c>
      <c r="H3181" t="s">
        <v>11</v>
      </c>
    </row>
    <row r="3182" spans="1:8" x14ac:dyDescent="0.35">
      <c r="A3182" t="s">
        <v>62</v>
      </c>
      <c r="B3182" t="s">
        <v>72</v>
      </c>
      <c r="C3182" t="s">
        <v>1246</v>
      </c>
      <c r="D3182">
        <v>1</v>
      </c>
      <c r="E3182">
        <v>6</v>
      </c>
      <c r="F3182" t="s">
        <v>7</v>
      </c>
      <c r="G3182" t="s">
        <v>11</v>
      </c>
      <c r="H3182" t="s">
        <v>11</v>
      </c>
    </row>
    <row r="3183" spans="1:8" x14ac:dyDescent="0.35">
      <c r="A3183" t="s">
        <v>62</v>
      </c>
      <c r="B3183" t="s">
        <v>72</v>
      </c>
      <c r="C3183" t="s">
        <v>1831</v>
      </c>
      <c r="D3183">
        <v>1</v>
      </c>
      <c r="E3183">
        <v>6</v>
      </c>
      <c r="F3183" t="s">
        <v>7</v>
      </c>
      <c r="G3183" t="s">
        <v>11</v>
      </c>
      <c r="H3183" t="s">
        <v>11</v>
      </c>
    </row>
    <row r="3184" spans="1:8" x14ac:dyDescent="0.35">
      <c r="A3184" t="s">
        <v>62</v>
      </c>
      <c r="B3184" t="s">
        <v>72</v>
      </c>
      <c r="C3184" t="s">
        <v>2927</v>
      </c>
      <c r="D3184">
        <v>1</v>
      </c>
      <c r="E3184">
        <v>6</v>
      </c>
      <c r="F3184" t="s">
        <v>7</v>
      </c>
      <c r="G3184" t="s">
        <v>11</v>
      </c>
      <c r="H3184" t="s">
        <v>11</v>
      </c>
    </row>
    <row r="3185" spans="1:8" x14ac:dyDescent="0.35">
      <c r="A3185" t="s">
        <v>62</v>
      </c>
      <c r="B3185" t="s">
        <v>72</v>
      </c>
      <c r="C3185" t="s">
        <v>1714</v>
      </c>
      <c r="D3185">
        <v>1</v>
      </c>
      <c r="E3185">
        <v>6</v>
      </c>
      <c r="F3185" t="s">
        <v>7</v>
      </c>
      <c r="G3185" t="s">
        <v>11</v>
      </c>
      <c r="H3185" t="s">
        <v>11</v>
      </c>
    </row>
    <row r="3186" spans="1:8" x14ac:dyDescent="0.35">
      <c r="A3186" t="s">
        <v>62</v>
      </c>
      <c r="B3186" t="s">
        <v>72</v>
      </c>
      <c r="C3186" t="s">
        <v>1972</v>
      </c>
      <c r="D3186">
        <v>2</v>
      </c>
      <c r="E3186">
        <v>7</v>
      </c>
      <c r="F3186" t="s">
        <v>11</v>
      </c>
      <c r="G3186" t="s">
        <v>11</v>
      </c>
      <c r="H3186" t="s">
        <v>11</v>
      </c>
    </row>
    <row r="3187" spans="1:8" x14ac:dyDescent="0.35">
      <c r="A3187" t="s">
        <v>62</v>
      </c>
      <c r="B3187" t="s">
        <v>72</v>
      </c>
      <c r="C3187" t="s">
        <v>1148</v>
      </c>
      <c r="D3187">
        <v>2</v>
      </c>
      <c r="E3187">
        <v>6</v>
      </c>
      <c r="F3187" t="s">
        <v>7</v>
      </c>
      <c r="G3187" t="s">
        <v>11</v>
      </c>
      <c r="H3187" t="s">
        <v>11</v>
      </c>
    </row>
    <row r="3188" spans="1:8" x14ac:dyDescent="0.35">
      <c r="A3188" t="s">
        <v>62</v>
      </c>
      <c r="B3188" t="s">
        <v>72</v>
      </c>
      <c r="C3188" t="s">
        <v>1149</v>
      </c>
      <c r="D3188">
        <v>1</v>
      </c>
      <c r="E3188">
        <v>6</v>
      </c>
      <c r="F3188" t="s">
        <v>7</v>
      </c>
      <c r="G3188" t="s">
        <v>11</v>
      </c>
      <c r="H3188" t="s">
        <v>11</v>
      </c>
    </row>
    <row r="3189" spans="1:8" x14ac:dyDescent="0.35">
      <c r="A3189" t="s">
        <v>62</v>
      </c>
      <c r="B3189" t="s">
        <v>72</v>
      </c>
      <c r="C3189" t="s">
        <v>1190</v>
      </c>
      <c r="D3189">
        <v>2</v>
      </c>
      <c r="E3189">
        <v>6</v>
      </c>
      <c r="F3189" t="s">
        <v>7</v>
      </c>
      <c r="G3189" t="s">
        <v>11</v>
      </c>
      <c r="H3189" t="s">
        <v>11</v>
      </c>
    </row>
    <row r="3190" spans="1:8" x14ac:dyDescent="0.35">
      <c r="A3190" t="s">
        <v>62</v>
      </c>
      <c r="B3190" t="s">
        <v>72</v>
      </c>
      <c r="C3190" t="s">
        <v>2928</v>
      </c>
      <c r="D3190">
        <v>2</v>
      </c>
      <c r="E3190">
        <v>6</v>
      </c>
      <c r="F3190" t="s">
        <v>7</v>
      </c>
      <c r="G3190" t="s">
        <v>11</v>
      </c>
      <c r="H3190" t="s">
        <v>11</v>
      </c>
    </row>
    <row r="3191" spans="1:8" x14ac:dyDescent="0.35">
      <c r="A3191" t="s">
        <v>62</v>
      </c>
      <c r="B3191" t="s">
        <v>72</v>
      </c>
      <c r="C3191" t="s">
        <v>2929</v>
      </c>
      <c r="D3191">
        <v>2</v>
      </c>
      <c r="E3191">
        <v>6</v>
      </c>
      <c r="F3191" t="s">
        <v>7</v>
      </c>
      <c r="G3191" t="s">
        <v>11</v>
      </c>
      <c r="H3191" t="s">
        <v>11</v>
      </c>
    </row>
    <row r="3192" spans="1:8" x14ac:dyDescent="0.35">
      <c r="A3192" t="s">
        <v>62</v>
      </c>
      <c r="B3192" t="s">
        <v>72</v>
      </c>
      <c r="C3192" t="s">
        <v>2930</v>
      </c>
      <c r="D3192">
        <v>2</v>
      </c>
      <c r="E3192">
        <v>6</v>
      </c>
      <c r="F3192" t="s">
        <v>7</v>
      </c>
      <c r="G3192" t="s">
        <v>11</v>
      </c>
      <c r="H3192" t="s">
        <v>11</v>
      </c>
    </row>
    <row r="3193" spans="1:8" x14ac:dyDescent="0.35">
      <c r="A3193" t="s">
        <v>62</v>
      </c>
      <c r="B3193" t="s">
        <v>72</v>
      </c>
      <c r="C3193" t="s">
        <v>1253</v>
      </c>
      <c r="D3193">
        <v>1</v>
      </c>
      <c r="E3193">
        <v>6</v>
      </c>
      <c r="F3193" t="s">
        <v>7</v>
      </c>
      <c r="G3193" t="s">
        <v>11</v>
      </c>
      <c r="H3193" t="s">
        <v>11</v>
      </c>
    </row>
    <row r="3194" spans="1:8" x14ac:dyDescent="0.35">
      <c r="A3194" t="s">
        <v>62</v>
      </c>
      <c r="B3194" t="s">
        <v>72</v>
      </c>
      <c r="C3194" t="s">
        <v>2931</v>
      </c>
      <c r="D3194">
        <v>1</v>
      </c>
      <c r="E3194">
        <v>7</v>
      </c>
      <c r="F3194" t="s">
        <v>11</v>
      </c>
      <c r="G3194" t="s">
        <v>11</v>
      </c>
      <c r="H3194" t="s">
        <v>11</v>
      </c>
    </row>
    <row r="3195" spans="1:8" x14ac:dyDescent="0.35">
      <c r="A3195" t="s">
        <v>62</v>
      </c>
      <c r="B3195" t="s">
        <v>72</v>
      </c>
      <c r="C3195" t="s">
        <v>1254</v>
      </c>
      <c r="D3195">
        <v>2</v>
      </c>
      <c r="E3195">
        <v>7</v>
      </c>
      <c r="F3195" t="s">
        <v>11</v>
      </c>
      <c r="G3195" t="s">
        <v>11</v>
      </c>
      <c r="H3195" t="s">
        <v>11</v>
      </c>
    </row>
    <row r="3196" spans="1:8" x14ac:dyDescent="0.35">
      <c r="A3196" t="s">
        <v>62</v>
      </c>
      <c r="B3196" t="s">
        <v>72</v>
      </c>
      <c r="C3196" t="s">
        <v>2932</v>
      </c>
      <c r="D3196">
        <v>2</v>
      </c>
      <c r="E3196">
        <v>6</v>
      </c>
      <c r="F3196" t="s">
        <v>7</v>
      </c>
      <c r="G3196" t="s">
        <v>11</v>
      </c>
      <c r="H3196" t="s">
        <v>11</v>
      </c>
    </row>
    <row r="3197" spans="1:8" x14ac:dyDescent="0.35">
      <c r="A3197" t="s">
        <v>62</v>
      </c>
      <c r="B3197" t="s">
        <v>72</v>
      </c>
      <c r="C3197" t="s">
        <v>2933</v>
      </c>
      <c r="D3197">
        <v>1</v>
      </c>
      <c r="E3197">
        <v>6</v>
      </c>
      <c r="F3197" t="s">
        <v>7</v>
      </c>
      <c r="G3197" t="s">
        <v>11</v>
      </c>
      <c r="H3197" t="s">
        <v>11</v>
      </c>
    </row>
    <row r="3198" spans="1:8" x14ac:dyDescent="0.35">
      <c r="A3198" t="s">
        <v>62</v>
      </c>
      <c r="B3198" t="s">
        <v>72</v>
      </c>
      <c r="C3198" t="s">
        <v>2934</v>
      </c>
      <c r="D3198">
        <v>2</v>
      </c>
      <c r="E3198">
        <v>6</v>
      </c>
      <c r="F3198" t="s">
        <v>7</v>
      </c>
      <c r="G3198" t="s">
        <v>11</v>
      </c>
      <c r="H3198" t="s">
        <v>11</v>
      </c>
    </row>
    <row r="3199" spans="1:8" x14ac:dyDescent="0.35">
      <c r="A3199" t="s">
        <v>62</v>
      </c>
      <c r="B3199" t="s">
        <v>72</v>
      </c>
      <c r="C3199" t="s">
        <v>1984</v>
      </c>
      <c r="D3199">
        <v>2</v>
      </c>
      <c r="E3199">
        <v>6</v>
      </c>
      <c r="F3199" t="s">
        <v>7</v>
      </c>
      <c r="G3199" t="s">
        <v>11</v>
      </c>
      <c r="H3199" t="s">
        <v>11</v>
      </c>
    </row>
    <row r="3200" spans="1:8" x14ac:dyDescent="0.35">
      <c r="A3200" t="s">
        <v>62</v>
      </c>
      <c r="B3200" t="s">
        <v>72</v>
      </c>
      <c r="C3200" t="s">
        <v>1986</v>
      </c>
      <c r="D3200">
        <v>1</v>
      </c>
      <c r="E3200">
        <v>6</v>
      </c>
      <c r="F3200" t="s">
        <v>7</v>
      </c>
      <c r="G3200" t="s">
        <v>11</v>
      </c>
      <c r="H3200" t="s">
        <v>11</v>
      </c>
    </row>
    <row r="3201" spans="1:8" x14ac:dyDescent="0.35">
      <c r="A3201" t="s">
        <v>62</v>
      </c>
      <c r="B3201" t="s">
        <v>72</v>
      </c>
      <c r="C3201" t="s">
        <v>2935</v>
      </c>
      <c r="D3201">
        <v>2</v>
      </c>
      <c r="E3201">
        <v>6</v>
      </c>
      <c r="F3201" t="s">
        <v>7</v>
      </c>
      <c r="G3201" t="s">
        <v>11</v>
      </c>
      <c r="H3201" t="s">
        <v>11</v>
      </c>
    </row>
    <row r="3202" spans="1:8" x14ac:dyDescent="0.35">
      <c r="A3202" t="s">
        <v>62</v>
      </c>
      <c r="B3202" t="s">
        <v>72</v>
      </c>
      <c r="C3202" t="s">
        <v>1162</v>
      </c>
      <c r="D3202">
        <v>2</v>
      </c>
      <c r="E3202">
        <v>6</v>
      </c>
      <c r="F3202" t="s">
        <v>7</v>
      </c>
      <c r="G3202" t="s">
        <v>11</v>
      </c>
      <c r="H3202" t="s">
        <v>11</v>
      </c>
    </row>
    <row r="3203" spans="1:8" x14ac:dyDescent="0.35">
      <c r="A3203" t="s">
        <v>62</v>
      </c>
      <c r="B3203" t="s">
        <v>72</v>
      </c>
      <c r="C3203" t="s">
        <v>2936</v>
      </c>
      <c r="D3203">
        <v>2</v>
      </c>
      <c r="E3203">
        <v>6</v>
      </c>
      <c r="F3203" t="s">
        <v>7</v>
      </c>
      <c r="G3203" t="s">
        <v>11</v>
      </c>
      <c r="H3203" t="s">
        <v>11</v>
      </c>
    </row>
    <row r="3204" spans="1:8" x14ac:dyDescent="0.35">
      <c r="A3204" t="s">
        <v>62</v>
      </c>
      <c r="B3204" t="s">
        <v>72</v>
      </c>
      <c r="C3204" t="s">
        <v>1593</v>
      </c>
      <c r="D3204">
        <v>2</v>
      </c>
      <c r="E3204">
        <v>7</v>
      </c>
      <c r="F3204" t="s">
        <v>11</v>
      </c>
      <c r="G3204" t="s">
        <v>11</v>
      </c>
      <c r="H3204" t="s">
        <v>11</v>
      </c>
    </row>
    <row r="3205" spans="1:8" x14ac:dyDescent="0.35">
      <c r="A3205" t="s">
        <v>62</v>
      </c>
      <c r="B3205" t="s">
        <v>72</v>
      </c>
      <c r="C3205" t="s">
        <v>2937</v>
      </c>
      <c r="D3205">
        <v>2</v>
      </c>
      <c r="E3205">
        <v>6</v>
      </c>
      <c r="F3205" t="s">
        <v>7</v>
      </c>
      <c r="G3205" t="s">
        <v>11</v>
      </c>
      <c r="H3205" t="s">
        <v>11</v>
      </c>
    </row>
    <row r="3206" spans="1:8" x14ac:dyDescent="0.35">
      <c r="A3206" t="s">
        <v>62</v>
      </c>
      <c r="B3206" t="s">
        <v>72</v>
      </c>
      <c r="C3206" t="s">
        <v>2938</v>
      </c>
      <c r="D3206">
        <v>2</v>
      </c>
      <c r="E3206">
        <v>6</v>
      </c>
      <c r="F3206" t="s">
        <v>7</v>
      </c>
      <c r="G3206" t="s">
        <v>11</v>
      </c>
      <c r="H3206" t="s">
        <v>11</v>
      </c>
    </row>
    <row r="3207" spans="1:8" x14ac:dyDescent="0.35">
      <c r="A3207" t="s">
        <v>62</v>
      </c>
      <c r="B3207" t="s">
        <v>72</v>
      </c>
      <c r="C3207" t="s">
        <v>2939</v>
      </c>
      <c r="D3207">
        <v>1</v>
      </c>
      <c r="E3207">
        <v>6</v>
      </c>
      <c r="F3207" t="s">
        <v>7</v>
      </c>
      <c r="G3207" t="s">
        <v>11</v>
      </c>
      <c r="H3207" t="s">
        <v>11</v>
      </c>
    </row>
    <row r="3208" spans="1:8" x14ac:dyDescent="0.35">
      <c r="A3208" t="s">
        <v>62</v>
      </c>
      <c r="B3208" t="s">
        <v>72</v>
      </c>
      <c r="C3208" t="s">
        <v>1530</v>
      </c>
      <c r="D3208">
        <v>1</v>
      </c>
      <c r="E3208">
        <v>6</v>
      </c>
      <c r="F3208" t="s">
        <v>7</v>
      </c>
      <c r="G3208" t="s">
        <v>11</v>
      </c>
      <c r="H3208" t="s">
        <v>11</v>
      </c>
    </row>
    <row r="3209" spans="1:8" x14ac:dyDescent="0.35">
      <c r="A3209" t="s">
        <v>62</v>
      </c>
      <c r="B3209" t="s">
        <v>72</v>
      </c>
      <c r="C3209" t="s">
        <v>1265</v>
      </c>
      <c r="D3209">
        <v>2</v>
      </c>
      <c r="E3209">
        <v>6</v>
      </c>
      <c r="F3209" t="s">
        <v>7</v>
      </c>
      <c r="G3209" t="s">
        <v>11</v>
      </c>
      <c r="H3209" t="s">
        <v>11</v>
      </c>
    </row>
    <row r="3210" spans="1:8" x14ac:dyDescent="0.35">
      <c r="A3210" t="s">
        <v>62</v>
      </c>
      <c r="B3210" t="s">
        <v>72</v>
      </c>
      <c r="C3210" t="s">
        <v>2423</v>
      </c>
      <c r="D3210">
        <v>1</v>
      </c>
      <c r="E3210">
        <v>6</v>
      </c>
      <c r="F3210" t="s">
        <v>7</v>
      </c>
      <c r="G3210" t="s">
        <v>11</v>
      </c>
      <c r="H3210" t="s">
        <v>11</v>
      </c>
    </row>
    <row r="3211" spans="1:8" x14ac:dyDescent="0.35">
      <c r="A3211" t="s">
        <v>62</v>
      </c>
      <c r="B3211" t="s">
        <v>72</v>
      </c>
      <c r="C3211" t="s">
        <v>2940</v>
      </c>
      <c r="D3211">
        <v>2</v>
      </c>
      <c r="E3211">
        <v>7</v>
      </c>
      <c r="F3211" t="s">
        <v>11</v>
      </c>
      <c r="G3211" t="s">
        <v>11</v>
      </c>
      <c r="H3211" t="s">
        <v>11</v>
      </c>
    </row>
    <row r="3212" spans="1:8" x14ac:dyDescent="0.35">
      <c r="A3212" t="s">
        <v>62</v>
      </c>
      <c r="B3212" t="s">
        <v>72</v>
      </c>
      <c r="C3212" t="s">
        <v>2941</v>
      </c>
      <c r="D3212">
        <v>2</v>
      </c>
      <c r="E3212">
        <v>6</v>
      </c>
      <c r="F3212" t="s">
        <v>7</v>
      </c>
      <c r="G3212" t="s">
        <v>11</v>
      </c>
      <c r="H3212" t="s">
        <v>11</v>
      </c>
    </row>
    <row r="3213" spans="1:8" x14ac:dyDescent="0.35">
      <c r="A3213" t="s">
        <v>62</v>
      </c>
      <c r="B3213" t="s">
        <v>72</v>
      </c>
      <c r="C3213" t="s">
        <v>1641</v>
      </c>
      <c r="D3213">
        <v>1</v>
      </c>
      <c r="E3213">
        <v>6</v>
      </c>
      <c r="F3213" t="s">
        <v>7</v>
      </c>
      <c r="G3213" t="s">
        <v>11</v>
      </c>
      <c r="H3213" t="s">
        <v>11</v>
      </c>
    </row>
    <row r="3214" spans="1:8" x14ac:dyDescent="0.35">
      <c r="A3214" t="s">
        <v>62</v>
      </c>
      <c r="B3214" t="s">
        <v>72</v>
      </c>
      <c r="C3214" t="s">
        <v>2054</v>
      </c>
      <c r="D3214">
        <v>1</v>
      </c>
      <c r="E3214">
        <v>6</v>
      </c>
      <c r="F3214" t="s">
        <v>7</v>
      </c>
      <c r="G3214" t="s">
        <v>11</v>
      </c>
      <c r="H3214" t="s">
        <v>11</v>
      </c>
    </row>
    <row r="3215" spans="1:8" x14ac:dyDescent="0.35">
      <c r="A3215" t="s">
        <v>62</v>
      </c>
      <c r="B3215" t="s">
        <v>72</v>
      </c>
      <c r="C3215" t="s">
        <v>2736</v>
      </c>
      <c r="D3215">
        <v>2</v>
      </c>
      <c r="E3215">
        <v>6</v>
      </c>
      <c r="F3215" t="s">
        <v>7</v>
      </c>
      <c r="G3215" t="s">
        <v>11</v>
      </c>
      <c r="H3215" t="s">
        <v>11</v>
      </c>
    </row>
    <row r="3216" spans="1:8" x14ac:dyDescent="0.35">
      <c r="A3216" t="s">
        <v>62</v>
      </c>
      <c r="B3216" t="s">
        <v>72</v>
      </c>
      <c r="C3216" t="s">
        <v>2942</v>
      </c>
      <c r="D3216">
        <v>1</v>
      </c>
      <c r="E3216">
        <v>6</v>
      </c>
      <c r="F3216" t="s">
        <v>7</v>
      </c>
      <c r="G3216" t="s">
        <v>11</v>
      </c>
      <c r="H3216" t="s">
        <v>11</v>
      </c>
    </row>
    <row r="3217" spans="1:8" x14ac:dyDescent="0.35">
      <c r="A3217" t="s">
        <v>62</v>
      </c>
      <c r="B3217" t="s">
        <v>72</v>
      </c>
      <c r="C3217" t="s">
        <v>2943</v>
      </c>
      <c r="D3217">
        <v>2</v>
      </c>
      <c r="E3217">
        <v>6</v>
      </c>
      <c r="F3217" t="s">
        <v>7</v>
      </c>
      <c r="G3217" t="s">
        <v>11</v>
      </c>
      <c r="H3217" t="s">
        <v>11</v>
      </c>
    </row>
    <row r="3218" spans="1:8" x14ac:dyDescent="0.35">
      <c r="A3218" t="s">
        <v>62</v>
      </c>
      <c r="B3218" t="s">
        <v>72</v>
      </c>
      <c r="C3218" t="s">
        <v>2944</v>
      </c>
      <c r="D3218">
        <v>2</v>
      </c>
      <c r="E3218">
        <v>7</v>
      </c>
      <c r="F3218" t="s">
        <v>11</v>
      </c>
      <c r="G3218" t="s">
        <v>11</v>
      </c>
      <c r="H3218" t="s">
        <v>11</v>
      </c>
    </row>
    <row r="3219" spans="1:8" x14ac:dyDescent="0.35">
      <c r="A3219" t="s">
        <v>62</v>
      </c>
      <c r="B3219" t="s">
        <v>72</v>
      </c>
      <c r="C3219" t="s">
        <v>2945</v>
      </c>
      <c r="D3219">
        <v>1</v>
      </c>
      <c r="E3219">
        <v>6</v>
      </c>
      <c r="F3219" t="s">
        <v>7</v>
      </c>
      <c r="G3219" t="s">
        <v>11</v>
      </c>
      <c r="H3219" t="s">
        <v>11</v>
      </c>
    </row>
    <row r="3220" spans="1:8" x14ac:dyDescent="0.35">
      <c r="A3220" t="s">
        <v>62</v>
      </c>
      <c r="B3220" t="s">
        <v>72</v>
      </c>
      <c r="C3220" t="s">
        <v>2946</v>
      </c>
      <c r="D3220">
        <v>2</v>
      </c>
      <c r="E3220">
        <v>6</v>
      </c>
      <c r="F3220" t="s">
        <v>7</v>
      </c>
      <c r="G3220" t="s">
        <v>11</v>
      </c>
      <c r="H3220" t="s">
        <v>11</v>
      </c>
    </row>
    <row r="3221" spans="1:8" x14ac:dyDescent="0.35">
      <c r="A3221" t="s">
        <v>62</v>
      </c>
      <c r="B3221" t="s">
        <v>72</v>
      </c>
      <c r="C3221" t="s">
        <v>1450</v>
      </c>
      <c r="D3221">
        <v>2</v>
      </c>
      <c r="E3221">
        <v>7</v>
      </c>
      <c r="F3221" t="s">
        <v>11</v>
      </c>
      <c r="G3221" t="s">
        <v>11</v>
      </c>
      <c r="H3221" t="s">
        <v>11</v>
      </c>
    </row>
    <row r="3222" spans="1:8" x14ac:dyDescent="0.35">
      <c r="A3222" t="s">
        <v>62</v>
      </c>
      <c r="B3222" t="s">
        <v>72</v>
      </c>
      <c r="C3222" t="s">
        <v>2947</v>
      </c>
      <c r="D3222">
        <v>2</v>
      </c>
      <c r="E3222">
        <v>6</v>
      </c>
      <c r="F3222" t="s">
        <v>7</v>
      </c>
      <c r="G3222" t="s">
        <v>11</v>
      </c>
      <c r="H3222" t="s">
        <v>11</v>
      </c>
    </row>
    <row r="3223" spans="1:8" x14ac:dyDescent="0.35">
      <c r="A3223" t="s">
        <v>62</v>
      </c>
      <c r="B3223" t="s">
        <v>72</v>
      </c>
      <c r="C3223" t="s">
        <v>1904</v>
      </c>
      <c r="D3223">
        <v>1</v>
      </c>
      <c r="E3223">
        <v>6</v>
      </c>
      <c r="F3223" t="s">
        <v>7</v>
      </c>
      <c r="G3223" t="s">
        <v>11</v>
      </c>
      <c r="H3223" t="s">
        <v>11</v>
      </c>
    </row>
    <row r="3224" spans="1:8" x14ac:dyDescent="0.35">
      <c r="A3224" t="s">
        <v>62</v>
      </c>
      <c r="B3224" t="s">
        <v>72</v>
      </c>
      <c r="C3224" t="s">
        <v>2948</v>
      </c>
      <c r="D3224">
        <v>2</v>
      </c>
      <c r="E3224">
        <v>7</v>
      </c>
      <c r="F3224" t="s">
        <v>11</v>
      </c>
      <c r="G3224" t="s">
        <v>11</v>
      </c>
      <c r="H3224" t="s">
        <v>11</v>
      </c>
    </row>
    <row r="3225" spans="1:8" x14ac:dyDescent="0.35">
      <c r="A3225" t="s">
        <v>62</v>
      </c>
      <c r="B3225" t="s">
        <v>72</v>
      </c>
      <c r="C3225" t="s">
        <v>2586</v>
      </c>
      <c r="D3225">
        <v>1</v>
      </c>
      <c r="E3225">
        <v>6</v>
      </c>
      <c r="F3225" t="s">
        <v>7</v>
      </c>
      <c r="G3225" t="s">
        <v>11</v>
      </c>
      <c r="H3225" t="s">
        <v>11</v>
      </c>
    </row>
    <row r="3226" spans="1:8" x14ac:dyDescent="0.35">
      <c r="A3226" t="s">
        <v>62</v>
      </c>
      <c r="B3226" t="s">
        <v>72</v>
      </c>
      <c r="C3226" t="s">
        <v>2949</v>
      </c>
      <c r="D3226">
        <v>2</v>
      </c>
      <c r="E3226">
        <v>7</v>
      </c>
      <c r="F3226" t="s">
        <v>11</v>
      </c>
      <c r="G3226" t="s">
        <v>11</v>
      </c>
      <c r="H3226" t="s">
        <v>11</v>
      </c>
    </row>
    <row r="3227" spans="1:8" x14ac:dyDescent="0.35">
      <c r="A3227" t="s">
        <v>62</v>
      </c>
      <c r="B3227" t="s">
        <v>72</v>
      </c>
      <c r="C3227" t="s">
        <v>1177</v>
      </c>
      <c r="D3227">
        <v>1</v>
      </c>
      <c r="E3227">
        <v>6</v>
      </c>
      <c r="F3227" t="s">
        <v>7</v>
      </c>
      <c r="G3227" t="s">
        <v>11</v>
      </c>
      <c r="H3227" t="s">
        <v>11</v>
      </c>
    </row>
    <row r="3228" spans="1:8" x14ac:dyDescent="0.35">
      <c r="A3228" t="s">
        <v>62</v>
      </c>
      <c r="B3228" t="s">
        <v>72</v>
      </c>
      <c r="C3228" t="s">
        <v>2950</v>
      </c>
      <c r="D3228">
        <v>1</v>
      </c>
      <c r="E3228">
        <v>6</v>
      </c>
      <c r="F3228" t="s">
        <v>7</v>
      </c>
      <c r="G3228" t="s">
        <v>11</v>
      </c>
      <c r="H3228" t="s">
        <v>11</v>
      </c>
    </row>
    <row r="3229" spans="1:8" x14ac:dyDescent="0.35">
      <c r="A3229" t="s">
        <v>62</v>
      </c>
      <c r="B3229" t="s">
        <v>72</v>
      </c>
      <c r="C3229" t="s">
        <v>2951</v>
      </c>
      <c r="D3229">
        <v>1</v>
      </c>
      <c r="E3229">
        <v>6</v>
      </c>
      <c r="F3229" t="s">
        <v>7</v>
      </c>
      <c r="G3229" t="s">
        <v>11</v>
      </c>
      <c r="H3229" t="s">
        <v>11</v>
      </c>
    </row>
    <row r="3230" spans="1:8" x14ac:dyDescent="0.35">
      <c r="A3230" t="s">
        <v>62</v>
      </c>
      <c r="B3230" t="s">
        <v>72</v>
      </c>
      <c r="C3230" t="s">
        <v>2952</v>
      </c>
      <c r="D3230">
        <v>2</v>
      </c>
      <c r="E3230">
        <v>6</v>
      </c>
      <c r="F3230" t="s">
        <v>7</v>
      </c>
      <c r="G3230" t="s">
        <v>11</v>
      </c>
      <c r="H3230" t="s">
        <v>11</v>
      </c>
    </row>
    <row r="3231" spans="1:8" x14ac:dyDescent="0.35">
      <c r="A3231" t="s">
        <v>62</v>
      </c>
      <c r="B3231" t="s">
        <v>72</v>
      </c>
      <c r="C3231" t="s">
        <v>1653</v>
      </c>
      <c r="D3231">
        <v>2</v>
      </c>
      <c r="E3231">
        <v>6</v>
      </c>
      <c r="F3231" t="s">
        <v>7</v>
      </c>
      <c r="G3231" t="s">
        <v>11</v>
      </c>
      <c r="H3231" t="s">
        <v>11</v>
      </c>
    </row>
    <row r="3232" spans="1:8" x14ac:dyDescent="0.35">
      <c r="A3232" t="s">
        <v>62</v>
      </c>
      <c r="B3232" t="s">
        <v>72</v>
      </c>
      <c r="C3232" t="s">
        <v>2432</v>
      </c>
      <c r="D3232">
        <v>1</v>
      </c>
      <c r="E3232">
        <v>6</v>
      </c>
      <c r="F3232" t="s">
        <v>7</v>
      </c>
      <c r="G3232" t="s">
        <v>11</v>
      </c>
      <c r="H3232" t="s">
        <v>11</v>
      </c>
    </row>
    <row r="3233" spans="1:8" x14ac:dyDescent="0.35">
      <c r="A3233" t="s">
        <v>64</v>
      </c>
      <c r="B3233" t="s">
        <v>73</v>
      </c>
      <c r="C3233" t="s">
        <v>2273</v>
      </c>
      <c r="D3233">
        <v>1</v>
      </c>
      <c r="E3233">
        <v>6</v>
      </c>
      <c r="F3233" t="s">
        <v>75</v>
      </c>
      <c r="G3233" t="s">
        <v>11</v>
      </c>
      <c r="H3233" t="s">
        <v>11</v>
      </c>
    </row>
    <row r="3234" spans="1:8" x14ac:dyDescent="0.35">
      <c r="A3234" t="s">
        <v>64</v>
      </c>
      <c r="B3234" t="s">
        <v>73</v>
      </c>
      <c r="C3234" t="s">
        <v>2145</v>
      </c>
      <c r="D3234">
        <v>1</v>
      </c>
      <c r="E3234">
        <v>6</v>
      </c>
      <c r="F3234" t="s">
        <v>75</v>
      </c>
      <c r="G3234" t="s">
        <v>11</v>
      </c>
      <c r="H3234" t="s">
        <v>11</v>
      </c>
    </row>
    <row r="3235" spans="1:8" x14ac:dyDescent="0.35">
      <c r="A3235" t="s">
        <v>64</v>
      </c>
      <c r="B3235" t="s">
        <v>73</v>
      </c>
      <c r="C3235" t="s">
        <v>1820</v>
      </c>
      <c r="D3235">
        <v>1</v>
      </c>
      <c r="E3235">
        <v>6</v>
      </c>
      <c r="F3235" t="s">
        <v>75</v>
      </c>
      <c r="G3235" t="s">
        <v>11</v>
      </c>
      <c r="H3235" t="s">
        <v>11</v>
      </c>
    </row>
    <row r="3236" spans="1:8" x14ac:dyDescent="0.35">
      <c r="A3236" t="s">
        <v>64</v>
      </c>
      <c r="B3236" t="s">
        <v>73</v>
      </c>
      <c r="C3236" t="s">
        <v>2147</v>
      </c>
      <c r="D3236">
        <v>1</v>
      </c>
      <c r="E3236">
        <v>6</v>
      </c>
      <c r="F3236" t="s">
        <v>75</v>
      </c>
      <c r="G3236" t="s">
        <v>11</v>
      </c>
      <c r="H3236" t="s">
        <v>11</v>
      </c>
    </row>
    <row r="3237" spans="1:8" x14ac:dyDescent="0.35">
      <c r="A3237" t="s">
        <v>64</v>
      </c>
      <c r="B3237" t="s">
        <v>73</v>
      </c>
      <c r="C3237" t="s">
        <v>2953</v>
      </c>
      <c r="D3237">
        <v>1</v>
      </c>
      <c r="E3237">
        <v>6</v>
      </c>
      <c r="F3237" t="s">
        <v>75</v>
      </c>
      <c r="G3237" t="s">
        <v>11</v>
      </c>
      <c r="H3237" t="s">
        <v>11</v>
      </c>
    </row>
    <row r="3238" spans="1:8" x14ac:dyDescent="0.35">
      <c r="A3238" t="s">
        <v>64</v>
      </c>
      <c r="B3238" t="s">
        <v>73</v>
      </c>
      <c r="C3238" t="s">
        <v>2477</v>
      </c>
      <c r="D3238">
        <v>1</v>
      </c>
      <c r="E3238">
        <v>6</v>
      </c>
      <c r="F3238" t="s">
        <v>75</v>
      </c>
      <c r="G3238" t="s">
        <v>11</v>
      </c>
      <c r="H3238" t="s">
        <v>11</v>
      </c>
    </row>
    <row r="3239" spans="1:8" x14ac:dyDescent="0.35">
      <c r="A3239" t="s">
        <v>64</v>
      </c>
      <c r="B3239" t="s">
        <v>73</v>
      </c>
      <c r="C3239" t="s">
        <v>1360</v>
      </c>
      <c r="D3239">
        <v>1</v>
      </c>
      <c r="E3239">
        <v>6</v>
      </c>
      <c r="F3239" t="s">
        <v>75</v>
      </c>
      <c r="G3239" t="s">
        <v>11</v>
      </c>
      <c r="H3239" t="s">
        <v>11</v>
      </c>
    </row>
    <row r="3240" spans="1:8" x14ac:dyDescent="0.35">
      <c r="A3240" t="s">
        <v>64</v>
      </c>
      <c r="B3240" t="s">
        <v>73</v>
      </c>
      <c r="C3240" t="s">
        <v>2954</v>
      </c>
      <c r="D3240">
        <v>1</v>
      </c>
      <c r="E3240">
        <v>5</v>
      </c>
      <c r="F3240" t="s">
        <v>75</v>
      </c>
      <c r="G3240" t="s">
        <v>11</v>
      </c>
      <c r="H3240" t="s">
        <v>11</v>
      </c>
    </row>
    <row r="3241" spans="1:8" x14ac:dyDescent="0.35">
      <c r="A3241" t="s">
        <v>64</v>
      </c>
      <c r="B3241" t="s">
        <v>73</v>
      </c>
      <c r="C3241" t="s">
        <v>2955</v>
      </c>
      <c r="D3241">
        <v>1</v>
      </c>
      <c r="E3241">
        <v>6</v>
      </c>
      <c r="F3241" t="s">
        <v>75</v>
      </c>
      <c r="G3241" t="s">
        <v>11</v>
      </c>
      <c r="H3241" t="s">
        <v>11</v>
      </c>
    </row>
    <row r="3242" spans="1:8" x14ac:dyDescent="0.35">
      <c r="A3242" t="s">
        <v>64</v>
      </c>
      <c r="B3242" t="s">
        <v>73</v>
      </c>
      <c r="C3242" t="s">
        <v>1252</v>
      </c>
      <c r="D3242">
        <v>1</v>
      </c>
      <c r="E3242">
        <v>6</v>
      </c>
      <c r="F3242" t="s">
        <v>75</v>
      </c>
      <c r="G3242" t="s">
        <v>11</v>
      </c>
      <c r="H3242" t="s">
        <v>11</v>
      </c>
    </row>
    <row r="3243" spans="1:8" x14ac:dyDescent="0.35">
      <c r="A3243" t="s">
        <v>64</v>
      </c>
      <c r="B3243" t="s">
        <v>73</v>
      </c>
      <c r="C3243" t="s">
        <v>2956</v>
      </c>
      <c r="D3243">
        <v>1</v>
      </c>
      <c r="E3243">
        <v>6</v>
      </c>
      <c r="F3243" t="s">
        <v>75</v>
      </c>
      <c r="G3243" t="s">
        <v>11</v>
      </c>
      <c r="H3243" t="s">
        <v>11</v>
      </c>
    </row>
    <row r="3244" spans="1:8" x14ac:dyDescent="0.35">
      <c r="A3244" t="s">
        <v>64</v>
      </c>
      <c r="B3244" t="s">
        <v>73</v>
      </c>
      <c r="C3244" t="s">
        <v>1254</v>
      </c>
      <c r="D3244">
        <v>1</v>
      </c>
      <c r="E3244">
        <v>7</v>
      </c>
      <c r="F3244" t="s">
        <v>11</v>
      </c>
      <c r="G3244" t="s">
        <v>11</v>
      </c>
      <c r="H3244" t="s">
        <v>11</v>
      </c>
    </row>
    <row r="3245" spans="1:8" x14ac:dyDescent="0.35">
      <c r="A3245" t="s">
        <v>64</v>
      </c>
      <c r="B3245" t="s">
        <v>73</v>
      </c>
      <c r="C3245" t="s">
        <v>2957</v>
      </c>
      <c r="D3245">
        <v>1</v>
      </c>
      <c r="E3245">
        <v>6</v>
      </c>
      <c r="F3245" t="s">
        <v>75</v>
      </c>
      <c r="G3245" t="s">
        <v>11</v>
      </c>
      <c r="H3245" t="s">
        <v>11</v>
      </c>
    </row>
    <row r="3246" spans="1:8" x14ac:dyDescent="0.35">
      <c r="A3246" t="s">
        <v>64</v>
      </c>
      <c r="B3246" t="s">
        <v>73</v>
      </c>
      <c r="C3246" t="s">
        <v>2958</v>
      </c>
      <c r="D3246">
        <v>1</v>
      </c>
      <c r="E3246">
        <v>6</v>
      </c>
      <c r="F3246" t="s">
        <v>75</v>
      </c>
      <c r="G3246" t="s">
        <v>11</v>
      </c>
      <c r="H3246" t="s">
        <v>11</v>
      </c>
    </row>
    <row r="3247" spans="1:8" x14ac:dyDescent="0.35">
      <c r="A3247" t="s">
        <v>64</v>
      </c>
      <c r="B3247" t="s">
        <v>73</v>
      </c>
      <c r="C3247" t="s">
        <v>1379</v>
      </c>
      <c r="D3247">
        <v>1</v>
      </c>
      <c r="E3247">
        <v>6</v>
      </c>
      <c r="F3247" t="s">
        <v>75</v>
      </c>
      <c r="G3247" t="s">
        <v>11</v>
      </c>
      <c r="H3247" t="s">
        <v>11</v>
      </c>
    </row>
    <row r="3248" spans="1:8" x14ac:dyDescent="0.35">
      <c r="A3248" t="s">
        <v>64</v>
      </c>
      <c r="B3248" t="s">
        <v>73</v>
      </c>
      <c r="C3248" t="s">
        <v>2132</v>
      </c>
      <c r="D3248">
        <v>2</v>
      </c>
      <c r="E3248">
        <v>5</v>
      </c>
      <c r="F3248" t="s">
        <v>75</v>
      </c>
      <c r="G3248" t="s">
        <v>11</v>
      </c>
      <c r="H3248" t="s">
        <v>11</v>
      </c>
    </row>
    <row r="3249" spans="1:8" x14ac:dyDescent="0.35">
      <c r="A3249" t="s">
        <v>64</v>
      </c>
      <c r="B3249" t="s">
        <v>73</v>
      </c>
      <c r="C3249" t="s">
        <v>1794</v>
      </c>
      <c r="D3249">
        <v>1</v>
      </c>
      <c r="E3249">
        <v>6</v>
      </c>
      <c r="F3249" t="s">
        <v>75</v>
      </c>
      <c r="G3249" t="s">
        <v>11</v>
      </c>
      <c r="H3249" t="s">
        <v>11</v>
      </c>
    </row>
    <row r="3250" spans="1:8" x14ac:dyDescent="0.35">
      <c r="A3250" t="s">
        <v>64</v>
      </c>
      <c r="B3250" t="s">
        <v>73</v>
      </c>
      <c r="C3250" t="s">
        <v>2959</v>
      </c>
      <c r="D3250">
        <v>1</v>
      </c>
      <c r="E3250">
        <v>7</v>
      </c>
      <c r="F3250" t="s">
        <v>11</v>
      </c>
      <c r="G3250" t="s">
        <v>11</v>
      </c>
      <c r="H3250" t="s">
        <v>11</v>
      </c>
    </row>
    <row r="3251" spans="1:8" x14ac:dyDescent="0.35">
      <c r="A3251" t="s">
        <v>64</v>
      </c>
      <c r="B3251" t="s">
        <v>73</v>
      </c>
      <c r="C3251" t="s">
        <v>2960</v>
      </c>
      <c r="D3251">
        <v>1</v>
      </c>
      <c r="E3251">
        <v>6</v>
      </c>
      <c r="F3251" t="s">
        <v>75</v>
      </c>
      <c r="G3251" t="s">
        <v>11</v>
      </c>
      <c r="H3251" t="s">
        <v>11</v>
      </c>
    </row>
    <row r="3252" spans="1:8" x14ac:dyDescent="0.35">
      <c r="A3252" t="s">
        <v>64</v>
      </c>
      <c r="B3252" t="s">
        <v>73</v>
      </c>
      <c r="C3252" t="s">
        <v>1598</v>
      </c>
      <c r="D3252">
        <v>1</v>
      </c>
      <c r="E3252">
        <v>7</v>
      </c>
      <c r="F3252" t="s">
        <v>11</v>
      </c>
      <c r="G3252" t="s">
        <v>11</v>
      </c>
      <c r="H3252" t="s">
        <v>11</v>
      </c>
    </row>
    <row r="3253" spans="1:8" x14ac:dyDescent="0.35">
      <c r="A3253" t="s">
        <v>64</v>
      </c>
      <c r="B3253" t="s">
        <v>73</v>
      </c>
      <c r="C3253" t="s">
        <v>2961</v>
      </c>
      <c r="D3253">
        <v>1</v>
      </c>
      <c r="E3253">
        <v>6</v>
      </c>
      <c r="F3253" t="s">
        <v>75</v>
      </c>
      <c r="G3253" t="s">
        <v>11</v>
      </c>
      <c r="H3253" t="s">
        <v>11</v>
      </c>
    </row>
    <row r="3254" spans="1:8" x14ac:dyDescent="0.35">
      <c r="A3254" t="s">
        <v>64</v>
      </c>
      <c r="B3254" t="s">
        <v>73</v>
      </c>
      <c r="C3254" t="s">
        <v>2962</v>
      </c>
      <c r="D3254">
        <v>1</v>
      </c>
      <c r="E3254">
        <v>6</v>
      </c>
      <c r="F3254" t="s">
        <v>75</v>
      </c>
      <c r="G3254" t="s">
        <v>11</v>
      </c>
      <c r="H3254" t="s">
        <v>11</v>
      </c>
    </row>
    <row r="3255" spans="1:8" x14ac:dyDescent="0.35">
      <c r="A3255" t="s">
        <v>64</v>
      </c>
      <c r="B3255" t="s">
        <v>73</v>
      </c>
      <c r="C3255" t="s">
        <v>2963</v>
      </c>
      <c r="D3255">
        <v>2</v>
      </c>
      <c r="E3255">
        <v>6</v>
      </c>
      <c r="F3255" t="s">
        <v>75</v>
      </c>
      <c r="G3255" t="s">
        <v>11</v>
      </c>
      <c r="H3255" t="s">
        <v>11</v>
      </c>
    </row>
  </sheetData>
  <sheetProtection algorithmName="SHA-512" hashValue="iZXZIx6Ju7EDGhfxhvLbQaX6UjpANU4xeUf/VDUDiFjRgoQ6CyTqNyFNW07WoR3LFp2Vj6BbAC4N/RehiFSc4Q==" saltValue="GJhThSZ7mtIVMaTV9a235g==" spinCount="100000" sheet="1" objects="1" scenarios="1" selectLockedCells="1" selectUnlockedCells="1"/>
  <sortState xmlns:xlrd2="http://schemas.microsoft.com/office/spreadsheetml/2017/richdata2" ref="J2:J52">
    <sortCondition ref="J52"/>
  </sortState>
  <dataConsolidate link="1"/>
  <pageMargins left="0.7" right="0.7" top="0.75" bottom="0.75" header="0.3" footer="0.3"/>
  <pageSetup scale="72"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B2:G10"/>
  <sheetViews>
    <sheetView showGridLines="0" zoomScaleNormal="100" workbookViewId="0">
      <selection activeCell="S48" sqref="S48"/>
    </sheetView>
  </sheetViews>
  <sheetFormatPr defaultColWidth="9.1796875" defaultRowHeight="14.5" x14ac:dyDescent="0.35"/>
  <cols>
    <col min="3" max="3" width="16.54296875" bestFit="1" customWidth="1"/>
    <col min="4" max="5" width="15.81640625" bestFit="1" customWidth="1"/>
  </cols>
  <sheetData>
    <row r="2" spans="2:7" x14ac:dyDescent="0.35">
      <c r="B2" s="1255" t="s">
        <v>3123</v>
      </c>
      <c r="C2" s="1255"/>
      <c r="E2" s="1252" t="s">
        <v>4068</v>
      </c>
      <c r="F2" s="1253"/>
      <c r="G2" s="1254"/>
    </row>
    <row r="4" spans="2:7" x14ac:dyDescent="0.35">
      <c r="C4" s="951" t="s">
        <v>3024</v>
      </c>
      <c r="D4" s="951"/>
      <c r="E4" s="951"/>
    </row>
    <row r="5" spans="2:7" x14ac:dyDescent="0.35">
      <c r="C5" s="891" t="s">
        <v>3023</v>
      </c>
      <c r="D5" s="1250"/>
      <c r="E5" s="1250"/>
    </row>
    <row r="6" spans="2:7" ht="15" customHeight="1" x14ac:dyDescent="0.35">
      <c r="C6" s="1262" t="s">
        <v>3644</v>
      </c>
      <c r="D6" s="78" t="s">
        <v>3017</v>
      </c>
      <c r="E6" s="80" t="s">
        <v>3016</v>
      </c>
    </row>
    <row r="7" spans="2:7" ht="12.75" customHeight="1" x14ac:dyDescent="0.35">
      <c r="C7" s="1263"/>
      <c r="D7" s="1261" t="s">
        <v>3015</v>
      </c>
      <c r="E7" s="1261"/>
    </row>
    <row r="8" spans="2:7" x14ac:dyDescent="0.35">
      <c r="C8" s="76" t="s">
        <v>3022</v>
      </c>
      <c r="D8" s="79">
        <v>3</v>
      </c>
      <c r="E8" s="80">
        <v>6</v>
      </c>
    </row>
    <row r="9" spans="2:7" x14ac:dyDescent="0.35">
      <c r="C9" s="77" t="s">
        <v>3021</v>
      </c>
      <c r="D9" s="79">
        <v>4</v>
      </c>
      <c r="E9" s="80">
        <v>8</v>
      </c>
    </row>
    <row r="10" spans="2:7" x14ac:dyDescent="0.35">
      <c r="C10" s="77" t="s">
        <v>3020</v>
      </c>
      <c r="D10" s="79">
        <v>5</v>
      </c>
      <c r="E10" s="80">
        <v>10</v>
      </c>
    </row>
  </sheetData>
  <sheetProtection algorithmName="SHA-512" hashValue="mApPNbYfcE2aRWmDCcE24cJ1TEbwbzzUHPl2+64r7/iBwjo6tMj8yW9hOkPhwmQiuvTnblSpamyF4uvCOka3oA==" saltValue="hB4uOn+6/3QJ9vK5t45brw==" spinCount="100000" sheet="1" objects="1" scenarios="1" selectLockedCells="1"/>
  <mergeCells count="6">
    <mergeCell ref="C4:E4"/>
    <mergeCell ref="C5:E5"/>
    <mergeCell ref="D7:E7"/>
    <mergeCell ref="B2:C2"/>
    <mergeCell ref="C6:C7"/>
    <mergeCell ref="E2:G2"/>
  </mergeCells>
  <hyperlinks>
    <hyperlink ref="B2:C2" location="hyptarg6" display="back to 610.1.2.2" xr:uid="{00000000-0004-0000-1900-000000000000}"/>
    <hyperlink ref="E2:F2" location="'Verification Report'!A1" display="back to Verification Report" xr:uid="{00000000-0004-0000-1900-000001000000}"/>
    <hyperlink ref="E2:G2" location="'Verification Report'!A1" display="back to Verification Report" xr:uid="{00000000-0004-0000-1900-000002000000}"/>
  </hyperlinks>
  <pageMargins left="0.7" right="0.7" top="0.75" bottom="0.75" header="0.3" footer="0.3"/>
  <pageSetup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pageSetUpPr fitToPage="1"/>
  </sheetPr>
  <dimension ref="A1:R37"/>
  <sheetViews>
    <sheetView showGridLines="0" zoomScaleNormal="100" workbookViewId="0">
      <selection activeCell="S48" sqref="S48"/>
    </sheetView>
  </sheetViews>
  <sheetFormatPr defaultRowHeight="14.5" x14ac:dyDescent="0.35"/>
  <sheetData>
    <row r="1" spans="1:18" ht="19" thickTop="1" x14ac:dyDescent="0.35">
      <c r="A1" s="81" t="s">
        <v>3025</v>
      </c>
      <c r="B1" s="82"/>
      <c r="C1" s="82"/>
      <c r="D1" s="82"/>
      <c r="E1" s="82"/>
      <c r="F1" s="82"/>
      <c r="G1" s="82"/>
      <c r="H1" s="82"/>
      <c r="I1" s="82"/>
      <c r="J1" s="82"/>
      <c r="K1" s="82"/>
      <c r="L1" s="82"/>
      <c r="M1" s="82"/>
      <c r="N1" s="82"/>
      <c r="O1" s="82"/>
      <c r="P1" s="82"/>
      <c r="Q1" s="82"/>
      <c r="R1" s="83"/>
    </row>
    <row r="2" spans="1:18" x14ac:dyDescent="0.35">
      <c r="A2" s="84"/>
      <c r="R2" s="85"/>
    </row>
    <row r="3" spans="1:18" ht="15" customHeight="1" x14ac:dyDescent="0.35">
      <c r="A3" s="84"/>
      <c r="B3" s="1264" t="s">
        <v>3034</v>
      </c>
      <c r="C3" s="1264"/>
      <c r="D3" s="1264" t="s">
        <v>3051</v>
      </c>
      <c r="E3" s="1264"/>
      <c r="F3" s="1264"/>
      <c r="H3" s="1252" t="s">
        <v>4068</v>
      </c>
      <c r="I3" s="1253"/>
      <c r="J3" s="1254"/>
      <c r="R3" s="85"/>
    </row>
    <row r="4" spans="1:18" x14ac:dyDescent="0.35">
      <c r="A4" s="84"/>
      <c r="R4" s="85"/>
    </row>
    <row r="5" spans="1:18" x14ac:dyDescent="0.35">
      <c r="A5" s="84"/>
      <c r="R5" s="85"/>
    </row>
    <row r="6" spans="1:18" x14ac:dyDescent="0.35">
      <c r="A6" s="84"/>
      <c r="R6" s="85"/>
    </row>
    <row r="7" spans="1:18" x14ac:dyDescent="0.35">
      <c r="A7" s="84"/>
      <c r="R7" s="85"/>
    </row>
    <row r="8" spans="1:18" x14ac:dyDescent="0.35">
      <c r="A8" s="84"/>
      <c r="R8" s="85"/>
    </row>
    <row r="9" spans="1:18" x14ac:dyDescent="0.35">
      <c r="A9" s="84"/>
      <c r="R9" s="85"/>
    </row>
    <row r="10" spans="1:18" x14ac:dyDescent="0.35">
      <c r="A10" s="84"/>
      <c r="R10" s="85"/>
    </row>
    <row r="11" spans="1:18" x14ac:dyDescent="0.35">
      <c r="A11" s="84"/>
      <c r="R11" s="85"/>
    </row>
    <row r="12" spans="1:18" x14ac:dyDescent="0.35">
      <c r="A12" s="84"/>
      <c r="R12" s="85"/>
    </row>
    <row r="13" spans="1:18" x14ac:dyDescent="0.35">
      <c r="A13" s="84"/>
      <c r="R13" s="85"/>
    </row>
    <row r="14" spans="1:18" x14ac:dyDescent="0.35">
      <c r="A14" s="84"/>
      <c r="R14" s="85"/>
    </row>
    <row r="15" spans="1:18" x14ac:dyDescent="0.35">
      <c r="A15" s="84"/>
      <c r="R15" s="85"/>
    </row>
    <row r="16" spans="1:18" x14ac:dyDescent="0.35">
      <c r="A16" s="84"/>
      <c r="R16" s="85"/>
    </row>
    <row r="17" spans="1:18" x14ac:dyDescent="0.35">
      <c r="A17" s="84"/>
      <c r="R17" s="85"/>
    </row>
    <row r="18" spans="1:18" x14ac:dyDescent="0.35">
      <c r="A18" s="84"/>
      <c r="R18" s="85"/>
    </row>
    <row r="19" spans="1:18" x14ac:dyDescent="0.35">
      <c r="A19" s="84"/>
      <c r="R19" s="85"/>
    </row>
    <row r="20" spans="1:18" x14ac:dyDescent="0.35">
      <c r="A20" s="84"/>
      <c r="R20" s="85"/>
    </row>
    <row r="21" spans="1:18" x14ac:dyDescent="0.35">
      <c r="A21" s="84"/>
      <c r="R21" s="85"/>
    </row>
    <row r="22" spans="1:18" x14ac:dyDescent="0.35">
      <c r="A22" s="84"/>
      <c r="R22" s="85"/>
    </row>
    <row r="23" spans="1:18" x14ac:dyDescent="0.35">
      <c r="A23" s="84"/>
      <c r="R23" s="85"/>
    </row>
    <row r="24" spans="1:18" x14ac:dyDescent="0.35">
      <c r="A24" s="84"/>
      <c r="R24" s="85"/>
    </row>
    <row r="25" spans="1:18" x14ac:dyDescent="0.35">
      <c r="A25" s="84"/>
      <c r="R25" s="85"/>
    </row>
    <row r="26" spans="1:18" x14ac:dyDescent="0.35">
      <c r="A26" s="84"/>
      <c r="R26" s="85"/>
    </row>
    <row r="27" spans="1:18" x14ac:dyDescent="0.35">
      <c r="A27" s="84"/>
      <c r="R27" s="85"/>
    </row>
    <row r="28" spans="1:18" x14ac:dyDescent="0.35">
      <c r="A28" s="84"/>
      <c r="R28" s="85"/>
    </row>
    <row r="29" spans="1:18" x14ac:dyDescent="0.35">
      <c r="A29" s="84"/>
      <c r="R29" s="85"/>
    </row>
    <row r="30" spans="1:18" x14ac:dyDescent="0.35">
      <c r="A30" s="84"/>
      <c r="R30" s="85"/>
    </row>
    <row r="31" spans="1:18" x14ac:dyDescent="0.35">
      <c r="A31" s="84"/>
      <c r="R31" s="85"/>
    </row>
    <row r="32" spans="1:18" x14ac:dyDescent="0.35">
      <c r="A32" s="84"/>
      <c r="R32" s="85"/>
    </row>
    <row r="33" spans="1:18" x14ac:dyDescent="0.35">
      <c r="A33" s="84"/>
      <c r="R33" s="85"/>
    </row>
    <row r="34" spans="1:18" x14ac:dyDescent="0.35">
      <c r="A34" s="84"/>
      <c r="R34" s="85"/>
    </row>
    <row r="35" spans="1:18" x14ac:dyDescent="0.35">
      <c r="A35" s="84"/>
      <c r="B35" s="6" t="s">
        <v>3026</v>
      </c>
      <c r="C35" s="171" t="s">
        <v>3027</v>
      </c>
      <c r="R35" s="85"/>
    </row>
    <row r="36" spans="1:18" ht="15" thickBot="1" x14ac:dyDescent="0.4">
      <c r="A36" s="86"/>
      <c r="B36" s="87"/>
      <c r="C36" s="87"/>
      <c r="D36" s="87"/>
      <c r="E36" s="87"/>
      <c r="F36" s="87"/>
      <c r="G36" s="87"/>
      <c r="H36" s="87"/>
      <c r="I36" s="87"/>
      <c r="J36" s="87"/>
      <c r="K36" s="87"/>
      <c r="L36" s="87"/>
      <c r="M36" s="87"/>
      <c r="N36" s="87"/>
      <c r="O36" s="87"/>
      <c r="P36" s="87"/>
      <c r="Q36" s="87"/>
      <c r="R36" s="88"/>
    </row>
    <row r="37" spans="1:18" ht="15" thickTop="1" x14ac:dyDescent="0.35"/>
  </sheetData>
  <sheetProtection algorithmName="SHA-512" hashValue="8WVX0BgVri0/3bBNUNPArXoILeCxPOofVrK+OSWkJkXgRs50E2A8Rzlc3mIi4T9n6xLinSp39ox1olpQjVJJAA==" saltValue="djRmcoAMFWVbd+7Qt+Geww==" spinCount="100000" sheet="1" objects="1" scenarios="1" selectLockedCells="1"/>
  <mergeCells count="3">
    <mergeCell ref="B3:C3"/>
    <mergeCell ref="D3:F3"/>
    <mergeCell ref="H3:J3"/>
  </mergeCells>
  <hyperlinks>
    <hyperlink ref="C35" r:id="rId1" xr:uid="{00000000-0004-0000-1A00-000000000000}"/>
    <hyperlink ref="B3:C3" location="hyptarg3" display="back to 602.1.12" xr:uid="{00000000-0004-0000-1A00-000001000000}"/>
    <hyperlink ref="D3" location="'Table 602.1.12'!A1" display="See Table 602.1.12" xr:uid="{00000000-0004-0000-1A00-000002000000}"/>
    <hyperlink ref="H3:I3" location="'Verification Report'!A1" display="back to Verification Report" xr:uid="{00000000-0004-0000-1A00-000003000000}"/>
    <hyperlink ref="H3:J3" location="'Verification Report'!A1" display="back to Verification Report" xr:uid="{00000000-0004-0000-1A00-000004000000}"/>
  </hyperlinks>
  <pageMargins left="0.7" right="0.7" top="0.75" bottom="0.75" header="0.3" footer="0.3"/>
  <pageSetup scale="54" fitToHeight="0"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R35"/>
  <sheetViews>
    <sheetView showGridLines="0" zoomScaleNormal="100" workbookViewId="0">
      <selection activeCell="S48" sqref="S48"/>
    </sheetView>
  </sheetViews>
  <sheetFormatPr defaultColWidth="9.1796875" defaultRowHeight="14.5" x14ac:dyDescent="0.35"/>
  <sheetData>
    <row r="1" spans="1:18" ht="19" thickTop="1" x14ac:dyDescent="0.35">
      <c r="A1" s="1267" t="s">
        <v>3030</v>
      </c>
      <c r="B1" s="1268"/>
      <c r="C1" s="1268"/>
      <c r="D1" s="1268"/>
      <c r="E1" s="1268"/>
      <c r="F1" s="1268"/>
      <c r="G1" s="1268"/>
      <c r="H1" s="1268"/>
      <c r="I1" s="1268"/>
      <c r="J1" s="1268"/>
      <c r="K1" s="1268"/>
      <c r="L1" s="1268"/>
      <c r="M1" s="1268"/>
      <c r="N1" s="1268"/>
      <c r="O1" s="1268"/>
      <c r="P1" s="1268"/>
      <c r="Q1" s="1268"/>
      <c r="R1" s="1269"/>
    </row>
    <row r="2" spans="1:18" x14ac:dyDescent="0.35">
      <c r="A2" s="1265"/>
      <c r="B2" s="1266"/>
      <c r="C2" s="1266"/>
      <c r="D2" s="1266"/>
      <c r="R2" s="85"/>
    </row>
    <row r="3" spans="1:18" x14ac:dyDescent="0.35">
      <c r="A3" s="84"/>
      <c r="B3" s="1255" t="s">
        <v>3031</v>
      </c>
      <c r="C3" s="1255"/>
      <c r="E3" s="1255" t="s">
        <v>3032</v>
      </c>
      <c r="F3" s="1255"/>
      <c r="H3" s="1252" t="s">
        <v>4068</v>
      </c>
      <c r="I3" s="1253"/>
      <c r="J3" s="1254"/>
      <c r="R3" s="85"/>
    </row>
    <row r="4" spans="1:18" x14ac:dyDescent="0.35">
      <c r="A4" s="84"/>
      <c r="R4" s="85"/>
    </row>
    <row r="5" spans="1:18" x14ac:dyDescent="0.35">
      <c r="A5" s="84"/>
      <c r="R5" s="85"/>
    </row>
    <row r="6" spans="1:18" x14ac:dyDescent="0.35">
      <c r="A6" s="84"/>
      <c r="R6" s="85"/>
    </row>
    <row r="7" spans="1:18" x14ac:dyDescent="0.35">
      <c r="A7" s="84"/>
      <c r="R7" s="85"/>
    </row>
    <row r="8" spans="1:18" x14ac:dyDescent="0.35">
      <c r="A8" s="84"/>
      <c r="R8" s="85"/>
    </row>
    <row r="9" spans="1:18" x14ac:dyDescent="0.35">
      <c r="A9" s="84"/>
      <c r="R9" s="85"/>
    </row>
    <row r="10" spans="1:18" x14ac:dyDescent="0.35">
      <c r="A10" s="84"/>
      <c r="R10" s="85"/>
    </row>
    <row r="11" spans="1:18" x14ac:dyDescent="0.35">
      <c r="A11" s="84"/>
      <c r="R11" s="85"/>
    </row>
    <row r="12" spans="1:18" x14ac:dyDescent="0.35">
      <c r="A12" s="84"/>
      <c r="R12" s="85"/>
    </row>
    <row r="13" spans="1:18" x14ac:dyDescent="0.35">
      <c r="A13" s="84"/>
      <c r="R13" s="85"/>
    </row>
    <row r="14" spans="1:18" x14ac:dyDescent="0.35">
      <c r="A14" s="84"/>
      <c r="R14" s="85"/>
    </row>
    <row r="15" spans="1:18" x14ac:dyDescent="0.35">
      <c r="A15" s="84"/>
      <c r="R15" s="85"/>
    </row>
    <row r="16" spans="1:18" x14ac:dyDescent="0.35">
      <c r="A16" s="84"/>
      <c r="R16" s="85"/>
    </row>
    <row r="17" spans="1:18" x14ac:dyDescent="0.35">
      <c r="A17" s="84"/>
      <c r="R17" s="85"/>
    </row>
    <row r="18" spans="1:18" x14ac:dyDescent="0.35">
      <c r="A18" s="84"/>
      <c r="R18" s="85"/>
    </row>
    <row r="19" spans="1:18" x14ac:dyDescent="0.35">
      <c r="A19" s="84"/>
      <c r="R19" s="85"/>
    </row>
    <row r="20" spans="1:18" x14ac:dyDescent="0.35">
      <c r="A20" s="84"/>
      <c r="R20" s="85"/>
    </row>
    <row r="21" spans="1:18" x14ac:dyDescent="0.35">
      <c r="A21" s="84"/>
      <c r="R21" s="85"/>
    </row>
    <row r="22" spans="1:18" x14ac:dyDescent="0.35">
      <c r="A22" s="84"/>
      <c r="R22" s="85"/>
    </row>
    <row r="23" spans="1:18" x14ac:dyDescent="0.35">
      <c r="A23" s="84"/>
      <c r="R23" s="85"/>
    </row>
    <row r="24" spans="1:18" x14ac:dyDescent="0.35">
      <c r="A24" s="84"/>
      <c r="R24" s="85"/>
    </row>
    <row r="25" spans="1:18" x14ac:dyDescent="0.35">
      <c r="A25" s="84"/>
      <c r="R25" s="85"/>
    </row>
    <row r="26" spans="1:18" x14ac:dyDescent="0.35">
      <c r="A26" s="84"/>
      <c r="R26" s="85"/>
    </row>
    <row r="27" spans="1:18" x14ac:dyDescent="0.35">
      <c r="A27" s="84"/>
      <c r="R27" s="85"/>
    </row>
    <row r="28" spans="1:18" x14ac:dyDescent="0.35">
      <c r="A28" s="84"/>
      <c r="R28" s="85"/>
    </row>
    <row r="29" spans="1:18" x14ac:dyDescent="0.35">
      <c r="A29" s="84"/>
      <c r="R29" s="85"/>
    </row>
    <row r="30" spans="1:18" x14ac:dyDescent="0.35">
      <c r="A30" s="84"/>
      <c r="R30" s="85"/>
    </row>
    <row r="31" spans="1:18" x14ac:dyDescent="0.35">
      <c r="A31" s="84"/>
      <c r="R31" s="85"/>
    </row>
    <row r="32" spans="1:18" x14ac:dyDescent="0.35">
      <c r="A32" s="84"/>
      <c r="R32" s="85"/>
    </row>
    <row r="33" spans="1:18" x14ac:dyDescent="0.35">
      <c r="A33" s="84"/>
      <c r="B33" s="6"/>
      <c r="C33" s="89"/>
      <c r="O33" s="6" t="s">
        <v>3028</v>
      </c>
      <c r="P33" s="171" t="s">
        <v>3029</v>
      </c>
      <c r="R33" s="85"/>
    </row>
    <row r="34" spans="1:18" ht="15" thickBot="1" x14ac:dyDescent="0.4">
      <c r="A34" s="86"/>
      <c r="B34" s="87"/>
      <c r="C34" s="87"/>
      <c r="D34" s="87"/>
      <c r="E34" s="87"/>
      <c r="F34" s="87"/>
      <c r="G34" s="87"/>
      <c r="H34" s="87"/>
      <c r="I34" s="87"/>
      <c r="J34" s="87"/>
      <c r="K34" s="87"/>
      <c r="L34" s="87"/>
      <c r="M34" s="87"/>
      <c r="N34" s="87"/>
      <c r="O34" s="87"/>
      <c r="P34" s="87"/>
      <c r="Q34" s="87"/>
      <c r="R34" s="88"/>
    </row>
    <row r="35" spans="1:18" ht="15" thickTop="1" x14ac:dyDescent="0.35"/>
  </sheetData>
  <sheetProtection algorithmName="SHA-512" hashValue="NEEELxwCwZI7wNPPBeU4xFk5xNemdyTWub+rzOdVBx7EhXzzGR0iCWoWLP33zPGFHX/aO/CECVqIBZC53Wj3Ig==" saltValue="f5LkpLaOhhyKOi4Eg6PPEA==" spinCount="100000" sheet="1" objects="1" scenarios="1" selectLockedCells="1"/>
  <mergeCells count="6">
    <mergeCell ref="A2:B2"/>
    <mergeCell ref="C2:D2"/>
    <mergeCell ref="A1:R1"/>
    <mergeCell ref="B3:C3"/>
    <mergeCell ref="E3:F3"/>
    <mergeCell ref="H3:J3"/>
  </mergeCells>
  <hyperlinks>
    <hyperlink ref="P33" r:id="rId1" xr:uid="{00000000-0004-0000-1B00-000000000000}"/>
    <hyperlink ref="B3:C3" location="hyptarg1" display="back to 602.1.5" xr:uid="{00000000-0004-0000-1B00-000001000000}"/>
    <hyperlink ref="E3:F3" location="hyptarg2" display="back to 602.1.6" xr:uid="{00000000-0004-0000-1B00-000002000000}"/>
    <hyperlink ref="H3:I3" location="'Verification Report'!A1" display="back to Verification Report" xr:uid="{00000000-0004-0000-1B00-000003000000}"/>
    <hyperlink ref="H3:J3" location="'Verification Report'!A1" display="back to Verification Report" xr:uid="{00000000-0004-0000-1B00-000004000000}"/>
  </hyperlinks>
  <pageMargins left="0.7" right="0.7" top="0.75" bottom="0.75" header="0.3" footer="0.3"/>
  <pageSetup scale="54" fitToHeight="0"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B2:I6"/>
  <sheetViews>
    <sheetView showGridLines="0" zoomScaleNormal="100" workbookViewId="0">
      <selection activeCell="S48" sqref="S48"/>
    </sheetView>
  </sheetViews>
  <sheetFormatPr defaultColWidth="9.1796875" defaultRowHeight="14.5" x14ac:dyDescent="0.35"/>
  <sheetData>
    <row r="2" spans="2:9" x14ac:dyDescent="0.35">
      <c r="B2" s="1255" t="s">
        <v>3529</v>
      </c>
      <c r="C2" s="1255"/>
      <c r="F2" s="1252" t="s">
        <v>4068</v>
      </c>
      <c r="G2" s="1253"/>
      <c r="H2" s="1254"/>
    </row>
    <row r="5" spans="2:9" x14ac:dyDescent="0.35">
      <c r="D5" s="951" t="s">
        <v>3433</v>
      </c>
      <c r="E5" s="951"/>
      <c r="F5" s="951"/>
      <c r="G5" s="951"/>
      <c r="H5" s="951"/>
      <c r="I5" s="951"/>
    </row>
    <row r="6" spans="2:9" x14ac:dyDescent="0.35">
      <c r="D6" s="891" t="s">
        <v>3432</v>
      </c>
      <c r="E6" s="891"/>
      <c r="F6" s="891"/>
      <c r="G6" s="891"/>
      <c r="H6" s="891"/>
      <c r="I6" s="891"/>
    </row>
  </sheetData>
  <sheetProtection algorithmName="SHA-512" hashValue="lBev86yVLW1Th1kHIrcncEcYnX4rKc5oclJtcCfs6dhiDfns9qMy8ew+VuoUbopYZTv82NhzW0eTAZD4xUZtrA==" saltValue="vSk4XuKATyszKcHskSJfyA==" spinCount="100000" sheet="1" objects="1" scenarios="1" selectLockedCells="1"/>
  <mergeCells count="4">
    <mergeCell ref="D5:I5"/>
    <mergeCell ref="D6:I6"/>
    <mergeCell ref="B2:C2"/>
    <mergeCell ref="F2:H2"/>
  </mergeCells>
  <hyperlinks>
    <hyperlink ref="B2:C2" location="hyptarg7.1" display="back to 701.4.3.2(2)" xr:uid="{00000000-0004-0000-1C00-000000000000}"/>
    <hyperlink ref="F2:G2" location="'Verification Report'!A1" display="back to Verification Report" xr:uid="{00000000-0004-0000-1C00-000001000000}"/>
    <hyperlink ref="F2:H2" location="'Verification Report'!A1" display="back to Verification Report" xr:uid="{00000000-0004-0000-1C00-000002000000}"/>
  </hyperlinks>
  <pageMargins left="0.7" right="0.7" top="0.75" bottom="0.75" header="0.3" footer="0.3"/>
  <pageSetup scale="82"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B2:J17"/>
  <sheetViews>
    <sheetView showGridLines="0" zoomScaleNormal="100" workbookViewId="0">
      <selection activeCell="S48" sqref="S48"/>
    </sheetView>
  </sheetViews>
  <sheetFormatPr defaultColWidth="9.1796875" defaultRowHeight="14.5" x14ac:dyDescent="0.35"/>
  <cols>
    <col min="2" max="2" width="15.453125" customWidth="1"/>
    <col min="3" max="10" width="11.453125" customWidth="1"/>
  </cols>
  <sheetData>
    <row r="2" spans="2:10" x14ac:dyDescent="0.35">
      <c r="B2" s="1255" t="s">
        <v>3532</v>
      </c>
      <c r="C2" s="1255"/>
      <c r="H2" s="1252" t="s">
        <v>4068</v>
      </c>
      <c r="I2" s="1253"/>
      <c r="J2" s="1254"/>
    </row>
    <row r="3" spans="2:10" x14ac:dyDescent="0.35">
      <c r="B3" s="1272" t="s">
        <v>3431</v>
      </c>
      <c r="C3" s="1272"/>
      <c r="D3" s="1272"/>
      <c r="E3" s="1272"/>
      <c r="F3" s="1272"/>
      <c r="G3" s="1272"/>
      <c r="H3" s="1272"/>
      <c r="I3" s="1272"/>
      <c r="J3" s="1272"/>
    </row>
    <row r="4" spans="2:10" x14ac:dyDescent="0.35">
      <c r="B4" s="1271" t="s">
        <v>4263</v>
      </c>
      <c r="C4" s="1271"/>
      <c r="D4" s="1271"/>
      <c r="E4" s="1271"/>
      <c r="F4" s="1271"/>
      <c r="G4" s="1271"/>
      <c r="H4" s="1271"/>
      <c r="I4" s="1271"/>
      <c r="J4" s="1271"/>
    </row>
    <row r="5" spans="2:10" ht="32.25" customHeight="1" x14ac:dyDescent="0.35">
      <c r="B5" s="189" t="s">
        <v>3430</v>
      </c>
      <c r="C5" s="189" t="s">
        <v>3429</v>
      </c>
      <c r="D5" s="189" t="s">
        <v>3428</v>
      </c>
      <c r="E5" s="188" t="s">
        <v>3427</v>
      </c>
      <c r="F5" s="188" t="s">
        <v>3426</v>
      </c>
      <c r="G5" s="188" t="s">
        <v>3425</v>
      </c>
      <c r="H5" s="188" t="s">
        <v>3424</v>
      </c>
      <c r="I5" s="188" t="s">
        <v>3423</v>
      </c>
      <c r="J5" s="188" t="s">
        <v>3422</v>
      </c>
    </row>
    <row r="6" spans="2:10" x14ac:dyDescent="0.35">
      <c r="B6" s="187">
        <v>1</v>
      </c>
      <c r="C6" s="186">
        <v>0.5</v>
      </c>
      <c r="D6" s="185">
        <v>0.75</v>
      </c>
      <c r="E6" s="185">
        <v>3.5000000000000003E-2</v>
      </c>
      <c r="F6" s="185">
        <v>8.4000000000000005E-2</v>
      </c>
      <c r="G6" s="181">
        <v>0.19700000000000001</v>
      </c>
      <c r="H6" s="181">
        <v>6.4000000000000001E-2</v>
      </c>
      <c r="I6" s="181">
        <v>0.36</v>
      </c>
      <c r="J6" s="181">
        <v>0.47699999999999998</v>
      </c>
    </row>
    <row r="7" spans="2:10" x14ac:dyDescent="0.35">
      <c r="B7" s="187">
        <v>2</v>
      </c>
      <c r="C7" s="186">
        <v>0.4</v>
      </c>
      <c r="D7" s="185">
        <v>0.65</v>
      </c>
      <c r="E7" s="181">
        <v>0.03</v>
      </c>
      <c r="F7" s="185">
        <v>8.4000000000000005E-2</v>
      </c>
      <c r="G7" s="181">
        <v>0.16500000000000001</v>
      </c>
      <c r="H7" s="181">
        <v>6.4000000000000001E-2</v>
      </c>
      <c r="I7" s="181">
        <v>0.36</v>
      </c>
      <c r="J7" s="181">
        <v>0.47699999999999998</v>
      </c>
    </row>
    <row r="8" spans="2:10" x14ac:dyDescent="0.35">
      <c r="B8" s="183">
        <v>3</v>
      </c>
      <c r="C8" s="183">
        <v>0.35</v>
      </c>
      <c r="D8" s="176">
        <v>0.55000000000000004</v>
      </c>
      <c r="E8" s="181">
        <v>0.03</v>
      </c>
      <c r="F8" s="181">
        <v>0.06</v>
      </c>
      <c r="G8" s="182">
        <v>9.8000000000000004E-2</v>
      </c>
      <c r="H8" s="181">
        <v>4.7E-2</v>
      </c>
      <c r="I8" s="184" t="s">
        <v>3421</v>
      </c>
      <c r="J8" s="181">
        <v>0.13600000000000001</v>
      </c>
    </row>
    <row r="9" spans="2:10" ht="15" customHeight="1" x14ac:dyDescent="0.35">
      <c r="B9" s="183" t="s">
        <v>3420</v>
      </c>
      <c r="C9" s="77">
        <v>0.35</v>
      </c>
      <c r="D9" s="176">
        <v>0.55000000000000004</v>
      </c>
      <c r="E9" s="181">
        <v>2.5999999999999999E-2</v>
      </c>
      <c r="F9" s="181">
        <v>0.06</v>
      </c>
      <c r="G9" s="182">
        <v>9.8000000000000004E-2</v>
      </c>
      <c r="H9" s="181">
        <v>4.7E-2</v>
      </c>
      <c r="I9" s="181">
        <v>5.8999999999999997E-2</v>
      </c>
      <c r="J9" s="181">
        <v>6.5000000000000002E-2</v>
      </c>
    </row>
    <row r="10" spans="2:10" ht="15" customHeight="1" x14ac:dyDescent="0.35">
      <c r="B10" s="183" t="s">
        <v>3419</v>
      </c>
      <c r="C10" s="77">
        <v>0.32</v>
      </c>
      <c r="D10" s="176">
        <v>0.55000000000000004</v>
      </c>
      <c r="E10" s="181">
        <v>2.5999999999999999E-2</v>
      </c>
      <c r="F10" s="181">
        <v>0.06</v>
      </c>
      <c r="G10" s="182">
        <v>8.2000000000000003E-2</v>
      </c>
      <c r="H10" s="181">
        <v>3.3000000000000002E-2</v>
      </c>
      <c r="I10" s="181">
        <v>0.05</v>
      </c>
      <c r="J10" s="181">
        <v>5.5E-2</v>
      </c>
    </row>
    <row r="11" spans="2:10" ht="15" customHeight="1" x14ac:dyDescent="0.35">
      <c r="B11" s="183">
        <v>6</v>
      </c>
      <c r="C11" s="77">
        <v>0.32</v>
      </c>
      <c r="D11" s="77">
        <v>0.55000000000000004</v>
      </c>
      <c r="E11" s="181">
        <v>2.5999999999999999E-2</v>
      </c>
      <c r="F11" s="181">
        <v>4.4999999999999998E-2</v>
      </c>
      <c r="G11" s="182">
        <v>0.06</v>
      </c>
      <c r="H11" s="181">
        <v>3.3000000000000002E-2</v>
      </c>
      <c r="I11" s="181">
        <v>0.05</v>
      </c>
      <c r="J11" s="181">
        <v>5.5E-2</v>
      </c>
    </row>
    <row r="12" spans="2:10" x14ac:dyDescent="0.35">
      <c r="B12" s="77" t="s">
        <v>3418</v>
      </c>
      <c r="C12" s="77">
        <v>0.32</v>
      </c>
      <c r="D12" s="176">
        <v>0.55000000000000004</v>
      </c>
      <c r="E12" s="181">
        <v>2.5999999999999999E-2</v>
      </c>
      <c r="F12" s="181">
        <v>4.4999999999999998E-2</v>
      </c>
      <c r="G12" s="182">
        <v>5.7000000000000002E-2</v>
      </c>
      <c r="H12" s="181">
        <v>2.8000000000000001E-2</v>
      </c>
      <c r="I12" s="181">
        <v>0.05</v>
      </c>
      <c r="J12" s="181">
        <v>5.5E-2</v>
      </c>
    </row>
    <row r="13" spans="2:10" x14ac:dyDescent="0.35">
      <c r="B13" s="1273" t="s">
        <v>3417</v>
      </c>
      <c r="C13" s="1274"/>
      <c r="D13" s="1274"/>
      <c r="E13" s="1274"/>
      <c r="F13" s="1274"/>
      <c r="G13" s="1274"/>
      <c r="H13" s="1274"/>
      <c r="I13" s="1274"/>
      <c r="J13" s="1275"/>
    </row>
    <row r="14" spans="2:10" x14ac:dyDescent="0.35">
      <c r="B14" s="1276" t="s">
        <v>3416</v>
      </c>
      <c r="C14" s="1277"/>
      <c r="D14" s="1277"/>
      <c r="E14" s="1277"/>
      <c r="F14" s="1277"/>
      <c r="G14" s="1277"/>
      <c r="H14" s="1277"/>
      <c r="I14" s="1277"/>
      <c r="J14" s="1278"/>
    </row>
    <row r="15" spans="2:10" x14ac:dyDescent="0.35">
      <c r="B15" s="1276"/>
      <c r="C15" s="1277"/>
      <c r="D15" s="1277"/>
      <c r="E15" s="1277"/>
      <c r="F15" s="1277"/>
      <c r="G15" s="1277"/>
      <c r="H15" s="1277"/>
      <c r="I15" s="1277"/>
      <c r="J15" s="1278"/>
    </row>
    <row r="16" spans="2:10" x14ac:dyDescent="0.35">
      <c r="B16" s="1279" t="s">
        <v>3415</v>
      </c>
      <c r="C16" s="1280"/>
      <c r="D16" s="1280"/>
      <c r="E16" s="1280"/>
      <c r="F16" s="1280"/>
      <c r="G16" s="1280"/>
      <c r="H16" s="1280"/>
      <c r="I16" s="1280"/>
      <c r="J16" s="1281"/>
    </row>
    <row r="17" spans="2:10" x14ac:dyDescent="0.35">
      <c r="B17" s="1270" t="s">
        <v>3434</v>
      </c>
      <c r="C17" s="1270"/>
      <c r="D17" s="1270"/>
      <c r="E17" s="1270"/>
      <c r="F17" s="1270"/>
      <c r="G17" s="1270"/>
      <c r="H17" s="1270"/>
      <c r="I17" s="1270"/>
      <c r="J17" s="1270"/>
    </row>
  </sheetData>
  <sheetProtection algorithmName="SHA-512" hashValue="eQk91lVsUVXE6wda2fE9QZ4skAbvvk7sZJ8ggUuNozO0jzaqKUa1Cv5MV66pnvX7nT5XRNXHXjXoS9upK2/r/Q==" saltValue="pgmzGbDtTTUqjWSTzjj/lw==" spinCount="100000" sheet="1" objects="1" scenarios="1" selectLockedCells="1"/>
  <mergeCells count="8">
    <mergeCell ref="B2:C2"/>
    <mergeCell ref="B17:J17"/>
    <mergeCell ref="B4:J4"/>
    <mergeCell ref="B3:J3"/>
    <mergeCell ref="B13:J13"/>
    <mergeCell ref="B14:J15"/>
    <mergeCell ref="B16:J16"/>
    <mergeCell ref="H2:J2"/>
  </mergeCells>
  <hyperlinks>
    <hyperlink ref="B2:C2" location="hyptarg7.2" display="back to 703.2.1" xr:uid="{00000000-0004-0000-1D00-000000000000}"/>
    <hyperlink ref="H2:I2" location="'Verification Report'!A1" display="back to Verification Report" xr:uid="{00000000-0004-0000-1D00-000001000000}"/>
    <hyperlink ref="H2:J2" location="'Verification Report'!A1" display="back to Verification Report" xr:uid="{00000000-0004-0000-1D00-000002000000}"/>
  </hyperlinks>
  <pageMargins left="0.7" right="0.7" top="0.75" bottom="0.75" header="0.3" footer="0.3"/>
  <pageSetup scale="77"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B2:J19"/>
  <sheetViews>
    <sheetView showGridLines="0" zoomScaleNormal="100" workbookViewId="0">
      <selection activeCell="S48" sqref="S48"/>
    </sheetView>
  </sheetViews>
  <sheetFormatPr defaultColWidth="9.1796875" defaultRowHeight="14.5" x14ac:dyDescent="0.35"/>
  <cols>
    <col min="1" max="1" width="5.26953125" customWidth="1"/>
    <col min="2" max="2" width="14.453125" customWidth="1"/>
    <col min="3" max="10" width="8.7265625" customWidth="1"/>
  </cols>
  <sheetData>
    <row r="2" spans="2:10" x14ac:dyDescent="0.35">
      <c r="B2" s="1255" t="s">
        <v>3532</v>
      </c>
      <c r="C2" s="1255"/>
      <c r="H2" s="1252" t="s">
        <v>4068</v>
      </c>
      <c r="I2" s="1253"/>
      <c r="J2" s="1254"/>
    </row>
    <row r="4" spans="2:10" x14ac:dyDescent="0.35">
      <c r="B4" s="1272" t="s">
        <v>3447</v>
      </c>
      <c r="C4" s="1272"/>
      <c r="D4" s="1272"/>
      <c r="E4" s="1272"/>
      <c r="F4" s="1272"/>
      <c r="G4" s="1272"/>
      <c r="H4" s="1272"/>
      <c r="I4" s="1272"/>
      <c r="J4" s="1272"/>
    </row>
    <row r="5" spans="2:10" x14ac:dyDescent="0.35">
      <c r="B5" s="1284" t="s">
        <v>3446</v>
      </c>
      <c r="C5" s="1284"/>
      <c r="D5" s="1284"/>
      <c r="E5" s="1284"/>
      <c r="F5" s="1284"/>
      <c r="G5" s="1284"/>
      <c r="H5" s="1284"/>
      <c r="I5" s="1284"/>
      <c r="J5" s="1284"/>
    </row>
    <row r="6" spans="2:10" ht="15" thickBot="1" x14ac:dyDescent="0.4">
      <c r="B6" s="1293" t="s">
        <v>4264</v>
      </c>
      <c r="C6" s="1294"/>
      <c r="D6" s="1294"/>
      <c r="E6" s="1294"/>
      <c r="F6" s="1294"/>
      <c r="G6" s="1294"/>
      <c r="H6" s="1294"/>
      <c r="I6" s="1294"/>
      <c r="J6" s="1294"/>
    </row>
    <row r="7" spans="2:10" ht="15" thickTop="1" x14ac:dyDescent="0.35">
      <c r="B7" s="1287" t="s">
        <v>3445</v>
      </c>
      <c r="C7" s="1285" t="s">
        <v>3430</v>
      </c>
      <c r="D7" s="847"/>
      <c r="E7" s="847"/>
      <c r="F7" s="847"/>
      <c r="G7" s="847"/>
      <c r="H7" s="847"/>
      <c r="I7" s="847"/>
      <c r="J7" s="1286"/>
    </row>
    <row r="8" spans="2:10" x14ac:dyDescent="0.35">
      <c r="B8" s="1288"/>
      <c r="C8" s="194" t="s">
        <v>3444</v>
      </c>
      <c r="D8" s="193">
        <v>2</v>
      </c>
      <c r="E8" s="193">
        <v>3</v>
      </c>
      <c r="F8" s="193">
        <v>4</v>
      </c>
      <c r="G8" s="193">
        <v>5</v>
      </c>
      <c r="H8" s="193">
        <v>6</v>
      </c>
      <c r="I8" s="193">
        <v>7</v>
      </c>
      <c r="J8" s="193">
        <v>8</v>
      </c>
    </row>
    <row r="9" spans="2:10" x14ac:dyDescent="0.35">
      <c r="B9" s="1289"/>
      <c r="C9" s="1290" t="s">
        <v>3015</v>
      </c>
      <c r="D9" s="1291"/>
      <c r="E9" s="1291"/>
      <c r="F9" s="1291"/>
      <c r="G9" s="1291"/>
      <c r="H9" s="1291"/>
      <c r="I9" s="1291"/>
      <c r="J9" s="1292"/>
    </row>
    <row r="10" spans="2:10" x14ac:dyDescent="0.35">
      <c r="B10" s="183" t="s">
        <v>3443</v>
      </c>
      <c r="C10" s="192">
        <v>0</v>
      </c>
      <c r="D10" s="80">
        <v>0</v>
      </c>
      <c r="E10" s="188">
        <v>0</v>
      </c>
      <c r="F10" s="188">
        <v>0</v>
      </c>
      <c r="G10" s="190">
        <v>0</v>
      </c>
      <c r="H10" s="188">
        <v>0</v>
      </c>
      <c r="I10" s="191">
        <v>0</v>
      </c>
      <c r="J10" s="188">
        <v>0</v>
      </c>
    </row>
    <row r="11" spans="2:10" ht="15" customHeight="1" x14ac:dyDescent="0.35">
      <c r="B11" s="183" t="s">
        <v>3442</v>
      </c>
      <c r="C11" s="192">
        <v>2</v>
      </c>
      <c r="D11" s="79">
        <v>3</v>
      </c>
      <c r="E11" s="188">
        <v>3</v>
      </c>
      <c r="F11" s="188">
        <v>3</v>
      </c>
      <c r="G11" s="190">
        <v>3</v>
      </c>
      <c r="H11" s="188">
        <v>3</v>
      </c>
      <c r="I11" s="191">
        <v>3</v>
      </c>
      <c r="J11" s="188">
        <v>3</v>
      </c>
    </row>
    <row r="12" spans="2:10" ht="15" customHeight="1" x14ac:dyDescent="0.35">
      <c r="B12" s="183" t="s">
        <v>3441</v>
      </c>
      <c r="C12" s="192">
        <v>3</v>
      </c>
      <c r="D12" s="79">
        <v>6</v>
      </c>
      <c r="E12" s="188">
        <v>5</v>
      </c>
      <c r="F12" s="188">
        <v>6</v>
      </c>
      <c r="G12" s="190">
        <v>6</v>
      </c>
      <c r="H12" s="188">
        <v>6</v>
      </c>
      <c r="I12" s="191">
        <v>5</v>
      </c>
      <c r="J12" s="188">
        <v>7</v>
      </c>
    </row>
    <row r="13" spans="2:10" ht="15" customHeight="1" x14ac:dyDescent="0.35">
      <c r="B13" s="183" t="s">
        <v>3440</v>
      </c>
      <c r="C13" s="192">
        <v>5</v>
      </c>
      <c r="D13" s="79">
        <v>9</v>
      </c>
      <c r="E13" s="188">
        <v>8</v>
      </c>
      <c r="F13" s="188">
        <v>9</v>
      </c>
      <c r="G13" s="190">
        <v>9</v>
      </c>
      <c r="H13" s="188">
        <v>9</v>
      </c>
      <c r="I13" s="191">
        <v>8</v>
      </c>
      <c r="J13" s="188">
        <v>10</v>
      </c>
    </row>
    <row r="14" spans="2:10" ht="15" customHeight="1" x14ac:dyDescent="0.35">
      <c r="B14" s="183" t="s">
        <v>3439</v>
      </c>
      <c r="C14" s="79">
        <v>6</v>
      </c>
      <c r="D14" s="80">
        <v>12</v>
      </c>
      <c r="E14" s="188">
        <v>10</v>
      </c>
      <c r="F14" s="188">
        <v>12</v>
      </c>
      <c r="G14" s="190">
        <v>12</v>
      </c>
      <c r="H14" s="188">
        <v>12</v>
      </c>
      <c r="I14" s="188">
        <v>11</v>
      </c>
      <c r="J14" s="188">
        <v>13</v>
      </c>
    </row>
    <row r="15" spans="2:10" ht="15" customHeight="1" x14ac:dyDescent="0.35">
      <c r="B15" s="183" t="s">
        <v>3438</v>
      </c>
      <c r="C15" s="79">
        <v>8</v>
      </c>
      <c r="D15" s="80">
        <v>15</v>
      </c>
      <c r="E15" s="188">
        <v>13</v>
      </c>
      <c r="F15" s="188">
        <v>16</v>
      </c>
      <c r="G15" s="190">
        <v>14</v>
      </c>
      <c r="H15" s="188">
        <v>15</v>
      </c>
      <c r="I15" s="188">
        <v>14</v>
      </c>
      <c r="J15" s="188">
        <v>17</v>
      </c>
    </row>
    <row r="16" spans="2:10" ht="15" customHeight="1" x14ac:dyDescent="0.35">
      <c r="B16" s="183" t="s">
        <v>3437</v>
      </c>
      <c r="C16" s="79">
        <v>10</v>
      </c>
      <c r="D16" s="79">
        <v>18</v>
      </c>
      <c r="E16" s="188">
        <v>16</v>
      </c>
      <c r="F16" s="188">
        <v>19</v>
      </c>
      <c r="G16" s="190">
        <v>17</v>
      </c>
      <c r="H16" s="188">
        <v>18</v>
      </c>
      <c r="I16" s="188">
        <v>16</v>
      </c>
      <c r="J16" s="188">
        <v>20</v>
      </c>
    </row>
    <row r="17" spans="2:10" x14ac:dyDescent="0.35">
      <c r="B17" s="183" t="s">
        <v>3436</v>
      </c>
      <c r="C17" s="79">
        <v>11</v>
      </c>
      <c r="D17" s="80">
        <v>21</v>
      </c>
      <c r="E17" s="188">
        <v>18</v>
      </c>
      <c r="F17" s="188">
        <v>22</v>
      </c>
      <c r="G17" s="190">
        <v>20</v>
      </c>
      <c r="H17" s="188">
        <v>21</v>
      </c>
      <c r="I17" s="188">
        <v>19</v>
      </c>
      <c r="J17" s="188">
        <v>23</v>
      </c>
    </row>
    <row r="18" spans="2:10" x14ac:dyDescent="0.35">
      <c r="B18" s="1283" t="s">
        <v>3435</v>
      </c>
      <c r="C18" s="1283"/>
      <c r="D18" s="1283"/>
      <c r="E18" s="1283"/>
      <c r="F18" s="1283"/>
      <c r="G18" s="1283"/>
      <c r="H18" s="1283"/>
      <c r="I18" s="1283"/>
      <c r="J18" s="1283"/>
    </row>
    <row r="19" spans="2:10" ht="22.5" customHeight="1" x14ac:dyDescent="0.35">
      <c r="B19" s="1282" t="s">
        <v>4265</v>
      </c>
      <c r="C19" s="1282"/>
      <c r="D19" s="1282"/>
      <c r="E19" s="1282"/>
      <c r="F19" s="1282"/>
      <c r="G19" s="1282"/>
      <c r="H19" s="1282"/>
      <c r="I19" s="1282"/>
      <c r="J19" s="1282"/>
    </row>
  </sheetData>
  <sheetProtection algorithmName="SHA-512" hashValue="JLkkyvqWn1c99BvPWa1jdZmqHD6wpc8PuUkuQwhY/N9pt0izx5diC1nh6cLflWe+pR6sOP5Qfzb9X5fEeNrkqQ==" saltValue="M3+HgEq0sXJV2FWQcnG2QA==" spinCount="100000" sheet="1" objects="1" scenarios="1" selectLockedCells="1"/>
  <mergeCells count="10">
    <mergeCell ref="B19:J19"/>
    <mergeCell ref="B2:C2"/>
    <mergeCell ref="B18:J18"/>
    <mergeCell ref="B4:J4"/>
    <mergeCell ref="B5:J5"/>
    <mergeCell ref="C7:J7"/>
    <mergeCell ref="B7:B9"/>
    <mergeCell ref="C9:J9"/>
    <mergeCell ref="H2:J2"/>
    <mergeCell ref="B6:J6"/>
  </mergeCells>
  <hyperlinks>
    <hyperlink ref="B2:C2" location="hyptarg7.2" display="back to 703.2.1" xr:uid="{00000000-0004-0000-1E00-000000000000}"/>
    <hyperlink ref="H2:I2" location="'Verification Report'!A1" display="back to Verification Report" xr:uid="{00000000-0004-0000-1E00-000001000000}"/>
    <hyperlink ref="H2:J2" location="'Verification Report'!A1" display="back to Verification Report" xr:uid="{00000000-0004-0000-1E00-000002000000}"/>
  </hyperlinks>
  <pageMargins left="0.7" right="0.7" top="0.75" bottom="0.75" header="0.3" footer="0.3"/>
  <pageSetup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B2:G15"/>
  <sheetViews>
    <sheetView showGridLines="0" zoomScaleNormal="100" workbookViewId="0">
      <selection activeCell="S48" sqref="S48"/>
    </sheetView>
  </sheetViews>
  <sheetFormatPr defaultColWidth="9.1796875" defaultRowHeight="14.5" x14ac:dyDescent="0.35"/>
  <cols>
    <col min="1" max="1" width="4.7265625" customWidth="1"/>
    <col min="2" max="2" width="15" bestFit="1" customWidth="1"/>
  </cols>
  <sheetData>
    <row r="2" spans="2:7" x14ac:dyDescent="0.35">
      <c r="B2" s="1255" t="s">
        <v>3765</v>
      </c>
      <c r="C2" s="1255"/>
      <c r="E2" s="1252" t="s">
        <v>4068</v>
      </c>
      <c r="F2" s="1253"/>
      <c r="G2" s="1254"/>
    </row>
    <row r="4" spans="2:7" x14ac:dyDescent="0.35">
      <c r="B4" s="1272" t="s">
        <v>3454</v>
      </c>
      <c r="C4" s="1272"/>
      <c r="D4" s="1272"/>
      <c r="E4" s="1272"/>
      <c r="F4" s="1272"/>
    </row>
    <row r="5" spans="2:7" x14ac:dyDescent="0.35">
      <c r="B5" s="1271" t="s">
        <v>3453</v>
      </c>
      <c r="C5" s="1271"/>
      <c r="D5" s="1271"/>
      <c r="E5" s="1271"/>
      <c r="F5" s="1271"/>
    </row>
    <row r="6" spans="2:7" x14ac:dyDescent="0.35">
      <c r="B6" s="1287" t="s">
        <v>3452</v>
      </c>
      <c r="C6" s="1295" t="s">
        <v>3430</v>
      </c>
      <c r="D6" s="1295"/>
      <c r="E6" s="1295"/>
      <c r="F6" s="1295"/>
    </row>
    <row r="7" spans="2:7" x14ac:dyDescent="0.35">
      <c r="B7" s="1288"/>
      <c r="C7" s="197" t="s">
        <v>3451</v>
      </c>
      <c r="D7" s="193">
        <v>5</v>
      </c>
      <c r="E7" s="193">
        <v>6</v>
      </c>
      <c r="F7" s="196" t="s">
        <v>3450</v>
      </c>
    </row>
    <row r="8" spans="2:7" x14ac:dyDescent="0.35">
      <c r="B8" s="1289"/>
      <c r="C8" s="1290" t="s">
        <v>3015</v>
      </c>
      <c r="D8" s="1291"/>
      <c r="E8" s="1291"/>
      <c r="F8" s="1291"/>
    </row>
    <row r="9" spans="2:7" ht="15" customHeight="1" x14ac:dyDescent="0.35">
      <c r="B9" s="183" t="s">
        <v>3449</v>
      </c>
      <c r="C9" s="192">
        <v>1</v>
      </c>
      <c r="D9" s="80">
        <v>0</v>
      </c>
      <c r="E9" s="188">
        <v>0</v>
      </c>
      <c r="F9" s="188">
        <v>0</v>
      </c>
    </row>
    <row r="10" spans="2:7" x14ac:dyDescent="0.35">
      <c r="B10" s="183" t="s">
        <v>3448</v>
      </c>
      <c r="C10" s="192">
        <v>3</v>
      </c>
      <c r="D10" s="79">
        <v>2</v>
      </c>
      <c r="E10" s="188">
        <v>2</v>
      </c>
      <c r="F10" s="188">
        <v>0</v>
      </c>
    </row>
    <row r="15" spans="2:7" x14ac:dyDescent="0.35">
      <c r="F15" s="195"/>
    </row>
  </sheetData>
  <sheetProtection algorithmName="SHA-512" hashValue="0aKGx3heIjKpMMesvXSdigcZm6rJFzo2vzbmmbpGDbq82NlcstqGxpZo43tuFcl7gZ9rhYDXs7eIhgMLkHYffQ==" saltValue="wJNQKQHbHorOVeXH1n7FaQ==" spinCount="100000" sheet="1" objects="1" scenarios="1" selectLockedCells="1"/>
  <mergeCells count="7">
    <mergeCell ref="B2:C2"/>
    <mergeCell ref="B6:B8"/>
    <mergeCell ref="C6:F6"/>
    <mergeCell ref="C8:F8"/>
    <mergeCell ref="B4:F4"/>
    <mergeCell ref="B5:F5"/>
    <mergeCell ref="E2:G2"/>
  </mergeCells>
  <hyperlinks>
    <hyperlink ref="B2:C2" location="hyptarg7.3" display="back to 703.2.2" xr:uid="{00000000-0004-0000-1F00-000000000000}"/>
    <hyperlink ref="E2:F2" location="'Verification Report'!A1" display="back to Verification Report" xr:uid="{00000000-0004-0000-1F00-000001000000}"/>
    <hyperlink ref="E2:G2" location="'Verification Report'!A1" display="back to Verification Report" xr:uid="{00000000-0004-0000-1F00-000002000000}"/>
  </hyperlinks>
  <pageMargins left="0.7" right="0.7" top="0.75" bottom="0.75" header="0.3" footer="0.3"/>
  <pageSetup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B2:J25"/>
  <sheetViews>
    <sheetView showGridLines="0" zoomScaleNormal="100" workbookViewId="0">
      <selection activeCell="S48" sqref="S48"/>
    </sheetView>
  </sheetViews>
  <sheetFormatPr defaultColWidth="9.1796875" defaultRowHeight="14.5" x14ac:dyDescent="0.35"/>
  <cols>
    <col min="1" max="1" width="4" customWidth="1"/>
    <col min="2" max="2" width="12.1796875" customWidth="1"/>
    <col min="3" max="10" width="5.26953125" customWidth="1"/>
  </cols>
  <sheetData>
    <row r="2" spans="2:10" x14ac:dyDescent="0.35">
      <c r="B2" s="1255" t="s">
        <v>3766</v>
      </c>
      <c r="C2" s="1255"/>
      <c r="G2" s="1252" t="s">
        <v>4068</v>
      </c>
      <c r="H2" s="1253"/>
      <c r="I2" s="1253"/>
      <c r="J2" s="1254"/>
    </row>
    <row r="4" spans="2:10" ht="15" customHeight="1" x14ac:dyDescent="0.35">
      <c r="B4" s="1297" t="s">
        <v>4268</v>
      </c>
      <c r="C4" s="1297"/>
      <c r="D4" s="1297"/>
      <c r="E4" s="1297"/>
      <c r="F4" s="1297"/>
      <c r="G4" s="1297"/>
      <c r="H4" s="1297"/>
      <c r="I4" s="1297"/>
      <c r="J4" s="1297"/>
    </row>
    <row r="5" spans="2:10" x14ac:dyDescent="0.35">
      <c r="B5" s="1271" t="s">
        <v>3459</v>
      </c>
      <c r="C5" s="1271"/>
      <c r="D5" s="1271"/>
      <c r="E5" s="1271"/>
      <c r="F5" s="1271"/>
      <c r="G5" s="1271"/>
      <c r="H5" s="1271"/>
      <c r="I5" s="1271"/>
      <c r="J5" s="1271"/>
    </row>
    <row r="6" spans="2:10" x14ac:dyDescent="0.35">
      <c r="B6" s="1298" t="s">
        <v>3458</v>
      </c>
      <c r="C6" s="1301" t="s">
        <v>3430</v>
      </c>
      <c r="D6" s="1302"/>
      <c r="E6" s="1302"/>
      <c r="F6" s="1302"/>
      <c r="G6" s="1302"/>
      <c r="H6" s="1302"/>
      <c r="I6" s="1302"/>
      <c r="J6" s="1303"/>
    </row>
    <row r="7" spans="2:10" x14ac:dyDescent="0.35">
      <c r="B7" s="1299"/>
      <c r="C7" s="194">
        <v>1</v>
      </c>
      <c r="D7" s="193">
        <v>2</v>
      </c>
      <c r="E7" s="193">
        <v>3</v>
      </c>
      <c r="F7" s="193">
        <v>4</v>
      </c>
      <c r="G7" s="193">
        <v>5</v>
      </c>
      <c r="H7" s="193">
        <v>6</v>
      </c>
      <c r="I7" s="193">
        <v>7</v>
      </c>
      <c r="J7" s="193">
        <v>8</v>
      </c>
    </row>
    <row r="8" spans="2:10" x14ac:dyDescent="0.35">
      <c r="B8" s="1300"/>
      <c r="C8" s="1290" t="s">
        <v>3015</v>
      </c>
      <c r="D8" s="1291"/>
      <c r="E8" s="1291"/>
      <c r="F8" s="1291"/>
      <c r="G8" s="1291"/>
      <c r="H8" s="1291"/>
      <c r="I8" s="1291"/>
      <c r="J8" s="1292"/>
    </row>
    <row r="9" spans="2:10" x14ac:dyDescent="0.35">
      <c r="B9" s="183">
        <v>4</v>
      </c>
      <c r="C9" s="192">
        <v>1</v>
      </c>
      <c r="D9" s="80">
        <v>2</v>
      </c>
      <c r="E9" s="198" t="s">
        <v>3457</v>
      </c>
      <c r="F9" s="198" t="s">
        <v>3457</v>
      </c>
      <c r="G9" s="200" t="s">
        <v>3457</v>
      </c>
      <c r="H9" s="198" t="s">
        <v>3457</v>
      </c>
      <c r="I9" s="199" t="s">
        <v>3457</v>
      </c>
      <c r="J9" s="198" t="s">
        <v>3457</v>
      </c>
    </row>
    <row r="10" spans="2:10" x14ac:dyDescent="0.35">
      <c r="B10" s="183">
        <v>3</v>
      </c>
      <c r="C10" s="192">
        <v>2</v>
      </c>
      <c r="D10" s="79">
        <v>4</v>
      </c>
      <c r="E10" s="198" t="s">
        <v>3457</v>
      </c>
      <c r="F10" s="198" t="s">
        <v>3457</v>
      </c>
      <c r="G10" s="200" t="s">
        <v>3457</v>
      </c>
      <c r="H10" s="198" t="s">
        <v>3457</v>
      </c>
      <c r="I10" s="199" t="s">
        <v>3457</v>
      </c>
      <c r="J10" s="198" t="s">
        <v>3457</v>
      </c>
    </row>
    <row r="11" spans="2:10" x14ac:dyDescent="0.35">
      <c r="B11" s="183">
        <v>2</v>
      </c>
      <c r="C11" s="192">
        <v>3</v>
      </c>
      <c r="D11" s="79">
        <v>5</v>
      </c>
      <c r="E11" s="188">
        <v>3</v>
      </c>
      <c r="F11" s="188">
        <v>4</v>
      </c>
      <c r="G11" s="190">
        <v>4</v>
      </c>
      <c r="H11" s="188">
        <v>6</v>
      </c>
      <c r="I11" s="191">
        <v>8</v>
      </c>
      <c r="J11" s="188">
        <v>7</v>
      </c>
    </row>
    <row r="12" spans="2:10" x14ac:dyDescent="0.35">
      <c r="B12" s="183">
        <v>1</v>
      </c>
      <c r="C12" s="192">
        <v>4</v>
      </c>
      <c r="D12" s="79">
        <v>7</v>
      </c>
      <c r="E12" s="188">
        <v>5</v>
      </c>
      <c r="F12" s="188">
        <v>7</v>
      </c>
      <c r="G12" s="190">
        <v>7</v>
      </c>
      <c r="H12" s="188">
        <v>10</v>
      </c>
      <c r="I12" s="191">
        <v>15</v>
      </c>
      <c r="J12" s="188">
        <v>11</v>
      </c>
    </row>
    <row r="14" spans="2:10" ht="15" customHeight="1" x14ac:dyDescent="0.35">
      <c r="B14" s="1297" t="s">
        <v>4269</v>
      </c>
      <c r="C14" s="1297"/>
      <c r="D14" s="1297"/>
      <c r="E14" s="1297"/>
      <c r="F14" s="1297"/>
      <c r="G14" s="1297"/>
      <c r="H14" s="1297"/>
      <c r="I14" s="1297"/>
      <c r="J14" s="1297"/>
    </row>
    <row r="15" spans="2:10" x14ac:dyDescent="0.35">
      <c r="B15" s="1305" t="s">
        <v>3459</v>
      </c>
      <c r="C15" s="1305"/>
      <c r="D15" s="1305"/>
      <c r="E15" s="1305"/>
      <c r="F15" s="1305"/>
      <c r="G15" s="1305"/>
      <c r="H15" s="1305"/>
      <c r="I15" s="1305"/>
      <c r="J15" s="1305"/>
    </row>
    <row r="16" spans="2:10" x14ac:dyDescent="0.35">
      <c r="B16" s="1306" t="s">
        <v>4266</v>
      </c>
      <c r="C16" s="1306" t="s">
        <v>3430</v>
      </c>
      <c r="D16" s="1306"/>
      <c r="E16" s="1306"/>
      <c r="F16" s="1306"/>
      <c r="G16" s="1306"/>
      <c r="H16" s="1306"/>
      <c r="I16" s="1306"/>
      <c r="J16" s="1306"/>
    </row>
    <row r="17" spans="2:10" x14ac:dyDescent="0.35">
      <c r="B17" s="1306"/>
      <c r="C17" s="483">
        <v>1</v>
      </c>
      <c r="D17" s="483">
        <v>2</v>
      </c>
      <c r="E17" s="483">
        <v>3</v>
      </c>
      <c r="F17" s="483">
        <v>4</v>
      </c>
      <c r="G17" s="483">
        <v>5</v>
      </c>
      <c r="H17" s="483">
        <v>6</v>
      </c>
      <c r="I17" s="483">
        <v>7</v>
      </c>
      <c r="J17" s="483">
        <v>8</v>
      </c>
    </row>
    <row r="18" spans="2:10" x14ac:dyDescent="0.35">
      <c r="B18" s="1306"/>
      <c r="C18" s="1307" t="s">
        <v>3015</v>
      </c>
      <c r="D18" s="1307"/>
      <c r="E18" s="1307"/>
      <c r="F18" s="1307"/>
      <c r="G18" s="1307"/>
      <c r="H18" s="1307"/>
      <c r="I18" s="1307"/>
      <c r="J18" s="1307"/>
    </row>
    <row r="19" spans="2:10" x14ac:dyDescent="0.35">
      <c r="B19" s="483">
        <v>0.28000000000000003</v>
      </c>
      <c r="C19" s="188">
        <v>1</v>
      </c>
      <c r="D19" s="188">
        <v>2</v>
      </c>
      <c r="E19" s="484" t="s">
        <v>3457</v>
      </c>
      <c r="F19" s="484" t="s">
        <v>3457</v>
      </c>
      <c r="G19" s="484" t="s">
        <v>3457</v>
      </c>
      <c r="H19" s="484" t="s">
        <v>3457</v>
      </c>
      <c r="I19" s="484" t="s">
        <v>3457</v>
      </c>
      <c r="J19" s="484" t="s">
        <v>3457</v>
      </c>
    </row>
    <row r="20" spans="2:10" x14ac:dyDescent="0.35">
      <c r="B20" s="483">
        <v>0.23</v>
      </c>
      <c r="C20" s="188">
        <v>2</v>
      </c>
      <c r="D20" s="188">
        <v>4</v>
      </c>
      <c r="E20" s="484" t="s">
        <v>3457</v>
      </c>
      <c r="F20" s="484" t="s">
        <v>3457</v>
      </c>
      <c r="G20" s="484" t="s">
        <v>3457</v>
      </c>
      <c r="H20" s="484" t="s">
        <v>3457</v>
      </c>
      <c r="I20" s="484" t="s">
        <v>3457</v>
      </c>
      <c r="J20" s="484" t="s">
        <v>3457</v>
      </c>
    </row>
    <row r="21" spans="2:10" x14ac:dyDescent="0.35">
      <c r="B21" s="483">
        <v>0.18</v>
      </c>
      <c r="C21" s="188">
        <v>3</v>
      </c>
      <c r="D21" s="188">
        <v>5</v>
      </c>
      <c r="E21" s="188">
        <v>3</v>
      </c>
      <c r="F21" s="188">
        <v>4</v>
      </c>
      <c r="G21" s="188">
        <v>4</v>
      </c>
      <c r="H21" s="188">
        <v>6</v>
      </c>
      <c r="I21" s="188">
        <v>8</v>
      </c>
      <c r="J21" s="188">
        <v>7</v>
      </c>
    </row>
    <row r="22" spans="2:10" x14ac:dyDescent="0.35">
      <c r="B22" s="483">
        <v>0.13</v>
      </c>
      <c r="C22" s="188">
        <v>4</v>
      </c>
      <c r="D22" s="188">
        <v>7</v>
      </c>
      <c r="E22" s="188">
        <v>5</v>
      </c>
      <c r="F22" s="188">
        <v>7</v>
      </c>
      <c r="G22" s="188">
        <v>7</v>
      </c>
      <c r="H22" s="188">
        <v>10</v>
      </c>
      <c r="I22" s="188">
        <v>15</v>
      </c>
      <c r="J22" s="188">
        <v>11</v>
      </c>
    </row>
    <row r="23" spans="2:10" x14ac:dyDescent="0.35">
      <c r="B23" s="1304" t="s">
        <v>4267</v>
      </c>
      <c r="C23" s="1304"/>
      <c r="D23" s="1304"/>
      <c r="E23" s="1304"/>
      <c r="F23" s="1304"/>
      <c r="G23" s="1304"/>
      <c r="H23" s="1304"/>
      <c r="I23" s="1304"/>
      <c r="J23" s="1304"/>
    </row>
    <row r="25" spans="2:10" x14ac:dyDescent="0.35">
      <c r="B25" s="1296" t="s">
        <v>3456</v>
      </c>
      <c r="C25" s="1296"/>
      <c r="D25" s="1296"/>
      <c r="E25" s="1296"/>
      <c r="F25" s="1296"/>
      <c r="G25" s="1296"/>
      <c r="H25" s="1296"/>
      <c r="I25" s="1296"/>
      <c r="J25" s="1296"/>
    </row>
  </sheetData>
  <sheetProtection algorithmName="SHA-512" hashValue="qExvwTeH2OzRhSUKTHUFjWLs9eerCccmQTtDRwczYO9UBCsH05ByO5EsZf6xkSh8DpdLPpQps7kWgDyc5/9Evw==" saltValue="oXgqXWA4A1qVXk7/Qn01QA==" spinCount="100000" sheet="1" objects="1" scenarios="1" selectLockedCells="1"/>
  <mergeCells count="14">
    <mergeCell ref="B2:C2"/>
    <mergeCell ref="B25:J25"/>
    <mergeCell ref="B4:J4"/>
    <mergeCell ref="B5:J5"/>
    <mergeCell ref="B6:B8"/>
    <mergeCell ref="C6:J6"/>
    <mergeCell ref="C8:J8"/>
    <mergeCell ref="G2:J2"/>
    <mergeCell ref="B23:J23"/>
    <mergeCell ref="B14:J14"/>
    <mergeCell ref="B15:J15"/>
    <mergeCell ref="B16:B18"/>
    <mergeCell ref="C16:J16"/>
    <mergeCell ref="C18:J18"/>
  </mergeCells>
  <hyperlinks>
    <hyperlink ref="B2:C2" location="hyptarg7.3" display="back to 703.2.4" xr:uid="{00000000-0004-0000-2000-000000000000}"/>
    <hyperlink ref="G2:I2" location="'Verification Report'!A1" display="back to Verification Report" xr:uid="{00000000-0004-0000-2000-000001000000}"/>
  </hyperlinks>
  <pageMargins left="0.7" right="0.7" top="0.75" bottom="0.75" header="0.3" footer="0.3"/>
  <pageSetup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B2:F15"/>
  <sheetViews>
    <sheetView showGridLines="0" zoomScaleNormal="100" workbookViewId="0">
      <selection activeCell="S48" sqref="S48"/>
    </sheetView>
  </sheetViews>
  <sheetFormatPr defaultColWidth="9.1796875" defaultRowHeight="14.5" x14ac:dyDescent="0.35"/>
  <cols>
    <col min="2" max="2" width="9.54296875" customWidth="1"/>
    <col min="3" max="6" width="11.26953125" customWidth="1"/>
  </cols>
  <sheetData>
    <row r="2" spans="2:6" x14ac:dyDescent="0.35">
      <c r="B2" s="1255" t="s">
        <v>3779</v>
      </c>
      <c r="C2" s="1255"/>
      <c r="E2" s="1255" t="s">
        <v>4068</v>
      </c>
      <c r="F2" s="1255"/>
    </row>
    <row r="4" spans="2:6" x14ac:dyDescent="0.35">
      <c r="B4" s="1272" t="s">
        <v>3469</v>
      </c>
      <c r="C4" s="1272"/>
      <c r="D4" s="1272"/>
      <c r="E4" s="1272"/>
      <c r="F4" s="1272"/>
    </row>
    <row r="5" spans="2:6" x14ac:dyDescent="0.35">
      <c r="B5" s="1271" t="s">
        <v>3468</v>
      </c>
      <c r="C5" s="1271"/>
      <c r="D5" s="1271"/>
      <c r="E5" s="1271"/>
      <c r="F5" s="1271"/>
    </row>
    <row r="6" spans="2:6" ht="15" customHeight="1" x14ac:dyDescent="0.35">
      <c r="B6" s="1287" t="s">
        <v>3467</v>
      </c>
      <c r="C6" s="193" t="s">
        <v>3466</v>
      </c>
      <c r="D6" s="193" t="s">
        <v>3465</v>
      </c>
      <c r="E6" s="193" t="s">
        <v>3466</v>
      </c>
      <c r="F6" s="193" t="s">
        <v>3465</v>
      </c>
    </row>
    <row r="7" spans="2:6" ht="39" customHeight="1" x14ac:dyDescent="0.35">
      <c r="B7" s="1289"/>
      <c r="C7" s="1310" t="s">
        <v>3464</v>
      </c>
      <c r="D7" s="1311"/>
      <c r="E7" s="1310" t="s">
        <v>3463</v>
      </c>
      <c r="F7" s="1311"/>
    </row>
    <row r="8" spans="2:6" x14ac:dyDescent="0.35">
      <c r="B8" s="183">
        <v>1</v>
      </c>
      <c r="C8" s="201">
        <v>0.5</v>
      </c>
      <c r="D8" s="201">
        <v>0.25</v>
      </c>
      <c r="E8" s="185">
        <v>0.75</v>
      </c>
      <c r="F8" s="201">
        <v>0.3</v>
      </c>
    </row>
    <row r="9" spans="2:6" x14ac:dyDescent="0.35">
      <c r="B9" s="183">
        <v>2</v>
      </c>
      <c r="C9" s="201">
        <v>0.4</v>
      </c>
      <c r="D9" s="201">
        <v>0.25</v>
      </c>
      <c r="E9" s="185">
        <v>0.65</v>
      </c>
      <c r="F9" s="201">
        <v>0.3</v>
      </c>
    </row>
    <row r="10" spans="2:6" x14ac:dyDescent="0.35">
      <c r="B10" s="183">
        <v>3</v>
      </c>
      <c r="C10" s="201">
        <v>0.32</v>
      </c>
      <c r="D10" s="201">
        <v>0.25</v>
      </c>
      <c r="E10" s="185">
        <v>0.55000000000000004</v>
      </c>
      <c r="F10" s="201">
        <v>0.3</v>
      </c>
    </row>
    <row r="11" spans="2:6" x14ac:dyDescent="0.35">
      <c r="B11" s="183">
        <v>4</v>
      </c>
      <c r="C11" s="201">
        <v>0.32</v>
      </c>
      <c r="D11" s="201">
        <v>0.4</v>
      </c>
      <c r="E11" s="185">
        <v>0.55000000000000004</v>
      </c>
      <c r="F11" s="201">
        <v>0.4</v>
      </c>
    </row>
    <row r="12" spans="2:6" x14ac:dyDescent="0.35">
      <c r="B12" s="183" t="s">
        <v>3462</v>
      </c>
      <c r="C12" s="201" t="s">
        <v>4272</v>
      </c>
      <c r="D12" s="201" t="s">
        <v>3461</v>
      </c>
      <c r="E12" s="185">
        <v>0.55000000000000004</v>
      </c>
      <c r="F12" s="185" t="s">
        <v>3461</v>
      </c>
    </row>
    <row r="13" spans="2:6" ht="25.5" customHeight="1" x14ac:dyDescent="0.35">
      <c r="B13" s="1308" t="s">
        <v>4273</v>
      </c>
      <c r="C13" s="1308"/>
      <c r="D13" s="1308"/>
      <c r="E13" s="1308"/>
      <c r="F13" s="1308"/>
    </row>
    <row r="14" spans="2:6" ht="46.5" customHeight="1" x14ac:dyDescent="0.35">
      <c r="B14" s="1309" t="s">
        <v>4274</v>
      </c>
      <c r="C14" s="1309"/>
      <c r="D14" s="1309"/>
      <c r="E14" s="1309"/>
      <c r="F14" s="1309"/>
    </row>
    <row r="15" spans="2:6" x14ac:dyDescent="0.35">
      <c r="B15" s="266"/>
      <c r="C15" s="266"/>
      <c r="D15" s="266"/>
      <c r="E15" s="266"/>
      <c r="F15" s="266"/>
    </row>
  </sheetData>
  <sheetProtection algorithmName="SHA-512" hashValue="wJ4uOtKVFbj9sU1pmREsDKR+hgdFk/R3nJD/momXmRL5g7hDf5zHA7+kWThQS4kb1872T6KqPAzcY7k2v8qm9Q==" saltValue="N7Q2ZXok2+vYl3JAs7XuUg==" spinCount="100000" sheet="1" objects="1" scenarios="1" selectLockedCells="1"/>
  <mergeCells count="9">
    <mergeCell ref="B13:F13"/>
    <mergeCell ref="B14:F14"/>
    <mergeCell ref="B2:C2"/>
    <mergeCell ref="B6:B7"/>
    <mergeCell ref="E7:F7"/>
    <mergeCell ref="C7:D7"/>
    <mergeCell ref="B4:F4"/>
    <mergeCell ref="B5:F5"/>
    <mergeCell ref="E2:F2"/>
  </mergeCells>
  <hyperlinks>
    <hyperlink ref="B2:C2" location="hyptarg7.4" display="back to 703.2.5.1" xr:uid="{00000000-0004-0000-2100-000000000000}"/>
    <hyperlink ref="E2:F2" location="'Verification Report'!A1" display="back to Verification Report" xr:uid="{00000000-0004-0000-2100-000001000000}"/>
  </hyperlinks>
  <pageMargins left="0.7" right="0.7" top="0.75" bottom="0.75" header="0.3" footer="0.3"/>
  <pageSetup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B2:K40"/>
  <sheetViews>
    <sheetView showGridLines="0" zoomScaleNormal="100" workbookViewId="0">
      <selection activeCell="S48" sqref="S48"/>
    </sheetView>
  </sheetViews>
  <sheetFormatPr defaultColWidth="9.1796875" defaultRowHeight="14.5" x14ac:dyDescent="0.35"/>
  <cols>
    <col min="1" max="1" width="6" customWidth="1"/>
    <col min="2" max="2" width="9.1796875" style="4"/>
    <col min="3" max="6" width="17.7265625" style="4" customWidth="1"/>
    <col min="7" max="11" width="9.1796875" style="4"/>
  </cols>
  <sheetData>
    <row r="2" spans="2:7" x14ac:dyDescent="0.35">
      <c r="B2" s="1255" t="s">
        <v>3781</v>
      </c>
      <c r="C2" s="1255"/>
      <c r="F2" s="1255" t="s">
        <v>4068</v>
      </c>
      <c r="G2" s="1255"/>
    </row>
    <row r="4" spans="2:7" ht="15" customHeight="1" x14ac:dyDescent="0.35">
      <c r="B4" s="1272" t="s">
        <v>3479</v>
      </c>
      <c r="C4" s="1272"/>
      <c r="D4" s="1272"/>
      <c r="E4" s="1272"/>
      <c r="F4" s="1272"/>
      <c r="G4" s="1272"/>
    </row>
    <row r="5" spans="2:7" ht="15" customHeight="1" x14ac:dyDescent="0.35">
      <c r="B5" s="1271" t="s">
        <v>3476</v>
      </c>
      <c r="C5" s="1271"/>
      <c r="D5" s="1271"/>
      <c r="E5" s="1271"/>
      <c r="F5" s="1271"/>
      <c r="G5" s="1271"/>
    </row>
    <row r="6" spans="2:7" ht="30.75" customHeight="1" x14ac:dyDescent="0.35">
      <c r="B6" s="206" t="s">
        <v>3430</v>
      </c>
      <c r="C6" s="206" t="s">
        <v>3475</v>
      </c>
      <c r="D6" s="206" t="s">
        <v>3474</v>
      </c>
      <c r="E6" s="206" t="s">
        <v>3473</v>
      </c>
      <c r="F6" s="206" t="s">
        <v>3472</v>
      </c>
      <c r="G6" s="205" t="s">
        <v>3015</v>
      </c>
    </row>
    <row r="7" spans="2:7" x14ac:dyDescent="0.35">
      <c r="B7" s="204">
        <v>1</v>
      </c>
      <c r="C7" s="202">
        <v>0.4</v>
      </c>
      <c r="D7" s="202">
        <v>0.25</v>
      </c>
      <c r="E7" s="202">
        <v>0.6</v>
      </c>
      <c r="F7" s="202">
        <v>0.28000000000000003</v>
      </c>
      <c r="G7" s="190">
        <v>1</v>
      </c>
    </row>
    <row r="8" spans="2:7" x14ac:dyDescent="0.35">
      <c r="B8" s="204">
        <v>2</v>
      </c>
      <c r="C8" s="202">
        <v>0.4</v>
      </c>
      <c r="D8" s="202">
        <v>0.25</v>
      </c>
      <c r="E8" s="202">
        <v>0.6</v>
      </c>
      <c r="F8" s="202">
        <v>0.28000000000000003</v>
      </c>
      <c r="G8" s="190">
        <v>1</v>
      </c>
    </row>
    <row r="9" spans="2:7" x14ac:dyDescent="0.35">
      <c r="B9" s="204">
        <v>3</v>
      </c>
      <c r="C9" s="202">
        <v>0.3</v>
      </c>
      <c r="D9" s="202">
        <v>0.25</v>
      </c>
      <c r="E9" s="202">
        <v>0.53</v>
      </c>
      <c r="F9" s="202">
        <v>0.28000000000000003</v>
      </c>
      <c r="G9" s="190">
        <v>2</v>
      </c>
    </row>
    <row r="10" spans="2:7" x14ac:dyDescent="0.35">
      <c r="B10" s="204">
        <v>4</v>
      </c>
      <c r="C10" s="202">
        <v>0.3</v>
      </c>
      <c r="D10" s="202">
        <v>0.4</v>
      </c>
      <c r="E10" s="202">
        <v>0.53</v>
      </c>
      <c r="F10" s="202">
        <v>0.35</v>
      </c>
      <c r="G10" s="190">
        <v>3</v>
      </c>
    </row>
    <row r="11" spans="2:7" x14ac:dyDescent="0.35">
      <c r="B11" s="204">
        <v>5</v>
      </c>
      <c r="C11" s="202">
        <v>0.27</v>
      </c>
      <c r="D11" s="202" t="s">
        <v>3461</v>
      </c>
      <c r="E11" s="202">
        <v>0.5</v>
      </c>
      <c r="F11" s="202" t="s">
        <v>3461</v>
      </c>
      <c r="G11" s="190">
        <v>3</v>
      </c>
    </row>
    <row r="12" spans="2:7" x14ac:dyDescent="0.35">
      <c r="B12" s="204">
        <v>6</v>
      </c>
      <c r="C12" s="202">
        <v>0.27</v>
      </c>
      <c r="D12" s="202" t="s">
        <v>3461</v>
      </c>
      <c r="E12" s="202">
        <v>0.5</v>
      </c>
      <c r="F12" s="202" t="s">
        <v>3461</v>
      </c>
      <c r="G12" s="190">
        <v>4</v>
      </c>
    </row>
    <row r="13" spans="2:7" x14ac:dyDescent="0.35">
      <c r="B13" s="204">
        <v>7</v>
      </c>
      <c r="C13" s="202">
        <v>0.27</v>
      </c>
      <c r="D13" s="202" t="s">
        <v>3461</v>
      </c>
      <c r="E13" s="202">
        <v>0.5</v>
      </c>
      <c r="F13" s="202" t="s">
        <v>3461</v>
      </c>
      <c r="G13" s="190">
        <v>4</v>
      </c>
    </row>
    <row r="14" spans="2:7" x14ac:dyDescent="0.35">
      <c r="B14" s="204">
        <v>8</v>
      </c>
      <c r="C14" s="202">
        <v>0.27</v>
      </c>
      <c r="D14" s="202" t="s">
        <v>3461</v>
      </c>
      <c r="E14" s="202">
        <v>0.5</v>
      </c>
      <c r="F14" s="202" t="s">
        <v>3461</v>
      </c>
      <c r="G14" s="190">
        <v>4</v>
      </c>
    </row>
    <row r="15" spans="2:7" x14ac:dyDescent="0.35">
      <c r="B15" s="897" t="s">
        <v>3460</v>
      </c>
      <c r="C15" s="897"/>
      <c r="D15" s="897"/>
      <c r="E15" s="897"/>
      <c r="F15" s="897"/>
      <c r="G15" s="897"/>
    </row>
    <row r="16" spans="2:7" x14ac:dyDescent="0.35">
      <c r="B16" s="898"/>
      <c r="C16" s="898"/>
      <c r="D16" s="898"/>
      <c r="E16" s="898"/>
      <c r="F16" s="898"/>
      <c r="G16" s="898"/>
    </row>
    <row r="17" spans="2:7" x14ac:dyDescent="0.35">
      <c r="B17" s="175"/>
      <c r="C17" s="175"/>
      <c r="D17" s="175"/>
      <c r="E17" s="175"/>
      <c r="F17" s="175"/>
      <c r="G17" s="175"/>
    </row>
    <row r="18" spans="2:7" x14ac:dyDescent="0.35">
      <c r="B18" s="1272" t="s">
        <v>3478</v>
      </c>
      <c r="C18" s="1272"/>
      <c r="D18" s="1272"/>
      <c r="E18" s="1272"/>
      <c r="F18" s="1272"/>
      <c r="G18" s="1272"/>
    </row>
    <row r="19" spans="2:7" x14ac:dyDescent="0.35">
      <c r="B19" s="1271" t="s">
        <v>3476</v>
      </c>
      <c r="C19" s="1271"/>
      <c r="D19" s="1271"/>
      <c r="E19" s="1271"/>
      <c r="F19" s="1271"/>
      <c r="G19" s="1271"/>
    </row>
    <row r="20" spans="2:7" x14ac:dyDescent="0.35">
      <c r="B20" s="1312" t="s">
        <v>3430</v>
      </c>
      <c r="C20" s="1312" t="s">
        <v>3475</v>
      </c>
      <c r="D20" s="1312" t="s">
        <v>3474</v>
      </c>
      <c r="E20" s="1312" t="s">
        <v>3473</v>
      </c>
      <c r="F20" s="1312" t="s">
        <v>3472</v>
      </c>
      <c r="G20" s="1314" t="s">
        <v>3015</v>
      </c>
    </row>
    <row r="21" spans="2:7" ht="21" customHeight="1" x14ac:dyDescent="0.35">
      <c r="B21" s="1313"/>
      <c r="C21" s="1313"/>
      <c r="D21" s="1313"/>
      <c r="E21" s="1313"/>
      <c r="F21" s="1313"/>
      <c r="G21" s="1315"/>
    </row>
    <row r="22" spans="2:7" x14ac:dyDescent="0.35">
      <c r="B22" s="204">
        <v>1</v>
      </c>
      <c r="C22" s="202">
        <v>0.38</v>
      </c>
      <c r="D22" s="202">
        <v>0.25</v>
      </c>
      <c r="E22" s="202">
        <v>0.55000000000000004</v>
      </c>
      <c r="F22" s="202">
        <v>0.28000000000000003</v>
      </c>
      <c r="G22" s="190">
        <v>2</v>
      </c>
    </row>
    <row r="23" spans="2:7" x14ac:dyDescent="0.35">
      <c r="B23" s="204">
        <v>2</v>
      </c>
      <c r="C23" s="202">
        <v>0.38</v>
      </c>
      <c r="D23" s="202">
        <v>0.25</v>
      </c>
      <c r="E23" s="202">
        <v>0.53</v>
      </c>
      <c r="F23" s="202">
        <v>0.28000000000000003</v>
      </c>
      <c r="G23" s="190">
        <v>3</v>
      </c>
    </row>
    <row r="24" spans="2:7" x14ac:dyDescent="0.35">
      <c r="B24" s="204">
        <v>3</v>
      </c>
      <c r="C24" s="202">
        <v>0.3</v>
      </c>
      <c r="D24" s="202">
        <v>0.25</v>
      </c>
      <c r="E24" s="202">
        <v>0.5</v>
      </c>
      <c r="F24" s="202">
        <v>0.28000000000000003</v>
      </c>
      <c r="G24" s="190">
        <v>4</v>
      </c>
    </row>
    <row r="25" spans="2:7" x14ac:dyDescent="0.35">
      <c r="B25" s="204">
        <v>4</v>
      </c>
      <c r="C25" s="202">
        <v>0.28000000000000003</v>
      </c>
      <c r="D25" s="202">
        <v>0.4</v>
      </c>
      <c r="E25" s="202">
        <v>0.5</v>
      </c>
      <c r="F25" s="202">
        <v>0.35</v>
      </c>
      <c r="G25" s="190">
        <v>4</v>
      </c>
    </row>
    <row r="26" spans="2:7" x14ac:dyDescent="0.35">
      <c r="B26" s="204">
        <v>5</v>
      </c>
      <c r="C26" s="202">
        <v>0.25</v>
      </c>
      <c r="D26" s="202" t="s">
        <v>3461</v>
      </c>
      <c r="E26" s="202">
        <v>0.48</v>
      </c>
      <c r="F26" s="202" t="s">
        <v>3461</v>
      </c>
      <c r="G26" s="190">
        <v>4</v>
      </c>
    </row>
    <row r="27" spans="2:7" x14ac:dyDescent="0.35">
      <c r="B27" s="204">
        <v>6</v>
      </c>
      <c r="C27" s="202">
        <v>0.25</v>
      </c>
      <c r="D27" s="202" t="s">
        <v>3461</v>
      </c>
      <c r="E27" s="202">
        <v>0.48</v>
      </c>
      <c r="F27" s="202" t="s">
        <v>3461</v>
      </c>
      <c r="G27" s="190">
        <v>5</v>
      </c>
    </row>
    <row r="28" spans="2:7" x14ac:dyDescent="0.35">
      <c r="B28" s="204">
        <v>7</v>
      </c>
      <c r="C28" s="202">
        <v>0.25</v>
      </c>
      <c r="D28" s="202" t="s">
        <v>3461</v>
      </c>
      <c r="E28" s="202">
        <v>0.46</v>
      </c>
      <c r="F28" s="202" t="s">
        <v>3461</v>
      </c>
      <c r="G28" s="190">
        <v>5</v>
      </c>
    </row>
    <row r="29" spans="2:7" x14ac:dyDescent="0.35">
      <c r="B29" s="204">
        <v>8</v>
      </c>
      <c r="C29" s="202">
        <v>0.25</v>
      </c>
      <c r="D29" s="202" t="s">
        <v>3461</v>
      </c>
      <c r="E29" s="202">
        <v>0.46</v>
      </c>
      <c r="F29" s="202" t="s">
        <v>3461</v>
      </c>
      <c r="G29" s="190">
        <v>4</v>
      </c>
    </row>
    <row r="30" spans="2:7" x14ac:dyDescent="0.35">
      <c r="B30" s="897" t="s">
        <v>3460</v>
      </c>
      <c r="C30" s="897"/>
      <c r="D30" s="897"/>
      <c r="E30" s="897"/>
      <c r="F30" s="897"/>
      <c r="G30" s="897"/>
    </row>
    <row r="31" spans="2:7" x14ac:dyDescent="0.35">
      <c r="B31" s="898"/>
      <c r="C31" s="898"/>
      <c r="D31" s="898"/>
      <c r="E31" s="898"/>
      <c r="F31" s="898"/>
      <c r="G31" s="898"/>
    </row>
    <row r="33" spans="2:7" x14ac:dyDescent="0.35">
      <c r="B33" s="1272" t="s">
        <v>3477</v>
      </c>
      <c r="C33" s="1272"/>
      <c r="D33" s="1272"/>
      <c r="E33" s="1272"/>
      <c r="F33" s="1272"/>
      <c r="G33" s="1272"/>
    </row>
    <row r="34" spans="2:7" x14ac:dyDescent="0.35">
      <c r="B34" s="1271" t="s">
        <v>3476</v>
      </c>
      <c r="C34" s="1271"/>
      <c r="D34" s="1271"/>
      <c r="E34" s="1271"/>
      <c r="F34" s="1271"/>
      <c r="G34" s="1271"/>
    </row>
    <row r="35" spans="2:7" x14ac:dyDescent="0.35">
      <c r="B35" s="1312" t="s">
        <v>3430</v>
      </c>
      <c r="C35" s="1312" t="s">
        <v>3475</v>
      </c>
      <c r="D35" s="1312" t="s">
        <v>3474</v>
      </c>
      <c r="E35" s="1312" t="s">
        <v>3473</v>
      </c>
      <c r="F35" s="1312" t="s">
        <v>3472</v>
      </c>
      <c r="G35" s="1314" t="s">
        <v>3015</v>
      </c>
    </row>
    <row r="36" spans="2:7" ht="21.75" customHeight="1" x14ac:dyDescent="0.35">
      <c r="B36" s="1313"/>
      <c r="C36" s="1313"/>
      <c r="D36" s="1313"/>
      <c r="E36" s="1313"/>
      <c r="F36" s="1313"/>
      <c r="G36" s="1315"/>
    </row>
    <row r="37" spans="2:7" x14ac:dyDescent="0.35">
      <c r="B37" s="204">
        <v>4</v>
      </c>
      <c r="C37" s="202">
        <v>0.25</v>
      </c>
      <c r="D37" s="202">
        <v>0.4</v>
      </c>
      <c r="E37" s="202">
        <v>0.45</v>
      </c>
      <c r="F37" s="202">
        <v>0.4</v>
      </c>
      <c r="G37" s="190">
        <v>6</v>
      </c>
    </row>
    <row r="38" spans="2:7" x14ac:dyDescent="0.35">
      <c r="B38" s="203" t="s">
        <v>3471</v>
      </c>
      <c r="C38" s="202">
        <v>0.22</v>
      </c>
      <c r="D38" s="202" t="s">
        <v>3461</v>
      </c>
      <c r="E38" s="202">
        <v>0.42</v>
      </c>
      <c r="F38" s="202" t="s">
        <v>3461</v>
      </c>
      <c r="G38" s="190">
        <v>6</v>
      </c>
    </row>
    <row r="39" spans="2:7" x14ac:dyDescent="0.35">
      <c r="B39" s="897" t="s">
        <v>3470</v>
      </c>
      <c r="C39" s="897"/>
      <c r="D39" s="897"/>
      <c r="E39" s="897"/>
      <c r="F39" s="897"/>
      <c r="G39" s="897"/>
    </row>
    <row r="40" spans="2:7" x14ac:dyDescent="0.35">
      <c r="B40" s="898"/>
      <c r="C40" s="898"/>
      <c r="D40" s="898"/>
      <c r="E40" s="898"/>
      <c r="F40" s="898"/>
      <c r="G40" s="898"/>
    </row>
  </sheetData>
  <sheetProtection algorithmName="SHA-512" hashValue="qZ2ZpTcYyoPYfOfJZmCKY4kT7KGI1mZ1C0Y3GBdNYXdPnYm2tJPiQsJ2Qm/KTWWS2jfx5FP2tK8V385zeaRiaw==" saltValue="AqylIpUu8sF5nXo8VH7jAw==" spinCount="100000" sheet="1" objects="1" scenarios="1" selectLockedCells="1"/>
  <mergeCells count="23">
    <mergeCell ref="B2:C2"/>
    <mergeCell ref="G20:G21"/>
    <mergeCell ref="B4:G4"/>
    <mergeCell ref="B5:G5"/>
    <mergeCell ref="B15:G16"/>
    <mergeCell ref="B18:G18"/>
    <mergeCell ref="B19:G19"/>
    <mergeCell ref="B20:B21"/>
    <mergeCell ref="C20:C21"/>
    <mergeCell ref="D20:D21"/>
    <mergeCell ref="E20:E21"/>
    <mergeCell ref="F20:F21"/>
    <mergeCell ref="F2:G2"/>
    <mergeCell ref="B39:G40"/>
    <mergeCell ref="B30:G31"/>
    <mergeCell ref="B33:G33"/>
    <mergeCell ref="B34:G34"/>
    <mergeCell ref="B35:B36"/>
    <mergeCell ref="C35:C36"/>
    <mergeCell ref="D35:D36"/>
    <mergeCell ref="E35:E36"/>
    <mergeCell ref="F35:F36"/>
    <mergeCell ref="G35:G36"/>
  </mergeCells>
  <hyperlinks>
    <hyperlink ref="B2:C2" location="hyptarg7.5" display="back to 703.2.5.2" xr:uid="{00000000-0004-0000-2200-000000000000}"/>
    <hyperlink ref="F2:G2" location="'Verification Report'!A1" display="back to Verification Report" xr:uid="{00000000-0004-0000-2200-000001000000}"/>
  </hyperlinks>
  <pageMargins left="0.7" right="0.7" top="0.75" bottom="0.75" header="0.3" footer="0.3"/>
  <pageSetup scale="95" fitToHeight="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fitToPage="1"/>
  </sheetPr>
  <dimension ref="A1:BI329"/>
  <sheetViews>
    <sheetView showGridLines="0" zoomScaleNormal="100" workbookViewId="0">
      <pane ySplit="7" topLeftCell="A281" activePane="bottomLeft" state="frozen"/>
      <selection activeCell="S48" sqref="S48"/>
      <selection pane="bottomLeft" activeCell="S48" sqref="S48"/>
    </sheetView>
  </sheetViews>
  <sheetFormatPr defaultRowHeight="14.5" x14ac:dyDescent="0.35"/>
  <cols>
    <col min="1" max="1" width="9.1796875" style="12" hidden="1" customWidth="1"/>
    <col min="2" max="2" width="7.26953125" style="12" hidden="1" customWidth="1"/>
    <col min="3" max="7" width="3.81640625" style="12" hidden="1" customWidth="1"/>
    <col min="8" max="8" width="3.81640625" style="12" customWidth="1"/>
    <col min="9" max="9" width="10.453125" customWidth="1"/>
    <col min="10" max="11" width="3.81640625" customWidth="1"/>
    <col min="12" max="12" width="71.7265625" style="565" customWidth="1"/>
    <col min="13" max="13" width="13.54296875" style="33" customWidth="1"/>
    <col min="14" max="14" width="7.7265625" hidden="1" customWidth="1"/>
    <col min="15" max="15" width="7.7265625" style="41" customWidth="1"/>
    <col min="16" max="21" width="8.81640625" hidden="1" customWidth="1"/>
    <col min="22" max="22" width="3" hidden="1" customWidth="1"/>
    <col min="23" max="23" width="21.453125" customWidth="1"/>
    <col min="24" max="24" width="69" customWidth="1"/>
    <col min="25" max="25" width="10.1796875" hidden="1" customWidth="1"/>
    <col min="26" max="26" width="34.81640625" hidden="1" customWidth="1"/>
    <col min="27" max="37" width="9.1796875" hidden="1" customWidth="1"/>
    <col min="38" max="38" width="14.453125" hidden="1" customWidth="1"/>
    <col min="39" max="39" width="3" hidden="1" customWidth="1"/>
    <col min="40" max="40" width="12.54296875" hidden="1" customWidth="1"/>
    <col min="41" max="41" width="2.1796875" hidden="1" customWidth="1"/>
    <col min="42" max="42" width="14.26953125" hidden="1" customWidth="1"/>
    <col min="43" max="43" width="5.81640625" hidden="1" customWidth="1"/>
    <col min="44" max="44" width="12.453125" hidden="1" customWidth="1"/>
    <col min="45" max="45" width="2.1796875" hidden="1" customWidth="1"/>
    <col min="46" max="61" width="9.1796875" hidden="1" customWidth="1"/>
  </cols>
  <sheetData>
    <row r="1" spans="1:61" x14ac:dyDescent="0.35">
      <c r="H1" s="856" t="s">
        <v>4088</v>
      </c>
      <c r="I1" s="867" t="str">
        <f ca="1">IF(OR(AG3,AI3),"Errors on page, no Level reached","Current Chapter level: "&amp;AG1&amp;"                                            Total Points: "&amp;AG2)</f>
        <v>Current Chapter level: Bronze                                            Total Points: 57</v>
      </c>
      <c r="J1" s="867"/>
      <c r="K1" s="867"/>
      <c r="L1" s="867"/>
      <c r="M1" s="857"/>
      <c r="N1" s="857"/>
      <c r="O1" s="857"/>
      <c r="P1" s="857"/>
      <c r="Q1" s="857"/>
      <c r="R1" s="857"/>
      <c r="S1" s="857"/>
      <c r="T1" s="857"/>
      <c r="U1" s="857"/>
      <c r="V1" s="857"/>
      <c r="W1" s="857"/>
      <c r="X1" s="716" t="s">
        <v>4063</v>
      </c>
      <c r="AF1" s="6" t="s">
        <v>289</v>
      </c>
      <c r="AG1" t="str">
        <f ca="1">Points!R15</f>
        <v>Bronze</v>
      </c>
    </row>
    <row r="2" spans="1:61" x14ac:dyDescent="0.35">
      <c r="H2" s="856"/>
      <c r="I2" s="868" t="str">
        <f ca="1">"Points away from:  Bronze: "&amp;MAX(Points!C15-Points!Ch5Points,0)&amp;",  Silver: "&amp;MAX(Points!D15-Points!Ch5Points,0)&amp;",  Gold: "&amp;MAX(Points!E15-Points!Ch5Points,0)&amp;",  Emerald: "&amp;MAX(Points!F15-Points!Ch5Points,0)</f>
        <v>Points away from:  Bronze: 0,  Silver: 7,  Gold: 36,  Emerald: 64</v>
      </c>
      <c r="J2" s="868"/>
      <c r="K2" s="868"/>
      <c r="L2" s="868"/>
      <c r="M2" s="857"/>
      <c r="N2" s="857"/>
      <c r="O2" s="857"/>
      <c r="P2" s="857"/>
      <c r="Q2" s="857"/>
      <c r="R2" s="857"/>
      <c r="S2" s="857"/>
      <c r="T2" s="857"/>
      <c r="U2" s="857"/>
      <c r="V2" s="857"/>
      <c r="W2" s="857"/>
      <c r="X2" s="716" t="s">
        <v>3504</v>
      </c>
      <c r="AF2" s="6" t="s">
        <v>288</v>
      </c>
      <c r="AG2">
        <f ca="1">Points!H15</f>
        <v>57</v>
      </c>
      <c r="AH2" t="s">
        <v>291</v>
      </c>
      <c r="AI2">
        <f ca="1">Points!P15</f>
        <v>7</v>
      </c>
    </row>
    <row r="3" spans="1:61" x14ac:dyDescent="0.35">
      <c r="H3" s="856"/>
      <c r="I3" s="868" t="str">
        <f ca="1">"Add'l pts earned above:  Bronze: "&amp; MAX(0,Points!Ch5Points-Points!C15) &amp;",  Silver: " &amp; MAX(0,Points!Ch5Points-Points!D15) &amp;",  Gold: " &amp; MAX(0,Points!Ch5Points-Points!E15) &amp;",  Emerald: " &amp; MAX(0,Points!Ch5Points-Points!F15)</f>
        <v>Add'l pts earned above:  Bronze: 7,  Silver: 0,  Gold: 0,  Emerald: 0</v>
      </c>
      <c r="J3" s="868"/>
      <c r="K3" s="868"/>
      <c r="L3" s="868"/>
      <c r="M3" s="857"/>
      <c r="N3" s="857"/>
      <c r="O3" s="857"/>
      <c r="P3" s="857"/>
      <c r="Q3" s="857"/>
      <c r="R3" s="857"/>
      <c r="S3" s="857"/>
      <c r="T3" s="857"/>
      <c r="U3" s="857"/>
      <c r="V3" s="857"/>
      <c r="W3" s="857"/>
      <c r="X3" s="716" t="s">
        <v>3503</v>
      </c>
      <c r="AF3" s="6" t="s">
        <v>286</v>
      </c>
      <c r="AG3" t="b">
        <f>OR(AE:AE)</f>
        <v>0</v>
      </c>
      <c r="AH3" s="6" t="s">
        <v>287</v>
      </c>
      <c r="AI3" t="b">
        <f ca="1">OR(AD:AD)</f>
        <v>0</v>
      </c>
    </row>
    <row r="4" spans="1:61" x14ac:dyDescent="0.35">
      <c r="H4" s="856"/>
      <c r="I4" s="871" t="str">
        <f>"Total Chapter Points needed for:  Bronze: "&amp;Points!C15&amp;",  Silver: "&amp;Points!D15&amp;",  Gold: "&amp;Points!E15&amp;",  Emerald: "&amp;Points!F15</f>
        <v>Total Chapter Points needed for:  Bronze: 50,  Silver: 64,  Gold: 93,  Emerald: 121</v>
      </c>
      <c r="J4" s="872"/>
      <c r="K4" s="872"/>
      <c r="L4" s="873"/>
      <c r="M4" s="857"/>
      <c r="N4" s="857"/>
      <c r="O4" s="857"/>
      <c r="P4" s="857"/>
      <c r="Q4" s="857"/>
      <c r="R4" s="857"/>
      <c r="S4" s="857"/>
      <c r="T4" s="857"/>
      <c r="U4" s="857"/>
      <c r="V4" s="857"/>
      <c r="W4" s="857"/>
      <c r="X4" s="762" t="s">
        <v>4873</v>
      </c>
      <c r="AF4" s="6"/>
      <c r="AH4" s="6"/>
    </row>
    <row r="5" spans="1:61" x14ac:dyDescent="0.35">
      <c r="H5" s="856"/>
      <c r="I5" s="874" t="str">
        <f>"Revision Date:  "&amp;TEXT('Info &amp; Intro'!E7,"m/d/yyyy")</f>
        <v>Revision Date:  5/25/2023</v>
      </c>
      <c r="J5" s="875"/>
      <c r="K5" s="875"/>
      <c r="L5" s="876"/>
      <c r="M5" s="857"/>
      <c r="N5" s="857"/>
      <c r="O5" s="857"/>
      <c r="P5" s="857"/>
      <c r="Q5" s="857"/>
      <c r="R5" s="857"/>
      <c r="S5" s="857"/>
      <c r="T5" s="857"/>
      <c r="U5" s="857"/>
      <c r="V5" s="857"/>
      <c r="W5" s="857"/>
      <c r="X5" s="762"/>
      <c r="AF5" s="6"/>
      <c r="AH5" s="6"/>
    </row>
    <row r="6" spans="1:61" x14ac:dyDescent="0.35">
      <c r="H6" s="856"/>
      <c r="I6" s="877" t="s">
        <v>248</v>
      </c>
      <c r="J6" s="878"/>
      <c r="K6" s="879"/>
      <c r="L6" s="880" t="s">
        <v>1107</v>
      </c>
      <c r="M6" s="860" t="s">
        <v>249</v>
      </c>
      <c r="N6" s="860"/>
      <c r="O6" s="23" t="s">
        <v>318</v>
      </c>
      <c r="P6" s="860" t="s">
        <v>4101</v>
      </c>
      <c r="Q6" s="860" t="s">
        <v>309</v>
      </c>
      <c r="R6" s="860" t="s">
        <v>250</v>
      </c>
      <c r="S6" s="860" t="s">
        <v>251</v>
      </c>
      <c r="T6" s="860" t="s">
        <v>0</v>
      </c>
      <c r="U6" s="860" t="s">
        <v>4102</v>
      </c>
      <c r="V6" s="860"/>
      <c r="W6" s="860" t="s">
        <v>252</v>
      </c>
      <c r="X6" s="869" t="s">
        <v>1</v>
      </c>
      <c r="AC6" s="2" t="s">
        <v>307</v>
      </c>
      <c r="AD6" s="2" t="s">
        <v>0</v>
      </c>
      <c r="AE6" s="2" t="s">
        <v>306</v>
      </c>
    </row>
    <row r="7" spans="1:61" x14ac:dyDescent="0.35">
      <c r="H7" s="856"/>
      <c r="I7" s="877"/>
      <c r="J7" s="878"/>
      <c r="K7" s="879"/>
      <c r="L7" s="880"/>
      <c r="M7" s="860"/>
      <c r="N7" s="860"/>
      <c r="O7" s="23" t="s">
        <v>319</v>
      </c>
      <c r="P7" s="860"/>
      <c r="Q7" s="860"/>
      <c r="R7" s="860"/>
      <c r="S7" s="860"/>
      <c r="T7" s="860"/>
      <c r="U7" s="860"/>
      <c r="V7" s="860"/>
      <c r="W7" s="860"/>
      <c r="X7" s="870"/>
      <c r="AC7" s="2" t="s">
        <v>307</v>
      </c>
      <c r="AD7" s="2" t="s">
        <v>0</v>
      </c>
      <c r="AE7" s="2" t="s">
        <v>306</v>
      </c>
    </row>
    <row r="8" spans="1:61" hidden="1" x14ac:dyDescent="0.35">
      <c r="I8" s="451"/>
      <c r="J8" s="451"/>
      <c r="K8" s="451"/>
      <c r="L8" s="588"/>
      <c r="M8" s="22"/>
      <c r="N8" s="22"/>
      <c r="O8" s="23"/>
      <c r="P8" s="22"/>
      <c r="Q8" s="22"/>
      <c r="R8" s="22"/>
      <c r="S8" s="22"/>
      <c r="T8" s="22"/>
      <c r="U8" s="22"/>
      <c r="V8" s="22"/>
      <c r="W8" s="22"/>
      <c r="X8" s="451"/>
      <c r="AC8" s="2"/>
      <c r="AD8" s="2"/>
      <c r="AE8" s="2"/>
    </row>
    <row r="9" spans="1:61" ht="18.5" x14ac:dyDescent="0.45">
      <c r="A9" s="12" t="s">
        <v>247</v>
      </c>
      <c r="B9" s="12" t="s">
        <v>247</v>
      </c>
      <c r="C9" s="12" t="s">
        <v>247</v>
      </c>
      <c r="D9" s="12" t="s">
        <v>247</v>
      </c>
      <c r="E9" s="12" t="s">
        <v>247</v>
      </c>
      <c r="F9" s="12" t="s">
        <v>247</v>
      </c>
      <c r="G9" s="12" t="s">
        <v>247</v>
      </c>
      <c r="H9" s="455"/>
      <c r="I9" s="14" t="s">
        <v>6087</v>
      </c>
      <c r="J9" s="14"/>
      <c r="K9" s="14"/>
      <c r="L9" s="584"/>
      <c r="M9" s="16"/>
      <c r="N9" t="s">
        <v>247</v>
      </c>
      <c r="O9" s="16"/>
      <c r="P9" t="s">
        <v>247</v>
      </c>
      <c r="Q9" t="s">
        <v>247</v>
      </c>
      <c r="R9" t="s">
        <v>247</v>
      </c>
      <c r="S9" t="s">
        <v>247</v>
      </c>
      <c r="T9" t="s">
        <v>247</v>
      </c>
      <c r="U9" t="s">
        <v>247</v>
      </c>
      <c r="V9" t="s">
        <v>247</v>
      </c>
      <c r="W9" s="15"/>
      <c r="X9" s="15"/>
      <c r="Y9" s="21" t="s">
        <v>247</v>
      </c>
      <c r="Z9" s="21" t="s">
        <v>247</v>
      </c>
      <c r="AA9" s="21" t="s">
        <v>247</v>
      </c>
      <c r="AB9" s="21" t="s">
        <v>247</v>
      </c>
      <c r="AC9" s="21" t="s">
        <v>247</v>
      </c>
      <c r="AD9" s="21" t="s">
        <v>247</v>
      </c>
      <c r="AE9" s="21" t="s">
        <v>247</v>
      </c>
      <c r="AF9" s="21" t="s">
        <v>247</v>
      </c>
      <c r="AG9" s="21" t="s">
        <v>247</v>
      </c>
      <c r="AH9" s="21" t="s">
        <v>247</v>
      </c>
      <c r="AI9" s="21" t="s">
        <v>247</v>
      </c>
      <c r="AJ9" s="21" t="s">
        <v>247</v>
      </c>
      <c r="AK9" s="21" t="s">
        <v>247</v>
      </c>
      <c r="AL9" s="21" t="s">
        <v>247</v>
      </c>
      <c r="AM9" s="21" t="s">
        <v>247</v>
      </c>
      <c r="AN9" s="21" t="s">
        <v>247</v>
      </c>
      <c r="AO9" s="21" t="s">
        <v>247</v>
      </c>
      <c r="AP9" s="21" t="s">
        <v>247</v>
      </c>
      <c r="AQ9" s="21" t="s">
        <v>247</v>
      </c>
      <c r="AR9" s="21" t="s">
        <v>247</v>
      </c>
      <c r="AS9" s="21" t="s">
        <v>247</v>
      </c>
      <c r="AT9" s="21" t="s">
        <v>247</v>
      </c>
      <c r="AU9" s="21" t="s">
        <v>247</v>
      </c>
      <c r="AV9" s="21" t="s">
        <v>247</v>
      </c>
      <c r="AW9" s="21" t="s">
        <v>247</v>
      </c>
      <c r="AX9" s="21" t="s">
        <v>247</v>
      </c>
      <c r="AY9" s="21" t="s">
        <v>247</v>
      </c>
      <c r="AZ9" s="21" t="s">
        <v>247</v>
      </c>
      <c r="BA9" s="21" t="s">
        <v>247</v>
      </c>
      <c r="BB9" s="21" t="s">
        <v>247</v>
      </c>
      <c r="BC9" s="21" t="s">
        <v>247</v>
      </c>
      <c r="BD9" s="21" t="s">
        <v>247</v>
      </c>
      <c r="BE9" s="21" t="s">
        <v>247</v>
      </c>
      <c r="BF9" s="21" t="s">
        <v>247</v>
      </c>
      <c r="BG9" s="21" t="s">
        <v>247</v>
      </c>
      <c r="BH9" s="21" t="s">
        <v>247</v>
      </c>
      <c r="BI9" s="21" t="s">
        <v>247</v>
      </c>
    </row>
    <row r="10" spans="1:61" x14ac:dyDescent="0.35">
      <c r="B10" s="13" t="s">
        <v>4577</v>
      </c>
      <c r="C10" s="13"/>
      <c r="D10" s="13"/>
      <c r="E10" s="13"/>
      <c r="F10" s="13"/>
      <c r="G10" s="13"/>
      <c r="H10" s="455"/>
      <c r="I10" s="47" t="s">
        <v>254</v>
      </c>
      <c r="J10" s="47"/>
      <c r="K10" s="47"/>
      <c r="L10" s="838" t="s">
        <v>4114</v>
      </c>
      <c r="M10" s="301"/>
      <c r="R10" t="b">
        <v>0</v>
      </c>
      <c r="S10" t="b">
        <v>1</v>
      </c>
      <c r="T10" t="b">
        <v>0</v>
      </c>
      <c r="AM10" s="12"/>
      <c r="AO10" s="12"/>
    </row>
    <row r="11" spans="1:61" x14ac:dyDescent="0.35">
      <c r="B11" s="13" t="s">
        <v>4577</v>
      </c>
      <c r="C11" s="13"/>
      <c r="D11" s="13"/>
      <c r="E11" s="13"/>
      <c r="F11" s="13"/>
      <c r="G11" s="13"/>
      <c r="H11" s="455"/>
      <c r="I11" s="47"/>
      <c r="J11" s="47"/>
      <c r="K11" s="47"/>
      <c r="L11" s="838"/>
      <c r="M11" s="301"/>
      <c r="AX11" s="6" t="str">
        <f>'Overview (Design)'!A10</f>
        <v>Builder Name:</v>
      </c>
      <c r="AY11" t="str">
        <f>'Overview (Design)'!G10</f>
        <v>ABC Builder</v>
      </c>
    </row>
    <row r="12" spans="1:61" x14ac:dyDescent="0.35">
      <c r="B12" s="13" t="s">
        <v>4577</v>
      </c>
      <c r="C12" s="13"/>
      <c r="D12" s="13"/>
      <c r="E12" s="13"/>
      <c r="F12" s="13"/>
      <c r="G12" s="13"/>
      <c r="H12" s="455"/>
      <c r="I12" s="47"/>
      <c r="J12" s="47"/>
      <c r="K12" s="47"/>
      <c r="L12" s="838"/>
      <c r="M12" s="301"/>
      <c r="AX12" s="6" t="str">
        <f>'Overview (Design)'!A11</f>
        <v>Physical Address of Home:</v>
      </c>
      <c r="AY12" t="str">
        <f>'Overview (Design)'!G11</f>
        <v>123 Example Drive</v>
      </c>
    </row>
    <row r="13" spans="1:61" ht="18.5" x14ac:dyDescent="0.45">
      <c r="B13" s="13" t="s">
        <v>255</v>
      </c>
      <c r="C13" s="13"/>
      <c r="D13" s="13"/>
      <c r="E13" s="13"/>
      <c r="F13" s="13"/>
      <c r="G13" s="13"/>
      <c r="H13" s="455"/>
      <c r="I13" s="48" t="s">
        <v>736</v>
      </c>
      <c r="J13" s="48"/>
      <c r="K13" s="48"/>
      <c r="L13" s="44"/>
      <c r="M13" s="302"/>
      <c r="N13" s="15"/>
      <c r="O13" s="34"/>
      <c r="P13" s="15"/>
      <c r="Q13" s="15"/>
      <c r="R13" s="15"/>
      <c r="S13" s="15"/>
      <c r="T13" s="15"/>
      <c r="U13" s="15"/>
      <c r="V13" s="15"/>
      <c r="W13" s="15"/>
      <c r="X13" s="15"/>
      <c r="AX13" s="6" t="str">
        <f>'Overview (Design)'!A12</f>
        <v>Community/Lot #:</v>
      </c>
      <c r="AY13" t="str">
        <f>'Overview (Design)'!G12</f>
        <v>Lot 1A</v>
      </c>
    </row>
    <row r="14" spans="1:61" x14ac:dyDescent="0.35">
      <c r="B14" s="13" t="s">
        <v>255</v>
      </c>
      <c r="C14" s="13"/>
      <c r="D14" s="13"/>
      <c r="E14" s="13"/>
      <c r="F14" s="13"/>
      <c r="G14" s="13"/>
      <c r="H14" s="455"/>
      <c r="I14" s="47" t="s">
        <v>255</v>
      </c>
      <c r="J14" s="47"/>
      <c r="K14" s="47"/>
      <c r="L14" s="578" t="s">
        <v>4896</v>
      </c>
      <c r="N14" s="51"/>
      <c r="O14" s="305">
        <f>MAX(M15*S15*W15,M17*S17*W17+M18*S18*W18+M19*S19*W19)</f>
        <v>10</v>
      </c>
      <c r="P14" s="51"/>
      <c r="Q14" s="51"/>
      <c r="R14" t="b">
        <v>0</v>
      </c>
      <c r="S14" t="b">
        <v>1</v>
      </c>
      <c r="T14" t="b">
        <v>0</v>
      </c>
      <c r="W14" t="s">
        <v>263</v>
      </c>
      <c r="X14" s="817"/>
      <c r="AL14" t="str">
        <f>SUBSTITUTE(SUBSTITUTE(SUBSTITUTE("dpa"&amp;$B14&amp;$C14&amp;$D14&amp;$E14,".","_"),"(","_"),")","")</f>
        <v>dpa501_1</v>
      </c>
      <c r="AM14">
        <f>M15</f>
        <v>15</v>
      </c>
      <c r="AN14" t="str">
        <f>SUBSTITUTE(SUBSTITUTE(SUBSTITUTE("dpc"&amp;$B14&amp;$C14&amp;$D14&amp;$E14,".","_"),"(","_"),")","")</f>
        <v>dpc501_1</v>
      </c>
      <c r="AO14">
        <f>O14</f>
        <v>10</v>
      </c>
      <c r="AR14" t="str">
        <f>SUBSTITUTE(SUBSTITUTE(SUBSTITUTE("dnt"&amp;$B14&amp;$C14&amp;$D14&amp;$E14,".","_"),"(","_"),")","")</f>
        <v>dnt501_1</v>
      </c>
      <c r="AS14" t="str">
        <f>IF(LEN(X14)=0,"",X14)</f>
        <v/>
      </c>
      <c r="AX14" s="6" t="str">
        <f>'Overview (Design)'!A13</f>
        <v>City:</v>
      </c>
      <c r="AY14" t="str">
        <f>'Overview (Design)'!G13</f>
        <v>Durham</v>
      </c>
    </row>
    <row r="15" spans="1:61" x14ac:dyDescent="0.35">
      <c r="B15" s="13" t="s">
        <v>255</v>
      </c>
      <c r="C15" s="13" t="s">
        <v>256</v>
      </c>
      <c r="D15" s="13"/>
      <c r="E15" s="13"/>
      <c r="F15" s="13"/>
      <c r="G15" s="13"/>
      <c r="H15" s="455"/>
      <c r="I15" s="47"/>
      <c r="J15" s="100" t="s">
        <v>256</v>
      </c>
      <c r="K15" s="100"/>
      <c r="L15" s="579" t="s">
        <v>4897</v>
      </c>
      <c r="M15" s="303">
        <v>15</v>
      </c>
      <c r="N15" s="51"/>
      <c r="P15" s="51" t="b">
        <v>1</v>
      </c>
      <c r="Q15" s="51" t="b">
        <v>1</v>
      </c>
      <c r="R15" t="b">
        <v>0</v>
      </c>
      <c r="S15" t="b">
        <v>1</v>
      </c>
      <c r="T15" t="b">
        <v>0</v>
      </c>
      <c r="W15" s="17"/>
      <c r="X15" s="817"/>
      <c r="AP15" t="str">
        <f>SUBSTITUTE(SUBSTITUTE(SUBSTITUTE("dch"&amp;$B15&amp;$C15&amp;$D15&amp;$E15,".","_"),"(","_"),")","")</f>
        <v>dch501_1_1</v>
      </c>
      <c r="AQ15" t="str">
        <f>IF(LEN(W15)=0,"",W15)</f>
        <v/>
      </c>
      <c r="AX15" s="6" t="str">
        <f>'Overview (Design)'!A14</f>
        <v>State:</v>
      </c>
      <c r="AY15" t="str">
        <f>'Overview (Design)'!G14</f>
        <v>North Carolina</v>
      </c>
      <c r="BC15" t="str">
        <f>'Overview (Design)'!K14</f>
        <v>State</v>
      </c>
      <c r="BD15" t="str">
        <f>'Overview (Design)'!L14</f>
        <v>County</v>
      </c>
      <c r="BE15" t="str">
        <f>'Overview (Design)'!M14</f>
        <v>Radon</v>
      </c>
      <c r="BF15" t="str">
        <f>'Overview (Design)'!N14</f>
        <v>Climate</v>
      </c>
      <c r="BG15" t="str">
        <f>'Overview (Design)'!O14</f>
        <v>Moist</v>
      </c>
      <c r="BH15" t="str">
        <f>'Overview (Design)'!P14</f>
        <v>WarmHumid</v>
      </c>
      <c r="BI15" t="str">
        <f>'Overview (Design)'!Q14</f>
        <v>Tropical</v>
      </c>
    </row>
    <row r="16" spans="1:61" x14ac:dyDescent="0.35">
      <c r="B16" s="13" t="s">
        <v>255</v>
      </c>
      <c r="C16" s="13" t="s">
        <v>258</v>
      </c>
      <c r="D16" s="13"/>
      <c r="E16" s="13"/>
      <c r="F16" s="13"/>
      <c r="G16" s="13"/>
      <c r="H16" s="455"/>
      <c r="I16" s="47"/>
      <c r="J16" s="468" t="s">
        <v>258</v>
      </c>
      <c r="K16" s="47"/>
      <c r="L16" s="175" t="s">
        <v>4898</v>
      </c>
      <c r="M16" s="463"/>
      <c r="N16" s="51"/>
      <c r="O16" s="305"/>
      <c r="P16" s="51"/>
      <c r="Q16" s="51"/>
      <c r="X16" s="817"/>
      <c r="AX16" s="6" t="str">
        <f>'Overview (Design)'!A15</f>
        <v>County:</v>
      </c>
      <c r="AY16" t="str">
        <f>'Overview (Design)'!G15</f>
        <v xml:space="preserve">Chatham  </v>
      </c>
      <c r="BC16" t="str">
        <f>'Overview (Design)'!K15</f>
        <v>North Carolina</v>
      </c>
      <c r="BD16" t="str">
        <f>'Overview (Design)'!L15</f>
        <v xml:space="preserve">Chatham  </v>
      </c>
      <c r="BE16">
        <f>'Overview (Design)'!M15</f>
        <v>3</v>
      </c>
      <c r="BF16">
        <f>'Overview (Design)'!N15</f>
        <v>4</v>
      </c>
      <c r="BG16" t="str">
        <f>'Overview (Design)'!O15</f>
        <v>Moist</v>
      </c>
      <c r="BH16" t="str">
        <f>'Overview (Design)'!P15</f>
        <v xml:space="preserve"> </v>
      </c>
      <c r="BI16" t="str">
        <f>'Overview (Design)'!Q15</f>
        <v xml:space="preserve"> </v>
      </c>
    </row>
    <row r="17" spans="2:51" x14ac:dyDescent="0.35">
      <c r="B17" s="13" t="s">
        <v>255</v>
      </c>
      <c r="C17" s="13" t="s">
        <v>258</v>
      </c>
      <c r="D17" s="13" t="s">
        <v>121</v>
      </c>
      <c r="E17" s="13"/>
      <c r="F17" s="13"/>
      <c r="G17" s="13"/>
      <c r="H17" s="455"/>
      <c r="I17" s="47"/>
      <c r="K17" s="100" t="s">
        <v>121</v>
      </c>
      <c r="L17" s="228" t="s">
        <v>257</v>
      </c>
      <c r="M17" s="303">
        <v>10</v>
      </c>
      <c r="N17" s="51"/>
      <c r="O17" s="305"/>
      <c r="P17" s="51" t="b">
        <v>1</v>
      </c>
      <c r="Q17" s="51" t="b">
        <v>1</v>
      </c>
      <c r="R17" t="b">
        <v>0</v>
      </c>
      <c r="S17" t="b">
        <v>1</v>
      </c>
      <c r="T17" t="b">
        <v>0</v>
      </c>
      <c r="W17" s="17" t="b">
        <v>1</v>
      </c>
      <c r="X17" s="817"/>
      <c r="AL17" t="str">
        <f>SUBSTITUTE(SUBSTITUTE(SUBSTITUTE("dpa"&amp;$B17&amp;$C17&amp;$D17&amp;$E17,".","_"),"(","_"),")","")</f>
        <v>dpa501_1_2_a</v>
      </c>
      <c r="AM17">
        <f>M17</f>
        <v>10</v>
      </c>
      <c r="AP17" t="str">
        <f>SUBSTITUTE(SUBSTITUTE(SUBSTITUTE("dch"&amp;$B17&amp;$C17&amp;$D17&amp;$E17,".","_"),"(","_"),")","")</f>
        <v>dch501_1_2_a</v>
      </c>
      <c r="AQ17" t="b">
        <f>IF(LEN(W17)=0,"",W17)</f>
        <v>1</v>
      </c>
      <c r="AX17" s="6" t="str">
        <f>'Overview (Design)'!A16</f>
        <v>Zip:</v>
      </c>
      <c r="AY17" t="str">
        <f>'Overview (Design)'!G16</f>
        <v>27703</v>
      </c>
    </row>
    <row r="18" spans="2:51" x14ac:dyDescent="0.35">
      <c r="B18" s="13" t="s">
        <v>255</v>
      </c>
      <c r="C18" s="13" t="s">
        <v>258</v>
      </c>
      <c r="D18" s="13" t="s">
        <v>122</v>
      </c>
      <c r="E18" s="13"/>
      <c r="F18" s="13"/>
      <c r="G18" s="13"/>
      <c r="H18" s="455"/>
      <c r="I18" s="47"/>
      <c r="K18" s="135" t="s">
        <v>122</v>
      </c>
      <c r="L18" s="228" t="s">
        <v>259</v>
      </c>
      <c r="M18" s="303">
        <v>10</v>
      </c>
      <c r="N18" s="51"/>
      <c r="O18" s="305"/>
      <c r="P18" s="51" t="b">
        <v>1</v>
      </c>
      <c r="Q18" s="51" t="b">
        <v>1</v>
      </c>
      <c r="R18" t="b">
        <v>0</v>
      </c>
      <c r="S18" t="b">
        <f>W19&lt;&gt;TRUE</f>
        <v>1</v>
      </c>
      <c r="T18" t="b">
        <f>AND(NOT(S18),W18=TRUE)</f>
        <v>0</v>
      </c>
      <c r="W18" s="17"/>
      <c r="X18" s="817"/>
      <c r="AC18" t="b">
        <f>OR(AD18:AE18)</f>
        <v>0</v>
      </c>
      <c r="AD18" t="b">
        <f>T18</f>
        <v>0</v>
      </c>
      <c r="AL18" t="str">
        <f>SUBSTITUTE(SUBSTITUTE(SUBSTITUTE("dpa"&amp;$B18&amp;$C18&amp;$D18&amp;$E18,".","_"),"(","_"),")","")</f>
        <v>dpa501_1_2_b</v>
      </c>
      <c r="AM18">
        <f>M18</f>
        <v>10</v>
      </c>
      <c r="AP18" t="str">
        <f>SUBSTITUTE(SUBSTITUTE(SUBSTITUTE("dch"&amp;$B18&amp;$C18&amp;$D18&amp;$E18,".","_"),"(","_"),")","")</f>
        <v>dch501_1_2_b</v>
      </c>
      <c r="AQ18" t="str">
        <f>IF(LEN(W18)=0,"",W18)</f>
        <v/>
      </c>
      <c r="AX18" s="6"/>
    </row>
    <row r="19" spans="2:51" ht="15" thickBot="1" x14ac:dyDescent="0.4">
      <c r="B19" s="13" t="s">
        <v>255</v>
      </c>
      <c r="C19" s="13" t="s">
        <v>258</v>
      </c>
      <c r="D19" s="18" t="s">
        <v>123</v>
      </c>
      <c r="E19" s="13"/>
      <c r="F19" s="13"/>
      <c r="G19" s="13"/>
      <c r="H19" s="455"/>
      <c r="I19" s="52"/>
      <c r="J19" s="55"/>
      <c r="K19" s="63" t="s">
        <v>123</v>
      </c>
      <c r="L19" s="229" t="s">
        <v>261</v>
      </c>
      <c r="M19" s="304">
        <v>15</v>
      </c>
      <c r="N19" s="54"/>
      <c r="O19" s="306"/>
      <c r="P19" s="51" t="b">
        <v>1</v>
      </c>
      <c r="Q19" s="51" t="b">
        <v>1</v>
      </c>
      <c r="R19" s="55" t="b">
        <v>0</v>
      </c>
      <c r="S19" s="55" t="b">
        <f>W18&lt;&gt;TRUE</f>
        <v>1</v>
      </c>
      <c r="T19" t="b">
        <f>AND(NOT(S19),W19=TRUE)</f>
        <v>0</v>
      </c>
      <c r="U19" s="55"/>
      <c r="V19" s="55"/>
      <c r="W19" s="111"/>
      <c r="X19" s="829"/>
      <c r="AC19" t="b">
        <f>OR(AD19:AE19)</f>
        <v>0</v>
      </c>
      <c r="AD19" t="b">
        <f>T19</f>
        <v>0</v>
      </c>
      <c r="AL19" t="str">
        <f>SUBSTITUTE(SUBSTITUTE(SUBSTITUTE("dpa"&amp;$B19&amp;$C19&amp;$D19&amp;$E19,".","_"),"(","_"),")","")</f>
        <v>dpa501_1_2_c</v>
      </c>
      <c r="AM19">
        <f>M19</f>
        <v>15</v>
      </c>
      <c r="AP19" t="str">
        <f>SUBSTITUTE(SUBSTITUTE(SUBSTITUTE("dch"&amp;$B19&amp;$C19&amp;$D19&amp;$E19,".","_"),"(","_"),")","")</f>
        <v>dch501_1_2_c</v>
      </c>
      <c r="AQ19" t="str">
        <f>IF(LEN(W19)=0,"",W19)</f>
        <v/>
      </c>
      <c r="AX19" s="6" t="str">
        <f>'Overview (Design)'!A18</f>
        <v>Single-Family or Multifamily:</v>
      </c>
      <c r="AY19" t="str">
        <f>'Overview (Design)'!G18</f>
        <v>Single-Family</v>
      </c>
    </row>
    <row r="20" spans="2:51" ht="15" thickTop="1" x14ac:dyDescent="0.35">
      <c r="B20" s="13" t="s">
        <v>264</v>
      </c>
      <c r="C20" s="13"/>
      <c r="D20" s="13"/>
      <c r="E20" s="13"/>
      <c r="F20" s="13"/>
      <c r="G20" s="13"/>
      <c r="H20" s="455"/>
      <c r="I20" s="47" t="s">
        <v>264</v>
      </c>
      <c r="J20" s="47"/>
      <c r="K20" s="47"/>
      <c r="L20" s="838" t="s">
        <v>265</v>
      </c>
      <c r="M20" s="862"/>
      <c r="N20" s="24"/>
      <c r="O20" s="832"/>
      <c r="W20" s="110"/>
      <c r="X20" s="816"/>
      <c r="AR20" t="str">
        <f>SUBSTITUTE(SUBSTITUTE(SUBSTITUTE("dnt"&amp;$B20&amp;$C20&amp;$D20&amp;$E20,".","_"),"(","_"),")","")</f>
        <v>dnt501_2</v>
      </c>
      <c r="AS20" t="str">
        <f>IF(LEN(X20)=0,"",X20)</f>
        <v/>
      </c>
      <c r="AX20" s="6" t="str">
        <f>'Overview (Design)'!A19</f>
        <v>Number of Units:</v>
      </c>
      <c r="AY20">
        <f>'Overview (Design)'!G19</f>
        <v>0</v>
      </c>
    </row>
    <row r="21" spans="2:51" x14ac:dyDescent="0.35">
      <c r="B21" s="13" t="s">
        <v>264</v>
      </c>
      <c r="C21" s="13"/>
      <c r="D21" s="13"/>
      <c r="E21" s="13"/>
      <c r="F21" s="13"/>
      <c r="G21" s="13"/>
      <c r="H21" s="455"/>
      <c r="I21" s="47"/>
      <c r="J21" s="47"/>
      <c r="K21" s="47"/>
      <c r="L21" s="838"/>
      <c r="M21" s="862"/>
      <c r="N21" s="24"/>
      <c r="O21" s="832"/>
      <c r="X21" s="817"/>
      <c r="AX21" s="6" t="str">
        <f>'Overview (Design)'!A20</f>
        <v>Building includes commercial space pursuing Commercial Space certification?</v>
      </c>
      <c r="AY21">
        <f>'Overview (Design)'!G20</f>
        <v>0</v>
      </c>
    </row>
    <row r="22" spans="2:51" x14ac:dyDescent="0.35">
      <c r="B22" s="13" t="s">
        <v>264</v>
      </c>
      <c r="C22" s="13" t="s">
        <v>256</v>
      </c>
      <c r="D22" s="13"/>
      <c r="E22" s="13"/>
      <c r="F22" s="13"/>
      <c r="G22" s="13"/>
      <c r="H22" s="455"/>
      <c r="I22" s="47"/>
      <c r="J22" s="47" t="s">
        <v>256</v>
      </c>
      <c r="K22" s="47"/>
      <c r="L22" s="848" t="s">
        <v>266</v>
      </c>
      <c r="M22" s="845">
        <v>6</v>
      </c>
      <c r="N22" s="51"/>
      <c r="O22" s="858">
        <f>M22*W22</f>
        <v>0</v>
      </c>
      <c r="P22" s="51" t="b">
        <v>1</v>
      </c>
      <c r="Q22" s="51" t="b">
        <v>1</v>
      </c>
      <c r="R22" t="b">
        <v>0</v>
      </c>
      <c r="S22" t="b">
        <v>1</v>
      </c>
      <c r="T22" t="b">
        <v>0</v>
      </c>
      <c r="W22" s="17"/>
      <c r="X22" s="817"/>
      <c r="AL22" t="str">
        <f>SUBSTITUTE(SUBSTITUTE(SUBSTITUTE("dpa"&amp;$B22&amp;$C22&amp;$D22&amp;$E22,".","_"),"(","_"),")","")</f>
        <v>dpa501_2_1</v>
      </c>
      <c r="AM22">
        <f>M22</f>
        <v>6</v>
      </c>
      <c r="AN22" t="str">
        <f>SUBSTITUTE(SUBSTITUTE(SUBSTITUTE("dpc"&amp;$B22&amp;$C22&amp;$D22&amp;$E22,".","_"),"(","_"),")","")</f>
        <v>dpc501_2_1</v>
      </c>
      <c r="AO22">
        <f>O22</f>
        <v>0</v>
      </c>
      <c r="AP22" t="str">
        <f>SUBSTITUTE(SUBSTITUTE(SUBSTITUTE("dch"&amp;$B22&amp;$C22&amp;$D22&amp;$E22,".","_"),"(","_"),")","")</f>
        <v>dch501_2_1</v>
      </c>
      <c r="AQ22" t="str">
        <f>IF(LEN(W22)=0,"",W22)</f>
        <v/>
      </c>
      <c r="AR22" t="str">
        <f>SUBSTITUTE(SUBSTITUTE(SUBSTITUTE("dnt"&amp;$B22&amp;$C22&amp;$D22&amp;$E22,".","_"),"(","_"),")","")</f>
        <v>dnt501_2_1</v>
      </c>
      <c r="AS22" t="str">
        <f>IF(LEN(X22)=0,"",X22)</f>
        <v/>
      </c>
    </row>
    <row r="23" spans="2:51" x14ac:dyDescent="0.35">
      <c r="B23" s="13" t="s">
        <v>264</v>
      </c>
      <c r="C23" s="13" t="s">
        <v>256</v>
      </c>
      <c r="D23" s="13"/>
      <c r="E23" s="13"/>
      <c r="F23" s="13"/>
      <c r="G23" s="13"/>
      <c r="H23" s="455"/>
      <c r="I23" s="47"/>
      <c r="J23" s="100"/>
      <c r="K23" s="100"/>
      <c r="L23" s="821"/>
      <c r="M23" s="846"/>
      <c r="N23" s="102"/>
      <c r="O23" s="859"/>
      <c r="P23" s="24"/>
      <c r="Q23" s="24"/>
      <c r="X23" s="817"/>
    </row>
    <row r="24" spans="2:51" x14ac:dyDescent="0.35">
      <c r="B24" s="13" t="s">
        <v>264</v>
      </c>
      <c r="C24" s="13" t="s">
        <v>258</v>
      </c>
      <c r="D24" s="13"/>
      <c r="E24" s="13"/>
      <c r="F24" s="13"/>
      <c r="G24" s="13"/>
      <c r="H24" s="455"/>
      <c r="I24" s="47"/>
      <c r="J24" s="47" t="s">
        <v>258</v>
      </c>
      <c r="K24" s="47"/>
      <c r="L24" s="814" t="s">
        <v>267</v>
      </c>
      <c r="M24" s="845">
        <v>3</v>
      </c>
      <c r="N24" s="51"/>
      <c r="O24" s="858">
        <f>M24*W24</f>
        <v>0</v>
      </c>
      <c r="P24" s="51" t="b">
        <v>1</v>
      </c>
      <c r="Q24" s="51" t="b">
        <v>1</v>
      </c>
      <c r="R24" t="b">
        <v>0</v>
      </c>
      <c r="S24" t="b">
        <v>1</v>
      </c>
      <c r="T24" t="b">
        <v>0</v>
      </c>
      <c r="W24" s="17"/>
      <c r="X24" s="817"/>
      <c r="AL24" t="str">
        <f>SUBSTITUTE(SUBSTITUTE(SUBSTITUTE("dpa"&amp;$B24&amp;$C24&amp;$D24&amp;$E24,".","_"),"(","_"),")","")</f>
        <v>dpa501_2_2</v>
      </c>
      <c r="AM24">
        <f>M24</f>
        <v>3</v>
      </c>
      <c r="AN24" t="str">
        <f>SUBSTITUTE(SUBSTITUTE(SUBSTITUTE("dpc"&amp;$B24&amp;$C24&amp;$D24&amp;$E24,".","_"),"(","_"),")","")</f>
        <v>dpc501_2_2</v>
      </c>
      <c r="AO24">
        <f>O24</f>
        <v>0</v>
      </c>
      <c r="AP24" t="str">
        <f>SUBSTITUTE(SUBSTITUTE(SUBSTITUTE("dch"&amp;$B24&amp;$C24&amp;$D24&amp;$E24,".","_"),"(","_"),")","")</f>
        <v>dch501_2_2</v>
      </c>
      <c r="AQ24" t="str">
        <f>IF(LEN(W24)=0,"",W24)</f>
        <v/>
      </c>
      <c r="AR24" t="str">
        <f>SUBSTITUTE(SUBSTITUTE(SUBSTITUTE("dnt"&amp;$B24&amp;$C24&amp;$D24&amp;$E24,".","_"),"(","_"),")","")</f>
        <v>dnt501_2_2</v>
      </c>
      <c r="AS24" t="str">
        <f>IF(LEN(X24)=0,"",X24)</f>
        <v/>
      </c>
      <c r="AX24" s="6" t="str">
        <f>'Overview (Design)'!A23</f>
        <v>Project Name:</v>
      </c>
      <c r="AY24">
        <f>'Overview (Design)'!G23</f>
        <v>0</v>
      </c>
    </row>
    <row r="25" spans="2:51" x14ac:dyDescent="0.35">
      <c r="B25" s="13" t="s">
        <v>264</v>
      </c>
      <c r="C25" s="13" t="s">
        <v>258</v>
      </c>
      <c r="D25" s="13"/>
      <c r="E25" s="13"/>
      <c r="F25" s="13"/>
      <c r="G25" s="13"/>
      <c r="H25" s="455"/>
      <c r="I25" s="47"/>
      <c r="J25" s="100"/>
      <c r="K25" s="100"/>
      <c r="L25" s="815"/>
      <c r="M25" s="846"/>
      <c r="N25" s="102"/>
      <c r="O25" s="859"/>
      <c r="P25" s="24"/>
      <c r="Q25" s="24"/>
      <c r="X25" s="817"/>
      <c r="AX25" s="6"/>
    </row>
    <row r="26" spans="2:51" x14ac:dyDescent="0.35">
      <c r="B26" s="13" t="s">
        <v>264</v>
      </c>
      <c r="C26" s="13" t="s">
        <v>260</v>
      </c>
      <c r="D26" s="13"/>
      <c r="E26" s="13"/>
      <c r="F26" s="13"/>
      <c r="G26" s="13"/>
      <c r="H26" s="455"/>
      <c r="I26" s="47"/>
      <c r="J26" s="47" t="s">
        <v>260</v>
      </c>
      <c r="K26" s="47"/>
      <c r="L26" s="848" t="s">
        <v>268</v>
      </c>
      <c r="M26" s="845">
        <v>5</v>
      </c>
      <c r="N26" s="51"/>
      <c r="O26" s="858">
        <f>M26*W26</f>
        <v>0</v>
      </c>
      <c r="P26" s="51" t="b">
        <v>1</v>
      </c>
      <c r="Q26" s="51" t="b">
        <v>1</v>
      </c>
      <c r="R26" t="b">
        <v>0</v>
      </c>
      <c r="S26" t="b">
        <v>1</v>
      </c>
      <c r="T26" t="b">
        <v>0</v>
      </c>
      <c r="W26" s="17"/>
      <c r="X26" s="817"/>
      <c r="AL26" t="str">
        <f>SUBSTITUTE(SUBSTITUTE(SUBSTITUTE("dpa"&amp;$B26&amp;$C26&amp;$D26&amp;$E26,".","_"),"(","_"),")","")</f>
        <v>dpa501_2_3</v>
      </c>
      <c r="AM26">
        <f>M26</f>
        <v>5</v>
      </c>
      <c r="AN26" t="str">
        <f>SUBSTITUTE(SUBSTITUTE(SUBSTITUTE("dpc"&amp;$B26&amp;$C26&amp;$D26&amp;$E26,".","_"),"(","_"),")","")</f>
        <v>dpc501_2_3</v>
      </c>
      <c r="AO26">
        <f>O26</f>
        <v>0</v>
      </c>
      <c r="AP26" t="str">
        <f>SUBSTITUTE(SUBSTITUTE(SUBSTITUTE("dch"&amp;$B26&amp;$C26&amp;$D26&amp;$E26,".","_"),"(","_"),")","")</f>
        <v>dch501_2_3</v>
      </c>
      <c r="AQ26" t="str">
        <f>IF(LEN(W26)=0,"",W26)</f>
        <v/>
      </c>
      <c r="AR26" t="str">
        <f>SUBSTITUTE(SUBSTITUTE(SUBSTITUTE("dnt"&amp;$B26&amp;$C26&amp;$D26&amp;$E26,".","_"),"(","_"),")","")</f>
        <v>dnt501_2_3</v>
      </c>
      <c r="AS26" t="str">
        <f>IF(LEN(X26)=0,"",X26)</f>
        <v/>
      </c>
      <c r="AX26" s="6" t="str">
        <f>'Overview (Design)'!A25</f>
        <v>Above grade plane finished floor area:</v>
      </c>
      <c r="AY26">
        <f>'Overview (Design)'!G25</f>
        <v>2644</v>
      </c>
    </row>
    <row r="27" spans="2:51" x14ac:dyDescent="0.35">
      <c r="B27" s="13" t="s">
        <v>264</v>
      </c>
      <c r="C27" s="13" t="s">
        <v>260</v>
      </c>
      <c r="D27" s="13"/>
      <c r="E27" s="13"/>
      <c r="F27" s="13"/>
      <c r="G27" s="13"/>
      <c r="H27" s="455"/>
      <c r="I27" s="47"/>
      <c r="J27" s="100"/>
      <c r="K27" s="100"/>
      <c r="L27" s="821"/>
      <c r="M27" s="846"/>
      <c r="N27" s="102"/>
      <c r="O27" s="859"/>
      <c r="P27" s="24"/>
      <c r="Q27" s="24"/>
      <c r="X27" s="817"/>
      <c r="AX27" s="6" t="str">
        <f>'Overview (Design)'!A26</f>
        <v>Total conditioned floor area:</v>
      </c>
      <c r="AY27">
        <f>'Overview (Design)'!G26</f>
        <v>2644</v>
      </c>
    </row>
    <row r="28" spans="2:51" x14ac:dyDescent="0.35">
      <c r="B28" s="13" t="s">
        <v>264</v>
      </c>
      <c r="C28" s="13" t="s">
        <v>269</v>
      </c>
      <c r="D28" s="13"/>
      <c r="E28" s="13"/>
      <c r="F28" s="13"/>
      <c r="G28" s="13"/>
      <c r="H28" s="455"/>
      <c r="I28" s="47"/>
      <c r="J28" s="47" t="s">
        <v>269</v>
      </c>
      <c r="K28" s="47"/>
      <c r="L28" s="814" t="s">
        <v>270</v>
      </c>
      <c r="M28" s="845">
        <v>4</v>
      </c>
      <c r="N28" s="51"/>
      <c r="O28" s="858">
        <f>M28*W28*S28</f>
        <v>0</v>
      </c>
      <c r="P28" s="51" t="b">
        <v>1</v>
      </c>
      <c r="Q28" s="51" t="b">
        <v>1</v>
      </c>
      <c r="R28" t="b">
        <v>0</v>
      </c>
      <c r="S28" t="b">
        <f>LEN(W38)=0</f>
        <v>1</v>
      </c>
      <c r="T28" t="b">
        <f>AND(W28=TRUE,NOT(S28))</f>
        <v>0</v>
      </c>
      <c r="W28" s="17"/>
      <c r="X28" s="850"/>
      <c r="AC28" t="b">
        <f>OR(AD28:AE28)</f>
        <v>0</v>
      </c>
      <c r="AD28" t="b">
        <v>0</v>
      </c>
      <c r="AE28" t="b">
        <f>AND(W28=TRUE,LEN(X28)=0)</f>
        <v>0</v>
      </c>
      <c r="AL28" t="str">
        <f>SUBSTITUTE(SUBSTITUTE(SUBSTITUTE("dpa"&amp;$B28&amp;$C28&amp;$D28&amp;$E28,".","_"),"(","_"),")","")</f>
        <v>dpa501_2_4</v>
      </c>
      <c r="AM28">
        <f>M28</f>
        <v>4</v>
      </c>
      <c r="AN28" t="str">
        <f>SUBSTITUTE(SUBSTITUTE(SUBSTITUTE("dpc"&amp;$B28&amp;$C28&amp;$D28&amp;$E28,".","_"),"(","_"),")","")</f>
        <v>dpc501_2_4</v>
      </c>
      <c r="AO28">
        <f>O28</f>
        <v>0</v>
      </c>
      <c r="AP28" t="str">
        <f>SUBSTITUTE(SUBSTITUTE(SUBSTITUTE("dch"&amp;$B28&amp;$C28&amp;$D28&amp;$E28,".","_"),"(","_"),")","")</f>
        <v>dch501_2_4</v>
      </c>
      <c r="AQ28" t="str">
        <f>IF(LEN(W28)=0,"",W28)</f>
        <v/>
      </c>
      <c r="AR28" t="str">
        <f>SUBSTITUTE(SUBSTITUTE(SUBSTITUTE("dnt"&amp;$B28&amp;$C28&amp;$D28&amp;$E28,".","_"),"(","_"),")","")</f>
        <v>dnt501_2_4</v>
      </c>
      <c r="AS28" t="str">
        <f>IF(LEN(X28)=0,"",X28)</f>
        <v/>
      </c>
      <c r="AX28" s="6" t="str">
        <f>'Overview (Design)'!A27</f>
        <v>Stories above grade:</v>
      </c>
      <c r="AY28">
        <f>'Overview (Design)'!G27</f>
        <v>2</v>
      </c>
    </row>
    <row r="29" spans="2:51" x14ac:dyDescent="0.35">
      <c r="B29" s="13" t="s">
        <v>264</v>
      </c>
      <c r="C29" s="13" t="s">
        <v>269</v>
      </c>
      <c r="D29" s="13"/>
      <c r="E29" s="13"/>
      <c r="F29" s="13"/>
      <c r="G29" s="13"/>
      <c r="H29" s="455"/>
      <c r="I29" s="47"/>
      <c r="J29" s="47"/>
      <c r="K29" s="47"/>
      <c r="L29" s="814"/>
      <c r="M29" s="845"/>
      <c r="N29" s="51"/>
      <c r="O29" s="858"/>
      <c r="P29" s="24"/>
      <c r="Q29" s="24"/>
      <c r="X29" s="851"/>
      <c r="AX29" s="6" t="str">
        <f>'Overview (Design)'!A28</f>
        <v>Project Elevation (ft. above sea level):</v>
      </c>
      <c r="AY29">
        <f>'Overview (Design)'!G28</f>
        <v>0</v>
      </c>
    </row>
    <row r="30" spans="2:51" x14ac:dyDescent="0.35">
      <c r="B30" s="13" t="s">
        <v>264</v>
      </c>
      <c r="C30" s="13" t="s">
        <v>269</v>
      </c>
      <c r="D30" s="13"/>
      <c r="E30" s="13"/>
      <c r="F30" s="13"/>
      <c r="G30" s="13"/>
      <c r="H30" s="455"/>
      <c r="I30" s="47"/>
      <c r="J30" s="47"/>
      <c r="K30" s="47"/>
      <c r="L30" s="814"/>
      <c r="M30" s="845"/>
      <c r="N30" s="51"/>
      <c r="O30" s="858"/>
      <c r="P30" s="24"/>
      <c r="Q30" s="24"/>
      <c r="X30" s="851"/>
      <c r="AX30" s="6"/>
    </row>
    <row r="31" spans="2:51" x14ac:dyDescent="0.35">
      <c r="B31" s="13" t="s">
        <v>264</v>
      </c>
      <c r="C31" s="13" t="s">
        <v>269</v>
      </c>
      <c r="D31" s="13"/>
      <c r="E31" s="13"/>
      <c r="F31" s="13"/>
      <c r="G31" s="13"/>
      <c r="H31" s="455"/>
      <c r="I31" s="47"/>
      <c r="J31" s="47"/>
      <c r="K31" s="47"/>
      <c r="L31" s="814"/>
      <c r="M31" s="845"/>
      <c r="N31" s="51"/>
      <c r="O31" s="858"/>
      <c r="P31" s="24"/>
      <c r="Q31" s="24"/>
      <c r="X31" s="851"/>
      <c r="AX31" s="6" t="str">
        <f>'Overview (Design)'!A30</f>
        <v xml:space="preserve">Project Description (optional): </v>
      </c>
      <c r="AY31">
        <f>'Overview (Design)'!G30</f>
        <v>0</v>
      </c>
    </row>
    <row r="32" spans="2:51" ht="15" customHeight="1" x14ac:dyDescent="0.35">
      <c r="B32" s="13" t="s">
        <v>264</v>
      </c>
      <c r="C32" s="13" t="s">
        <v>269</v>
      </c>
      <c r="D32" s="13"/>
      <c r="E32" s="13"/>
      <c r="F32" s="13"/>
      <c r="G32" s="13"/>
      <c r="H32" s="455"/>
      <c r="I32" s="47"/>
      <c r="J32" s="47"/>
      <c r="K32" s="47"/>
      <c r="L32" s="90" t="s">
        <v>271</v>
      </c>
      <c r="M32" s="845"/>
      <c r="N32" s="51"/>
      <c r="O32" s="858"/>
      <c r="P32" s="24"/>
      <c r="Q32" s="24"/>
      <c r="X32" s="851"/>
    </row>
    <row r="33" spans="1:51" x14ac:dyDescent="0.35">
      <c r="B33" s="13" t="s">
        <v>264</v>
      </c>
      <c r="C33" s="13" t="s">
        <v>269</v>
      </c>
      <c r="D33" s="13"/>
      <c r="E33" s="13"/>
      <c r="F33" s="13"/>
      <c r="G33" s="13"/>
      <c r="H33" s="455"/>
      <c r="I33" s="47"/>
      <c r="J33" s="47"/>
      <c r="K33" s="47"/>
      <c r="L33" s="90" t="s">
        <v>272</v>
      </c>
      <c r="M33" s="845"/>
      <c r="N33" s="51"/>
      <c r="O33" s="858"/>
      <c r="P33" s="24"/>
      <c r="Q33" s="24"/>
      <c r="X33" s="851"/>
      <c r="AX33" s="6" t="str">
        <f>'Overview (Design)'!A32</f>
        <v>Foundation Type:</v>
      </c>
      <c r="AY33" t="str">
        <f>'Overview (Design)'!G32</f>
        <v>Conditioned crawlspace</v>
      </c>
    </row>
    <row r="34" spans="1:51" x14ac:dyDescent="0.35">
      <c r="B34" s="13" t="s">
        <v>264</v>
      </c>
      <c r="C34" s="13" t="s">
        <v>269</v>
      </c>
      <c r="D34" s="13"/>
      <c r="E34" s="13"/>
      <c r="F34" s="13"/>
      <c r="G34" s="13"/>
      <c r="H34" s="455"/>
      <c r="I34" s="47"/>
      <c r="J34" s="47"/>
      <c r="K34" s="47"/>
      <c r="L34" s="90" t="s">
        <v>273</v>
      </c>
      <c r="M34" s="845"/>
      <c r="N34" s="51"/>
      <c r="O34" s="858"/>
      <c r="P34" s="24"/>
      <c r="Q34" s="24"/>
      <c r="X34" s="851"/>
      <c r="AX34" s="6"/>
    </row>
    <row r="35" spans="1:51" x14ac:dyDescent="0.35">
      <c r="B35" s="13" t="s">
        <v>264</v>
      </c>
      <c r="C35" s="13" t="s">
        <v>269</v>
      </c>
      <c r="D35" s="13"/>
      <c r="E35" s="13"/>
      <c r="F35" s="13"/>
      <c r="G35" s="13"/>
      <c r="H35" s="455"/>
      <c r="I35" s="47"/>
      <c r="J35" s="47"/>
      <c r="K35" s="47"/>
      <c r="L35" s="90" t="s">
        <v>274</v>
      </c>
      <c r="M35" s="845"/>
      <c r="N35" s="51"/>
      <c r="O35" s="858"/>
      <c r="P35" s="24"/>
      <c r="Q35" s="24"/>
      <c r="X35" s="851"/>
      <c r="AX35" s="6" t="str">
        <f>'Overview (Design)'!A34</f>
        <v>Type of Heating System (main system):</v>
      </c>
      <c r="AY35" t="str">
        <f>'Overview (Design)'!G34</f>
        <v>Furnace</v>
      </c>
    </row>
    <row r="36" spans="1:51" x14ac:dyDescent="0.35">
      <c r="B36" s="13" t="s">
        <v>264</v>
      </c>
      <c r="C36" s="13" t="s">
        <v>269</v>
      </c>
      <c r="D36" s="13"/>
      <c r="E36" s="13"/>
      <c r="F36" s="13"/>
      <c r="G36" s="13"/>
      <c r="H36" s="455"/>
      <c r="I36" s="47"/>
      <c r="J36" s="47"/>
      <c r="K36" s="47"/>
      <c r="L36" s="218" t="s">
        <v>284</v>
      </c>
      <c r="M36" s="845"/>
      <c r="N36" s="51"/>
      <c r="O36" s="858"/>
      <c r="P36" s="24"/>
      <c r="Q36" s="24"/>
      <c r="X36" s="816"/>
      <c r="AX36" s="6" t="str">
        <f>'Overview (Design)'!A35</f>
        <v>Type of Heating System (system 2):</v>
      </c>
      <c r="AY36">
        <f>'Overview (Design)'!G35</f>
        <v>0</v>
      </c>
    </row>
    <row r="37" spans="1:51" x14ac:dyDescent="0.35">
      <c r="A37"/>
      <c r="B37" s="13" t="s">
        <v>264</v>
      </c>
      <c r="C37" s="13" t="s">
        <v>269</v>
      </c>
      <c r="D37"/>
      <c r="E37"/>
      <c r="F37"/>
      <c r="G37"/>
      <c r="H37"/>
      <c r="L37" s="866" t="s">
        <v>4115</v>
      </c>
      <c r="M37"/>
      <c r="O37"/>
      <c r="AX37" s="6" t="str">
        <f>'Overview (Design)'!A36</f>
        <v>Type of Heating System (system 3):</v>
      </c>
      <c r="AY37">
        <f>'Overview (Design)'!G36</f>
        <v>0</v>
      </c>
    </row>
    <row r="38" spans="1:51" x14ac:dyDescent="0.35">
      <c r="A38"/>
      <c r="B38" s="13" t="s">
        <v>264</v>
      </c>
      <c r="C38" s="13" t="s">
        <v>269</v>
      </c>
      <c r="D38" s="13" t="s">
        <v>256</v>
      </c>
      <c r="E38"/>
      <c r="F38" s="13"/>
      <c r="G38"/>
      <c r="H38"/>
      <c r="L38" s="848"/>
      <c r="M38"/>
      <c r="O38" s="861">
        <f ca="1">IFERROR(INDEX({5,2},MATCH(W38,INDIRECT(U38),0)),0)*S38</f>
        <v>0</v>
      </c>
      <c r="P38" t="b">
        <v>1</v>
      </c>
      <c r="Q38" t="b">
        <v>1</v>
      </c>
      <c r="R38" t="b">
        <v>0</v>
      </c>
      <c r="S38" t="b">
        <f>NOT(W28)</f>
        <v>1</v>
      </c>
      <c r="T38" t="b">
        <f>AND(LEN(W38)&gt;0,NOT(S38))</f>
        <v>0</v>
      </c>
      <c r="U38" t="str">
        <f>SUBSTITUTE(SUBSTITUTE(SUBSTITUTE("dd"&amp;$B38&amp;$C38&amp;$D38&amp;$E38&amp;$F38,".","_"),"(","_"),")","")</f>
        <v>dd501_2_4_1</v>
      </c>
      <c r="W38" s="9"/>
      <c r="X38" s="817"/>
      <c r="AC38" t="b">
        <f>OR(AD38:AE38)</f>
        <v>0</v>
      </c>
      <c r="AD38" t="b">
        <f>T38</f>
        <v>0</v>
      </c>
      <c r="AN38" t="str">
        <f>SUBSTITUTE(SUBSTITUTE(SUBSTITUTE("dpc"&amp;$B38&amp;$C38&amp;$D38&amp;$E38,".","_"),"(","_"),")","")</f>
        <v>dpc501_2_4_1</v>
      </c>
      <c r="AO38">
        <f ca="1">O38</f>
        <v>0</v>
      </c>
      <c r="AP38" t="str">
        <f>SUBSTITUTE(SUBSTITUTE(SUBSTITUTE("dch"&amp;$B38&amp;$C38&amp;$D38&amp;$E38,".","_"),"(","_"),")","")</f>
        <v>dch501_2_4_1</v>
      </c>
      <c r="AQ38" t="str">
        <f>IF(LEN(W38)=0,"",W38)</f>
        <v/>
      </c>
      <c r="AR38" t="str">
        <f>SUBSTITUTE(SUBSTITUTE(SUBSTITUTE("dnt"&amp;$B38&amp;$C38&amp;$D38&amp;$E38,".","_"),"(","_"),")","")</f>
        <v>dnt501_2_4_1</v>
      </c>
      <c r="AS38" t="str">
        <f>IF(LEN(X38)=0,"",X38)</f>
        <v/>
      </c>
      <c r="AX38" s="6" t="str">
        <f>'Overview (Design)'!A37</f>
        <v>Primary Heating Fuel:</v>
      </c>
      <c r="AY38">
        <f>'Overview (Design)'!G37</f>
        <v>0</v>
      </c>
    </row>
    <row r="39" spans="1:51" x14ac:dyDescent="0.35">
      <c r="A39"/>
      <c r="B39" s="13" t="s">
        <v>264</v>
      </c>
      <c r="C39" s="13" t="s">
        <v>269</v>
      </c>
      <c r="D39" s="13" t="s">
        <v>256</v>
      </c>
      <c r="E39"/>
      <c r="F39" s="13"/>
      <c r="G39"/>
      <c r="H39"/>
      <c r="L39" s="848"/>
      <c r="M39"/>
      <c r="O39" s="861"/>
      <c r="X39" s="817"/>
      <c r="AX39" s="6" t="str">
        <f>'Overview (Design)'!A38</f>
        <v>Heating Ducts:</v>
      </c>
      <c r="AY39" t="str">
        <f>'Overview (Design)'!G38</f>
        <v>Ducted</v>
      </c>
    </row>
    <row r="40" spans="1:51" x14ac:dyDescent="0.35">
      <c r="A40"/>
      <c r="B40" s="13" t="s">
        <v>264</v>
      </c>
      <c r="C40" s="13" t="s">
        <v>269</v>
      </c>
      <c r="D40" s="13" t="s">
        <v>256</v>
      </c>
      <c r="E40"/>
      <c r="F40" s="13"/>
      <c r="G40"/>
      <c r="H40"/>
      <c r="L40" s="848"/>
      <c r="M40"/>
      <c r="O40" s="861"/>
      <c r="X40" s="817"/>
      <c r="AX40" s="6" t="str">
        <f>'Overview (Design)'!A39</f>
        <v>Type of Cooling System (main system):</v>
      </c>
      <c r="AY40" t="str">
        <f>'Overview (Design)'!G39</f>
        <v>Electric Air Conditiner</v>
      </c>
    </row>
    <row r="41" spans="1:51" x14ac:dyDescent="0.35">
      <c r="A41"/>
      <c r="B41" s="13" t="s">
        <v>264</v>
      </c>
      <c r="C41" s="13" t="s">
        <v>269</v>
      </c>
      <c r="D41" s="13" t="s">
        <v>256</v>
      </c>
      <c r="E41" s="13" t="s">
        <v>121</v>
      </c>
      <c r="F41" s="13"/>
      <c r="G41" s="13"/>
      <c r="H41"/>
      <c r="K41" s="467" t="s">
        <v>121</v>
      </c>
      <c r="L41" s="577" t="s">
        <v>4116</v>
      </c>
      <c r="M41" s="272">
        <v>5</v>
      </c>
      <c r="O41"/>
      <c r="X41" s="817"/>
      <c r="AL41" t="str">
        <f>SUBSTITUTE(SUBSTITUTE(SUBSTITUTE("dpa"&amp;$B41&amp;$C41&amp;$D41&amp;$E41,".","_"),"(","_"),")","")</f>
        <v>dpa501_2_4_1_a</v>
      </c>
      <c r="AM41">
        <f>M41</f>
        <v>5</v>
      </c>
      <c r="AX41" s="6" t="str">
        <f>'Overview (Design)'!A40</f>
        <v>Type of Cooling System (system 2):</v>
      </c>
      <c r="AY41">
        <f>'Overview (Design)'!G40</f>
        <v>0</v>
      </c>
    </row>
    <row r="42" spans="1:51" x14ac:dyDescent="0.35">
      <c r="A42"/>
      <c r="B42" s="13" t="s">
        <v>264</v>
      </c>
      <c r="C42" s="13" t="s">
        <v>269</v>
      </c>
      <c r="D42" s="13" t="s">
        <v>256</v>
      </c>
      <c r="E42" s="13" t="s">
        <v>122</v>
      </c>
      <c r="F42" s="13"/>
      <c r="G42" s="13"/>
      <c r="H42"/>
      <c r="K42" s="467" t="s">
        <v>122</v>
      </c>
      <c r="L42" s="477" t="s">
        <v>4117</v>
      </c>
      <c r="M42" s="303">
        <v>2</v>
      </c>
      <c r="O42"/>
      <c r="X42" s="817"/>
      <c r="AL42" t="str">
        <f>SUBSTITUTE(SUBSTITUTE(SUBSTITUTE("dpa"&amp;$B42&amp;$C42&amp;$D42&amp;$E42,".","_"),"(","_"),")","")</f>
        <v>dpa501_2_4_1_b</v>
      </c>
      <c r="AM42">
        <f>M42</f>
        <v>2</v>
      </c>
      <c r="AX42" s="6" t="str">
        <f>'Overview (Design)'!A41</f>
        <v>Type of Cooling System (system 3):</v>
      </c>
      <c r="AY42">
        <f>'Overview (Design)'!G41</f>
        <v>0</v>
      </c>
    </row>
    <row r="43" spans="1:51" x14ac:dyDescent="0.35">
      <c r="B43" s="13" t="s">
        <v>264</v>
      </c>
      <c r="C43" s="13" t="s">
        <v>275</v>
      </c>
      <c r="D43" s="13"/>
      <c r="E43" s="13"/>
      <c r="F43" s="13"/>
      <c r="G43" s="13"/>
      <c r="H43" s="455"/>
      <c r="I43" s="47"/>
      <c r="J43" s="468" t="s">
        <v>275</v>
      </c>
      <c r="K43" s="468"/>
      <c r="L43" s="836" t="s">
        <v>276</v>
      </c>
      <c r="M43" s="844">
        <v>5</v>
      </c>
      <c r="N43" s="469"/>
      <c r="O43" s="865">
        <f>M43*W43</f>
        <v>0</v>
      </c>
      <c r="P43" s="51" t="b">
        <v>1</v>
      </c>
      <c r="Q43" s="51" t="b">
        <v>1</v>
      </c>
      <c r="R43" t="b">
        <v>0</v>
      </c>
      <c r="S43" t="b">
        <v>1</v>
      </c>
      <c r="T43" t="b">
        <v>0</v>
      </c>
      <c r="W43" s="17"/>
      <c r="X43" s="817"/>
      <c r="AL43" t="str">
        <f>SUBSTITUTE(SUBSTITUTE(SUBSTITUTE("dpa"&amp;$B43&amp;$C43&amp;$D43&amp;$E43,".","_"),"(","_"),")","")</f>
        <v>dpa501_2_5</v>
      </c>
      <c r="AM43">
        <f>M43</f>
        <v>5</v>
      </c>
      <c r="AN43" t="str">
        <f>SUBSTITUTE(SUBSTITUTE(SUBSTITUTE("dpc"&amp;$B43&amp;$C43&amp;$D43&amp;$E43,".","_"),"(","_"),")","")</f>
        <v>dpc501_2_5</v>
      </c>
      <c r="AO43">
        <f>O43</f>
        <v>0</v>
      </c>
      <c r="AP43" t="str">
        <f>SUBSTITUTE(SUBSTITUTE(SUBSTITUTE("dch"&amp;$B43&amp;$C43&amp;$D43&amp;$E43,".","_"),"(","_"),")","")</f>
        <v>dch501_2_5</v>
      </c>
      <c r="AQ43" t="str">
        <f>IF(LEN(W43)=0,"",W43)</f>
        <v/>
      </c>
      <c r="AR43" t="str">
        <f>SUBSTITUTE(SUBSTITUTE(SUBSTITUTE("dnt"&amp;$B43&amp;$C43&amp;$D43&amp;$E43,".","_"),"(","_"),")","")</f>
        <v>dnt501_2_5</v>
      </c>
      <c r="AS43" t="str">
        <f>IF(LEN(X43)=0,"",X43)</f>
        <v/>
      </c>
      <c r="AX43" s="6" t="str">
        <f>'Overview (Design)'!A42</f>
        <v>Cooling Ducts:</v>
      </c>
      <c r="AY43" t="str">
        <f>'Overview (Design)'!G42</f>
        <v>Ducted</v>
      </c>
    </row>
    <row r="44" spans="1:51" x14ac:dyDescent="0.35">
      <c r="B44" s="13" t="s">
        <v>264</v>
      </c>
      <c r="C44" s="13" t="s">
        <v>275</v>
      </c>
      <c r="D44" s="13"/>
      <c r="E44" s="13"/>
      <c r="F44" s="13"/>
      <c r="G44" s="13"/>
      <c r="H44" s="455"/>
      <c r="I44" s="47"/>
      <c r="J44" s="47"/>
      <c r="K44" s="47"/>
      <c r="L44" s="814"/>
      <c r="M44" s="845"/>
      <c r="N44" s="51"/>
      <c r="O44" s="858"/>
      <c r="P44" s="24"/>
      <c r="Q44" s="24"/>
      <c r="X44" s="817"/>
      <c r="AX44" s="6"/>
    </row>
    <row r="45" spans="1:51" x14ac:dyDescent="0.35">
      <c r="B45" s="13" t="s">
        <v>264</v>
      </c>
      <c r="C45" s="13" t="s">
        <v>275</v>
      </c>
      <c r="D45" s="13"/>
      <c r="E45" s="13"/>
      <c r="F45" s="13"/>
      <c r="G45" s="13"/>
      <c r="H45" s="455"/>
      <c r="I45" s="47"/>
      <c r="J45" s="100"/>
      <c r="K45" s="100"/>
      <c r="L45" s="815"/>
      <c r="M45" s="846"/>
      <c r="N45" s="102"/>
      <c r="O45" s="859"/>
      <c r="P45" s="24"/>
      <c r="Q45" s="24"/>
      <c r="X45" s="817"/>
      <c r="AX45" s="6" t="str">
        <f>'Overview (Design)'!A44</f>
        <v>Maximum window and door SHGC:</v>
      </c>
      <c r="AY45">
        <f>'Overview (Design)'!G44</f>
        <v>0.22</v>
      </c>
    </row>
    <row r="46" spans="1:51" x14ac:dyDescent="0.35">
      <c r="B46" s="13" t="s">
        <v>264</v>
      </c>
      <c r="C46" s="13" t="s">
        <v>277</v>
      </c>
      <c r="D46" s="13"/>
      <c r="E46" s="13"/>
      <c r="F46" s="13"/>
      <c r="G46" s="13"/>
      <c r="H46" s="455"/>
      <c r="I46" s="47"/>
      <c r="J46" s="47" t="s">
        <v>277</v>
      </c>
      <c r="K46" s="47"/>
      <c r="L46" s="814" t="s">
        <v>278</v>
      </c>
      <c r="M46" s="862"/>
      <c r="N46" s="24"/>
      <c r="O46" s="861">
        <f ca="1">IFERROR(INDEX({2,4,6},MATCH(W46,INDIRECT(U46),0)),0)*S46</f>
        <v>0</v>
      </c>
      <c r="P46" s="51" t="b">
        <v>1</v>
      </c>
      <c r="Q46" s="51" t="b">
        <v>1</v>
      </c>
      <c r="R46" t="b">
        <v>0</v>
      </c>
      <c r="S46" t="b">
        <f ca="1">IF(AY19=INDEX(INDIRECT("ddSingleOrMulti"),2),TRUE,FALSE)</f>
        <v>0</v>
      </c>
      <c r="T46" t="b">
        <f ca="1">AND(NOT(S46),LEN(W46)&gt;0)</f>
        <v>0</v>
      </c>
      <c r="U46" t="str">
        <f>SUBSTITUTE(SUBSTITUTE(SUBSTITUTE("dd"&amp;$B46&amp;$C46&amp;$D46&amp;$E46&amp;$F46,".","_"),"(","_"),")","")</f>
        <v>dd501_2_6</v>
      </c>
      <c r="W46" s="9"/>
      <c r="X46" s="817"/>
      <c r="AC46" t="b">
        <f ca="1">OR(AD46:AE46)</f>
        <v>0</v>
      </c>
      <c r="AD46" t="b">
        <f ca="1">T46</f>
        <v>0</v>
      </c>
      <c r="AN46" t="str">
        <f>SUBSTITUTE(SUBSTITUTE(SUBSTITUTE("dpc"&amp;$B46&amp;$C46&amp;$D46&amp;$E46,".","_"),"(","_"),")","")</f>
        <v>dpc501_2_6</v>
      </c>
      <c r="AO46">
        <f ca="1">O46</f>
        <v>0</v>
      </c>
      <c r="AP46" t="str">
        <f>SUBSTITUTE(SUBSTITUTE(SUBSTITUTE("dch"&amp;$B46&amp;$C46&amp;$D46&amp;$E46,".","_"),"(","_"),")","")</f>
        <v>dch501_2_6</v>
      </c>
      <c r="AQ46" t="str">
        <f>IF(LEN(W46)=0,"",W46)</f>
        <v/>
      </c>
      <c r="AR46" t="str">
        <f>SUBSTITUTE(SUBSTITUTE(SUBSTITUTE("dnt"&amp;$B46&amp;$C46&amp;$D46&amp;$E46,".","_"),"(","_"),")","")</f>
        <v>dnt501_2_6</v>
      </c>
      <c r="AS46" t="str">
        <f>IF(LEN(X46)=0,"",X46)</f>
        <v/>
      </c>
      <c r="AX46" s="6" t="str">
        <f>'Overview (Design)'!A45</f>
        <v>Maximum skylight SHGC:</v>
      </c>
      <c r="AY46">
        <f>'Overview (Design)'!G45</f>
        <v>0</v>
      </c>
    </row>
    <row r="47" spans="1:51" x14ac:dyDescent="0.35">
      <c r="B47" s="13" t="s">
        <v>264</v>
      </c>
      <c r="C47" s="13" t="s">
        <v>277</v>
      </c>
      <c r="D47" s="13"/>
      <c r="E47" s="13"/>
      <c r="F47" s="13"/>
      <c r="G47" s="13"/>
      <c r="H47" s="455"/>
      <c r="I47" s="47"/>
      <c r="J47" s="47"/>
      <c r="K47" s="47"/>
      <c r="L47" s="814"/>
      <c r="M47" s="862"/>
      <c r="N47" s="24"/>
      <c r="O47" s="861"/>
      <c r="P47" s="24"/>
      <c r="Q47" s="24"/>
      <c r="X47" s="817"/>
      <c r="AX47" s="6" t="str">
        <f>'Overview (Design)'!A46</f>
        <v>Maximum window and door U-value:</v>
      </c>
      <c r="AY47">
        <f>'Overview (Design)'!G46</f>
        <v>0.32</v>
      </c>
    </row>
    <row r="48" spans="1:51" x14ac:dyDescent="0.35">
      <c r="B48" s="13" t="s">
        <v>264</v>
      </c>
      <c r="C48" s="13" t="s">
        <v>277</v>
      </c>
      <c r="D48" s="13" t="s">
        <v>121</v>
      </c>
      <c r="E48" s="13"/>
      <c r="F48" s="13"/>
      <c r="G48" s="13"/>
      <c r="H48" s="455"/>
      <c r="I48" s="47"/>
      <c r="J48" s="47"/>
      <c r="K48" s="47" t="s">
        <v>121</v>
      </c>
      <c r="L48" s="90" t="s">
        <v>279</v>
      </c>
      <c r="M48" s="272">
        <v>2</v>
      </c>
      <c r="N48" s="24"/>
      <c r="O48" s="75"/>
      <c r="X48" s="817"/>
      <c r="AL48" t="str">
        <f>SUBSTITUTE(SUBSTITUTE(SUBSTITUTE("dpa"&amp;$B48&amp;$C48&amp;$D48&amp;$E48,".","_"),"(","_"),")","")</f>
        <v>dpa501_2_6_a</v>
      </c>
      <c r="AM48">
        <f>M48</f>
        <v>2</v>
      </c>
      <c r="AX48" s="6" t="str">
        <f>'Overview (Design)'!A47</f>
        <v>Maximum skylight U-value:</v>
      </c>
      <c r="AY48">
        <f>'Overview (Design)'!G47</f>
        <v>0</v>
      </c>
    </row>
    <row r="49" spans="1:51" x14ac:dyDescent="0.35">
      <c r="B49" s="13" t="s">
        <v>264</v>
      </c>
      <c r="C49" s="13" t="s">
        <v>277</v>
      </c>
      <c r="D49" s="13" t="s">
        <v>122</v>
      </c>
      <c r="E49" s="13"/>
      <c r="F49" s="13"/>
      <c r="G49" s="13"/>
      <c r="H49" s="455"/>
      <c r="I49" s="47"/>
      <c r="J49" s="47"/>
      <c r="K49" s="47" t="s">
        <v>122</v>
      </c>
      <c r="L49" s="90" t="s">
        <v>280</v>
      </c>
      <c r="M49" s="272">
        <v>4</v>
      </c>
      <c r="N49" s="24"/>
      <c r="O49" s="75"/>
      <c r="X49" s="817"/>
      <c r="AL49" t="str">
        <f>SUBSTITUTE(SUBSTITUTE(SUBSTITUTE("dpa"&amp;$B49&amp;$C49&amp;$D49&amp;$E49,".","_"),"(","_"),")","")</f>
        <v>dpa501_2_6_b</v>
      </c>
      <c r="AM49">
        <f>M49</f>
        <v>4</v>
      </c>
      <c r="AX49" s="6" t="str">
        <f>'Overview (Design)'!A48</f>
        <v>Renewable Energy:</v>
      </c>
      <c r="AY49">
        <f>'Overview (Design)'!G48</f>
        <v>0</v>
      </c>
    </row>
    <row r="50" spans="1:51" x14ac:dyDescent="0.35">
      <c r="B50" s="13" t="s">
        <v>264</v>
      </c>
      <c r="C50" s="13" t="s">
        <v>277</v>
      </c>
      <c r="D50" s="18" t="s">
        <v>123</v>
      </c>
      <c r="E50" s="18"/>
      <c r="F50" s="18"/>
      <c r="G50" s="18"/>
      <c r="H50" s="455"/>
      <c r="I50" s="47"/>
      <c r="J50" s="47"/>
      <c r="K50" s="49" t="s">
        <v>123</v>
      </c>
      <c r="L50" s="90" t="s">
        <v>281</v>
      </c>
      <c r="M50" s="272">
        <v>6</v>
      </c>
      <c r="N50" s="24"/>
      <c r="O50" s="75"/>
      <c r="X50" s="817"/>
      <c r="AL50" t="str">
        <f>SUBSTITUTE(SUBSTITUTE(SUBSTITUTE("dpa"&amp;$B50&amp;$C50&amp;$D50&amp;$E50,".","_"),"(","_"),")","")</f>
        <v>dpa501_2_6_c</v>
      </c>
      <c r="AM50">
        <f>M50</f>
        <v>6</v>
      </c>
      <c r="AX50" s="6" t="str">
        <f>'Overview (Design)'!A49</f>
        <v>Thermal Envelope Insulation:</v>
      </c>
      <c r="AY50">
        <f>'Overview (Design)'!G49</f>
        <v>0</v>
      </c>
    </row>
    <row r="51" spans="1:51" x14ac:dyDescent="0.35">
      <c r="A51"/>
      <c r="B51" s="13" t="s">
        <v>264</v>
      </c>
      <c r="C51" s="13" t="s">
        <v>277</v>
      </c>
      <c r="D51" s="18" t="s">
        <v>401</v>
      </c>
      <c r="E51"/>
      <c r="F51" s="18"/>
      <c r="G51"/>
      <c r="H51"/>
      <c r="K51" s="49" t="s">
        <v>401</v>
      </c>
      <c r="L51" s="825" t="s">
        <v>4118</v>
      </c>
      <c r="M51" s="843" t="s">
        <v>4119</v>
      </c>
      <c r="O51" s="832">
        <f ca="1">2*S51*W51</f>
        <v>0</v>
      </c>
      <c r="P51" t="b">
        <v>1</v>
      </c>
      <c r="Q51" t="b">
        <v>1</v>
      </c>
      <c r="R51" t="b">
        <v>0</v>
      </c>
      <c r="S51" t="b">
        <f ca="1">O46&gt;0</f>
        <v>0</v>
      </c>
      <c r="T51" t="b">
        <f ca="1">AND(W51=TRUE,NOT(S51))</f>
        <v>0</v>
      </c>
      <c r="W51" s="17"/>
      <c r="X51" s="817"/>
      <c r="AC51" t="b">
        <f ca="1">OR(AD51:AE51)</f>
        <v>0</v>
      </c>
      <c r="AD51" t="b">
        <f ca="1">T51</f>
        <v>0</v>
      </c>
      <c r="AL51" t="str">
        <f>SUBSTITUTE(SUBSTITUTE(SUBSTITUTE("dpa"&amp;$B51&amp;$C51&amp;$D51&amp;$E51,".","_"),"(","_"),")","")</f>
        <v>dpa501_2_6_d</v>
      </c>
      <c r="AM51" t="str">
        <f>M51</f>
        <v>2 per
(a)-(c)</v>
      </c>
      <c r="AN51" t="str">
        <f>SUBSTITUTE(SUBSTITUTE(SUBSTITUTE("dpc"&amp;$B51&amp;$C51&amp;$D51&amp;$E51,".","_"),"(","_"),")","")</f>
        <v>dpc501_2_6_d</v>
      </c>
      <c r="AO51">
        <f ca="1">O51</f>
        <v>0</v>
      </c>
      <c r="AP51" t="str">
        <f>SUBSTITUTE(SUBSTITUTE(SUBSTITUTE("dch"&amp;$B51&amp;$C51&amp;$D51&amp;$E51,".","_"),"(","_"),")","")</f>
        <v>dch501_2_6_d</v>
      </c>
      <c r="AQ51" t="str">
        <f>IF(LEN(W51)=0,"",W51)</f>
        <v/>
      </c>
      <c r="AR51" t="str">
        <f>SUBSTITUTE(SUBSTITUTE(SUBSTITUTE("dnt"&amp;$B51&amp;$C51&amp;$D51&amp;$E51,".","_"),"(","_"),")","")</f>
        <v>dnt501_2_6_d</v>
      </c>
      <c r="AS51" t="str">
        <f>IF(LEN(X51)=0,"",X51)</f>
        <v/>
      </c>
      <c r="AX51" s="6" t="str">
        <f>'Overview (Design)'!A50</f>
        <v>Attic Type:</v>
      </c>
      <c r="AY51" t="str">
        <f>'Overview (Design)'!G50</f>
        <v>Vented</v>
      </c>
    </row>
    <row r="52" spans="1:51" x14ac:dyDescent="0.35">
      <c r="A52"/>
      <c r="B52" s="13" t="s">
        <v>264</v>
      </c>
      <c r="C52" s="13" t="s">
        <v>277</v>
      </c>
      <c r="D52" s="18" t="s">
        <v>401</v>
      </c>
      <c r="E52"/>
      <c r="F52" s="18"/>
      <c r="G52"/>
      <c r="H52"/>
      <c r="L52" s="825"/>
      <c r="M52" s="843"/>
      <c r="O52" s="832"/>
      <c r="X52" s="817"/>
      <c r="AX52" s="6" t="str">
        <f>'Overview (Design)'!A51</f>
        <v>Attached Garage:</v>
      </c>
      <c r="AY52" t="str">
        <f>'Overview (Design)'!G51</f>
        <v>Yes</v>
      </c>
    </row>
    <row r="53" spans="1:51" x14ac:dyDescent="0.35">
      <c r="A53"/>
      <c r="B53" s="13" t="s">
        <v>264</v>
      </c>
      <c r="C53" s="13" t="s">
        <v>383</v>
      </c>
      <c r="D53" s="18"/>
      <c r="E53"/>
      <c r="F53" s="18"/>
      <c r="G53"/>
      <c r="H53"/>
      <c r="J53" s="468" t="s">
        <v>383</v>
      </c>
      <c r="K53" s="471"/>
      <c r="L53" s="828" t="s">
        <v>4120</v>
      </c>
      <c r="M53" s="844">
        <v>5</v>
      </c>
      <c r="N53" s="120"/>
      <c r="O53" s="823">
        <f>M53*W53</f>
        <v>0</v>
      </c>
      <c r="P53" t="b">
        <v>1</v>
      </c>
      <c r="Q53" t="b">
        <v>1</v>
      </c>
      <c r="R53" t="b">
        <v>0</v>
      </c>
      <c r="S53" t="b">
        <v>1</v>
      </c>
      <c r="T53" t="b">
        <v>0</v>
      </c>
      <c r="W53" s="17"/>
      <c r="X53" s="817"/>
      <c r="AC53" t="b">
        <f>OR(AD53:AE53)</f>
        <v>0</v>
      </c>
      <c r="AD53" t="b">
        <v>0</v>
      </c>
      <c r="AE53" t="b">
        <f>AND(W53=TRUE,LEN(X53)=0)</f>
        <v>0</v>
      </c>
      <c r="AL53" t="str">
        <f>SUBSTITUTE(SUBSTITUTE(SUBSTITUTE("dpa"&amp;$B53&amp;$C53&amp;$D53&amp;$E53,".","_"),"(","_"),")","")</f>
        <v>dpa501_2_7</v>
      </c>
      <c r="AM53">
        <f>M53</f>
        <v>5</v>
      </c>
      <c r="AN53" t="str">
        <f>SUBSTITUTE(SUBSTITUTE(SUBSTITUTE("dpc"&amp;$B53&amp;$C53&amp;$D53&amp;$E53,".","_"),"(","_"),")","")</f>
        <v>dpc501_2_7</v>
      </c>
      <c r="AO53">
        <f>O53</f>
        <v>0</v>
      </c>
      <c r="AP53" t="str">
        <f>SUBSTITUTE(SUBSTITUTE(SUBSTITUTE("dch"&amp;$B53&amp;$C53&amp;$D53&amp;$E53,".","_"),"(","_"),")","")</f>
        <v>dch501_2_7</v>
      </c>
      <c r="AQ53" t="str">
        <f>IF(LEN(W53)=0,"",W53)</f>
        <v/>
      </c>
      <c r="AR53" t="str">
        <f>SUBSTITUTE(SUBSTITUTE(SUBSTITUTE("dnt"&amp;$B53&amp;$C53&amp;$D53&amp;$E53,".","_"),"(","_"),")","")</f>
        <v>dnt501_2_7</v>
      </c>
      <c r="AS53" t="str">
        <f>IF(LEN(X53)=0,"",X53)</f>
        <v/>
      </c>
      <c r="AX53" s="6" t="str">
        <f>'Overview (Design)'!A52</f>
        <v>Recessed Lighting:</v>
      </c>
      <c r="AY53">
        <f>'Overview (Design)'!G52</f>
        <v>0</v>
      </c>
    </row>
    <row r="54" spans="1:51" x14ac:dyDescent="0.35">
      <c r="A54"/>
      <c r="B54" s="13" t="s">
        <v>264</v>
      </c>
      <c r="C54" s="13" t="s">
        <v>383</v>
      </c>
      <c r="D54" s="18"/>
      <c r="E54"/>
      <c r="F54" s="18"/>
      <c r="G54"/>
      <c r="H54"/>
      <c r="J54" s="467"/>
      <c r="K54" s="467"/>
      <c r="L54" s="825"/>
      <c r="M54" s="845"/>
      <c r="O54" s="832"/>
      <c r="X54" s="817"/>
      <c r="AX54" s="6"/>
    </row>
    <row r="55" spans="1:51" x14ac:dyDescent="0.35">
      <c r="A55"/>
      <c r="B55" s="13" t="s">
        <v>264</v>
      </c>
      <c r="C55" s="13" t="s">
        <v>383</v>
      </c>
      <c r="D55" s="18"/>
      <c r="E55"/>
      <c r="F55" s="18"/>
      <c r="G55"/>
      <c r="H55"/>
      <c r="J55" s="472"/>
      <c r="K55" s="472"/>
      <c r="L55" s="284" t="s">
        <v>4123</v>
      </c>
      <c r="M55" s="846"/>
      <c r="N55" s="104"/>
      <c r="O55" s="824"/>
      <c r="X55" s="817"/>
      <c r="AX55" s="6" t="str">
        <f>'Overview (Design)'!A54</f>
        <v>Special Design Features:</v>
      </c>
      <c r="AY55">
        <f>'Overview (Design)'!G54</f>
        <v>0</v>
      </c>
    </row>
    <row r="56" spans="1:51" x14ac:dyDescent="0.35">
      <c r="A56"/>
      <c r="B56" s="13" t="s">
        <v>264</v>
      </c>
      <c r="C56" s="13" t="s">
        <v>428</v>
      </c>
      <c r="D56" s="18"/>
      <c r="E56"/>
      <c r="F56" s="18"/>
      <c r="G56"/>
      <c r="H56"/>
      <c r="J56" s="468" t="s">
        <v>428</v>
      </c>
      <c r="K56" s="471"/>
      <c r="L56" s="573" t="s">
        <v>4121</v>
      </c>
      <c r="M56" s="844">
        <v>5</v>
      </c>
      <c r="N56" s="120"/>
      <c r="O56" s="847">
        <f>M56*W56</f>
        <v>0</v>
      </c>
      <c r="P56" t="b">
        <v>1</v>
      </c>
      <c r="Q56" t="b">
        <v>1</v>
      </c>
      <c r="R56" t="b">
        <v>0</v>
      </c>
      <c r="S56" t="b">
        <v>1</v>
      </c>
      <c r="T56" t="b">
        <v>0</v>
      </c>
      <c r="W56" s="17"/>
      <c r="X56" s="817"/>
      <c r="AC56" t="b">
        <f>OR(AD56:AE56)</f>
        <v>0</v>
      </c>
      <c r="AD56" t="b">
        <v>0</v>
      </c>
      <c r="AE56" t="b">
        <f>AND(W56=TRUE,LEN(X56)=0)</f>
        <v>0</v>
      </c>
      <c r="AL56" t="str">
        <f>SUBSTITUTE(SUBSTITUTE(SUBSTITUTE("dpa"&amp;$B56&amp;$C56&amp;$D56&amp;$E56,".","_"),"(","_"),")","")</f>
        <v>dpa501_2_8</v>
      </c>
      <c r="AM56">
        <f>M56</f>
        <v>5</v>
      </c>
      <c r="AN56" t="str">
        <f>SUBSTITUTE(SUBSTITUTE(SUBSTITUTE("dpc"&amp;$B56&amp;$C56&amp;$D56&amp;$E56,".","_"),"(","_"),")","")</f>
        <v>dpc501_2_8</v>
      </c>
      <c r="AO56">
        <f>O56</f>
        <v>0</v>
      </c>
      <c r="AP56" t="str">
        <f>SUBSTITUTE(SUBSTITUTE(SUBSTITUTE("dch"&amp;$B56&amp;$C56&amp;$D56&amp;$E56,".","_"),"(","_"),")","")</f>
        <v>dch501_2_8</v>
      </c>
      <c r="AQ56" t="str">
        <f>IF(LEN(W56)=0,"",W56)</f>
        <v/>
      </c>
      <c r="AR56" t="str">
        <f>SUBSTITUTE(SUBSTITUTE(SUBSTITUTE("dnt"&amp;$B56&amp;$C56&amp;$D56&amp;$E56,".","_"),"(","_"),")","")</f>
        <v>dnt501_2_8</v>
      </c>
      <c r="AS56" t="str">
        <f>IF(LEN(X56)=0,"",X56)</f>
        <v/>
      </c>
      <c r="AX56" s="6" t="str">
        <f>'Overview (Design)'!A55</f>
        <v>Passive Solar:</v>
      </c>
      <c r="AY56">
        <f>'Overview (Design)'!G55</f>
        <v>0</v>
      </c>
    </row>
    <row r="57" spans="1:51" x14ac:dyDescent="0.35">
      <c r="A57"/>
      <c r="B57" s="13" t="s">
        <v>264</v>
      </c>
      <c r="C57" s="13" t="s">
        <v>428</v>
      </c>
      <c r="D57" s="18"/>
      <c r="E57"/>
      <c r="F57" s="18"/>
      <c r="G57"/>
      <c r="H57"/>
      <c r="J57" s="47"/>
      <c r="K57" s="467"/>
      <c r="L57" s="218" t="s">
        <v>4122</v>
      </c>
      <c r="M57" s="845"/>
      <c r="O57" s="824"/>
      <c r="X57" s="817"/>
      <c r="AX57" s="6" t="str">
        <f>'Overview (Design)'!A56</f>
        <v>Mass Walls:</v>
      </c>
      <c r="AY57">
        <f>'Overview (Design)'!G56</f>
        <v>0</v>
      </c>
    </row>
    <row r="58" spans="1:51" ht="18.5" x14ac:dyDescent="0.45">
      <c r="B58" s="13" t="s">
        <v>497</v>
      </c>
      <c r="C58" s="13"/>
      <c r="D58" s="13"/>
      <c r="E58" s="13"/>
      <c r="F58" s="13"/>
      <c r="G58" s="13"/>
      <c r="H58" s="455"/>
      <c r="I58" s="35" t="s">
        <v>367</v>
      </c>
      <c r="J58" s="35"/>
      <c r="K58" s="35"/>
      <c r="L58" s="150"/>
      <c r="M58" s="243"/>
      <c r="N58" s="15"/>
      <c r="O58" s="307"/>
      <c r="P58" s="15"/>
      <c r="Q58" s="15"/>
      <c r="R58" s="15"/>
      <c r="S58" s="15"/>
      <c r="T58" s="15"/>
      <c r="U58" s="15"/>
      <c r="V58" s="15"/>
      <c r="W58" s="15"/>
      <c r="X58" s="15"/>
      <c r="AX58" s="6" t="str">
        <f>'Overview (Design)'!A57</f>
        <v>Radiant/Hydronic:</v>
      </c>
      <c r="AY58">
        <f>'Overview (Design)'!G57</f>
        <v>0</v>
      </c>
    </row>
    <row r="59" spans="1:51" x14ac:dyDescent="0.35">
      <c r="B59" s="13" t="s">
        <v>368</v>
      </c>
      <c r="C59" s="13"/>
      <c r="D59" s="13"/>
      <c r="E59" s="13"/>
      <c r="F59" s="13"/>
      <c r="G59" s="13"/>
      <c r="H59" s="455"/>
      <c r="I59" s="31">
        <v>502.1</v>
      </c>
      <c r="J59" s="50"/>
      <c r="K59" s="50"/>
      <c r="L59" s="838" t="s">
        <v>369</v>
      </c>
      <c r="M59" s="818">
        <v>4</v>
      </c>
      <c r="O59" s="832">
        <f>M59*W59</f>
        <v>0</v>
      </c>
      <c r="P59" t="b">
        <v>1</v>
      </c>
      <c r="Q59" t="b">
        <v>1</v>
      </c>
      <c r="R59" t="b">
        <v>0</v>
      </c>
      <c r="S59" t="b">
        <v>1</v>
      </c>
      <c r="T59" t="b">
        <v>0</v>
      </c>
      <c r="W59" s="17"/>
      <c r="X59" s="817"/>
      <c r="AL59" t="str">
        <f>SUBSTITUTE(SUBSTITUTE(SUBSTITUTE("dpa"&amp;$B59&amp;$C59&amp;$D59&amp;$E59,".","_"),"(","_"),")","")</f>
        <v>dpa502_1</v>
      </c>
      <c r="AM59">
        <f>M59</f>
        <v>4</v>
      </c>
      <c r="AN59" t="str">
        <f>SUBSTITUTE(SUBSTITUTE(SUBSTITUTE("dpc"&amp;$B59&amp;$C59&amp;$D59&amp;$E59,".","_"),"(","_"),")","")</f>
        <v>dpc502_1</v>
      </c>
      <c r="AO59">
        <f>O59</f>
        <v>0</v>
      </c>
      <c r="AP59" t="str">
        <f>SUBSTITUTE(SUBSTITUTE(SUBSTITUTE("dch"&amp;$B59&amp;$C59&amp;$D59&amp;$E59,".","_"),"(","_"),")","")</f>
        <v>dch502_1</v>
      </c>
      <c r="AQ59" t="str">
        <f>IF(LEN(W59)=0,"",W59)</f>
        <v/>
      </c>
      <c r="AR59" t="str">
        <f>SUBSTITUTE(SUBSTITUTE(SUBSTITUTE("dnt"&amp;$B59&amp;$C59&amp;$D59&amp;$E59,".","_"),"(","_"),")","")</f>
        <v>dnt502_1</v>
      </c>
      <c r="AS59" t="str">
        <f>IF(LEN(X59)=0,"",X59)</f>
        <v/>
      </c>
      <c r="AX59" s="6" t="str">
        <f>'Overview (Design)'!A58</f>
        <v>Tankless Water Heater:</v>
      </c>
      <c r="AY59">
        <f>'Overview (Design)'!G58</f>
        <v>0</v>
      </c>
    </row>
    <row r="60" spans="1:51" x14ac:dyDescent="0.35">
      <c r="B60" s="13" t="s">
        <v>368</v>
      </c>
      <c r="C60" s="13"/>
      <c r="D60" s="13"/>
      <c r="E60" s="13"/>
      <c r="F60" s="13"/>
      <c r="G60" s="13"/>
      <c r="H60" s="455"/>
      <c r="I60" s="50"/>
      <c r="J60" s="50"/>
      <c r="K60" s="50"/>
      <c r="L60" s="838"/>
      <c r="M60" s="818"/>
      <c r="O60" s="832"/>
      <c r="X60" s="817"/>
      <c r="AX60" s="6" t="str">
        <f>'Overview (Design)'!A59</f>
        <v>Composting Toilet:</v>
      </c>
      <c r="AY60">
        <f>'Overview (Design)'!G59</f>
        <v>0</v>
      </c>
    </row>
    <row r="61" spans="1:51" x14ac:dyDescent="0.35">
      <c r="B61" s="13" t="s">
        <v>368</v>
      </c>
      <c r="C61" s="13"/>
      <c r="D61" s="13"/>
      <c r="E61" s="13"/>
      <c r="F61" s="13"/>
      <c r="G61" s="13"/>
      <c r="H61" s="455"/>
      <c r="I61" s="50"/>
      <c r="J61" s="50"/>
      <c r="K61" s="50"/>
      <c r="L61" s="838"/>
      <c r="M61" s="818"/>
      <c r="O61" s="832"/>
      <c r="X61" s="817"/>
      <c r="AX61" s="6"/>
    </row>
    <row r="62" spans="1:51" x14ac:dyDescent="0.35">
      <c r="B62" s="13" t="s">
        <v>368</v>
      </c>
      <c r="C62" s="13"/>
      <c r="D62" s="13"/>
      <c r="E62" s="13"/>
      <c r="F62" s="13"/>
      <c r="G62" s="13"/>
      <c r="H62" s="455"/>
      <c r="I62" s="50"/>
      <c r="J62" s="50"/>
      <c r="K62" s="50"/>
      <c r="L62" s="838"/>
      <c r="M62" s="818"/>
      <c r="O62" s="832"/>
      <c r="X62" s="817"/>
      <c r="AX62" s="6" t="str">
        <f>'Overview (Design)'!A61</f>
        <v>Local Energy Code:</v>
      </c>
      <c r="AY62">
        <f>'Overview (Design)'!G61</f>
        <v>0</v>
      </c>
    </row>
    <row r="63" spans="1:51" ht="18.5" x14ac:dyDescent="0.45">
      <c r="B63" s="13" t="s">
        <v>370</v>
      </c>
      <c r="C63" s="13"/>
      <c r="D63" s="13"/>
      <c r="E63" s="13"/>
      <c r="F63" s="13"/>
      <c r="G63" s="13"/>
      <c r="H63" s="455"/>
      <c r="I63" s="35" t="s">
        <v>371</v>
      </c>
      <c r="J63" s="48"/>
      <c r="K63" s="48"/>
      <c r="L63" s="44"/>
      <c r="M63" s="243"/>
      <c r="N63" s="15"/>
      <c r="O63" s="307"/>
      <c r="P63" s="15"/>
      <c r="Q63" s="15"/>
      <c r="R63" s="15"/>
      <c r="S63" s="15"/>
      <c r="T63" s="15"/>
      <c r="U63" s="15"/>
      <c r="V63" s="15"/>
      <c r="W63" s="15"/>
      <c r="X63" s="15"/>
      <c r="AX63" s="6" t="str">
        <f>'Overview (Design)'!A62</f>
        <v>Local Building Code:</v>
      </c>
      <c r="AY63">
        <f>'Overview (Design)'!G62</f>
        <v>0</v>
      </c>
    </row>
    <row r="64" spans="1:51" x14ac:dyDescent="0.35">
      <c r="B64" s="13" t="s">
        <v>372</v>
      </c>
      <c r="C64" s="13"/>
      <c r="D64" s="13"/>
      <c r="E64" s="13"/>
      <c r="F64" s="13"/>
      <c r="G64" s="13"/>
      <c r="H64" s="455"/>
      <c r="I64" s="402" t="s">
        <v>372</v>
      </c>
      <c r="J64" s="50"/>
      <c r="K64" s="50"/>
      <c r="L64" s="838" t="s">
        <v>373</v>
      </c>
      <c r="M64" s="40"/>
      <c r="O64" s="75"/>
      <c r="X64" s="817"/>
      <c r="AR64" t="str">
        <f>SUBSTITUTE(SUBSTITUTE(SUBSTITUTE("dnt"&amp;$B64&amp;$C64&amp;$D64&amp;$E64,".","_"),"(","_"),")","")</f>
        <v>dnt503_0</v>
      </c>
      <c r="AS64" t="str">
        <f>IF(LEN(X64)=0,"",X64)</f>
        <v/>
      </c>
    </row>
    <row r="65" spans="2:45" x14ac:dyDescent="0.35">
      <c r="B65" s="13" t="s">
        <v>372</v>
      </c>
      <c r="C65" s="13"/>
      <c r="D65" s="13"/>
      <c r="E65" s="13"/>
      <c r="F65" s="13"/>
      <c r="G65" s="13"/>
      <c r="H65" s="455"/>
      <c r="I65" s="50"/>
      <c r="J65" s="50"/>
      <c r="K65" s="50"/>
      <c r="L65" s="838"/>
      <c r="M65" s="40"/>
      <c r="O65" s="75"/>
      <c r="X65" s="817"/>
    </row>
    <row r="66" spans="2:45" x14ac:dyDescent="0.35">
      <c r="B66" s="13" t="s">
        <v>372</v>
      </c>
      <c r="C66" s="13"/>
      <c r="D66" s="13"/>
      <c r="E66" s="13"/>
      <c r="F66" s="13"/>
      <c r="G66" s="13"/>
      <c r="H66" s="455"/>
      <c r="I66" s="50"/>
      <c r="J66" s="50"/>
      <c r="K66" s="50"/>
      <c r="L66" s="838"/>
      <c r="M66" s="40"/>
      <c r="O66" s="75"/>
      <c r="X66" s="817"/>
    </row>
    <row r="67" spans="2:45" x14ac:dyDescent="0.35">
      <c r="B67" s="13" t="s">
        <v>372</v>
      </c>
      <c r="C67" s="13"/>
      <c r="D67" s="13"/>
      <c r="E67" s="13"/>
      <c r="F67" s="13"/>
      <c r="G67" s="13"/>
      <c r="H67" s="455"/>
      <c r="I67" s="50"/>
      <c r="J67" s="50"/>
      <c r="K67" s="50"/>
      <c r="L67" s="838"/>
      <c r="M67" s="40"/>
      <c r="O67" s="75"/>
      <c r="X67" s="817"/>
    </row>
    <row r="68" spans="2:45" ht="15" thickBot="1" x14ac:dyDescent="0.4">
      <c r="B68" s="13" t="s">
        <v>372</v>
      </c>
      <c r="C68" s="13"/>
      <c r="D68" s="13"/>
      <c r="E68" s="13"/>
      <c r="F68" s="13"/>
      <c r="G68" s="13"/>
      <c r="H68" s="455"/>
      <c r="I68" s="57"/>
      <c r="J68" s="57"/>
      <c r="K68" s="57"/>
      <c r="L68" s="275" t="s">
        <v>374</v>
      </c>
      <c r="M68" s="270"/>
      <c r="N68" s="55"/>
      <c r="O68" s="161"/>
      <c r="P68" s="55"/>
      <c r="Q68" s="55"/>
      <c r="R68" s="55"/>
      <c r="S68" s="55"/>
      <c r="T68" s="55"/>
      <c r="U68" s="55"/>
      <c r="V68" s="55"/>
      <c r="W68" s="55"/>
      <c r="X68" s="829"/>
    </row>
    <row r="69" spans="2:45" ht="15.75" customHeight="1" thickTop="1" x14ac:dyDescent="0.35">
      <c r="B69" s="13" t="s">
        <v>375</v>
      </c>
      <c r="C69" s="13"/>
      <c r="D69" s="13"/>
      <c r="E69" s="13"/>
      <c r="F69" s="13"/>
      <c r="G69" s="13"/>
      <c r="H69" s="455"/>
      <c r="I69" s="31">
        <v>503.1</v>
      </c>
      <c r="J69" s="172"/>
      <c r="K69" s="172"/>
      <c r="L69" s="172" t="s">
        <v>376</v>
      </c>
      <c r="M69" s="267"/>
      <c r="N69" s="59"/>
      <c r="O69" s="308"/>
      <c r="P69" s="59"/>
      <c r="Q69" s="59"/>
      <c r="R69" s="59"/>
      <c r="S69" s="59"/>
      <c r="T69" s="59"/>
      <c r="U69" s="59"/>
      <c r="V69" s="59"/>
      <c r="W69" s="59"/>
      <c r="X69" s="817"/>
      <c r="AR69" t="str">
        <f>SUBSTITUTE(SUBSTITUTE(SUBSTITUTE("dnt"&amp;$B69&amp;$C69&amp;$D69&amp;$E69,".","_"),"(","_"),")","")</f>
        <v>dnt503_1</v>
      </c>
      <c r="AS69" t="str">
        <f>IF(LEN(X69)=0,"",X69)</f>
        <v/>
      </c>
    </row>
    <row r="70" spans="2:45" x14ac:dyDescent="0.35">
      <c r="B70" s="13" t="s">
        <v>375</v>
      </c>
      <c r="C70" s="13" t="s">
        <v>256</v>
      </c>
      <c r="D70" s="13"/>
      <c r="E70" s="13"/>
      <c r="F70" s="13"/>
      <c r="G70" s="13"/>
      <c r="H70" s="455"/>
      <c r="I70" s="50"/>
      <c r="J70" s="47" t="s">
        <v>256</v>
      </c>
      <c r="K70" s="50"/>
      <c r="L70" s="821" t="s">
        <v>377</v>
      </c>
      <c r="M70" s="819">
        <v>5</v>
      </c>
      <c r="N70" s="104"/>
      <c r="O70" s="824">
        <f>M70*W70</f>
        <v>0</v>
      </c>
      <c r="P70" t="b">
        <v>1</v>
      </c>
      <c r="Q70" t="b">
        <v>0</v>
      </c>
      <c r="R70" t="b">
        <v>0</v>
      </c>
      <c r="S70" t="b">
        <v>1</v>
      </c>
      <c r="T70" t="b">
        <v>0</v>
      </c>
      <c r="W70" s="17"/>
      <c r="X70" s="817"/>
      <c r="AL70" t="str">
        <f>SUBSTITUTE(SUBSTITUTE(SUBSTITUTE("dpa"&amp;$B70&amp;$C70&amp;$D70&amp;$E70,".","_"),"(","_"),")","")</f>
        <v>dpa503_1_1</v>
      </c>
      <c r="AM70">
        <f>M70</f>
        <v>5</v>
      </c>
      <c r="AN70" t="str">
        <f>SUBSTITUTE(SUBSTITUTE(SUBSTITUTE("dpc"&amp;$B70&amp;$C70&amp;$D70&amp;$E70,".","_"),"(","_"),")","")</f>
        <v>dpc503_1_1</v>
      </c>
      <c r="AO70">
        <f>O70</f>
        <v>0</v>
      </c>
      <c r="AP70" t="str">
        <f>SUBSTITUTE(SUBSTITUTE(SUBSTITUTE("dch"&amp;$B70&amp;$C70&amp;$D70&amp;$E70,".","_"),"(","_"),")","")</f>
        <v>dch503_1_1</v>
      </c>
      <c r="AQ70" t="str">
        <f>IF(LEN(W70)=0,"",W70)</f>
        <v/>
      </c>
    </row>
    <row r="71" spans="2:45" x14ac:dyDescent="0.35">
      <c r="B71" s="13" t="s">
        <v>375</v>
      </c>
      <c r="C71" s="13" t="s">
        <v>256</v>
      </c>
      <c r="D71" s="13"/>
      <c r="E71" s="13"/>
      <c r="F71" s="13"/>
      <c r="G71" s="13"/>
      <c r="H71" s="455"/>
      <c r="I71" s="50"/>
      <c r="J71" s="100"/>
      <c r="K71" s="103"/>
      <c r="L71" s="821"/>
      <c r="M71" s="819"/>
      <c r="O71" s="824"/>
      <c r="X71" s="817"/>
    </row>
    <row r="72" spans="2:45" x14ac:dyDescent="0.35">
      <c r="B72" s="13" t="s">
        <v>375</v>
      </c>
      <c r="C72" s="13" t="s">
        <v>258</v>
      </c>
      <c r="D72" s="13"/>
      <c r="E72" s="13"/>
      <c r="F72" s="13"/>
      <c r="G72" s="13"/>
      <c r="H72" s="455"/>
      <c r="I72" s="50"/>
      <c r="J72" s="47" t="s">
        <v>258</v>
      </c>
      <c r="K72" s="50"/>
      <c r="L72" s="814" t="s">
        <v>378</v>
      </c>
      <c r="M72" s="818">
        <v>6</v>
      </c>
      <c r="O72" s="832">
        <f>M72*S72*W72</f>
        <v>0</v>
      </c>
      <c r="P72" t="b">
        <v>1</v>
      </c>
      <c r="Q72" t="b">
        <v>0</v>
      </c>
      <c r="R72" t="b">
        <v>0</v>
      </c>
      <c r="S72" t="b">
        <f>IF(W70=TRUE,TRUE,FALSE)</f>
        <v>0</v>
      </c>
      <c r="T72" t="b">
        <f>AND(NOT(S72),W72=TRUE)</f>
        <v>0</v>
      </c>
      <c r="W72" s="17"/>
      <c r="X72" s="817"/>
      <c r="AC72" t="b">
        <f>OR(AD72:AE72)</f>
        <v>0</v>
      </c>
      <c r="AD72" t="b">
        <f>T72</f>
        <v>0</v>
      </c>
      <c r="AL72" t="str">
        <f>SUBSTITUTE(SUBSTITUTE(SUBSTITUTE("dpa"&amp;$B72&amp;$C72&amp;$D72&amp;$E72,".","_"),"(","_"),")","")</f>
        <v>dpa503_1_2</v>
      </c>
      <c r="AM72">
        <f>M72</f>
        <v>6</v>
      </c>
      <c r="AN72" t="str">
        <f>SUBSTITUTE(SUBSTITUTE(SUBSTITUTE("dpc"&amp;$B72&amp;$C72&amp;$D72&amp;$E72,".","_"),"(","_"),")","")</f>
        <v>dpc503_1_2</v>
      </c>
      <c r="AO72">
        <f>O72</f>
        <v>0</v>
      </c>
      <c r="AP72" t="str">
        <f>SUBSTITUTE(SUBSTITUTE(SUBSTITUTE("dch"&amp;$B72&amp;$C72&amp;$D72&amp;$E72,".","_"),"(","_"),")","")</f>
        <v>dch503_1_2</v>
      </c>
      <c r="AQ72" t="str">
        <f>IF(LEN(W72)=0,"",W72)</f>
        <v/>
      </c>
    </row>
    <row r="73" spans="2:45" x14ac:dyDescent="0.35">
      <c r="B73" s="13" t="s">
        <v>375</v>
      </c>
      <c r="C73" s="13" t="s">
        <v>258</v>
      </c>
      <c r="D73" s="13"/>
      <c r="E73" s="13"/>
      <c r="F73" s="13"/>
      <c r="G73" s="13"/>
      <c r="H73" s="455"/>
      <c r="I73" s="50"/>
      <c r="J73" s="100"/>
      <c r="K73" s="103"/>
      <c r="L73" s="815"/>
      <c r="M73" s="819"/>
      <c r="N73" s="104"/>
      <c r="O73" s="824"/>
      <c r="X73" s="817"/>
    </row>
    <row r="74" spans="2:45" x14ac:dyDescent="0.35">
      <c r="B74" s="13" t="s">
        <v>375</v>
      </c>
      <c r="C74" s="13" t="s">
        <v>260</v>
      </c>
      <c r="D74" s="13"/>
      <c r="E74" s="13"/>
      <c r="F74" s="13"/>
      <c r="G74" s="13"/>
      <c r="H74" s="455"/>
      <c r="I74" s="50"/>
      <c r="J74" s="47" t="s">
        <v>260</v>
      </c>
      <c r="K74" s="50"/>
      <c r="L74" s="814" t="s">
        <v>379</v>
      </c>
      <c r="M74" s="818">
        <v>4</v>
      </c>
      <c r="O74" s="832">
        <f>M74*S74*W74</f>
        <v>0</v>
      </c>
      <c r="P74" t="b">
        <v>1</v>
      </c>
      <c r="Q74" t="b">
        <v>0</v>
      </c>
      <c r="R74" t="b">
        <v>0</v>
      </c>
      <c r="S74" t="b">
        <f>IF(AND(W70=TRUE,W72=TRUE),TRUE,FALSE)</f>
        <v>0</v>
      </c>
      <c r="T74" t="b">
        <f>AND(NOT(S74),W74=TRUE)</f>
        <v>0</v>
      </c>
      <c r="W74" s="17"/>
      <c r="X74" s="817"/>
      <c r="AC74" t="b">
        <f>OR(AD74:AE74)</f>
        <v>0</v>
      </c>
      <c r="AD74" t="b">
        <f>T74</f>
        <v>0</v>
      </c>
      <c r="AL74" t="str">
        <f>SUBSTITUTE(SUBSTITUTE(SUBSTITUTE("dpa"&amp;$B74&amp;$C74&amp;$D74&amp;$E74,".","_"),"(","_"),")","")</f>
        <v>dpa503_1_3</v>
      </c>
      <c r="AM74">
        <f>M74</f>
        <v>4</v>
      </c>
      <c r="AN74" t="str">
        <f>SUBSTITUTE(SUBSTITUTE(SUBSTITUTE("dpc"&amp;$B74&amp;$C74&amp;$D74&amp;$E74,".","_"),"(","_"),")","")</f>
        <v>dpc503_1_3</v>
      </c>
      <c r="AO74">
        <f>O74</f>
        <v>0</v>
      </c>
      <c r="AP74" t="str">
        <f>SUBSTITUTE(SUBSTITUTE(SUBSTITUTE("dch"&amp;$B74&amp;$C74&amp;$D74&amp;$E74,".","_"),"(","_"),")","")</f>
        <v>dch503_1_3</v>
      </c>
      <c r="AQ74" t="str">
        <f>IF(LEN(W74)=0,"",W74)</f>
        <v/>
      </c>
    </row>
    <row r="75" spans="2:45" x14ac:dyDescent="0.35">
      <c r="B75" s="13" t="s">
        <v>375</v>
      </c>
      <c r="C75" s="13" t="s">
        <v>260</v>
      </c>
      <c r="D75" s="13"/>
      <c r="E75" s="13"/>
      <c r="F75" s="13"/>
      <c r="G75" s="13"/>
      <c r="H75" s="455"/>
      <c r="I75" s="50"/>
      <c r="J75" s="100"/>
      <c r="K75" s="103"/>
      <c r="L75" s="815"/>
      <c r="M75" s="819"/>
      <c r="N75" s="104"/>
      <c r="O75" s="824"/>
      <c r="X75" s="817"/>
    </row>
    <row r="76" spans="2:45" x14ac:dyDescent="0.35">
      <c r="B76" s="13" t="s">
        <v>375</v>
      </c>
      <c r="C76" s="13" t="s">
        <v>269</v>
      </c>
      <c r="D76" s="13"/>
      <c r="E76" s="13"/>
      <c r="F76" s="13"/>
      <c r="G76" s="13"/>
      <c r="H76" s="455"/>
      <c r="I76" s="50"/>
      <c r="J76" s="47" t="s">
        <v>269</v>
      </c>
      <c r="K76" s="50"/>
      <c r="L76" s="820" t="s">
        <v>380</v>
      </c>
      <c r="M76" s="822">
        <v>4</v>
      </c>
      <c r="O76" s="823">
        <f>M76*W76</f>
        <v>4</v>
      </c>
      <c r="P76" t="b">
        <v>1</v>
      </c>
      <c r="Q76" t="b">
        <v>0</v>
      </c>
      <c r="R76" t="b">
        <v>0</v>
      </c>
      <c r="S76" t="b">
        <v>1</v>
      </c>
      <c r="T76" t="b">
        <v>0</v>
      </c>
      <c r="W76" s="17" t="b">
        <v>1</v>
      </c>
      <c r="X76" s="817"/>
      <c r="AL76" t="str">
        <f>SUBSTITUTE(SUBSTITUTE(SUBSTITUTE("dpa"&amp;$B76&amp;$C76&amp;$D76&amp;$E76,".","_"),"(","_"),")","")</f>
        <v>dpa503_1_4</v>
      </c>
      <c r="AM76">
        <f>M76</f>
        <v>4</v>
      </c>
      <c r="AN76" t="str">
        <f>SUBSTITUTE(SUBSTITUTE(SUBSTITUTE("dpc"&amp;$B76&amp;$C76&amp;$D76&amp;$E76,".","_"),"(","_"),")","")</f>
        <v>dpc503_1_4</v>
      </c>
      <c r="AO76">
        <f>O76</f>
        <v>4</v>
      </c>
      <c r="AP76" t="str">
        <f>SUBSTITUTE(SUBSTITUTE(SUBSTITUTE("dch"&amp;$B76&amp;$C76&amp;$D76&amp;$E76,".","_"),"(","_"),")","")</f>
        <v>dch503_1_4</v>
      </c>
      <c r="AQ76" t="b">
        <f>IF(LEN(W76)=0,"",W76)</f>
        <v>1</v>
      </c>
    </row>
    <row r="77" spans="2:45" x14ac:dyDescent="0.35">
      <c r="B77" s="13" t="s">
        <v>375</v>
      </c>
      <c r="C77" s="13" t="s">
        <v>269</v>
      </c>
      <c r="D77" s="13"/>
      <c r="E77" s="13"/>
      <c r="F77" s="13"/>
      <c r="G77" s="13"/>
      <c r="H77" s="455"/>
      <c r="I77" s="50"/>
      <c r="J77" s="100"/>
      <c r="K77" s="103"/>
      <c r="L77" s="821"/>
      <c r="M77" s="819"/>
      <c r="N77" s="104"/>
      <c r="O77" s="824"/>
      <c r="X77" s="817"/>
    </row>
    <row r="78" spans="2:45" x14ac:dyDescent="0.35">
      <c r="B78" s="13" t="s">
        <v>375</v>
      </c>
      <c r="C78" s="13" t="s">
        <v>275</v>
      </c>
      <c r="D78" s="13"/>
      <c r="E78" s="13"/>
      <c r="F78" s="13"/>
      <c r="G78" s="13"/>
      <c r="H78" s="455"/>
      <c r="I78" s="50"/>
      <c r="J78" s="468" t="s">
        <v>275</v>
      </c>
      <c r="K78" s="587"/>
      <c r="L78" s="820" t="s">
        <v>381</v>
      </c>
      <c r="M78" s="822">
        <v>3</v>
      </c>
      <c r="N78" s="120"/>
      <c r="O78" s="823">
        <f>M78*W78</f>
        <v>0</v>
      </c>
      <c r="P78" t="b">
        <v>1</v>
      </c>
      <c r="Q78" t="b">
        <v>0</v>
      </c>
      <c r="R78" t="b">
        <v>0</v>
      </c>
      <c r="S78" t="b">
        <v>1</v>
      </c>
      <c r="T78" t="b">
        <v>0</v>
      </c>
      <c r="W78" s="17"/>
      <c r="X78" s="817"/>
      <c r="AL78" t="str">
        <f>SUBSTITUTE(SUBSTITUTE(SUBSTITUTE("dpa"&amp;$B78&amp;$C78&amp;$D78&amp;$E78,".","_"),"(","_"),")","")</f>
        <v>dpa503_1_5</v>
      </c>
      <c r="AM78">
        <f>M78</f>
        <v>3</v>
      </c>
      <c r="AN78" t="str">
        <f>SUBSTITUTE(SUBSTITUTE(SUBSTITUTE("dpc"&amp;$B78&amp;$C78&amp;$D78&amp;$E78,".","_"),"(","_"),")","")</f>
        <v>dpc503_1_5</v>
      </c>
      <c r="AO78">
        <f>O78</f>
        <v>0</v>
      </c>
      <c r="AP78" t="str">
        <f>SUBSTITUTE(SUBSTITUTE(SUBSTITUTE("dch"&amp;$B78&amp;$C78&amp;$D78&amp;$E78,".","_"),"(","_"),")","")</f>
        <v>dch503_1_5</v>
      </c>
      <c r="AQ78" t="str">
        <f>IF(LEN(W78)=0,"",W78)</f>
        <v/>
      </c>
    </row>
    <row r="79" spans="2:45" x14ac:dyDescent="0.35">
      <c r="B79" s="13" t="s">
        <v>375</v>
      </c>
      <c r="C79" s="13" t="s">
        <v>275</v>
      </c>
      <c r="D79" s="13"/>
      <c r="E79" s="13"/>
      <c r="F79" s="13"/>
      <c r="G79" s="13"/>
      <c r="H79" s="455"/>
      <c r="I79" s="50"/>
      <c r="J79" s="100"/>
      <c r="K79" s="103"/>
      <c r="L79" s="821"/>
      <c r="M79" s="819"/>
      <c r="N79" s="104"/>
      <c r="O79" s="824"/>
      <c r="X79" s="817"/>
    </row>
    <row r="80" spans="2:45" x14ac:dyDescent="0.35">
      <c r="B80" s="13" t="s">
        <v>375</v>
      </c>
      <c r="C80" s="13" t="s">
        <v>277</v>
      </c>
      <c r="D80" s="13"/>
      <c r="E80" s="13"/>
      <c r="F80" s="13"/>
      <c r="G80" s="13"/>
      <c r="H80" s="455"/>
      <c r="I80" s="50"/>
      <c r="J80" s="47" t="s">
        <v>277</v>
      </c>
      <c r="K80" s="50"/>
      <c r="L80" s="814" t="s">
        <v>382</v>
      </c>
      <c r="M80" s="818">
        <v>4</v>
      </c>
      <c r="O80" s="832">
        <f>M80*W80</f>
        <v>0</v>
      </c>
      <c r="P80" t="b">
        <v>1</v>
      </c>
      <c r="Q80" t="b">
        <v>0</v>
      </c>
      <c r="R80" t="b">
        <v>0</v>
      </c>
      <c r="S80" t="b">
        <v>1</v>
      </c>
      <c r="T80" t="b">
        <v>0</v>
      </c>
      <c r="W80" s="17"/>
      <c r="X80" s="817"/>
      <c r="AL80" t="str">
        <f>SUBSTITUTE(SUBSTITUTE(SUBSTITUTE("dpa"&amp;$B80&amp;$C80&amp;$D80&amp;$E80,".","_"),"(","_"),")","")</f>
        <v>dpa503_1_6</v>
      </c>
      <c r="AM80">
        <f>M80</f>
        <v>4</v>
      </c>
      <c r="AN80" t="str">
        <f>SUBSTITUTE(SUBSTITUTE(SUBSTITUTE("dpc"&amp;$B80&amp;$C80&amp;$D80&amp;$E80,".","_"),"(","_"),")","")</f>
        <v>dpc503_1_6</v>
      </c>
      <c r="AO80">
        <f>O80</f>
        <v>0</v>
      </c>
      <c r="AP80" t="str">
        <f>SUBSTITUTE(SUBSTITUTE(SUBSTITUTE("dch"&amp;$B80&amp;$C80&amp;$D80&amp;$E80,".","_"),"(","_"),")","")</f>
        <v>dch503_1_6</v>
      </c>
      <c r="AQ80" t="str">
        <f>IF(LEN(W80)=0,"",W80)</f>
        <v/>
      </c>
    </row>
    <row r="81" spans="1:45" x14ac:dyDescent="0.35">
      <c r="B81" s="13" t="s">
        <v>375</v>
      </c>
      <c r="C81" s="13" t="s">
        <v>277</v>
      </c>
      <c r="D81" s="13"/>
      <c r="E81" s="13"/>
      <c r="F81" s="13"/>
      <c r="G81" s="13"/>
      <c r="H81" s="455"/>
      <c r="I81" s="50"/>
      <c r="J81" s="100"/>
      <c r="K81" s="103"/>
      <c r="L81" s="815"/>
      <c r="M81" s="819"/>
      <c r="N81" s="104"/>
      <c r="O81" s="824"/>
      <c r="X81" s="817"/>
    </row>
    <row r="82" spans="1:45" x14ac:dyDescent="0.35">
      <c r="B82" s="13" t="s">
        <v>375</v>
      </c>
      <c r="C82" s="13" t="s">
        <v>383</v>
      </c>
      <c r="D82" s="13"/>
      <c r="E82" s="13"/>
      <c r="F82" s="13"/>
      <c r="G82" s="13"/>
      <c r="H82" s="455"/>
      <c r="I82" s="50"/>
      <c r="J82" s="47" t="s">
        <v>383</v>
      </c>
      <c r="K82" s="50"/>
      <c r="L82" s="814" t="s">
        <v>384</v>
      </c>
      <c r="M82" s="818">
        <v>5</v>
      </c>
      <c r="O82" s="832">
        <f>M82*W82</f>
        <v>0</v>
      </c>
      <c r="P82" t="b">
        <v>1</v>
      </c>
      <c r="Q82" t="b">
        <v>0</v>
      </c>
      <c r="R82" t="b">
        <v>0</v>
      </c>
      <c r="S82" t="b">
        <v>1</v>
      </c>
      <c r="T82" t="b">
        <v>0</v>
      </c>
      <c r="W82" s="17"/>
      <c r="X82" s="817"/>
      <c r="AL82" t="str">
        <f>SUBSTITUTE(SUBSTITUTE(SUBSTITUTE("dpa"&amp;$B82&amp;$C82&amp;$D82&amp;$E82,".","_"),"(","_"),")","")</f>
        <v>dpa503_1_7</v>
      </c>
      <c r="AM82">
        <f>M82</f>
        <v>5</v>
      </c>
      <c r="AN82" t="str">
        <f>SUBSTITUTE(SUBSTITUTE(SUBSTITUTE("dpc"&amp;$B82&amp;$C82&amp;$D82&amp;$E82,".","_"),"(","_"),")","")</f>
        <v>dpc503_1_7</v>
      </c>
      <c r="AO82">
        <f>O82</f>
        <v>0</v>
      </c>
      <c r="AP82" t="str">
        <f>SUBSTITUTE(SUBSTITUTE(SUBSTITUTE("dch"&amp;$B82&amp;$C82&amp;$D82&amp;$E82,".","_"),"(","_"),")","")</f>
        <v>dch503_1_7</v>
      </c>
      <c r="AQ82" t="str">
        <f>IF(LEN(W82)=0,"",W82)</f>
        <v/>
      </c>
    </row>
    <row r="83" spans="1:45" x14ac:dyDescent="0.35">
      <c r="B83" s="13" t="s">
        <v>375</v>
      </c>
      <c r="C83" s="13" t="s">
        <v>383</v>
      </c>
      <c r="D83" s="13"/>
      <c r="E83" s="13"/>
      <c r="F83" s="13"/>
      <c r="G83" s="13"/>
      <c r="H83" s="455"/>
      <c r="I83" s="50"/>
      <c r="J83" s="50"/>
      <c r="K83" s="50"/>
      <c r="L83" s="814"/>
      <c r="M83" s="818"/>
      <c r="O83" s="832"/>
      <c r="X83" s="817"/>
    </row>
    <row r="84" spans="1:45" x14ac:dyDescent="0.35">
      <c r="A84"/>
      <c r="B84" s="13" t="s">
        <v>375</v>
      </c>
      <c r="C84" s="13" t="s">
        <v>428</v>
      </c>
      <c r="D84"/>
      <c r="E84"/>
      <c r="F84"/>
      <c r="G84"/>
      <c r="H84"/>
      <c r="J84" s="468" t="s">
        <v>428</v>
      </c>
      <c r="K84" s="471"/>
      <c r="L84" s="828" t="s">
        <v>4124</v>
      </c>
      <c r="M84" s="822">
        <v>6</v>
      </c>
      <c r="N84" s="120"/>
      <c r="O84" s="823">
        <f>M84*W84</f>
        <v>0</v>
      </c>
      <c r="P84" t="b">
        <v>1</v>
      </c>
      <c r="Q84" t="b">
        <v>0</v>
      </c>
      <c r="R84" t="b">
        <v>0</v>
      </c>
      <c r="S84" t="b">
        <v>1</v>
      </c>
      <c r="T84" t="b">
        <v>0</v>
      </c>
      <c r="W84" s="17"/>
      <c r="X84" s="817"/>
      <c r="AL84" t="str">
        <f>SUBSTITUTE(SUBSTITUTE(SUBSTITUTE("dpa"&amp;$B84&amp;$C84&amp;$D84&amp;$E84,".","_"),"(","_"),")","")</f>
        <v>dpa503_1_8</v>
      </c>
      <c r="AM84">
        <f>M84</f>
        <v>6</v>
      </c>
      <c r="AN84" t="str">
        <f>SUBSTITUTE(SUBSTITUTE(SUBSTITUTE("dpc"&amp;$B84&amp;$C84&amp;$D84&amp;$E84,".","_"),"(","_"),")","")</f>
        <v>dpc503_1_8</v>
      </c>
      <c r="AO84">
        <f>O84</f>
        <v>0</v>
      </c>
      <c r="AP84" t="str">
        <f>SUBSTITUTE(SUBSTITUTE(SUBSTITUTE("dch"&amp;$B84&amp;$C84&amp;$D84&amp;$E84,".","_"),"(","_"),")","")</f>
        <v>dch503_1_8</v>
      </c>
      <c r="AQ84" t="str">
        <f>IF(LEN(W84)=0,"",W84)</f>
        <v/>
      </c>
    </row>
    <row r="85" spans="1:45" x14ac:dyDescent="0.35">
      <c r="A85"/>
      <c r="B85" s="13" t="s">
        <v>375</v>
      </c>
      <c r="C85" s="13" t="s">
        <v>428</v>
      </c>
      <c r="D85"/>
      <c r="E85"/>
      <c r="F85"/>
      <c r="G85"/>
      <c r="H85"/>
      <c r="J85" s="467"/>
      <c r="K85" s="467"/>
      <c r="L85" s="825"/>
      <c r="M85" s="818"/>
      <c r="O85" s="832"/>
      <c r="X85" s="817"/>
    </row>
    <row r="86" spans="1:45" x14ac:dyDescent="0.35">
      <c r="A86"/>
      <c r="B86" s="13" t="s">
        <v>375</v>
      </c>
      <c r="C86" s="13" t="s">
        <v>428</v>
      </c>
      <c r="D86"/>
      <c r="E86"/>
      <c r="F86"/>
      <c r="G86"/>
      <c r="H86"/>
      <c r="J86" s="467"/>
      <c r="K86" s="467"/>
      <c r="L86" s="825"/>
      <c r="M86" s="818"/>
      <c r="O86" s="832"/>
      <c r="X86" s="817"/>
    </row>
    <row r="87" spans="1:45" x14ac:dyDescent="0.35">
      <c r="A87"/>
      <c r="B87" s="13" t="s">
        <v>375</v>
      </c>
      <c r="C87" s="13" t="s">
        <v>428</v>
      </c>
      <c r="D87"/>
      <c r="E87"/>
      <c r="F87"/>
      <c r="G87"/>
      <c r="H87"/>
      <c r="J87" s="467"/>
      <c r="K87" s="467"/>
      <c r="L87" s="825"/>
      <c r="M87" s="818"/>
      <c r="O87" s="832"/>
      <c r="X87" s="817"/>
    </row>
    <row r="88" spans="1:45" ht="15" thickBot="1" x14ac:dyDescent="0.4">
      <c r="A88"/>
      <c r="B88" s="13" t="s">
        <v>375</v>
      </c>
      <c r="C88" s="13" t="s">
        <v>428</v>
      </c>
      <c r="D88"/>
      <c r="E88"/>
      <c r="F88"/>
      <c r="G88"/>
      <c r="H88"/>
      <c r="I88" s="55"/>
      <c r="J88" s="473"/>
      <c r="K88" s="473"/>
      <c r="L88" s="826"/>
      <c r="M88" s="827"/>
      <c r="N88" s="55"/>
      <c r="O88" s="833"/>
      <c r="P88" s="55"/>
      <c r="Q88" s="55"/>
      <c r="R88" s="55"/>
      <c r="S88" s="55"/>
      <c r="T88" s="55"/>
      <c r="U88" s="55"/>
      <c r="V88" s="55"/>
      <c r="W88" s="55"/>
      <c r="X88" s="817"/>
    </row>
    <row r="89" spans="1:45" ht="15" customHeight="1" thickTop="1" x14ac:dyDescent="0.35">
      <c r="B89" s="13" t="s">
        <v>385</v>
      </c>
      <c r="C89" s="13"/>
      <c r="D89" s="13"/>
      <c r="E89" s="13"/>
      <c r="F89" s="13"/>
      <c r="G89" s="13"/>
      <c r="H89" s="455"/>
      <c r="I89" s="60">
        <v>503.2</v>
      </c>
      <c r="J89" s="61"/>
      <c r="K89" s="61"/>
      <c r="L89" s="274" t="s">
        <v>386</v>
      </c>
      <c r="M89" s="267"/>
      <c r="N89" s="59"/>
      <c r="O89" s="308"/>
      <c r="P89" s="59"/>
      <c r="Q89" s="59"/>
      <c r="R89" s="59"/>
      <c r="S89" s="59"/>
      <c r="T89" s="59"/>
      <c r="U89" s="59"/>
      <c r="V89" s="59"/>
      <c r="W89" s="59" t="s">
        <v>738</v>
      </c>
      <c r="X89" s="840"/>
      <c r="AR89" t="str">
        <f>SUBSTITUTE(SUBSTITUTE(SUBSTITUTE("dnt"&amp;$B89&amp;$C89&amp;$D89&amp;$E89,".","_"),"(","_"),")","")</f>
        <v>dnt503_2</v>
      </c>
      <c r="AS89" t="str">
        <f>IF(LEN(X89)=0,"",X89)</f>
        <v/>
      </c>
    </row>
    <row r="90" spans="1:45" x14ac:dyDescent="0.35">
      <c r="B90" s="13" t="s">
        <v>385</v>
      </c>
      <c r="C90" s="13"/>
      <c r="D90" s="13"/>
      <c r="E90" s="13"/>
      <c r="F90" s="13"/>
      <c r="G90" s="13"/>
      <c r="H90" s="455"/>
      <c r="I90" s="31"/>
      <c r="J90" s="50"/>
      <c r="K90" s="50"/>
      <c r="L90" s="218" t="s">
        <v>3379</v>
      </c>
      <c r="M90" s="40"/>
      <c r="O90" s="75"/>
      <c r="P90" t="b">
        <v>1</v>
      </c>
      <c r="Q90" t="b">
        <v>1</v>
      </c>
      <c r="R90" t="b">
        <v>0</v>
      </c>
      <c r="S90" t="b">
        <v>1</v>
      </c>
      <c r="T90" t="b">
        <v>0</v>
      </c>
      <c r="W90" s="62"/>
      <c r="X90" s="817"/>
      <c r="AP90" t="str">
        <f>SUBSTITUTE(SUBSTITUTE(SUBSTITUTE("dch"&amp;$B90&amp;$C90&amp;$D90&amp;$E90,".","_"),"(","_"),")","")</f>
        <v>dch503_2</v>
      </c>
      <c r="AQ90" t="str">
        <f>IF(LEN(W90)=0,"",W90)</f>
        <v/>
      </c>
    </row>
    <row r="91" spans="1:45" x14ac:dyDescent="0.35">
      <c r="B91" s="13" t="s">
        <v>385</v>
      </c>
      <c r="C91" s="13" t="s">
        <v>256</v>
      </c>
      <c r="D91" s="13"/>
      <c r="E91" s="13"/>
      <c r="F91" s="13"/>
      <c r="G91" s="13"/>
      <c r="H91" s="455"/>
      <c r="I91" s="50"/>
      <c r="J91" s="100" t="s">
        <v>256</v>
      </c>
      <c r="K91" s="103"/>
      <c r="L91" s="228" t="s">
        <v>387</v>
      </c>
      <c r="M91" s="268">
        <v>5</v>
      </c>
      <c r="N91" s="104"/>
      <c r="O91" s="309">
        <f>M91*W91*S91</f>
        <v>0</v>
      </c>
      <c r="P91" t="b">
        <v>1</v>
      </c>
      <c r="Q91" t="b">
        <v>1</v>
      </c>
      <c r="R91" t="b">
        <v>0</v>
      </c>
      <c r="S91" t="b">
        <f>IF(W90&gt;=0.25,TRUE,FALSE)</f>
        <v>0</v>
      </c>
      <c r="T91" t="b">
        <f>AND(NOT(S91),W91=TRUE)</f>
        <v>0</v>
      </c>
      <c r="W91" s="17"/>
      <c r="X91" s="817"/>
      <c r="AC91" t="b">
        <f>OR(AD91:AE91)</f>
        <v>0</v>
      </c>
      <c r="AD91" t="b">
        <f>T91</f>
        <v>0</v>
      </c>
      <c r="AL91" t="str">
        <f>SUBSTITUTE(SUBSTITUTE(SUBSTITUTE("dpa"&amp;$B91&amp;$C91&amp;$D91&amp;$E91,".","_"),"(","_"),")","")</f>
        <v>dpa503_2_1</v>
      </c>
      <c r="AM91">
        <f>M91</f>
        <v>5</v>
      </c>
      <c r="AN91" t="str">
        <f>SUBSTITUTE(SUBSTITUTE(SUBSTITUTE("dpc"&amp;$B91&amp;$C91&amp;$D91&amp;$E91,".","_"),"(","_"),")","")</f>
        <v>dpc503_2_1</v>
      </c>
      <c r="AO91">
        <f>O91</f>
        <v>0</v>
      </c>
      <c r="AP91" t="str">
        <f>SUBSTITUTE(SUBSTITUTE(SUBSTITUTE("dch"&amp;$B91&amp;$C91&amp;$D91&amp;$E91,".","_"),"(","_"),")","")</f>
        <v>dch503_2_1</v>
      </c>
      <c r="AQ91" t="str">
        <f>IF(LEN(W91)=0,"",W91)</f>
        <v/>
      </c>
    </row>
    <row r="92" spans="1:45" x14ac:dyDescent="0.35">
      <c r="B92" s="13" t="s">
        <v>385</v>
      </c>
      <c r="C92" s="13" t="s">
        <v>258</v>
      </c>
      <c r="D92" s="13"/>
      <c r="E92" s="13"/>
      <c r="F92" s="13"/>
      <c r="G92" s="13"/>
      <c r="H92" s="455"/>
      <c r="I92" s="50"/>
      <c r="J92" s="47" t="s">
        <v>258</v>
      </c>
      <c r="K92" s="50"/>
      <c r="L92" s="814" t="s">
        <v>388</v>
      </c>
      <c r="M92" s="818">
        <v>5</v>
      </c>
      <c r="O92" s="832">
        <f>M92*W92*S92</f>
        <v>0</v>
      </c>
      <c r="P92" t="b">
        <v>1</v>
      </c>
      <c r="Q92" t="b">
        <v>1</v>
      </c>
      <c r="R92" t="b">
        <v>0</v>
      </c>
      <c r="S92" t="b">
        <f>S91</f>
        <v>0</v>
      </c>
      <c r="T92" t="b">
        <f>AND(NOT(S92),W92=TRUE)</f>
        <v>0</v>
      </c>
      <c r="W92" s="17"/>
      <c r="X92" s="817"/>
      <c r="AC92" t="b">
        <f>OR(AD92:AE92)</f>
        <v>0</v>
      </c>
      <c r="AD92" t="b">
        <f>T92</f>
        <v>0</v>
      </c>
      <c r="AL92" t="str">
        <f>SUBSTITUTE(SUBSTITUTE(SUBSTITUTE("dpa"&amp;$B92&amp;$C92&amp;$D92&amp;$E92,".","_"),"(","_"),")","")</f>
        <v>dpa503_2_2</v>
      </c>
      <c r="AM92">
        <f>M92</f>
        <v>5</v>
      </c>
      <c r="AN92" t="str">
        <f>SUBSTITUTE(SUBSTITUTE(SUBSTITUTE("dpc"&amp;$B92&amp;$C92&amp;$D92&amp;$E92,".","_"),"(","_"),")","")</f>
        <v>dpc503_2_2</v>
      </c>
      <c r="AO92">
        <f>O92</f>
        <v>0</v>
      </c>
      <c r="AP92" t="str">
        <f>SUBSTITUTE(SUBSTITUTE(SUBSTITUTE("dch"&amp;$B92&amp;$C92&amp;$D92&amp;$E92,".","_"),"(","_"),")","")</f>
        <v>dch503_2_2</v>
      </c>
      <c r="AQ92" t="str">
        <f>IF(LEN(W92)=0,"",W92)</f>
        <v/>
      </c>
    </row>
    <row r="93" spans="1:45" x14ac:dyDescent="0.35">
      <c r="B93" s="13" t="s">
        <v>385</v>
      </c>
      <c r="C93" s="13" t="s">
        <v>258</v>
      </c>
      <c r="D93" s="13"/>
      <c r="E93" s="13"/>
      <c r="F93" s="13"/>
      <c r="G93" s="13"/>
      <c r="H93" s="455"/>
      <c r="I93" s="50"/>
      <c r="J93" s="103"/>
      <c r="K93" s="103"/>
      <c r="L93" s="815"/>
      <c r="M93" s="819"/>
      <c r="N93" s="104"/>
      <c r="O93" s="824"/>
      <c r="X93" s="817"/>
    </row>
    <row r="94" spans="1:45" x14ac:dyDescent="0.35">
      <c r="B94" s="13" t="s">
        <v>385</v>
      </c>
      <c r="C94" s="13" t="s">
        <v>260</v>
      </c>
      <c r="D94" s="13"/>
      <c r="E94" s="13"/>
      <c r="F94" s="13"/>
      <c r="G94" s="13"/>
      <c r="H94" s="455"/>
      <c r="I94" s="50"/>
      <c r="J94" s="47" t="s">
        <v>260</v>
      </c>
      <c r="K94" s="50"/>
      <c r="L94" s="814" t="s">
        <v>389</v>
      </c>
      <c r="M94" s="40"/>
      <c r="O94" s="832">
        <f ca="1">S94*IFERROR(INDEX({1,4,6},MATCH(W94,INDIRECT(U94))),0)</f>
        <v>0</v>
      </c>
      <c r="P94" t="b">
        <v>1</v>
      </c>
      <c r="Q94" t="b">
        <v>1</v>
      </c>
      <c r="R94" t="b">
        <v>0</v>
      </c>
      <c r="S94" t="b">
        <f>S91</f>
        <v>0</v>
      </c>
      <c r="T94" t="b">
        <f>AND(NOT(S94),LEN(W94)&gt;0)</f>
        <v>0</v>
      </c>
      <c r="U94" t="str">
        <f>SUBSTITUTE(SUBSTITUTE(SUBSTITUTE("dd"&amp;B94&amp;C94&amp;D94&amp;E94&amp;F94,".","_"),"(","_"),")","")</f>
        <v>dd503_2_3</v>
      </c>
      <c r="W94" s="9"/>
      <c r="X94" s="817"/>
      <c r="AC94" t="b">
        <f>OR(AD94:AE94)</f>
        <v>0</v>
      </c>
      <c r="AD94" t="b">
        <f>T94</f>
        <v>0</v>
      </c>
      <c r="AN94" t="str">
        <f>SUBSTITUTE(SUBSTITUTE(SUBSTITUTE("dpc"&amp;$B94&amp;$C94&amp;$D94&amp;$E94,".","_"),"(","_"),")","")</f>
        <v>dpc503_2_3</v>
      </c>
      <c r="AO94">
        <f ca="1">O94</f>
        <v>0</v>
      </c>
      <c r="AP94" t="str">
        <f>SUBSTITUTE(SUBSTITUTE(SUBSTITUTE("dch"&amp;$B94&amp;$C94&amp;$D94&amp;$E94,".","_"),"(","_"),")","")</f>
        <v>dch503_2_3</v>
      </c>
      <c r="AQ94" t="str">
        <f>IF(LEN(W94)=0,"",W94)</f>
        <v/>
      </c>
    </row>
    <row r="95" spans="1:45" x14ac:dyDescent="0.35">
      <c r="B95" s="13" t="s">
        <v>385</v>
      </c>
      <c r="C95" s="13" t="s">
        <v>260</v>
      </c>
      <c r="D95" s="13"/>
      <c r="E95" s="13"/>
      <c r="F95" s="13"/>
      <c r="G95" s="13"/>
      <c r="H95" s="455"/>
      <c r="I95" s="50"/>
      <c r="J95" s="50"/>
      <c r="K95" s="50"/>
      <c r="L95" s="814"/>
      <c r="M95" s="40"/>
      <c r="O95" s="832"/>
      <c r="X95" s="817"/>
    </row>
    <row r="96" spans="1:45" x14ac:dyDescent="0.35">
      <c r="B96" s="13" t="s">
        <v>385</v>
      </c>
      <c r="C96" s="13" t="s">
        <v>260</v>
      </c>
      <c r="D96" s="13" t="s">
        <v>121</v>
      </c>
      <c r="E96" s="13"/>
      <c r="F96" s="13"/>
      <c r="G96" s="13"/>
      <c r="H96" s="455"/>
      <c r="I96" s="50"/>
      <c r="J96" s="50"/>
      <c r="K96" s="47" t="s">
        <v>121</v>
      </c>
      <c r="L96" s="90" t="s">
        <v>766</v>
      </c>
      <c r="M96" s="40">
        <v>1</v>
      </c>
      <c r="O96" s="75"/>
      <c r="X96" s="817"/>
      <c r="AL96" t="str">
        <f>SUBSTITUTE(SUBSTITUTE(SUBSTITUTE("dpa"&amp;$B96&amp;$C96&amp;$D96&amp;$E96,".","_"),"(","_"),")","")</f>
        <v>dpa503_2_3_a</v>
      </c>
      <c r="AM96">
        <f>M96</f>
        <v>1</v>
      </c>
    </row>
    <row r="97" spans="2:45" x14ac:dyDescent="0.35">
      <c r="B97" s="13" t="s">
        <v>385</v>
      </c>
      <c r="C97" s="13" t="s">
        <v>260</v>
      </c>
      <c r="D97" s="13" t="s">
        <v>122</v>
      </c>
      <c r="E97" s="13"/>
      <c r="F97" s="13"/>
      <c r="G97" s="13"/>
      <c r="H97" s="455"/>
      <c r="I97" s="50"/>
      <c r="J97" s="50"/>
      <c r="K97" s="47" t="s">
        <v>122</v>
      </c>
      <c r="L97" s="90" t="s">
        <v>390</v>
      </c>
      <c r="M97" s="40">
        <v>4</v>
      </c>
      <c r="O97" s="75"/>
      <c r="X97" s="817"/>
      <c r="AL97" t="str">
        <f>SUBSTITUTE(SUBSTITUTE(SUBSTITUTE("dpa"&amp;$B97&amp;$C97&amp;$D97&amp;$E97,".","_"),"(","_"),")","")</f>
        <v>dpa503_2_3_b</v>
      </c>
      <c r="AM97">
        <f>M97</f>
        <v>4</v>
      </c>
    </row>
    <row r="98" spans="2:45" x14ac:dyDescent="0.35">
      <c r="B98" s="13" t="s">
        <v>385</v>
      </c>
      <c r="C98" s="13" t="s">
        <v>260</v>
      </c>
      <c r="D98" s="18" t="s">
        <v>123</v>
      </c>
      <c r="E98" s="18"/>
      <c r="F98" s="18"/>
      <c r="G98" s="18"/>
      <c r="H98" s="455"/>
      <c r="I98" s="50"/>
      <c r="J98" s="103"/>
      <c r="K98" s="105" t="s">
        <v>123</v>
      </c>
      <c r="L98" s="228" t="s">
        <v>391</v>
      </c>
      <c r="M98" s="268">
        <v>6</v>
      </c>
      <c r="O98" s="309"/>
      <c r="X98" s="817"/>
      <c r="AL98" t="str">
        <f>SUBSTITUTE(SUBSTITUTE(SUBSTITUTE("dpa"&amp;$B98&amp;$C98&amp;$D98&amp;$E98,".","_"),"(","_"),")","")</f>
        <v>dpa503_2_3_c</v>
      </c>
      <c r="AM98">
        <f>M98</f>
        <v>6</v>
      </c>
    </row>
    <row r="99" spans="2:45" x14ac:dyDescent="0.35">
      <c r="B99" s="13" t="s">
        <v>385</v>
      </c>
      <c r="C99" s="13" t="s">
        <v>269</v>
      </c>
      <c r="D99" s="13"/>
      <c r="E99" s="13"/>
      <c r="F99" s="13"/>
      <c r="G99" s="13"/>
      <c r="H99" s="455"/>
      <c r="I99" s="50"/>
      <c r="J99" s="47" t="s">
        <v>269</v>
      </c>
      <c r="K99" s="50"/>
      <c r="L99" s="814" t="s">
        <v>392</v>
      </c>
      <c r="M99" s="818">
        <v>6</v>
      </c>
      <c r="N99" s="120"/>
      <c r="O99" s="832">
        <f>M99*W99*S99</f>
        <v>0</v>
      </c>
      <c r="P99" t="b">
        <v>1</v>
      </c>
      <c r="Q99" t="b">
        <v>1</v>
      </c>
      <c r="R99" t="b">
        <v>0</v>
      </c>
      <c r="S99" t="b">
        <f>S91</f>
        <v>0</v>
      </c>
      <c r="T99" t="b">
        <f>AND(NOT(S99),W99=TRUE)</f>
        <v>0</v>
      </c>
      <c r="W99" s="17"/>
      <c r="X99" s="817"/>
      <c r="AC99" t="b">
        <f>OR(AD99:AE99)</f>
        <v>0</v>
      </c>
      <c r="AD99" t="b">
        <f>T99</f>
        <v>0</v>
      </c>
      <c r="AL99" t="str">
        <f>SUBSTITUTE(SUBSTITUTE(SUBSTITUTE("dpa"&amp;$B99&amp;$C99&amp;$D99&amp;$E99,".","_"),"(","_"),")","")</f>
        <v>dpa503_2_4</v>
      </c>
      <c r="AM99">
        <f>M99</f>
        <v>6</v>
      </c>
      <c r="AN99" t="str">
        <f>SUBSTITUTE(SUBSTITUTE(SUBSTITUTE("dpc"&amp;$B99&amp;$C99&amp;$D99&amp;$E99,".","_"),"(","_"),")","")</f>
        <v>dpc503_2_4</v>
      </c>
      <c r="AO99">
        <f>O99</f>
        <v>0</v>
      </c>
      <c r="AP99" t="str">
        <f>SUBSTITUTE(SUBSTITUTE(SUBSTITUTE("dch"&amp;$B99&amp;$C99&amp;$D99&amp;$E99,".","_"),"(","_"),")","")</f>
        <v>dch503_2_4</v>
      </c>
      <c r="AQ99" t="str">
        <f>IF(LEN(W99)=0,"",W99)</f>
        <v/>
      </c>
    </row>
    <row r="100" spans="2:45" x14ac:dyDescent="0.35">
      <c r="B100" s="13" t="s">
        <v>385</v>
      </c>
      <c r="C100" s="13" t="s">
        <v>269</v>
      </c>
      <c r="D100" s="13"/>
      <c r="E100" s="13"/>
      <c r="F100" s="13"/>
      <c r="G100" s="13"/>
      <c r="H100" s="455"/>
      <c r="I100" s="50"/>
      <c r="J100" s="103"/>
      <c r="K100" s="103"/>
      <c r="L100" s="815"/>
      <c r="M100" s="819"/>
      <c r="N100" s="104"/>
      <c r="O100" s="824"/>
      <c r="X100" s="817"/>
    </row>
    <row r="101" spans="2:45" ht="15" thickBot="1" x14ac:dyDescent="0.4">
      <c r="B101" s="13" t="s">
        <v>385</v>
      </c>
      <c r="C101" s="13" t="s">
        <v>275</v>
      </c>
      <c r="D101" s="13"/>
      <c r="E101" s="13"/>
      <c r="F101" s="13"/>
      <c r="G101" s="13"/>
      <c r="H101" s="455"/>
      <c r="I101" s="57"/>
      <c r="J101" s="52" t="s">
        <v>275</v>
      </c>
      <c r="K101" s="57"/>
      <c r="L101" s="229" t="s">
        <v>393</v>
      </c>
      <c r="M101" s="270">
        <v>5</v>
      </c>
      <c r="N101" s="55"/>
      <c r="O101" s="161">
        <f>M101*W101*S101</f>
        <v>0</v>
      </c>
      <c r="P101" t="b">
        <v>1</v>
      </c>
      <c r="Q101" t="b">
        <v>1</v>
      </c>
      <c r="R101" s="55" t="b">
        <v>0</v>
      </c>
      <c r="S101" s="55" t="b">
        <f>S91</f>
        <v>0</v>
      </c>
      <c r="T101" t="b">
        <f>AND(NOT(S101),W101=TRUE)</f>
        <v>0</v>
      </c>
      <c r="U101" s="55"/>
      <c r="V101" s="55"/>
      <c r="W101" s="17"/>
      <c r="X101" s="829"/>
      <c r="AC101" t="b">
        <f>OR(AD101:AE101)</f>
        <v>0</v>
      </c>
      <c r="AD101" t="b">
        <f>T101</f>
        <v>0</v>
      </c>
      <c r="AL101" t="str">
        <f>SUBSTITUTE(SUBSTITUTE(SUBSTITUTE("dpa"&amp;$B101&amp;$C101&amp;$D101&amp;$E101,".","_"),"(","_"),")","")</f>
        <v>dpa503_2_5</v>
      </c>
      <c r="AM101">
        <f>M101</f>
        <v>5</v>
      </c>
      <c r="AN101" t="str">
        <f>SUBSTITUTE(SUBSTITUTE(SUBSTITUTE("dpc"&amp;$B101&amp;$C101&amp;$D101&amp;$E101,".","_"),"(","_"),")","")</f>
        <v>dpc503_2_5</v>
      </c>
      <c r="AO101">
        <f>O101</f>
        <v>0</v>
      </c>
      <c r="AP101" t="str">
        <f>SUBSTITUTE(SUBSTITUTE(SUBSTITUTE("dch"&amp;$B101&amp;$C101&amp;$D101&amp;$E101,".","_"),"(","_"),")","")</f>
        <v>dch503_2_5</v>
      </c>
      <c r="AQ101" t="str">
        <f>IF(LEN(W101)=0,"",W101)</f>
        <v/>
      </c>
    </row>
    <row r="102" spans="2:45" ht="15" thickTop="1" x14ac:dyDescent="0.35">
      <c r="B102" s="13" t="s">
        <v>394</v>
      </c>
      <c r="C102" s="13"/>
      <c r="D102" s="13"/>
      <c r="E102" s="13"/>
      <c r="F102" s="13"/>
      <c r="G102" s="13"/>
      <c r="H102" s="455"/>
      <c r="I102" s="60">
        <v>503.3</v>
      </c>
      <c r="J102" s="61"/>
      <c r="K102" s="61"/>
      <c r="L102" s="837" t="s">
        <v>395</v>
      </c>
      <c r="M102" s="267"/>
      <c r="N102" s="59"/>
      <c r="O102" s="308"/>
      <c r="P102" s="59"/>
      <c r="Q102" s="59"/>
      <c r="R102" s="59"/>
      <c r="S102" s="59"/>
      <c r="T102" s="59"/>
      <c r="U102" s="59"/>
      <c r="V102" s="59"/>
      <c r="W102" s="59"/>
      <c r="X102" s="840"/>
      <c r="AR102" t="str">
        <f>SUBSTITUTE(SUBSTITUTE(SUBSTITUTE("dnt"&amp;$B102&amp;$C102&amp;$D102&amp;$E102,".","_"),"(","_"),")","")</f>
        <v>dnt503_3</v>
      </c>
      <c r="AS102" t="str">
        <f>IF(LEN(X102)=0,"",X102)</f>
        <v/>
      </c>
    </row>
    <row r="103" spans="2:45" x14ac:dyDescent="0.35">
      <c r="B103" s="13" t="s">
        <v>394</v>
      </c>
      <c r="C103" s="13"/>
      <c r="D103" s="13"/>
      <c r="E103" s="13"/>
      <c r="F103" s="13"/>
      <c r="G103" s="13"/>
      <c r="H103" s="455"/>
      <c r="I103" s="50"/>
      <c r="J103" s="50"/>
      <c r="K103" s="50"/>
      <c r="L103" s="838"/>
      <c r="M103" s="40"/>
      <c r="O103" s="75"/>
      <c r="X103" s="817"/>
    </row>
    <row r="104" spans="2:45" x14ac:dyDescent="0.35">
      <c r="B104" s="13" t="s">
        <v>394</v>
      </c>
      <c r="C104" s="13"/>
      <c r="D104" s="13"/>
      <c r="E104" s="13"/>
      <c r="F104" s="13"/>
      <c r="G104" s="13"/>
      <c r="H104" s="455"/>
      <c r="I104" s="50"/>
      <c r="J104" s="50"/>
      <c r="K104" s="50"/>
      <c r="L104" s="218" t="s">
        <v>767</v>
      </c>
      <c r="M104" s="40"/>
      <c r="O104" s="75"/>
      <c r="X104" s="817"/>
    </row>
    <row r="105" spans="2:45" x14ac:dyDescent="0.35">
      <c r="B105" s="13" t="s">
        <v>394</v>
      </c>
      <c r="C105" s="13" t="s">
        <v>256</v>
      </c>
      <c r="D105" s="13"/>
      <c r="E105" s="13"/>
      <c r="F105" s="13"/>
      <c r="G105" s="13"/>
      <c r="H105" s="455"/>
      <c r="I105" s="50"/>
      <c r="J105" s="47" t="s">
        <v>256</v>
      </c>
      <c r="K105" s="50"/>
      <c r="L105" s="814" t="s">
        <v>396</v>
      </c>
      <c r="M105" s="818">
        <v>5</v>
      </c>
      <c r="O105" s="832">
        <f>M105*W105</f>
        <v>0</v>
      </c>
      <c r="P105" t="b">
        <v>1</v>
      </c>
      <c r="Q105" t="b">
        <v>0</v>
      </c>
      <c r="R105" t="b">
        <v>0</v>
      </c>
      <c r="S105" t="b">
        <v>1</v>
      </c>
      <c r="T105" t="b">
        <v>0</v>
      </c>
      <c r="W105" s="17"/>
      <c r="X105" s="817"/>
      <c r="AL105" t="str">
        <f>SUBSTITUTE(SUBSTITUTE(SUBSTITUTE("dpa"&amp;$B105&amp;$C105&amp;$D105&amp;$E105,".","_"),"(","_"),")","")</f>
        <v>dpa503_3_1</v>
      </c>
      <c r="AM105">
        <f>M105</f>
        <v>5</v>
      </c>
      <c r="AN105" t="str">
        <f>SUBSTITUTE(SUBSTITUTE(SUBSTITUTE("dpc"&amp;$B105&amp;$C105&amp;$D105&amp;$E105,".","_"),"(","_"),")","")</f>
        <v>dpc503_3_1</v>
      </c>
      <c r="AO105">
        <f>O105</f>
        <v>0</v>
      </c>
      <c r="AP105" t="str">
        <f>SUBSTITUTE(SUBSTITUTE(SUBSTITUTE("dch"&amp;$B105&amp;$C105&amp;$D105&amp;$E105,".","_"),"(","_"),")","")</f>
        <v>dch503_3_1</v>
      </c>
      <c r="AQ105" t="str">
        <f>IF(LEN(W105)=0,"",W105)</f>
        <v/>
      </c>
    </row>
    <row r="106" spans="2:45" x14ac:dyDescent="0.35">
      <c r="B106" s="13" t="s">
        <v>394</v>
      </c>
      <c r="C106" s="13" t="s">
        <v>256</v>
      </c>
      <c r="D106" s="13"/>
      <c r="E106" s="13"/>
      <c r="F106" s="13"/>
      <c r="G106" s="13"/>
      <c r="H106" s="455"/>
      <c r="I106" s="50"/>
      <c r="J106" s="100"/>
      <c r="K106" s="103"/>
      <c r="L106" s="815"/>
      <c r="M106" s="819"/>
      <c r="N106" s="104"/>
      <c r="O106" s="824"/>
      <c r="X106" s="817"/>
    </row>
    <row r="107" spans="2:45" x14ac:dyDescent="0.35">
      <c r="B107" s="13" t="s">
        <v>394</v>
      </c>
      <c r="C107" s="13" t="s">
        <v>258</v>
      </c>
      <c r="D107" s="13"/>
      <c r="E107" s="13"/>
      <c r="F107" s="13"/>
      <c r="G107" s="13"/>
      <c r="H107" s="455"/>
      <c r="I107" s="50"/>
      <c r="J107" s="47" t="s">
        <v>258</v>
      </c>
      <c r="K107" s="50"/>
      <c r="L107" s="814" t="s">
        <v>397</v>
      </c>
      <c r="M107" s="822">
        <v>5</v>
      </c>
      <c r="O107" s="823">
        <f>M107*MIN(W109+W110+W112+W113,1)</f>
        <v>0</v>
      </c>
      <c r="P107" t="b">
        <v>1</v>
      </c>
      <c r="Q107" t="b">
        <v>0</v>
      </c>
      <c r="R107" t="b">
        <v>0</v>
      </c>
      <c r="S107" t="b">
        <v>1</v>
      </c>
      <c r="T107" t="b">
        <v>0</v>
      </c>
      <c r="X107" s="817"/>
      <c r="AL107" t="str">
        <f>SUBSTITUTE(SUBSTITUTE(SUBSTITUTE("dpa"&amp;$B107&amp;$C107&amp;$D107&amp;$E107,".","_"),"(","_"),")","")</f>
        <v>dpa503_3_2</v>
      </c>
      <c r="AM107">
        <f>M107</f>
        <v>5</v>
      </c>
      <c r="AN107" t="str">
        <f>SUBSTITUTE(SUBSTITUTE(SUBSTITUTE("dpc"&amp;$B107&amp;$C107&amp;$D107&amp;$E107,".","_"),"(","_"),")","")</f>
        <v>dpc503_3_2</v>
      </c>
      <c r="AO107">
        <f>O107</f>
        <v>0</v>
      </c>
    </row>
    <row r="108" spans="2:45" x14ac:dyDescent="0.35">
      <c r="B108" s="13" t="s">
        <v>394</v>
      </c>
      <c r="C108" s="13" t="s">
        <v>258</v>
      </c>
      <c r="D108" s="13"/>
      <c r="E108" s="13"/>
      <c r="F108" s="13"/>
      <c r="G108" s="13"/>
      <c r="H108" s="455"/>
      <c r="I108" s="50"/>
      <c r="J108" s="50"/>
      <c r="K108" s="50"/>
      <c r="L108" s="814"/>
      <c r="M108" s="818"/>
      <c r="O108" s="832"/>
      <c r="X108" s="817"/>
    </row>
    <row r="109" spans="2:45" x14ac:dyDescent="0.35">
      <c r="B109" s="13" t="s">
        <v>394</v>
      </c>
      <c r="C109" s="13" t="s">
        <v>258</v>
      </c>
      <c r="D109" s="13" t="s">
        <v>121</v>
      </c>
      <c r="E109" s="13"/>
      <c r="F109" s="13"/>
      <c r="G109" s="13"/>
      <c r="H109" s="455"/>
      <c r="I109" s="50"/>
      <c r="J109" s="50"/>
      <c r="K109" s="47" t="s">
        <v>121</v>
      </c>
      <c r="L109" s="90" t="s">
        <v>398</v>
      </c>
      <c r="M109" s="818"/>
      <c r="O109" s="832"/>
      <c r="P109" t="b">
        <v>1</v>
      </c>
      <c r="Q109" t="b">
        <v>0</v>
      </c>
      <c r="R109" t="b">
        <v>0</v>
      </c>
      <c r="S109" t="b">
        <v>1</v>
      </c>
      <c r="T109" t="b">
        <v>0</v>
      </c>
      <c r="W109" s="17"/>
      <c r="X109" s="817"/>
      <c r="AP109" t="str">
        <f>SUBSTITUTE(SUBSTITUTE(SUBSTITUTE("dch"&amp;$B109&amp;$C109&amp;$D109&amp;$E109,".","_"),"(","_"),")","")</f>
        <v>dch503_3_2_a</v>
      </c>
      <c r="AQ109" t="str">
        <f>IF(LEN(W109)=0,"",W109)</f>
        <v/>
      </c>
    </row>
    <row r="110" spans="2:45" x14ac:dyDescent="0.35">
      <c r="B110" s="13" t="s">
        <v>394</v>
      </c>
      <c r="C110" s="13" t="s">
        <v>258</v>
      </c>
      <c r="D110" s="13" t="s">
        <v>122</v>
      </c>
      <c r="E110" s="13"/>
      <c r="F110" s="13"/>
      <c r="G110" s="13"/>
      <c r="H110" s="455"/>
      <c r="I110" s="50"/>
      <c r="J110" s="50"/>
      <c r="K110" s="47" t="s">
        <v>122</v>
      </c>
      <c r="L110" s="814" t="s">
        <v>399</v>
      </c>
      <c r="M110" s="818"/>
      <c r="O110" s="832"/>
      <c r="P110" t="b">
        <v>1</v>
      </c>
      <c r="Q110" t="b">
        <v>0</v>
      </c>
      <c r="R110" t="b">
        <v>0</v>
      </c>
      <c r="S110" t="b">
        <v>1</v>
      </c>
      <c r="T110" t="b">
        <v>0</v>
      </c>
      <c r="W110" s="17"/>
      <c r="X110" s="817"/>
      <c r="AP110" t="str">
        <f>SUBSTITUTE(SUBSTITUTE(SUBSTITUTE("dch"&amp;$B110&amp;$C110&amp;$D110&amp;$E110,".","_"),"(","_"),")","")</f>
        <v>dch503_3_2_b</v>
      </c>
      <c r="AQ110" t="str">
        <f>IF(LEN(W110)=0,"",W110)</f>
        <v/>
      </c>
    </row>
    <row r="111" spans="2:45" x14ac:dyDescent="0.35">
      <c r="B111" s="13" t="s">
        <v>394</v>
      </c>
      <c r="C111" s="13" t="s">
        <v>258</v>
      </c>
      <c r="D111" s="13" t="s">
        <v>122</v>
      </c>
      <c r="E111" s="13"/>
      <c r="F111" s="13"/>
      <c r="G111" s="13"/>
      <c r="H111" s="455"/>
      <c r="I111" s="50"/>
      <c r="J111" s="50"/>
      <c r="K111" s="50"/>
      <c r="L111" s="814"/>
      <c r="M111" s="818"/>
      <c r="O111" s="832"/>
      <c r="X111" s="817"/>
    </row>
    <row r="112" spans="2:45" x14ac:dyDescent="0.35">
      <c r="B112" s="13" t="s">
        <v>394</v>
      </c>
      <c r="C112" s="13" t="s">
        <v>258</v>
      </c>
      <c r="D112" s="18" t="s">
        <v>123</v>
      </c>
      <c r="E112" s="18"/>
      <c r="F112" s="18"/>
      <c r="G112" s="18"/>
      <c r="H112" s="455"/>
      <c r="I112" s="50"/>
      <c r="J112" s="50"/>
      <c r="K112" s="49" t="s">
        <v>123</v>
      </c>
      <c r="L112" s="90" t="s">
        <v>400</v>
      </c>
      <c r="M112" s="818"/>
      <c r="O112" s="832"/>
      <c r="P112" t="b">
        <v>1</v>
      </c>
      <c r="Q112" t="b">
        <v>0</v>
      </c>
      <c r="R112" t="b">
        <v>0</v>
      </c>
      <c r="S112" t="b">
        <v>1</v>
      </c>
      <c r="T112" t="b">
        <v>0</v>
      </c>
      <c r="W112" s="17"/>
      <c r="X112" s="817"/>
      <c r="AP112" t="str">
        <f>SUBSTITUTE(SUBSTITUTE(SUBSTITUTE("dch"&amp;$B112&amp;$C112&amp;$D112&amp;$E112,".","_"),"(","_"),")","")</f>
        <v>dch503_3_2_c</v>
      </c>
      <c r="AQ112" t="str">
        <f>IF(LEN(W112)=0,"",W112)</f>
        <v/>
      </c>
    </row>
    <row r="113" spans="2:45" x14ac:dyDescent="0.35">
      <c r="B113" s="13" t="s">
        <v>394</v>
      </c>
      <c r="C113" s="13" t="s">
        <v>258</v>
      </c>
      <c r="D113" s="18" t="s">
        <v>401</v>
      </c>
      <c r="E113" s="18"/>
      <c r="F113" s="18"/>
      <c r="G113" s="18"/>
      <c r="H113" s="455"/>
      <c r="I113" s="50"/>
      <c r="J113" s="103"/>
      <c r="K113" s="105" t="s">
        <v>401</v>
      </c>
      <c r="L113" s="228" t="s">
        <v>402</v>
      </c>
      <c r="M113" s="819"/>
      <c r="N113" s="104"/>
      <c r="O113" s="824"/>
      <c r="P113" t="b">
        <v>1</v>
      </c>
      <c r="Q113" t="b">
        <v>0</v>
      </c>
      <c r="R113" t="b">
        <v>0</v>
      </c>
      <c r="S113" t="b">
        <v>1</v>
      </c>
      <c r="T113" t="b">
        <v>0</v>
      </c>
      <c r="W113" s="17"/>
      <c r="X113" s="817"/>
      <c r="AP113" t="str">
        <f>SUBSTITUTE(SUBSTITUTE(SUBSTITUTE("dch"&amp;$B113&amp;$C113&amp;$D113&amp;$E113,".","_"),"(","_"),")","")</f>
        <v>dch503_3_2_d</v>
      </c>
      <c r="AQ113" t="str">
        <f>IF(LEN(W113)=0,"",W113)</f>
        <v/>
      </c>
    </row>
    <row r="114" spans="2:45" ht="15" thickBot="1" x14ac:dyDescent="0.4">
      <c r="B114" s="13" t="s">
        <v>394</v>
      </c>
      <c r="C114" s="13" t="s">
        <v>260</v>
      </c>
      <c r="D114" s="13"/>
      <c r="E114" s="13"/>
      <c r="F114" s="13"/>
      <c r="G114" s="13"/>
      <c r="H114" s="455"/>
      <c r="I114" s="57"/>
      <c r="J114" s="52" t="s">
        <v>260</v>
      </c>
      <c r="K114" s="57"/>
      <c r="L114" s="229" t="s">
        <v>403</v>
      </c>
      <c r="M114" s="270">
        <v>5</v>
      </c>
      <c r="N114" s="55"/>
      <c r="O114" s="161">
        <f>M114*W114</f>
        <v>5</v>
      </c>
      <c r="P114" t="b">
        <v>1</v>
      </c>
      <c r="Q114" t="b">
        <v>0</v>
      </c>
      <c r="R114" s="55" t="b">
        <v>0</v>
      </c>
      <c r="S114" s="55" t="b">
        <v>1</v>
      </c>
      <c r="T114" s="55" t="b">
        <v>0</v>
      </c>
      <c r="U114" s="55"/>
      <c r="V114" s="55"/>
      <c r="W114" s="111" t="b">
        <v>1</v>
      </c>
      <c r="X114" s="829"/>
      <c r="AL114" t="str">
        <f>SUBSTITUTE(SUBSTITUTE(SUBSTITUTE("dpa"&amp;$B114&amp;$C114&amp;$D114&amp;$E114,".","_"),"(","_"),")","")</f>
        <v>dpa503_3_3</v>
      </c>
      <c r="AM114">
        <f>M114</f>
        <v>5</v>
      </c>
      <c r="AN114" t="str">
        <f>SUBSTITUTE(SUBSTITUTE(SUBSTITUTE("dpc"&amp;$B114&amp;$C114&amp;$D114&amp;$E114,".","_"),"(","_"),")","")</f>
        <v>dpc503_3_3</v>
      </c>
      <c r="AO114">
        <f>O114</f>
        <v>5</v>
      </c>
      <c r="AP114" t="str">
        <f>SUBSTITUTE(SUBSTITUTE(SUBSTITUTE("dch"&amp;$B114&amp;$C114&amp;$D114&amp;$E114,".","_"),"(","_"),")","")</f>
        <v>dch503_3_3</v>
      </c>
      <c r="AQ114" t="b">
        <f>IF(LEN(W114)=0,"",W114)</f>
        <v>1</v>
      </c>
    </row>
    <row r="115" spans="2:45" ht="15.75" customHeight="1" thickTop="1" x14ac:dyDescent="0.35">
      <c r="B115" s="13" t="s">
        <v>404</v>
      </c>
      <c r="C115" s="13"/>
      <c r="D115" s="13"/>
      <c r="E115" s="13"/>
      <c r="F115" s="13"/>
      <c r="G115" s="13"/>
      <c r="H115" s="455"/>
      <c r="I115" s="31">
        <v>503.4</v>
      </c>
      <c r="J115" s="50"/>
      <c r="K115" s="50"/>
      <c r="L115" s="837" t="s">
        <v>405</v>
      </c>
      <c r="M115" s="40"/>
      <c r="O115" s="75"/>
      <c r="W115" s="110"/>
      <c r="X115" s="864"/>
      <c r="AR115" t="str">
        <f>SUBSTITUTE(SUBSTITUTE(SUBSTITUTE("dnt"&amp;$B115&amp;$C115&amp;$D115&amp;$E115,".","_"),"(","_"),")","")</f>
        <v>dnt503_4</v>
      </c>
      <c r="AS115" t="str">
        <f>IF(LEN(X115)=0,"",X115)</f>
        <v/>
      </c>
    </row>
    <row r="116" spans="2:45" x14ac:dyDescent="0.35">
      <c r="B116" s="13" t="s">
        <v>404</v>
      </c>
      <c r="C116" s="13"/>
      <c r="D116" s="13"/>
      <c r="E116" s="13"/>
      <c r="F116" s="13"/>
      <c r="G116" s="13"/>
      <c r="H116" s="455"/>
      <c r="I116" s="50"/>
      <c r="J116" s="50"/>
      <c r="K116" s="50"/>
      <c r="L116" s="838"/>
      <c r="M116" s="40"/>
      <c r="O116" s="75"/>
      <c r="X116" s="851"/>
    </row>
    <row r="117" spans="2:45" x14ac:dyDescent="0.35">
      <c r="B117" s="13" t="s">
        <v>404</v>
      </c>
      <c r="C117" s="13"/>
      <c r="D117" s="13"/>
      <c r="E117" s="13"/>
      <c r="F117" s="13"/>
      <c r="G117" s="13"/>
      <c r="H117" s="455"/>
      <c r="I117" s="50"/>
      <c r="J117" s="50"/>
      <c r="K117" s="50"/>
      <c r="L117" s="838"/>
      <c r="M117" s="40"/>
      <c r="O117" s="75"/>
      <c r="X117" s="851"/>
    </row>
    <row r="118" spans="2:45" x14ac:dyDescent="0.35">
      <c r="B118" s="13" t="s">
        <v>404</v>
      </c>
      <c r="C118" s="13"/>
      <c r="D118" s="13"/>
      <c r="E118" s="13"/>
      <c r="F118" s="13"/>
      <c r="G118" s="13"/>
      <c r="H118" s="455"/>
      <c r="I118" s="50"/>
      <c r="J118" s="50"/>
      <c r="K118" s="50"/>
      <c r="L118" s="838"/>
      <c r="M118" s="40"/>
      <c r="O118" s="75"/>
      <c r="X118" s="851"/>
    </row>
    <row r="119" spans="2:45" x14ac:dyDescent="0.35">
      <c r="B119" s="13" t="s">
        <v>404</v>
      </c>
      <c r="C119" s="13"/>
      <c r="D119" s="13"/>
      <c r="E119" s="13"/>
      <c r="F119" s="13"/>
      <c r="G119" s="13"/>
      <c r="H119" s="455"/>
      <c r="I119" s="50"/>
      <c r="J119" s="50"/>
      <c r="K119" s="50"/>
      <c r="L119" s="855" t="s">
        <v>2964</v>
      </c>
      <c r="M119" s="40"/>
      <c r="O119" s="75"/>
      <c r="X119" s="851"/>
    </row>
    <row r="120" spans="2:45" x14ac:dyDescent="0.35">
      <c r="B120" s="13" t="s">
        <v>404</v>
      </c>
      <c r="C120" s="13"/>
      <c r="D120" s="13"/>
      <c r="E120" s="13"/>
      <c r="F120" s="13"/>
      <c r="G120" s="13"/>
      <c r="H120" s="455"/>
      <c r="I120" s="50"/>
      <c r="J120" s="50"/>
      <c r="K120" s="50"/>
      <c r="L120" s="855"/>
      <c r="M120" s="40"/>
      <c r="O120" s="75"/>
      <c r="X120" s="851"/>
    </row>
    <row r="121" spans="2:45" x14ac:dyDescent="0.35">
      <c r="B121" s="13" t="s">
        <v>404</v>
      </c>
      <c r="C121" s="13"/>
      <c r="D121" s="13"/>
      <c r="E121" s="13"/>
      <c r="F121" s="13"/>
      <c r="G121" s="13"/>
      <c r="H121" s="455"/>
      <c r="I121" s="50"/>
      <c r="J121" s="50"/>
      <c r="K121" s="50"/>
      <c r="L121" s="855"/>
      <c r="M121" s="40"/>
      <c r="O121" s="75"/>
      <c r="X121" s="816"/>
    </row>
    <row r="122" spans="2:45" x14ac:dyDescent="0.35">
      <c r="B122" s="13" t="s">
        <v>404</v>
      </c>
      <c r="C122" s="13" t="s">
        <v>256</v>
      </c>
      <c r="D122" s="13"/>
      <c r="E122" s="13"/>
      <c r="F122" s="13"/>
      <c r="G122" s="13"/>
      <c r="H122" s="455"/>
      <c r="I122" s="50"/>
      <c r="J122" s="47" t="s">
        <v>256</v>
      </c>
      <c r="K122" s="50"/>
      <c r="L122" s="814" t="s">
        <v>406</v>
      </c>
      <c r="M122" s="818">
        <v>7</v>
      </c>
      <c r="O122" s="832">
        <f>M122*W122</f>
        <v>0</v>
      </c>
      <c r="P122" t="b">
        <v>1</v>
      </c>
      <c r="Q122" t="b">
        <v>0</v>
      </c>
      <c r="R122" t="b">
        <v>0</v>
      </c>
      <c r="S122" t="b">
        <v>1</v>
      </c>
      <c r="T122" t="b">
        <v>0</v>
      </c>
      <c r="W122" s="17"/>
      <c r="X122" s="817"/>
      <c r="AL122" t="str">
        <f>SUBSTITUTE(SUBSTITUTE(SUBSTITUTE("dpa"&amp;$B122&amp;$C122&amp;$D122&amp;$E122,".","_"),"(","_"),")","")</f>
        <v>dpa503_4_1</v>
      </c>
      <c r="AM122">
        <f>M122</f>
        <v>7</v>
      </c>
      <c r="AN122" t="str">
        <f>SUBSTITUTE(SUBSTITUTE(SUBSTITUTE("dpc"&amp;$B122&amp;$C122&amp;$D122&amp;$E122,".","_"),"(","_"),")","")</f>
        <v>dpc503_4_1</v>
      </c>
      <c r="AO122">
        <f>O122</f>
        <v>0</v>
      </c>
      <c r="AP122" t="str">
        <f>SUBSTITUTE(SUBSTITUTE(SUBSTITUTE("dch"&amp;$B122&amp;$C122&amp;$D122&amp;$E122,".","_"),"(","_"),")","")</f>
        <v>dch503_4_1</v>
      </c>
      <c r="AQ122" t="str">
        <f>IF(LEN(W122)=0,"",W122)</f>
        <v/>
      </c>
      <c r="AR122" t="str">
        <f>SUBSTITUTE(SUBSTITUTE(SUBSTITUTE("dnt"&amp;$B122&amp;$C122&amp;$D122&amp;$E122,".","_"),"(","_"),")","")</f>
        <v>dnt503_4_1</v>
      </c>
      <c r="AS122" t="str">
        <f>IF(LEN(X122)=0,"",X122)</f>
        <v/>
      </c>
    </row>
    <row r="123" spans="2:45" x14ac:dyDescent="0.35">
      <c r="B123" s="13" t="s">
        <v>404</v>
      </c>
      <c r="C123" s="13" t="s">
        <v>256</v>
      </c>
      <c r="D123" s="13"/>
      <c r="E123" s="13"/>
      <c r="F123" s="13"/>
      <c r="G123" s="13"/>
      <c r="H123" s="455"/>
      <c r="I123" s="50"/>
      <c r="J123" s="47"/>
      <c r="K123" s="50"/>
      <c r="L123" s="814"/>
      <c r="M123" s="818"/>
      <c r="O123" s="832"/>
      <c r="X123" s="817"/>
    </row>
    <row r="124" spans="2:45" x14ac:dyDescent="0.35">
      <c r="B124" s="13" t="s">
        <v>404</v>
      </c>
      <c r="C124" s="13" t="s">
        <v>256</v>
      </c>
      <c r="D124" s="13"/>
      <c r="E124" s="13"/>
      <c r="F124" s="13"/>
      <c r="G124" s="13"/>
      <c r="H124" s="455"/>
      <c r="I124" s="50"/>
      <c r="J124" s="103"/>
      <c r="K124" s="103"/>
      <c r="L124" s="815"/>
      <c r="M124" s="819"/>
      <c r="N124" s="104"/>
      <c r="O124" s="824"/>
      <c r="X124" s="817"/>
    </row>
    <row r="125" spans="2:45" x14ac:dyDescent="0.35">
      <c r="B125" s="13" t="s">
        <v>404</v>
      </c>
      <c r="C125" s="13" t="s">
        <v>258</v>
      </c>
      <c r="D125" s="13"/>
      <c r="E125" s="13"/>
      <c r="F125" s="13"/>
      <c r="G125" s="13"/>
      <c r="H125" s="455"/>
      <c r="I125" s="50"/>
      <c r="J125" s="47" t="s">
        <v>258</v>
      </c>
      <c r="K125" s="50"/>
      <c r="L125" s="814" t="s">
        <v>407</v>
      </c>
      <c r="M125" s="818">
        <v>10</v>
      </c>
      <c r="O125" s="832">
        <f>M125*W125</f>
        <v>0</v>
      </c>
      <c r="P125" t="b">
        <v>1</v>
      </c>
      <c r="Q125" t="b">
        <v>0</v>
      </c>
      <c r="R125" t="b">
        <v>0</v>
      </c>
      <c r="S125" t="b">
        <v>1</v>
      </c>
      <c r="T125" t="b">
        <v>0</v>
      </c>
      <c r="W125" s="17"/>
      <c r="X125" s="817"/>
      <c r="AL125" t="str">
        <f>SUBSTITUTE(SUBSTITUTE(SUBSTITUTE("dpa"&amp;$B125&amp;$C125&amp;$D125&amp;$E125,".","_"),"(","_"),")","")</f>
        <v>dpa503_4_2</v>
      </c>
      <c r="AM125">
        <f>M125</f>
        <v>10</v>
      </c>
      <c r="AN125" t="str">
        <f>SUBSTITUTE(SUBSTITUTE(SUBSTITUTE("dpc"&amp;$B125&amp;$C125&amp;$D125&amp;$E125,".","_"),"(","_"),")","")</f>
        <v>dpc503_4_2</v>
      </c>
      <c r="AO125">
        <f>O125</f>
        <v>0</v>
      </c>
      <c r="AP125" t="str">
        <f>SUBSTITUTE(SUBSTITUTE(SUBSTITUTE("dch"&amp;$B125&amp;$C125&amp;$D125&amp;$E125,".","_"),"(","_"),")","")</f>
        <v>dch503_4_2</v>
      </c>
      <c r="AQ125" t="str">
        <f>IF(LEN(W125)=0,"",W125)</f>
        <v/>
      </c>
      <c r="AR125" t="str">
        <f>SUBSTITUTE(SUBSTITUTE(SUBSTITUTE("dnt"&amp;$B125&amp;$C125&amp;$D125&amp;$E125,".","_"),"(","_"),")","")</f>
        <v>dnt503_4_2</v>
      </c>
      <c r="AS125" t="str">
        <f>IF(LEN(X125)=0,"",X125)</f>
        <v/>
      </c>
    </row>
    <row r="126" spans="2:45" x14ac:dyDescent="0.35">
      <c r="B126" s="13" t="s">
        <v>404</v>
      </c>
      <c r="C126" s="13" t="s">
        <v>258</v>
      </c>
      <c r="D126" s="13"/>
      <c r="E126" s="13"/>
      <c r="F126" s="13"/>
      <c r="G126" s="13"/>
      <c r="H126" s="455"/>
      <c r="I126" s="50"/>
      <c r="J126" s="50"/>
      <c r="K126" s="50"/>
      <c r="L126" s="814"/>
      <c r="M126" s="818"/>
      <c r="O126" s="832"/>
      <c r="X126" s="817"/>
    </row>
    <row r="127" spans="2:45" x14ac:dyDescent="0.35">
      <c r="B127" s="13" t="s">
        <v>404</v>
      </c>
      <c r="C127" s="13" t="s">
        <v>258</v>
      </c>
      <c r="D127" s="13"/>
      <c r="E127" s="13"/>
      <c r="F127" s="13"/>
      <c r="G127" s="13"/>
      <c r="H127" s="455"/>
      <c r="I127" s="50"/>
      <c r="J127" s="50"/>
      <c r="K127" s="50"/>
      <c r="L127" s="814"/>
      <c r="M127" s="818"/>
      <c r="O127" s="832"/>
      <c r="X127" s="817"/>
    </row>
    <row r="128" spans="2:45" x14ac:dyDescent="0.35">
      <c r="B128" s="13" t="s">
        <v>404</v>
      </c>
      <c r="C128" s="13" t="s">
        <v>258</v>
      </c>
      <c r="D128" s="13"/>
      <c r="E128" s="13"/>
      <c r="F128" s="13"/>
      <c r="G128" s="13"/>
      <c r="H128" s="455"/>
      <c r="I128" s="50"/>
      <c r="J128" s="103"/>
      <c r="K128" s="103"/>
      <c r="L128" s="815"/>
      <c r="M128" s="819"/>
      <c r="N128" s="104"/>
      <c r="O128" s="824"/>
      <c r="X128" s="817"/>
    </row>
    <row r="129" spans="2:45" x14ac:dyDescent="0.35">
      <c r="B129" s="13" t="s">
        <v>404</v>
      </c>
      <c r="C129" s="13" t="s">
        <v>260</v>
      </c>
      <c r="D129" s="13"/>
      <c r="E129" s="13"/>
      <c r="F129" s="13"/>
      <c r="G129" s="13"/>
      <c r="H129" s="455"/>
      <c r="I129" s="50"/>
      <c r="J129" s="47" t="s">
        <v>260</v>
      </c>
      <c r="K129" s="50"/>
      <c r="L129" s="814" t="s">
        <v>408</v>
      </c>
      <c r="M129" s="40"/>
      <c r="O129" s="832">
        <f ca="1">S129*IFERROR(INDEX({5,8,10},MATCH(W129,INDIRECT(U129))),0)</f>
        <v>0</v>
      </c>
      <c r="P129" t="b">
        <v>1</v>
      </c>
      <c r="Q129" t="b">
        <v>0</v>
      </c>
      <c r="R129" t="b">
        <v>0</v>
      </c>
      <c r="S129" t="b">
        <v>1</v>
      </c>
      <c r="T129" t="b">
        <v>0</v>
      </c>
      <c r="U129" t="str">
        <f>SUBSTITUTE(SUBSTITUTE(SUBSTITUTE("dd"&amp;B129&amp;C129&amp;D129&amp;E129&amp;F129,".","_"),"(","_"),")","")</f>
        <v>dd503_4_3</v>
      </c>
      <c r="W129" s="9"/>
      <c r="X129" s="817"/>
      <c r="AN129" t="str">
        <f>SUBSTITUTE(SUBSTITUTE(SUBSTITUTE("dpc"&amp;$B129&amp;$C129&amp;$D129&amp;$E129,".","_"),"(","_"),")","")</f>
        <v>dpc503_4_3</v>
      </c>
      <c r="AO129">
        <f ca="1">O129</f>
        <v>0</v>
      </c>
      <c r="AP129" t="str">
        <f>SUBSTITUTE(SUBSTITUTE(SUBSTITUTE("dch"&amp;$B129&amp;$C129&amp;$D129&amp;$E129,".","_"),"(","_"),")","")</f>
        <v>dch503_4_3</v>
      </c>
      <c r="AQ129" t="str">
        <f>IF(LEN(W129)=0,"",W129)</f>
        <v/>
      </c>
      <c r="AR129" t="str">
        <f>SUBSTITUTE(SUBSTITUTE(SUBSTITUTE("dnt"&amp;$B129&amp;$C129&amp;$D129&amp;$E129,".","_"),"(","_"),")","")</f>
        <v>dnt503_4_3</v>
      </c>
      <c r="AS129" t="str">
        <f>IF(LEN(X129)=0,"",X129)</f>
        <v/>
      </c>
    </row>
    <row r="130" spans="2:45" x14ac:dyDescent="0.35">
      <c r="B130" s="13" t="s">
        <v>404</v>
      </c>
      <c r="C130" s="13" t="s">
        <v>260</v>
      </c>
      <c r="D130" s="13"/>
      <c r="E130" s="13"/>
      <c r="F130" s="13"/>
      <c r="G130" s="13"/>
      <c r="H130" s="455"/>
      <c r="I130" s="50"/>
      <c r="J130" s="50"/>
      <c r="K130" s="50"/>
      <c r="L130" s="814"/>
      <c r="M130" s="40"/>
      <c r="O130" s="832"/>
      <c r="X130" s="817"/>
    </row>
    <row r="131" spans="2:45" x14ac:dyDescent="0.35">
      <c r="B131" s="13" t="s">
        <v>404</v>
      </c>
      <c r="C131" s="13" t="s">
        <v>260</v>
      </c>
      <c r="D131" s="13"/>
      <c r="E131" s="13"/>
      <c r="F131" s="13"/>
      <c r="G131" s="13"/>
      <c r="H131" s="455"/>
      <c r="I131" s="50"/>
      <c r="J131" s="50"/>
      <c r="K131" s="50"/>
      <c r="L131" s="814"/>
      <c r="M131" s="40"/>
      <c r="O131" s="832"/>
      <c r="X131" s="817"/>
    </row>
    <row r="132" spans="2:45" x14ac:dyDescent="0.35">
      <c r="B132" s="13" t="s">
        <v>404</v>
      </c>
      <c r="C132" s="13" t="s">
        <v>260</v>
      </c>
      <c r="D132" s="13"/>
      <c r="E132" s="13"/>
      <c r="F132" s="13"/>
      <c r="G132" s="13"/>
      <c r="H132" s="455"/>
      <c r="I132" s="50"/>
      <c r="J132" s="50"/>
      <c r="K132" s="50"/>
      <c r="L132" s="814"/>
      <c r="M132" s="40"/>
      <c r="O132" s="832"/>
      <c r="X132" s="817"/>
    </row>
    <row r="133" spans="2:45" x14ac:dyDescent="0.35">
      <c r="B133" s="13" t="s">
        <v>404</v>
      </c>
      <c r="C133" s="13" t="s">
        <v>260</v>
      </c>
      <c r="D133" s="13" t="s">
        <v>121</v>
      </c>
      <c r="E133" s="13"/>
      <c r="F133" s="13"/>
      <c r="G133" s="13"/>
      <c r="H133" s="455"/>
      <c r="I133" s="50"/>
      <c r="J133" s="50"/>
      <c r="K133" s="47" t="s">
        <v>121</v>
      </c>
      <c r="L133" s="90" t="s">
        <v>409</v>
      </c>
      <c r="M133" s="40">
        <v>5</v>
      </c>
      <c r="O133" s="75"/>
      <c r="X133" s="817"/>
      <c r="AL133" t="str">
        <f>SUBSTITUTE(SUBSTITUTE(SUBSTITUTE("dpa"&amp;$B133&amp;$C133&amp;$D133&amp;$E133,".","_"),"(","_"),")","")</f>
        <v>dpa503_4_3_a</v>
      </c>
      <c r="AM133">
        <f>M133</f>
        <v>5</v>
      </c>
    </row>
    <row r="134" spans="2:45" x14ac:dyDescent="0.35">
      <c r="B134" s="13" t="s">
        <v>404</v>
      </c>
      <c r="C134" s="13" t="s">
        <v>260</v>
      </c>
      <c r="D134" s="13" t="s">
        <v>122</v>
      </c>
      <c r="E134" s="13"/>
      <c r="F134" s="13"/>
      <c r="G134" s="13"/>
      <c r="H134" s="455"/>
      <c r="I134" s="50"/>
      <c r="J134" s="50"/>
      <c r="K134" s="47" t="s">
        <v>122</v>
      </c>
      <c r="L134" s="90" t="s">
        <v>410</v>
      </c>
      <c r="M134" s="40">
        <v>8</v>
      </c>
      <c r="O134" s="75"/>
      <c r="X134" s="817"/>
      <c r="AL134" t="str">
        <f>SUBSTITUTE(SUBSTITUTE(SUBSTITUTE("dpa"&amp;$B134&amp;$C134&amp;$D134&amp;$E134,".","_"),"(","_"),")","")</f>
        <v>dpa503_4_3_b</v>
      </c>
      <c r="AM134">
        <f>M134</f>
        <v>8</v>
      </c>
    </row>
    <row r="135" spans="2:45" x14ac:dyDescent="0.35">
      <c r="B135" s="13" t="s">
        <v>404</v>
      </c>
      <c r="C135" s="13" t="s">
        <v>260</v>
      </c>
      <c r="D135" s="13" t="s">
        <v>123</v>
      </c>
      <c r="E135" s="13"/>
      <c r="F135" s="13"/>
      <c r="G135" s="13"/>
      <c r="H135" s="455"/>
      <c r="I135" s="50"/>
      <c r="J135" s="103"/>
      <c r="K135" s="105" t="s">
        <v>123</v>
      </c>
      <c r="L135" s="228" t="s">
        <v>411</v>
      </c>
      <c r="M135" s="268">
        <v>10</v>
      </c>
      <c r="N135" s="104"/>
      <c r="O135" s="309"/>
      <c r="X135" s="817"/>
      <c r="AL135" t="str">
        <f>SUBSTITUTE(SUBSTITUTE(SUBSTITUTE("dpa"&amp;$B135&amp;$C135&amp;$D135&amp;$E135,".","_"),"(","_"),")","")</f>
        <v>dpa503_4_3_c</v>
      </c>
      <c r="AM135">
        <f>M135</f>
        <v>10</v>
      </c>
    </row>
    <row r="136" spans="2:45" x14ac:dyDescent="0.35">
      <c r="B136" s="13" t="s">
        <v>404</v>
      </c>
      <c r="C136" s="13" t="s">
        <v>269</v>
      </c>
      <c r="D136" s="13"/>
      <c r="E136" s="13"/>
      <c r="F136" s="13"/>
      <c r="G136" s="13"/>
      <c r="H136" s="455"/>
      <c r="I136" s="50"/>
      <c r="J136" s="47" t="s">
        <v>269</v>
      </c>
      <c r="K136" s="49"/>
      <c r="L136" s="814" t="s">
        <v>412</v>
      </c>
      <c r="M136" s="40"/>
      <c r="O136" s="832">
        <f ca="1">S136*IFERROR(INDEX({5,8,10},MATCH(W136,INDIRECT(U136))),0)</f>
        <v>0</v>
      </c>
      <c r="P136" t="b">
        <v>1</v>
      </c>
      <c r="Q136" t="b">
        <v>1</v>
      </c>
      <c r="R136" t="b">
        <v>0</v>
      </c>
      <c r="S136" t="b">
        <v>1</v>
      </c>
      <c r="T136" t="b">
        <v>0</v>
      </c>
      <c r="U136" t="str">
        <f>SUBSTITUTE(SUBSTITUTE(SUBSTITUTE("dd"&amp;B136&amp;C136&amp;D136&amp;E136&amp;F136,".","_"),"(","_"),")","")</f>
        <v>dd503_4_4</v>
      </c>
      <c r="W136" s="9"/>
      <c r="X136" s="817"/>
      <c r="AN136" t="str">
        <f>SUBSTITUTE(SUBSTITUTE(SUBSTITUTE("dpc"&amp;$B136&amp;$C136&amp;$D136&amp;$E136,".","_"),"(","_"),")","")</f>
        <v>dpc503_4_4</v>
      </c>
      <c r="AO136">
        <f ca="1">O136</f>
        <v>0</v>
      </c>
      <c r="AP136" t="str">
        <f>SUBSTITUTE(SUBSTITUTE(SUBSTITUTE("dch"&amp;$B136&amp;$C136&amp;$D136&amp;$E136,".","_"),"(","_"),")","")</f>
        <v>dch503_4_4</v>
      </c>
      <c r="AQ136" t="str">
        <f>IF(LEN(W136)=0,"",W136)</f>
        <v/>
      </c>
      <c r="AR136" t="str">
        <f>SUBSTITUTE(SUBSTITUTE(SUBSTITUTE("dnt"&amp;$B136&amp;$C136&amp;$D136&amp;$E136,".","_"),"(","_"),")","")</f>
        <v>dnt503_4_4</v>
      </c>
      <c r="AS136" t="str">
        <f>IF(LEN(X136)=0,"",X136)</f>
        <v/>
      </c>
    </row>
    <row r="137" spans="2:45" x14ac:dyDescent="0.35">
      <c r="B137" s="13" t="s">
        <v>404</v>
      </c>
      <c r="C137" s="13" t="s">
        <v>269</v>
      </c>
      <c r="D137" s="13"/>
      <c r="E137" s="13"/>
      <c r="F137" s="13"/>
      <c r="G137" s="13"/>
      <c r="H137" s="455"/>
      <c r="I137" s="50"/>
      <c r="J137" s="50"/>
      <c r="K137" s="50"/>
      <c r="L137" s="814"/>
      <c r="M137" s="40"/>
      <c r="O137" s="832"/>
      <c r="X137" s="817"/>
    </row>
    <row r="138" spans="2:45" x14ac:dyDescent="0.35">
      <c r="B138" s="13" t="s">
        <v>404</v>
      </c>
      <c r="C138" s="13" t="s">
        <v>269</v>
      </c>
      <c r="D138" s="13" t="s">
        <v>121</v>
      </c>
      <c r="E138" s="13"/>
      <c r="F138" s="13"/>
      <c r="G138" s="13"/>
      <c r="H138" s="455"/>
      <c r="I138" s="50"/>
      <c r="J138" s="50"/>
      <c r="K138" s="47" t="s">
        <v>121</v>
      </c>
      <c r="L138" s="90" t="s">
        <v>4125</v>
      </c>
      <c r="M138" s="40">
        <v>5</v>
      </c>
      <c r="O138" s="75"/>
      <c r="X138" s="817"/>
      <c r="AL138" t="str">
        <f>SUBSTITUTE(SUBSTITUTE(SUBSTITUTE("dpa"&amp;$B138&amp;$C138&amp;$D138&amp;$E138,".","_"),"(","_"),")","")</f>
        <v>dpa503_4_4_a</v>
      </c>
      <c r="AM138">
        <f>M138</f>
        <v>5</v>
      </c>
    </row>
    <row r="139" spans="2:45" x14ac:dyDescent="0.35">
      <c r="B139" s="13" t="s">
        <v>404</v>
      </c>
      <c r="C139" s="13" t="s">
        <v>269</v>
      </c>
      <c r="D139" s="13" t="s">
        <v>122</v>
      </c>
      <c r="E139" s="13"/>
      <c r="F139" s="13"/>
      <c r="G139" s="13"/>
      <c r="H139" s="455"/>
      <c r="I139" s="50"/>
      <c r="J139" s="50"/>
      <c r="K139" s="47" t="s">
        <v>122</v>
      </c>
      <c r="L139" s="90" t="s">
        <v>4126</v>
      </c>
      <c r="M139" s="40">
        <v>8</v>
      </c>
      <c r="O139" s="75"/>
      <c r="X139" s="817"/>
      <c r="AL139" t="str">
        <f>SUBSTITUTE(SUBSTITUTE(SUBSTITUTE("dpa"&amp;$B139&amp;$C139&amp;$D139&amp;$E139,".","_"),"(","_"),")","")</f>
        <v>dpa503_4_4_b</v>
      </c>
      <c r="AM139">
        <f>M139</f>
        <v>8</v>
      </c>
    </row>
    <row r="140" spans="2:45" x14ac:dyDescent="0.35">
      <c r="B140" s="13" t="s">
        <v>404</v>
      </c>
      <c r="C140" s="13" t="s">
        <v>269</v>
      </c>
      <c r="D140" s="13" t="s">
        <v>123</v>
      </c>
      <c r="E140" s="13"/>
      <c r="F140" s="13"/>
      <c r="G140" s="13"/>
      <c r="H140" s="455"/>
      <c r="I140" s="50"/>
      <c r="J140" s="50"/>
      <c r="K140" s="49" t="s">
        <v>123</v>
      </c>
      <c r="L140" s="90" t="s">
        <v>4127</v>
      </c>
      <c r="M140" s="40">
        <v>10</v>
      </c>
      <c r="O140" s="75"/>
      <c r="X140" s="817"/>
      <c r="AL140" t="str">
        <f>SUBSTITUTE(SUBSTITUTE(SUBSTITUTE("dpa"&amp;$B140&amp;$C140&amp;$D140&amp;$E140,".","_"),"(","_"),")","")</f>
        <v>dpa503_4_4_c</v>
      </c>
      <c r="AM140">
        <f>M140</f>
        <v>10</v>
      </c>
    </row>
    <row r="141" spans="2:45" x14ac:dyDescent="0.35">
      <c r="B141" s="13" t="s">
        <v>404</v>
      </c>
      <c r="C141" s="13" t="s">
        <v>269</v>
      </c>
      <c r="D141" s="13" t="s">
        <v>123</v>
      </c>
      <c r="E141" s="13" t="s">
        <v>4856</v>
      </c>
      <c r="F141" s="13"/>
      <c r="G141" s="13"/>
      <c r="H141" s="455"/>
      <c r="L141" s="848" t="s">
        <v>4128</v>
      </c>
      <c r="M141" s="818">
        <f ca="1">S136*IFERROR(INDEX({2,4,6},MATCH(W136,INDIRECT(U136))),0)</f>
        <v>0</v>
      </c>
      <c r="O141" s="832">
        <f ca="1">M141*S141*W141</f>
        <v>0</v>
      </c>
      <c r="P141" t="b">
        <v>1</v>
      </c>
      <c r="Q141" t="b">
        <v>1</v>
      </c>
      <c r="R141" t="b">
        <v>0</v>
      </c>
      <c r="S141" t="b">
        <f>LEN(W136)&gt;0</f>
        <v>0</v>
      </c>
      <c r="T141" t="b">
        <f>AND(W141=TRUE,LEN(W136)=0)</f>
        <v>0</v>
      </c>
      <c r="W141" s="17"/>
      <c r="X141" s="817"/>
      <c r="AC141" t="b">
        <f>OR(AD141:AE141)</f>
        <v>0</v>
      </c>
      <c r="AD141" t="b">
        <f>T141</f>
        <v>0</v>
      </c>
      <c r="AL141" t="str">
        <f>SUBSTITUTE(SUBSTITUTE(SUBSTITUTE("dpa"&amp;$B141&amp;$C141&amp;$D141&amp;$E141,".","_"),"(","_"),")","")</f>
        <v>dpa503_4_4_c_1</v>
      </c>
      <c r="AM141">
        <f ca="1">M141</f>
        <v>0</v>
      </c>
      <c r="AN141" t="str">
        <f>SUBSTITUTE(SUBSTITUTE(SUBSTITUTE("dpc"&amp;$B141&amp;$C141&amp;$D141&amp;$E141,".","_"),"(","_"),")","")</f>
        <v>dpc503_4_4_c_1</v>
      </c>
      <c r="AO141">
        <f ca="1">O141</f>
        <v>0</v>
      </c>
      <c r="AP141" t="str">
        <f>SUBSTITUTE(SUBSTITUTE(SUBSTITUTE("dch"&amp;$B141&amp;$C141&amp;$D141&amp;$E141,".","_"),"(","_"),")","")</f>
        <v>dch503_4_4_c_1</v>
      </c>
      <c r="AQ141" t="str">
        <f>IF(LEN(W141)=0,"",W141)</f>
        <v/>
      </c>
      <c r="AR141" t="str">
        <f>SUBSTITUTE(SUBSTITUTE(SUBSTITUTE("dnt"&amp;$B141&amp;$C141&amp;$D141&amp;$E141,".","_"),"(","_"),")","")</f>
        <v>dnt503_4_4_c_1</v>
      </c>
      <c r="AS141" t="str">
        <f>IF(LEN(X141)=0,"",X141)</f>
        <v/>
      </c>
    </row>
    <row r="142" spans="2:45" x14ac:dyDescent="0.35">
      <c r="B142" s="13" t="s">
        <v>404</v>
      </c>
      <c r="C142" s="13" t="s">
        <v>269</v>
      </c>
      <c r="D142" s="13" t="s">
        <v>123</v>
      </c>
      <c r="E142" s="13"/>
      <c r="F142" s="13"/>
      <c r="G142" s="13"/>
      <c r="H142" s="455"/>
      <c r="J142" s="104"/>
      <c r="K142" s="104"/>
      <c r="L142" s="821"/>
      <c r="M142" s="819"/>
      <c r="N142" s="104"/>
      <c r="O142" s="824"/>
      <c r="X142" s="817"/>
    </row>
    <row r="143" spans="2:45" x14ac:dyDescent="0.35">
      <c r="B143" s="13" t="s">
        <v>404</v>
      </c>
      <c r="C143" s="13" t="s">
        <v>275</v>
      </c>
      <c r="D143" s="13"/>
      <c r="E143" s="13"/>
      <c r="F143" s="13"/>
      <c r="G143" s="13"/>
      <c r="H143" s="455"/>
      <c r="J143" s="47" t="s">
        <v>275</v>
      </c>
      <c r="K143" s="467"/>
      <c r="L143" s="825" t="s">
        <v>4129</v>
      </c>
      <c r="M143" s="818">
        <v>3</v>
      </c>
      <c r="O143" s="834">
        <f>M143*S143*W143</f>
        <v>3</v>
      </c>
      <c r="P143" t="b">
        <v>1</v>
      </c>
      <c r="Q143" t="b">
        <v>1</v>
      </c>
      <c r="R143" t="b">
        <v>0</v>
      </c>
      <c r="S143" t="b">
        <v>1</v>
      </c>
      <c r="T143" t="b">
        <v>0</v>
      </c>
      <c r="W143" s="17" t="b">
        <v>1</v>
      </c>
      <c r="X143" s="817"/>
      <c r="AL143" t="str">
        <f>SUBSTITUTE(SUBSTITUTE(SUBSTITUTE("dpa"&amp;$B143&amp;$C143&amp;$D143&amp;$E143,".","_"),"(","_"),")","")</f>
        <v>dpa503_4_5</v>
      </c>
      <c r="AM143">
        <f>M143</f>
        <v>3</v>
      </c>
      <c r="AN143" t="str">
        <f>SUBSTITUTE(SUBSTITUTE(SUBSTITUTE("dpc"&amp;$B143&amp;$C143&amp;$D143&amp;$E143,".","_"),"(","_"),")","")</f>
        <v>dpc503_4_5</v>
      </c>
      <c r="AO143">
        <f>O143</f>
        <v>3</v>
      </c>
      <c r="AP143" t="str">
        <f>SUBSTITUTE(SUBSTITUTE(SUBSTITUTE("dch"&amp;$B143&amp;$C143&amp;$D143&amp;$E143,".","_"),"(","_"),")","")</f>
        <v>dch503_4_5</v>
      </c>
      <c r="AQ143" t="b">
        <f>IF(LEN(W143)=0,"",W143)</f>
        <v>1</v>
      </c>
      <c r="AR143" t="str">
        <f>SUBSTITUTE(SUBSTITUTE(SUBSTITUTE("dnt"&amp;$B143&amp;$C143&amp;$D143&amp;$E143,".","_"),"(","_"),")","")</f>
        <v>dnt503_4_5</v>
      </c>
      <c r="AS143" t="str">
        <f>IF(LEN(X143)=0,"",X143)</f>
        <v/>
      </c>
    </row>
    <row r="144" spans="2:45" x14ac:dyDescent="0.35">
      <c r="B144" s="13" t="s">
        <v>404</v>
      </c>
      <c r="C144" s="13" t="s">
        <v>275</v>
      </c>
      <c r="D144" s="13"/>
      <c r="E144" s="13"/>
      <c r="F144" s="13"/>
      <c r="G144" s="13"/>
      <c r="H144" s="455"/>
      <c r="J144" s="467"/>
      <c r="K144" s="467"/>
      <c r="L144" s="825"/>
      <c r="M144" s="818"/>
      <c r="O144" s="834"/>
      <c r="X144" s="817"/>
    </row>
    <row r="145" spans="2:45" ht="15" thickBot="1" x14ac:dyDescent="0.4">
      <c r="B145" s="13" t="s">
        <v>404</v>
      </c>
      <c r="C145" s="13" t="s">
        <v>275</v>
      </c>
      <c r="D145" s="13"/>
      <c r="E145" s="13"/>
      <c r="F145" s="13"/>
      <c r="G145" s="13"/>
      <c r="H145" s="455"/>
      <c r="I145" s="55"/>
      <c r="J145" s="473"/>
      <c r="K145" s="473"/>
      <c r="L145" s="826"/>
      <c r="M145" s="827"/>
      <c r="N145" s="55"/>
      <c r="O145" s="863"/>
      <c r="P145" s="55"/>
      <c r="Q145" s="55"/>
      <c r="R145" s="55"/>
      <c r="S145" s="55"/>
      <c r="T145" s="55"/>
      <c r="U145" s="55"/>
      <c r="V145" s="55"/>
      <c r="W145" s="55"/>
      <c r="X145" s="829"/>
    </row>
    <row r="146" spans="2:45" ht="15" thickTop="1" x14ac:dyDescent="0.35">
      <c r="B146" s="13" t="s">
        <v>413</v>
      </c>
      <c r="C146" s="13"/>
      <c r="D146" s="13"/>
      <c r="E146" s="13"/>
      <c r="F146" s="13"/>
      <c r="G146" s="13"/>
      <c r="H146" s="455"/>
      <c r="I146" s="31">
        <v>503.5</v>
      </c>
      <c r="J146" s="50"/>
      <c r="K146" s="50"/>
      <c r="L146" s="838" t="s">
        <v>414</v>
      </c>
      <c r="M146" s="40"/>
      <c r="O146" s="4"/>
      <c r="X146" s="816"/>
      <c r="AR146" t="str">
        <f>SUBSTITUTE(SUBSTITUTE(SUBSTITUTE("dnt"&amp;$B146&amp;$C146&amp;$D146&amp;$E146,".","_"),"(","_"),")","")</f>
        <v>dnt503_5</v>
      </c>
      <c r="AS146" t="str">
        <f>IF(LEN(X146)=0,"",X146)</f>
        <v/>
      </c>
    </row>
    <row r="147" spans="2:45" x14ac:dyDescent="0.35">
      <c r="B147" s="13" t="s">
        <v>413</v>
      </c>
      <c r="C147" s="13"/>
      <c r="D147" s="13"/>
      <c r="E147" s="13"/>
      <c r="F147" s="13"/>
      <c r="G147" s="13"/>
      <c r="H147" s="455"/>
      <c r="I147" s="50"/>
      <c r="J147" s="50"/>
      <c r="K147" s="50"/>
      <c r="L147" s="838"/>
      <c r="M147" s="40"/>
      <c r="O147" s="4"/>
      <c r="X147" s="817"/>
    </row>
    <row r="148" spans="2:45" x14ac:dyDescent="0.35">
      <c r="B148" s="13" t="s">
        <v>413</v>
      </c>
      <c r="C148" s="13"/>
      <c r="D148" s="13"/>
      <c r="E148" s="13"/>
      <c r="F148" s="13"/>
      <c r="G148" s="13"/>
      <c r="H148" s="455"/>
      <c r="I148" s="50"/>
      <c r="J148" s="50"/>
      <c r="K148" s="50"/>
      <c r="L148" s="855" t="s">
        <v>4130</v>
      </c>
      <c r="M148" s="40"/>
      <c r="O148" s="4"/>
      <c r="P148" t="b">
        <v>0</v>
      </c>
      <c r="Q148" t="b">
        <v>1</v>
      </c>
      <c r="R148" t="b">
        <v>0</v>
      </c>
      <c r="S148" t="b">
        <v>1</v>
      </c>
      <c r="T148" t="b">
        <v>0</v>
      </c>
      <c r="U148" t="str">
        <f>SUBSTITUTE(SUBSTITUTE(SUBSTITUTE("dd"&amp;B148&amp;C148&amp;D148&amp;E148&amp;F148,".","_"),"(","_"),")","")</f>
        <v>dd503_5</v>
      </c>
      <c r="W148" s="8" t="s">
        <v>764</v>
      </c>
      <c r="X148" s="817"/>
      <c r="AP148" t="str">
        <f>SUBSTITUTE(SUBSTITUTE(SUBSTITUTE("dch"&amp;$B148&amp;$C148&amp;$D148&amp;$E148,".","_"),"(","_"),")","")</f>
        <v>dch503_5</v>
      </c>
      <c r="AQ148" t="str">
        <f>IF(LEN(W148)=0,"",W148)</f>
        <v>full</v>
      </c>
    </row>
    <row r="149" spans="2:45" x14ac:dyDescent="0.35">
      <c r="B149" s="13" t="s">
        <v>413</v>
      </c>
      <c r="C149" s="13"/>
      <c r="D149" s="13"/>
      <c r="E149" s="13"/>
      <c r="F149" s="13"/>
      <c r="G149" s="13"/>
      <c r="H149" s="455"/>
      <c r="I149" s="50"/>
      <c r="J149" s="50"/>
      <c r="K149" s="50"/>
      <c r="L149" s="855"/>
      <c r="M149" s="40"/>
      <c r="O149" s="4"/>
      <c r="X149" s="817"/>
    </row>
    <row r="150" spans="2:45" x14ac:dyDescent="0.35">
      <c r="B150" s="13" t="s">
        <v>413</v>
      </c>
      <c r="C150" s="13" t="s">
        <v>256</v>
      </c>
      <c r="D150" s="13"/>
      <c r="E150" s="13"/>
      <c r="F150" s="13"/>
      <c r="G150" s="13"/>
      <c r="H150" s="455"/>
      <c r="I150" s="50"/>
      <c r="J150" s="47" t="s">
        <v>256</v>
      </c>
      <c r="K150" s="50"/>
      <c r="L150" s="814" t="s">
        <v>415</v>
      </c>
      <c r="M150" s="40"/>
      <c r="O150" s="832">
        <f ca="1">S150*IFERROR(INDEX(M152:M155,MATCH(W150,INDIRECT(U150))),0)</f>
        <v>0</v>
      </c>
      <c r="P150" t="b">
        <v>0</v>
      </c>
      <c r="Q150" t="b">
        <v>1</v>
      </c>
      <c r="R150" t="b">
        <v>0</v>
      </c>
      <c r="S150" t="b">
        <f>NOT(ISBLANK(W148))</f>
        <v>1</v>
      </c>
      <c r="T150" t="b">
        <f>AND(NOT(S150),LEN(W150)&gt;0)</f>
        <v>0</v>
      </c>
      <c r="U150" t="str">
        <f>SUBSTITUTE(SUBSTITUTE(SUBSTITUTE("dd"&amp;B150&amp;C150&amp;D150&amp;E150&amp;F150,".","_"),"(","_"),")","")</f>
        <v>dd503_5_1</v>
      </c>
      <c r="W150" s="8"/>
      <c r="X150" s="817"/>
      <c r="AC150" t="b">
        <f>OR(AD150:AE150)</f>
        <v>0</v>
      </c>
      <c r="AD150" t="b">
        <f>T150</f>
        <v>0</v>
      </c>
      <c r="AN150" t="str">
        <f>SUBSTITUTE(SUBSTITUTE(SUBSTITUTE("dpc"&amp;$B150&amp;$C150&amp;$D150&amp;$E150,".","_"),"(","_"),")","")</f>
        <v>dpc503_5_1</v>
      </c>
      <c r="AO150">
        <f ca="1">O150</f>
        <v>0</v>
      </c>
      <c r="AP150" t="str">
        <f>SUBSTITUTE(SUBSTITUTE(SUBSTITUTE("dch"&amp;$B150&amp;$C150&amp;$D150&amp;$E150,".","_"),"(","_"),")","")</f>
        <v>dch503_5_1</v>
      </c>
      <c r="AQ150" t="str">
        <f>IF(LEN(W150)=0,"",W150)</f>
        <v/>
      </c>
      <c r="AR150" t="str">
        <f>SUBSTITUTE(SUBSTITUTE(SUBSTITUTE("dnt"&amp;$B150&amp;$C150&amp;$D150&amp;$E150,".","_"),"(","_"),")","")</f>
        <v>dnt503_5_1</v>
      </c>
      <c r="AS150" t="str">
        <f>IF(LEN(X150)=0,"",X150)</f>
        <v/>
      </c>
    </row>
    <row r="151" spans="2:45" x14ac:dyDescent="0.35">
      <c r="B151" s="13" t="s">
        <v>413</v>
      </c>
      <c r="C151" s="13" t="s">
        <v>256</v>
      </c>
      <c r="D151" s="13"/>
      <c r="E151" s="13"/>
      <c r="F151" s="13"/>
      <c r="G151" s="13"/>
      <c r="H151" s="455"/>
      <c r="I151" s="50"/>
      <c r="J151" s="47"/>
      <c r="K151" s="50"/>
      <c r="L151" s="814"/>
      <c r="M151" s="40"/>
      <c r="O151" s="832"/>
      <c r="X151" s="817"/>
    </row>
    <row r="152" spans="2:45" x14ac:dyDescent="0.35">
      <c r="B152" s="13" t="s">
        <v>413</v>
      </c>
      <c r="C152" s="13" t="s">
        <v>256</v>
      </c>
      <c r="D152" s="13" t="s">
        <v>121</v>
      </c>
      <c r="E152" s="13"/>
      <c r="F152" s="13"/>
      <c r="G152" s="13"/>
      <c r="H152" s="455"/>
      <c r="I152" s="50"/>
      <c r="J152" s="50"/>
      <c r="K152" s="47" t="s">
        <v>121</v>
      </c>
      <c r="L152" s="90" t="s">
        <v>416</v>
      </c>
      <c r="M152" s="40">
        <f ca="1">4*IFERROR(INDEX({0.5,0.5,1},MATCH(W148,INDIRECT(U148),0)),0)</f>
        <v>4</v>
      </c>
      <c r="O152" s="75"/>
      <c r="X152" s="817"/>
      <c r="AL152" t="str">
        <f>SUBSTITUTE(SUBSTITUTE(SUBSTITUTE("dpa"&amp;$B152&amp;$C152&amp;$D152&amp;$E152,".","_"),"(","_"),")","")</f>
        <v>dpa503_5_1_a</v>
      </c>
      <c r="AM152">
        <f ca="1">M152</f>
        <v>4</v>
      </c>
    </row>
    <row r="153" spans="2:45" x14ac:dyDescent="0.35">
      <c r="B153" s="13" t="s">
        <v>413</v>
      </c>
      <c r="C153" s="13" t="s">
        <v>256</v>
      </c>
      <c r="D153" s="13" t="s">
        <v>122</v>
      </c>
      <c r="E153" s="13"/>
      <c r="F153" s="13"/>
      <c r="G153" s="13"/>
      <c r="H153" s="455"/>
      <c r="I153" s="50"/>
      <c r="J153" s="50"/>
      <c r="K153" s="47" t="s">
        <v>122</v>
      </c>
      <c r="L153" s="90" t="s">
        <v>417</v>
      </c>
      <c r="M153" s="40">
        <f ca="1">3*IFERROR(INDEX({0.5,0.5,1},MATCH(W148,INDIRECT(U148),0)),0)</f>
        <v>3</v>
      </c>
      <c r="O153" s="75"/>
      <c r="X153" s="817"/>
      <c r="AL153" t="str">
        <f>SUBSTITUTE(SUBSTITUTE(SUBSTITUTE("dpa"&amp;$B153&amp;$C153&amp;$D153&amp;$E153,".","_"),"(","_"),")","")</f>
        <v>dpa503_5_1_b</v>
      </c>
      <c r="AM153">
        <f ca="1">M153</f>
        <v>3</v>
      </c>
    </row>
    <row r="154" spans="2:45" x14ac:dyDescent="0.35">
      <c r="B154" s="13" t="s">
        <v>413</v>
      </c>
      <c r="C154" s="13" t="s">
        <v>256</v>
      </c>
      <c r="D154" s="13" t="s">
        <v>123</v>
      </c>
      <c r="E154" s="13"/>
      <c r="F154" s="13"/>
      <c r="G154" s="13"/>
      <c r="H154" s="455"/>
      <c r="I154" s="50"/>
      <c r="J154" s="50"/>
      <c r="K154" s="49" t="s">
        <v>123</v>
      </c>
      <c r="L154" s="90" t="s">
        <v>418</v>
      </c>
      <c r="M154" s="40">
        <f ca="1">2*IFERROR(INDEX({0.5,0.5,1},MATCH(W148,INDIRECT(U148),0)),0)</f>
        <v>2</v>
      </c>
      <c r="O154" s="75"/>
      <c r="X154" s="817"/>
      <c r="AL154" t="str">
        <f>SUBSTITUTE(SUBSTITUTE(SUBSTITUTE("dpa"&amp;$B154&amp;$C154&amp;$D154&amp;$E154,".","_"),"(","_"),")","")</f>
        <v>dpa503_5_1_c</v>
      </c>
      <c r="AM154">
        <f ca="1">M154</f>
        <v>2</v>
      </c>
    </row>
    <row r="155" spans="2:45" x14ac:dyDescent="0.35">
      <c r="B155" s="13" t="s">
        <v>413</v>
      </c>
      <c r="C155" s="13" t="s">
        <v>256</v>
      </c>
      <c r="D155" s="13" t="s">
        <v>401</v>
      </c>
      <c r="E155" s="13"/>
      <c r="F155" s="13"/>
      <c r="G155" s="13"/>
      <c r="H155" s="455"/>
      <c r="I155" s="50"/>
      <c r="J155" s="103"/>
      <c r="K155" s="105" t="s">
        <v>401</v>
      </c>
      <c r="L155" s="228" t="s">
        <v>419</v>
      </c>
      <c r="M155" s="268">
        <f ca="1">1*IFERROR(INDEX({0.5,0.5,1},MATCH(W148,INDIRECT(U148),0)),0)</f>
        <v>1</v>
      </c>
      <c r="N155" s="104"/>
      <c r="O155" s="309"/>
      <c r="X155" s="817"/>
      <c r="AL155" t="str">
        <f>SUBSTITUTE(SUBSTITUTE(SUBSTITUTE("dpa"&amp;$B155&amp;$C155&amp;$D155&amp;$E155,".","_"),"(","_"),")","")</f>
        <v>dpa503_5_1_d</v>
      </c>
      <c r="AM155">
        <f ca="1">M155</f>
        <v>1</v>
      </c>
    </row>
    <row r="156" spans="2:45" x14ac:dyDescent="0.35">
      <c r="B156" s="13" t="s">
        <v>413</v>
      </c>
      <c r="C156" s="13" t="s">
        <v>258</v>
      </c>
      <c r="D156" s="13"/>
      <c r="E156" s="13"/>
      <c r="F156" s="13"/>
      <c r="G156" s="13"/>
      <c r="H156" s="455"/>
      <c r="I156" s="50"/>
      <c r="J156" s="47" t="s">
        <v>258</v>
      </c>
      <c r="K156" s="50"/>
      <c r="L156" s="814" t="s">
        <v>420</v>
      </c>
      <c r="M156" s="818">
        <f ca="1">7*IFERROR(INDEX({0.5,0.5,1},MATCH(W148,INDIRECT(U148),0)),0)</f>
        <v>7</v>
      </c>
      <c r="O156" s="832">
        <f ca="1">M156*S156*W156</f>
        <v>7</v>
      </c>
      <c r="P156" t="b">
        <v>0</v>
      </c>
      <c r="Q156" t="b">
        <v>1</v>
      </c>
      <c r="R156" t="b">
        <v>0</v>
      </c>
      <c r="S156" t="b">
        <f>NOT(ISBLANK(W148))</f>
        <v>1</v>
      </c>
      <c r="T156" t="b">
        <f>AND(NOT(S156),W156=TRUE)</f>
        <v>0</v>
      </c>
      <c r="W156" s="17" t="b">
        <v>1</v>
      </c>
      <c r="X156" s="817"/>
      <c r="AC156" t="b">
        <f>OR(AD156:AE156)</f>
        <v>0</v>
      </c>
      <c r="AD156" t="b">
        <f>T156</f>
        <v>0</v>
      </c>
      <c r="AL156" t="str">
        <f>SUBSTITUTE(SUBSTITUTE(SUBSTITUTE("dpa"&amp;$B156&amp;$C156&amp;$D156&amp;$E156,".","_"),"(","_"),")","")</f>
        <v>dpa503_5_2</v>
      </c>
      <c r="AM156">
        <f ca="1">M156</f>
        <v>7</v>
      </c>
      <c r="AN156" t="str">
        <f>SUBSTITUTE(SUBSTITUTE(SUBSTITUTE("dpc"&amp;$B156&amp;$C156&amp;$D156&amp;$E156,".","_"),"(","_"),")","")</f>
        <v>dpc503_5_2</v>
      </c>
      <c r="AO156">
        <f ca="1">O156</f>
        <v>7</v>
      </c>
      <c r="AP156" t="str">
        <f>SUBSTITUTE(SUBSTITUTE(SUBSTITUTE("dch"&amp;$B156&amp;$C156&amp;$D156&amp;$E156,".","_"),"(","_"),")","")</f>
        <v>dch503_5_2</v>
      </c>
      <c r="AQ156" t="b">
        <f>IF(LEN(W156)=0,"",W156)</f>
        <v>1</v>
      </c>
      <c r="AR156" t="str">
        <f>SUBSTITUTE(SUBSTITUTE(SUBSTITUTE("dnt"&amp;$B156&amp;$C156&amp;$D156&amp;$E156,".","_"),"(","_"),")","")</f>
        <v>dnt503_5_2</v>
      </c>
      <c r="AS156" t="str">
        <f>IF(LEN(X156)=0,"",X156)</f>
        <v/>
      </c>
    </row>
    <row r="157" spans="2:45" x14ac:dyDescent="0.35">
      <c r="B157" s="13" t="s">
        <v>413</v>
      </c>
      <c r="C157" s="13" t="s">
        <v>258</v>
      </c>
      <c r="D157" s="13"/>
      <c r="E157" s="13"/>
      <c r="F157" s="13"/>
      <c r="G157" s="13"/>
      <c r="H157" s="455"/>
      <c r="I157" s="50"/>
      <c r="J157" s="103"/>
      <c r="K157" s="103"/>
      <c r="L157" s="815"/>
      <c r="M157" s="819"/>
      <c r="N157" s="104"/>
      <c r="O157" s="824"/>
      <c r="X157" s="817"/>
    </row>
    <row r="158" spans="2:45" x14ac:dyDescent="0.35">
      <c r="B158" s="13" t="s">
        <v>413</v>
      </c>
      <c r="C158" s="13" t="s">
        <v>260</v>
      </c>
      <c r="D158" s="13"/>
      <c r="E158" s="13"/>
      <c r="F158" s="13"/>
      <c r="G158" s="13"/>
      <c r="H158" s="455"/>
      <c r="I158" s="50"/>
      <c r="J158" s="47" t="s">
        <v>260</v>
      </c>
      <c r="K158" s="50"/>
      <c r="L158" s="814" t="s">
        <v>4131</v>
      </c>
      <c r="M158" s="818">
        <f ca="1">3*IFERROR(INDEX({0.5,0.5,1},MATCH(W148,INDIRECT(U148),0)),0)</f>
        <v>3</v>
      </c>
      <c r="O158" s="832">
        <f ca="1">M158*S158*W158</f>
        <v>0</v>
      </c>
      <c r="P158" t="b">
        <v>0</v>
      </c>
      <c r="Q158" t="b">
        <v>1</v>
      </c>
      <c r="R158" t="b">
        <v>0</v>
      </c>
      <c r="S158" t="b">
        <f>NOT(ISBLANK(W148))</f>
        <v>1</v>
      </c>
      <c r="T158" t="b">
        <f>AND(NOT(S158),W158=TRUE)</f>
        <v>0</v>
      </c>
      <c r="W158" s="17"/>
      <c r="X158" s="817"/>
      <c r="AC158" t="b">
        <f>OR(AD158:AE158)</f>
        <v>0</v>
      </c>
      <c r="AD158" t="b">
        <f>T158</f>
        <v>0</v>
      </c>
      <c r="AL158" t="str">
        <f>SUBSTITUTE(SUBSTITUTE(SUBSTITUTE("dpa"&amp;$B158&amp;$C158&amp;$D158&amp;$E158,".","_"),"(","_"),")","")</f>
        <v>dpa503_5_3</v>
      </c>
      <c r="AM158">
        <f ca="1">M158</f>
        <v>3</v>
      </c>
      <c r="AN158" t="str">
        <f>SUBSTITUTE(SUBSTITUTE(SUBSTITUTE("dpc"&amp;$B158&amp;$C158&amp;$D158&amp;$E158,".","_"),"(","_"),")","")</f>
        <v>dpc503_5_3</v>
      </c>
      <c r="AO158">
        <f ca="1">O158</f>
        <v>0</v>
      </c>
      <c r="AP158" t="str">
        <f>SUBSTITUTE(SUBSTITUTE(SUBSTITUTE("dch"&amp;$B158&amp;$C158&amp;$D158&amp;$E158,".","_"),"(","_"),")","")</f>
        <v>dch503_5_3</v>
      </c>
      <c r="AQ158" t="str">
        <f>IF(LEN(W158)=0,"",W158)</f>
        <v/>
      </c>
      <c r="AR158" t="str">
        <f>SUBSTITUTE(SUBSTITUTE(SUBSTITUTE("dnt"&amp;$B158&amp;$C158&amp;$D158&amp;$E158,".","_"),"(","_"),")","")</f>
        <v>dnt503_5_3</v>
      </c>
      <c r="AS158" t="str">
        <f>IF(LEN(X158)=0,"",X158)</f>
        <v/>
      </c>
    </row>
    <row r="159" spans="2:45" x14ac:dyDescent="0.35">
      <c r="B159" s="13" t="s">
        <v>413</v>
      </c>
      <c r="C159" s="13" t="s">
        <v>260</v>
      </c>
      <c r="D159" s="13"/>
      <c r="E159" s="13"/>
      <c r="F159" s="13"/>
      <c r="G159" s="13"/>
      <c r="H159" s="455"/>
      <c r="I159" s="50"/>
      <c r="J159" s="47"/>
      <c r="K159" s="50"/>
      <c r="L159" s="814"/>
      <c r="M159" s="818"/>
      <c r="O159" s="832"/>
      <c r="X159" s="817"/>
    </row>
    <row r="160" spans="2:45" x14ac:dyDescent="0.35">
      <c r="B160" s="13" t="s">
        <v>413</v>
      </c>
      <c r="C160" s="13" t="s">
        <v>260</v>
      </c>
      <c r="D160" s="13"/>
      <c r="E160" s="13"/>
      <c r="F160" s="13"/>
      <c r="G160" s="13"/>
      <c r="H160" s="455"/>
      <c r="I160" s="50"/>
      <c r="J160" s="103"/>
      <c r="K160" s="103"/>
      <c r="L160" s="815"/>
      <c r="M160" s="819"/>
      <c r="N160" s="104"/>
      <c r="O160" s="824"/>
      <c r="X160" s="817"/>
    </row>
    <row r="161" spans="1:45" x14ac:dyDescent="0.35">
      <c r="B161" s="13" t="s">
        <v>413</v>
      </c>
      <c r="C161" s="13" t="s">
        <v>269</v>
      </c>
      <c r="D161" s="13"/>
      <c r="E161" s="13"/>
      <c r="F161" s="13"/>
      <c r="G161" s="13"/>
      <c r="H161" s="455"/>
      <c r="I161" s="50"/>
      <c r="J161" s="47" t="s">
        <v>269</v>
      </c>
      <c r="K161" s="50"/>
      <c r="L161" s="814" t="s">
        <v>4132</v>
      </c>
      <c r="M161" s="818">
        <f ca="1">5*IFERROR(INDEX({0.5,0.5,1},MATCH(W148,INDIRECT(U148),0)),0)</f>
        <v>5</v>
      </c>
      <c r="O161" s="832">
        <f ca="1">M161*S161*W161</f>
        <v>0</v>
      </c>
      <c r="P161" t="b">
        <v>0</v>
      </c>
      <c r="Q161" t="b">
        <v>1</v>
      </c>
      <c r="R161" t="b">
        <v>0</v>
      </c>
      <c r="S161" t="b">
        <f>NOT(ISBLANK(W148))</f>
        <v>1</v>
      </c>
      <c r="T161" t="b">
        <f>AND(NOT(S161),W161=TRUE)</f>
        <v>0</v>
      </c>
      <c r="W161" s="17"/>
      <c r="X161" s="817"/>
      <c r="AC161" t="b">
        <f>OR(AD161:AE161)</f>
        <v>0</v>
      </c>
      <c r="AD161" t="b">
        <f>T161</f>
        <v>0</v>
      </c>
      <c r="AL161" t="str">
        <f>SUBSTITUTE(SUBSTITUTE(SUBSTITUTE("dpa"&amp;$B161&amp;$C161&amp;$D161&amp;$E161,".","_"),"(","_"),")","")</f>
        <v>dpa503_5_4</v>
      </c>
      <c r="AM161">
        <f ca="1">M161</f>
        <v>5</v>
      </c>
      <c r="AN161" t="str">
        <f>SUBSTITUTE(SUBSTITUTE(SUBSTITUTE("dpc"&amp;$B161&amp;$C161&amp;$D161&amp;$E161,".","_"),"(","_"),")","")</f>
        <v>dpc503_5_4</v>
      </c>
      <c r="AO161">
        <f ca="1">O161</f>
        <v>0</v>
      </c>
      <c r="AP161" t="str">
        <f>SUBSTITUTE(SUBSTITUTE(SUBSTITUTE("dch"&amp;$B161&amp;$C161&amp;$D161&amp;$E161,".","_"),"(","_"),")","")</f>
        <v>dch503_5_4</v>
      </c>
      <c r="AQ161" t="str">
        <f>IF(LEN(W161)=0,"",W161)</f>
        <v/>
      </c>
      <c r="AR161" t="str">
        <f>SUBSTITUTE(SUBSTITUTE(SUBSTITUTE("dnt"&amp;$B161&amp;$C161&amp;$D161&amp;$E161,".","_"),"(","_"),")","")</f>
        <v>dnt503_5_4</v>
      </c>
      <c r="AS161" t="str">
        <f>IF(LEN(X161)=0,"",X161)</f>
        <v/>
      </c>
    </row>
    <row r="162" spans="1:45" x14ac:dyDescent="0.35">
      <c r="B162" s="13" t="s">
        <v>413</v>
      </c>
      <c r="C162" s="13" t="s">
        <v>269</v>
      </c>
      <c r="D162" s="13"/>
      <c r="E162" s="13"/>
      <c r="F162" s="13"/>
      <c r="G162" s="13"/>
      <c r="H162" s="455"/>
      <c r="I162" s="50"/>
      <c r="J162" s="103"/>
      <c r="K162" s="103"/>
      <c r="L162" s="815"/>
      <c r="M162" s="819"/>
      <c r="N162" s="104"/>
      <c r="O162" s="824"/>
      <c r="X162" s="817"/>
    </row>
    <row r="163" spans="1:45" x14ac:dyDescent="0.35">
      <c r="A163"/>
      <c r="B163" s="13" t="s">
        <v>413</v>
      </c>
      <c r="C163" s="13" t="s">
        <v>275</v>
      </c>
      <c r="D163"/>
      <c r="E163"/>
      <c r="F163"/>
      <c r="G163"/>
      <c r="H163"/>
      <c r="J163" s="468" t="s">
        <v>275</v>
      </c>
      <c r="K163" s="120"/>
      <c r="L163" s="820" t="s">
        <v>4133</v>
      </c>
      <c r="M163" s="818">
        <f ca="1">3*IFERROR(INDEX({0.5,0.5,1},MATCH(W148,INDIRECT(U148),0)),0)</f>
        <v>3</v>
      </c>
      <c r="N163" s="120"/>
      <c r="O163" s="823">
        <f ca="1">M163*S163*W163</f>
        <v>3</v>
      </c>
      <c r="P163" t="b">
        <v>0</v>
      </c>
      <c r="Q163" t="b">
        <v>1</v>
      </c>
      <c r="R163" t="b">
        <v>0</v>
      </c>
      <c r="S163" t="b">
        <f>NOT(ISBLANK(W148))</f>
        <v>1</v>
      </c>
      <c r="T163" t="b">
        <f>AND(NOT(S163),W163=TRUE)</f>
        <v>0</v>
      </c>
      <c r="W163" s="17" t="b">
        <v>1</v>
      </c>
      <c r="X163" s="817"/>
      <c r="AC163" t="b">
        <f>OR(AD163:AE163)</f>
        <v>0</v>
      </c>
      <c r="AD163" t="b">
        <f>T163</f>
        <v>0</v>
      </c>
      <c r="AL163" t="str">
        <f>SUBSTITUTE(SUBSTITUTE(SUBSTITUTE("dpa"&amp;$B163&amp;$C163&amp;$D163&amp;$E163,".","_"),"(","_"),")","")</f>
        <v>dpa503_5_5</v>
      </c>
      <c r="AM163">
        <f ca="1">M163</f>
        <v>3</v>
      </c>
      <c r="AN163" t="str">
        <f>SUBSTITUTE(SUBSTITUTE(SUBSTITUTE("dpc"&amp;$B163&amp;$C163&amp;$D163&amp;$E163,".","_"),"(","_"),")","")</f>
        <v>dpc503_5_5</v>
      </c>
      <c r="AO163">
        <f ca="1">O163</f>
        <v>3</v>
      </c>
      <c r="AP163" t="str">
        <f>SUBSTITUTE(SUBSTITUTE(SUBSTITUTE("dch"&amp;$B163&amp;$C163&amp;$D163&amp;$E163,".","_"),"(","_"),")","")</f>
        <v>dch503_5_5</v>
      </c>
      <c r="AQ163" t="b">
        <f>IF(LEN(W163)=0,"",W163)</f>
        <v>1</v>
      </c>
      <c r="AR163" t="str">
        <f>SUBSTITUTE(SUBSTITUTE(SUBSTITUTE("dnt"&amp;$B163&amp;$C163&amp;$D163&amp;$E163,".","_"),"(","_"),")","")</f>
        <v>dnt503_5_5</v>
      </c>
      <c r="AS163" t="str">
        <f>IF(LEN(X163)=0,"",X163)</f>
        <v/>
      </c>
    </row>
    <row r="164" spans="1:45" x14ac:dyDescent="0.35">
      <c r="A164"/>
      <c r="B164" s="13" t="s">
        <v>413</v>
      </c>
      <c r="C164" s="13" t="s">
        <v>275</v>
      </c>
      <c r="D164"/>
      <c r="E164"/>
      <c r="F164"/>
      <c r="G164"/>
      <c r="H164"/>
      <c r="L164" s="848"/>
      <c r="M164" s="818"/>
      <c r="O164" s="832"/>
      <c r="X164" s="817"/>
    </row>
    <row r="165" spans="1:45" x14ac:dyDescent="0.35">
      <c r="A165"/>
      <c r="B165" s="13" t="s">
        <v>413</v>
      </c>
      <c r="C165" s="13" t="s">
        <v>275</v>
      </c>
      <c r="D165"/>
      <c r="E165"/>
      <c r="F165"/>
      <c r="G165"/>
      <c r="H165"/>
      <c r="J165" s="104"/>
      <c r="K165" s="104"/>
      <c r="L165" s="821"/>
      <c r="M165" s="819"/>
      <c r="N165" s="104"/>
      <c r="O165" s="824"/>
      <c r="X165" s="817"/>
    </row>
    <row r="166" spans="1:45" x14ac:dyDescent="0.35">
      <c r="B166" s="13" t="s">
        <v>413</v>
      </c>
      <c r="C166" s="13" t="s">
        <v>277</v>
      </c>
      <c r="D166" s="13"/>
      <c r="E166" s="13"/>
      <c r="F166" s="13"/>
      <c r="G166" s="13"/>
      <c r="H166" s="455"/>
      <c r="I166" s="50"/>
      <c r="J166" s="47" t="s">
        <v>277</v>
      </c>
      <c r="K166" s="50"/>
      <c r="L166" s="90" t="s">
        <v>421</v>
      </c>
      <c r="M166" s="40"/>
      <c r="O166" s="75">
        <f ca="1">S166*IFERROR(INDEX(M167:M170,MATCH(W166,INDIRECT(U166))),0)</f>
        <v>2</v>
      </c>
      <c r="P166" t="b">
        <v>0</v>
      </c>
      <c r="Q166" t="b">
        <v>1</v>
      </c>
      <c r="R166" t="b">
        <v>0</v>
      </c>
      <c r="S166" t="b">
        <f>NOT(ISBLANK(W148))</f>
        <v>1</v>
      </c>
      <c r="T166" t="b">
        <f>AND(NOT(S166),LEN(W166)&gt;0)</f>
        <v>0</v>
      </c>
      <c r="U166" t="str">
        <f>SUBSTITUTE(SUBSTITUTE(SUBSTITUTE("dd"&amp;B166&amp;C166&amp;D166&amp;E166&amp;F166,".","_"),"(","_"),")","")</f>
        <v>dd503_5_6</v>
      </c>
      <c r="W166" s="8" t="s">
        <v>401</v>
      </c>
      <c r="X166" s="817"/>
      <c r="AC166" t="b">
        <f>OR(AD166:AE166)</f>
        <v>0</v>
      </c>
      <c r="AD166" t="b">
        <f>T166</f>
        <v>0</v>
      </c>
      <c r="AN166" t="str">
        <f>SUBSTITUTE(SUBSTITUTE(SUBSTITUTE("dpc"&amp;$B166&amp;$C166&amp;$D166&amp;$E166,".","_"),"(","_"),")","")</f>
        <v>dpc503_5_6</v>
      </c>
      <c r="AO166">
        <f ca="1">O166</f>
        <v>2</v>
      </c>
      <c r="AP166" t="str">
        <f>SUBSTITUTE(SUBSTITUTE(SUBSTITUTE("dch"&amp;$B166&amp;$C166&amp;$D166&amp;$E166,".","_"),"(","_"),")","")</f>
        <v>dch503_5_6</v>
      </c>
      <c r="AQ166" t="str">
        <f>IF(LEN(W166)=0,"",W166)</f>
        <v>(d)</v>
      </c>
      <c r="AR166" t="str">
        <f>SUBSTITUTE(SUBSTITUTE(SUBSTITUTE("dnt"&amp;$B166&amp;$C166&amp;$D166&amp;$E166,".","_"),"(","_"),")","")</f>
        <v>dnt503_5_6</v>
      </c>
      <c r="AS166" t="str">
        <f>IF(LEN(X166)=0,"",X166)</f>
        <v/>
      </c>
    </row>
    <row r="167" spans="1:45" x14ac:dyDescent="0.35">
      <c r="B167" s="13" t="s">
        <v>413</v>
      </c>
      <c r="C167" s="13" t="s">
        <v>277</v>
      </c>
      <c r="D167" s="13" t="s">
        <v>121</v>
      </c>
      <c r="E167" s="13"/>
      <c r="F167" s="13"/>
      <c r="G167" s="13"/>
      <c r="H167" s="455"/>
      <c r="I167" s="50"/>
      <c r="J167" s="50"/>
      <c r="K167" s="47" t="s">
        <v>121</v>
      </c>
      <c r="L167" s="90" t="s">
        <v>422</v>
      </c>
      <c r="M167" s="40">
        <f ca="1">5*IFERROR(INDEX({0.5,0.5,1},MATCH(W148,INDIRECT(U148),0)),0)</f>
        <v>5</v>
      </c>
      <c r="O167" s="75"/>
      <c r="X167" s="817"/>
      <c r="AL167" t="str">
        <f t="shared" ref="AL167:AL172" si="0">SUBSTITUTE(SUBSTITUTE(SUBSTITUTE("dpa"&amp;$B167&amp;$C167&amp;$D167&amp;$E167,".","_"),"(","_"),")","")</f>
        <v>dpa503_5_6_a</v>
      </c>
      <c r="AM167">
        <f t="shared" ref="AM167:AM172" ca="1" si="1">M167</f>
        <v>5</v>
      </c>
    </row>
    <row r="168" spans="1:45" x14ac:dyDescent="0.35">
      <c r="B168" s="13" t="s">
        <v>413</v>
      </c>
      <c r="C168" s="13" t="s">
        <v>277</v>
      </c>
      <c r="D168" s="13" t="s">
        <v>122</v>
      </c>
      <c r="E168" s="13"/>
      <c r="F168" s="13"/>
      <c r="G168" s="13"/>
      <c r="H168" s="455"/>
      <c r="I168" s="50"/>
      <c r="J168" s="50"/>
      <c r="K168" s="47" t="s">
        <v>122</v>
      </c>
      <c r="L168" s="90" t="s">
        <v>423</v>
      </c>
      <c r="M168" s="40">
        <f ca="1">4*IFERROR(INDEX({0.5,0.5,1},MATCH(W148,INDIRECT(U148),0)),0)</f>
        <v>4</v>
      </c>
      <c r="O168" s="75"/>
      <c r="X168" s="817"/>
      <c r="AL168" t="str">
        <f t="shared" si="0"/>
        <v>dpa503_5_6_b</v>
      </c>
      <c r="AM168">
        <f t="shared" ca="1" si="1"/>
        <v>4</v>
      </c>
    </row>
    <row r="169" spans="1:45" x14ac:dyDescent="0.35">
      <c r="B169" s="13" t="s">
        <v>413</v>
      </c>
      <c r="C169" s="13" t="s">
        <v>277</v>
      </c>
      <c r="D169" s="13" t="s">
        <v>123</v>
      </c>
      <c r="E169" s="13"/>
      <c r="F169" s="13"/>
      <c r="G169" s="13"/>
      <c r="H169" s="455"/>
      <c r="I169" s="50"/>
      <c r="J169" s="50"/>
      <c r="K169" s="49" t="s">
        <v>123</v>
      </c>
      <c r="L169" s="90" t="s">
        <v>424</v>
      </c>
      <c r="M169" s="40">
        <f ca="1">3*IFERROR(INDEX({0.5,0.5,1},MATCH(W148,INDIRECT(U148),0)),0)</f>
        <v>3</v>
      </c>
      <c r="O169" s="75"/>
      <c r="X169" s="817"/>
      <c r="AL169" t="str">
        <f t="shared" si="0"/>
        <v>dpa503_5_6_c</v>
      </c>
      <c r="AM169">
        <f t="shared" ca="1" si="1"/>
        <v>3</v>
      </c>
    </row>
    <row r="170" spans="1:45" x14ac:dyDescent="0.35">
      <c r="B170" s="13" t="s">
        <v>413</v>
      </c>
      <c r="C170" s="13" t="s">
        <v>277</v>
      </c>
      <c r="D170" s="13" t="s">
        <v>401</v>
      </c>
      <c r="E170" s="13"/>
      <c r="F170" s="13"/>
      <c r="G170" s="13"/>
      <c r="H170" s="455"/>
      <c r="I170" s="50"/>
      <c r="J170" s="103"/>
      <c r="K170" s="105" t="s">
        <v>401</v>
      </c>
      <c r="L170" s="228" t="s">
        <v>425</v>
      </c>
      <c r="M170" s="268">
        <f ca="1">2*IFERROR(INDEX({0.5,0.5,1},MATCH(W148,INDIRECT(U148),0)),0)</f>
        <v>2</v>
      </c>
      <c r="N170" s="104"/>
      <c r="O170" s="309"/>
      <c r="X170" s="817"/>
      <c r="AL170" t="str">
        <f t="shared" si="0"/>
        <v>dpa503_5_6_d</v>
      </c>
      <c r="AM170">
        <f t="shared" ca="1" si="1"/>
        <v>2</v>
      </c>
    </row>
    <row r="171" spans="1:45" ht="15" customHeight="1" x14ac:dyDescent="0.35">
      <c r="B171" s="13" t="s">
        <v>413</v>
      </c>
      <c r="C171" s="13" t="s">
        <v>383</v>
      </c>
      <c r="D171" s="13"/>
      <c r="E171" s="13"/>
      <c r="F171" s="13"/>
      <c r="G171" s="13"/>
      <c r="H171" s="455"/>
      <c r="I171" s="50"/>
      <c r="J171" s="100" t="s">
        <v>383</v>
      </c>
      <c r="K171" s="103"/>
      <c r="L171" s="228" t="s">
        <v>426</v>
      </c>
      <c r="M171" s="268">
        <f ca="1">5*IFERROR(INDEX({0.5,0.5,1},MATCH(W148,INDIRECT(U148),0)),0)</f>
        <v>5</v>
      </c>
      <c r="N171" s="104"/>
      <c r="O171" s="309">
        <f ca="1">M171*S171*W171</f>
        <v>5</v>
      </c>
      <c r="P171" t="b">
        <v>0</v>
      </c>
      <c r="Q171" t="b">
        <v>1</v>
      </c>
      <c r="R171" t="b">
        <v>0</v>
      </c>
      <c r="S171" t="b">
        <f>NOT(ISBLANK(W148))</f>
        <v>1</v>
      </c>
      <c r="T171" t="b">
        <f>AND(NOT(S171),W171=TRUE)</f>
        <v>0</v>
      </c>
      <c r="W171" s="17" t="b">
        <v>1</v>
      </c>
      <c r="X171" s="36"/>
      <c r="AC171" t="b">
        <f>OR(AD171:AE171)</f>
        <v>0</v>
      </c>
      <c r="AD171" t="b">
        <f>T171</f>
        <v>0</v>
      </c>
      <c r="AL171" t="str">
        <f t="shared" si="0"/>
        <v>dpa503_5_7</v>
      </c>
      <c r="AM171">
        <f t="shared" ca="1" si="1"/>
        <v>5</v>
      </c>
      <c r="AN171" t="str">
        <f>SUBSTITUTE(SUBSTITUTE(SUBSTITUTE("dpc"&amp;$B171&amp;$C171&amp;$D171&amp;$E171,".","_"),"(","_"),")","")</f>
        <v>dpc503_5_7</v>
      </c>
      <c r="AO171">
        <f ca="1">O171</f>
        <v>5</v>
      </c>
      <c r="AP171" t="str">
        <f>SUBSTITUTE(SUBSTITUTE(SUBSTITUTE("dch"&amp;$B171&amp;$C171&amp;$D171&amp;$E171,".","_"),"(","_"),")","")</f>
        <v>dch503_5_7</v>
      </c>
      <c r="AQ171" t="b">
        <f>IF(LEN(W171)=0,"",W171)</f>
        <v>1</v>
      </c>
      <c r="AR171" t="str">
        <f>SUBSTITUTE(SUBSTITUTE(SUBSTITUTE("dnt"&amp;$B171&amp;$C171&amp;$D171&amp;$E171,".","_"),"(","_"),")","")</f>
        <v>dnt503_5_7</v>
      </c>
      <c r="AS171" t="str">
        <f>IF(LEN(X171)=0,"",X171)</f>
        <v/>
      </c>
    </row>
    <row r="172" spans="1:45" x14ac:dyDescent="0.35">
      <c r="B172" s="13" t="s">
        <v>413</v>
      </c>
      <c r="C172" s="13" t="s">
        <v>428</v>
      </c>
      <c r="D172" s="13"/>
      <c r="E172" s="13"/>
      <c r="F172" s="13"/>
      <c r="G172" s="13"/>
      <c r="H172" s="455"/>
      <c r="I172" s="50"/>
      <c r="J172" s="47" t="s">
        <v>428</v>
      </c>
      <c r="K172" s="50"/>
      <c r="L172" s="814" t="s">
        <v>427</v>
      </c>
      <c r="M172" s="818">
        <f ca="1">5*IFERROR(INDEX({0.5,0.5,1},MATCH(W148,INDIRECT(U148),0)),0)</f>
        <v>5</v>
      </c>
      <c r="O172" s="832">
        <f ca="1">M172*S172*W172</f>
        <v>0</v>
      </c>
      <c r="P172" t="b">
        <v>0</v>
      </c>
      <c r="Q172" t="b">
        <v>1</v>
      </c>
      <c r="R172" t="b">
        <v>0</v>
      </c>
      <c r="S172" t="b">
        <f>NOT(ISBLANK(W148))</f>
        <v>1</v>
      </c>
      <c r="T172" t="b">
        <f>AND(NOT(S172),W172=TRUE)</f>
        <v>0</v>
      </c>
      <c r="W172" s="17"/>
      <c r="X172" s="817"/>
      <c r="AC172" t="b">
        <f>OR(AD172:AE172)</f>
        <v>0</v>
      </c>
      <c r="AD172" t="b">
        <f>T172</f>
        <v>0</v>
      </c>
      <c r="AL172" t="str">
        <f t="shared" si="0"/>
        <v>dpa503_5_8</v>
      </c>
      <c r="AM172">
        <f t="shared" ca="1" si="1"/>
        <v>5</v>
      </c>
      <c r="AN172" t="str">
        <f>SUBSTITUTE(SUBSTITUTE(SUBSTITUTE("dpc"&amp;$B172&amp;$C172&amp;$D172&amp;$E172,".","_"),"(","_"),")","")</f>
        <v>dpc503_5_8</v>
      </c>
      <c r="AO172">
        <f ca="1">O172</f>
        <v>0</v>
      </c>
      <c r="AP172" t="str">
        <f>SUBSTITUTE(SUBSTITUTE(SUBSTITUTE("dch"&amp;$B172&amp;$C172&amp;$D172&amp;$E172,".","_"),"(","_"),")","")</f>
        <v>dch503_5_8</v>
      </c>
      <c r="AQ172" t="str">
        <f>IF(LEN(W172)=0,"",W172)</f>
        <v/>
      </c>
      <c r="AR172" t="str">
        <f>SUBSTITUTE(SUBSTITUTE(SUBSTITUTE("dnt"&amp;$B172&amp;$C172&amp;$D172&amp;$E172,".","_"),"(","_"),")","")</f>
        <v>dnt503_5_8</v>
      </c>
      <c r="AS172" t="str">
        <f>IF(LEN(X172)=0,"",X172)</f>
        <v/>
      </c>
    </row>
    <row r="173" spans="1:45" x14ac:dyDescent="0.35">
      <c r="B173" s="13" t="s">
        <v>413</v>
      </c>
      <c r="C173" s="13" t="s">
        <v>428</v>
      </c>
      <c r="D173" s="13"/>
      <c r="E173" s="13"/>
      <c r="F173" s="13"/>
      <c r="G173" s="13"/>
      <c r="H173" s="455"/>
      <c r="I173" s="50"/>
      <c r="J173" s="50"/>
      <c r="K173" s="50"/>
      <c r="L173" s="814"/>
      <c r="M173" s="818"/>
      <c r="O173" s="832"/>
      <c r="X173" s="817"/>
    </row>
    <row r="174" spans="1:45" x14ac:dyDescent="0.35">
      <c r="B174" s="13" t="s">
        <v>413</v>
      </c>
      <c r="C174" s="13" t="s">
        <v>428</v>
      </c>
      <c r="D174" s="13"/>
      <c r="E174" s="13"/>
      <c r="F174" s="13"/>
      <c r="G174" s="13"/>
      <c r="H174" s="455"/>
      <c r="I174" s="50"/>
      <c r="J174" s="50"/>
      <c r="K174" s="50"/>
      <c r="L174" s="814"/>
      <c r="M174" s="818"/>
      <c r="O174" s="832"/>
      <c r="X174" s="817"/>
    </row>
    <row r="175" spans="1:45" x14ac:dyDescent="0.35">
      <c r="B175" s="13" t="s">
        <v>413</v>
      </c>
      <c r="C175" s="13" t="s">
        <v>428</v>
      </c>
      <c r="D175" s="13"/>
      <c r="E175" s="13"/>
      <c r="F175" s="13"/>
      <c r="G175" s="13"/>
      <c r="H175" s="455"/>
      <c r="I175" s="50"/>
      <c r="J175" s="50"/>
      <c r="K175" s="50"/>
      <c r="L175" s="814"/>
      <c r="M175" s="818"/>
      <c r="O175" s="832"/>
      <c r="X175" s="817"/>
    </row>
    <row r="176" spans="1:45" x14ac:dyDescent="0.35">
      <c r="B176" s="13" t="s">
        <v>413</v>
      </c>
      <c r="C176" s="13" t="s">
        <v>428</v>
      </c>
      <c r="D176" s="13"/>
      <c r="E176" s="13"/>
      <c r="F176" s="13"/>
      <c r="G176" s="13"/>
      <c r="H176" s="455"/>
      <c r="I176" s="50"/>
      <c r="J176" s="103"/>
      <c r="K176" s="103"/>
      <c r="L176" s="815"/>
      <c r="M176" s="819"/>
      <c r="N176" s="104"/>
      <c r="O176" s="824"/>
      <c r="X176" s="817"/>
    </row>
    <row r="177" spans="2:45" x14ac:dyDescent="0.35">
      <c r="B177" s="13" t="s">
        <v>413</v>
      </c>
      <c r="C177" s="13" t="s">
        <v>430</v>
      </c>
      <c r="D177" s="13"/>
      <c r="E177" s="13"/>
      <c r="F177" s="13"/>
      <c r="G177" s="13"/>
      <c r="H177" s="455"/>
      <c r="I177" s="50"/>
      <c r="J177" s="47" t="s">
        <v>430</v>
      </c>
      <c r="K177" s="50"/>
      <c r="L177" s="814" t="s">
        <v>429</v>
      </c>
      <c r="M177" s="818">
        <f ca="1">5*IFERROR(INDEX({0.5,0.5,1},MATCH(W148,INDIRECT(U148),0)),0)</f>
        <v>5</v>
      </c>
      <c r="O177" s="832">
        <f ca="1">M177*S177*W177</f>
        <v>0</v>
      </c>
      <c r="P177" t="b">
        <v>0</v>
      </c>
      <c r="Q177" t="b">
        <v>1</v>
      </c>
      <c r="R177" t="b">
        <v>0</v>
      </c>
      <c r="S177" t="b">
        <f>NOT(ISBLANK(W148))</f>
        <v>1</v>
      </c>
      <c r="T177" t="b">
        <f>AND(NOT(S177),W177=TRUE)</f>
        <v>0</v>
      </c>
      <c r="W177" s="17"/>
      <c r="X177" s="817"/>
      <c r="AC177" t="b">
        <f>OR(AD177:AE177)</f>
        <v>0</v>
      </c>
      <c r="AD177" t="b">
        <f>T177</f>
        <v>0</v>
      </c>
      <c r="AL177" t="str">
        <f>SUBSTITUTE(SUBSTITUTE(SUBSTITUTE("dpa"&amp;$B177&amp;$C177&amp;$D177&amp;$E177,".","_"),"(","_"),")","")</f>
        <v>dpa503_5_9</v>
      </c>
      <c r="AM177">
        <f ca="1">M177</f>
        <v>5</v>
      </c>
      <c r="AN177" t="str">
        <f>SUBSTITUTE(SUBSTITUTE(SUBSTITUTE("dpc"&amp;$B177&amp;$C177&amp;$D177&amp;$E177,".","_"),"(","_"),")","")</f>
        <v>dpc503_5_9</v>
      </c>
      <c r="AO177">
        <f ca="1">O177</f>
        <v>0</v>
      </c>
      <c r="AP177" t="str">
        <f>SUBSTITUTE(SUBSTITUTE(SUBSTITUTE("dch"&amp;$B177&amp;$C177&amp;$D177&amp;$E177,".","_"),"(","_"),")","")</f>
        <v>dch503_5_9</v>
      </c>
      <c r="AQ177" t="str">
        <f>IF(LEN(W177)=0,"",W177)</f>
        <v/>
      </c>
      <c r="AR177" t="str">
        <f>SUBSTITUTE(SUBSTITUTE(SUBSTITUTE("dnt"&amp;$B177&amp;$C177&amp;$D177&amp;$E177,".","_"),"(","_"),")","")</f>
        <v>dnt503_5_9</v>
      </c>
      <c r="AS177" t="str">
        <f>IF(LEN(X177)=0,"",X177)</f>
        <v/>
      </c>
    </row>
    <row r="178" spans="2:45" x14ac:dyDescent="0.35">
      <c r="B178" s="13" t="s">
        <v>413</v>
      </c>
      <c r="C178" s="13" t="s">
        <v>430</v>
      </c>
      <c r="D178" s="13"/>
      <c r="E178" s="13"/>
      <c r="F178" s="13"/>
      <c r="G178" s="13"/>
      <c r="H178" s="455"/>
      <c r="I178" s="50"/>
      <c r="J178" s="103"/>
      <c r="K178" s="103"/>
      <c r="L178" s="815"/>
      <c r="M178" s="819"/>
      <c r="N178" s="104"/>
      <c r="O178" s="824"/>
      <c r="X178" s="817"/>
    </row>
    <row r="179" spans="2:45" x14ac:dyDescent="0.35">
      <c r="B179" s="13" t="s">
        <v>413</v>
      </c>
      <c r="C179" s="13" t="s">
        <v>432</v>
      </c>
      <c r="D179" s="13"/>
      <c r="E179" s="13"/>
      <c r="F179" s="13"/>
      <c r="G179" s="13"/>
      <c r="H179" s="455"/>
      <c r="I179" s="50"/>
      <c r="J179" s="47" t="s">
        <v>432</v>
      </c>
      <c r="K179" s="50"/>
      <c r="L179" s="814" t="s">
        <v>431</v>
      </c>
      <c r="M179" s="822">
        <v>3</v>
      </c>
      <c r="O179" s="823">
        <f>M179*S179*W179</f>
        <v>0</v>
      </c>
      <c r="P179" t="b">
        <v>0</v>
      </c>
      <c r="Q179" t="b">
        <v>1</v>
      </c>
      <c r="R179" t="b">
        <v>0</v>
      </c>
      <c r="S179" t="b">
        <f>NOT(ISBLANK(W148))</f>
        <v>1</v>
      </c>
      <c r="T179" t="b">
        <f>AND(NOT(S179),W179=TRUE)</f>
        <v>0</v>
      </c>
      <c r="W179" s="17"/>
      <c r="X179" s="850"/>
      <c r="AC179" t="b">
        <f>OR(AD179:AE179)</f>
        <v>0</v>
      </c>
      <c r="AD179" t="b">
        <f>T179</f>
        <v>0</v>
      </c>
      <c r="AL179" t="str">
        <f>SUBSTITUTE(SUBSTITUTE(SUBSTITUTE("dpa"&amp;$B179&amp;$C179&amp;$D179&amp;$E179,".","_"),"(","_"),")","")</f>
        <v>dpa503_5_10</v>
      </c>
      <c r="AM179">
        <f>M179</f>
        <v>3</v>
      </c>
      <c r="AN179" t="str">
        <f>SUBSTITUTE(SUBSTITUTE(SUBSTITUTE("dpc"&amp;$B179&amp;$C179&amp;$D179&amp;$E179,".","_"),"(","_"),")","")</f>
        <v>dpc503_5_10</v>
      </c>
      <c r="AO179">
        <f>O179</f>
        <v>0</v>
      </c>
      <c r="AP179" t="str">
        <f>SUBSTITUTE(SUBSTITUTE(SUBSTITUTE("dch"&amp;$B179&amp;$C179&amp;$D179&amp;$E179,".","_"),"(","_"),")","")</f>
        <v>dch503_5_10</v>
      </c>
      <c r="AQ179" t="str">
        <f>IF(LEN(W179)=0,"",W179)</f>
        <v/>
      </c>
      <c r="AR179" t="str">
        <f>SUBSTITUTE(SUBSTITUTE(SUBSTITUTE("dnt"&amp;$B179&amp;$C179&amp;$D179&amp;$E179,".","_"),"(","_"),")","")</f>
        <v>dnt503_5_10</v>
      </c>
      <c r="AS179" t="str">
        <f>IF(LEN(X179)=0,"",X179)</f>
        <v/>
      </c>
    </row>
    <row r="180" spans="2:45" x14ac:dyDescent="0.35">
      <c r="B180" s="13" t="s">
        <v>413</v>
      </c>
      <c r="C180" s="13" t="s">
        <v>432</v>
      </c>
      <c r="D180" s="13"/>
      <c r="E180" s="13"/>
      <c r="F180" s="13"/>
      <c r="G180" s="13"/>
      <c r="H180" s="455"/>
      <c r="I180" s="50"/>
      <c r="J180" s="50"/>
      <c r="K180" s="50"/>
      <c r="L180" s="814"/>
      <c r="M180" s="818"/>
      <c r="O180" s="832"/>
      <c r="X180" s="851"/>
    </row>
    <row r="181" spans="2:45" x14ac:dyDescent="0.35">
      <c r="B181" s="13" t="s">
        <v>413</v>
      </c>
      <c r="C181" s="13" t="s">
        <v>432</v>
      </c>
      <c r="D181" s="13"/>
      <c r="E181" s="13"/>
      <c r="F181" s="13"/>
      <c r="G181" s="13"/>
      <c r="H181" s="455"/>
      <c r="I181" s="50"/>
      <c r="J181" s="103"/>
      <c r="K181" s="103"/>
      <c r="L181" s="815"/>
      <c r="M181" s="819"/>
      <c r="N181" s="104"/>
      <c r="O181" s="824"/>
      <c r="X181" s="816"/>
    </row>
    <row r="182" spans="2:45" x14ac:dyDescent="0.35">
      <c r="B182" s="13" t="s">
        <v>413</v>
      </c>
      <c r="C182" s="13" t="s">
        <v>434</v>
      </c>
      <c r="D182" s="13"/>
      <c r="E182" s="13"/>
      <c r="F182" s="13"/>
      <c r="G182" s="13"/>
      <c r="H182" s="455"/>
      <c r="I182" s="50"/>
      <c r="J182" s="47" t="s">
        <v>434</v>
      </c>
      <c r="K182" s="50"/>
      <c r="L182" s="814" t="s">
        <v>433</v>
      </c>
      <c r="M182" s="818">
        <v>4</v>
      </c>
      <c r="O182" s="832">
        <f>M182*S182*W182</f>
        <v>0</v>
      </c>
      <c r="P182" t="b">
        <v>0</v>
      </c>
      <c r="Q182" t="b">
        <v>1</v>
      </c>
      <c r="R182" t="b">
        <v>0</v>
      </c>
      <c r="S182" t="b">
        <f>NOT(ISBLANK(W148))</f>
        <v>1</v>
      </c>
      <c r="T182" t="b">
        <f>AND(NOT(S182),W182=TRUE)</f>
        <v>0</v>
      </c>
      <c r="W182" s="17"/>
      <c r="X182" s="817"/>
      <c r="AC182" t="b">
        <f>OR(AD182:AE182)</f>
        <v>0</v>
      </c>
      <c r="AD182" t="b">
        <f>T182</f>
        <v>0</v>
      </c>
      <c r="AL182" t="str">
        <f>SUBSTITUTE(SUBSTITUTE(SUBSTITUTE("dpa"&amp;$B182&amp;$C182&amp;$D182&amp;$E182,".","_"),"(","_"),")","")</f>
        <v>dpa503_5_11</v>
      </c>
      <c r="AM182">
        <f>M182</f>
        <v>4</v>
      </c>
      <c r="AN182" t="str">
        <f>SUBSTITUTE(SUBSTITUTE(SUBSTITUTE("dpc"&amp;$B182&amp;$C182&amp;$D182&amp;$E182,".","_"),"(","_"),")","")</f>
        <v>dpc503_5_11</v>
      </c>
      <c r="AO182">
        <f>O182</f>
        <v>0</v>
      </c>
      <c r="AP182" t="str">
        <f>SUBSTITUTE(SUBSTITUTE(SUBSTITUTE("dch"&amp;$B182&amp;$C182&amp;$D182&amp;$E182,".","_"),"(","_"),")","")</f>
        <v>dch503_5_11</v>
      </c>
      <c r="AQ182" t="str">
        <f>IF(LEN(W182)=0,"",W182)</f>
        <v/>
      </c>
      <c r="AR182" t="str">
        <f>SUBSTITUTE(SUBSTITUTE(SUBSTITUTE("dnt"&amp;$B182&amp;$C182&amp;$D182&amp;$E182,".","_"),"(","_"),")","")</f>
        <v>dnt503_5_11</v>
      </c>
      <c r="AS182" t="str">
        <f>IF(LEN(X182)=0,"",X182)</f>
        <v/>
      </c>
    </row>
    <row r="183" spans="2:45" x14ac:dyDescent="0.35">
      <c r="B183" s="13" t="s">
        <v>413</v>
      </c>
      <c r="C183" s="13" t="s">
        <v>434</v>
      </c>
      <c r="D183" s="13"/>
      <c r="E183" s="13"/>
      <c r="F183" s="13"/>
      <c r="G183" s="13"/>
      <c r="H183" s="455"/>
      <c r="I183" s="50"/>
      <c r="J183" s="103"/>
      <c r="K183" s="103"/>
      <c r="L183" s="815"/>
      <c r="M183" s="819"/>
      <c r="N183" s="104"/>
      <c r="O183" s="824"/>
      <c r="X183" s="817"/>
    </row>
    <row r="184" spans="2:45" x14ac:dyDescent="0.35">
      <c r="B184" s="13" t="s">
        <v>413</v>
      </c>
      <c r="C184" s="13" t="s">
        <v>436</v>
      </c>
      <c r="D184" s="13"/>
      <c r="E184" s="13"/>
      <c r="F184" s="13"/>
      <c r="G184" s="13"/>
      <c r="H184" s="455"/>
      <c r="I184" s="50"/>
      <c r="J184" s="47" t="s">
        <v>436</v>
      </c>
      <c r="K184" s="50"/>
      <c r="L184" s="814" t="s">
        <v>435</v>
      </c>
      <c r="M184" s="818">
        <v>3</v>
      </c>
      <c r="O184" s="832">
        <f>M184*S184*W184</f>
        <v>0</v>
      </c>
      <c r="P184" t="b">
        <v>0</v>
      </c>
      <c r="Q184" t="b">
        <v>1</v>
      </c>
      <c r="R184" t="b">
        <v>0</v>
      </c>
      <c r="S184" t="b">
        <f>NOT(ISBLANK(W148))</f>
        <v>1</v>
      </c>
      <c r="T184" t="b">
        <f>AND(NOT(S184),W184=TRUE)</f>
        <v>0</v>
      </c>
      <c r="W184" s="17"/>
      <c r="X184" s="817"/>
      <c r="AC184" t="b">
        <f>OR(AD184:AE184)</f>
        <v>0</v>
      </c>
      <c r="AD184" t="b">
        <f>T184</f>
        <v>0</v>
      </c>
      <c r="AL184" t="str">
        <f>SUBSTITUTE(SUBSTITUTE(SUBSTITUTE("dpa"&amp;$B184&amp;$C184&amp;$D184&amp;$E184,".","_"),"(","_"),")","")</f>
        <v>dpa503_5_12</v>
      </c>
      <c r="AM184">
        <f>M184</f>
        <v>3</v>
      </c>
      <c r="AN184" t="str">
        <f>SUBSTITUTE(SUBSTITUTE(SUBSTITUTE("dpc"&amp;$B184&amp;$C184&amp;$D184&amp;$E184,".","_"),"(","_"),")","")</f>
        <v>dpc503_5_12</v>
      </c>
      <c r="AO184">
        <f>O184</f>
        <v>0</v>
      </c>
      <c r="AP184" t="str">
        <f>SUBSTITUTE(SUBSTITUTE(SUBSTITUTE("dch"&amp;$B184&amp;$C184&amp;$D184&amp;$E184,".","_"),"(","_"),")","")</f>
        <v>dch503_5_12</v>
      </c>
      <c r="AQ184" t="str">
        <f>IF(LEN(W184)=0,"",W184)</f>
        <v/>
      </c>
      <c r="AR184" t="str">
        <f>SUBSTITUTE(SUBSTITUTE(SUBSTITUTE("dnt"&amp;$B184&amp;$C184&amp;$D184&amp;$E184,".","_"),"(","_"),")","")</f>
        <v>dnt503_5_12</v>
      </c>
      <c r="AS184" t="str">
        <f>IF(LEN(X184)=0,"",X184)</f>
        <v/>
      </c>
    </row>
    <row r="185" spans="2:45" x14ac:dyDescent="0.35">
      <c r="B185" s="13" t="s">
        <v>413</v>
      </c>
      <c r="C185" s="13" t="s">
        <v>436</v>
      </c>
      <c r="D185" s="13"/>
      <c r="E185" s="13"/>
      <c r="F185" s="13"/>
      <c r="G185" s="13"/>
      <c r="H185" s="455"/>
      <c r="I185" s="50"/>
      <c r="J185" s="103"/>
      <c r="K185" s="103"/>
      <c r="L185" s="815"/>
      <c r="M185" s="819"/>
      <c r="N185" s="104"/>
      <c r="O185" s="824"/>
      <c r="X185" s="817"/>
    </row>
    <row r="186" spans="2:45" x14ac:dyDescent="0.35">
      <c r="B186" s="13" t="s">
        <v>413</v>
      </c>
      <c r="C186" s="13" t="s">
        <v>3294</v>
      </c>
      <c r="D186" s="13"/>
      <c r="E186" s="13"/>
      <c r="F186" s="13"/>
      <c r="G186" s="13"/>
      <c r="H186" s="455"/>
      <c r="I186" s="50"/>
      <c r="J186" s="47" t="s">
        <v>3294</v>
      </c>
      <c r="K186" s="50"/>
      <c r="L186" s="814" t="s">
        <v>437</v>
      </c>
      <c r="M186" s="818">
        <v>6</v>
      </c>
      <c r="O186" s="832">
        <f>M186*S186*W186</f>
        <v>0</v>
      </c>
      <c r="P186" t="b">
        <v>0</v>
      </c>
      <c r="Q186" t="b">
        <v>1</v>
      </c>
      <c r="R186" t="b">
        <v>0</v>
      </c>
      <c r="S186" t="b">
        <f>NOT(ISBLANK(W148))</f>
        <v>1</v>
      </c>
      <c r="T186" t="b">
        <f>AND(NOT(S186),W186=TRUE)</f>
        <v>0</v>
      </c>
      <c r="W186" s="17"/>
      <c r="X186" s="817"/>
      <c r="AC186" t="b">
        <f>OR(AD186:AE186)</f>
        <v>0</v>
      </c>
      <c r="AD186" t="b">
        <f>T186</f>
        <v>0</v>
      </c>
      <c r="AL186" t="str">
        <f>SUBSTITUTE(SUBSTITUTE(SUBSTITUTE("dpa"&amp;$B186&amp;$C186&amp;$D186&amp;$E186,".","_"),"(","_"),")","")</f>
        <v>dpa503_5_13</v>
      </c>
      <c r="AM186">
        <f>M186</f>
        <v>6</v>
      </c>
      <c r="AN186" t="str">
        <f>SUBSTITUTE(SUBSTITUTE(SUBSTITUTE("dpc"&amp;$B186&amp;$C186&amp;$D186&amp;$E186,".","_"),"(","_"),")","")</f>
        <v>dpc503_5_13</v>
      </c>
      <c r="AO186">
        <f>O186</f>
        <v>0</v>
      </c>
      <c r="AP186" t="str">
        <f>SUBSTITUTE(SUBSTITUTE(SUBSTITUTE("dch"&amp;$B186&amp;$C186&amp;$D186&amp;$E186,".","_"),"(","_"),")","")</f>
        <v>dch503_5_13</v>
      </c>
      <c r="AQ186" t="str">
        <f>IF(LEN(W186)=0,"",W186)</f>
        <v/>
      </c>
      <c r="AR186" t="str">
        <f>SUBSTITUTE(SUBSTITUTE(SUBSTITUTE("dnt"&amp;$B186&amp;$C186&amp;$D186&amp;$E186,".","_"),"(","_"),")","")</f>
        <v>dnt503_5_13</v>
      </c>
      <c r="AS186" t="str">
        <f>IF(LEN(X186)=0,"",X186)</f>
        <v/>
      </c>
    </row>
    <row r="187" spans="2:45" ht="15" thickBot="1" x14ac:dyDescent="0.4">
      <c r="B187" s="13" t="s">
        <v>413</v>
      </c>
      <c r="C187" s="13" t="s">
        <v>3294</v>
      </c>
      <c r="D187" s="13"/>
      <c r="E187" s="13"/>
      <c r="F187" s="13"/>
      <c r="G187" s="13"/>
      <c r="H187" s="455"/>
      <c r="I187" s="57"/>
      <c r="J187" s="57"/>
      <c r="K187" s="57"/>
      <c r="L187" s="839"/>
      <c r="M187" s="827"/>
      <c r="N187" s="55"/>
      <c r="O187" s="833"/>
      <c r="P187" s="55"/>
      <c r="Q187" s="55"/>
      <c r="R187" s="55"/>
      <c r="S187" s="55"/>
      <c r="T187" s="55"/>
      <c r="U187" s="55"/>
      <c r="V187" s="55"/>
      <c r="W187" s="55"/>
      <c r="X187" s="829"/>
    </row>
    <row r="188" spans="2:45" ht="15" thickTop="1" x14ac:dyDescent="0.35">
      <c r="B188" s="13" t="s">
        <v>438</v>
      </c>
      <c r="C188" s="13"/>
      <c r="D188" s="13"/>
      <c r="E188" s="13"/>
      <c r="F188" s="13"/>
      <c r="G188" s="13"/>
      <c r="H188" s="455"/>
      <c r="I188" s="31">
        <v>503.6</v>
      </c>
      <c r="J188" s="50"/>
      <c r="K188" s="50"/>
      <c r="L188" s="838" t="s">
        <v>439</v>
      </c>
      <c r="M188" s="40"/>
      <c r="O188" s="831">
        <f>IF((M190*W190+M191*W191+M192*W192+M194*W194)&gt;=6,(M190*W190+M191*W191+M192*W192+M194*W194),0)</f>
        <v>6</v>
      </c>
      <c r="X188" s="840"/>
      <c r="AN188" t="str">
        <f>SUBSTITUTE(SUBSTITUTE(SUBSTITUTE("dpc"&amp;$B188&amp;$C188&amp;$D188&amp;$E188,".","_"),"(","_"),")","")</f>
        <v>dpc503_6</v>
      </c>
      <c r="AO188">
        <f>O188</f>
        <v>6</v>
      </c>
      <c r="AR188" t="str">
        <f>SUBSTITUTE(SUBSTITUTE(SUBSTITUTE("dnt"&amp;$B188&amp;$C188&amp;$D188&amp;$E188,".","_"),"(","_"),")","")</f>
        <v>dnt503_6</v>
      </c>
      <c r="AS188" t="str">
        <f>IF(LEN(X188)=0,"",X188)</f>
        <v/>
      </c>
    </row>
    <row r="189" spans="2:45" x14ac:dyDescent="0.35">
      <c r="B189" s="13" t="s">
        <v>438</v>
      </c>
      <c r="C189" s="13"/>
      <c r="D189" s="13"/>
      <c r="E189" s="13"/>
      <c r="F189" s="13"/>
      <c r="G189" s="13"/>
      <c r="H189" s="455"/>
      <c r="I189" s="50"/>
      <c r="J189" s="50"/>
      <c r="K189" s="50"/>
      <c r="L189" s="838"/>
      <c r="M189" s="40"/>
      <c r="O189" s="832"/>
      <c r="X189" s="817"/>
    </row>
    <row r="190" spans="2:45" x14ac:dyDescent="0.35">
      <c r="B190" s="13" t="s">
        <v>438</v>
      </c>
      <c r="C190" s="13" t="s">
        <v>256</v>
      </c>
      <c r="D190" s="13"/>
      <c r="E190" s="13"/>
      <c r="F190" s="13"/>
      <c r="G190" s="13"/>
      <c r="H190" s="455"/>
      <c r="I190" s="50"/>
      <c r="J190" s="100" t="s">
        <v>256</v>
      </c>
      <c r="K190" s="103"/>
      <c r="L190" s="228" t="s">
        <v>440</v>
      </c>
      <c r="M190" s="268">
        <v>3</v>
      </c>
      <c r="N190" s="104"/>
      <c r="O190" s="309"/>
      <c r="P190" t="b">
        <v>0</v>
      </c>
      <c r="Q190" t="b">
        <v>1</v>
      </c>
      <c r="R190" t="b">
        <v>0</v>
      </c>
      <c r="S190" t="b">
        <v>1</v>
      </c>
      <c r="T190" t="b">
        <v>0</v>
      </c>
      <c r="W190" s="17" t="b">
        <v>1</v>
      </c>
      <c r="X190" s="817"/>
      <c r="AL190" t="str">
        <f>SUBSTITUTE(SUBSTITUTE(SUBSTITUTE("dpa"&amp;$B190&amp;$C190&amp;$D190&amp;$E190,".","_"),"(","_"),")","")</f>
        <v>dpa503_6_1</v>
      </c>
      <c r="AM190">
        <f>M190</f>
        <v>3</v>
      </c>
      <c r="AP190" t="str">
        <f>SUBSTITUTE(SUBSTITUTE(SUBSTITUTE("dch"&amp;$B190&amp;$C190&amp;$D190&amp;$E190,".","_"),"(","_"),")","")</f>
        <v>dch503_6_1</v>
      </c>
      <c r="AQ190" t="b">
        <f>IF(LEN(W190)=0,"",W190)</f>
        <v>1</v>
      </c>
    </row>
    <row r="191" spans="2:45" x14ac:dyDescent="0.35">
      <c r="B191" s="13" t="s">
        <v>438</v>
      </c>
      <c r="C191" s="13" t="s">
        <v>258</v>
      </c>
      <c r="D191" s="13"/>
      <c r="E191" s="13"/>
      <c r="F191" s="13"/>
      <c r="G191" s="13"/>
      <c r="H191" s="455"/>
      <c r="I191" s="50"/>
      <c r="J191" s="100" t="s">
        <v>258</v>
      </c>
      <c r="K191" s="103"/>
      <c r="L191" s="228" t="s">
        <v>441</v>
      </c>
      <c r="M191" s="268">
        <v>3</v>
      </c>
      <c r="N191" s="104"/>
      <c r="O191" s="309"/>
      <c r="P191" t="b">
        <v>0</v>
      </c>
      <c r="Q191" t="b">
        <v>1</v>
      </c>
      <c r="R191" t="b">
        <v>0</v>
      </c>
      <c r="S191" t="b">
        <v>1</v>
      </c>
      <c r="T191" t="b">
        <v>0</v>
      </c>
      <c r="W191" s="17"/>
      <c r="X191" s="817"/>
      <c r="AL191" t="str">
        <f>SUBSTITUTE(SUBSTITUTE(SUBSTITUTE("dpa"&amp;$B191&amp;$C191&amp;$D191&amp;$E191,".","_"),"(","_"),")","")</f>
        <v>dpa503_6_2</v>
      </c>
      <c r="AM191">
        <f>M191</f>
        <v>3</v>
      </c>
      <c r="AP191" t="str">
        <f>SUBSTITUTE(SUBSTITUTE(SUBSTITUTE("dch"&amp;$B191&amp;$C191&amp;$D191&amp;$E191,".","_"),"(","_"),")","")</f>
        <v>dch503_6_2</v>
      </c>
      <c r="AQ191" t="str">
        <f>IF(LEN(W191)=0,"",W191)</f>
        <v/>
      </c>
    </row>
    <row r="192" spans="2:45" x14ac:dyDescent="0.35">
      <c r="B192" s="13" t="s">
        <v>438</v>
      </c>
      <c r="C192" s="13" t="s">
        <v>260</v>
      </c>
      <c r="D192" s="13"/>
      <c r="E192" s="13"/>
      <c r="F192" s="13"/>
      <c r="G192" s="13"/>
      <c r="H192" s="455"/>
      <c r="I192" s="50"/>
      <c r="J192" s="47" t="s">
        <v>260</v>
      </c>
      <c r="K192" s="50"/>
      <c r="L192" s="814" t="s">
        <v>442</v>
      </c>
      <c r="M192" s="818">
        <v>3</v>
      </c>
      <c r="O192" s="75"/>
      <c r="P192" t="b">
        <v>0</v>
      </c>
      <c r="Q192" t="b">
        <v>1</v>
      </c>
      <c r="R192" t="b">
        <v>0</v>
      </c>
      <c r="S192" t="b">
        <v>1</v>
      </c>
      <c r="T192" t="b">
        <v>0</v>
      </c>
      <c r="W192" s="17"/>
      <c r="X192" s="817"/>
      <c r="AL192" t="str">
        <f>SUBSTITUTE(SUBSTITUTE(SUBSTITUTE("dpa"&amp;$B192&amp;$C192&amp;$D192&amp;$E192,".","_"),"(","_"),")","")</f>
        <v>dpa503_6_3</v>
      </c>
      <c r="AM192">
        <f>M192</f>
        <v>3</v>
      </c>
      <c r="AP192" t="str">
        <f>SUBSTITUTE(SUBSTITUTE(SUBSTITUTE("dch"&amp;$B192&amp;$C192&amp;$D192&amp;$E192,".","_"),"(","_"),")","")</f>
        <v>dch503_6_3</v>
      </c>
      <c r="AQ192" t="str">
        <f>IF(LEN(W192)=0,"",W192)</f>
        <v/>
      </c>
    </row>
    <row r="193" spans="2:45" x14ac:dyDescent="0.35">
      <c r="B193" s="13" t="s">
        <v>438</v>
      </c>
      <c r="C193" s="13" t="s">
        <v>260</v>
      </c>
      <c r="D193" s="13"/>
      <c r="E193" s="13"/>
      <c r="F193" s="13"/>
      <c r="G193" s="13"/>
      <c r="H193" s="455"/>
      <c r="I193" s="50"/>
      <c r="J193" s="103"/>
      <c r="K193" s="103"/>
      <c r="L193" s="815"/>
      <c r="M193" s="819"/>
      <c r="N193" s="104"/>
      <c r="O193" s="309"/>
      <c r="X193" s="817"/>
    </row>
    <row r="194" spans="2:45" ht="15" thickBot="1" x14ac:dyDescent="0.4">
      <c r="B194" s="13" t="s">
        <v>438</v>
      </c>
      <c r="C194" s="13" t="s">
        <v>269</v>
      </c>
      <c r="D194" s="13"/>
      <c r="E194" s="13"/>
      <c r="F194" s="13"/>
      <c r="G194" s="13"/>
      <c r="H194" s="455"/>
      <c r="I194" s="57"/>
      <c r="J194" s="52" t="s">
        <v>269</v>
      </c>
      <c r="K194" s="57"/>
      <c r="L194" s="229" t="s">
        <v>443</v>
      </c>
      <c r="M194" s="270">
        <v>3</v>
      </c>
      <c r="N194" s="55"/>
      <c r="O194" s="161"/>
      <c r="P194" t="b">
        <v>0</v>
      </c>
      <c r="Q194" t="b">
        <v>1</v>
      </c>
      <c r="R194" s="55" t="b">
        <v>0</v>
      </c>
      <c r="S194" s="55" t="b">
        <v>1</v>
      </c>
      <c r="T194" s="55" t="b">
        <v>0</v>
      </c>
      <c r="U194" s="55"/>
      <c r="V194" s="55"/>
      <c r="W194" s="56" t="b">
        <v>1</v>
      </c>
      <c r="X194" s="829"/>
      <c r="AL194" t="str">
        <f>SUBSTITUTE(SUBSTITUTE(SUBSTITUTE("dpa"&amp;$B194&amp;$C194&amp;$D194&amp;$E194,".","_"),"(","_"),")","")</f>
        <v>dpa503_6_4</v>
      </c>
      <c r="AM194">
        <f>M194</f>
        <v>3</v>
      </c>
      <c r="AP194" t="str">
        <f>SUBSTITUTE(SUBSTITUTE(SUBSTITUTE("dch"&amp;$B194&amp;$C194&amp;$D194&amp;$E194,".","_"),"(","_"),")","")</f>
        <v>dch503_6_4</v>
      </c>
      <c r="AQ194" t="b">
        <f>IF(LEN(W194)=0,"",W194)</f>
        <v>1</v>
      </c>
    </row>
    <row r="195" spans="2:45" ht="15" thickTop="1" x14ac:dyDescent="0.35">
      <c r="B195" s="13" t="s">
        <v>444</v>
      </c>
      <c r="C195" s="13"/>
      <c r="D195" s="13"/>
      <c r="E195" s="13"/>
      <c r="F195" s="13"/>
      <c r="G195" s="13"/>
      <c r="H195" s="455"/>
      <c r="I195" s="31">
        <v>503.7</v>
      </c>
      <c r="J195" s="50"/>
      <c r="K195" s="50"/>
      <c r="L195" s="838" t="s">
        <v>445</v>
      </c>
      <c r="M195" s="40"/>
      <c r="O195" s="831">
        <f>IF(LEN(W195)&gt;0,4,0)*S195</f>
        <v>0</v>
      </c>
      <c r="P195" t="b">
        <v>1</v>
      </c>
      <c r="Q195" t="b">
        <v>1</v>
      </c>
      <c r="R195" t="b">
        <v>0</v>
      </c>
      <c r="S195" t="b">
        <v>1</v>
      </c>
      <c r="T195" t="b">
        <v>0</v>
      </c>
      <c r="U195" t="str">
        <f>SUBSTITUTE(SUBSTITUTE(SUBSTITUTE("dd"&amp;B195&amp;C195&amp;D195&amp;E195&amp;F195,".","_"),"(","_"),")","")</f>
        <v>dd503_7</v>
      </c>
      <c r="W195" s="167"/>
      <c r="X195" s="816"/>
      <c r="AL195" t="str">
        <f>SUBSTITUTE(SUBSTITUTE(SUBSTITUTE("dpa"&amp;$B195&amp;$C195&amp;$D195&amp;$E195,".","_"),"(","_"),")","")</f>
        <v>dpa503_7</v>
      </c>
      <c r="AM195">
        <f>M195</f>
        <v>0</v>
      </c>
      <c r="AN195" t="str">
        <f>SUBSTITUTE(SUBSTITUTE(SUBSTITUTE("dpc"&amp;$B195&amp;$C195&amp;$D195&amp;$E195,".","_"),"(","_"),")","")</f>
        <v>dpc503_7</v>
      </c>
      <c r="AO195">
        <f>O195</f>
        <v>0</v>
      </c>
      <c r="AP195" t="str">
        <f>SUBSTITUTE(SUBSTITUTE(SUBSTITUTE("dch"&amp;$B195&amp;$C195&amp;$D195&amp;$E195,".","_"),"(","_"),")","")</f>
        <v>dch503_7</v>
      </c>
      <c r="AQ195" t="str">
        <f>IF(LEN(W195)=0,"",W195)</f>
        <v/>
      </c>
      <c r="AR195" t="str">
        <f>SUBSTITUTE(SUBSTITUTE(SUBSTITUTE("dnt"&amp;$B195&amp;$C195&amp;$D195&amp;$E195,".","_"),"(","_"),")","")</f>
        <v>dnt503_7</v>
      </c>
      <c r="AS195" t="str">
        <f>IF(LEN(X195)=0,"",X195)</f>
        <v/>
      </c>
    </row>
    <row r="196" spans="2:45" x14ac:dyDescent="0.35">
      <c r="B196" s="13" t="s">
        <v>444</v>
      </c>
      <c r="C196" s="13"/>
      <c r="D196" s="13"/>
      <c r="E196" s="13"/>
      <c r="F196" s="13"/>
      <c r="G196" s="13"/>
      <c r="H196" s="455"/>
      <c r="I196" s="50"/>
      <c r="J196" s="50"/>
      <c r="K196" s="50"/>
      <c r="L196" s="838"/>
      <c r="M196" s="40"/>
      <c r="O196" s="832"/>
      <c r="X196" s="817"/>
    </row>
    <row r="197" spans="2:45" x14ac:dyDescent="0.35">
      <c r="B197" s="13" t="s">
        <v>444</v>
      </c>
      <c r="C197" s="13" t="s">
        <v>256</v>
      </c>
      <c r="D197" s="13"/>
      <c r="E197" s="13"/>
      <c r="F197" s="13"/>
      <c r="G197" s="13"/>
      <c r="H197" s="455"/>
      <c r="I197" s="50"/>
      <c r="J197" s="47" t="s">
        <v>256</v>
      </c>
      <c r="K197" s="50"/>
      <c r="L197" s="814" t="s">
        <v>446</v>
      </c>
      <c r="M197" s="818">
        <v>4</v>
      </c>
      <c r="O197"/>
      <c r="X197" s="817"/>
    </row>
    <row r="198" spans="2:45" x14ac:dyDescent="0.35">
      <c r="B198" s="13" t="s">
        <v>444</v>
      </c>
      <c r="C198" s="13" t="s">
        <v>256</v>
      </c>
      <c r="D198" s="13"/>
      <c r="E198" s="13"/>
      <c r="F198" s="13"/>
      <c r="G198" s="13"/>
      <c r="H198" s="455"/>
      <c r="I198" s="50"/>
      <c r="J198" s="100"/>
      <c r="K198" s="103"/>
      <c r="L198" s="815"/>
      <c r="M198" s="819"/>
      <c r="N198" s="104"/>
      <c r="O198"/>
      <c r="X198" s="817"/>
    </row>
    <row r="199" spans="2:45" x14ac:dyDescent="0.35">
      <c r="B199" s="13" t="s">
        <v>444</v>
      </c>
      <c r="C199" s="13" t="s">
        <v>258</v>
      </c>
      <c r="D199" s="13"/>
      <c r="E199" s="13"/>
      <c r="F199" s="13"/>
      <c r="G199" s="13"/>
      <c r="H199" s="455"/>
      <c r="I199" s="50"/>
      <c r="J199" s="47" t="s">
        <v>258</v>
      </c>
      <c r="K199" s="50"/>
      <c r="L199" s="814" t="s">
        <v>447</v>
      </c>
      <c r="M199" s="818">
        <v>4</v>
      </c>
      <c r="O199"/>
      <c r="X199" s="817"/>
    </row>
    <row r="200" spans="2:45" ht="15" thickBot="1" x14ac:dyDescent="0.4">
      <c r="B200" s="13" t="s">
        <v>444</v>
      </c>
      <c r="C200" s="13" t="s">
        <v>258</v>
      </c>
      <c r="D200" s="13"/>
      <c r="E200" s="13"/>
      <c r="F200" s="13"/>
      <c r="G200" s="13"/>
      <c r="H200" s="455"/>
      <c r="I200" s="57"/>
      <c r="J200" s="57"/>
      <c r="K200" s="57"/>
      <c r="L200" s="839"/>
      <c r="M200" s="827"/>
      <c r="N200" s="55"/>
      <c r="O200"/>
      <c r="P200" s="55"/>
      <c r="Q200" s="55"/>
      <c r="R200" s="55"/>
      <c r="S200" s="55"/>
      <c r="T200" s="55"/>
      <c r="U200" s="55"/>
      <c r="V200" s="55"/>
      <c r="W200" s="55"/>
      <c r="X200" s="829"/>
    </row>
    <row r="201" spans="2:45" ht="15" thickTop="1" x14ac:dyDescent="0.35">
      <c r="B201" s="13" t="s">
        <v>448</v>
      </c>
      <c r="C201" s="13"/>
      <c r="D201" s="13"/>
      <c r="E201" s="13"/>
      <c r="F201" s="13"/>
      <c r="G201" s="13"/>
      <c r="H201" s="455"/>
      <c r="I201" s="31">
        <v>503.8</v>
      </c>
      <c r="J201" s="50"/>
      <c r="K201" s="50"/>
      <c r="L201" s="838" t="s">
        <v>449</v>
      </c>
      <c r="M201" s="818">
        <v>5</v>
      </c>
      <c r="O201" s="831">
        <f ca="1">IFERROR(INDEX({5,6,7,8,9,10},MATCH(W202,INDIRECT(U202),0)),0)</f>
        <v>0</v>
      </c>
      <c r="X201" s="816"/>
      <c r="AL201" t="str">
        <f>SUBSTITUTE(SUBSTITUTE(SUBSTITUTE("dpa"&amp;$B201&amp;$C201&amp;$D201&amp;$E201,".","_"),"(","_"),")","")</f>
        <v>dpa503_8</v>
      </c>
      <c r="AM201">
        <f>M201</f>
        <v>5</v>
      </c>
      <c r="AN201" t="str">
        <f>SUBSTITUTE(SUBSTITUTE(SUBSTITUTE("dpc"&amp;$B201&amp;$C201&amp;$D201&amp;$E201,".","_"),"(","_"),")","")</f>
        <v>dpc503_8</v>
      </c>
      <c r="AO201">
        <f ca="1">O201</f>
        <v>0</v>
      </c>
      <c r="AR201" t="str">
        <f>SUBSTITUTE(SUBSTITUTE(SUBSTITUTE("dnt"&amp;$B201&amp;$C201&amp;$D201&amp;$E201,".","_"),"(","_"),")","")</f>
        <v>dnt503_8</v>
      </c>
      <c r="AS201" t="str">
        <f>IF(LEN(X201)=0,"",X201)</f>
        <v/>
      </c>
    </row>
    <row r="202" spans="2:45" x14ac:dyDescent="0.35">
      <c r="B202" s="13" t="s">
        <v>448</v>
      </c>
      <c r="C202" s="13"/>
      <c r="D202" s="13"/>
      <c r="E202" s="13"/>
      <c r="F202" s="13"/>
      <c r="G202" s="13"/>
      <c r="H202" s="455"/>
      <c r="I202" s="50"/>
      <c r="J202" s="50"/>
      <c r="K202" s="50"/>
      <c r="L202" s="838"/>
      <c r="M202" s="818"/>
      <c r="O202" s="832"/>
      <c r="P202" t="b">
        <v>1</v>
      </c>
      <c r="Q202" t="b">
        <v>0</v>
      </c>
      <c r="R202" t="b">
        <v>0</v>
      </c>
      <c r="S202" t="b">
        <v>1</v>
      </c>
      <c r="T202" t="b">
        <v>0</v>
      </c>
      <c r="U202" t="str">
        <f>SUBSTITUTE(SUBSTITUTE(SUBSTITUTE("dd"&amp;B202&amp;C202&amp;D202&amp;E202&amp;F202,".","_"),"(","_"),")","")</f>
        <v>dd503_8</v>
      </c>
      <c r="W202" s="9"/>
      <c r="X202" s="817"/>
      <c r="AP202" t="str">
        <f>SUBSTITUTE(SUBSTITUTE(SUBSTITUTE("dch"&amp;$B202&amp;$C202&amp;$D202&amp;$E202,".","_"),"(","_"),")","")</f>
        <v>dch503_8</v>
      </c>
      <c r="AQ202" t="str">
        <f>IF(LEN(W202)=0,"",W202)</f>
        <v/>
      </c>
    </row>
    <row r="203" spans="2:45" x14ac:dyDescent="0.35">
      <c r="B203" s="13" t="s">
        <v>448</v>
      </c>
      <c r="C203" s="13"/>
      <c r="D203" s="13"/>
      <c r="E203" s="13"/>
      <c r="F203" s="13"/>
      <c r="G203" s="13"/>
      <c r="H203" s="455"/>
      <c r="I203" s="50"/>
      <c r="J203" s="50"/>
      <c r="K203" s="50"/>
      <c r="L203" s="838"/>
      <c r="M203" s="818"/>
      <c r="O203" s="832"/>
      <c r="X203" s="817"/>
    </row>
    <row r="204" spans="2:45" x14ac:dyDescent="0.35">
      <c r="B204" s="13" t="s">
        <v>448</v>
      </c>
      <c r="C204" s="13" t="s">
        <v>4856</v>
      </c>
      <c r="D204" s="13"/>
      <c r="E204" s="13"/>
      <c r="F204" s="13"/>
      <c r="G204" s="13"/>
      <c r="H204" s="455"/>
      <c r="I204" s="50"/>
      <c r="J204" s="50"/>
      <c r="K204" s="50"/>
      <c r="L204" s="814" t="s">
        <v>450</v>
      </c>
      <c r="M204" s="818" t="s">
        <v>761</v>
      </c>
      <c r="O204" s="75"/>
      <c r="X204" s="817"/>
      <c r="AL204" t="str">
        <f>SUBSTITUTE(SUBSTITUTE(SUBSTITUTE("dpa"&amp;$B204&amp;$C204&amp;$D204&amp;$E204,".","_"),"(","_"),")","")</f>
        <v>dpa503_8_1</v>
      </c>
      <c r="AM204" t="str">
        <f>M204</f>
        <v>1 additional</v>
      </c>
    </row>
    <row r="205" spans="2:45" x14ac:dyDescent="0.35">
      <c r="B205" s="13" t="s">
        <v>448</v>
      </c>
      <c r="C205" s="13"/>
      <c r="D205" s="13"/>
      <c r="E205" s="13"/>
      <c r="F205" s="13"/>
      <c r="G205" s="13"/>
      <c r="H205" s="455"/>
      <c r="I205" s="50"/>
      <c r="J205" s="50"/>
      <c r="K205" s="50"/>
      <c r="L205" s="814"/>
      <c r="M205" s="818"/>
      <c r="O205" s="75"/>
      <c r="X205" s="817"/>
    </row>
    <row r="206" spans="2:45" ht="18.5" x14ac:dyDescent="0.45">
      <c r="B206" s="13" t="s">
        <v>4580</v>
      </c>
      <c r="C206" s="13"/>
      <c r="D206" s="13"/>
      <c r="E206" s="13"/>
      <c r="F206" s="13"/>
      <c r="G206" s="13"/>
      <c r="H206" s="455"/>
      <c r="I206" s="48" t="s">
        <v>452</v>
      </c>
      <c r="J206" s="48"/>
      <c r="K206" s="48"/>
      <c r="L206" s="44"/>
      <c r="M206" s="243"/>
      <c r="N206" s="15"/>
      <c r="O206" s="307"/>
      <c r="P206" s="15"/>
      <c r="Q206" s="15"/>
      <c r="R206" s="15"/>
      <c r="S206" s="15"/>
      <c r="T206" s="15"/>
      <c r="U206" s="15"/>
      <c r="V206" s="15"/>
      <c r="W206" s="15"/>
      <c r="X206" s="15"/>
    </row>
    <row r="207" spans="2:45" x14ac:dyDescent="0.35">
      <c r="B207" s="13" t="s">
        <v>451</v>
      </c>
      <c r="C207" s="13"/>
      <c r="D207" s="13"/>
      <c r="E207" s="13"/>
      <c r="F207" s="13"/>
      <c r="G207" s="13"/>
      <c r="H207" s="455"/>
      <c r="I207" s="47" t="s">
        <v>451</v>
      </c>
      <c r="J207" s="50"/>
      <c r="K207" s="50"/>
      <c r="L207" s="838" t="s">
        <v>453</v>
      </c>
      <c r="M207" s="40"/>
      <c r="O207" s="75"/>
      <c r="X207" s="65"/>
    </row>
    <row r="208" spans="2:45" ht="15" thickBot="1" x14ac:dyDescent="0.4">
      <c r="B208" s="13" t="s">
        <v>451</v>
      </c>
      <c r="C208" s="13"/>
      <c r="D208" s="13"/>
      <c r="E208" s="13"/>
      <c r="F208" s="13"/>
      <c r="G208" s="13"/>
      <c r="H208" s="455"/>
      <c r="I208" s="57"/>
      <c r="J208" s="57"/>
      <c r="K208" s="57"/>
      <c r="L208" s="849"/>
      <c r="M208" s="270"/>
      <c r="N208" s="55"/>
      <c r="O208" s="161"/>
      <c r="P208" s="55"/>
      <c r="Q208" s="55"/>
      <c r="R208" s="55"/>
      <c r="S208" s="55"/>
      <c r="T208" s="55"/>
      <c r="U208" s="55"/>
      <c r="V208" s="55"/>
      <c r="W208" s="55"/>
      <c r="X208" s="64"/>
    </row>
    <row r="209" spans="2:45" ht="15.75" customHeight="1" thickTop="1" x14ac:dyDescent="0.35">
      <c r="B209" s="13" t="s">
        <v>454</v>
      </c>
      <c r="C209" s="13"/>
      <c r="D209" s="13"/>
      <c r="E209" s="13"/>
      <c r="F209" s="13"/>
      <c r="G209" s="13"/>
      <c r="H209" s="455"/>
      <c r="I209" s="66" t="s">
        <v>454</v>
      </c>
      <c r="J209" s="61"/>
      <c r="K209" s="61"/>
      <c r="L209" s="837" t="s">
        <v>455</v>
      </c>
      <c r="M209" s="830">
        <v>4</v>
      </c>
      <c r="N209" s="59"/>
      <c r="O209" s="831">
        <f>M209*W209*S209</f>
        <v>4</v>
      </c>
      <c r="P209" t="b">
        <v>1</v>
      </c>
      <c r="Q209" t="b">
        <v>1</v>
      </c>
      <c r="R209" s="59" t="b">
        <v>0</v>
      </c>
      <c r="S209" s="59" t="b">
        <f>IF((O105+O107+O114)&gt;0,TRUE,FALSE)</f>
        <v>1</v>
      </c>
      <c r="T209" t="b">
        <f>AND(NOT(S209),W209=TRUE)</f>
        <v>0</v>
      </c>
      <c r="U209" s="59"/>
      <c r="V209" s="59"/>
      <c r="W209" s="17" t="b">
        <v>1</v>
      </c>
      <c r="X209" s="840"/>
      <c r="AC209" t="b">
        <f>OR(AD209:AE209)</f>
        <v>0</v>
      </c>
      <c r="AD209" t="b">
        <f>T209</f>
        <v>0</v>
      </c>
      <c r="AL209" t="str">
        <f>SUBSTITUTE(SUBSTITUTE(SUBSTITUTE("dpa"&amp;$B209&amp;$C209&amp;$D209&amp;$E209,".","_"),"(","_"),")","")</f>
        <v>dpa504_1</v>
      </c>
      <c r="AM209">
        <f>M209</f>
        <v>4</v>
      </c>
      <c r="AN209" t="str">
        <f>SUBSTITUTE(SUBSTITUTE(SUBSTITUTE("dpc"&amp;$B209&amp;$C209&amp;$D209&amp;$E209,".","_"),"(","_"),")","")</f>
        <v>dpc504_1</v>
      </c>
      <c r="AO209">
        <f>O209</f>
        <v>4</v>
      </c>
      <c r="AP209" t="str">
        <f>SUBSTITUTE(SUBSTITUTE(SUBSTITUTE("dch"&amp;$B209&amp;$C209&amp;$D209&amp;$E209,".","_"),"(","_"),")","")</f>
        <v>dch504_1</v>
      </c>
      <c r="AQ209" t="b">
        <f>IF(LEN(W209)=0,"",W209)</f>
        <v>1</v>
      </c>
      <c r="AR209" t="str">
        <f>SUBSTITUTE(SUBSTITUTE(SUBSTITUTE("dnt"&amp;$B209&amp;$C209&amp;$D209&amp;$E209,".","_"),"(","_"),")","")</f>
        <v>dnt504_1</v>
      </c>
      <c r="AS209" t="str">
        <f>IF(LEN(X209)=0,"",X209)</f>
        <v/>
      </c>
    </row>
    <row r="210" spans="2:45" x14ac:dyDescent="0.35">
      <c r="B210" s="13" t="s">
        <v>454</v>
      </c>
      <c r="C210" s="13"/>
      <c r="D210" s="13"/>
      <c r="E210" s="13"/>
      <c r="F210" s="13"/>
      <c r="G210" s="13"/>
      <c r="H210" s="455"/>
      <c r="I210" s="50"/>
      <c r="J210" s="50"/>
      <c r="K210" s="50"/>
      <c r="L210" s="838"/>
      <c r="M210" s="818"/>
      <c r="O210" s="832"/>
      <c r="X210" s="817"/>
    </row>
    <row r="211" spans="2:45" x14ac:dyDescent="0.35">
      <c r="B211" s="13" t="s">
        <v>454</v>
      </c>
      <c r="C211" s="13"/>
      <c r="D211" s="13"/>
      <c r="E211" s="13"/>
      <c r="F211" s="13"/>
      <c r="G211" s="13"/>
      <c r="H211" s="455"/>
      <c r="I211" s="50"/>
      <c r="J211" s="50"/>
      <c r="K211" s="50"/>
      <c r="L211" s="838"/>
      <c r="M211" s="818"/>
      <c r="O211" s="832"/>
      <c r="X211" s="817"/>
    </row>
    <row r="212" spans="2:45" x14ac:dyDescent="0.35">
      <c r="B212" s="13" t="s">
        <v>454</v>
      </c>
      <c r="C212" s="13"/>
      <c r="D212" s="13"/>
      <c r="E212" s="13"/>
      <c r="F212" s="13"/>
      <c r="G212" s="13"/>
      <c r="H212" s="455"/>
      <c r="I212" s="50"/>
      <c r="J212" s="50"/>
      <c r="K212" s="50"/>
      <c r="L212" s="838"/>
      <c r="M212" s="818"/>
      <c r="O212" s="832"/>
      <c r="X212" s="817"/>
    </row>
    <row r="213" spans="2:45" ht="15" thickBot="1" x14ac:dyDescent="0.4">
      <c r="B213" s="13" t="s">
        <v>454</v>
      </c>
      <c r="C213" s="13"/>
      <c r="D213" s="13"/>
      <c r="E213" s="13"/>
      <c r="F213" s="13"/>
      <c r="G213" s="13"/>
      <c r="H213" s="455"/>
      <c r="I213" s="57"/>
      <c r="J213" s="57"/>
      <c r="K213" s="57"/>
      <c r="L213" s="180" t="s">
        <v>768</v>
      </c>
      <c r="M213" s="827"/>
      <c r="N213" s="55"/>
      <c r="O213" s="833"/>
      <c r="P213" s="55"/>
      <c r="Q213" s="55"/>
      <c r="R213" s="55"/>
      <c r="S213" s="55"/>
      <c r="T213" s="55"/>
      <c r="U213" s="55"/>
      <c r="V213" s="55"/>
      <c r="W213" s="55"/>
      <c r="X213" s="829"/>
    </row>
    <row r="214" spans="2:45" ht="15" thickTop="1" x14ac:dyDescent="0.35">
      <c r="B214" s="13" t="s">
        <v>456</v>
      </c>
      <c r="C214" s="13"/>
      <c r="D214" s="13"/>
      <c r="E214" s="13"/>
      <c r="F214" s="13"/>
      <c r="G214" s="13"/>
      <c r="H214" s="455"/>
      <c r="I214" s="47" t="s">
        <v>456</v>
      </c>
      <c r="J214" s="50"/>
      <c r="K214" s="50"/>
      <c r="L214" s="838" t="s">
        <v>457</v>
      </c>
      <c r="M214" s="40"/>
      <c r="O214" s="75"/>
      <c r="X214" s="816"/>
      <c r="AR214" t="str">
        <f>SUBSTITUTE(SUBSTITUTE(SUBSTITUTE("dnt"&amp;$B214&amp;$C214&amp;$D214&amp;$E214,".","_"),"(","_"),")","")</f>
        <v>dnt504_2</v>
      </c>
      <c r="AS214" t="str">
        <f>IF(LEN(X214)=0,"",X214)</f>
        <v/>
      </c>
    </row>
    <row r="215" spans="2:45" x14ac:dyDescent="0.35">
      <c r="B215" s="13" t="s">
        <v>456</v>
      </c>
      <c r="C215" s="13"/>
      <c r="D215" s="13"/>
      <c r="E215" s="13"/>
      <c r="F215" s="13"/>
      <c r="G215" s="13"/>
      <c r="H215" s="455"/>
      <c r="I215" s="50"/>
      <c r="J215" s="50"/>
      <c r="K215" s="50"/>
      <c r="L215" s="838"/>
      <c r="M215" s="40"/>
      <c r="O215" s="75"/>
      <c r="X215" s="817"/>
    </row>
    <row r="216" spans="2:45" x14ac:dyDescent="0.35">
      <c r="B216" s="13" t="s">
        <v>456</v>
      </c>
      <c r="C216" s="13" t="s">
        <v>256</v>
      </c>
      <c r="D216" s="13"/>
      <c r="E216" s="13"/>
      <c r="F216" s="13"/>
      <c r="G216" s="13"/>
      <c r="H216" s="455"/>
      <c r="I216" s="50"/>
      <c r="J216" s="100" t="s">
        <v>256</v>
      </c>
      <c r="K216" s="103"/>
      <c r="L216" s="228" t="s">
        <v>458</v>
      </c>
      <c r="M216" s="268">
        <v>3</v>
      </c>
      <c r="N216" s="104"/>
      <c r="O216" s="309">
        <f>M216*W216</f>
        <v>3</v>
      </c>
      <c r="P216" t="b">
        <v>1</v>
      </c>
      <c r="Q216" t="b">
        <v>0</v>
      </c>
      <c r="R216" t="b">
        <v>0</v>
      </c>
      <c r="S216" t="b">
        <v>1</v>
      </c>
      <c r="T216" t="b">
        <v>0</v>
      </c>
      <c r="W216" s="17" t="b">
        <v>1</v>
      </c>
      <c r="X216" s="817"/>
      <c r="AL216" t="str">
        <f>SUBSTITUTE(SUBSTITUTE(SUBSTITUTE("dpa"&amp;$B216&amp;$C216&amp;$D216&amp;$E216,".","_"),"(","_"),")","")</f>
        <v>dpa504_2_1</v>
      </c>
      <c r="AM216">
        <f>M216</f>
        <v>3</v>
      </c>
      <c r="AN216" t="str">
        <f>SUBSTITUTE(SUBSTITUTE(SUBSTITUTE("dpc"&amp;$B216&amp;$C216&amp;$D216&amp;$E216,".","_"),"(","_"),")","")</f>
        <v>dpc504_2_1</v>
      </c>
      <c r="AO216">
        <f>O216</f>
        <v>3</v>
      </c>
      <c r="AP216" t="str">
        <f>SUBSTITUTE(SUBSTITUTE(SUBSTITUTE("dch"&amp;$B216&amp;$C216&amp;$D216&amp;$E216,".","_"),"(","_"),")","")</f>
        <v>dch504_2_1</v>
      </c>
      <c r="AQ216" t="b">
        <f>IF(LEN(W216)=0,"",W216)</f>
        <v>1</v>
      </c>
    </row>
    <row r="217" spans="2:45" x14ac:dyDescent="0.35">
      <c r="B217" s="13" t="s">
        <v>456</v>
      </c>
      <c r="C217" s="13" t="s">
        <v>258</v>
      </c>
      <c r="D217" s="13"/>
      <c r="E217" s="13"/>
      <c r="F217" s="13"/>
      <c r="G217" s="13"/>
      <c r="H217" s="455"/>
      <c r="I217" s="50"/>
      <c r="J217" s="47" t="s">
        <v>258</v>
      </c>
      <c r="K217" s="50"/>
      <c r="L217" s="814" t="s">
        <v>459</v>
      </c>
      <c r="M217" s="818">
        <v>5</v>
      </c>
      <c r="O217" s="832">
        <f>M217*W217</f>
        <v>0</v>
      </c>
      <c r="P217" t="b">
        <v>1</v>
      </c>
      <c r="Q217" t="b">
        <v>0</v>
      </c>
      <c r="R217" t="b">
        <v>0</v>
      </c>
      <c r="S217" t="b">
        <v>1</v>
      </c>
      <c r="T217" t="b">
        <v>0</v>
      </c>
      <c r="W217" s="17"/>
      <c r="X217" s="817"/>
      <c r="AL217" t="str">
        <f>SUBSTITUTE(SUBSTITUTE(SUBSTITUTE("dpa"&amp;$B217&amp;$C217&amp;$D217&amp;$E217,".","_"),"(","_"),")","")</f>
        <v>dpa504_2_2</v>
      </c>
      <c r="AM217">
        <f>M217</f>
        <v>5</v>
      </c>
      <c r="AN217" t="str">
        <f>SUBSTITUTE(SUBSTITUTE(SUBSTITUTE("dpc"&amp;$B217&amp;$C217&amp;$D217&amp;$E217,".","_"),"(","_"),")","")</f>
        <v>dpc504_2_2</v>
      </c>
      <c r="AO217">
        <f>O217</f>
        <v>0</v>
      </c>
      <c r="AP217" t="str">
        <f>SUBSTITUTE(SUBSTITUTE(SUBSTITUTE("dch"&amp;$B217&amp;$C217&amp;$D217&amp;$E217,".","_"),"(","_"),")","")</f>
        <v>dch504_2_2</v>
      </c>
      <c r="AQ217" t="str">
        <f>IF(LEN(W217)=0,"",W217)</f>
        <v/>
      </c>
    </row>
    <row r="218" spans="2:45" x14ac:dyDescent="0.35">
      <c r="B218" s="13" t="s">
        <v>456</v>
      </c>
      <c r="C218" s="13" t="s">
        <v>258</v>
      </c>
      <c r="D218" s="13"/>
      <c r="E218" s="13"/>
      <c r="F218" s="13"/>
      <c r="G218" s="13"/>
      <c r="H218" s="455"/>
      <c r="I218" s="50"/>
      <c r="J218" s="100"/>
      <c r="K218" s="103"/>
      <c r="L218" s="815"/>
      <c r="M218" s="819"/>
      <c r="N218" s="104"/>
      <c r="O218" s="824"/>
      <c r="X218" s="817"/>
    </row>
    <row r="219" spans="2:45" x14ac:dyDescent="0.35">
      <c r="B219" s="13" t="s">
        <v>456</v>
      </c>
      <c r="C219" s="13" t="s">
        <v>260</v>
      </c>
      <c r="D219" s="13"/>
      <c r="E219" s="13"/>
      <c r="F219" s="13"/>
      <c r="G219" s="13"/>
      <c r="H219" s="455"/>
      <c r="I219" s="50"/>
      <c r="J219" s="47" t="s">
        <v>260</v>
      </c>
      <c r="K219" s="50"/>
      <c r="L219" s="814" t="s">
        <v>460</v>
      </c>
      <c r="M219" s="818">
        <v>4</v>
      </c>
      <c r="O219" s="832">
        <f>M219*W219</f>
        <v>0</v>
      </c>
      <c r="P219" t="b">
        <v>1</v>
      </c>
      <c r="Q219" t="b">
        <v>0</v>
      </c>
      <c r="R219" t="b">
        <v>0</v>
      </c>
      <c r="S219" t="b">
        <v>1</v>
      </c>
      <c r="T219" t="b">
        <v>0</v>
      </c>
      <c r="W219" s="17"/>
      <c r="X219" s="817"/>
      <c r="AL219" t="str">
        <f>SUBSTITUTE(SUBSTITUTE(SUBSTITUTE("dpa"&amp;$B219&amp;$C219&amp;$D219&amp;$E219,".","_"),"(","_"),")","")</f>
        <v>dpa504_2_3</v>
      </c>
      <c r="AM219">
        <f>M219</f>
        <v>4</v>
      </c>
      <c r="AN219" t="str">
        <f>SUBSTITUTE(SUBSTITUTE(SUBSTITUTE("dpc"&amp;$B219&amp;$C219&amp;$D219&amp;$E219,".","_"),"(","_"),")","")</f>
        <v>dpc504_2_3</v>
      </c>
      <c r="AO219">
        <f>O219</f>
        <v>0</v>
      </c>
      <c r="AP219" t="str">
        <f>SUBSTITUTE(SUBSTITUTE(SUBSTITUTE("dch"&amp;$B219&amp;$C219&amp;$D219&amp;$E219,".","_"),"(","_"),")","")</f>
        <v>dch504_2_3</v>
      </c>
      <c r="AQ219" t="str">
        <f>IF(LEN(W219)=0,"",W219)</f>
        <v/>
      </c>
    </row>
    <row r="220" spans="2:45" ht="15" thickBot="1" x14ac:dyDescent="0.4">
      <c r="B220" s="13" t="s">
        <v>456</v>
      </c>
      <c r="C220" s="13" t="s">
        <v>260</v>
      </c>
      <c r="D220" s="13"/>
      <c r="E220" s="13"/>
      <c r="F220" s="13"/>
      <c r="G220" s="13"/>
      <c r="H220" s="455"/>
      <c r="I220" s="57"/>
      <c r="J220" s="57"/>
      <c r="K220" s="57"/>
      <c r="L220" s="839"/>
      <c r="M220" s="827"/>
      <c r="N220" s="55"/>
      <c r="O220" s="833"/>
      <c r="P220" s="55"/>
      <c r="Q220" s="55"/>
      <c r="R220" s="55"/>
      <c r="S220" s="55"/>
      <c r="T220" s="55"/>
      <c r="U220" s="55"/>
      <c r="V220" s="55"/>
      <c r="W220" s="55"/>
      <c r="X220" s="829"/>
    </row>
    <row r="221" spans="2:45" ht="15" thickTop="1" x14ac:dyDescent="0.35">
      <c r="B221" s="13" t="s">
        <v>461</v>
      </c>
      <c r="C221" s="13"/>
      <c r="D221" s="13"/>
      <c r="E221" s="13"/>
      <c r="F221" s="13"/>
      <c r="G221" s="13"/>
      <c r="H221" s="455"/>
      <c r="I221" s="47" t="s">
        <v>461</v>
      </c>
      <c r="J221" s="50"/>
      <c r="K221" s="50"/>
      <c r="L221" s="838" t="s">
        <v>462</v>
      </c>
      <c r="M221" s="40"/>
      <c r="O221" s="75"/>
      <c r="X221" s="816"/>
      <c r="AR221" t="str">
        <f>SUBSTITUTE(SUBSTITUTE(SUBSTITUTE("dnt"&amp;$B221&amp;$C221&amp;$D221&amp;$E221,".","_"),"(","_"),")","")</f>
        <v>dnt504_3</v>
      </c>
      <c r="AS221" t="str">
        <f>IF(LEN(X221)=0,"",X221)</f>
        <v/>
      </c>
    </row>
    <row r="222" spans="2:45" x14ac:dyDescent="0.35">
      <c r="B222" s="13" t="s">
        <v>461</v>
      </c>
      <c r="C222" s="13"/>
      <c r="D222" s="13"/>
      <c r="E222" s="13"/>
      <c r="F222" s="13"/>
      <c r="G222" s="13"/>
      <c r="H222" s="455"/>
      <c r="I222" s="50"/>
      <c r="J222" s="50"/>
      <c r="K222" s="50"/>
      <c r="L222" s="838"/>
      <c r="M222" s="40"/>
      <c r="O222" s="75"/>
      <c r="X222" s="817"/>
    </row>
    <row r="223" spans="2:45" x14ac:dyDescent="0.35">
      <c r="B223" s="13" t="s">
        <v>461</v>
      </c>
      <c r="C223" s="13"/>
      <c r="D223" s="13"/>
      <c r="E223" s="13"/>
      <c r="F223" s="13"/>
      <c r="G223" s="13"/>
      <c r="H223" s="455"/>
      <c r="I223" s="50"/>
      <c r="J223" s="50"/>
      <c r="K223" s="50"/>
      <c r="L223" s="838"/>
      <c r="M223" s="40"/>
      <c r="O223" s="75"/>
      <c r="X223" s="817"/>
    </row>
    <row r="224" spans="2:45" x14ac:dyDescent="0.35">
      <c r="B224" s="13" t="s">
        <v>461</v>
      </c>
      <c r="C224" s="13" t="s">
        <v>256</v>
      </c>
      <c r="D224" s="13"/>
      <c r="E224" s="13"/>
      <c r="F224" s="13"/>
      <c r="G224" s="13"/>
      <c r="H224" s="455"/>
      <c r="I224" s="50"/>
      <c r="J224" s="47" t="s">
        <v>256</v>
      </c>
      <c r="K224" s="50"/>
      <c r="L224" s="814" t="s">
        <v>463</v>
      </c>
      <c r="M224" s="818">
        <v>5</v>
      </c>
      <c r="O224" s="832">
        <f>M224*W224</f>
        <v>0</v>
      </c>
      <c r="P224" t="b">
        <v>1</v>
      </c>
      <c r="Q224" t="b">
        <v>0</v>
      </c>
      <c r="R224" t="b">
        <v>0</v>
      </c>
      <c r="S224" t="b">
        <v>1</v>
      </c>
      <c r="T224" t="b">
        <v>0</v>
      </c>
      <c r="W224" s="17"/>
      <c r="X224" s="817"/>
      <c r="AL224" t="str">
        <f>SUBSTITUTE(SUBSTITUTE(SUBSTITUTE("dpa"&amp;$B224&amp;$C224&amp;$D224&amp;$E224,".","_"),"(","_"),")","")</f>
        <v>dpa504_3_1</v>
      </c>
      <c r="AM224">
        <f>M224</f>
        <v>5</v>
      </c>
      <c r="AN224" t="str">
        <f>SUBSTITUTE(SUBSTITUTE(SUBSTITUTE("dpc"&amp;$B224&amp;$C224&amp;$D224&amp;$E224,".","_"),"(","_"),")","")</f>
        <v>dpc504_3_1</v>
      </c>
      <c r="AO224">
        <f>O224</f>
        <v>0</v>
      </c>
      <c r="AP224" t="str">
        <f>SUBSTITUTE(SUBSTITUTE(SUBSTITUTE("dch"&amp;$B224&amp;$C224&amp;$D224&amp;$E224,".","_"),"(","_"),")","")</f>
        <v>dch504_3_1</v>
      </c>
      <c r="AQ224" t="str">
        <f>IF(LEN(W224)=0,"",W224)</f>
        <v/>
      </c>
      <c r="AR224" t="str">
        <f>SUBSTITUTE(SUBSTITUTE(SUBSTITUTE("dnt"&amp;$B224&amp;$C224&amp;$D224&amp;$E224,".","_"),"(","_"),")","")</f>
        <v>dnt504_3_1</v>
      </c>
      <c r="AS224" t="str">
        <f>IF(LEN(X224)=0,"",X224)</f>
        <v/>
      </c>
    </row>
    <row r="225" spans="2:45" x14ac:dyDescent="0.35">
      <c r="B225" s="13" t="s">
        <v>461</v>
      </c>
      <c r="C225" s="13" t="s">
        <v>256</v>
      </c>
      <c r="D225" s="13"/>
      <c r="E225" s="13"/>
      <c r="F225" s="13"/>
      <c r="G225" s="13"/>
      <c r="H225" s="455"/>
      <c r="I225" s="50"/>
      <c r="J225" s="100"/>
      <c r="K225" s="103"/>
      <c r="L225" s="815"/>
      <c r="M225" s="819"/>
      <c r="N225" s="104"/>
      <c r="O225" s="824"/>
      <c r="X225" s="817"/>
    </row>
    <row r="226" spans="2:45" x14ac:dyDescent="0.35">
      <c r="B226" s="13" t="s">
        <v>461</v>
      </c>
      <c r="C226" s="13" t="s">
        <v>258</v>
      </c>
      <c r="D226" s="13"/>
      <c r="E226" s="13"/>
      <c r="F226" s="13"/>
      <c r="G226" s="13"/>
      <c r="H226" s="455"/>
      <c r="I226" s="50"/>
      <c r="J226" s="100" t="s">
        <v>258</v>
      </c>
      <c r="K226" s="103"/>
      <c r="L226" s="228" t="s">
        <v>464</v>
      </c>
      <c r="M226" s="268">
        <v>5</v>
      </c>
      <c r="N226" s="104"/>
      <c r="O226" s="309">
        <f>M226*W226</f>
        <v>5</v>
      </c>
      <c r="P226" t="b">
        <v>1</v>
      </c>
      <c r="Q226" t="b">
        <v>0</v>
      </c>
      <c r="R226" t="b">
        <v>0</v>
      </c>
      <c r="S226" t="b">
        <v>1</v>
      </c>
      <c r="T226" t="b">
        <v>0</v>
      </c>
      <c r="W226" s="17" t="b">
        <v>1</v>
      </c>
      <c r="X226" s="36"/>
      <c r="AL226" t="str">
        <f>SUBSTITUTE(SUBSTITUTE(SUBSTITUTE("dpa"&amp;$B226&amp;$C226&amp;$D226&amp;$E226,".","_"),"(","_"),")","")</f>
        <v>dpa504_3_2</v>
      </c>
      <c r="AM226">
        <f>M226</f>
        <v>5</v>
      </c>
      <c r="AN226" t="str">
        <f>SUBSTITUTE(SUBSTITUTE(SUBSTITUTE("dpc"&amp;$B226&amp;$C226&amp;$D226&amp;$E226,".","_"),"(","_"),")","")</f>
        <v>dpc504_3_2</v>
      </c>
      <c r="AO226">
        <f>O226</f>
        <v>5</v>
      </c>
      <c r="AP226" t="str">
        <f>SUBSTITUTE(SUBSTITUTE(SUBSTITUTE("dch"&amp;$B226&amp;$C226&amp;$D226&amp;$E226,".","_"),"(","_"),")","")</f>
        <v>dch504_3_2</v>
      </c>
      <c r="AQ226" t="b">
        <f>IF(LEN(W226)=0,"",W226)</f>
        <v>1</v>
      </c>
      <c r="AR226" t="str">
        <f>SUBSTITUTE(SUBSTITUTE(SUBSTITUTE("dnt"&amp;$B226&amp;$C226&amp;$D226&amp;$E226,".","_"),"(","_"),")","")</f>
        <v>dnt504_3_2</v>
      </c>
      <c r="AS226" t="str">
        <f>IF(LEN(X226)=0,"",X226)</f>
        <v/>
      </c>
    </row>
    <row r="227" spans="2:45" x14ac:dyDescent="0.35">
      <c r="B227" s="13" t="s">
        <v>461</v>
      </c>
      <c r="C227" s="13" t="s">
        <v>260</v>
      </c>
      <c r="D227" s="13"/>
      <c r="E227" s="13"/>
      <c r="F227" s="13"/>
      <c r="G227" s="13"/>
      <c r="H227" s="455"/>
      <c r="I227" s="50"/>
      <c r="J227" s="47" t="s">
        <v>260</v>
      </c>
      <c r="K227" s="50"/>
      <c r="L227" s="814" t="s">
        <v>465</v>
      </c>
      <c r="M227" s="818">
        <v>5</v>
      </c>
      <c r="O227" s="832">
        <f>M227*W227</f>
        <v>0</v>
      </c>
      <c r="P227" t="b">
        <v>1</v>
      </c>
      <c r="Q227" t="b">
        <v>0</v>
      </c>
      <c r="R227" t="b">
        <v>0</v>
      </c>
      <c r="S227" t="b">
        <v>1</v>
      </c>
      <c r="T227" t="b">
        <v>0</v>
      </c>
      <c r="W227" s="17"/>
      <c r="X227" s="817"/>
      <c r="AL227" t="str">
        <f>SUBSTITUTE(SUBSTITUTE(SUBSTITUTE("dpa"&amp;$B227&amp;$C227&amp;$D227&amp;$E227,".","_"),"(","_"),")","")</f>
        <v>dpa504_3_3</v>
      </c>
      <c r="AM227">
        <f>M227</f>
        <v>5</v>
      </c>
      <c r="AN227" t="str">
        <f>SUBSTITUTE(SUBSTITUTE(SUBSTITUTE("dpc"&amp;$B227&amp;$C227&amp;$D227&amp;$E227,".","_"),"(","_"),")","")</f>
        <v>dpc504_3_3</v>
      </c>
      <c r="AO227">
        <f>O227</f>
        <v>0</v>
      </c>
      <c r="AP227" t="str">
        <f>SUBSTITUTE(SUBSTITUTE(SUBSTITUTE("dch"&amp;$B227&amp;$C227&amp;$D227&amp;$E227,".","_"),"(","_"),")","")</f>
        <v>dch504_3_3</v>
      </c>
      <c r="AQ227" t="str">
        <f>IF(LEN(W227)=0,"",W227)</f>
        <v/>
      </c>
      <c r="AR227" t="str">
        <f>SUBSTITUTE(SUBSTITUTE(SUBSTITUTE("dnt"&amp;$B227&amp;$C227&amp;$D227&amp;$E227,".","_"),"(","_"),")","")</f>
        <v>dnt504_3_3</v>
      </c>
      <c r="AS227" t="str">
        <f>IF(LEN(X227)=0,"",X227)</f>
        <v/>
      </c>
    </row>
    <row r="228" spans="2:45" x14ac:dyDescent="0.35">
      <c r="B228" s="13" t="s">
        <v>461</v>
      </c>
      <c r="C228" s="13" t="s">
        <v>260</v>
      </c>
      <c r="D228" s="13"/>
      <c r="E228" s="13"/>
      <c r="F228" s="13"/>
      <c r="G228" s="13"/>
      <c r="H228" s="455"/>
      <c r="I228" s="50"/>
      <c r="J228" s="103"/>
      <c r="K228" s="103"/>
      <c r="L228" s="815"/>
      <c r="M228" s="819"/>
      <c r="N228" s="104"/>
      <c r="O228" s="824"/>
      <c r="X228" s="817"/>
    </row>
    <row r="229" spans="2:45" x14ac:dyDescent="0.35">
      <c r="B229" s="13" t="s">
        <v>461</v>
      </c>
      <c r="C229" s="13" t="s">
        <v>269</v>
      </c>
      <c r="D229" s="13"/>
      <c r="E229" s="13"/>
      <c r="F229" s="13"/>
      <c r="G229" s="13"/>
      <c r="H229" s="455"/>
      <c r="I229" s="50"/>
      <c r="J229" s="47" t="s">
        <v>269</v>
      </c>
      <c r="K229" s="50"/>
      <c r="L229" s="814" t="s">
        <v>466</v>
      </c>
      <c r="M229" s="818">
        <v>5</v>
      </c>
      <c r="O229" s="832">
        <f>M229*W229</f>
        <v>0</v>
      </c>
      <c r="P229" t="b">
        <v>1</v>
      </c>
      <c r="Q229" t="b">
        <v>0</v>
      </c>
      <c r="R229" t="b">
        <v>0</v>
      </c>
      <c r="S229" t="b">
        <v>1</v>
      </c>
      <c r="T229" t="b">
        <v>0</v>
      </c>
      <c r="W229" s="17"/>
      <c r="X229" s="817"/>
      <c r="AL229" t="str">
        <f>SUBSTITUTE(SUBSTITUTE(SUBSTITUTE("dpa"&amp;$B229&amp;$C229&amp;$D229&amp;$E229,".","_"),"(","_"),")","")</f>
        <v>dpa504_3_4</v>
      </c>
      <c r="AM229">
        <f>M229</f>
        <v>5</v>
      </c>
      <c r="AN229" t="str">
        <f>SUBSTITUTE(SUBSTITUTE(SUBSTITUTE("dpc"&amp;$B229&amp;$C229&amp;$D229&amp;$E229,".","_"),"(","_"),")","")</f>
        <v>dpc504_3_4</v>
      </c>
      <c r="AO229">
        <f>O229</f>
        <v>0</v>
      </c>
      <c r="AP229" t="str">
        <f>SUBSTITUTE(SUBSTITUTE(SUBSTITUTE("dch"&amp;$B229&amp;$C229&amp;$D229&amp;$E229,".","_"),"(","_"),")","")</f>
        <v>dch504_3_4</v>
      </c>
      <c r="AQ229" t="str">
        <f>IF(LEN(W229)=0,"",W229)</f>
        <v/>
      </c>
      <c r="AR229" t="str">
        <f>SUBSTITUTE(SUBSTITUTE(SUBSTITUTE("dnt"&amp;$B229&amp;$C229&amp;$D229&amp;$E229,".","_"),"(","_"),")","")</f>
        <v>dnt504_3_4</v>
      </c>
      <c r="AS229" t="str">
        <f>IF(LEN(X229)=0,"",X229)</f>
        <v/>
      </c>
    </row>
    <row r="230" spans="2:45" x14ac:dyDescent="0.35">
      <c r="B230" s="13" t="s">
        <v>461</v>
      </c>
      <c r="C230" s="13" t="s">
        <v>269</v>
      </c>
      <c r="D230" s="13"/>
      <c r="E230" s="13"/>
      <c r="F230" s="13"/>
      <c r="G230" s="13"/>
      <c r="H230" s="455"/>
      <c r="I230" s="50"/>
      <c r="J230" s="103"/>
      <c r="K230" s="103"/>
      <c r="L230" s="815"/>
      <c r="M230" s="819"/>
      <c r="N230" s="104"/>
      <c r="O230" s="824"/>
      <c r="X230" s="817"/>
    </row>
    <row r="231" spans="2:45" x14ac:dyDescent="0.35">
      <c r="B231" s="13" t="s">
        <v>461</v>
      </c>
      <c r="C231" s="13" t="s">
        <v>275</v>
      </c>
      <c r="D231" s="13"/>
      <c r="E231" s="13"/>
      <c r="F231" s="13"/>
      <c r="G231" s="13"/>
      <c r="H231" s="455"/>
      <c r="I231" s="50"/>
      <c r="J231" s="47" t="s">
        <v>275</v>
      </c>
      <c r="K231" s="50"/>
      <c r="L231" s="814" t="s">
        <v>467</v>
      </c>
      <c r="M231" s="818">
        <v>4</v>
      </c>
      <c r="O231" s="832">
        <f>M231*W231</f>
        <v>0</v>
      </c>
      <c r="P231" t="b">
        <v>1</v>
      </c>
      <c r="Q231" t="b">
        <v>0</v>
      </c>
      <c r="R231" t="b">
        <v>0</v>
      </c>
      <c r="S231" t="b">
        <v>1</v>
      </c>
      <c r="T231" t="b">
        <v>0</v>
      </c>
      <c r="W231" s="17"/>
      <c r="X231" s="817"/>
      <c r="AL231" t="str">
        <f>SUBSTITUTE(SUBSTITUTE(SUBSTITUTE("dpa"&amp;$B231&amp;$C231&amp;$D231&amp;$E231,".","_"),"(","_"),")","")</f>
        <v>dpa504_3_5</v>
      </c>
      <c r="AM231">
        <f>M231</f>
        <v>4</v>
      </c>
      <c r="AN231" t="str">
        <f>SUBSTITUTE(SUBSTITUTE(SUBSTITUTE("dpc"&amp;$B231&amp;$C231&amp;$D231&amp;$E231,".","_"),"(","_"),")","")</f>
        <v>dpc504_3_5</v>
      </c>
      <c r="AO231">
        <f>O231</f>
        <v>0</v>
      </c>
      <c r="AP231" t="str">
        <f>SUBSTITUTE(SUBSTITUTE(SUBSTITUTE("dch"&amp;$B231&amp;$C231&amp;$D231&amp;$E231,".","_"),"(","_"),")","")</f>
        <v>dch504_3_5</v>
      </c>
      <c r="AQ231" t="str">
        <f>IF(LEN(W231)=0,"",W231)</f>
        <v/>
      </c>
      <c r="AR231" t="str">
        <f>SUBSTITUTE(SUBSTITUTE(SUBSTITUTE("dnt"&amp;$B231&amp;$C231&amp;$D231&amp;$E231,".","_"),"(","_"),")","")</f>
        <v>dnt504_3_5</v>
      </c>
      <c r="AS231" t="str">
        <f>IF(LEN(X231)=0,"",X231)</f>
        <v/>
      </c>
    </row>
    <row r="232" spans="2:45" x14ac:dyDescent="0.35">
      <c r="B232" s="13" t="s">
        <v>461</v>
      </c>
      <c r="C232" s="13" t="s">
        <v>275</v>
      </c>
      <c r="D232" s="13"/>
      <c r="E232" s="13"/>
      <c r="F232" s="13"/>
      <c r="G232" s="13"/>
      <c r="H232" s="455"/>
      <c r="I232" s="50"/>
      <c r="J232" s="50"/>
      <c r="K232" s="50"/>
      <c r="L232" s="814"/>
      <c r="M232" s="818"/>
      <c r="O232" s="832"/>
      <c r="X232" s="817"/>
    </row>
    <row r="233" spans="2:45" x14ac:dyDescent="0.35">
      <c r="B233" s="13" t="s">
        <v>461</v>
      </c>
      <c r="C233" s="13" t="s">
        <v>275</v>
      </c>
      <c r="D233" s="13"/>
      <c r="E233" s="13"/>
      <c r="F233" s="13"/>
      <c r="G233" s="13"/>
      <c r="H233" s="455"/>
      <c r="I233" s="50"/>
      <c r="J233" s="50"/>
      <c r="K233" s="50"/>
      <c r="L233" s="814"/>
      <c r="M233" s="818"/>
      <c r="O233" s="832"/>
      <c r="X233" s="817"/>
    </row>
    <row r="234" spans="2:45" x14ac:dyDescent="0.35">
      <c r="B234" s="13" t="s">
        <v>461</v>
      </c>
      <c r="C234" s="13" t="s">
        <v>275</v>
      </c>
      <c r="D234" s="13"/>
      <c r="E234" s="13"/>
      <c r="F234" s="13"/>
      <c r="G234" s="13"/>
      <c r="H234" s="455"/>
      <c r="I234" s="50"/>
      <c r="J234" s="103"/>
      <c r="K234" s="103"/>
      <c r="L234" s="815"/>
      <c r="M234" s="819"/>
      <c r="N234" s="104"/>
      <c r="O234" s="824"/>
      <c r="X234" s="817"/>
    </row>
    <row r="235" spans="2:45" x14ac:dyDescent="0.35">
      <c r="B235" s="13" t="s">
        <v>461</v>
      </c>
      <c r="C235" s="13" t="s">
        <v>277</v>
      </c>
      <c r="D235" s="13"/>
      <c r="E235" s="13"/>
      <c r="F235" s="13"/>
      <c r="G235" s="13"/>
      <c r="H235" s="455"/>
      <c r="I235" s="50"/>
      <c r="J235" s="47" t="s">
        <v>277</v>
      </c>
      <c r="K235" s="50"/>
      <c r="L235" s="814" t="s">
        <v>468</v>
      </c>
      <c r="M235" s="818">
        <v>3</v>
      </c>
      <c r="O235" s="832">
        <f>M235*W235</f>
        <v>0</v>
      </c>
      <c r="P235" t="b">
        <v>1</v>
      </c>
      <c r="Q235" t="b">
        <v>0</v>
      </c>
      <c r="R235" t="b">
        <v>0</v>
      </c>
      <c r="S235" t="b">
        <v>1</v>
      </c>
      <c r="T235" t="b">
        <v>0</v>
      </c>
      <c r="W235" s="17"/>
      <c r="X235" s="817"/>
      <c r="AL235" t="str">
        <f>SUBSTITUTE(SUBSTITUTE(SUBSTITUTE("dpa"&amp;$B235&amp;$C235&amp;$D235&amp;$E235,".","_"),"(","_"),")","")</f>
        <v>dpa504_3_6</v>
      </c>
      <c r="AM235">
        <f>M235</f>
        <v>3</v>
      </c>
      <c r="AN235" t="str">
        <f>SUBSTITUTE(SUBSTITUTE(SUBSTITUTE("dpc"&amp;$B235&amp;$C235&amp;$D235&amp;$E235,".","_"),"(","_"),")","")</f>
        <v>dpc504_3_6</v>
      </c>
      <c r="AO235">
        <f>O235</f>
        <v>0</v>
      </c>
      <c r="AP235" t="str">
        <f>SUBSTITUTE(SUBSTITUTE(SUBSTITUTE("dch"&amp;$B235&amp;$C235&amp;$D235&amp;$E235,".","_"),"(","_"),")","")</f>
        <v>dch504_3_6</v>
      </c>
      <c r="AQ235" t="str">
        <f>IF(LEN(W235)=0,"",W235)</f>
        <v/>
      </c>
      <c r="AR235" t="str">
        <f>SUBSTITUTE(SUBSTITUTE(SUBSTITUTE("dnt"&amp;$B235&amp;$C235&amp;$D235&amp;$E235,".","_"),"(","_"),")","")</f>
        <v>dnt504_3_6</v>
      </c>
      <c r="AS235" t="str">
        <f>IF(LEN(X235)=0,"",X235)</f>
        <v/>
      </c>
    </row>
    <row r="236" spans="2:45" x14ac:dyDescent="0.35">
      <c r="B236" s="13" t="s">
        <v>461</v>
      </c>
      <c r="C236" s="13" t="s">
        <v>277</v>
      </c>
      <c r="D236" s="13"/>
      <c r="E236" s="13"/>
      <c r="F236" s="13"/>
      <c r="G236" s="13"/>
      <c r="H236" s="455"/>
      <c r="I236" s="50"/>
      <c r="J236" s="50"/>
      <c r="K236" s="50"/>
      <c r="L236" s="814"/>
      <c r="M236" s="818"/>
      <c r="O236" s="832"/>
      <c r="X236" s="817"/>
    </row>
    <row r="237" spans="2:45" x14ac:dyDescent="0.35">
      <c r="B237" s="13" t="s">
        <v>461</v>
      </c>
      <c r="C237" s="13" t="s">
        <v>277</v>
      </c>
      <c r="D237" s="13"/>
      <c r="E237" s="13"/>
      <c r="F237" s="13"/>
      <c r="G237" s="13"/>
      <c r="H237" s="455"/>
      <c r="I237" s="50"/>
      <c r="J237" s="103"/>
      <c r="K237" s="103"/>
      <c r="L237" s="815"/>
      <c r="M237" s="819"/>
      <c r="N237" s="104"/>
      <c r="O237" s="824"/>
      <c r="X237" s="817"/>
    </row>
    <row r="238" spans="2:45" x14ac:dyDescent="0.35">
      <c r="B238" s="13" t="s">
        <v>461</v>
      </c>
      <c r="C238" s="13" t="s">
        <v>383</v>
      </c>
      <c r="D238" s="13"/>
      <c r="E238" s="13"/>
      <c r="F238" s="13"/>
      <c r="G238" s="13"/>
      <c r="H238" s="455"/>
      <c r="I238" s="50"/>
      <c r="J238" s="100" t="s">
        <v>383</v>
      </c>
      <c r="K238" s="103"/>
      <c r="L238" s="228" t="s">
        <v>469</v>
      </c>
      <c r="M238" s="268">
        <v>3</v>
      </c>
      <c r="N238" s="104"/>
      <c r="O238" s="309">
        <f>M238*W238</f>
        <v>0</v>
      </c>
      <c r="P238" t="b">
        <v>1</v>
      </c>
      <c r="Q238" t="b">
        <v>1</v>
      </c>
      <c r="R238" t="b">
        <v>0</v>
      </c>
      <c r="S238" t="b">
        <v>1</v>
      </c>
      <c r="T238" t="b">
        <v>0</v>
      </c>
      <c r="W238" s="17"/>
      <c r="X238" s="36"/>
      <c r="AL238" t="str">
        <f>SUBSTITUTE(SUBSTITUTE(SUBSTITUTE("dpa"&amp;$B238&amp;$C238&amp;$D238&amp;$E238,".","_"),"(","_"),")","")</f>
        <v>dpa504_3_7</v>
      </c>
      <c r="AM238">
        <f>M238</f>
        <v>3</v>
      </c>
      <c r="AN238" t="str">
        <f>SUBSTITUTE(SUBSTITUTE(SUBSTITUTE("dpc"&amp;$B238&amp;$C238&amp;$D238&amp;$E238,".","_"),"(","_"),")","")</f>
        <v>dpc504_3_7</v>
      </c>
      <c r="AO238">
        <f>O238</f>
        <v>0</v>
      </c>
      <c r="AP238" t="str">
        <f>SUBSTITUTE(SUBSTITUTE(SUBSTITUTE("dch"&amp;$B238&amp;$C238&amp;$D238&amp;$E238,".","_"),"(","_"),")","")</f>
        <v>dch504_3_7</v>
      </c>
      <c r="AQ238" t="str">
        <f>IF(LEN(W238)=0,"",W238)</f>
        <v/>
      </c>
      <c r="AR238" t="str">
        <f>SUBSTITUTE(SUBSTITUTE(SUBSTITUTE("dnt"&amp;$B238&amp;$C238&amp;$D238&amp;$E238,".","_"),"(","_"),")","")</f>
        <v>dnt504_3_7</v>
      </c>
      <c r="AS238" t="str">
        <f>IF(LEN(X238)=0,"",X238)</f>
        <v/>
      </c>
    </row>
    <row r="239" spans="2:45" ht="15" customHeight="1" x14ac:dyDescent="0.35">
      <c r="B239" s="13" t="s">
        <v>461</v>
      </c>
      <c r="C239" s="13" t="s">
        <v>428</v>
      </c>
      <c r="D239" s="13"/>
      <c r="E239" s="13"/>
      <c r="F239" s="13"/>
      <c r="G239" s="13"/>
      <c r="H239" s="455"/>
      <c r="I239" s="50"/>
      <c r="J239" s="47" t="s">
        <v>428</v>
      </c>
      <c r="K239" s="50"/>
      <c r="L239" s="266" t="s">
        <v>2977</v>
      </c>
      <c r="M239" s="818">
        <v>5</v>
      </c>
      <c r="O239" s="832">
        <f>M239*MIN(1,(W240+W241+W242+W243+W244+W245))</f>
        <v>0</v>
      </c>
      <c r="X239" s="817"/>
      <c r="AL239" t="str">
        <f>SUBSTITUTE(SUBSTITUTE(SUBSTITUTE("dpa"&amp;$B239&amp;$C239&amp;$D239&amp;$E239,".","_"),"(","_"),")","")</f>
        <v>dpa504_3_8</v>
      </c>
      <c r="AM239">
        <f>M239</f>
        <v>5</v>
      </c>
      <c r="AN239" t="str">
        <f>SUBSTITUTE(SUBSTITUTE(SUBSTITUTE("dpc"&amp;$B239&amp;$C239&amp;$D239&amp;$E239,".","_"),"(","_"),")","")</f>
        <v>dpc504_3_8</v>
      </c>
      <c r="AO239">
        <f>O239</f>
        <v>0</v>
      </c>
      <c r="AR239" t="str">
        <f>SUBSTITUTE(SUBSTITUTE(SUBSTITUTE("dnt"&amp;$B239&amp;$C239&amp;$D239&amp;$E239,".","_"),"(","_"),")","")</f>
        <v>dnt504_3_8</v>
      </c>
      <c r="AS239" t="str">
        <f>IF(LEN(X239)=0,"",X239)</f>
        <v/>
      </c>
    </row>
    <row r="240" spans="2:45" x14ac:dyDescent="0.35">
      <c r="B240" s="13" t="s">
        <v>461</v>
      </c>
      <c r="C240" s="13" t="s">
        <v>428</v>
      </c>
      <c r="D240" s="13" t="s">
        <v>2970</v>
      </c>
      <c r="E240" s="13"/>
      <c r="F240" s="13"/>
      <c r="G240" s="13"/>
      <c r="H240" s="455"/>
      <c r="I240" s="50"/>
      <c r="J240" s="50"/>
      <c r="K240" s="50"/>
      <c r="L240" s="266" t="s">
        <v>2983</v>
      </c>
      <c r="M240" s="818"/>
      <c r="O240" s="832"/>
      <c r="P240" t="b">
        <v>1</v>
      </c>
      <c r="Q240" t="b">
        <v>1</v>
      </c>
      <c r="R240" t="b">
        <v>0</v>
      </c>
      <c r="S240" t="b">
        <v>1</v>
      </c>
      <c r="T240" t="b">
        <v>0</v>
      </c>
      <c r="W240" s="17"/>
      <c r="X240" s="817"/>
      <c r="AP240" t="str">
        <f t="shared" ref="AP240:AP245" si="2">SUBSTITUTE(SUBSTITUTE(SUBSTITUTE("dch"&amp;$B240&amp;$C240&amp;$D240&amp;$E240,".","_"),"(","_"),")","")</f>
        <v>dch504_3_8a</v>
      </c>
      <c r="AQ240" t="str">
        <f t="shared" ref="AQ240:AQ245" si="3">IF(LEN(W240)=0,"",W240)</f>
        <v/>
      </c>
    </row>
    <row r="241" spans="2:45" x14ac:dyDescent="0.35">
      <c r="B241" s="13" t="s">
        <v>461</v>
      </c>
      <c r="C241" s="13" t="s">
        <v>428</v>
      </c>
      <c r="D241" s="13" t="s">
        <v>2971</v>
      </c>
      <c r="E241" s="13"/>
      <c r="F241" s="13"/>
      <c r="G241" s="13"/>
      <c r="H241" s="455"/>
      <c r="I241" s="50"/>
      <c r="J241" s="50"/>
      <c r="K241" s="50"/>
      <c r="L241" s="266" t="s">
        <v>2982</v>
      </c>
      <c r="M241" s="818"/>
      <c r="O241" s="832"/>
      <c r="P241" t="b">
        <v>1</v>
      </c>
      <c r="Q241" t="b">
        <v>1</v>
      </c>
      <c r="R241" t="b">
        <v>0</v>
      </c>
      <c r="S241" t="b">
        <v>1</v>
      </c>
      <c r="T241" t="b">
        <v>0</v>
      </c>
      <c r="W241" s="17"/>
      <c r="X241" s="817"/>
      <c r="AP241" t="str">
        <f t="shared" si="2"/>
        <v>dch504_3_8b</v>
      </c>
      <c r="AQ241" t="str">
        <f t="shared" si="3"/>
        <v/>
      </c>
    </row>
    <row r="242" spans="2:45" x14ac:dyDescent="0.35">
      <c r="B242" s="13" t="s">
        <v>461</v>
      </c>
      <c r="C242" s="13" t="s">
        <v>428</v>
      </c>
      <c r="D242" s="13" t="s">
        <v>2972</v>
      </c>
      <c r="E242" s="13"/>
      <c r="F242" s="13"/>
      <c r="G242" s="13"/>
      <c r="H242" s="455"/>
      <c r="I242" s="50"/>
      <c r="J242" s="50"/>
      <c r="K242" s="50"/>
      <c r="L242" s="266" t="s">
        <v>2981</v>
      </c>
      <c r="M242" s="818"/>
      <c r="O242" s="832"/>
      <c r="P242" t="b">
        <v>1</v>
      </c>
      <c r="Q242" t="b">
        <v>1</v>
      </c>
      <c r="R242" t="b">
        <v>0</v>
      </c>
      <c r="S242" t="b">
        <v>1</v>
      </c>
      <c r="T242" t="b">
        <v>0</v>
      </c>
      <c r="W242" s="17"/>
      <c r="X242" s="817"/>
      <c r="AP242" t="str">
        <f t="shared" si="2"/>
        <v>dch504_3_8c</v>
      </c>
      <c r="AQ242" t="str">
        <f t="shared" si="3"/>
        <v/>
      </c>
    </row>
    <row r="243" spans="2:45" x14ac:dyDescent="0.35">
      <c r="B243" s="13" t="s">
        <v>461</v>
      </c>
      <c r="C243" s="13" t="s">
        <v>428</v>
      </c>
      <c r="D243" s="13" t="s">
        <v>2973</v>
      </c>
      <c r="E243" s="13"/>
      <c r="F243" s="13"/>
      <c r="G243" s="13"/>
      <c r="H243" s="455"/>
      <c r="I243" s="50"/>
      <c r="J243" s="50"/>
      <c r="K243" s="50"/>
      <c r="L243" s="266" t="s">
        <v>2980</v>
      </c>
      <c r="M243" s="818"/>
      <c r="O243" s="832"/>
      <c r="P243" t="b">
        <v>1</v>
      </c>
      <c r="Q243" t="b">
        <v>1</v>
      </c>
      <c r="R243" t="b">
        <v>0</v>
      </c>
      <c r="S243" t="b">
        <v>1</v>
      </c>
      <c r="T243" t="b">
        <v>0</v>
      </c>
      <c r="W243" s="17"/>
      <c r="X243" s="817"/>
      <c r="AP243" t="str">
        <f t="shared" si="2"/>
        <v>dch504_3_8d</v>
      </c>
      <c r="AQ243" t="str">
        <f t="shared" si="3"/>
        <v/>
      </c>
    </row>
    <row r="244" spans="2:45" x14ac:dyDescent="0.35">
      <c r="B244" s="13" t="s">
        <v>461</v>
      </c>
      <c r="C244" s="13" t="s">
        <v>428</v>
      </c>
      <c r="D244" s="13" t="s">
        <v>2974</v>
      </c>
      <c r="E244" s="13"/>
      <c r="F244" s="13"/>
      <c r="G244" s="13"/>
      <c r="H244" s="455"/>
      <c r="I244" s="50"/>
      <c r="J244" s="50"/>
      <c r="K244" s="50"/>
      <c r="L244" s="266" t="s">
        <v>2979</v>
      </c>
      <c r="M244" s="818"/>
      <c r="O244" s="832"/>
      <c r="P244" t="b">
        <v>1</v>
      </c>
      <c r="Q244" t="b">
        <v>1</v>
      </c>
      <c r="R244" t="b">
        <v>0</v>
      </c>
      <c r="S244" t="b">
        <v>1</v>
      </c>
      <c r="T244" t="b">
        <v>0</v>
      </c>
      <c r="W244" s="17"/>
      <c r="X244" s="817"/>
      <c r="AP244" t="str">
        <f t="shared" si="2"/>
        <v>dch504_3_8e</v>
      </c>
      <c r="AQ244" t="str">
        <f t="shared" si="3"/>
        <v/>
      </c>
    </row>
    <row r="245" spans="2:45" x14ac:dyDescent="0.35">
      <c r="B245" s="13" t="s">
        <v>461</v>
      </c>
      <c r="C245" s="13" t="s">
        <v>428</v>
      </c>
      <c r="D245" s="13" t="s">
        <v>2975</v>
      </c>
      <c r="E245" s="13"/>
      <c r="F245" s="13"/>
      <c r="G245" s="13"/>
      <c r="H245" s="455"/>
      <c r="I245" s="50"/>
      <c r="J245" s="50"/>
      <c r="K245" s="50"/>
      <c r="L245" s="266" t="s">
        <v>2978</v>
      </c>
      <c r="M245" s="818"/>
      <c r="O245" s="832"/>
      <c r="P245" t="b">
        <v>1</v>
      </c>
      <c r="Q245" t="b">
        <v>1</v>
      </c>
      <c r="R245" t="b">
        <v>0</v>
      </c>
      <c r="S245" t="b">
        <v>1</v>
      </c>
      <c r="T245" t="b">
        <v>0</v>
      </c>
      <c r="W245" s="17"/>
      <c r="X245" s="817"/>
      <c r="AC245" t="b">
        <f>OR(AD245:AE245)</f>
        <v>0</v>
      </c>
      <c r="AD245" t="b">
        <v>0</v>
      </c>
      <c r="AE245" t="b">
        <f>AND(W245=TRUE,LEN(X239)=0)</f>
        <v>0</v>
      </c>
      <c r="AP245" t="str">
        <f t="shared" si="2"/>
        <v>dch504_3_8f</v>
      </c>
      <c r="AQ245" t="str">
        <f t="shared" si="3"/>
        <v/>
      </c>
    </row>
    <row r="246" spans="2:45" x14ac:dyDescent="0.35">
      <c r="B246" s="13" t="s">
        <v>461</v>
      </c>
      <c r="C246" s="13" t="s">
        <v>428</v>
      </c>
      <c r="D246" s="13"/>
      <c r="E246" s="13"/>
      <c r="F246" s="13"/>
      <c r="G246" s="13"/>
      <c r="H246" s="455"/>
      <c r="I246" s="50"/>
      <c r="J246" s="103"/>
      <c r="K246" s="103"/>
      <c r="L246" s="284" t="s">
        <v>2976</v>
      </c>
      <c r="M246" s="819"/>
      <c r="N246" s="104"/>
      <c r="O246" s="824"/>
      <c r="X246" s="817"/>
    </row>
    <row r="247" spans="2:45" x14ac:dyDescent="0.35">
      <c r="B247" s="13" t="s">
        <v>461</v>
      </c>
      <c r="C247" s="13" t="s">
        <v>430</v>
      </c>
      <c r="D247" s="13"/>
      <c r="E247" s="13"/>
      <c r="F247" s="13"/>
      <c r="G247" s="13"/>
      <c r="H247" s="455"/>
      <c r="I247" s="50"/>
      <c r="J247" s="47" t="s">
        <v>430</v>
      </c>
      <c r="K247" s="50"/>
      <c r="L247" s="90" t="s">
        <v>470</v>
      </c>
      <c r="M247" s="40">
        <v>3</v>
      </c>
      <c r="O247" s="75">
        <f>M247*W247</f>
        <v>0</v>
      </c>
      <c r="P247" t="b">
        <v>1</v>
      </c>
      <c r="Q247" t="b">
        <v>1</v>
      </c>
      <c r="R247" t="b">
        <v>0</v>
      </c>
      <c r="S247" t="b">
        <v>1</v>
      </c>
      <c r="T247" t="b">
        <v>0</v>
      </c>
      <c r="W247" s="17"/>
      <c r="X247" s="36"/>
      <c r="AL247" t="str">
        <f>SUBSTITUTE(SUBSTITUTE(SUBSTITUTE("dpa"&amp;$B247&amp;$C247&amp;$D247&amp;$E247,".","_"),"(","_"),")","")</f>
        <v>dpa504_3_9</v>
      </c>
      <c r="AM247">
        <f>M247</f>
        <v>3</v>
      </c>
      <c r="AN247" t="str">
        <f>SUBSTITUTE(SUBSTITUTE(SUBSTITUTE("dpc"&amp;$B247&amp;$C247&amp;$D247&amp;$E247,".","_"),"(","_"),")","")</f>
        <v>dpc504_3_9</v>
      </c>
      <c r="AO247">
        <f>O247</f>
        <v>0</v>
      </c>
      <c r="AP247" t="str">
        <f>SUBSTITUTE(SUBSTITUTE(SUBSTITUTE("dch"&amp;$B247&amp;$C247&amp;$D247&amp;$E247,".","_"),"(","_"),")","")</f>
        <v>dch504_3_9</v>
      </c>
      <c r="AQ247" t="str">
        <f>IF(LEN(W247)=0,"",W247)</f>
        <v/>
      </c>
      <c r="AR247" t="str">
        <f>SUBSTITUTE(SUBSTITUTE(SUBSTITUTE("dnt"&amp;$B247&amp;$C247&amp;$D247&amp;$E247,".","_"),"(","_"),")","")</f>
        <v>dnt504_3_9</v>
      </c>
      <c r="AS247" t="str">
        <f>IF(LEN(X247)=0,"",X247)</f>
        <v/>
      </c>
    </row>
    <row r="248" spans="2:45" ht="18.5" x14ac:dyDescent="0.45">
      <c r="B248" s="13" t="s">
        <v>471</v>
      </c>
      <c r="C248" s="13"/>
      <c r="D248" s="13"/>
      <c r="E248" s="13"/>
      <c r="F248" s="13"/>
      <c r="G248" s="13"/>
      <c r="H248" s="455"/>
      <c r="I248" s="35" t="s">
        <v>472</v>
      </c>
      <c r="J248" s="35"/>
      <c r="K248" s="35"/>
      <c r="L248" s="44"/>
      <c r="M248" s="243"/>
      <c r="N248" s="15"/>
      <c r="O248" s="307"/>
      <c r="P248" s="15"/>
      <c r="Q248" s="15"/>
      <c r="R248" s="15"/>
      <c r="S248" s="15"/>
      <c r="T248" s="15"/>
      <c r="U248" s="15"/>
      <c r="V248" s="15"/>
      <c r="W248" s="15"/>
      <c r="X248" s="15"/>
    </row>
    <row r="249" spans="2:45" x14ac:dyDescent="0.35">
      <c r="B249" s="13" t="s">
        <v>3983</v>
      </c>
      <c r="C249" s="13"/>
      <c r="D249" s="13"/>
      <c r="E249" s="13"/>
      <c r="F249" s="13"/>
      <c r="G249" s="13"/>
      <c r="H249" s="455"/>
      <c r="I249" s="47" t="s">
        <v>3983</v>
      </c>
      <c r="J249" s="50"/>
      <c r="K249" s="50"/>
      <c r="L249" s="838" t="s">
        <v>473</v>
      </c>
      <c r="M249" s="40"/>
      <c r="O249" s="75"/>
      <c r="X249" s="65"/>
    </row>
    <row r="250" spans="2:45" x14ac:dyDescent="0.35">
      <c r="B250" s="13" t="s">
        <v>3983</v>
      </c>
      <c r="C250" s="13"/>
      <c r="D250" s="13"/>
      <c r="E250" s="13"/>
      <c r="F250" s="13"/>
      <c r="G250" s="13"/>
      <c r="H250" s="455"/>
      <c r="I250" s="50"/>
      <c r="J250" s="50"/>
      <c r="K250" s="50"/>
      <c r="L250" s="838"/>
      <c r="M250" s="40"/>
      <c r="O250" s="75"/>
      <c r="X250" s="65"/>
    </row>
    <row r="251" spans="2:45" ht="15" thickBot="1" x14ac:dyDescent="0.4">
      <c r="B251" s="13" t="s">
        <v>3983</v>
      </c>
      <c r="C251" s="13"/>
      <c r="D251" s="13"/>
      <c r="E251" s="13"/>
      <c r="F251" s="13"/>
      <c r="G251" s="13"/>
      <c r="H251" s="455"/>
      <c r="I251" s="57"/>
      <c r="J251" s="57"/>
      <c r="K251" s="57"/>
      <c r="L251" s="849"/>
      <c r="M251" s="270"/>
      <c r="N251" s="55"/>
      <c r="O251" s="161"/>
      <c r="P251" s="55"/>
      <c r="Q251" s="55"/>
      <c r="R251" s="55"/>
      <c r="S251" s="55"/>
      <c r="T251" s="55"/>
      <c r="U251" s="55"/>
      <c r="V251" s="55"/>
      <c r="W251" s="55"/>
      <c r="X251" s="64"/>
    </row>
    <row r="252" spans="2:45" ht="15" thickTop="1" x14ac:dyDescent="0.35">
      <c r="B252" s="13" t="s">
        <v>474</v>
      </c>
      <c r="C252" s="13"/>
      <c r="D252" s="13"/>
      <c r="E252" s="13"/>
      <c r="F252" s="13"/>
      <c r="G252" s="13"/>
      <c r="H252" s="455"/>
      <c r="I252" s="47" t="s">
        <v>474</v>
      </c>
      <c r="J252" s="50"/>
      <c r="K252" s="50"/>
      <c r="L252" s="838" t="s">
        <v>475</v>
      </c>
      <c r="M252" s="40"/>
      <c r="O252" s="75"/>
    </row>
    <row r="253" spans="2:45" x14ac:dyDescent="0.35">
      <c r="B253" s="13" t="s">
        <v>474</v>
      </c>
      <c r="C253" s="13"/>
      <c r="D253" s="13"/>
      <c r="E253" s="13"/>
      <c r="F253" s="13"/>
      <c r="G253" s="13"/>
      <c r="H253" s="455"/>
      <c r="I253" s="50"/>
      <c r="J253" s="50"/>
      <c r="K253" s="50"/>
      <c r="L253" s="838"/>
      <c r="M253" s="40"/>
      <c r="O253" s="75"/>
    </row>
    <row r="254" spans="2:45" x14ac:dyDescent="0.35">
      <c r="B254" s="13" t="s">
        <v>474</v>
      </c>
      <c r="C254" s="13" t="s">
        <v>256</v>
      </c>
      <c r="D254" s="13"/>
      <c r="E254" s="13"/>
      <c r="F254" s="13"/>
      <c r="G254" s="13"/>
      <c r="H254" s="455"/>
      <c r="I254" s="50"/>
      <c r="J254" s="47" t="s">
        <v>256</v>
      </c>
      <c r="K254" s="50"/>
      <c r="L254" s="814" t="s">
        <v>476</v>
      </c>
      <c r="M254" s="818">
        <v>5</v>
      </c>
      <c r="O254" s="832">
        <f>M254*S254*W254</f>
        <v>0</v>
      </c>
      <c r="P254" t="b">
        <v>0</v>
      </c>
      <c r="Q254" t="b">
        <v>1</v>
      </c>
      <c r="R254" t="b">
        <v>0</v>
      </c>
      <c r="S254" t="b">
        <v>1</v>
      </c>
      <c r="T254" t="b">
        <v>0</v>
      </c>
      <c r="W254" s="17"/>
      <c r="X254" s="850"/>
      <c r="AL254" t="str">
        <f>SUBSTITUTE(SUBSTITUTE(SUBSTITUTE("dpa"&amp;$B254&amp;$C254&amp;$D254&amp;$E254,".","_"),"(","_"),")","")</f>
        <v>dpa505_1_1</v>
      </c>
      <c r="AM254">
        <f>M254</f>
        <v>5</v>
      </c>
      <c r="AN254" t="str">
        <f>SUBSTITUTE(SUBSTITUTE(SUBSTITUTE("dpc"&amp;$B254&amp;$C254&amp;$D254&amp;$E254,".","_"),"(","_"),")","")</f>
        <v>dpc505_1_1</v>
      </c>
      <c r="AO254">
        <f>O254</f>
        <v>0</v>
      </c>
      <c r="AP254" t="str">
        <f>SUBSTITUTE(SUBSTITUTE(SUBSTITUTE("dch"&amp;$B254&amp;$C254&amp;$D254&amp;$E254,".","_"),"(","_"),")","")</f>
        <v>dch505_1_1</v>
      </c>
      <c r="AQ254" t="str">
        <f>IF(LEN(W254)=0,"",W254)</f>
        <v/>
      </c>
      <c r="AR254" t="str">
        <f>SUBSTITUTE(SUBSTITUTE(SUBSTITUTE("dnt"&amp;$B254&amp;$C254&amp;$D254&amp;$E254,".","_"),"(","_"),")","")</f>
        <v>dnt505_1_1</v>
      </c>
      <c r="AS254" t="str">
        <f>IF(LEN(X254)=0,"",X254)</f>
        <v/>
      </c>
    </row>
    <row r="255" spans="2:45" x14ac:dyDescent="0.35">
      <c r="B255" s="13" t="s">
        <v>474</v>
      </c>
      <c r="C255" s="13" t="s">
        <v>256</v>
      </c>
      <c r="D255" s="13"/>
      <c r="E255" s="13"/>
      <c r="F255" s="13"/>
      <c r="G255" s="13"/>
      <c r="H255" s="455"/>
      <c r="I255" s="50"/>
      <c r="J255" s="100"/>
      <c r="K255" s="103"/>
      <c r="L255" s="815"/>
      <c r="M255" s="819"/>
      <c r="N255" s="104"/>
      <c r="O255" s="824"/>
      <c r="X255" s="816"/>
    </row>
    <row r="256" spans="2:45" x14ac:dyDescent="0.35">
      <c r="B256" s="13" t="s">
        <v>474</v>
      </c>
      <c r="C256" s="13" t="s">
        <v>258</v>
      </c>
      <c r="D256" s="13"/>
      <c r="E256" s="13"/>
      <c r="F256" s="13"/>
      <c r="G256" s="13"/>
      <c r="H256" s="455"/>
      <c r="I256" s="50"/>
      <c r="J256" s="468" t="s">
        <v>258</v>
      </c>
      <c r="K256" s="587"/>
      <c r="L256" s="820" t="s">
        <v>477</v>
      </c>
      <c r="M256" s="822">
        <v>5</v>
      </c>
      <c r="N256" s="120"/>
      <c r="O256" s="823">
        <f ca="1">M256*S256*W256</f>
        <v>0</v>
      </c>
      <c r="P256" t="b">
        <v>0</v>
      </c>
      <c r="Q256" t="b">
        <v>1</v>
      </c>
      <c r="R256" t="b">
        <v>0</v>
      </c>
      <c r="S256" t="b">
        <f ca="1">IF(AY19=INDEX(INDIRECT("ddSingleOrMulti"),2),TRUE,FALSE)</f>
        <v>0</v>
      </c>
      <c r="T256" t="b">
        <f ca="1">AND(NOT(S256),W256=TRUE)</f>
        <v>0</v>
      </c>
      <c r="W256" s="17"/>
      <c r="X256" s="817"/>
      <c r="AC256" t="b">
        <f ca="1">OR(AD256:AE256)</f>
        <v>0</v>
      </c>
      <c r="AD256" t="b">
        <f ca="1">T256</f>
        <v>0</v>
      </c>
      <c r="AL256" t="str">
        <f>SUBSTITUTE(SUBSTITUTE(SUBSTITUTE("dpa"&amp;$B256&amp;$C256&amp;$D256&amp;$E256,".","_"),"(","_"),")","")</f>
        <v>dpa505_1_2</v>
      </c>
      <c r="AM256">
        <f>M256</f>
        <v>5</v>
      </c>
      <c r="AN256" t="str">
        <f>SUBSTITUTE(SUBSTITUTE(SUBSTITUTE("dpc"&amp;$B256&amp;$C256&amp;$D256&amp;$E256,".","_"),"(","_"),")","")</f>
        <v>dpc505_1_2</v>
      </c>
      <c r="AO256">
        <f ca="1">O256</f>
        <v>0</v>
      </c>
      <c r="AP256" t="str">
        <f>SUBSTITUTE(SUBSTITUTE(SUBSTITUTE("dch"&amp;$B256&amp;$C256&amp;$D256&amp;$E256,".","_"),"(","_"),")","")</f>
        <v>dch505_1_2</v>
      </c>
      <c r="AQ256" t="str">
        <f>IF(LEN(W256)=0,"",W256)</f>
        <v/>
      </c>
      <c r="AR256" t="str">
        <f>SUBSTITUTE(SUBSTITUTE(SUBSTITUTE("dnt"&amp;$B256&amp;$C256&amp;$D256&amp;$E256,".","_"),"(","_"),")","")</f>
        <v>dnt505_1_2</v>
      </c>
      <c r="AS256" t="str">
        <f>IF(LEN(X256)=0,"",X256)</f>
        <v/>
      </c>
    </row>
    <row r="257" spans="2:45" x14ac:dyDescent="0.35">
      <c r="B257" s="13" t="s">
        <v>474</v>
      </c>
      <c r="C257" s="13" t="s">
        <v>258</v>
      </c>
      <c r="D257" s="13"/>
      <c r="E257" s="13"/>
      <c r="F257" s="13"/>
      <c r="G257" s="13"/>
      <c r="H257" s="455"/>
      <c r="I257" s="50"/>
      <c r="J257" s="100"/>
      <c r="K257" s="103"/>
      <c r="L257" s="821"/>
      <c r="M257" s="819"/>
      <c r="N257" s="104"/>
      <c r="O257" s="824"/>
      <c r="X257" s="817"/>
    </row>
    <row r="258" spans="2:45" x14ac:dyDescent="0.35">
      <c r="B258" s="13" t="s">
        <v>474</v>
      </c>
      <c r="C258" s="13" t="s">
        <v>260</v>
      </c>
      <c r="D258" s="13"/>
      <c r="E258" s="13"/>
      <c r="F258" s="13"/>
      <c r="G258" s="13"/>
      <c r="H258" s="455"/>
      <c r="I258" s="50"/>
      <c r="J258" s="47" t="s">
        <v>260</v>
      </c>
      <c r="K258" s="50"/>
      <c r="L258" s="90" t="s">
        <v>478</v>
      </c>
      <c r="M258" s="40"/>
      <c r="O258" s="75">
        <f ca="1">S258*IFERROR(INDEX({4,5,6},MATCH(W258,INDIRECT(U258),0)),0)</f>
        <v>0</v>
      </c>
      <c r="P258" t="b">
        <v>0</v>
      </c>
      <c r="Q258" t="b">
        <v>1</v>
      </c>
      <c r="R258" t="b">
        <v>0</v>
      </c>
      <c r="S258" t="b">
        <v>1</v>
      </c>
      <c r="T258" t="b">
        <v>0</v>
      </c>
      <c r="U258" t="str">
        <f>SUBSTITUTE(SUBSTITUTE(SUBSTITUTE("dd"&amp;B258&amp;C258&amp;D258&amp;E258&amp;F258,".","_"),"(","_"),")","")</f>
        <v>dd505_1_3</v>
      </c>
      <c r="W258" s="9"/>
      <c r="X258" s="850"/>
      <c r="AN258" t="str">
        <f>SUBSTITUTE(SUBSTITUTE(SUBSTITUTE("dpc"&amp;$B258&amp;$C258&amp;$D258&amp;$E258,".","_"),"(","_"),")","")</f>
        <v>dpc505_1_3</v>
      </c>
      <c r="AO258">
        <f ca="1">O258</f>
        <v>0</v>
      </c>
      <c r="AP258" t="str">
        <f>SUBSTITUTE(SUBSTITUTE(SUBSTITUTE("dch"&amp;$B258&amp;$C258&amp;$D258&amp;$E258,".","_"),"(","_"),")","")</f>
        <v>dch505_1_3</v>
      </c>
      <c r="AQ258" t="str">
        <f>IF(LEN(W258)=0,"",W258)</f>
        <v/>
      </c>
      <c r="AR258" t="str">
        <f>SUBSTITUTE(SUBSTITUTE(SUBSTITUTE("dnt"&amp;$B258&amp;$C258&amp;$D258&amp;$E258,".","_"),"(","_"),")","")</f>
        <v>dnt505_1_3</v>
      </c>
      <c r="AS258" t="str">
        <f>IF(LEN(X258)=0,"",X258)</f>
        <v/>
      </c>
    </row>
    <row r="259" spans="2:45" x14ac:dyDescent="0.35">
      <c r="B259" s="13" t="s">
        <v>474</v>
      </c>
      <c r="C259" s="13" t="s">
        <v>260</v>
      </c>
      <c r="D259" s="13" t="s">
        <v>121</v>
      </c>
      <c r="F259" s="13"/>
      <c r="H259" s="455"/>
      <c r="I259" s="46"/>
      <c r="J259" s="50"/>
      <c r="K259" s="47" t="s">
        <v>121</v>
      </c>
      <c r="L259" s="90" t="s">
        <v>479</v>
      </c>
      <c r="M259" s="40">
        <v>4</v>
      </c>
      <c r="O259" s="75"/>
      <c r="R259" t="b">
        <v>0</v>
      </c>
      <c r="S259" t="b">
        <v>1</v>
      </c>
      <c r="T259" t="b">
        <v>0</v>
      </c>
      <c r="X259" s="851"/>
      <c r="AL259" t="str">
        <f>SUBSTITUTE(SUBSTITUTE(SUBSTITUTE("dpa"&amp;$B259&amp;$C259&amp;$D259&amp;$E259,".","_"),"(","_"),")","")</f>
        <v>dpa505_1_3_a</v>
      </c>
      <c r="AM259">
        <f>M259</f>
        <v>4</v>
      </c>
    </row>
    <row r="260" spans="2:45" x14ac:dyDescent="0.35">
      <c r="B260" s="13" t="s">
        <v>474</v>
      </c>
      <c r="C260" s="13" t="s">
        <v>260</v>
      </c>
      <c r="D260" s="13" t="s">
        <v>122</v>
      </c>
      <c r="F260" s="13"/>
      <c r="H260" s="455"/>
      <c r="I260" s="46"/>
      <c r="J260" s="50"/>
      <c r="K260" s="47" t="s">
        <v>122</v>
      </c>
      <c r="L260" s="90" t="s">
        <v>480</v>
      </c>
      <c r="M260" s="40">
        <v>5</v>
      </c>
      <c r="O260" s="75"/>
      <c r="R260" t="b">
        <v>0</v>
      </c>
      <c r="S260" t="b">
        <v>1</v>
      </c>
      <c r="T260" t="b">
        <v>0</v>
      </c>
      <c r="X260" s="851"/>
      <c r="AL260" t="str">
        <f>SUBSTITUTE(SUBSTITUTE(SUBSTITUTE("dpa"&amp;$B260&amp;$C260&amp;$D260&amp;$E260,".","_"),"(","_"),")","")</f>
        <v>dpa505_1_3_b</v>
      </c>
      <c r="AM260">
        <f>M260</f>
        <v>5</v>
      </c>
    </row>
    <row r="261" spans="2:45" ht="15" thickBot="1" x14ac:dyDescent="0.4">
      <c r="B261" s="13" t="s">
        <v>474</v>
      </c>
      <c r="C261" s="13" t="s">
        <v>260</v>
      </c>
      <c r="D261" s="13" t="s">
        <v>123</v>
      </c>
      <c r="F261" s="13"/>
      <c r="H261" s="455"/>
      <c r="I261" s="67"/>
      <c r="J261" s="57"/>
      <c r="K261" s="63" t="s">
        <v>123</v>
      </c>
      <c r="L261" s="229" t="s">
        <v>391</v>
      </c>
      <c r="M261" s="270">
        <v>6</v>
      </c>
      <c r="N261" s="55"/>
      <c r="O261" s="161"/>
      <c r="P261" s="55"/>
      <c r="Q261" s="55"/>
      <c r="R261" s="55" t="b">
        <v>0</v>
      </c>
      <c r="S261" s="55" t="b">
        <v>1</v>
      </c>
      <c r="T261" s="55" t="b">
        <v>0</v>
      </c>
      <c r="U261" s="55"/>
      <c r="V261" s="55"/>
      <c r="W261" s="55"/>
      <c r="X261" s="852"/>
      <c r="AL261" t="str">
        <f>SUBSTITUTE(SUBSTITUTE(SUBSTITUTE("dpa"&amp;$B261&amp;$C261&amp;$D261&amp;$E261,".","_"),"(","_"),")","")</f>
        <v>dpa505_1_3_c</v>
      </c>
      <c r="AM261">
        <f>M261</f>
        <v>6</v>
      </c>
    </row>
    <row r="262" spans="2:45" ht="15" thickTop="1" x14ac:dyDescent="0.35">
      <c r="B262" s="13" t="s">
        <v>481</v>
      </c>
      <c r="C262" s="13"/>
      <c r="D262" s="13"/>
      <c r="E262" s="13"/>
      <c r="F262" s="13"/>
      <c r="G262" s="13"/>
      <c r="H262" s="455"/>
      <c r="I262" s="47" t="s">
        <v>482</v>
      </c>
      <c r="J262" s="50"/>
      <c r="K262" s="50"/>
      <c r="L262" s="95" t="s">
        <v>483</v>
      </c>
      <c r="M262" s="40"/>
      <c r="O262" s="75"/>
    </row>
    <row r="263" spans="2:45" x14ac:dyDescent="0.35">
      <c r="B263" s="13" t="s">
        <v>481</v>
      </c>
      <c r="C263" s="13" t="s">
        <v>256</v>
      </c>
      <c r="D263" s="13"/>
      <c r="E263" s="13"/>
      <c r="F263" s="13"/>
      <c r="G263" s="13"/>
      <c r="H263" s="455"/>
      <c r="I263" s="50"/>
      <c r="J263" s="47" t="s">
        <v>256</v>
      </c>
      <c r="K263" s="50"/>
      <c r="L263" s="814" t="s">
        <v>484</v>
      </c>
      <c r="M263" s="818">
        <v>5</v>
      </c>
      <c r="O263" s="832">
        <f>M263*MIN(1,W265+W268+W272)</f>
        <v>0</v>
      </c>
      <c r="R263" t="b">
        <v>0</v>
      </c>
      <c r="S263" t="b">
        <v>1</v>
      </c>
      <c r="T263" t="b">
        <v>0</v>
      </c>
      <c r="X263" s="850"/>
      <c r="AL263" t="str">
        <f>SUBSTITUTE(SUBSTITUTE(SUBSTITUTE("dpa"&amp;$B263&amp;$C263&amp;$D263&amp;$E263,".","_"),"(","_"),")","")</f>
        <v>dpa505_2_1</v>
      </c>
      <c r="AM263">
        <f>M263</f>
        <v>5</v>
      </c>
      <c r="AN263" t="str">
        <f>SUBSTITUTE(SUBSTITUTE(SUBSTITUTE("dpc"&amp;$B263&amp;$C263&amp;$D263&amp;$E263,".","_"),"(","_"),")","")</f>
        <v>dpc505_2_1</v>
      </c>
      <c r="AO263">
        <f>O263</f>
        <v>0</v>
      </c>
      <c r="AR263" t="str">
        <f>SUBSTITUTE(SUBSTITUTE(SUBSTITUTE("dnt"&amp;$B263&amp;$C263&amp;$D263&amp;$E263,".","_"),"(","_"),")","")</f>
        <v>dnt505_2_1</v>
      </c>
      <c r="AS263" t="str">
        <f>IF(LEN(X263)=0,"",X263)</f>
        <v/>
      </c>
    </row>
    <row r="264" spans="2:45" x14ac:dyDescent="0.35">
      <c r="B264" s="13" t="s">
        <v>481</v>
      </c>
      <c r="C264" s="13" t="s">
        <v>256</v>
      </c>
      <c r="D264" s="13"/>
      <c r="E264" s="13"/>
      <c r="F264" s="13"/>
      <c r="G264" s="13"/>
      <c r="H264" s="455"/>
      <c r="I264" s="50"/>
      <c r="J264" s="50"/>
      <c r="K264" s="50"/>
      <c r="L264" s="814"/>
      <c r="M264" s="818"/>
      <c r="O264" s="832"/>
      <c r="X264" s="851"/>
    </row>
    <row r="265" spans="2:45" x14ac:dyDescent="0.35">
      <c r="B265" s="13" t="s">
        <v>481</v>
      </c>
      <c r="C265" s="13" t="s">
        <v>256</v>
      </c>
      <c r="D265" s="13" t="s">
        <v>121</v>
      </c>
      <c r="F265" s="13"/>
      <c r="H265" s="455"/>
      <c r="I265" s="46"/>
      <c r="J265" s="50"/>
      <c r="K265" s="47" t="s">
        <v>121</v>
      </c>
      <c r="L265" s="814" t="s">
        <v>485</v>
      </c>
      <c r="M265" s="40"/>
      <c r="O265" s="75"/>
      <c r="P265" t="b">
        <v>0</v>
      </c>
      <c r="Q265" t="b">
        <v>1</v>
      </c>
      <c r="R265" t="b">
        <v>0</v>
      </c>
      <c r="S265" t="b">
        <v>1</v>
      </c>
      <c r="T265" t="b">
        <v>0</v>
      </c>
      <c r="W265" s="17"/>
      <c r="X265" s="851"/>
      <c r="AP265" t="str">
        <f>SUBSTITUTE(SUBSTITUTE(SUBSTITUTE("dch"&amp;$B265&amp;$C265&amp;$D265&amp;$E265,".","_"),"(","_"),")","")</f>
        <v>dch505_2_1_a</v>
      </c>
      <c r="AQ265" t="str">
        <f>IF(LEN(W265)=0,"",W265)</f>
        <v/>
      </c>
    </row>
    <row r="266" spans="2:45" x14ac:dyDescent="0.35">
      <c r="B266" s="13" t="s">
        <v>481</v>
      </c>
      <c r="C266" s="13" t="s">
        <v>256</v>
      </c>
      <c r="D266" s="13" t="s">
        <v>121</v>
      </c>
      <c r="F266" s="13"/>
      <c r="H266" s="455"/>
      <c r="I266" s="46"/>
      <c r="J266" s="50"/>
      <c r="K266" s="50"/>
      <c r="L266" s="814"/>
      <c r="M266" s="40"/>
      <c r="O266" s="75"/>
      <c r="X266" s="851"/>
    </row>
    <row r="267" spans="2:45" x14ac:dyDescent="0.35">
      <c r="B267" s="13" t="s">
        <v>481</v>
      </c>
      <c r="C267" s="13" t="s">
        <v>256</v>
      </c>
      <c r="D267" s="13" t="s">
        <v>121</v>
      </c>
      <c r="F267" s="13"/>
      <c r="H267" s="455"/>
      <c r="I267" s="46"/>
      <c r="J267" s="50"/>
      <c r="K267" s="50"/>
      <c r="L267" s="814"/>
      <c r="M267" s="40"/>
      <c r="O267" s="75"/>
      <c r="X267" s="851"/>
    </row>
    <row r="268" spans="2:45" x14ac:dyDescent="0.35">
      <c r="B268" s="13" t="s">
        <v>481</v>
      </c>
      <c r="C268" s="13" t="s">
        <v>256</v>
      </c>
      <c r="D268" s="13" t="s">
        <v>122</v>
      </c>
      <c r="F268" s="13"/>
      <c r="H268" s="455"/>
      <c r="I268" s="46"/>
      <c r="J268" s="50"/>
      <c r="K268" s="47" t="s">
        <v>122</v>
      </c>
      <c r="L268" s="814" t="s">
        <v>486</v>
      </c>
      <c r="M268" s="40"/>
      <c r="O268" s="75"/>
      <c r="P268" t="b">
        <v>0</v>
      </c>
      <c r="Q268" t="b">
        <v>1</v>
      </c>
      <c r="R268" t="b">
        <v>0</v>
      </c>
      <c r="S268" t="b">
        <v>1</v>
      </c>
      <c r="T268" t="b">
        <v>0</v>
      </c>
      <c r="W268" s="17"/>
      <c r="X268" s="851"/>
      <c r="AP268" t="str">
        <f>SUBSTITUTE(SUBSTITUTE(SUBSTITUTE("dch"&amp;$B268&amp;$C268&amp;$D268&amp;$E268,".","_"),"(","_"),")","")</f>
        <v>dch505_2_1_b</v>
      </c>
      <c r="AQ268" t="str">
        <f>IF(LEN(W268)=0,"",W268)</f>
        <v/>
      </c>
    </row>
    <row r="269" spans="2:45" x14ac:dyDescent="0.35">
      <c r="B269" s="13" t="s">
        <v>481</v>
      </c>
      <c r="C269" s="13" t="s">
        <v>256</v>
      </c>
      <c r="D269" s="13" t="s">
        <v>122</v>
      </c>
      <c r="F269" s="13"/>
      <c r="H269" s="455"/>
      <c r="I269" s="46"/>
      <c r="J269" s="50"/>
      <c r="K269" s="50"/>
      <c r="L269" s="814"/>
      <c r="M269" s="40"/>
      <c r="O269" s="75"/>
      <c r="X269" s="851"/>
    </row>
    <row r="270" spans="2:45" x14ac:dyDescent="0.35">
      <c r="B270" s="13" t="s">
        <v>481</v>
      </c>
      <c r="C270" s="13" t="s">
        <v>256</v>
      </c>
      <c r="D270" s="13" t="s">
        <v>122</v>
      </c>
      <c r="F270" s="13"/>
      <c r="H270" s="455"/>
      <c r="I270" s="46"/>
      <c r="J270" s="50"/>
      <c r="K270" s="50"/>
      <c r="L270" s="814"/>
      <c r="M270" s="40"/>
      <c r="O270" s="75"/>
      <c r="X270" s="851"/>
    </row>
    <row r="271" spans="2:45" x14ac:dyDescent="0.35">
      <c r="B271" s="13" t="s">
        <v>481</v>
      </c>
      <c r="C271" s="13" t="s">
        <v>256</v>
      </c>
      <c r="D271" s="13" t="s">
        <v>122</v>
      </c>
      <c r="F271" s="13"/>
      <c r="H271" s="455"/>
      <c r="I271" s="46"/>
      <c r="J271" s="50"/>
      <c r="K271" s="50"/>
      <c r="L271" s="814"/>
      <c r="M271" s="40"/>
      <c r="O271" s="75"/>
      <c r="X271" s="851"/>
    </row>
    <row r="272" spans="2:45" x14ac:dyDescent="0.35">
      <c r="B272" s="13" t="s">
        <v>481</v>
      </c>
      <c r="C272" s="13" t="s">
        <v>256</v>
      </c>
      <c r="D272" s="13" t="s">
        <v>123</v>
      </c>
      <c r="F272" s="13"/>
      <c r="H272" s="455"/>
      <c r="I272" s="46"/>
      <c r="J272" s="103"/>
      <c r="K272" s="105" t="s">
        <v>123</v>
      </c>
      <c r="L272" s="228" t="s">
        <v>487</v>
      </c>
      <c r="M272" s="268"/>
      <c r="N272" s="104"/>
      <c r="O272" s="309"/>
      <c r="P272" t="b">
        <v>0</v>
      </c>
      <c r="Q272" t="b">
        <v>1</v>
      </c>
      <c r="R272" t="b">
        <v>0</v>
      </c>
      <c r="S272" t="b">
        <v>1</v>
      </c>
      <c r="T272" t="b">
        <v>0</v>
      </c>
      <c r="W272" s="17"/>
      <c r="X272" s="816"/>
      <c r="AP272" t="str">
        <f>SUBSTITUTE(SUBSTITUTE(SUBSTITUTE("dch"&amp;$B272&amp;$C272&amp;$D272&amp;$E272,".","_"),"(","_"),")","")</f>
        <v>dch505_2_1_c</v>
      </c>
      <c r="AQ272" t="str">
        <f>IF(LEN(W272)=0,"",W272)</f>
        <v/>
      </c>
    </row>
    <row r="273" spans="1:45" x14ac:dyDescent="0.35">
      <c r="B273" s="13" t="s">
        <v>481</v>
      </c>
      <c r="C273" s="13" t="s">
        <v>258</v>
      </c>
      <c r="D273" s="13"/>
      <c r="E273" s="13"/>
      <c r="F273" s="13"/>
      <c r="G273" s="13"/>
      <c r="H273" s="455"/>
      <c r="I273" s="50"/>
      <c r="J273" s="47" t="s">
        <v>258</v>
      </c>
      <c r="K273" s="50"/>
      <c r="L273" s="814" t="s">
        <v>488</v>
      </c>
      <c r="M273" s="818">
        <v>5</v>
      </c>
      <c r="O273" s="832">
        <f>M273*W273</f>
        <v>0</v>
      </c>
      <c r="P273" t="b">
        <v>0</v>
      </c>
      <c r="Q273" t="b">
        <v>1</v>
      </c>
      <c r="R273" t="b">
        <v>0</v>
      </c>
      <c r="S273" t="b">
        <v>1</v>
      </c>
      <c r="T273" t="b">
        <v>0</v>
      </c>
      <c r="W273" s="17"/>
      <c r="X273" s="850"/>
      <c r="AL273" t="str">
        <f>SUBSTITUTE(SUBSTITUTE(SUBSTITUTE("dpa"&amp;$B273&amp;$C273&amp;$D273&amp;$E273,".","_"),"(","_"),")","")</f>
        <v>dpa505_2_2</v>
      </c>
      <c r="AM273">
        <f>M273</f>
        <v>5</v>
      </c>
      <c r="AN273" t="str">
        <f>SUBSTITUTE(SUBSTITUTE(SUBSTITUTE("dpc"&amp;$B273&amp;$C273&amp;$D273&amp;$E273,".","_"),"(","_"),")","")</f>
        <v>dpc505_2_2</v>
      </c>
      <c r="AO273">
        <f>O273</f>
        <v>0</v>
      </c>
      <c r="AP273" t="str">
        <f>SUBSTITUTE(SUBSTITUTE(SUBSTITUTE("dch"&amp;$B273&amp;$C273&amp;$D273&amp;$E273,".","_"),"(","_"),")","")</f>
        <v>dch505_2_2</v>
      </c>
      <c r="AQ273" t="str">
        <f>IF(LEN(W273)=0,"",W273)</f>
        <v/>
      </c>
      <c r="AR273" t="str">
        <f>SUBSTITUTE(SUBSTITUTE(SUBSTITUTE("dnt"&amp;$B273&amp;$C273&amp;$D273&amp;$E273,".","_"),"(","_"),")","")</f>
        <v>dnt505_2_2</v>
      </c>
      <c r="AS273" t="str">
        <f>IF(LEN(X273)=0,"",X273)</f>
        <v/>
      </c>
    </row>
    <row r="274" spans="1:45" x14ac:dyDescent="0.35">
      <c r="B274" s="13" t="s">
        <v>481</v>
      </c>
      <c r="C274" s="13" t="s">
        <v>258</v>
      </c>
      <c r="D274" s="13"/>
      <c r="E274" s="13"/>
      <c r="F274" s="13"/>
      <c r="G274" s="13"/>
      <c r="H274" s="455"/>
      <c r="I274" s="50"/>
      <c r="J274" s="50"/>
      <c r="K274" s="50"/>
      <c r="L274" s="814"/>
      <c r="M274" s="818"/>
      <c r="O274" s="832"/>
      <c r="X274" s="851"/>
    </row>
    <row r="275" spans="1:45" ht="15" thickBot="1" x14ac:dyDescent="0.4">
      <c r="B275" s="13" t="s">
        <v>481</v>
      </c>
      <c r="C275" s="13" t="s">
        <v>258</v>
      </c>
      <c r="D275" s="13"/>
      <c r="E275" s="13"/>
      <c r="F275" s="13"/>
      <c r="G275" s="13"/>
      <c r="H275" s="455"/>
      <c r="I275" s="57"/>
      <c r="J275" s="57"/>
      <c r="K275" s="57"/>
      <c r="L275" s="839"/>
      <c r="M275" s="827"/>
      <c r="N275" s="55"/>
      <c r="O275" s="833"/>
      <c r="P275" s="55"/>
      <c r="Q275" s="55"/>
      <c r="R275" s="55"/>
      <c r="S275" s="55"/>
      <c r="T275" s="55"/>
      <c r="U275" s="55"/>
      <c r="V275" s="55"/>
      <c r="W275" s="55"/>
      <c r="X275" s="852"/>
    </row>
    <row r="276" spans="1:45" ht="15" thickTop="1" x14ac:dyDescent="0.35">
      <c r="B276" s="13" t="s">
        <v>489</v>
      </c>
      <c r="C276" s="13"/>
      <c r="D276" s="13"/>
      <c r="E276" s="13"/>
      <c r="F276" s="13"/>
      <c r="G276" s="13"/>
      <c r="H276" s="455"/>
      <c r="I276" s="47" t="s">
        <v>489</v>
      </c>
      <c r="J276" s="50"/>
      <c r="K276" s="50"/>
      <c r="L276" s="95" t="s">
        <v>490</v>
      </c>
      <c r="M276" s="40"/>
      <c r="O276" s="75">
        <f ca="1">S276*IFERROR(INDEX({4,5,6,7,8},MATCH(W276,INDIRECT(U276),0)),0)</f>
        <v>0</v>
      </c>
      <c r="P276" t="b">
        <v>1</v>
      </c>
      <c r="Q276" t="b">
        <v>1</v>
      </c>
      <c r="R276" t="b">
        <v>0</v>
      </c>
      <c r="S276" t="b">
        <v>1</v>
      </c>
      <c r="T276" t="b">
        <v>0</v>
      </c>
      <c r="U276" t="str">
        <f>SUBSTITUTE(SUBSTITUTE(SUBSTITUTE("dd"&amp;B276&amp;C276&amp;D276&amp;E276&amp;F276,".","_"),"(","_"),")","")</f>
        <v>dd505_3</v>
      </c>
      <c r="W276" s="9"/>
      <c r="X276" s="840"/>
      <c r="AN276" t="str">
        <f>SUBSTITUTE(SUBSTITUTE(SUBSTITUTE("dpc"&amp;$B276&amp;$C276&amp;$D276&amp;$E276,".","_"),"(","_"),")","")</f>
        <v>dpc505_3</v>
      </c>
      <c r="AO276">
        <f ca="1">O276</f>
        <v>0</v>
      </c>
      <c r="AR276" t="str">
        <f>SUBSTITUTE(SUBSTITUTE(SUBSTITUTE("dnt"&amp;$B276&amp;$C276&amp;$D276&amp;$E276,".","_"),"(","_"),")","")</f>
        <v>dnt505_3</v>
      </c>
      <c r="AS276" t="str">
        <f>IF(LEN(X276)=0,"",X276)</f>
        <v/>
      </c>
    </row>
    <row r="277" spans="1:45" x14ac:dyDescent="0.35">
      <c r="B277" s="13" t="s">
        <v>489</v>
      </c>
      <c r="C277" s="13" t="s">
        <v>256</v>
      </c>
      <c r="D277" s="13"/>
      <c r="E277" s="13"/>
      <c r="F277" s="13"/>
      <c r="G277" s="13"/>
      <c r="H277" s="455"/>
      <c r="I277" s="50"/>
      <c r="J277" s="100" t="s">
        <v>256</v>
      </c>
      <c r="K277" s="103"/>
      <c r="L277" s="228" t="s">
        <v>4134</v>
      </c>
      <c r="M277" s="268">
        <v>4</v>
      </c>
      <c r="O277" s="75"/>
      <c r="X277" s="817"/>
      <c r="AL277" t="str">
        <f>SUBSTITUTE(SUBSTITUTE(SUBSTITUTE("dpa"&amp;$B277&amp;$C277&amp;$D277&amp;$E277,".","_"),"(","_"),")","")</f>
        <v>dpa505_3_1</v>
      </c>
      <c r="AM277">
        <f t="shared" ref="AM277:AM283" si="4">M277</f>
        <v>4</v>
      </c>
      <c r="AP277" t="str">
        <f>SUBSTITUTE(SUBSTITUTE(SUBSTITUTE("dch"&amp;$B277&amp;$C277&amp;$D277&amp;$E277,".","_"),"(","_"),")","")</f>
        <v>dch505_3_1</v>
      </c>
      <c r="AQ277" t="str">
        <f>IF(LEN(W277)=0,"",W277)</f>
        <v/>
      </c>
    </row>
    <row r="278" spans="1:45" x14ac:dyDescent="0.35">
      <c r="B278" s="13" t="s">
        <v>489</v>
      </c>
      <c r="C278" s="13" t="s">
        <v>258</v>
      </c>
      <c r="D278" s="13"/>
      <c r="E278" s="13"/>
      <c r="F278" s="13"/>
      <c r="G278" s="13"/>
      <c r="H278" s="455"/>
      <c r="I278" s="50"/>
      <c r="J278" s="100" t="s">
        <v>258</v>
      </c>
      <c r="K278" s="103"/>
      <c r="L278" s="228" t="s">
        <v>4135</v>
      </c>
      <c r="M278" s="268">
        <v>5</v>
      </c>
      <c r="O278" s="75"/>
      <c r="X278" s="817"/>
      <c r="AL278" t="str">
        <f>SUBSTITUTE(SUBSTITUTE(SUBSTITUTE("dpa"&amp;$B278&amp;$C278&amp;$D278&amp;$E278,".","_"),"(","_"),")","")</f>
        <v>dpa505_3_2</v>
      </c>
      <c r="AM278">
        <f t="shared" si="4"/>
        <v>5</v>
      </c>
    </row>
    <row r="279" spans="1:45" x14ac:dyDescent="0.35">
      <c r="B279" s="13" t="s">
        <v>489</v>
      </c>
      <c r="C279" s="13" t="s">
        <v>260</v>
      </c>
      <c r="D279" s="13"/>
      <c r="E279" s="13"/>
      <c r="F279" s="13"/>
      <c r="G279" s="13"/>
      <c r="H279" s="455"/>
      <c r="I279" s="50"/>
      <c r="J279" s="100" t="s">
        <v>260</v>
      </c>
      <c r="K279" s="103"/>
      <c r="L279" s="228" t="s">
        <v>4136</v>
      </c>
      <c r="M279" s="268">
        <v>6</v>
      </c>
      <c r="O279" s="75"/>
      <c r="X279" s="817"/>
      <c r="AL279" t="str">
        <f>SUBSTITUTE(SUBSTITUTE(SUBSTITUTE("dpa"&amp;$B279&amp;$C279&amp;$D279&amp;$E279,".","_"),"(","_"),")","")</f>
        <v>dpa505_3_3</v>
      </c>
      <c r="AM279">
        <f t="shared" si="4"/>
        <v>6</v>
      </c>
    </row>
    <row r="280" spans="1:45" x14ac:dyDescent="0.35">
      <c r="B280" s="13" t="s">
        <v>489</v>
      </c>
      <c r="C280" s="13" t="s">
        <v>269</v>
      </c>
      <c r="D280" s="13"/>
      <c r="E280" s="13"/>
      <c r="F280" s="13"/>
      <c r="G280" s="13"/>
      <c r="H280" s="455"/>
      <c r="I280" s="50"/>
      <c r="J280" s="100" t="s">
        <v>269</v>
      </c>
      <c r="K280" s="103"/>
      <c r="L280" s="228" t="s">
        <v>4137</v>
      </c>
      <c r="M280" s="268">
        <v>7</v>
      </c>
      <c r="O280" s="75"/>
      <c r="X280" s="817"/>
      <c r="AL280" t="str">
        <f>SUBSTITUTE(SUBSTITUTE(SUBSTITUTE("dpa"&amp;$B280&amp;$C280&amp;$D280&amp;$E280,".","_"),"(","_"),")","")</f>
        <v>dpa505_3_4</v>
      </c>
      <c r="AM280">
        <f t="shared" si="4"/>
        <v>7</v>
      </c>
    </row>
    <row r="281" spans="1:45" ht="15" thickBot="1" x14ac:dyDescent="0.4">
      <c r="B281" s="13" t="s">
        <v>489</v>
      </c>
      <c r="C281" s="13" t="s">
        <v>275</v>
      </c>
      <c r="D281" s="13"/>
      <c r="E281" s="13"/>
      <c r="F281" s="13"/>
      <c r="G281" s="13"/>
      <c r="H281" s="455"/>
      <c r="I281" s="57"/>
      <c r="J281" s="52" t="s">
        <v>275</v>
      </c>
      <c r="K281" s="57"/>
      <c r="L281" s="229" t="s">
        <v>4138</v>
      </c>
      <c r="M281" s="270">
        <v>8</v>
      </c>
      <c r="N281" s="55"/>
      <c r="O281" s="161"/>
      <c r="P281" s="55"/>
      <c r="Q281" s="55"/>
      <c r="R281" s="55"/>
      <c r="S281" s="55"/>
      <c r="T281" s="55"/>
      <c r="U281" s="55"/>
      <c r="V281" s="55"/>
      <c r="W281" s="55"/>
      <c r="X281" s="829"/>
      <c r="AL281" t="str">
        <f>SUBSTITUTE(SUBSTITUTE(SUBSTITUTE("dpa"&amp;$B281&amp;$C281&amp;$D281&amp;$E281,".","_"),"(","_"),")","")</f>
        <v>dpa505_3_5</v>
      </c>
      <c r="AM281">
        <f t="shared" si="4"/>
        <v>8</v>
      </c>
    </row>
    <row r="282" spans="1:45" ht="15" thickTop="1" x14ac:dyDescent="0.35">
      <c r="B282" s="13" t="s">
        <v>491</v>
      </c>
      <c r="C282" s="13"/>
      <c r="D282" s="13"/>
      <c r="E282" s="13"/>
      <c r="F282" s="13"/>
      <c r="G282" s="13"/>
      <c r="H282" s="455"/>
      <c r="I282" s="66" t="s">
        <v>491</v>
      </c>
      <c r="J282" s="61"/>
      <c r="K282" s="61"/>
      <c r="L282" s="274" t="s">
        <v>4139</v>
      </c>
      <c r="M282" s="40"/>
      <c r="O282" s="75"/>
      <c r="W282" s="173"/>
      <c r="X282" s="173"/>
    </row>
    <row r="283" spans="1:45" ht="15" thickBot="1" x14ac:dyDescent="0.4">
      <c r="B283" s="13" t="s">
        <v>491</v>
      </c>
      <c r="C283" s="13" t="s">
        <v>256</v>
      </c>
      <c r="D283" s="13"/>
      <c r="E283" s="13"/>
      <c r="F283" s="13"/>
      <c r="G283" s="13"/>
      <c r="H283" s="455"/>
      <c r="I283" s="55"/>
      <c r="J283" s="52" t="s">
        <v>256</v>
      </c>
      <c r="K283" s="57"/>
      <c r="L283" s="229" t="s">
        <v>4140</v>
      </c>
      <c r="M283" s="270">
        <v>8</v>
      </c>
      <c r="N283" s="55"/>
      <c r="O283" s="161">
        <f ca="1">M283*S283*W283</f>
        <v>0</v>
      </c>
      <c r="P283" s="55" t="b">
        <v>1</v>
      </c>
      <c r="Q283" s="55" t="b">
        <v>1</v>
      </c>
      <c r="R283" s="55" t="b">
        <v>0</v>
      </c>
      <c r="S283" s="55" t="b">
        <f ca="1">IF(AY19=INDEX(INDIRECT("ddSingleOrMulti"),2),TRUE,FALSE)</f>
        <v>0</v>
      </c>
      <c r="T283" s="55" t="b">
        <f ca="1">AND(NOT(S283),W283=TRUE)</f>
        <v>0</v>
      </c>
      <c r="U283" s="55"/>
      <c r="V283" s="64"/>
      <c r="W283" s="322"/>
      <c r="X283" s="280"/>
      <c r="AC283" t="b">
        <f ca="1">OR(AD283:AE283)</f>
        <v>0</v>
      </c>
      <c r="AD283" t="b">
        <f ca="1">T283</f>
        <v>0</v>
      </c>
      <c r="AL283" t="str">
        <f>SUBSTITUTE(SUBSTITUTE(SUBSTITUTE("dpa"&amp;$B283&amp;$C283&amp;$D283&amp;$E283,".","_"),"(","_"),")","")</f>
        <v>dpa505_4_1</v>
      </c>
      <c r="AM283">
        <f t="shared" si="4"/>
        <v>8</v>
      </c>
      <c r="AN283" t="str">
        <f>SUBSTITUTE(SUBSTITUTE(SUBSTITUTE("dpc"&amp;$B283&amp;$C283&amp;$D283&amp;$E283,".","_"),"(","_"),")","")</f>
        <v>dpc505_4_1</v>
      </c>
      <c r="AO283">
        <f ca="1">O283</f>
        <v>0</v>
      </c>
      <c r="AP283" t="str">
        <f>SUBSTITUTE(SUBSTITUTE(SUBSTITUTE("dch"&amp;$B283&amp;$C283&amp;$D283&amp;$E283,".","_"),"(","_"),")","")</f>
        <v>dch505_4_1</v>
      </c>
      <c r="AQ283" t="str">
        <f>IF(LEN(W283)=0,"",W283)</f>
        <v/>
      </c>
      <c r="AR283" t="str">
        <f>SUBSTITUTE(SUBSTITUTE(SUBSTITUTE("dnt"&amp;$B283&amp;$C283&amp;$D283&amp;$E283,".","_"),"(","_"),")","")</f>
        <v>dnt505_4_1</v>
      </c>
      <c r="AS283" t="str">
        <f>IF(LEN(X283)=0,"",X283)</f>
        <v/>
      </c>
    </row>
    <row r="284" spans="1:45" ht="15" thickTop="1" x14ac:dyDescent="0.35">
      <c r="B284" s="13" t="s">
        <v>492</v>
      </c>
      <c r="C284" s="13"/>
      <c r="D284" s="13"/>
      <c r="E284" s="13"/>
      <c r="F284" s="13"/>
      <c r="G284" s="13"/>
      <c r="H284" s="455"/>
      <c r="I284" s="66" t="s">
        <v>492</v>
      </c>
      <c r="J284" s="61"/>
      <c r="K284" s="61"/>
      <c r="L284" s="837" t="s">
        <v>4848</v>
      </c>
      <c r="M284"/>
      <c r="O284"/>
    </row>
    <row r="285" spans="1:45" x14ac:dyDescent="0.35">
      <c r="B285" s="13" t="s">
        <v>492</v>
      </c>
      <c r="C285" s="13"/>
      <c r="D285" s="13"/>
      <c r="E285" s="13"/>
      <c r="F285" s="13"/>
      <c r="G285" s="13"/>
      <c r="H285" s="455"/>
      <c r="I285" s="47"/>
      <c r="J285" s="50"/>
      <c r="K285" s="50"/>
      <c r="L285" s="838"/>
      <c r="M285"/>
      <c r="O285"/>
    </row>
    <row r="286" spans="1:45" x14ac:dyDescent="0.35">
      <c r="B286" s="13" t="s">
        <v>492</v>
      </c>
      <c r="C286" s="13"/>
      <c r="D286" s="13"/>
      <c r="E286" s="13"/>
      <c r="F286" s="13"/>
      <c r="G286" s="13"/>
      <c r="H286" s="455"/>
      <c r="I286" s="50"/>
      <c r="J286" s="50"/>
      <c r="K286" s="50"/>
      <c r="L286" s="838"/>
      <c r="M286"/>
      <c r="O286"/>
      <c r="W286" s="2" t="s">
        <v>4146</v>
      </c>
    </row>
    <row r="287" spans="1:45" x14ac:dyDescent="0.35">
      <c r="A287"/>
      <c r="B287" s="13" t="s">
        <v>492</v>
      </c>
      <c r="C287"/>
      <c r="D287" s="13" t="s">
        <v>121</v>
      </c>
      <c r="E287"/>
      <c r="F287" s="13"/>
      <c r="G287"/>
      <c r="H287"/>
      <c r="K287" s="45" t="s">
        <v>121</v>
      </c>
      <c r="L287" s="814" t="s">
        <v>4141</v>
      </c>
      <c r="M287" s="818" t="s">
        <v>4142</v>
      </c>
      <c r="O287" s="834">
        <f ca="1">IFERROR(INDEX({0,3,6,9},MATCH(W287,{0,250,500,750},1)),0)*S287</f>
        <v>0</v>
      </c>
      <c r="P287" t="b">
        <v>1</v>
      </c>
      <c r="Q287" t="b">
        <v>1</v>
      </c>
      <c r="R287" t="b">
        <v>0</v>
      </c>
      <c r="S287" t="b">
        <f ca="1">IF(AY19=INDEX(INDIRECT("ddSingleOrMulti"),2),TRUE,FALSE)</f>
        <v>0</v>
      </c>
      <c r="T287" t="b">
        <f ca="1">AND(LEN(W287)&gt;0,NOT(S287))</f>
        <v>0</v>
      </c>
      <c r="W287" s="476"/>
      <c r="X287" s="817"/>
      <c r="AC287" t="b">
        <f ca="1">OR(AD287:AE287)</f>
        <v>0</v>
      </c>
      <c r="AD287" t="b">
        <f ca="1">T287</f>
        <v>0</v>
      </c>
      <c r="AL287" t="str">
        <f>SUBSTITUTE(SUBSTITUTE(SUBSTITUTE("dpa"&amp;$B287&amp;$C287&amp;$D287&amp;$E287,".","_"),"(","_"),")","")</f>
        <v>dpa505_5_a</v>
      </c>
      <c r="AM287" t="str">
        <f>M287</f>
        <v>9 max</v>
      </c>
      <c r="AN287" t="str">
        <f>SUBSTITUTE(SUBSTITUTE(SUBSTITUTE("dpc"&amp;$B287&amp;$C287&amp;$D287&amp;$E287,".","_"),"(","_"),")","")</f>
        <v>dpc505_5_a</v>
      </c>
      <c r="AO287">
        <f ca="1">O287</f>
        <v>0</v>
      </c>
      <c r="AP287" t="str">
        <f>SUBSTITUTE(SUBSTITUTE(SUBSTITUTE("dch"&amp;$B287&amp;$C287&amp;$D287&amp;$E287,".","_"),"(","_"),")","")</f>
        <v>dch505_5_a</v>
      </c>
      <c r="AQ287" t="str">
        <f>IF(LEN(W287)=0,"",W287)</f>
        <v/>
      </c>
      <c r="AR287" t="str">
        <f>SUBSTITUTE(SUBSTITUTE(SUBSTITUTE("dnt"&amp;$B287&amp;$C287&amp;$D287&amp;$E287,".","_"),"(","_"),")","")</f>
        <v>dnt505_5_a</v>
      </c>
      <c r="AS287" t="str">
        <f>IF(LEN(X287)=0,"",X287)</f>
        <v/>
      </c>
    </row>
    <row r="288" spans="1:45" x14ac:dyDescent="0.35">
      <c r="A288"/>
      <c r="B288" s="13" t="s">
        <v>492</v>
      </c>
      <c r="C288"/>
      <c r="D288" s="13" t="s">
        <v>121</v>
      </c>
      <c r="E288"/>
      <c r="F288" s="13"/>
      <c r="G288"/>
      <c r="H288"/>
      <c r="K288" s="139"/>
      <c r="L288" s="815"/>
      <c r="M288" s="819"/>
      <c r="N288" s="104"/>
      <c r="O288" s="835"/>
      <c r="X288" s="817"/>
    </row>
    <row r="289" spans="1:45" x14ac:dyDescent="0.35">
      <c r="A289"/>
      <c r="B289" s="13" t="s">
        <v>492</v>
      </c>
      <c r="C289"/>
      <c r="D289" s="13" t="s">
        <v>122</v>
      </c>
      <c r="E289"/>
      <c r="F289" s="13"/>
      <c r="G289"/>
      <c r="H289"/>
      <c r="K289" s="137" t="s">
        <v>122</v>
      </c>
      <c r="L289" s="836" t="s">
        <v>4143</v>
      </c>
      <c r="M289" s="822">
        <v>3</v>
      </c>
      <c r="N289" s="120"/>
      <c r="O289" s="823">
        <f ca="1">M289*S289*W289</f>
        <v>0</v>
      </c>
      <c r="P289" t="b">
        <v>1</v>
      </c>
      <c r="Q289" t="b">
        <v>1</v>
      </c>
      <c r="R289" t="b">
        <v>0</v>
      </c>
      <c r="S289" t="b">
        <f ca="1">IF(AY19=INDEX(INDIRECT("ddSingleOrMulti"),2),TRUE,FALSE)</f>
        <v>0</v>
      </c>
      <c r="T289" t="b">
        <f ca="1">AND(W289=TRUE,NOT(S289))</f>
        <v>0</v>
      </c>
      <c r="W289" s="17"/>
      <c r="X289" s="817"/>
      <c r="AC289" t="b">
        <f ca="1">OR(AD289:AE289)</f>
        <v>0</v>
      </c>
      <c r="AD289" t="b">
        <f ca="1">T289</f>
        <v>0</v>
      </c>
      <c r="AL289" t="str">
        <f>SUBSTITUTE(SUBSTITUTE(SUBSTITUTE("dpa"&amp;$B289&amp;$C289&amp;$D289&amp;$E289,".","_"),"(","_"),")","")</f>
        <v>dpa505_5_b</v>
      </c>
      <c r="AM289">
        <f>M289</f>
        <v>3</v>
      </c>
      <c r="AN289" t="str">
        <f>SUBSTITUTE(SUBSTITUTE(SUBSTITUTE("dpc"&amp;$B289&amp;$C289&amp;$D289&amp;$E289,".","_"),"(","_"),")","")</f>
        <v>dpc505_5_b</v>
      </c>
      <c r="AO289">
        <f ca="1">O289</f>
        <v>0</v>
      </c>
      <c r="AP289" t="str">
        <f>SUBSTITUTE(SUBSTITUTE(SUBSTITUTE("dch"&amp;$B289&amp;$C289&amp;$D289&amp;$E289,".","_"),"(","_"),")","")</f>
        <v>dch505_5_b</v>
      </c>
      <c r="AQ289" t="str">
        <f>IF(LEN(W289)=0,"",W289)</f>
        <v/>
      </c>
      <c r="AR289" t="str">
        <f>SUBSTITUTE(SUBSTITUTE(SUBSTITUTE("dnt"&amp;$B289&amp;$C289&amp;$D289&amp;$E289,".","_"),"(","_"),")","")</f>
        <v>dnt505_5_b</v>
      </c>
      <c r="AS289" t="str">
        <f>IF(LEN(X289)=0,"",X289)</f>
        <v/>
      </c>
    </row>
    <row r="290" spans="1:45" x14ac:dyDescent="0.35">
      <c r="A290"/>
      <c r="B290" s="13" t="s">
        <v>492</v>
      </c>
      <c r="C290"/>
      <c r="D290" s="13" t="s">
        <v>122</v>
      </c>
      <c r="E290"/>
      <c r="F290" s="13"/>
      <c r="G290"/>
      <c r="H290"/>
      <c r="K290" s="45"/>
      <c r="L290" s="814"/>
      <c r="M290" s="818"/>
      <c r="O290" s="832"/>
      <c r="X290" s="817"/>
    </row>
    <row r="291" spans="1:45" x14ac:dyDescent="0.35">
      <c r="A291"/>
      <c r="B291" s="13" t="s">
        <v>492</v>
      </c>
      <c r="C291"/>
      <c r="D291" s="13" t="s">
        <v>122</v>
      </c>
      <c r="E291"/>
      <c r="F291" s="13"/>
      <c r="G291"/>
      <c r="H291"/>
      <c r="K291" s="139"/>
      <c r="L291" s="815"/>
      <c r="M291" s="819"/>
      <c r="N291" s="104"/>
      <c r="O291" s="824"/>
      <c r="X291" s="817"/>
    </row>
    <row r="292" spans="1:45" x14ac:dyDescent="0.35">
      <c r="A292"/>
      <c r="B292" s="13" t="s">
        <v>492</v>
      </c>
      <c r="C292"/>
      <c r="D292" s="13" t="s">
        <v>123</v>
      </c>
      <c r="E292"/>
      <c r="F292" s="13"/>
      <c r="G292"/>
      <c r="H292"/>
      <c r="K292" s="141" t="s">
        <v>123</v>
      </c>
      <c r="L292" s="177" t="s">
        <v>4144</v>
      </c>
      <c r="M292" s="278">
        <v>1</v>
      </c>
      <c r="N292" s="134"/>
      <c r="O292" s="277">
        <f ca="1">M292*S292*W292</f>
        <v>0</v>
      </c>
      <c r="P292" t="b">
        <v>1</v>
      </c>
      <c r="Q292" t="b">
        <v>1</v>
      </c>
      <c r="R292" t="b">
        <v>0</v>
      </c>
      <c r="S292" t="b">
        <f ca="1">IF(AY19=INDEX(INDIRECT("ddSingleOrMulti"),2),TRUE,FALSE)</f>
        <v>0</v>
      </c>
      <c r="T292" t="b">
        <f ca="1">AND(W292=TRUE,NOT(S292))</f>
        <v>0</v>
      </c>
      <c r="W292" s="17"/>
      <c r="X292" s="36"/>
      <c r="AC292" t="b">
        <f ca="1">OR(AD292:AE292)</f>
        <v>0</v>
      </c>
      <c r="AD292" t="b">
        <f ca="1">T292</f>
        <v>0</v>
      </c>
      <c r="AL292" t="str">
        <f>SUBSTITUTE(SUBSTITUTE(SUBSTITUTE("dpa"&amp;$B292&amp;$C292&amp;$D292&amp;$E292,".","_"),"(","_"),")","")</f>
        <v>dpa505_5_c</v>
      </c>
      <c r="AM292">
        <f>M292</f>
        <v>1</v>
      </c>
      <c r="AN292" t="str">
        <f>SUBSTITUTE(SUBSTITUTE(SUBSTITUTE("dpc"&amp;$B292&amp;$C292&amp;$D292&amp;$E292,".","_"),"(","_"),")","")</f>
        <v>dpc505_5_c</v>
      </c>
      <c r="AO292">
        <f ca="1">O292</f>
        <v>0</v>
      </c>
      <c r="AP292" t="str">
        <f>SUBSTITUTE(SUBSTITUTE(SUBSTITUTE("dch"&amp;$B292&amp;$C292&amp;$D292&amp;$E292,".","_"),"(","_"),")","")</f>
        <v>dch505_5_c</v>
      </c>
      <c r="AQ292" t="str">
        <f>IF(LEN(W292)=0,"",W292)</f>
        <v/>
      </c>
      <c r="AR292" t="str">
        <f>SUBSTITUTE(SUBSTITUTE(SUBSTITUTE("dnt"&amp;$B292&amp;$C292&amp;$D292&amp;$E292,".","_"),"(","_"),")","")</f>
        <v>dnt505_5_c</v>
      </c>
      <c r="AS292" t="str">
        <f>IF(LEN(X292)=0,"",X292)</f>
        <v/>
      </c>
    </row>
    <row r="293" spans="1:45" ht="15" thickBot="1" x14ac:dyDescent="0.4">
      <c r="A293"/>
      <c r="B293" s="13" t="s">
        <v>492</v>
      </c>
      <c r="C293"/>
      <c r="D293" s="13" t="s">
        <v>401</v>
      </c>
      <c r="E293"/>
      <c r="F293" s="13"/>
      <c r="G293"/>
      <c r="H293"/>
      <c r="K293" s="58" t="s">
        <v>401</v>
      </c>
      <c r="L293" s="486" t="s">
        <v>4145</v>
      </c>
      <c r="M293" s="270">
        <v>1</v>
      </c>
      <c r="N293" s="55"/>
      <c r="O293" s="161">
        <f ca="1">M293*S293*W293</f>
        <v>0</v>
      </c>
      <c r="P293" s="55" t="b">
        <v>1</v>
      </c>
      <c r="Q293" s="55" t="b">
        <v>1</v>
      </c>
      <c r="R293" s="55" t="b">
        <v>0</v>
      </c>
      <c r="S293" s="55" t="b">
        <f ca="1">IF(AY19=INDEX(INDIRECT("ddSingleOrMulti"),2),TRUE,FALSE)</f>
        <v>0</v>
      </c>
      <c r="T293" s="55" t="b">
        <f ca="1">AND(W293=TRUE,NOT(S293))</f>
        <v>0</v>
      </c>
      <c r="W293" s="56"/>
      <c r="X293" s="36"/>
      <c r="AC293" t="b">
        <f ca="1">OR(AD293:AE293)</f>
        <v>0</v>
      </c>
      <c r="AD293" t="b">
        <f ca="1">T293</f>
        <v>0</v>
      </c>
      <c r="AL293" t="str">
        <f>SUBSTITUTE(SUBSTITUTE(SUBSTITUTE("dpa"&amp;$B293&amp;$C293&amp;$D293&amp;$E293,".","_"),"(","_"),")","")</f>
        <v>dpa505_5_d</v>
      </c>
      <c r="AM293">
        <f>M293</f>
        <v>1</v>
      </c>
      <c r="AN293" t="str">
        <f>SUBSTITUTE(SUBSTITUTE(SUBSTITUTE("dpc"&amp;$B293&amp;$C293&amp;$D293&amp;$E293,".","_"),"(","_"),")","")</f>
        <v>dpc505_5_d</v>
      </c>
      <c r="AO293">
        <f ca="1">O293</f>
        <v>0</v>
      </c>
      <c r="AP293" t="str">
        <f>SUBSTITUTE(SUBSTITUTE(SUBSTITUTE("dch"&amp;$B293&amp;$C293&amp;$D293&amp;$E293,".","_"),"(","_"),")","")</f>
        <v>dch505_5_d</v>
      </c>
      <c r="AQ293" t="str">
        <f>IF(LEN(W293)=0,"",W293)</f>
        <v/>
      </c>
      <c r="AR293" t="str">
        <f>SUBSTITUTE(SUBSTITUTE(SUBSTITUTE("dnt"&amp;$B293&amp;$C293&amp;$D293&amp;$E293,".","_"),"(","_"),")","")</f>
        <v>dnt505_5_d</v>
      </c>
      <c r="AS293" t="str">
        <f>IF(LEN(X293)=0,"",X293)</f>
        <v/>
      </c>
    </row>
    <row r="294" spans="1:45" ht="15.75" customHeight="1" thickTop="1" x14ac:dyDescent="0.35">
      <c r="B294" s="13" t="s">
        <v>493</v>
      </c>
      <c r="C294" s="13"/>
      <c r="D294" s="13"/>
      <c r="E294" s="13"/>
      <c r="F294" s="13"/>
      <c r="G294" s="13"/>
      <c r="H294" s="455"/>
      <c r="I294" s="66" t="s">
        <v>493</v>
      </c>
      <c r="J294" s="61"/>
      <c r="K294" s="61"/>
      <c r="L294" s="837" t="s">
        <v>4147</v>
      </c>
      <c r="M294" s="830" t="s">
        <v>4149</v>
      </c>
      <c r="N294" s="59"/>
      <c r="O294" s="59"/>
      <c r="P294" s="59"/>
      <c r="Q294" s="59"/>
      <c r="R294" s="59"/>
      <c r="S294" s="59"/>
      <c r="T294" s="59"/>
      <c r="U294" s="59"/>
      <c r="V294" s="59"/>
      <c r="X294" s="840"/>
      <c r="AL294" t="str">
        <f>SUBSTITUTE(SUBSTITUTE(SUBSTITUTE("dpa"&amp;$B294&amp;$C294&amp;$D294&amp;$E294,".","_"),"(","_"),")","")</f>
        <v>dpa505_6</v>
      </c>
      <c r="AM294" t="str">
        <f>M294</f>
        <v>4 (10 max)</v>
      </c>
      <c r="AN294" t="str">
        <f>SUBSTITUTE(SUBSTITUTE(SUBSTITUTE("dpc"&amp;$B294&amp;$C294&amp;$D294&amp;$E294,".","_"),"(","_"),")","")</f>
        <v>dpc505_6</v>
      </c>
      <c r="AO294">
        <f>O294</f>
        <v>0</v>
      </c>
      <c r="AR294" t="str">
        <f>SUBSTITUTE(SUBSTITUTE(SUBSTITUTE("dnt"&amp;$B294&amp;$C294&amp;$D294&amp;$E294,".","_"),"(","_"),")","")</f>
        <v>dnt505_6</v>
      </c>
      <c r="AS294" t="str">
        <f>IF(LEN(X294)=0,"",X294)</f>
        <v/>
      </c>
    </row>
    <row r="295" spans="1:45" x14ac:dyDescent="0.35">
      <c r="B295" s="13" t="s">
        <v>493</v>
      </c>
      <c r="C295" s="13"/>
      <c r="D295" s="13"/>
      <c r="E295" s="13"/>
      <c r="F295" s="13"/>
      <c r="G295" s="13"/>
      <c r="H295" s="455"/>
      <c r="I295" s="50"/>
      <c r="J295" s="50"/>
      <c r="K295" s="50"/>
      <c r="L295" s="838"/>
      <c r="M295" s="818"/>
      <c r="O295" s="75">
        <f ca="1">IFERROR(INDEX({0,4,6,8,10},MATCH(W295,{0,0.02,0.03,0.04,0.05},1)),0)*S295</f>
        <v>0</v>
      </c>
      <c r="P295" t="b">
        <v>0</v>
      </c>
      <c r="Q295" t="b">
        <v>1</v>
      </c>
      <c r="R295" t="b">
        <v>0</v>
      </c>
      <c r="S295" t="b">
        <f ca="1">IF(AY19=INDEX(INDIRECT("ddSingleOrMulti"),2),TRUE,FALSE)</f>
        <v>0</v>
      </c>
      <c r="T295" t="b">
        <v>0</v>
      </c>
      <c r="W295" s="97"/>
      <c r="X295" s="817"/>
      <c r="AP295" t="str">
        <f>SUBSTITUTE(SUBSTITUTE(SUBSTITUTE("dch"&amp;$B295&amp;$C295&amp;$D295&amp;$E295,".","_"),"(","_"),")","")</f>
        <v>dch505_6</v>
      </c>
      <c r="AQ295" t="str">
        <f>IF(LEN(W295)=0,"",W295)</f>
        <v/>
      </c>
    </row>
    <row r="296" spans="1:45" x14ac:dyDescent="0.35">
      <c r="B296" s="13" t="s">
        <v>493</v>
      </c>
      <c r="C296" s="13"/>
      <c r="D296" s="13"/>
      <c r="E296" s="13"/>
      <c r="F296" s="13"/>
      <c r="G296" s="13"/>
      <c r="H296" s="455"/>
      <c r="I296" s="50"/>
      <c r="J296" s="50"/>
      <c r="K296" s="50"/>
      <c r="L296" s="838"/>
      <c r="M296" s="818"/>
      <c r="O296" s="75"/>
      <c r="X296" s="817"/>
    </row>
    <row r="297" spans="1:45" x14ac:dyDescent="0.35">
      <c r="B297" s="13" t="s">
        <v>493</v>
      </c>
      <c r="C297" s="13"/>
      <c r="D297" s="13"/>
      <c r="E297" s="13"/>
      <c r="F297" s="13"/>
      <c r="G297" s="13"/>
      <c r="H297" s="455"/>
      <c r="I297" s="50"/>
      <c r="J297" s="50"/>
      <c r="K297" s="50"/>
      <c r="L297" s="838"/>
      <c r="M297"/>
      <c r="X297" s="817"/>
    </row>
    <row r="298" spans="1:45" x14ac:dyDescent="0.35">
      <c r="B298" s="13" t="s">
        <v>493</v>
      </c>
      <c r="C298" s="13"/>
      <c r="D298" s="13"/>
      <c r="E298" s="13"/>
      <c r="F298" s="13"/>
      <c r="G298" s="13"/>
      <c r="H298" s="455"/>
      <c r="I298" s="50"/>
      <c r="J298" s="50"/>
      <c r="K298" s="50"/>
      <c r="L298" s="814" t="s">
        <v>4148</v>
      </c>
      <c r="M298"/>
      <c r="X298" s="817"/>
    </row>
    <row r="299" spans="1:45" x14ac:dyDescent="0.35">
      <c r="B299" s="13" t="s">
        <v>493</v>
      </c>
      <c r="C299" s="13"/>
      <c r="D299" s="13"/>
      <c r="E299" s="13"/>
      <c r="F299" s="13"/>
      <c r="G299" s="13"/>
      <c r="H299" s="455"/>
      <c r="I299" s="50"/>
      <c r="J299" s="50"/>
      <c r="K299" s="50"/>
      <c r="L299" s="814"/>
      <c r="M299"/>
      <c r="X299" s="817"/>
    </row>
    <row r="300" spans="1:45" x14ac:dyDescent="0.35">
      <c r="B300" s="13" t="s">
        <v>493</v>
      </c>
      <c r="C300" s="13"/>
      <c r="D300" s="13"/>
      <c r="E300" s="13"/>
      <c r="F300" s="13"/>
      <c r="G300" s="13"/>
      <c r="H300" s="455"/>
      <c r="I300" s="50"/>
      <c r="J300" s="50"/>
      <c r="K300" s="50"/>
      <c r="L300" s="814"/>
      <c r="M300"/>
      <c r="X300" s="817"/>
    </row>
    <row r="301" spans="1:45" x14ac:dyDescent="0.35">
      <c r="B301" s="13" t="s">
        <v>493</v>
      </c>
      <c r="C301" s="13"/>
      <c r="D301" s="13"/>
      <c r="E301" s="13"/>
      <c r="F301" s="13"/>
      <c r="G301" s="13"/>
      <c r="H301" s="455"/>
      <c r="I301" s="50"/>
      <c r="J301" s="50"/>
      <c r="K301" s="50"/>
      <c r="L301" s="814"/>
      <c r="M301"/>
      <c r="X301" s="817"/>
    </row>
    <row r="302" spans="1:45" x14ac:dyDescent="0.35">
      <c r="B302" s="13" t="s">
        <v>493</v>
      </c>
      <c r="C302" s="13"/>
      <c r="D302" s="13"/>
      <c r="E302" s="13"/>
      <c r="F302" s="13"/>
      <c r="G302" s="13"/>
      <c r="H302" s="455"/>
      <c r="I302" s="50"/>
      <c r="J302" s="50"/>
      <c r="K302" s="50"/>
      <c r="L302" s="814"/>
      <c r="M302"/>
      <c r="X302" s="817"/>
    </row>
    <row r="303" spans="1:45" x14ac:dyDescent="0.35">
      <c r="B303" s="13" t="s">
        <v>493</v>
      </c>
      <c r="C303" s="13"/>
      <c r="D303" s="13"/>
      <c r="E303" s="13"/>
      <c r="F303" s="13"/>
      <c r="G303" s="13"/>
      <c r="H303" s="455"/>
      <c r="I303" s="50"/>
      <c r="J303" s="50"/>
      <c r="K303" s="50"/>
      <c r="L303" s="814"/>
      <c r="M303"/>
      <c r="X303" s="817"/>
    </row>
    <row r="304" spans="1:45" x14ac:dyDescent="0.35">
      <c r="B304" s="13" t="s">
        <v>493</v>
      </c>
      <c r="C304" s="13"/>
      <c r="D304" s="13"/>
      <c r="E304" s="13"/>
      <c r="F304" s="13"/>
      <c r="G304" s="13"/>
      <c r="H304" s="455"/>
      <c r="I304" s="50"/>
      <c r="J304" s="50"/>
      <c r="K304" s="50"/>
      <c r="L304" s="814"/>
      <c r="M304"/>
      <c r="X304" s="817"/>
    </row>
    <row r="305" spans="1:45" ht="15" thickBot="1" x14ac:dyDescent="0.4">
      <c r="B305" s="13" t="s">
        <v>493</v>
      </c>
      <c r="C305" s="13"/>
      <c r="D305" s="13"/>
      <c r="E305" s="13"/>
      <c r="F305" s="13"/>
      <c r="G305" s="13"/>
      <c r="H305" s="455"/>
      <c r="I305" s="57"/>
      <c r="J305" s="57"/>
      <c r="K305" s="57"/>
      <c r="L305" s="839"/>
      <c r="M305"/>
      <c r="N305" s="55"/>
      <c r="O305" s="72"/>
      <c r="P305" s="55"/>
      <c r="Q305" s="55"/>
      <c r="R305" s="55"/>
      <c r="S305" s="55"/>
      <c r="T305" s="55"/>
      <c r="U305" s="55"/>
      <c r="V305" s="55"/>
      <c r="W305" s="55"/>
      <c r="X305" s="829"/>
    </row>
    <row r="306" spans="1:45" ht="15" thickTop="1" x14ac:dyDescent="0.35">
      <c r="A306"/>
      <c r="B306" s="50" t="s">
        <v>4150</v>
      </c>
      <c r="C306"/>
      <c r="D306"/>
      <c r="E306"/>
      <c r="F306"/>
      <c r="G306"/>
      <c r="H306"/>
      <c r="I306" s="312" t="s">
        <v>4150</v>
      </c>
      <c r="J306" s="312"/>
      <c r="K306" s="59"/>
      <c r="L306" s="853" t="s">
        <v>4154</v>
      </c>
      <c r="M306" s="830">
        <v>4</v>
      </c>
      <c r="N306" s="59"/>
      <c r="O306" s="831">
        <f ca="1">M306*S306*W306</f>
        <v>0</v>
      </c>
      <c r="P306" s="59" t="b">
        <v>0</v>
      </c>
      <c r="Q306" s="59" t="b">
        <v>1</v>
      </c>
      <c r="R306" s="59" t="b">
        <v>0</v>
      </c>
      <c r="S306" s="59" t="b">
        <f ca="1">IF(AY19=INDEX(INDIRECT("ddSingleOrMulti"),2),TRUE,FALSE)</f>
        <v>0</v>
      </c>
      <c r="T306" s="59" t="b">
        <f ca="1">AND(W306=TRUE,NOT(S306))</f>
        <v>0</v>
      </c>
      <c r="W306" s="17"/>
      <c r="X306" s="840"/>
      <c r="AC306" t="b">
        <f ca="1">OR(AD306:AE306)</f>
        <v>0</v>
      </c>
      <c r="AD306" t="b">
        <f ca="1">T306</f>
        <v>0</v>
      </c>
      <c r="AL306" t="str">
        <f>SUBSTITUTE(SUBSTITUTE(SUBSTITUTE("dpa"&amp;$B306&amp;$C306&amp;$D306&amp;$E306,".","_"),"(","_"),")","")</f>
        <v>dpa505_7</v>
      </c>
      <c r="AM306">
        <f>M306</f>
        <v>4</v>
      </c>
      <c r="AN306" t="str">
        <f>SUBSTITUTE(SUBSTITUTE(SUBSTITUTE("dpc"&amp;$B306&amp;$C306&amp;$D306&amp;$E306,".","_"),"(","_"),")","")</f>
        <v>dpc505_7</v>
      </c>
      <c r="AO306">
        <f ca="1">O306</f>
        <v>0</v>
      </c>
      <c r="AP306" t="str">
        <f>SUBSTITUTE(SUBSTITUTE(SUBSTITUTE("dch"&amp;$B306&amp;$C306&amp;$D306&amp;$E306,".","_"),"(","_"),")","")</f>
        <v>dch505_7</v>
      </c>
      <c r="AQ306" t="str">
        <f>IF(LEN(W306)=0,"",W306)</f>
        <v/>
      </c>
      <c r="AR306" t="str">
        <f>SUBSTITUTE(SUBSTITUTE(SUBSTITUTE("dnt"&amp;$B306&amp;$C306&amp;$D306&amp;$E306,".","_"),"(","_"),")","")</f>
        <v>dnt505_7</v>
      </c>
      <c r="AS306" t="str">
        <f>IF(LEN(X306)=0,"",X306)</f>
        <v/>
      </c>
    </row>
    <row r="307" spans="1:45" x14ac:dyDescent="0.35">
      <c r="A307"/>
      <c r="B307" s="50" t="s">
        <v>4150</v>
      </c>
      <c r="C307"/>
      <c r="D307"/>
      <c r="E307"/>
      <c r="F307"/>
      <c r="G307"/>
      <c r="H307"/>
      <c r="I307" s="32"/>
      <c r="J307" s="32"/>
      <c r="L307" s="841"/>
      <c r="M307" s="818"/>
      <c r="O307" s="832"/>
      <c r="X307" s="817"/>
    </row>
    <row r="308" spans="1:45" x14ac:dyDescent="0.35">
      <c r="A308"/>
      <c r="B308" s="50" t="s">
        <v>4150</v>
      </c>
      <c r="C308"/>
      <c r="D308"/>
      <c r="E308"/>
      <c r="F308"/>
      <c r="G308"/>
      <c r="H308"/>
      <c r="I308" s="32"/>
      <c r="J308" s="32"/>
      <c r="L308" s="841"/>
      <c r="M308" s="818"/>
      <c r="O308" s="832"/>
      <c r="X308" s="817"/>
    </row>
    <row r="309" spans="1:45" ht="15" thickBot="1" x14ac:dyDescent="0.4">
      <c r="A309"/>
      <c r="B309" s="50" t="s">
        <v>4150</v>
      </c>
      <c r="C309"/>
      <c r="D309"/>
      <c r="E309"/>
      <c r="F309"/>
      <c r="G309"/>
      <c r="H309"/>
      <c r="I309" s="475"/>
      <c r="J309" s="475"/>
      <c r="K309" s="55"/>
      <c r="L309" s="854"/>
      <c r="M309" s="827"/>
      <c r="N309" s="55"/>
      <c r="O309" s="833"/>
      <c r="P309" s="55"/>
      <c r="Q309" s="55"/>
      <c r="R309" s="55"/>
      <c r="S309" s="55"/>
      <c r="T309" s="55"/>
      <c r="W309" s="64"/>
      <c r="X309" s="829"/>
    </row>
    <row r="310" spans="1:45" ht="15.5" thickTop="1" thickBot="1" x14ac:dyDescent="0.4">
      <c r="A310"/>
      <c r="B310" s="50" t="s">
        <v>4151</v>
      </c>
      <c r="C310"/>
      <c r="D310"/>
      <c r="E310"/>
      <c r="F310"/>
      <c r="G310"/>
      <c r="H310"/>
      <c r="I310" s="475" t="s">
        <v>4151</v>
      </c>
      <c r="J310" s="475"/>
      <c r="K310" s="55"/>
      <c r="L310" s="576" t="s">
        <v>4155</v>
      </c>
      <c r="M310" s="235">
        <v>5</v>
      </c>
      <c r="N310" s="68"/>
      <c r="O310" s="310">
        <f>M310*S310*W310</f>
        <v>0</v>
      </c>
      <c r="P310" s="68" t="b">
        <v>1</v>
      </c>
      <c r="Q310" s="68" t="b">
        <v>1</v>
      </c>
      <c r="R310" s="68" t="b">
        <v>0</v>
      </c>
      <c r="S310" s="68" t="b">
        <v>1</v>
      </c>
      <c r="T310" s="68" t="b">
        <v>0</v>
      </c>
      <c r="W310" s="70"/>
      <c r="X310" s="73"/>
      <c r="AL310" t="str">
        <f>SUBSTITUTE(SUBSTITUTE(SUBSTITUTE("dpa"&amp;$B310&amp;$C310&amp;$D310&amp;$E310,".","_"),"(","_"),")","")</f>
        <v>dpa505_8</v>
      </c>
      <c r="AM310">
        <f>M310</f>
        <v>5</v>
      </c>
      <c r="AN310" t="str">
        <f>SUBSTITUTE(SUBSTITUTE(SUBSTITUTE("dpc"&amp;$B310&amp;$C310&amp;$D310&amp;$E310,".","_"),"(","_"),")","")</f>
        <v>dpc505_8</v>
      </c>
      <c r="AO310">
        <f>O310</f>
        <v>0</v>
      </c>
      <c r="AP310" t="str">
        <f>SUBSTITUTE(SUBSTITUTE(SUBSTITUTE("dch"&amp;$B310&amp;$C310&amp;$D310&amp;$E310,".","_"),"(","_"),")","")</f>
        <v>dch505_8</v>
      </c>
      <c r="AQ310" t="str">
        <f>IF(LEN(W310)=0,"",W310)</f>
        <v/>
      </c>
      <c r="AR310" t="str">
        <f>SUBSTITUTE(SUBSTITUTE(SUBSTITUTE("dnt"&amp;$B310&amp;$C310&amp;$D310&amp;$E310,".","_"),"(","_"),")","")</f>
        <v>dnt505_8</v>
      </c>
      <c r="AS310" t="str">
        <f>IF(LEN(X310)=0,"",X310)</f>
        <v/>
      </c>
    </row>
    <row r="311" spans="1:45" ht="15" thickTop="1" x14ac:dyDescent="0.35">
      <c r="A311"/>
      <c r="B311" s="50" t="s">
        <v>4152</v>
      </c>
      <c r="C311"/>
      <c r="D311"/>
      <c r="E311"/>
      <c r="F311"/>
      <c r="G311"/>
      <c r="H311"/>
      <c r="I311" s="32" t="s">
        <v>4152</v>
      </c>
      <c r="J311" s="32"/>
      <c r="L311" s="841" t="s">
        <v>4156</v>
      </c>
      <c r="M311" s="41"/>
    </row>
    <row r="312" spans="1:45" x14ac:dyDescent="0.35">
      <c r="A312"/>
      <c r="B312" s="50" t="s">
        <v>4152</v>
      </c>
      <c r="C312"/>
      <c r="D312"/>
      <c r="E312"/>
      <c r="F312"/>
      <c r="G312"/>
      <c r="H312"/>
      <c r="I312" s="32"/>
      <c r="J312" s="32"/>
      <c r="L312" s="841"/>
      <c r="M312" s="41"/>
    </row>
    <row r="313" spans="1:45" x14ac:dyDescent="0.35">
      <c r="A313"/>
      <c r="B313" s="50" t="s">
        <v>4152</v>
      </c>
      <c r="C313"/>
      <c r="D313" s="467" t="s">
        <v>121</v>
      </c>
      <c r="E313"/>
      <c r="F313" s="467"/>
      <c r="G313"/>
      <c r="H313"/>
      <c r="I313" s="32"/>
      <c r="J313" s="32" t="s">
        <v>121</v>
      </c>
      <c r="L313" s="825" t="s">
        <v>4157</v>
      </c>
      <c r="M313" s="818">
        <v>3</v>
      </c>
      <c r="O313" s="832">
        <f ca="1">M313*S313*W313</f>
        <v>0</v>
      </c>
      <c r="P313" t="b">
        <v>0</v>
      </c>
      <c r="Q313" t="b">
        <v>1</v>
      </c>
      <c r="R313" t="b">
        <v>0</v>
      </c>
      <c r="S313" t="b">
        <f ca="1">IF(AY19=INDEX(INDIRECT("ddSingleOrMulti"),2),TRUE,FALSE)</f>
        <v>0</v>
      </c>
      <c r="T313" t="b">
        <f ca="1">AND(W313=TRUE,NOT(S313))</f>
        <v>0</v>
      </c>
      <c r="W313" s="17"/>
      <c r="X313" s="817"/>
      <c r="AC313" t="b">
        <f ca="1">OR(AD313:AE313)</f>
        <v>0</v>
      </c>
      <c r="AD313" t="b">
        <f ca="1">T313</f>
        <v>0</v>
      </c>
      <c r="AL313" t="str">
        <f>SUBSTITUTE(SUBSTITUTE(SUBSTITUTE("dpa"&amp;$B313&amp;$C313&amp;$D313&amp;$E313,".","_"),"(","_"),")","")</f>
        <v>dpa505_9_a</v>
      </c>
      <c r="AM313">
        <f>M313</f>
        <v>3</v>
      </c>
      <c r="AN313" t="str">
        <f>SUBSTITUTE(SUBSTITUTE(SUBSTITUTE("dpc"&amp;$B313&amp;$C313&amp;$D313&amp;$E313,".","_"),"(","_"),")","")</f>
        <v>dpc505_9_a</v>
      </c>
      <c r="AO313">
        <f ca="1">O313</f>
        <v>0</v>
      </c>
      <c r="AP313" t="str">
        <f>SUBSTITUTE(SUBSTITUTE(SUBSTITUTE("dch"&amp;$B313&amp;$C313&amp;$D313&amp;$E313,".","_"),"(","_"),")","")</f>
        <v>dch505_9_a</v>
      </c>
      <c r="AQ313" t="str">
        <f>IF(LEN(W313)=0,"",W313)</f>
        <v/>
      </c>
      <c r="AR313" t="str">
        <f>SUBSTITUTE(SUBSTITUTE(SUBSTITUTE("dnt"&amp;$B313&amp;$C313&amp;$D313&amp;$E313,".","_"),"(","_"),")","")</f>
        <v>dnt505_9_a</v>
      </c>
      <c r="AS313" t="str">
        <f>IF(LEN(X313)=0,"",X313)</f>
        <v/>
      </c>
    </row>
    <row r="314" spans="1:45" x14ac:dyDescent="0.35">
      <c r="A314"/>
      <c r="B314" s="50" t="s">
        <v>4152</v>
      </c>
      <c r="C314"/>
      <c r="D314" s="467" t="s">
        <v>121</v>
      </c>
      <c r="E314"/>
      <c r="F314" s="467"/>
      <c r="G314"/>
      <c r="H314"/>
      <c r="I314" s="32"/>
      <c r="J314" s="32"/>
      <c r="L314" s="825"/>
      <c r="M314" s="818"/>
      <c r="O314" s="832"/>
      <c r="X314" s="817"/>
    </row>
    <row r="315" spans="1:45" x14ac:dyDescent="0.35">
      <c r="A315"/>
      <c r="B315" s="50" t="s">
        <v>4152</v>
      </c>
      <c r="C315"/>
      <c r="D315" s="467" t="s">
        <v>121</v>
      </c>
      <c r="E315"/>
      <c r="F315" s="467"/>
      <c r="G315"/>
      <c r="H315"/>
      <c r="I315" s="32"/>
      <c r="J315" s="331"/>
      <c r="K315" s="104"/>
      <c r="L315" s="842"/>
      <c r="M315" s="819"/>
      <c r="N315" s="104"/>
      <c r="O315" s="824"/>
      <c r="X315" s="817"/>
    </row>
    <row r="316" spans="1:45" x14ac:dyDescent="0.35">
      <c r="A316"/>
      <c r="B316" s="50" t="s">
        <v>4152</v>
      </c>
      <c r="C316"/>
      <c r="D316" s="467" t="s">
        <v>122</v>
      </c>
      <c r="E316"/>
      <c r="F316" s="467"/>
      <c r="G316"/>
      <c r="H316"/>
      <c r="I316" s="32"/>
      <c r="J316" s="332" t="s">
        <v>122</v>
      </c>
      <c r="K316" s="134"/>
      <c r="L316" s="478" t="s">
        <v>4158</v>
      </c>
      <c r="M316" s="278">
        <v>3</v>
      </c>
      <c r="N316" s="134"/>
      <c r="O316" s="277">
        <f ca="1">M316*S316*W316</f>
        <v>0</v>
      </c>
      <c r="P316" t="b">
        <v>0</v>
      </c>
      <c r="Q316" t="b">
        <v>1</v>
      </c>
      <c r="R316" t="b">
        <v>0</v>
      </c>
      <c r="S316" t="b">
        <f ca="1">IF(AY19=INDEX(INDIRECT("ddSingleOrMulti"),2),TRUE,FALSE)</f>
        <v>0</v>
      </c>
      <c r="T316" t="b">
        <f ca="1">AND(W316=TRUE,NOT(S316))</f>
        <v>0</v>
      </c>
      <c r="W316" s="17"/>
      <c r="X316" s="36"/>
      <c r="AC316" t="b">
        <f ca="1">OR(AD316:AE316)</f>
        <v>0</v>
      </c>
      <c r="AD316" t="b">
        <f ca="1">T316</f>
        <v>0</v>
      </c>
      <c r="AL316" t="str">
        <f>SUBSTITUTE(SUBSTITUTE(SUBSTITUTE("dpa"&amp;$B316&amp;$C316&amp;$D316&amp;$E316,".","_"),"(","_"),")","")</f>
        <v>dpa505_9_b</v>
      </c>
      <c r="AM316">
        <f>M316</f>
        <v>3</v>
      </c>
      <c r="AN316" t="str">
        <f>SUBSTITUTE(SUBSTITUTE(SUBSTITUTE("dpc"&amp;$B316&amp;$C316&amp;$D316&amp;$E316,".","_"),"(","_"),")","")</f>
        <v>dpc505_9_b</v>
      </c>
      <c r="AO316">
        <f ca="1">O316</f>
        <v>0</v>
      </c>
      <c r="AP316" t="str">
        <f>SUBSTITUTE(SUBSTITUTE(SUBSTITUTE("dch"&amp;$B316&amp;$C316&amp;$D316&amp;$E316,".","_"),"(","_"),")","")</f>
        <v>dch505_9_b</v>
      </c>
      <c r="AQ316" t="str">
        <f>IF(LEN(W316)=0,"",W316)</f>
        <v/>
      </c>
      <c r="AR316" t="str">
        <f>SUBSTITUTE(SUBSTITUTE(SUBSTITUTE("dnt"&amp;$B316&amp;$C316&amp;$D316&amp;$E316,".","_"),"(","_"),")","")</f>
        <v>dnt505_9_b</v>
      </c>
      <c r="AS316" t="str">
        <f>IF(LEN(X316)=0,"",X316)</f>
        <v/>
      </c>
    </row>
    <row r="317" spans="1:45" x14ac:dyDescent="0.35">
      <c r="A317"/>
      <c r="B317" s="50" t="s">
        <v>4152</v>
      </c>
      <c r="C317"/>
      <c r="D317" s="467" t="s">
        <v>123</v>
      </c>
      <c r="E317"/>
      <c r="F317" s="467"/>
      <c r="G317"/>
      <c r="H317"/>
      <c r="I317" s="32"/>
      <c r="J317" s="32" t="s">
        <v>123</v>
      </c>
      <c r="L317" s="825" t="s">
        <v>4159</v>
      </c>
      <c r="M317" s="818">
        <v>3</v>
      </c>
      <c r="O317" s="832">
        <f ca="1">M317*S317*W317</f>
        <v>0</v>
      </c>
      <c r="P317" t="b">
        <v>0</v>
      </c>
      <c r="Q317" t="b">
        <v>1</v>
      </c>
      <c r="R317" t="b">
        <v>0</v>
      </c>
      <c r="S317" t="b">
        <f ca="1">IF(AY19=INDEX(INDIRECT("ddSingleOrMulti"),2),TRUE,FALSE)</f>
        <v>0</v>
      </c>
      <c r="T317" t="b">
        <f ca="1">AND(W317=TRUE,NOT(S317))</f>
        <v>0</v>
      </c>
      <c r="W317" s="17"/>
      <c r="X317" s="817"/>
      <c r="AC317" t="b">
        <f ca="1">OR(AD317:AE317)</f>
        <v>0</v>
      </c>
      <c r="AD317" t="b">
        <f ca="1">T317</f>
        <v>0</v>
      </c>
      <c r="AL317" t="str">
        <f>SUBSTITUTE(SUBSTITUTE(SUBSTITUTE("dpa"&amp;$B317&amp;$C317&amp;$D317&amp;$E317,".","_"),"(","_"),")","")</f>
        <v>dpa505_9_c</v>
      </c>
      <c r="AM317">
        <f>M317</f>
        <v>3</v>
      </c>
      <c r="AN317" t="str">
        <f>SUBSTITUTE(SUBSTITUTE(SUBSTITUTE("dpc"&amp;$B317&amp;$C317&amp;$D317&amp;$E317,".","_"),"(","_"),")","")</f>
        <v>dpc505_9_c</v>
      </c>
      <c r="AO317">
        <f ca="1">O317</f>
        <v>0</v>
      </c>
      <c r="AP317" t="str">
        <f>SUBSTITUTE(SUBSTITUTE(SUBSTITUTE("dch"&amp;$B317&amp;$C317&amp;$D317&amp;$E317,".","_"),"(","_"),")","")</f>
        <v>dch505_9_c</v>
      </c>
      <c r="AQ317" t="str">
        <f>IF(LEN(W317)=0,"",W317)</f>
        <v/>
      </c>
      <c r="AR317" t="str">
        <f>SUBSTITUTE(SUBSTITUTE(SUBSTITUTE("dnt"&amp;$B317&amp;$C317&amp;$D317&amp;$E317,".","_"),"(","_"),")","")</f>
        <v>dnt505_9_c</v>
      </c>
      <c r="AS317" t="str">
        <f>IF(LEN(X317)=0,"",X317)</f>
        <v/>
      </c>
    </row>
    <row r="318" spans="1:45" ht="15" thickBot="1" x14ac:dyDescent="0.4">
      <c r="A318"/>
      <c r="B318" s="50" t="s">
        <v>4152</v>
      </c>
      <c r="C318"/>
      <c r="D318" s="467" t="s">
        <v>123</v>
      </c>
      <c r="E318"/>
      <c r="F318" s="467"/>
      <c r="G318"/>
      <c r="H318"/>
      <c r="I318" s="475"/>
      <c r="J318" s="475"/>
      <c r="K318" s="55"/>
      <c r="L318" s="826"/>
      <c r="M318" s="827"/>
      <c r="N318" s="55"/>
      <c r="O318" s="833"/>
      <c r="P318" s="55"/>
      <c r="Q318" s="55"/>
      <c r="R318" s="55"/>
      <c r="S318" s="55"/>
      <c r="T318" s="55"/>
      <c r="W318" s="168"/>
      <c r="X318" s="829"/>
    </row>
    <row r="319" spans="1:45" ht="15" thickTop="1" x14ac:dyDescent="0.35">
      <c r="A319"/>
      <c r="B319" s="50" t="s">
        <v>4153</v>
      </c>
      <c r="C319"/>
      <c r="D319" s="467"/>
      <c r="E319"/>
      <c r="F319" s="467"/>
      <c r="G319"/>
      <c r="H319"/>
      <c r="I319" s="32" t="s">
        <v>4153</v>
      </c>
      <c r="J319" s="32"/>
      <c r="L319" s="841" t="s">
        <v>4163</v>
      </c>
      <c r="M319" s="41"/>
    </row>
    <row r="320" spans="1:45" x14ac:dyDescent="0.35">
      <c r="A320"/>
      <c r="B320" s="50" t="s">
        <v>4153</v>
      </c>
      <c r="C320"/>
      <c r="D320" s="467"/>
      <c r="E320"/>
      <c r="F320" s="467"/>
      <c r="G320"/>
      <c r="H320"/>
      <c r="I320" s="32"/>
      <c r="J320" s="32"/>
      <c r="L320" s="841"/>
      <c r="M320" s="41"/>
    </row>
    <row r="321" spans="1:45" x14ac:dyDescent="0.35">
      <c r="A321"/>
      <c r="B321" s="50" t="s">
        <v>4153</v>
      </c>
      <c r="C321"/>
      <c r="D321" s="467"/>
      <c r="E321"/>
      <c r="F321" s="467"/>
      <c r="G321"/>
      <c r="H321"/>
      <c r="I321" s="32"/>
      <c r="J321" s="32"/>
      <c r="L321" s="841"/>
      <c r="M321" s="41"/>
    </row>
    <row r="322" spans="1:45" x14ac:dyDescent="0.35">
      <c r="A322"/>
      <c r="B322" s="50" t="s">
        <v>4153</v>
      </c>
      <c r="C322"/>
      <c r="D322" s="467" t="s">
        <v>121</v>
      </c>
      <c r="E322"/>
      <c r="F322" s="467"/>
      <c r="G322"/>
      <c r="H322"/>
      <c r="I322" s="32"/>
      <c r="J322" s="32" t="s">
        <v>121</v>
      </c>
      <c r="L322" s="825" t="s">
        <v>4160</v>
      </c>
      <c r="M322" s="818">
        <v>3</v>
      </c>
      <c r="O322" s="832">
        <f ca="1">M322*S322*W322</f>
        <v>0</v>
      </c>
      <c r="P322" t="b">
        <v>0</v>
      </c>
      <c r="Q322" t="b">
        <v>1</v>
      </c>
      <c r="R322" t="b">
        <v>0</v>
      </c>
      <c r="S322" t="b">
        <f ca="1">IF(AY19=INDEX(INDIRECT("ddSingleOrMulti"),2),TRUE,FALSE)</f>
        <v>0</v>
      </c>
      <c r="T322" t="b">
        <f ca="1">AND(W322=TRUE,NOT(S322))</f>
        <v>0</v>
      </c>
      <c r="W322" s="17"/>
      <c r="X322" s="817"/>
      <c r="AC322" t="b">
        <f ca="1">OR(AD322:AE322)</f>
        <v>0</v>
      </c>
      <c r="AD322" t="b">
        <f ca="1">T322</f>
        <v>0</v>
      </c>
      <c r="AL322" t="str">
        <f>SUBSTITUTE(SUBSTITUTE(SUBSTITUTE("dpa"&amp;$B322&amp;$C322&amp;$D322&amp;$E322,".","_"),"(","_"),")","")</f>
        <v>dpa505_10_a</v>
      </c>
      <c r="AM322">
        <f>M322</f>
        <v>3</v>
      </c>
      <c r="AN322" t="str">
        <f>SUBSTITUTE(SUBSTITUTE(SUBSTITUTE("dpc"&amp;$B322&amp;$C322&amp;$D322&amp;$E322,".","_"),"(","_"),")","")</f>
        <v>dpc505_10_a</v>
      </c>
      <c r="AO322">
        <f ca="1">O322</f>
        <v>0</v>
      </c>
      <c r="AP322" t="str">
        <f>SUBSTITUTE(SUBSTITUTE(SUBSTITUTE("dch"&amp;$B322&amp;$C322&amp;$D322&amp;$E322,".","_"),"(","_"),")","")</f>
        <v>dch505_10_a</v>
      </c>
      <c r="AQ322" t="str">
        <f>IF(LEN(W322)=0,"",W322)</f>
        <v/>
      </c>
      <c r="AR322" t="str">
        <f>SUBSTITUTE(SUBSTITUTE(SUBSTITUTE("dnt"&amp;$B322&amp;$C322&amp;$D322&amp;$E322,".","_"),"(","_"),")","")</f>
        <v>dnt505_10_a</v>
      </c>
      <c r="AS322" t="str">
        <f>IF(LEN(X322)=0,"",X322)</f>
        <v/>
      </c>
    </row>
    <row r="323" spans="1:45" x14ac:dyDescent="0.35">
      <c r="A323"/>
      <c r="B323" s="50" t="s">
        <v>4153</v>
      </c>
      <c r="C323"/>
      <c r="D323" s="467" t="s">
        <v>121</v>
      </c>
      <c r="E323"/>
      <c r="F323" s="467"/>
      <c r="G323"/>
      <c r="H323"/>
      <c r="I323" s="32"/>
      <c r="J323" s="331"/>
      <c r="K323" s="104"/>
      <c r="L323" s="842"/>
      <c r="M323" s="819"/>
      <c r="N323" s="104"/>
      <c r="O323" s="824"/>
      <c r="X323" s="817"/>
    </row>
    <row r="324" spans="1:45" x14ac:dyDescent="0.35">
      <c r="A324"/>
      <c r="B324" s="50" t="s">
        <v>4153</v>
      </c>
      <c r="C324"/>
      <c r="D324" s="467" t="s">
        <v>122</v>
      </c>
      <c r="E324"/>
      <c r="F324" s="467"/>
      <c r="G324"/>
      <c r="H324"/>
      <c r="I324" s="32"/>
      <c r="J324" s="330" t="s">
        <v>122</v>
      </c>
      <c r="K324" s="120"/>
      <c r="L324" s="828" t="s">
        <v>4161</v>
      </c>
      <c r="M324" s="822">
        <v>3</v>
      </c>
      <c r="N324" s="120"/>
      <c r="O324" s="823">
        <f ca="1">M324*S324*W324</f>
        <v>0</v>
      </c>
      <c r="P324" t="b">
        <v>0</v>
      </c>
      <c r="Q324" t="b">
        <v>1</v>
      </c>
      <c r="R324" t="b">
        <v>0</v>
      </c>
      <c r="S324" t="b">
        <f ca="1">IF(AY19=INDEX(INDIRECT("ddSingleOrMulti"),2),TRUE,FALSE)</f>
        <v>0</v>
      </c>
      <c r="T324" t="b">
        <f ca="1">AND(W324=TRUE,NOT(S324))</f>
        <v>0</v>
      </c>
      <c r="W324" s="17"/>
      <c r="X324" s="817"/>
      <c r="AC324" t="b">
        <f ca="1">OR(AD324:AE324)</f>
        <v>0</v>
      </c>
      <c r="AD324" t="b">
        <f ca="1">T324</f>
        <v>0</v>
      </c>
      <c r="AL324" t="str">
        <f>SUBSTITUTE(SUBSTITUTE(SUBSTITUTE("dpa"&amp;$B324&amp;$C324&amp;$D324&amp;$E324,".","_"),"(","_"),")","")</f>
        <v>dpa505_10_b</v>
      </c>
      <c r="AM324">
        <f>M324</f>
        <v>3</v>
      </c>
      <c r="AN324" t="str">
        <f>SUBSTITUTE(SUBSTITUTE(SUBSTITUTE("dpc"&amp;$B324&amp;$C324&amp;$D324&amp;$E324,".","_"),"(","_"),")","")</f>
        <v>dpc505_10_b</v>
      </c>
      <c r="AO324">
        <f ca="1">O324</f>
        <v>0</v>
      </c>
      <c r="AP324" t="str">
        <f>SUBSTITUTE(SUBSTITUTE(SUBSTITUTE("dch"&amp;$B324&amp;$C324&amp;$D324&amp;$E324,".","_"),"(","_"),")","")</f>
        <v>dch505_10_b</v>
      </c>
      <c r="AQ324" t="str">
        <f>IF(LEN(W324)=0,"",W324)</f>
        <v/>
      </c>
      <c r="AR324" t="str">
        <f>SUBSTITUTE(SUBSTITUTE(SUBSTITUTE("dnt"&amp;$B324&amp;$C324&amp;$D324&amp;$E324,".","_"),"(","_"),")","")</f>
        <v>dnt505_10_b</v>
      </c>
      <c r="AS324" t="str">
        <f>IF(LEN(X324)=0,"",X324)</f>
        <v/>
      </c>
    </row>
    <row r="325" spans="1:45" x14ac:dyDescent="0.35">
      <c r="A325"/>
      <c r="B325" s="50" t="s">
        <v>4153</v>
      </c>
      <c r="C325"/>
      <c r="D325" s="467" t="s">
        <v>122</v>
      </c>
      <c r="E325"/>
      <c r="F325" s="467"/>
      <c r="G325"/>
      <c r="H325"/>
      <c r="I325" s="32"/>
      <c r="J325" s="331"/>
      <c r="K325" s="104"/>
      <c r="L325" s="842"/>
      <c r="M325" s="819"/>
      <c r="N325" s="104"/>
      <c r="O325" s="824"/>
      <c r="X325" s="817"/>
    </row>
    <row r="326" spans="1:45" x14ac:dyDescent="0.35">
      <c r="A326"/>
      <c r="B326" s="50" t="s">
        <v>4153</v>
      </c>
      <c r="C326"/>
      <c r="D326" s="467" t="s">
        <v>123</v>
      </c>
      <c r="E326"/>
      <c r="F326" s="467"/>
      <c r="G326"/>
      <c r="H326"/>
      <c r="I326" s="32"/>
      <c r="J326" s="32" t="s">
        <v>123</v>
      </c>
      <c r="L326" s="825" t="s">
        <v>4162</v>
      </c>
      <c r="M326" s="818">
        <v>3</v>
      </c>
      <c r="O326" s="832">
        <f ca="1">M326*S326*W326</f>
        <v>0</v>
      </c>
      <c r="P326" t="b">
        <v>0</v>
      </c>
      <c r="Q326" t="b">
        <v>1</v>
      </c>
      <c r="R326" t="b">
        <v>0</v>
      </c>
      <c r="S326" t="b">
        <f ca="1">IF(AY19=INDEX(INDIRECT("ddSingleOrMulti"),2),TRUE,FALSE)</f>
        <v>0</v>
      </c>
      <c r="T326" t="b">
        <f ca="1">AND(W326=TRUE,NOT(S326))</f>
        <v>0</v>
      </c>
      <c r="W326" s="17"/>
      <c r="X326" s="817"/>
      <c r="AC326" t="b">
        <f ca="1">OR(AD326:AE326)</f>
        <v>0</v>
      </c>
      <c r="AD326" t="b">
        <f ca="1">T326</f>
        <v>0</v>
      </c>
      <c r="AL326" t="str">
        <f>SUBSTITUTE(SUBSTITUTE(SUBSTITUTE("dpa"&amp;$B326&amp;$C326&amp;$D326&amp;$E326,".","_"),"(","_"),")","")</f>
        <v>dpa505_10_c</v>
      </c>
      <c r="AM326">
        <f>M326</f>
        <v>3</v>
      </c>
      <c r="AN326" t="str">
        <f>SUBSTITUTE(SUBSTITUTE(SUBSTITUTE("dpc"&amp;$B326&amp;$C326&amp;$D326&amp;$E326,".","_"),"(","_"),")","")</f>
        <v>dpc505_10_c</v>
      </c>
      <c r="AO326">
        <f ca="1">O326</f>
        <v>0</v>
      </c>
      <c r="AP326" t="str">
        <f>SUBSTITUTE(SUBSTITUTE(SUBSTITUTE("dch"&amp;$B326&amp;$C326&amp;$D326&amp;$E326,".","_"),"(","_"),")","")</f>
        <v>dch505_10_c</v>
      </c>
      <c r="AQ326" t="str">
        <f>IF(LEN(W326)=0,"",W326)</f>
        <v/>
      </c>
      <c r="AR326" t="str">
        <f>SUBSTITUTE(SUBSTITUTE(SUBSTITUTE("dnt"&amp;$B326&amp;$C326&amp;$D326&amp;$E326,".","_"),"(","_"),")","")</f>
        <v>dnt505_10_c</v>
      </c>
      <c r="AS326" t="str">
        <f>IF(LEN(X326)=0,"",X326)</f>
        <v/>
      </c>
    </row>
    <row r="327" spans="1:45" ht="15" thickBot="1" x14ac:dyDescent="0.4">
      <c r="A327"/>
      <c r="B327" s="50" t="s">
        <v>4153</v>
      </c>
      <c r="C327"/>
      <c r="D327" s="467" t="s">
        <v>123</v>
      </c>
      <c r="E327"/>
      <c r="F327" s="467"/>
      <c r="G327"/>
      <c r="H327"/>
      <c r="I327" s="4"/>
      <c r="J327" s="4"/>
      <c r="L327" s="825"/>
      <c r="M327" s="827"/>
      <c r="N327" s="55"/>
      <c r="O327" s="833"/>
      <c r="P327" s="55"/>
      <c r="Q327" s="55"/>
      <c r="R327" s="55"/>
      <c r="S327" s="55"/>
      <c r="T327" s="55"/>
      <c r="X327" s="817"/>
    </row>
    <row r="328" spans="1:45" ht="15.5" thickTop="1" thickBot="1" x14ac:dyDescent="0.4">
      <c r="I328" s="123" t="s">
        <v>770</v>
      </c>
      <c r="J328" s="124"/>
      <c r="K328" s="124"/>
      <c r="L328" s="589"/>
      <c r="M328" s="125"/>
      <c r="N328" s="124"/>
      <c r="O328" s="126"/>
      <c r="P328" s="124"/>
      <c r="Q328" s="124"/>
      <c r="R328" s="124"/>
      <c r="S328" s="124"/>
      <c r="T328" s="124"/>
      <c r="U328" s="124"/>
      <c r="V328" s="124"/>
      <c r="W328" s="124"/>
      <c r="X328" s="169" t="s">
        <v>769</v>
      </c>
    </row>
    <row r="329" spans="1:45" ht="15" thickTop="1" x14ac:dyDescent="0.35"/>
  </sheetData>
  <sheetProtection algorithmName="SHA-512" hashValue="rJGV7TO1xUaFEnlHtX4/gjsOCLPxjsnN2q9bXFlM48AdwuyxjCQe4YbsMN0eYn2Elcbg1NURwph7q/AHwHX0lA==" saltValue="n6c84lLTl8+0WMhQysNNEA==" spinCount="100000" sheet="1" objects="1" scenarios="1" selectLockedCells="1" autoFilter="0"/>
  <mergeCells count="303">
    <mergeCell ref="X4:X5"/>
    <mergeCell ref="I1:L1"/>
    <mergeCell ref="I2:L2"/>
    <mergeCell ref="I3:L3"/>
    <mergeCell ref="X6:X7"/>
    <mergeCell ref="M20:M21"/>
    <mergeCell ref="M22:M23"/>
    <mergeCell ref="L20:L21"/>
    <mergeCell ref="L22:L23"/>
    <mergeCell ref="X14:X19"/>
    <mergeCell ref="I4:L4"/>
    <mergeCell ref="I5:L5"/>
    <mergeCell ref="R6:R7"/>
    <mergeCell ref="S6:S7"/>
    <mergeCell ref="T6:T7"/>
    <mergeCell ref="U6:U7"/>
    <mergeCell ref="Q6:Q7"/>
    <mergeCell ref="X20:X21"/>
    <mergeCell ref="X22:X23"/>
    <mergeCell ref="I6:K7"/>
    <mergeCell ref="L6:L7"/>
    <mergeCell ref="M6:M7"/>
    <mergeCell ref="L10:L12"/>
    <mergeCell ref="L26:L27"/>
    <mergeCell ref="M24:M25"/>
    <mergeCell ref="L24:L25"/>
    <mergeCell ref="X24:X25"/>
    <mergeCell ref="X28:X36"/>
    <mergeCell ref="X26:X27"/>
    <mergeCell ref="L43:L45"/>
    <mergeCell ref="L28:L31"/>
    <mergeCell ref="O43:O45"/>
    <mergeCell ref="L37:L40"/>
    <mergeCell ref="O24:O25"/>
    <mergeCell ref="O26:O27"/>
    <mergeCell ref="O28:O36"/>
    <mergeCell ref="X46:X50"/>
    <mergeCell ref="M28:M36"/>
    <mergeCell ref="O46:O47"/>
    <mergeCell ref="X43:X45"/>
    <mergeCell ref="M26:M27"/>
    <mergeCell ref="M43:M45"/>
    <mergeCell ref="M46:M47"/>
    <mergeCell ref="O158:O160"/>
    <mergeCell ref="O82:O83"/>
    <mergeCell ref="X38:X42"/>
    <mergeCell ref="O143:O145"/>
    <mergeCell ref="X141:X142"/>
    <mergeCell ref="X143:X145"/>
    <mergeCell ref="X136:X140"/>
    <mergeCell ref="O72:O73"/>
    <mergeCell ref="O74:O75"/>
    <mergeCell ref="O122:O124"/>
    <mergeCell ref="O125:O128"/>
    <mergeCell ref="O129:O132"/>
    <mergeCell ref="O80:O81"/>
    <mergeCell ref="X115:X121"/>
    <mergeCell ref="X122:X124"/>
    <mergeCell ref="X125:X128"/>
    <mergeCell ref="X129:X135"/>
    <mergeCell ref="H1:H7"/>
    <mergeCell ref="O59:O62"/>
    <mergeCell ref="M1:W5"/>
    <mergeCell ref="O161:O162"/>
    <mergeCell ref="O136:O137"/>
    <mergeCell ref="O150:O151"/>
    <mergeCell ref="O156:O157"/>
    <mergeCell ref="O92:O93"/>
    <mergeCell ref="O99:O100"/>
    <mergeCell ref="M125:M128"/>
    <mergeCell ref="L158:L160"/>
    <mergeCell ref="O20:O21"/>
    <mergeCell ref="O22:O23"/>
    <mergeCell ref="N6:N7"/>
    <mergeCell ref="P6:P7"/>
    <mergeCell ref="V6:V7"/>
    <mergeCell ref="W6:W7"/>
    <mergeCell ref="L80:L81"/>
    <mergeCell ref="L59:L62"/>
    <mergeCell ref="L64:L67"/>
    <mergeCell ref="L72:L73"/>
    <mergeCell ref="L74:L75"/>
    <mergeCell ref="O38:O40"/>
    <mergeCell ref="L46:L47"/>
    <mergeCell ref="L273:L275"/>
    <mergeCell ref="L284:L286"/>
    <mergeCell ref="L265:L267"/>
    <mergeCell ref="L287:L288"/>
    <mergeCell ref="L306:L309"/>
    <mergeCell ref="X158:X160"/>
    <mergeCell ref="X89:X101"/>
    <mergeCell ref="X102:X114"/>
    <mergeCell ref="L172:L176"/>
    <mergeCell ref="L179:L181"/>
    <mergeCell ref="L148:L149"/>
    <mergeCell ref="L150:L151"/>
    <mergeCell ref="L115:L118"/>
    <mergeCell ref="L119:L121"/>
    <mergeCell ref="L129:L132"/>
    <mergeCell ref="L136:L137"/>
    <mergeCell ref="L92:L93"/>
    <mergeCell ref="L146:L147"/>
    <mergeCell ref="L161:L162"/>
    <mergeCell ref="L94:L95"/>
    <mergeCell ref="L99:L100"/>
    <mergeCell ref="L122:L124"/>
    <mergeCell ref="L125:L128"/>
    <mergeCell ref="L102:L103"/>
    <mergeCell ref="L252:L253"/>
    <mergeCell ref="L254:L255"/>
    <mergeCell ref="L263:L264"/>
    <mergeCell ref="L227:L228"/>
    <mergeCell ref="L229:L230"/>
    <mergeCell ref="L231:L234"/>
    <mergeCell ref="L235:L237"/>
    <mergeCell ref="L268:L271"/>
    <mergeCell ref="L256:L257"/>
    <mergeCell ref="X59:X62"/>
    <mergeCell ref="X64:X68"/>
    <mergeCell ref="O172:O176"/>
    <mergeCell ref="M156:M157"/>
    <mergeCell ref="M158:M160"/>
    <mergeCell ref="M161:M162"/>
    <mergeCell ref="X172:X176"/>
    <mergeCell ref="X177:X178"/>
    <mergeCell ref="L249:L251"/>
    <mergeCell ref="M59:M62"/>
    <mergeCell ref="M72:M73"/>
    <mergeCell ref="M74:M75"/>
    <mergeCell ref="M122:M124"/>
    <mergeCell ref="M107:M113"/>
    <mergeCell ref="O107:O113"/>
    <mergeCell ref="O105:O106"/>
    <mergeCell ref="O94:O95"/>
    <mergeCell ref="M99:M100"/>
    <mergeCell ref="M92:M93"/>
    <mergeCell ref="M105:M106"/>
    <mergeCell ref="M219:M220"/>
    <mergeCell ref="M224:M225"/>
    <mergeCell ref="X221:X223"/>
    <mergeCell ref="O177:O178"/>
    <mergeCell ref="O184:O185"/>
    <mergeCell ref="O186:O187"/>
    <mergeCell ref="O201:O203"/>
    <mergeCell ref="O188:O189"/>
    <mergeCell ref="M177:M178"/>
    <mergeCell ref="M182:M183"/>
    <mergeCell ref="M184:M185"/>
    <mergeCell ref="M186:M187"/>
    <mergeCell ref="O179:O181"/>
    <mergeCell ref="O195:O196"/>
    <mergeCell ref="M204:M205"/>
    <mergeCell ref="M199:M200"/>
    <mergeCell ref="M179:M181"/>
    <mergeCell ref="X214:X220"/>
    <mergeCell ref="X209:X213"/>
    <mergeCell ref="X231:X234"/>
    <mergeCell ref="X254:X255"/>
    <mergeCell ref="X179:X181"/>
    <mergeCell ref="X188:X194"/>
    <mergeCell ref="X182:X183"/>
    <mergeCell ref="X184:X185"/>
    <mergeCell ref="X186:X187"/>
    <mergeCell ref="O231:O234"/>
    <mergeCell ref="O235:O237"/>
    <mergeCell ref="M254:M255"/>
    <mergeCell ref="M217:M218"/>
    <mergeCell ref="O217:O218"/>
    <mergeCell ref="O219:O220"/>
    <mergeCell ref="O224:O225"/>
    <mergeCell ref="O227:O228"/>
    <mergeCell ref="X227:X228"/>
    <mergeCell ref="X224:X225"/>
    <mergeCell ref="M227:M228"/>
    <mergeCell ref="O182:O183"/>
    <mergeCell ref="X276:X281"/>
    <mergeCell ref="M231:M234"/>
    <mergeCell ref="X263:X272"/>
    <mergeCell ref="X258:X261"/>
    <mergeCell ref="X273:X275"/>
    <mergeCell ref="M273:M275"/>
    <mergeCell ref="M263:M264"/>
    <mergeCell ref="M229:M230"/>
    <mergeCell ref="O263:O264"/>
    <mergeCell ref="O273:O275"/>
    <mergeCell ref="O239:O246"/>
    <mergeCell ref="O229:O230"/>
    <mergeCell ref="O254:O255"/>
    <mergeCell ref="X239:X246"/>
    <mergeCell ref="X235:X237"/>
    <mergeCell ref="X229:X230"/>
    <mergeCell ref="M256:M257"/>
    <mergeCell ref="O256:O257"/>
    <mergeCell ref="X256:X257"/>
    <mergeCell ref="M235:M237"/>
    <mergeCell ref="M239:M246"/>
    <mergeCell ref="L219:L220"/>
    <mergeCell ref="L221:L223"/>
    <mergeCell ref="L224:L225"/>
    <mergeCell ref="L199:L200"/>
    <mergeCell ref="L201:L203"/>
    <mergeCell ref="L204:L205"/>
    <mergeCell ref="L207:L208"/>
    <mergeCell ref="L214:L215"/>
    <mergeCell ref="O163:O165"/>
    <mergeCell ref="L209:L212"/>
    <mergeCell ref="L177:L178"/>
    <mergeCell ref="L192:L193"/>
    <mergeCell ref="L217:L218"/>
    <mergeCell ref="L195:L196"/>
    <mergeCell ref="L197:L198"/>
    <mergeCell ref="M197:M198"/>
    <mergeCell ref="M192:M193"/>
    <mergeCell ref="M201:M203"/>
    <mergeCell ref="L182:L183"/>
    <mergeCell ref="L184:L185"/>
    <mergeCell ref="L186:L187"/>
    <mergeCell ref="L188:L189"/>
    <mergeCell ref="M172:M176"/>
    <mergeCell ref="M209:M213"/>
    <mergeCell ref="X195:X200"/>
    <mergeCell ref="O209:O213"/>
    <mergeCell ref="X161:X162"/>
    <mergeCell ref="X166:X170"/>
    <mergeCell ref="L51:L52"/>
    <mergeCell ref="M51:M52"/>
    <mergeCell ref="O51:O52"/>
    <mergeCell ref="L53:L54"/>
    <mergeCell ref="X51:X52"/>
    <mergeCell ref="X53:X55"/>
    <mergeCell ref="X56:X57"/>
    <mergeCell ref="M53:M55"/>
    <mergeCell ref="O53:O55"/>
    <mergeCell ref="M56:M57"/>
    <mergeCell ref="O56:O57"/>
    <mergeCell ref="O84:O88"/>
    <mergeCell ref="X69:X88"/>
    <mergeCell ref="L141:L142"/>
    <mergeCell ref="M141:M142"/>
    <mergeCell ref="O141:O142"/>
    <mergeCell ref="L163:L165"/>
    <mergeCell ref="M163:M165"/>
    <mergeCell ref="L110:L111"/>
    <mergeCell ref="L70:L71"/>
    <mergeCell ref="X324:X325"/>
    <mergeCell ref="X326:X327"/>
    <mergeCell ref="L311:L312"/>
    <mergeCell ref="L313:L315"/>
    <mergeCell ref="L317:L318"/>
    <mergeCell ref="L319:L321"/>
    <mergeCell ref="L322:L323"/>
    <mergeCell ref="L324:L325"/>
    <mergeCell ref="L326:L327"/>
    <mergeCell ref="M313:M315"/>
    <mergeCell ref="O313:O315"/>
    <mergeCell ref="M317:M318"/>
    <mergeCell ref="O317:O318"/>
    <mergeCell ref="M322:M323"/>
    <mergeCell ref="O322:O323"/>
    <mergeCell ref="M324:M325"/>
    <mergeCell ref="O324:O325"/>
    <mergeCell ref="M326:M327"/>
    <mergeCell ref="O326:O327"/>
    <mergeCell ref="M70:M71"/>
    <mergeCell ref="O70:O71"/>
    <mergeCell ref="L78:L79"/>
    <mergeCell ref="M78:M79"/>
    <mergeCell ref="O78:O79"/>
    <mergeCell ref="X313:X315"/>
    <mergeCell ref="X317:X318"/>
    <mergeCell ref="X322:X323"/>
    <mergeCell ref="M306:M309"/>
    <mergeCell ref="O306:O309"/>
    <mergeCell ref="M287:M288"/>
    <mergeCell ref="O287:O288"/>
    <mergeCell ref="L289:L291"/>
    <mergeCell ref="M289:M291"/>
    <mergeCell ref="O289:O291"/>
    <mergeCell ref="X287:X288"/>
    <mergeCell ref="X289:X291"/>
    <mergeCell ref="L294:L297"/>
    <mergeCell ref="L298:L305"/>
    <mergeCell ref="M294:M296"/>
    <mergeCell ref="X294:X305"/>
    <mergeCell ref="X306:X309"/>
    <mergeCell ref="X201:X205"/>
    <mergeCell ref="X163:X165"/>
    <mergeCell ref="L156:L157"/>
    <mergeCell ref="X146:X149"/>
    <mergeCell ref="X150:X155"/>
    <mergeCell ref="X156:X157"/>
    <mergeCell ref="M80:M81"/>
    <mergeCell ref="M82:M83"/>
    <mergeCell ref="L107:L108"/>
    <mergeCell ref="L76:L77"/>
    <mergeCell ref="M76:M77"/>
    <mergeCell ref="O76:O77"/>
    <mergeCell ref="L143:L145"/>
    <mergeCell ref="M143:M145"/>
    <mergeCell ref="L82:L83"/>
    <mergeCell ref="L105:L106"/>
    <mergeCell ref="L84:L88"/>
    <mergeCell ref="M84:M88"/>
  </mergeCells>
  <conditionalFormatting sqref="I1">
    <cfRule type="expression" dxfId="5766" priority="923">
      <formula>$AG$1="Bronze"</formula>
    </cfRule>
    <cfRule type="expression" dxfId="5765" priority="922">
      <formula>$AG$1="Silver"</formula>
    </cfRule>
    <cfRule type="expression" dxfId="5764" priority="924">
      <formula>$AG$1="Emerald"</formula>
    </cfRule>
    <cfRule type="expression" dxfId="5763" priority="921">
      <formula>$AG$1="Gold"</formula>
    </cfRule>
  </conditionalFormatting>
  <conditionalFormatting sqref="W15">
    <cfRule type="expression" dxfId="5762" priority="408">
      <formula>$S$15 = FALSE</formula>
    </cfRule>
    <cfRule type="expression" dxfId="5761" priority="407">
      <formula>OR($T$15 = TRUE, AND($W$15 = TRUE, $S$15 = FALSE))</formula>
    </cfRule>
    <cfRule type="expression" dxfId="5760" priority="409">
      <formula>AND(IF($R$15,$W$15,TRUE),LEN(TRIM($W$15))&gt;0)</formula>
    </cfRule>
    <cfRule type="expression" dxfId="5759" priority="410">
      <formula>AND($R$15,$S$15)</formula>
    </cfRule>
  </conditionalFormatting>
  <conditionalFormatting sqref="W17">
    <cfRule type="expression" dxfId="5758" priority="406">
      <formula>AND($R$17,$S$17)</formula>
    </cfRule>
    <cfRule type="expression" dxfId="5757" priority="405">
      <formula>AND(IF($R$17,$W$17,TRUE),LEN(TRIM($W$17))&gt;0)</formula>
    </cfRule>
    <cfRule type="expression" dxfId="5756" priority="404">
      <formula>$S$17 = FALSE</formula>
    </cfRule>
    <cfRule type="expression" dxfId="5755" priority="403">
      <formula>OR($T$17 = TRUE, AND($W$17 = TRUE, $S$17 = FALSE))</formula>
    </cfRule>
  </conditionalFormatting>
  <conditionalFormatting sqref="W18">
    <cfRule type="expression" dxfId="5754" priority="402">
      <formula>AND($R$18,$S$18)</formula>
    </cfRule>
    <cfRule type="expression" dxfId="5753" priority="400">
      <formula>$S$18 = FALSE</formula>
    </cfRule>
    <cfRule type="expression" dxfId="5752" priority="399">
      <formula>OR($T$18 = TRUE, AND($W$18 = TRUE, $S$18 = FALSE))</formula>
    </cfRule>
    <cfRule type="expression" dxfId="5751" priority="401">
      <formula>AND(IF($R$18,$W$18,TRUE),LEN(TRIM($W$18))&gt;0)</formula>
    </cfRule>
  </conditionalFormatting>
  <conditionalFormatting sqref="W19">
    <cfRule type="expression" dxfId="5750" priority="398">
      <formula>AND($R$19,$S$19)</formula>
    </cfRule>
    <cfRule type="expression" dxfId="5749" priority="397">
      <formula>AND(IF($R$19,$W$19,TRUE),LEN(TRIM($W$19))&gt;0)</formula>
    </cfRule>
    <cfRule type="expression" dxfId="5748" priority="396">
      <formula>$S$19 = FALSE</formula>
    </cfRule>
    <cfRule type="expression" dxfId="5747" priority="395">
      <formula>OR($T$19 = TRUE, AND($W$19 = TRUE, $S$19 = FALSE))</formula>
    </cfRule>
  </conditionalFormatting>
  <conditionalFormatting sqref="W22">
    <cfRule type="expression" dxfId="5746" priority="394">
      <formula>AND($R$22,$S$22)</formula>
    </cfRule>
    <cfRule type="expression" dxfId="5745" priority="392">
      <formula>$S$22 = FALSE</formula>
    </cfRule>
    <cfRule type="expression" dxfId="5744" priority="391">
      <formula>OR($T$22 = TRUE, AND($W$22 = TRUE, $S$22 = FALSE))</formula>
    </cfRule>
    <cfRule type="expression" dxfId="5743" priority="393">
      <formula>AND(IF($R$22,$W$22,TRUE),LEN(TRIM($W$22))&gt;0)</formula>
    </cfRule>
  </conditionalFormatting>
  <conditionalFormatting sqref="W24">
    <cfRule type="expression" dxfId="5742" priority="390">
      <formula>AND($R$24,$S$24)</formula>
    </cfRule>
    <cfRule type="expression" dxfId="5741" priority="389">
      <formula>AND(IF($R$24,$W$24,TRUE),LEN(TRIM($W$24))&gt;0)</formula>
    </cfRule>
    <cfRule type="expression" dxfId="5740" priority="388">
      <formula>$S$24 = FALSE</formula>
    </cfRule>
    <cfRule type="expression" dxfId="5739" priority="387">
      <formula>OR($T$24 = TRUE, AND($W$24 = TRUE, $S$24 = FALSE))</formula>
    </cfRule>
  </conditionalFormatting>
  <conditionalFormatting sqref="W26">
    <cfRule type="expression" dxfId="5738" priority="385">
      <formula>AND(IF($R$26,$W$26,TRUE),LEN(TRIM($W$26))&gt;0)</formula>
    </cfRule>
    <cfRule type="expression" dxfId="5737" priority="384">
      <formula>$S$26 = FALSE</formula>
    </cfRule>
    <cfRule type="expression" dxfId="5736" priority="383">
      <formula>OR($T$26 = TRUE, AND($W$26 = TRUE, $S$26 = FALSE))</formula>
    </cfRule>
    <cfRule type="expression" dxfId="5735" priority="386">
      <formula>AND($R$26,$S$26)</formula>
    </cfRule>
  </conditionalFormatting>
  <conditionalFormatting sqref="W28">
    <cfRule type="expression" dxfId="5734" priority="382">
      <formula>AND($R$28,$S$28)</formula>
    </cfRule>
    <cfRule type="expression" dxfId="5733" priority="381">
      <formula>AND(IF($R$28,$W$28,TRUE),LEN(TRIM($W$28))&gt;0)</formula>
    </cfRule>
    <cfRule type="expression" dxfId="5732" priority="380">
      <formula>$S$28 = FALSE</formula>
    </cfRule>
    <cfRule type="expression" dxfId="5731" priority="379">
      <formula>OR($T$28 = TRUE, AND($W$28 = TRUE, $S$28 = FALSE))</formula>
    </cfRule>
  </conditionalFormatting>
  <conditionalFormatting sqref="W38">
    <cfRule type="expression" dxfId="5730" priority="98">
      <formula>AND($R$38,$S$38)</formula>
    </cfRule>
    <cfRule type="expression" dxfId="5729" priority="97">
      <formula>AND($W$38&lt;&gt;"Not Met",LEN(TRIM($W$38))&gt;0)</formula>
    </cfRule>
    <cfRule type="expression" dxfId="5728" priority="95">
      <formula>OR($T$38 = TRUE, AND(LEN(TRIM($W$38))&gt;0, $S$38 = FALSE))</formula>
    </cfRule>
    <cfRule type="expression" dxfId="5727" priority="96">
      <formula>$S$38 = FALSE</formula>
    </cfRule>
  </conditionalFormatting>
  <conditionalFormatting sqref="W43">
    <cfRule type="expression" dxfId="5726" priority="375">
      <formula>OR($T$43 = TRUE, AND($W$43 = TRUE, $S$43 = FALSE))</formula>
    </cfRule>
    <cfRule type="expression" dxfId="5725" priority="376">
      <formula>$S$43 = FALSE</formula>
    </cfRule>
    <cfRule type="expression" dxfId="5724" priority="377">
      <formula>AND(IF($R$43,$W$43,TRUE),LEN(TRIM($W$43))&gt;0)</formula>
    </cfRule>
    <cfRule type="expression" dxfId="5723" priority="378">
      <formula>AND($R$43,$S$43)</formula>
    </cfRule>
  </conditionalFormatting>
  <conditionalFormatting sqref="W46">
    <cfRule type="expression" dxfId="5722" priority="780">
      <formula>AND($R$46,$S$46)</formula>
    </cfRule>
    <cfRule type="expression" dxfId="5721" priority="779">
      <formula>AND(IF($R$46,$W$46,TRUE),LEN(TRIM($W$46))&gt;0)</formula>
    </cfRule>
    <cfRule type="expression" dxfId="5720" priority="778">
      <formula>$S$46 = FALSE</formula>
    </cfRule>
    <cfRule type="expression" dxfId="5719" priority="777">
      <formula>OR($T$46 = TRUE, AND(LEN(TRIM($W$46))&gt;0, $S$46 = FALSE))</formula>
    </cfRule>
  </conditionalFormatting>
  <conditionalFormatting sqref="W51">
    <cfRule type="expression" dxfId="5718" priority="93">
      <formula>AND(IF($R$51,$W$51,TRUE),LEN(TRIM($W$51))&gt;0)</formula>
    </cfRule>
    <cfRule type="expression" dxfId="5717" priority="91">
      <formula>OR($T$51 = TRUE, AND($W$51 = TRUE, $S$51 = FALSE))</formula>
    </cfRule>
    <cfRule type="expression" dxfId="5716" priority="94">
      <formula>AND($R$51,$S$51)</formula>
    </cfRule>
    <cfRule type="expression" dxfId="5715" priority="92">
      <formula>$S$51 = FALSE</formula>
    </cfRule>
  </conditionalFormatting>
  <conditionalFormatting sqref="W53">
    <cfRule type="expression" dxfId="5714" priority="88">
      <formula>AND($R$53,$S$53)</formula>
    </cfRule>
    <cfRule type="expression" dxfId="5713" priority="87">
      <formula>AND(IF($R$53,$W$53,TRUE),LEN(TRIM($W$53))&gt;0)</formula>
    </cfRule>
    <cfRule type="expression" dxfId="5712" priority="86">
      <formula>$S$53 = FALSE</formula>
    </cfRule>
    <cfRule type="expression" dxfId="5711" priority="85">
      <formula>OR($T$53 = TRUE, AND($W$53 = TRUE, $S$53 = FALSE))</formula>
    </cfRule>
  </conditionalFormatting>
  <conditionalFormatting sqref="W56">
    <cfRule type="expression" dxfId="5710" priority="83">
      <formula>AND(IF($R$56,$W$56,TRUE),LEN(TRIM($W$56))&gt;0)</formula>
    </cfRule>
    <cfRule type="expression" dxfId="5709" priority="81">
      <formula>OR($T$56 = TRUE, AND($W$56 = TRUE, $S$56 = FALSE))</formula>
    </cfRule>
    <cfRule type="expression" dxfId="5708" priority="82">
      <formula>$S$56 = FALSE</formula>
    </cfRule>
    <cfRule type="expression" dxfId="5707" priority="84">
      <formula>AND($R$56,$S$56)</formula>
    </cfRule>
  </conditionalFormatting>
  <conditionalFormatting sqref="W59">
    <cfRule type="expression" dxfId="5706" priority="374">
      <formula>AND($R$59,$S$59)</formula>
    </cfRule>
    <cfRule type="expression" dxfId="5705" priority="373">
      <formula>AND(IF($R$59,$W$59,TRUE),LEN(TRIM($W$59))&gt;0)</formula>
    </cfRule>
    <cfRule type="expression" dxfId="5704" priority="372">
      <formula>$S$59 = FALSE</formula>
    </cfRule>
    <cfRule type="expression" dxfId="5703" priority="371">
      <formula>OR($T$59 = TRUE, AND($W$59 = TRUE, $S$59 = FALSE))</formula>
    </cfRule>
  </conditionalFormatting>
  <conditionalFormatting sqref="W70">
    <cfRule type="expression" dxfId="5702" priority="370">
      <formula>AND($R$70,$S$70)</formula>
    </cfRule>
    <cfRule type="expression" dxfId="5701" priority="369">
      <formula>AND(IF($R$70,$W$70,TRUE),LEN(TRIM($W$70))&gt;0)</formula>
    </cfRule>
    <cfRule type="expression" dxfId="5700" priority="368">
      <formula>$S$70 = FALSE</formula>
    </cfRule>
    <cfRule type="expression" dxfId="5699" priority="367">
      <formula>OR($T$70 = TRUE, AND($W$70 = TRUE, $S$70 = FALSE))</formula>
    </cfRule>
  </conditionalFormatting>
  <conditionalFormatting sqref="W72">
    <cfRule type="expression" dxfId="5698" priority="366">
      <formula>AND($R$72,$S$72)</formula>
    </cfRule>
    <cfRule type="expression" dxfId="5697" priority="365">
      <formula>AND(IF($R$72,$W$72,TRUE),LEN(TRIM($W$72))&gt;0)</formula>
    </cfRule>
    <cfRule type="expression" dxfId="5696" priority="364">
      <formula>$S$72 = FALSE</formula>
    </cfRule>
    <cfRule type="expression" dxfId="5695" priority="363">
      <formula>OR($T$72 = TRUE, AND($W$72 = TRUE, $S$72 = FALSE))</formula>
    </cfRule>
  </conditionalFormatting>
  <conditionalFormatting sqref="W74">
    <cfRule type="expression" dxfId="5694" priority="359">
      <formula>OR($T$74 = TRUE, AND($W$74 = TRUE, $S$74 = FALSE))</formula>
    </cfRule>
    <cfRule type="expression" dxfId="5693" priority="360">
      <formula>$S$74 = FALSE</formula>
    </cfRule>
    <cfRule type="expression" dxfId="5692" priority="361">
      <formula>AND(IF($R$74,$W$74,TRUE),LEN(TRIM($W$74))&gt;0)</formula>
    </cfRule>
    <cfRule type="expression" dxfId="5691" priority="362">
      <formula>AND($R$74,$S$74)</formula>
    </cfRule>
  </conditionalFormatting>
  <conditionalFormatting sqref="W76">
    <cfRule type="expression" dxfId="5690" priority="358">
      <formula>AND($R$76,$S$76)</formula>
    </cfRule>
    <cfRule type="expression" dxfId="5689" priority="356">
      <formula>$S$76 = FALSE</formula>
    </cfRule>
    <cfRule type="expression" dxfId="5688" priority="357">
      <formula>AND(IF($R$76,$W$76,TRUE),LEN(TRIM($W$76))&gt;0)</formula>
    </cfRule>
    <cfRule type="expression" dxfId="5687" priority="355">
      <formula>OR($T$76 = TRUE, AND($W$76 = TRUE, $S$76 = FALSE))</formula>
    </cfRule>
  </conditionalFormatting>
  <conditionalFormatting sqref="W78">
    <cfRule type="expression" dxfId="5686" priority="354">
      <formula>AND($R$78,$S$78)</formula>
    </cfRule>
    <cfRule type="expression" dxfId="5685" priority="353">
      <formula>AND(IF($R$78,$W$78,TRUE),LEN(TRIM($W$78))&gt;0)</formula>
    </cfRule>
    <cfRule type="expression" dxfId="5684" priority="352">
      <formula>$S$78 = FALSE</formula>
    </cfRule>
    <cfRule type="expression" dxfId="5683" priority="351">
      <formula>OR($T$78 = TRUE, AND($W$78 = TRUE, $S$78 = FALSE))</formula>
    </cfRule>
  </conditionalFormatting>
  <conditionalFormatting sqref="W80">
    <cfRule type="expression" dxfId="5682" priority="347">
      <formula>OR($T$80 = TRUE, AND($W$80 = TRUE, $S$80 = FALSE))</formula>
    </cfRule>
    <cfRule type="expression" dxfId="5681" priority="350">
      <formula>AND($R$80,$S$80)</formula>
    </cfRule>
    <cfRule type="expression" dxfId="5680" priority="348">
      <formula>$S$80 = FALSE</formula>
    </cfRule>
    <cfRule type="expression" dxfId="5679" priority="349">
      <formula>AND(IF($R$80,$W$80,TRUE),LEN(TRIM($W$80))&gt;0)</formula>
    </cfRule>
  </conditionalFormatting>
  <conditionalFormatting sqref="W82">
    <cfRule type="expression" dxfId="5678" priority="343">
      <formula>OR($T$82 = TRUE, AND($W$82 = TRUE, $S$82 = FALSE))</formula>
    </cfRule>
    <cfRule type="expression" dxfId="5677" priority="346">
      <formula>AND($R$82,$S$82)</formula>
    </cfRule>
    <cfRule type="expression" dxfId="5676" priority="345">
      <formula>AND(IF($R$82,$W$82,TRUE),LEN(TRIM($W$82))&gt;0)</formula>
    </cfRule>
    <cfRule type="expression" dxfId="5675" priority="344">
      <formula>$S$82 = FALSE</formula>
    </cfRule>
  </conditionalFormatting>
  <conditionalFormatting sqref="W84">
    <cfRule type="expression" dxfId="5674" priority="77">
      <formula>OR($T$84 = TRUE, AND($W$84 = TRUE, $S$84 = FALSE))</formula>
    </cfRule>
    <cfRule type="expression" dxfId="5673" priority="80">
      <formula>AND($R$84,$S$84)</formula>
    </cfRule>
    <cfRule type="expression" dxfId="5672" priority="79">
      <formula>AND(IF($R$84,$W$84,TRUE),LEN(TRIM($W$84))&gt;0)</formula>
    </cfRule>
    <cfRule type="expression" dxfId="5671" priority="78">
      <formula>$S$84 = FALSE</formula>
    </cfRule>
  </conditionalFormatting>
  <conditionalFormatting sqref="W90">
    <cfRule type="notContainsBlanks" dxfId="5670" priority="926">
      <formula>LEN(TRIM(W90))&gt;0</formula>
    </cfRule>
  </conditionalFormatting>
  <conditionalFormatting sqref="W91">
    <cfRule type="expression" dxfId="5669" priority="339">
      <formula>OR($T$91 = TRUE, AND($W$91 = TRUE, $S$91 = FALSE))</formula>
    </cfRule>
    <cfRule type="expression" dxfId="5668" priority="340">
      <formula>$S$91 = FALSE</formula>
    </cfRule>
    <cfRule type="expression" dxfId="5667" priority="341">
      <formula>AND(IF($R$91,$W$91,TRUE),LEN(TRIM($W$91))&gt;0)</formula>
    </cfRule>
    <cfRule type="expression" dxfId="5666" priority="342">
      <formula>AND($R$91,$S$91)</formula>
    </cfRule>
  </conditionalFormatting>
  <conditionalFormatting sqref="W92">
    <cfRule type="expression" dxfId="5665" priority="338">
      <formula>AND($R$92,$S$92)</formula>
    </cfRule>
    <cfRule type="expression" dxfId="5664" priority="335">
      <formula>OR($T$92 = TRUE, AND($W$92 = TRUE, $S$92 = FALSE))</formula>
    </cfRule>
    <cfRule type="expression" dxfId="5663" priority="336">
      <formula>$S$92 = FALSE</formula>
    </cfRule>
    <cfRule type="expression" dxfId="5662" priority="337">
      <formula>AND(IF($R$92,$W$92,TRUE),LEN(TRIM($W$92))&gt;0)</formula>
    </cfRule>
  </conditionalFormatting>
  <conditionalFormatting sqref="W94">
    <cfRule type="expression" dxfId="5661" priority="327">
      <formula>OR($T$94 = TRUE, AND(LEN(TRIM($W$94))&gt;0, $S$94 = FALSE))</formula>
    </cfRule>
    <cfRule type="expression" dxfId="5660" priority="330">
      <formula>AND($R$94,$S$94)</formula>
    </cfRule>
    <cfRule type="expression" dxfId="5659" priority="329">
      <formula>AND($W$94&lt;&gt;"Not Met",LEN(TRIM($W$94))&gt;0)</formula>
    </cfRule>
    <cfRule type="expression" dxfId="5658" priority="328">
      <formula>$S$94 = FALSE</formula>
    </cfRule>
  </conditionalFormatting>
  <conditionalFormatting sqref="W99">
    <cfRule type="expression" dxfId="5657" priority="326">
      <formula>AND($R$99,$S$99)</formula>
    </cfRule>
    <cfRule type="expression" dxfId="5656" priority="325">
      <formula>AND(IF($R$99,$W$99,TRUE),LEN(TRIM($W$99))&gt;0)</formula>
    </cfRule>
    <cfRule type="expression" dxfId="5655" priority="324">
      <formula>$S$99 = FALSE</formula>
    </cfRule>
    <cfRule type="expression" dxfId="5654" priority="323">
      <formula>OR($T$99 = TRUE, AND($W$99 = TRUE, $S$99 = FALSE))</formula>
    </cfRule>
  </conditionalFormatting>
  <conditionalFormatting sqref="W101">
    <cfRule type="expression" dxfId="5653" priority="320">
      <formula>$S$101 = FALSE</formula>
    </cfRule>
    <cfRule type="expression" dxfId="5652" priority="322">
      <formula>AND($R$101,$S$101)</formula>
    </cfRule>
    <cfRule type="expression" dxfId="5651" priority="321">
      <formula>AND(IF($R$101,$W$101,TRUE),LEN(TRIM($W$101))&gt;0)</formula>
    </cfRule>
    <cfRule type="expression" dxfId="5650" priority="319">
      <formula>OR($T$101 = TRUE, AND($W$101 = TRUE, $S$101 = FALSE))</formula>
    </cfRule>
  </conditionalFormatting>
  <conditionalFormatting sqref="W105">
    <cfRule type="expression" dxfId="5649" priority="318">
      <formula>AND($R$105,$S$105)</formula>
    </cfRule>
    <cfRule type="expression" dxfId="5648" priority="317">
      <formula>AND(IF($R$105,$W$105,TRUE),LEN(TRIM($W$105))&gt;0)</formula>
    </cfRule>
    <cfRule type="expression" dxfId="5647" priority="316">
      <formula>$S$105 = FALSE</formula>
    </cfRule>
    <cfRule type="expression" dxfId="5646" priority="315">
      <formula>OR($T$105 = TRUE, AND($W$105 = TRUE, $S$105 = FALSE))</formula>
    </cfRule>
  </conditionalFormatting>
  <conditionalFormatting sqref="W109">
    <cfRule type="expression" dxfId="5645" priority="311">
      <formula>OR($T$109 = TRUE, AND($W$109 = TRUE, $S$109 = FALSE))</formula>
    </cfRule>
    <cfRule type="expression" dxfId="5644" priority="314">
      <formula>AND($R$109,$S$109)</formula>
    </cfRule>
    <cfRule type="expression" dxfId="5643" priority="313">
      <formula>AND(IF($R$109,$W$109,TRUE),LEN(TRIM($W$109))&gt;0)</formula>
    </cfRule>
    <cfRule type="expression" dxfId="5642" priority="312">
      <formula>$S$109 = FALSE</formula>
    </cfRule>
  </conditionalFormatting>
  <conditionalFormatting sqref="W110">
    <cfRule type="expression" dxfId="5641" priority="310">
      <formula>AND($R$110,$S$110)</formula>
    </cfRule>
    <cfRule type="expression" dxfId="5640" priority="309">
      <formula>AND(IF($R$110,$W$110,TRUE),LEN(TRIM($W$110))&gt;0)</formula>
    </cfRule>
    <cfRule type="expression" dxfId="5639" priority="308">
      <formula>$S$110 = FALSE</formula>
    </cfRule>
    <cfRule type="expression" dxfId="5638" priority="307">
      <formula>OR($T$110 = TRUE, AND($W$110 = TRUE, $S$110 = FALSE))</formula>
    </cfRule>
  </conditionalFormatting>
  <conditionalFormatting sqref="W112">
    <cfRule type="expression" dxfId="5637" priority="306">
      <formula>AND($R$112,$S$112)</formula>
    </cfRule>
    <cfRule type="expression" dxfId="5636" priority="303">
      <formula>OR($T$112 = TRUE, AND($W$112 = TRUE, $S$112 = FALSE))</formula>
    </cfRule>
    <cfRule type="expression" dxfId="5635" priority="304">
      <formula>$S$112 = FALSE</formula>
    </cfRule>
    <cfRule type="expression" dxfId="5634" priority="305">
      <formula>AND(IF($R$112,$W$112,TRUE),LEN(TRIM($W$112))&gt;0)</formula>
    </cfRule>
  </conditionalFormatting>
  <conditionalFormatting sqref="W113">
    <cfRule type="expression" dxfId="5633" priority="299">
      <formula>OR($T$113 = TRUE, AND($W$113 = TRUE, $S$113 = FALSE))</formula>
    </cfRule>
    <cfRule type="expression" dxfId="5632" priority="302">
      <formula>AND($R$113,$S$113)</formula>
    </cfRule>
    <cfRule type="expression" dxfId="5631" priority="301">
      <formula>AND(IF($R$113,$W$113,TRUE),LEN(TRIM($W$113))&gt;0)</formula>
    </cfRule>
    <cfRule type="expression" dxfId="5630" priority="300">
      <formula>$S$113 = FALSE</formula>
    </cfRule>
  </conditionalFormatting>
  <conditionalFormatting sqref="W114">
    <cfRule type="expression" dxfId="5629" priority="297">
      <formula>AND(IF($R$114,$W$114,TRUE),LEN(TRIM($W$114))&gt;0)</formula>
    </cfRule>
    <cfRule type="expression" dxfId="5628" priority="298">
      <formula>AND($R$114,$S$114)</formula>
    </cfRule>
    <cfRule type="expression" dxfId="5627" priority="296">
      <formula>$S$114 = FALSE</formula>
    </cfRule>
    <cfRule type="expression" dxfId="5626" priority="295">
      <formula>OR($T$114 = TRUE, AND($W$114 = TRUE, $S$114 = FALSE))</formula>
    </cfRule>
  </conditionalFormatting>
  <conditionalFormatting sqref="W122">
    <cfRule type="expression" dxfId="5625" priority="294">
      <formula>AND($R$122,$S$122)</formula>
    </cfRule>
    <cfRule type="expression" dxfId="5624" priority="293">
      <formula>AND(IF($R$122,$W$122,TRUE),LEN(TRIM($W$122))&gt;0)</formula>
    </cfRule>
    <cfRule type="expression" dxfId="5623" priority="292">
      <formula>$S$122 = FALSE</formula>
    </cfRule>
    <cfRule type="expression" dxfId="5622" priority="291">
      <formula>OR($T$122 = TRUE, AND($W$122 = TRUE, $S$122 = FALSE))</formula>
    </cfRule>
  </conditionalFormatting>
  <conditionalFormatting sqref="W125">
    <cfRule type="expression" dxfId="5621" priority="287">
      <formula>OR($T$125 = TRUE, AND($W$125 = TRUE, $S$125 = FALSE))</formula>
    </cfRule>
    <cfRule type="expression" dxfId="5620" priority="290">
      <formula>AND($R$125,$S$125)</formula>
    </cfRule>
    <cfRule type="expression" dxfId="5619" priority="289">
      <formula>AND(IF($R$125,$W$125,TRUE),LEN(TRIM($W$125))&gt;0)</formula>
    </cfRule>
    <cfRule type="expression" dxfId="5618" priority="288">
      <formula>$S$125 = FALSE</formula>
    </cfRule>
  </conditionalFormatting>
  <conditionalFormatting sqref="W129">
    <cfRule type="expression" dxfId="5617" priority="105">
      <formula>AND($W$129&lt;&gt;"Not Met",LEN(TRIM($W$129))&gt;0)</formula>
    </cfRule>
    <cfRule type="expression" dxfId="5616" priority="104">
      <formula>$S$129 = FALSE</formula>
    </cfRule>
    <cfRule type="expression" dxfId="5615" priority="106">
      <formula>AND($R$129,$S$129)</formula>
    </cfRule>
    <cfRule type="expression" dxfId="5614" priority="103">
      <formula>OR($T$129 = TRUE, AND(LEN(TRIM($W$129))&gt;0, $S$129 = FALSE))</formula>
    </cfRule>
  </conditionalFormatting>
  <conditionalFormatting sqref="W136">
    <cfRule type="expression" dxfId="5613" priority="101">
      <formula>AND($W$136&lt;&gt;"Not Met",LEN(TRIM($W$136))&gt;0)</formula>
    </cfRule>
    <cfRule type="expression" dxfId="5612" priority="102">
      <formula>AND($R$136,$S$136)</formula>
    </cfRule>
    <cfRule type="expression" dxfId="5611" priority="100">
      <formula>$S$136 = FALSE</formula>
    </cfRule>
    <cfRule type="expression" dxfId="5610" priority="99">
      <formula>OR($T$136 = TRUE, AND(LEN(TRIM($W$136))&gt;0, $S$136 = FALSE))</formula>
    </cfRule>
  </conditionalFormatting>
  <conditionalFormatting sqref="W141">
    <cfRule type="expression" dxfId="5609" priority="73">
      <formula>OR($T$141 = TRUE, AND($W$141 = TRUE, $S$141 = FALSE))</formula>
    </cfRule>
    <cfRule type="expression" dxfId="5608" priority="74">
      <formula>$S$141 = FALSE</formula>
    </cfRule>
    <cfRule type="expression" dxfId="5607" priority="76">
      <formula>AND($R$141,$S$141)</formula>
    </cfRule>
    <cfRule type="expression" dxfId="5606" priority="75">
      <formula>AND(IF($R$141,$W$141,TRUE),LEN(TRIM($W$141))&gt;0)</formula>
    </cfRule>
  </conditionalFormatting>
  <conditionalFormatting sqref="W143">
    <cfRule type="expression" dxfId="5605" priority="69">
      <formula>OR($T$143 = TRUE, AND($W$143 = TRUE, $S$143 = FALSE))</formula>
    </cfRule>
    <cfRule type="expression" dxfId="5604" priority="70">
      <formula>$S$143 = FALSE</formula>
    </cfRule>
    <cfRule type="expression" dxfId="5603" priority="72">
      <formula>AND($R$143,$S$143)</formula>
    </cfRule>
    <cfRule type="expression" dxfId="5602" priority="71">
      <formula>AND(IF($R$143,$W$143,TRUE),LEN(TRIM($W$143))&gt;0)</formula>
    </cfRule>
  </conditionalFormatting>
  <conditionalFormatting sqref="W148">
    <cfRule type="expression" dxfId="5601" priority="485">
      <formula>OR($T$148 = TRUE, AND(LEN(TRIM($W$148))&gt;0, $S$148 = FALSE))</formula>
    </cfRule>
    <cfRule type="expression" dxfId="5600" priority="486">
      <formula>$S$148 = FALSE</formula>
    </cfRule>
    <cfRule type="expression" dxfId="5599" priority="487">
      <formula>AND(IF($R$148,$W$148,TRUE),LEN(TRIM($W$148))&gt;0)</formula>
    </cfRule>
    <cfRule type="expression" dxfId="5598" priority="488">
      <formula>AND($R$148,$S$148)</formula>
    </cfRule>
  </conditionalFormatting>
  <conditionalFormatting sqref="W150">
    <cfRule type="expression" dxfId="5597" priority="491">
      <formula>AND(IF($R$150,$W$150,TRUE),LEN(TRIM($W$150))&gt;0)</formula>
    </cfRule>
    <cfRule type="expression" dxfId="5596" priority="492">
      <formula>AND($R$150,$S$150)</formula>
    </cfRule>
    <cfRule type="expression" dxfId="5595" priority="489">
      <formula>OR($T$150 = TRUE, AND(LEN(TRIM($W$150))&gt;0, $S$150 = FALSE))</formula>
    </cfRule>
    <cfRule type="expression" dxfId="5594" priority="490">
      <formula>$S$150 = FALSE</formula>
    </cfRule>
  </conditionalFormatting>
  <conditionalFormatting sqref="W156">
    <cfRule type="expression" dxfId="5593" priority="275">
      <formula>OR($T$156 = TRUE, AND($W$156 = TRUE, $S$156 = FALSE))</formula>
    </cfRule>
    <cfRule type="expression" dxfId="5592" priority="278">
      <formula>AND($R$156,$S$156)</formula>
    </cfRule>
    <cfRule type="expression" dxfId="5591" priority="277">
      <formula>AND(IF($R$156,$W$156,TRUE),LEN(TRIM($W$156))&gt;0)</formula>
    </cfRule>
    <cfRule type="expression" dxfId="5590" priority="276">
      <formula>$S$156 = FALSE</formula>
    </cfRule>
  </conditionalFormatting>
  <conditionalFormatting sqref="W158">
    <cfRule type="expression" dxfId="5589" priority="273">
      <formula>AND(IF($R$158,$W$158,TRUE),LEN(TRIM($W$158))&gt;0)</formula>
    </cfRule>
    <cfRule type="expression" dxfId="5588" priority="272">
      <formula>$S$158 = FALSE</formula>
    </cfRule>
    <cfRule type="expression" dxfId="5587" priority="271">
      <formula>OR($T$158 = TRUE, AND($W$158 = TRUE, $S$158 = FALSE))</formula>
    </cfRule>
    <cfRule type="expression" dxfId="5586" priority="274">
      <formula>AND($R$158,$S$158)</formula>
    </cfRule>
  </conditionalFormatting>
  <conditionalFormatting sqref="W161">
    <cfRule type="expression" dxfId="5585" priority="267">
      <formula>OR($T$161 = TRUE, AND($W$161 = TRUE, $S$161 = FALSE))</formula>
    </cfRule>
    <cfRule type="expression" dxfId="5584" priority="270">
      <formula>AND($R$161,$S$161)</formula>
    </cfRule>
    <cfRule type="expression" dxfId="5583" priority="269">
      <formula>AND(IF($R$161,$W$161,TRUE),LEN(TRIM($W$161))&gt;0)</formula>
    </cfRule>
    <cfRule type="expression" dxfId="5582" priority="268">
      <formula>$S$161 = FALSE</formula>
    </cfRule>
  </conditionalFormatting>
  <conditionalFormatting sqref="W163">
    <cfRule type="expression" dxfId="5581" priority="66">
      <formula>$S$163 = FALSE</formula>
    </cfRule>
    <cfRule type="expression" dxfId="5580" priority="65">
      <formula>OR($T$163 = TRUE, AND($W$163 = TRUE, $S$163 = FALSE))</formula>
    </cfRule>
    <cfRule type="expression" dxfId="5579" priority="67">
      <formula>AND(IF($R$163,$W$163,TRUE),LEN(TRIM($W$163))&gt;0)</formula>
    </cfRule>
    <cfRule type="expression" dxfId="5578" priority="68">
      <formula>AND($R$163,$S$163)</formula>
    </cfRule>
  </conditionalFormatting>
  <conditionalFormatting sqref="W166">
    <cfRule type="expression" dxfId="5577" priority="496">
      <formula>AND($R$166,$S$166)</formula>
    </cfRule>
    <cfRule type="expression" dxfId="5576" priority="495">
      <formula>AND(IF($R$166,$W$166,TRUE),LEN(TRIM($W$166))&gt;0)</formula>
    </cfRule>
    <cfRule type="expression" dxfId="5575" priority="494">
      <formula>$S$166 = FALSE</formula>
    </cfRule>
    <cfRule type="expression" dxfId="5574" priority="493">
      <formula>OR($T$166 = TRUE, AND(LEN(TRIM($W$166))&gt;0, $S$166 = FALSE))</formula>
    </cfRule>
  </conditionalFormatting>
  <conditionalFormatting sqref="W171">
    <cfRule type="expression" dxfId="5573" priority="263">
      <formula>OR($T$171 = TRUE, AND($W$171 = TRUE, $S$171 = FALSE))</formula>
    </cfRule>
    <cfRule type="expression" dxfId="5572" priority="265">
      <formula>AND(IF($R$171,$W$171,TRUE),LEN(TRIM($W$171))&gt;0)</formula>
    </cfRule>
    <cfRule type="expression" dxfId="5571" priority="266">
      <formula>AND($R$171,$S$171)</formula>
    </cfRule>
    <cfRule type="expression" dxfId="5570" priority="264">
      <formula>$S$171 = FALSE</formula>
    </cfRule>
  </conditionalFormatting>
  <conditionalFormatting sqref="W172">
    <cfRule type="expression" dxfId="5569" priority="262">
      <formula>AND($R$172,$S$172)</formula>
    </cfRule>
    <cfRule type="expression" dxfId="5568" priority="259">
      <formula>OR($T$172 = TRUE, AND($W$172 = TRUE, $S$172 = FALSE))</formula>
    </cfRule>
    <cfRule type="expression" dxfId="5567" priority="260">
      <formula>$S$172 = FALSE</formula>
    </cfRule>
    <cfRule type="expression" dxfId="5566" priority="261">
      <formula>AND(IF($R$172,$W$172,TRUE),LEN(TRIM($W$172))&gt;0)</formula>
    </cfRule>
  </conditionalFormatting>
  <conditionalFormatting sqref="W177">
    <cfRule type="expression" dxfId="5565" priority="257">
      <formula>AND(IF($R$177,$W$177,TRUE),LEN(TRIM($W$177))&gt;0)</formula>
    </cfRule>
    <cfRule type="expression" dxfId="5564" priority="255">
      <formula>OR($T$177 = TRUE, AND($W$177 = TRUE, $S$177 = FALSE))</formula>
    </cfRule>
    <cfRule type="expression" dxfId="5563" priority="256">
      <formula>$S$177 = FALSE</formula>
    </cfRule>
    <cfRule type="expression" dxfId="5562" priority="258">
      <formula>AND($R$177,$S$177)</formula>
    </cfRule>
  </conditionalFormatting>
  <conditionalFormatting sqref="W179">
    <cfRule type="expression" dxfId="5561" priority="251">
      <formula>OR($T$179 = TRUE, AND($W$179 = TRUE, $S$179 = FALSE))</formula>
    </cfRule>
    <cfRule type="expression" dxfId="5560" priority="254">
      <formula>AND($R$179,$S$179)</formula>
    </cfRule>
    <cfRule type="expression" dxfId="5559" priority="253">
      <formula>AND(IF($R$179,$W$179,TRUE),LEN(TRIM($W$179))&gt;0)</formula>
    </cfRule>
    <cfRule type="expression" dxfId="5558" priority="252">
      <formula>$S$179 = FALSE</formula>
    </cfRule>
  </conditionalFormatting>
  <conditionalFormatting sqref="W182">
    <cfRule type="expression" dxfId="5557" priority="250">
      <formula>AND($R$182,$S$182)</formula>
    </cfRule>
    <cfRule type="expression" dxfId="5556" priority="249">
      <formula>AND(IF($R$182,$W$182,TRUE),LEN(TRIM($W$182))&gt;0)</formula>
    </cfRule>
    <cfRule type="expression" dxfId="5555" priority="248">
      <formula>$S$182 = FALSE</formula>
    </cfRule>
    <cfRule type="expression" dxfId="5554" priority="247">
      <formula>OR($T$182 = TRUE, AND($W$182 = TRUE, $S$182 = FALSE))</formula>
    </cfRule>
  </conditionalFormatting>
  <conditionalFormatting sqref="W184">
    <cfRule type="expression" dxfId="5553" priority="245">
      <formula>AND(IF($R$184,$W$184,TRUE),LEN(TRIM($W$184))&gt;0)</formula>
    </cfRule>
    <cfRule type="expression" dxfId="5552" priority="243">
      <formula>OR($T$184 = TRUE, AND($W$184 = TRUE, $S$184 = FALSE))</formula>
    </cfRule>
    <cfRule type="expression" dxfId="5551" priority="244">
      <formula>$S$184 = FALSE</formula>
    </cfRule>
    <cfRule type="expression" dxfId="5550" priority="246">
      <formula>AND($R$184,$S$184)</formula>
    </cfRule>
  </conditionalFormatting>
  <conditionalFormatting sqref="W186">
    <cfRule type="expression" dxfId="5549" priority="239">
      <formula>OR($T$186 = TRUE, AND($W$186 = TRUE, $S$186 = FALSE))</formula>
    </cfRule>
    <cfRule type="expression" dxfId="5548" priority="240">
      <formula>$S$186 = FALSE</formula>
    </cfRule>
    <cfRule type="expression" dxfId="5547" priority="241">
      <formula>AND(IF($R$186,$W$186,TRUE),LEN(TRIM($W$186))&gt;0)</formula>
    </cfRule>
    <cfRule type="expression" dxfId="5546" priority="242">
      <formula>AND($R$186,$S$186)</formula>
    </cfRule>
  </conditionalFormatting>
  <conditionalFormatting sqref="W190">
    <cfRule type="expression" dxfId="5545" priority="235">
      <formula>OR($T$190 = TRUE, AND($W$190 = TRUE, $S$190 = FALSE))</formula>
    </cfRule>
    <cfRule type="expression" dxfId="5544" priority="238">
      <formula>AND($R$190,$S$190)</formula>
    </cfRule>
    <cfRule type="expression" dxfId="5543" priority="237">
      <formula>AND(IF($R$190,$W$190,TRUE),LEN(TRIM($W$190))&gt;0)</formula>
    </cfRule>
    <cfRule type="expression" dxfId="5542" priority="236">
      <formula>$S$190 = FALSE</formula>
    </cfRule>
  </conditionalFormatting>
  <conditionalFormatting sqref="W191">
    <cfRule type="expression" dxfId="5541" priority="234">
      <formula>AND($R$191,$S$191)</formula>
    </cfRule>
    <cfRule type="expression" dxfId="5540" priority="231">
      <formula>OR($T$191 = TRUE, AND($W$191 = TRUE, $S$191 = FALSE))</formula>
    </cfRule>
    <cfRule type="expression" dxfId="5539" priority="232">
      <formula>$S$191 = FALSE</formula>
    </cfRule>
    <cfRule type="expression" dxfId="5538" priority="233">
      <formula>AND(IF($R$191,$W$191,TRUE),LEN(TRIM($W$191))&gt;0)</formula>
    </cfRule>
  </conditionalFormatting>
  <conditionalFormatting sqref="W192">
    <cfRule type="expression" dxfId="5537" priority="230">
      <formula>AND($R$192,$S$192)</formula>
    </cfRule>
    <cfRule type="expression" dxfId="5536" priority="227">
      <formula>OR($T$192 = TRUE, AND($W$192 = TRUE, $S$192 = FALSE))</formula>
    </cfRule>
    <cfRule type="expression" dxfId="5535" priority="228">
      <formula>$S$192 = FALSE</formula>
    </cfRule>
    <cfRule type="expression" dxfId="5534" priority="229">
      <formula>AND(IF($R$192,$W$192,TRUE),LEN(TRIM($W$192))&gt;0)</formula>
    </cfRule>
  </conditionalFormatting>
  <conditionalFormatting sqref="W194">
    <cfRule type="expression" dxfId="5533" priority="223">
      <formula>OR($T$194 = TRUE, AND($W$194 = TRUE, $S$194 = FALSE))</formula>
    </cfRule>
    <cfRule type="expression" dxfId="5532" priority="224">
      <formula>$S$194 = FALSE</formula>
    </cfRule>
    <cfRule type="expression" dxfId="5531" priority="225">
      <formula>AND(IF($R$194,$W$194,TRUE),LEN(TRIM($W$194))&gt;0)</formula>
    </cfRule>
    <cfRule type="expression" dxfId="5530" priority="226">
      <formula>AND($R$194,$S$194)</formula>
    </cfRule>
  </conditionalFormatting>
  <conditionalFormatting sqref="W195">
    <cfRule type="expression" dxfId="5529" priority="5">
      <formula>OR($T$195 = TRUE, AND(LEN(TRIM($W$195))&gt;0, $S$195 = FALSE))</formula>
    </cfRule>
    <cfRule type="expression" dxfId="5528" priority="6">
      <formula>$S$195 = FALSE</formula>
    </cfRule>
    <cfRule type="expression" dxfId="5527" priority="7">
      <formula>AND($W$195&lt;&gt;"Not Met",LEN(TRIM($W$195))&gt;0)</formula>
    </cfRule>
    <cfRule type="expression" dxfId="5526" priority="8">
      <formula>AND($R$195,$S$195)</formula>
    </cfRule>
  </conditionalFormatting>
  <conditionalFormatting sqref="W202">
    <cfRule type="expression" dxfId="5525" priority="498">
      <formula>$S$202 = FALSE</formula>
    </cfRule>
    <cfRule type="expression" dxfId="5524" priority="497">
      <formula>OR($T$202 = TRUE, AND(LEN(TRIM($W$202))&gt;0, $S$202 = FALSE))</formula>
    </cfRule>
    <cfRule type="expression" dxfId="5523" priority="499">
      <formula>AND(IF($R$202,$W$202,TRUE),LEN(TRIM($W$202))&gt;0)</formula>
    </cfRule>
    <cfRule type="expression" dxfId="5522" priority="500">
      <formula>AND($R$202,$S$202)</formula>
    </cfRule>
  </conditionalFormatting>
  <conditionalFormatting sqref="W209">
    <cfRule type="expression" dxfId="5521" priority="214">
      <formula>AND($R$209,$S$209)</formula>
    </cfRule>
    <cfRule type="expression" dxfId="5520" priority="213">
      <formula>AND(IF($R$209,$W$209,TRUE),LEN(TRIM($W$209))&gt;0)</formula>
    </cfRule>
    <cfRule type="expression" dxfId="5519" priority="212">
      <formula>$S$209 = FALSE</formula>
    </cfRule>
    <cfRule type="expression" dxfId="5518" priority="211">
      <formula>OR($T$209 = TRUE, AND($W$209 = TRUE, $S$209 = FALSE))</formula>
    </cfRule>
  </conditionalFormatting>
  <conditionalFormatting sqref="W216">
    <cfRule type="expression" dxfId="5517" priority="210">
      <formula>AND($R$216,$S$216)</formula>
    </cfRule>
    <cfRule type="expression" dxfId="5516" priority="209">
      <formula>AND(IF($R$216,$W$216,TRUE),LEN(TRIM($W$216))&gt;0)</formula>
    </cfRule>
    <cfRule type="expression" dxfId="5515" priority="208">
      <formula>$S$216 = FALSE</formula>
    </cfRule>
    <cfRule type="expression" dxfId="5514" priority="207">
      <formula>OR($T$216 = TRUE, AND($W$216 = TRUE, $S$216 = FALSE))</formula>
    </cfRule>
  </conditionalFormatting>
  <conditionalFormatting sqref="W217">
    <cfRule type="expression" dxfId="5513" priority="206">
      <formula>AND($R$217,$S$217)</formula>
    </cfRule>
    <cfRule type="expression" dxfId="5512" priority="205">
      <formula>AND(IF($R$217,$W$217,TRUE),LEN(TRIM($W$217))&gt;0)</formula>
    </cfRule>
    <cfRule type="expression" dxfId="5511" priority="204">
      <formula>$S$217 = FALSE</formula>
    </cfRule>
    <cfRule type="expression" dxfId="5510" priority="203">
      <formula>OR($T$217 = TRUE, AND($W$217 = TRUE, $S$217 = FALSE))</formula>
    </cfRule>
  </conditionalFormatting>
  <conditionalFormatting sqref="W219">
    <cfRule type="expression" dxfId="5509" priority="201">
      <formula>AND(IF($R$219,$W$219,TRUE),LEN(TRIM($W$219))&gt;0)</formula>
    </cfRule>
    <cfRule type="expression" dxfId="5508" priority="202">
      <formula>AND($R$219,$S$219)</formula>
    </cfRule>
    <cfRule type="expression" dxfId="5507" priority="200">
      <formula>$S$219 = FALSE</formula>
    </cfRule>
    <cfRule type="expression" dxfId="5506" priority="199">
      <formula>OR($T$219 = TRUE, AND($W$219 = TRUE, $S$219 = FALSE))</formula>
    </cfRule>
  </conditionalFormatting>
  <conditionalFormatting sqref="W224">
    <cfRule type="expression" dxfId="5505" priority="195">
      <formula>OR($T$224 = TRUE, AND($W$224 = TRUE, $S$224 = FALSE))</formula>
    </cfRule>
    <cfRule type="expression" dxfId="5504" priority="198">
      <formula>AND($R$224,$S$224)</formula>
    </cfRule>
    <cfRule type="expression" dxfId="5503" priority="196">
      <formula>$S$224 = FALSE</formula>
    </cfRule>
    <cfRule type="expression" dxfId="5502" priority="197">
      <formula>AND(IF($R$224,$W$224,TRUE),LEN(TRIM($W$224))&gt;0)</formula>
    </cfRule>
  </conditionalFormatting>
  <conditionalFormatting sqref="W226">
    <cfRule type="expression" dxfId="5501" priority="194">
      <formula>AND($R$226,$S$226)</formula>
    </cfRule>
    <cfRule type="expression" dxfId="5500" priority="191">
      <formula>OR($T$226 = TRUE, AND($W$226 = TRUE, $S$226 = FALSE))</formula>
    </cfRule>
    <cfRule type="expression" dxfId="5499" priority="192">
      <formula>$S$226 = FALSE</formula>
    </cfRule>
    <cfRule type="expression" dxfId="5498" priority="193">
      <formula>AND(IF($R$226,$W$226,TRUE),LEN(TRIM($W$226))&gt;0)</formula>
    </cfRule>
  </conditionalFormatting>
  <conditionalFormatting sqref="W227">
    <cfRule type="expression" dxfId="5497" priority="189">
      <formula>AND(IF($R$227,$W$227,TRUE),LEN(TRIM($W$227))&gt;0)</formula>
    </cfRule>
    <cfRule type="expression" dxfId="5496" priority="187">
      <formula>OR($T$227 = TRUE, AND($W$227 = TRUE, $S$227 = FALSE))</formula>
    </cfRule>
    <cfRule type="expression" dxfId="5495" priority="188">
      <formula>$S$227 = FALSE</formula>
    </cfRule>
    <cfRule type="expression" dxfId="5494" priority="190">
      <formula>AND($R$227,$S$227)</formula>
    </cfRule>
  </conditionalFormatting>
  <conditionalFormatting sqref="W229">
    <cfRule type="expression" dxfId="5493" priority="183">
      <formula>OR($T$229 = TRUE, AND($W$229 = TRUE, $S$229 = FALSE))</formula>
    </cfRule>
    <cfRule type="expression" dxfId="5492" priority="184">
      <formula>$S$229 = FALSE</formula>
    </cfRule>
    <cfRule type="expression" dxfId="5491" priority="185">
      <formula>AND(IF($R$229,$W$229,TRUE),LEN(TRIM($W$229))&gt;0)</formula>
    </cfRule>
    <cfRule type="expression" dxfId="5490" priority="186">
      <formula>AND($R$229,$S$229)</formula>
    </cfRule>
  </conditionalFormatting>
  <conditionalFormatting sqref="W231">
    <cfRule type="expression" dxfId="5489" priority="179">
      <formula>OR($T$231 = TRUE, AND($W$231 = TRUE, $S$231 = FALSE))</formula>
    </cfRule>
    <cfRule type="expression" dxfId="5488" priority="180">
      <formula>$S$231 = FALSE</formula>
    </cfRule>
    <cfRule type="expression" dxfId="5487" priority="181">
      <formula>AND(IF($R$231,$W$231,TRUE),LEN(TRIM($W$231))&gt;0)</formula>
    </cfRule>
    <cfRule type="expression" dxfId="5486" priority="182">
      <formula>AND($R$231,$S$231)</formula>
    </cfRule>
  </conditionalFormatting>
  <conditionalFormatting sqref="W235">
    <cfRule type="expression" dxfId="5485" priority="175">
      <formula>OR($T$235 = TRUE, AND($W$235 = TRUE, $S$235 = FALSE))</formula>
    </cfRule>
    <cfRule type="expression" dxfId="5484" priority="176">
      <formula>$S$235 = FALSE</formula>
    </cfRule>
    <cfRule type="expression" dxfId="5483" priority="177">
      <formula>AND(IF($R$235,$W$235,TRUE),LEN(TRIM($W$235))&gt;0)</formula>
    </cfRule>
    <cfRule type="expression" dxfId="5482" priority="178">
      <formula>AND($R$235,$S$235)</formula>
    </cfRule>
  </conditionalFormatting>
  <conditionalFormatting sqref="W238">
    <cfRule type="expression" dxfId="5481" priority="174">
      <formula>AND($R$238,$S$238)</formula>
    </cfRule>
    <cfRule type="expression" dxfId="5480" priority="172">
      <formula>$S$238 = FALSE</formula>
    </cfRule>
    <cfRule type="expression" dxfId="5479" priority="173">
      <formula>AND(IF($R$238,$W$238,TRUE),LEN(TRIM($W$238))&gt;0)</formula>
    </cfRule>
    <cfRule type="expression" dxfId="5478" priority="171">
      <formula>OR($T$238 = TRUE, AND($W$238 = TRUE, $S$238 = FALSE))</formula>
    </cfRule>
  </conditionalFormatting>
  <conditionalFormatting sqref="W240">
    <cfRule type="expression" dxfId="5477" priority="168">
      <formula>$S$240 = FALSE</formula>
    </cfRule>
    <cfRule type="expression" dxfId="5476" priority="170">
      <formula>AND($R$240,$S$240)</formula>
    </cfRule>
    <cfRule type="expression" dxfId="5475" priority="169">
      <formula>AND(IF($R$240,$W$240,TRUE),LEN(TRIM($W$240))&gt;0)</formula>
    </cfRule>
    <cfRule type="expression" dxfId="5474" priority="167">
      <formula>OR($T$240 = TRUE, AND($W$240 = TRUE, $S$240 = FALSE))</formula>
    </cfRule>
  </conditionalFormatting>
  <conditionalFormatting sqref="W241">
    <cfRule type="expression" dxfId="5473" priority="166">
      <formula>AND($R$241,$S$241)</formula>
    </cfRule>
    <cfRule type="expression" dxfId="5472" priority="165">
      <formula>AND(IF($R$241,$W$241,TRUE),LEN(TRIM($W$241))&gt;0)</formula>
    </cfRule>
    <cfRule type="expression" dxfId="5471" priority="164">
      <formula>$S$241 = FALSE</formula>
    </cfRule>
    <cfRule type="expression" dxfId="5470" priority="163">
      <formula>OR($T$241 = TRUE, AND($W$241 = TRUE, $S$241 = FALSE))</formula>
    </cfRule>
  </conditionalFormatting>
  <conditionalFormatting sqref="W242">
    <cfRule type="expression" dxfId="5469" priority="162">
      <formula>AND($R$242,$S$242)</formula>
    </cfRule>
    <cfRule type="expression" dxfId="5468" priority="161">
      <formula>AND(IF($R$242,$W$242,TRUE),LEN(TRIM($W$242))&gt;0)</formula>
    </cfRule>
    <cfRule type="expression" dxfId="5467" priority="160">
      <formula>$S$242 = FALSE</formula>
    </cfRule>
    <cfRule type="expression" dxfId="5466" priority="159">
      <formula>OR($T$242 = TRUE, AND($W$242 = TRUE, $S$242 = FALSE))</formula>
    </cfRule>
  </conditionalFormatting>
  <conditionalFormatting sqref="W243">
    <cfRule type="expression" dxfId="5465" priority="158">
      <formula>AND($R$243,$S$243)</formula>
    </cfRule>
    <cfRule type="expression" dxfId="5464" priority="157">
      <formula>AND(IF($R$243,$W$243,TRUE),LEN(TRIM($W$243))&gt;0)</formula>
    </cfRule>
    <cfRule type="expression" dxfId="5463" priority="156">
      <formula>$S$243 = FALSE</formula>
    </cfRule>
    <cfRule type="expression" dxfId="5462" priority="155">
      <formula>OR($T$243 = TRUE, AND($W$243 = TRUE, $S$243 = FALSE))</formula>
    </cfRule>
  </conditionalFormatting>
  <conditionalFormatting sqref="W244">
    <cfRule type="expression" dxfId="5461" priority="154">
      <formula>AND($R$244,$S$244)</formula>
    </cfRule>
    <cfRule type="expression" dxfId="5460" priority="153">
      <formula>AND(IF($R$244,$W$244,TRUE),LEN(TRIM($W$244))&gt;0)</formula>
    </cfRule>
    <cfRule type="expression" dxfId="5459" priority="152">
      <formula>$S$244 = FALSE</formula>
    </cfRule>
    <cfRule type="expression" dxfId="5458" priority="151">
      <formula>OR($T$244 = TRUE, AND($W$244 = TRUE, $S$244 = FALSE))</formula>
    </cfRule>
  </conditionalFormatting>
  <conditionalFormatting sqref="W245">
    <cfRule type="expression" dxfId="5457" priority="150">
      <formula>AND($R$245,$S$245)</formula>
    </cfRule>
    <cfRule type="expression" dxfId="5456" priority="149">
      <formula>AND(IF($R$245,$W$245,TRUE),LEN(TRIM($W$245))&gt;0)</formula>
    </cfRule>
    <cfRule type="expression" dxfId="5455" priority="148">
      <formula>$S$245 = FALSE</formula>
    </cfRule>
    <cfRule type="expression" dxfId="5454" priority="147">
      <formula>OR($T$245 = TRUE, AND($W$245 = TRUE, $S$245 = FALSE))</formula>
    </cfRule>
  </conditionalFormatting>
  <conditionalFormatting sqref="W247">
    <cfRule type="expression" dxfId="5453" priority="146">
      <formula>AND($R$247,$S$247)</formula>
    </cfRule>
    <cfRule type="expression" dxfId="5452" priority="145">
      <formula>AND(IF($R$247,$W$247,TRUE),LEN(TRIM($W$247))&gt;0)</formula>
    </cfRule>
    <cfRule type="expression" dxfId="5451" priority="144">
      <formula>$S$247 = FALSE</formula>
    </cfRule>
    <cfRule type="expression" dxfId="5450" priority="143">
      <formula>OR($T$247 = TRUE, AND($W$247 = TRUE, $S$247 = FALSE))</formula>
    </cfRule>
  </conditionalFormatting>
  <conditionalFormatting sqref="W254">
    <cfRule type="expression" dxfId="5449" priority="142">
      <formula>AND($R$254,$S$254)</formula>
    </cfRule>
    <cfRule type="expression" dxfId="5448" priority="141">
      <formula>AND(IF($R$254,$W$254,TRUE),LEN(TRIM($W$254))&gt;0)</formula>
    </cfRule>
    <cfRule type="expression" dxfId="5447" priority="140">
      <formula>$S$254 = FALSE</formula>
    </cfRule>
    <cfRule type="expression" dxfId="5446" priority="139">
      <formula>OR($T$254 = TRUE, AND($W$254 = TRUE, $S$254 = FALSE))</formula>
    </cfRule>
  </conditionalFormatting>
  <conditionalFormatting sqref="W256">
    <cfRule type="expression" dxfId="5445" priority="138">
      <formula>AND($R$256,$S$256)</formula>
    </cfRule>
    <cfRule type="expression" dxfId="5444" priority="137">
      <formula>AND(IF($R$256,$W$256,TRUE),LEN(TRIM($W$256))&gt;0)</formula>
    </cfRule>
    <cfRule type="expression" dxfId="5443" priority="135">
      <formula>OR($T$256 = TRUE, AND($W$256 = TRUE, $S$256 = FALSE))</formula>
    </cfRule>
    <cfRule type="expression" dxfId="5442" priority="136">
      <formula>$S$256 = FALSE</formula>
    </cfRule>
  </conditionalFormatting>
  <conditionalFormatting sqref="W258">
    <cfRule type="expression" dxfId="5441" priority="507">
      <formula>AND(IF($R$258,$W$258,TRUE),LEN(TRIM($W$258))&gt;0)</formula>
    </cfRule>
    <cfRule type="expression" dxfId="5440" priority="505">
      <formula>OR($T$258 = TRUE, AND(LEN(TRIM($W$258))&gt;0, $S$258 = FALSE))</formula>
    </cfRule>
    <cfRule type="expression" dxfId="5439" priority="506">
      <formula>$S$258 = FALSE</formula>
    </cfRule>
    <cfRule type="expression" dxfId="5438" priority="508">
      <formula>AND($R$258,$S$258)</formula>
    </cfRule>
  </conditionalFormatting>
  <conditionalFormatting sqref="W265">
    <cfRule type="expression" dxfId="5437" priority="131">
      <formula>OR($T$265 = TRUE, AND($W$265 = TRUE, $S$265 = FALSE))</formula>
    </cfRule>
    <cfRule type="expression" dxfId="5436" priority="132">
      <formula>$S$265 = FALSE</formula>
    </cfRule>
    <cfRule type="expression" dxfId="5435" priority="133">
      <formula>AND(IF($R$265,$W$265,TRUE),LEN(TRIM($W$265))&gt;0)</formula>
    </cfRule>
    <cfRule type="expression" dxfId="5434" priority="134">
      <formula>AND($R$265,$S$265)</formula>
    </cfRule>
  </conditionalFormatting>
  <conditionalFormatting sqref="W268">
    <cfRule type="expression" dxfId="5433" priority="127">
      <formula>OR($T$268 = TRUE, AND($W$268 = TRUE, $S$268 = FALSE))</formula>
    </cfRule>
    <cfRule type="expression" dxfId="5432" priority="128">
      <formula>$S$268 = FALSE</formula>
    </cfRule>
    <cfRule type="expression" dxfId="5431" priority="129">
      <formula>AND(IF($R$268,$W$268,TRUE),LEN(TRIM($W$268))&gt;0)</formula>
    </cfRule>
    <cfRule type="expression" dxfId="5430" priority="130">
      <formula>AND($R$268,$S$268)</formula>
    </cfRule>
  </conditionalFormatting>
  <conditionalFormatting sqref="W272">
    <cfRule type="expression" dxfId="5429" priority="123">
      <formula>OR($T$272 = TRUE, AND($W$272 = TRUE, $S$272 = FALSE))</formula>
    </cfRule>
    <cfRule type="expression" dxfId="5428" priority="126">
      <formula>AND($R$272,$S$272)</formula>
    </cfRule>
    <cfRule type="expression" dxfId="5427" priority="125">
      <formula>AND(IF($R$272,$W$272,TRUE),LEN(TRIM($W$272))&gt;0)</formula>
    </cfRule>
    <cfRule type="expression" dxfId="5426" priority="124">
      <formula>$S$272 = FALSE</formula>
    </cfRule>
  </conditionalFormatting>
  <conditionalFormatting sqref="W273">
    <cfRule type="expression" dxfId="5425" priority="122">
      <formula>AND($R$273,$S$273)</formula>
    </cfRule>
    <cfRule type="expression" dxfId="5424" priority="121">
      <formula>AND(IF($R$273,$W$273,TRUE),LEN(TRIM($W$273))&gt;0)</formula>
    </cfRule>
    <cfRule type="expression" dxfId="5423" priority="120">
      <formula>$S$273 = FALSE</formula>
    </cfRule>
    <cfRule type="expression" dxfId="5422" priority="119">
      <formula>OR($T$273 = TRUE, AND($W$273 = TRUE, $S$273 = FALSE))</formula>
    </cfRule>
  </conditionalFormatting>
  <conditionalFormatting sqref="W276">
    <cfRule type="expression" dxfId="5421" priority="1">
      <formula>OR($T$276 = TRUE, AND(LEN(TRIM($W$276))&gt;0, $S$276 = FALSE))</formula>
    </cfRule>
    <cfRule type="expression" dxfId="5420" priority="2">
      <formula>$S$276 = FALSE</formula>
    </cfRule>
    <cfRule type="expression" dxfId="5419" priority="4">
      <formula>AND($R$276,$S$276)</formula>
    </cfRule>
    <cfRule type="expression" dxfId="5418" priority="3">
      <formula>AND($W$276&lt;&gt;"Not Met",LEN(TRIM($W$276))&gt;0)</formula>
    </cfRule>
  </conditionalFormatting>
  <conditionalFormatting sqref="W283">
    <cfRule type="expression" dxfId="5417" priority="118">
      <formula>AND($R$283,$S$283)</formula>
    </cfRule>
    <cfRule type="expression" dxfId="5416" priority="117">
      <formula>AND(IF($R$283,$W$283,TRUE),LEN(TRIM($W$283))&gt;0)</formula>
    </cfRule>
    <cfRule type="expression" dxfId="5415" priority="116">
      <formula>$S$283 = FALSE</formula>
    </cfRule>
    <cfRule type="expression" dxfId="5414" priority="115">
      <formula>OR($T$283 = TRUE, AND($W$283 = TRUE, $S$283 = FALSE))</formula>
    </cfRule>
  </conditionalFormatting>
  <conditionalFormatting sqref="W287">
    <cfRule type="expression" dxfId="5413" priority="64">
      <formula>AND(R287,S287)</formula>
    </cfRule>
    <cfRule type="expression" dxfId="5412" priority="63">
      <formula>AND(S287,LEN(TRIM(W287))&gt;0)</formula>
    </cfRule>
    <cfRule type="expression" dxfId="5411" priority="62">
      <formula>S287 = FALSE</formula>
    </cfRule>
    <cfRule type="expression" dxfId="5410" priority="61">
      <formula>OR(T287 = TRUE, AND(LEN(W287) &gt; 0, S287 = FALSE))</formula>
    </cfRule>
  </conditionalFormatting>
  <conditionalFormatting sqref="W289">
    <cfRule type="expression" dxfId="5409" priority="58">
      <formula>$S$289 = FALSE</formula>
    </cfRule>
    <cfRule type="expression" dxfId="5408" priority="59">
      <formula>AND(IF($R$289,$W$289,TRUE),LEN(TRIM($W$289))&gt;0)</formula>
    </cfRule>
    <cfRule type="expression" dxfId="5407" priority="60">
      <formula>AND($R$289,$S$289)</formula>
    </cfRule>
    <cfRule type="expression" dxfId="5406" priority="57">
      <formula>OR($T$289 = TRUE, AND($W$289 = TRUE, $S$289 = FALSE))</formula>
    </cfRule>
  </conditionalFormatting>
  <conditionalFormatting sqref="W292">
    <cfRule type="expression" dxfId="5405" priority="53">
      <formula>OR($T$292 = TRUE, AND($W$292 = TRUE, $S$292 = FALSE))</formula>
    </cfRule>
    <cfRule type="expression" dxfId="5404" priority="56">
      <formula>AND($R$292,$S$292)</formula>
    </cfRule>
    <cfRule type="expression" dxfId="5403" priority="55">
      <formula>AND(IF($R$292,$W$292,TRUE),LEN(TRIM($W$292))&gt;0)</formula>
    </cfRule>
    <cfRule type="expression" dxfId="5402" priority="54">
      <formula>$S$292 = FALSE</formula>
    </cfRule>
  </conditionalFormatting>
  <conditionalFormatting sqref="W293">
    <cfRule type="expression" dxfId="5401" priority="52">
      <formula>AND($R$293,$S$293)</formula>
    </cfRule>
    <cfRule type="expression" dxfId="5400" priority="51">
      <formula>AND(IF($R$293,$W$293,TRUE),LEN(TRIM($W$293))&gt;0)</formula>
    </cfRule>
    <cfRule type="expression" dxfId="5399" priority="50">
      <formula>$S$293 = FALSE</formula>
    </cfRule>
    <cfRule type="expression" dxfId="5398" priority="49">
      <formula>OR($T$293 = TRUE, AND($W$293 = TRUE, $S$293 = FALSE))</formula>
    </cfRule>
  </conditionalFormatting>
  <conditionalFormatting sqref="W295">
    <cfRule type="expression" dxfId="5397" priority="48">
      <formula>AND(R295,S295)</formula>
    </cfRule>
    <cfRule type="expression" dxfId="5396" priority="45">
      <formula>OR(T295 = TRUE, AND(LEN(W295)&gt;0, S295 = FALSE))</formula>
    </cfRule>
    <cfRule type="expression" dxfId="5395" priority="46">
      <formula>S295 = FALSE</formula>
    </cfRule>
    <cfRule type="expression" dxfId="5394" priority="47">
      <formula>AND(S295,LEN(TRIM(W295))&gt;0)</formula>
    </cfRule>
  </conditionalFormatting>
  <conditionalFormatting sqref="W306">
    <cfRule type="expression" dxfId="5393" priority="41">
      <formula>OR($T$306 = TRUE, AND($W$306 = TRUE, $S$306 = FALSE))</formula>
    </cfRule>
    <cfRule type="expression" dxfId="5392" priority="42">
      <formula>$S$306 = FALSE</formula>
    </cfRule>
    <cfRule type="expression" dxfId="5391" priority="44">
      <formula>AND($R$306,$S$306)</formula>
    </cfRule>
    <cfRule type="expression" dxfId="5390" priority="43">
      <formula>AND(IF($R$306,$W$306,TRUE),LEN(TRIM($W$306))&gt;0)</formula>
    </cfRule>
  </conditionalFormatting>
  <conditionalFormatting sqref="W310">
    <cfRule type="expression" dxfId="5389" priority="39">
      <formula>AND(IF($R$310,$W$310,TRUE),LEN(TRIM($W$310))&gt;0)</formula>
    </cfRule>
    <cfRule type="expression" dxfId="5388" priority="37">
      <formula>OR($T$310 = TRUE, AND($W$310 = TRUE, $S$310 = FALSE))</formula>
    </cfRule>
    <cfRule type="expression" dxfId="5387" priority="38">
      <formula>$S$310 = FALSE</formula>
    </cfRule>
    <cfRule type="expression" dxfId="5386" priority="40">
      <formula>AND($R$310,$S$310)</formula>
    </cfRule>
  </conditionalFormatting>
  <conditionalFormatting sqref="W313">
    <cfRule type="expression" dxfId="5385" priority="35">
      <formula>AND(IF($R$313,$W$313,TRUE),LEN(TRIM($W$313))&gt;0)</formula>
    </cfRule>
    <cfRule type="expression" dxfId="5384" priority="36">
      <formula>AND($R$313,$S$313)</formula>
    </cfRule>
    <cfRule type="expression" dxfId="5383" priority="34">
      <formula>$S$313 = FALSE</formula>
    </cfRule>
    <cfRule type="expression" dxfId="5382" priority="33">
      <formula>OR($T$313 = TRUE, AND($W$313 = TRUE, $S$313 = FALSE))</formula>
    </cfRule>
  </conditionalFormatting>
  <conditionalFormatting sqref="W316">
    <cfRule type="expression" dxfId="5381" priority="31">
      <formula>AND(IF($R$316,$W$316,TRUE),LEN(TRIM($W$316))&gt;0)</formula>
    </cfRule>
    <cfRule type="expression" dxfId="5380" priority="32">
      <formula>AND($R$316,$S$316)</formula>
    </cfRule>
    <cfRule type="expression" dxfId="5379" priority="29">
      <formula>OR($T$316 = TRUE, AND($W$316 = TRUE, $S$316 = FALSE))</formula>
    </cfRule>
    <cfRule type="expression" dxfId="5378" priority="30">
      <formula>$S$316 = FALSE</formula>
    </cfRule>
  </conditionalFormatting>
  <conditionalFormatting sqref="W317">
    <cfRule type="expression" dxfId="5377" priority="28">
      <formula>AND($R$317,$S$317)</formula>
    </cfRule>
    <cfRule type="expression" dxfId="5376" priority="27">
      <formula>AND(IF($R$317,$W$317,TRUE),LEN(TRIM($W$317))&gt;0)</formula>
    </cfRule>
    <cfRule type="expression" dxfId="5375" priority="26">
      <formula>$S$317 = FALSE</formula>
    </cfRule>
    <cfRule type="expression" dxfId="5374" priority="25">
      <formula>OR($T$317 = TRUE, AND($W$317 = TRUE, $S$317 = FALSE))</formula>
    </cfRule>
  </conditionalFormatting>
  <conditionalFormatting sqref="W322">
    <cfRule type="expression" dxfId="5373" priority="24">
      <formula>AND($R$322,$S$322)</formula>
    </cfRule>
    <cfRule type="expression" dxfId="5372" priority="23">
      <formula>AND(IF($R$322,$W$322,TRUE),LEN(TRIM($W$322))&gt;0)</formula>
    </cfRule>
    <cfRule type="expression" dxfId="5371" priority="22">
      <formula>$S$322 = FALSE</formula>
    </cfRule>
    <cfRule type="expression" dxfId="5370" priority="21">
      <formula>OR($T$322 = TRUE, AND($W$322 = TRUE, $S$322 = FALSE))</formula>
    </cfRule>
  </conditionalFormatting>
  <conditionalFormatting sqref="W324">
    <cfRule type="expression" dxfId="5369" priority="20">
      <formula>AND($R$324,$S$324)</formula>
    </cfRule>
    <cfRule type="expression" dxfId="5368" priority="19">
      <formula>AND(IF($R$324,$W$324,TRUE),LEN(TRIM($W$324))&gt;0)</formula>
    </cfRule>
    <cfRule type="expression" dxfId="5367" priority="18">
      <formula>$S$324 = FALSE</formula>
    </cfRule>
    <cfRule type="expression" dxfId="5366" priority="17">
      <formula>OR($T$324 = TRUE, AND($W$324 = TRUE, $S$324 = FALSE))</formula>
    </cfRule>
  </conditionalFormatting>
  <conditionalFormatting sqref="W326">
    <cfRule type="expression" dxfId="5365" priority="14">
      <formula>$S$326 = FALSE</formula>
    </cfRule>
    <cfRule type="expression" dxfId="5364" priority="15">
      <formula>AND(IF($R$326,$W$326,TRUE),LEN(TRIM($W$326))&gt;0)</formula>
    </cfRule>
    <cfRule type="expression" dxfId="5363" priority="16">
      <formula>AND($R$326,$S$326)</formula>
    </cfRule>
    <cfRule type="expression" dxfId="5362" priority="13">
      <formula>OR($T$326 = TRUE, AND($W$326 = TRUE, $S$326 = FALSE))</formula>
    </cfRule>
  </conditionalFormatting>
  <conditionalFormatting sqref="X1">
    <cfRule type="expression" dxfId="5361" priority="882">
      <formula>startError</formula>
    </cfRule>
  </conditionalFormatting>
  <conditionalFormatting sqref="X2">
    <cfRule type="expression" dxfId="5360" priority="919">
      <formula>$AG$3</formula>
    </cfRule>
  </conditionalFormatting>
  <conditionalFormatting sqref="X3">
    <cfRule type="expression" dxfId="5359" priority="925">
      <formula>$AI$3</formula>
    </cfRule>
  </conditionalFormatting>
  <conditionalFormatting sqref="X28">
    <cfRule type="expression" dxfId="5358" priority="476">
      <formula>W28=TRUE</formula>
    </cfRule>
  </conditionalFormatting>
  <conditionalFormatting sqref="X53">
    <cfRule type="expression" dxfId="5357" priority="90">
      <formula>W53=TRUE</formula>
    </cfRule>
  </conditionalFormatting>
  <conditionalFormatting sqref="X56">
    <cfRule type="expression" dxfId="5356" priority="89">
      <formula>W56=TRUE</formula>
    </cfRule>
  </conditionalFormatting>
  <conditionalFormatting sqref="X239:X246">
    <cfRule type="expression" dxfId="5355" priority="475">
      <formula>$W$245=TRUE</formula>
    </cfRule>
  </conditionalFormatting>
  <dataValidations count="16">
    <dataValidation type="list" allowBlank="1" showInputMessage="1" showErrorMessage="1" error="Please use the dropdown." sqref="W46" xr:uid="{00000000-0002-0000-0300-000000000000}">
      <formula1>INDIRECT($U$46)</formula1>
    </dataValidation>
    <dataValidation type="decimal" allowBlank="1" showDropDown="1" showInputMessage="1" showErrorMessage="1" error="Enter Percentage" prompt="Enter Percentage" sqref="W90" xr:uid="{00000000-0002-0000-0300-000001000000}">
      <formula1>0</formula1>
      <formula2>1</formula2>
    </dataValidation>
    <dataValidation type="list" allowBlank="1" showInputMessage="1" showErrorMessage="1" error="Please use the dropdown." sqref="W258" xr:uid="{00000000-0002-0000-0300-000004000000}">
      <formula1>INDIRECT($U$258)</formula1>
    </dataValidation>
    <dataValidation type="list" allowBlank="1" showInputMessage="1" showErrorMessage="1" error="Please use the dropdown." sqref="W202" xr:uid="{00000000-0002-0000-0300-000005000000}">
      <formula1>INDIRECT($U$202)</formula1>
    </dataValidation>
    <dataValidation type="list" allowBlank="1" showInputMessage="1" showErrorMessage="1" error="Please use the dropdown." sqref="W166" xr:uid="{00000000-0002-0000-0300-000006000000}">
      <formula1>INDIRECT($U$166)</formula1>
    </dataValidation>
    <dataValidation type="list" allowBlank="1" showInputMessage="1" showErrorMessage="1" error="Please use the dropdown." sqref="W150" xr:uid="{00000000-0002-0000-0300-000007000000}">
      <formula1>INDIRECT($U$150)</formula1>
    </dataValidation>
    <dataValidation type="list" allowBlank="1" showInputMessage="1" showErrorMessage="1" error="Please use the dropdown." sqref="W148" xr:uid="{00000000-0002-0000-0300-000008000000}">
      <formula1>INDIRECT($U$148)</formula1>
    </dataValidation>
    <dataValidation type="list" allowBlank="1" showDropDown="1" showInputMessage="1" showErrorMessage="1" error="Use Checkbox" prompt="Use Checkbox" sqref="W163 W272:W273 W268 W265 W80 W254 W247 W240:W245 W238 W235 W231 W229 W226:W227 W224 W219 W216:W217 W209 W78 W256 W194 W190:W192 W186 W184 W182 W179 W177 W171:W172 W161 W141 W156 W125 W122 W112:W114 W109:W110 W105 W101 W99 W91:W92 W82 W17:W19 W74 W72 W59 W43 W28 W26 W24 W22 W306 W51 W56 W53 W84 W143 W158 W283 W289 W292:W293 W326 W324 W322 W316:W317 W313 W310 W15 W76 W70" xr:uid="{00000000-0002-0000-0300-000009000000}">
      <formula1>TorF</formula1>
    </dataValidation>
    <dataValidation type="list" allowBlank="1" showInputMessage="1" showErrorMessage="1" error="Please use the dropdown." sqref="W94" xr:uid="{00000000-0002-0000-0300-00000A000000}">
      <formula1>INDIRECT($U$94)</formula1>
    </dataValidation>
    <dataValidation type="list" allowBlank="1" showInputMessage="1" showErrorMessage="1" error="Please use the dropdown." sqref="W129" xr:uid="{00000000-0002-0000-0300-00000B000000}">
      <formula1>INDIRECT($U$129)</formula1>
    </dataValidation>
    <dataValidation type="list" allowBlank="1" showInputMessage="1" showErrorMessage="1" error="Please use the dropdown." sqref="W136" xr:uid="{00000000-0002-0000-0300-00000C000000}">
      <formula1>INDIRECT($U$136)</formula1>
    </dataValidation>
    <dataValidation type="list" allowBlank="1" showInputMessage="1" showErrorMessage="1" error="Please use the dropdown." sqref="W38" xr:uid="{491E7753-D10E-45DF-A0B2-69883B05D287}">
      <formula1>INDIRECT($U$38)</formula1>
    </dataValidation>
    <dataValidation type="decimal" allowBlank="1" showDropDown="1" showInputMessage="1" showErrorMessage="1" error="Enter a number" prompt="Enter square feet" sqref="W287" xr:uid="{31124757-443E-4884-A6B1-E0A484664A19}">
      <formula1>0</formula1>
      <formula2>10000</formula2>
    </dataValidation>
    <dataValidation type="decimal" allowBlank="1" showDropDown="1" showInputMessage="1" showErrorMessage="1" error="Enter a percentage" prompt="Enter a percentage" sqref="W295" xr:uid="{FCDE9212-75D0-4371-9899-C9D63162F0CB}">
      <formula1>0</formula1>
      <formula2>1</formula2>
    </dataValidation>
    <dataValidation type="list" allowBlank="1" showInputMessage="1" showErrorMessage="1" error="Please use the dropdown." sqref="W195" xr:uid="{CB2C15E9-D133-48AF-AFE2-D73AA7DC38FF}">
      <formula1>INDIRECT($U$195)</formula1>
    </dataValidation>
    <dataValidation type="list" allowBlank="1" showInputMessage="1" showErrorMessage="1" error="Please use the dropdown." sqref="W276" xr:uid="{2EE95246-1465-4A5B-A259-D3C7F83C43AB}">
      <formula1>INDIRECT($U$276)</formula1>
    </dataValidation>
  </dataValidations>
  <hyperlinks>
    <hyperlink ref="X328" location="'Ch6'!A1" display="CLICK TO PROCEED TO CHAPTER 6 &gt;&gt;" xr:uid="{00000000-0004-0000-0300-000000000000}"/>
  </hyperlinks>
  <pageMargins left="0.7" right="0.7" top="0.75" bottom="0.75" header="0.3" footer="0.3"/>
  <pageSetup scale="44" fitToHeight="0" orientation="portrait" r:id="rId1"/>
  <rowBreaks count="3" manualBreakCount="3">
    <brk id="101" min="3" max="23" man="1"/>
    <brk id="205" min="3" max="23" man="1"/>
    <brk id="305" min="3" max="23" man="1"/>
  </rowBreaks>
  <ignoredErrors>
    <ignoredError sqref="AQ15 AQ17:AQ19 AQ22 AQ24 AQ26 AQ28 AQ38 AQ43 AQ46 AQ51 AQ53 AQ56 AQ59 AQ70 AQ72 AQ74 AQ76 AQ78 AQ80 AQ82 AQ84 AQ90:AQ92 AQ94 AQ99 AQ101 AQ105 AQ109:AQ110 AQ112:AQ114 AQ122 AQ125 AQ129 AQ136 AQ141 AQ143 AQ148 AQ150 AQ179 AQ182 AQ184 AQ186 AQ156 AQ158 AQ161 AQ163 AQ166 AQ171:AQ172 AQ177 AQ190:AQ192 AQ194 AQ202 AQ209 AQ216:AQ217 AQ219 AQ224 AQ226:AQ227 AQ229 AQ231 AQ235 AQ238 AQ240:AQ245 AQ247 AQ254 AQ256 AQ258 AQ322 AQ324 AQ326 AQ265 AQ268 AQ272:AQ273 AQ277 AQ283 AQ287 AQ289 AQ292:AQ293 AQ295 AQ306 AQ310 AQ313 AQ316:AQ317 AS14 AS20 AS22 AS24 AS26 AS28 AS38 AS43 AS46 AS51 AS53 AS56 AS59 AS64 AS69 AS89 AS102 AS115 AS122 AS125 AS129 AS136 AS141 AS143 AS146 AS150 AS179 AS182 AS184 AS186 AS156 AS158 AS161 AS163 AS166 AS171:AS172 AS177 AS188 AS195 AS201 AS209 AS214 AS221 AS224 AS226:AS227 AS229 AS231 AS235 AS238:AS239 AS247 AS254 AS256 AS258 AS322 AS324 AS326 AS263 AS273 AS276 AS283 AS287 AS289 AS292:AS294 AS306 AS310 AS313 AS316:AS317"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3228" r:id="rId4" name="Check Box 156">
              <controlPr locked="0" defaultSize="0" autoFill="0" autoLine="0" autoPict="0">
                <anchor moveWithCells="1" sizeWithCells="1">
                  <from>
                    <xdr:col>22</xdr:col>
                    <xdr:colOff>0</xdr:colOff>
                    <xdr:row>14</xdr:row>
                    <xdr:rowOff>0</xdr:rowOff>
                  </from>
                  <to>
                    <xdr:col>22</xdr:col>
                    <xdr:colOff>184150</xdr:colOff>
                    <xdr:row>14</xdr:row>
                    <xdr:rowOff>184150</xdr:rowOff>
                  </to>
                </anchor>
              </controlPr>
            </control>
          </mc:Choice>
        </mc:AlternateContent>
        <mc:AlternateContent xmlns:mc="http://schemas.openxmlformats.org/markup-compatibility/2006">
          <mc:Choice Requires="x14">
            <control shapeId="3229" r:id="rId5" name="Check Box 157">
              <controlPr locked="0" defaultSize="0" autoFill="0" autoLine="0" autoPict="0">
                <anchor moveWithCells="1" sizeWithCells="1">
                  <from>
                    <xdr:col>22</xdr:col>
                    <xdr:colOff>0</xdr:colOff>
                    <xdr:row>16</xdr:row>
                    <xdr:rowOff>0</xdr:rowOff>
                  </from>
                  <to>
                    <xdr:col>22</xdr:col>
                    <xdr:colOff>184150</xdr:colOff>
                    <xdr:row>16</xdr:row>
                    <xdr:rowOff>184150</xdr:rowOff>
                  </to>
                </anchor>
              </controlPr>
            </control>
          </mc:Choice>
        </mc:AlternateContent>
        <mc:AlternateContent xmlns:mc="http://schemas.openxmlformats.org/markup-compatibility/2006">
          <mc:Choice Requires="x14">
            <control shapeId="3230" r:id="rId6" name="Check Box 158">
              <controlPr locked="0" defaultSize="0" autoFill="0" autoLine="0" autoPict="0">
                <anchor moveWithCells="1" sizeWithCells="1">
                  <from>
                    <xdr:col>22</xdr:col>
                    <xdr:colOff>0</xdr:colOff>
                    <xdr:row>17</xdr:row>
                    <xdr:rowOff>0</xdr:rowOff>
                  </from>
                  <to>
                    <xdr:col>22</xdr:col>
                    <xdr:colOff>184150</xdr:colOff>
                    <xdr:row>17</xdr:row>
                    <xdr:rowOff>184150</xdr:rowOff>
                  </to>
                </anchor>
              </controlPr>
            </control>
          </mc:Choice>
        </mc:AlternateContent>
        <mc:AlternateContent xmlns:mc="http://schemas.openxmlformats.org/markup-compatibility/2006">
          <mc:Choice Requires="x14">
            <control shapeId="3231" r:id="rId7" name="Check Box 159">
              <controlPr locked="0" defaultSize="0" autoFill="0" autoLine="0" autoPict="0">
                <anchor moveWithCells="1" sizeWithCells="1">
                  <from>
                    <xdr:col>22</xdr:col>
                    <xdr:colOff>0</xdr:colOff>
                    <xdr:row>18</xdr:row>
                    <xdr:rowOff>0</xdr:rowOff>
                  </from>
                  <to>
                    <xdr:col>22</xdr:col>
                    <xdr:colOff>184150</xdr:colOff>
                    <xdr:row>18</xdr:row>
                    <xdr:rowOff>184150</xdr:rowOff>
                  </to>
                </anchor>
              </controlPr>
            </control>
          </mc:Choice>
        </mc:AlternateContent>
        <mc:AlternateContent xmlns:mc="http://schemas.openxmlformats.org/markup-compatibility/2006">
          <mc:Choice Requires="x14">
            <control shapeId="3232" r:id="rId8" name="Check Box 160">
              <controlPr locked="0" defaultSize="0" autoFill="0" autoLine="0" autoPict="0">
                <anchor moveWithCells="1" sizeWithCells="1">
                  <from>
                    <xdr:col>22</xdr:col>
                    <xdr:colOff>0</xdr:colOff>
                    <xdr:row>21</xdr:row>
                    <xdr:rowOff>0</xdr:rowOff>
                  </from>
                  <to>
                    <xdr:col>22</xdr:col>
                    <xdr:colOff>184150</xdr:colOff>
                    <xdr:row>21</xdr:row>
                    <xdr:rowOff>184150</xdr:rowOff>
                  </to>
                </anchor>
              </controlPr>
            </control>
          </mc:Choice>
        </mc:AlternateContent>
        <mc:AlternateContent xmlns:mc="http://schemas.openxmlformats.org/markup-compatibility/2006">
          <mc:Choice Requires="x14">
            <control shapeId="3233" r:id="rId9" name="Check Box 161">
              <controlPr locked="0" defaultSize="0" autoFill="0" autoLine="0" autoPict="0">
                <anchor moveWithCells="1" sizeWithCells="1">
                  <from>
                    <xdr:col>22</xdr:col>
                    <xdr:colOff>0</xdr:colOff>
                    <xdr:row>23</xdr:row>
                    <xdr:rowOff>0</xdr:rowOff>
                  </from>
                  <to>
                    <xdr:col>22</xdr:col>
                    <xdr:colOff>184150</xdr:colOff>
                    <xdr:row>23</xdr:row>
                    <xdr:rowOff>184150</xdr:rowOff>
                  </to>
                </anchor>
              </controlPr>
            </control>
          </mc:Choice>
        </mc:AlternateContent>
        <mc:AlternateContent xmlns:mc="http://schemas.openxmlformats.org/markup-compatibility/2006">
          <mc:Choice Requires="x14">
            <control shapeId="3234" r:id="rId10" name="Check Box 162">
              <controlPr locked="0" defaultSize="0" autoFill="0" autoLine="0" autoPict="0">
                <anchor moveWithCells="1" sizeWithCells="1">
                  <from>
                    <xdr:col>22</xdr:col>
                    <xdr:colOff>0</xdr:colOff>
                    <xdr:row>25</xdr:row>
                    <xdr:rowOff>0</xdr:rowOff>
                  </from>
                  <to>
                    <xdr:col>22</xdr:col>
                    <xdr:colOff>184150</xdr:colOff>
                    <xdr:row>25</xdr:row>
                    <xdr:rowOff>184150</xdr:rowOff>
                  </to>
                </anchor>
              </controlPr>
            </control>
          </mc:Choice>
        </mc:AlternateContent>
        <mc:AlternateContent xmlns:mc="http://schemas.openxmlformats.org/markup-compatibility/2006">
          <mc:Choice Requires="x14">
            <control shapeId="3235" r:id="rId11" name="Check Box 163">
              <controlPr locked="0" defaultSize="0" autoFill="0" autoLine="0" autoPict="0">
                <anchor moveWithCells="1" sizeWithCells="1">
                  <from>
                    <xdr:col>22</xdr:col>
                    <xdr:colOff>0</xdr:colOff>
                    <xdr:row>27</xdr:row>
                    <xdr:rowOff>0</xdr:rowOff>
                  </from>
                  <to>
                    <xdr:col>22</xdr:col>
                    <xdr:colOff>184150</xdr:colOff>
                    <xdr:row>27</xdr:row>
                    <xdr:rowOff>184150</xdr:rowOff>
                  </to>
                </anchor>
              </controlPr>
            </control>
          </mc:Choice>
        </mc:AlternateContent>
        <mc:AlternateContent xmlns:mc="http://schemas.openxmlformats.org/markup-compatibility/2006">
          <mc:Choice Requires="x14">
            <control shapeId="3236" r:id="rId12" name="Check Box 164">
              <controlPr locked="0" defaultSize="0" autoFill="0" autoLine="0" autoPict="0">
                <anchor moveWithCells="1" sizeWithCells="1">
                  <from>
                    <xdr:col>22</xdr:col>
                    <xdr:colOff>0</xdr:colOff>
                    <xdr:row>42</xdr:row>
                    <xdr:rowOff>0</xdr:rowOff>
                  </from>
                  <to>
                    <xdr:col>22</xdr:col>
                    <xdr:colOff>184150</xdr:colOff>
                    <xdr:row>42</xdr:row>
                    <xdr:rowOff>184150</xdr:rowOff>
                  </to>
                </anchor>
              </controlPr>
            </control>
          </mc:Choice>
        </mc:AlternateContent>
        <mc:AlternateContent xmlns:mc="http://schemas.openxmlformats.org/markup-compatibility/2006">
          <mc:Choice Requires="x14">
            <control shapeId="3237" r:id="rId13" name="Check Box 165">
              <controlPr locked="0" defaultSize="0" autoFill="0" autoLine="0" autoPict="0">
                <anchor moveWithCells="1" sizeWithCells="1">
                  <from>
                    <xdr:col>22</xdr:col>
                    <xdr:colOff>0</xdr:colOff>
                    <xdr:row>58</xdr:row>
                    <xdr:rowOff>0</xdr:rowOff>
                  </from>
                  <to>
                    <xdr:col>22</xdr:col>
                    <xdr:colOff>184150</xdr:colOff>
                    <xdr:row>58</xdr:row>
                    <xdr:rowOff>184150</xdr:rowOff>
                  </to>
                </anchor>
              </controlPr>
            </control>
          </mc:Choice>
        </mc:AlternateContent>
        <mc:AlternateContent xmlns:mc="http://schemas.openxmlformats.org/markup-compatibility/2006">
          <mc:Choice Requires="x14">
            <control shapeId="3238" r:id="rId14" name="Check Box 166">
              <controlPr locked="0" defaultSize="0" autoFill="0" autoLine="0" autoPict="0">
                <anchor moveWithCells="1" sizeWithCells="1">
                  <from>
                    <xdr:col>22</xdr:col>
                    <xdr:colOff>0</xdr:colOff>
                    <xdr:row>69</xdr:row>
                    <xdr:rowOff>0</xdr:rowOff>
                  </from>
                  <to>
                    <xdr:col>22</xdr:col>
                    <xdr:colOff>184150</xdr:colOff>
                    <xdr:row>69</xdr:row>
                    <xdr:rowOff>184150</xdr:rowOff>
                  </to>
                </anchor>
              </controlPr>
            </control>
          </mc:Choice>
        </mc:AlternateContent>
        <mc:AlternateContent xmlns:mc="http://schemas.openxmlformats.org/markup-compatibility/2006">
          <mc:Choice Requires="x14">
            <control shapeId="3239" r:id="rId15" name="Check Box 167">
              <controlPr locked="0" defaultSize="0" autoFill="0" autoLine="0" autoPict="0">
                <anchor moveWithCells="1" sizeWithCells="1">
                  <from>
                    <xdr:col>22</xdr:col>
                    <xdr:colOff>0</xdr:colOff>
                    <xdr:row>71</xdr:row>
                    <xdr:rowOff>0</xdr:rowOff>
                  </from>
                  <to>
                    <xdr:col>22</xdr:col>
                    <xdr:colOff>184150</xdr:colOff>
                    <xdr:row>71</xdr:row>
                    <xdr:rowOff>184150</xdr:rowOff>
                  </to>
                </anchor>
              </controlPr>
            </control>
          </mc:Choice>
        </mc:AlternateContent>
        <mc:AlternateContent xmlns:mc="http://schemas.openxmlformats.org/markup-compatibility/2006">
          <mc:Choice Requires="x14">
            <control shapeId="3240" r:id="rId16" name="Check Box 168">
              <controlPr locked="0" defaultSize="0" autoFill="0" autoLine="0" autoPict="0">
                <anchor moveWithCells="1" sizeWithCells="1">
                  <from>
                    <xdr:col>22</xdr:col>
                    <xdr:colOff>0</xdr:colOff>
                    <xdr:row>73</xdr:row>
                    <xdr:rowOff>0</xdr:rowOff>
                  </from>
                  <to>
                    <xdr:col>22</xdr:col>
                    <xdr:colOff>184150</xdr:colOff>
                    <xdr:row>73</xdr:row>
                    <xdr:rowOff>184150</xdr:rowOff>
                  </to>
                </anchor>
              </controlPr>
            </control>
          </mc:Choice>
        </mc:AlternateContent>
        <mc:AlternateContent xmlns:mc="http://schemas.openxmlformats.org/markup-compatibility/2006">
          <mc:Choice Requires="x14">
            <control shapeId="3241" r:id="rId17" name="Check Box 169">
              <controlPr locked="0" defaultSize="0" autoFill="0" autoLine="0" autoPict="0">
                <anchor moveWithCells="1" sizeWithCells="1">
                  <from>
                    <xdr:col>22</xdr:col>
                    <xdr:colOff>0</xdr:colOff>
                    <xdr:row>75</xdr:row>
                    <xdr:rowOff>0</xdr:rowOff>
                  </from>
                  <to>
                    <xdr:col>22</xdr:col>
                    <xdr:colOff>184150</xdr:colOff>
                    <xdr:row>75</xdr:row>
                    <xdr:rowOff>184150</xdr:rowOff>
                  </to>
                </anchor>
              </controlPr>
            </control>
          </mc:Choice>
        </mc:AlternateContent>
        <mc:AlternateContent xmlns:mc="http://schemas.openxmlformats.org/markup-compatibility/2006">
          <mc:Choice Requires="x14">
            <control shapeId="3242" r:id="rId18" name="Check Box 170">
              <controlPr locked="0" defaultSize="0" autoFill="0" autoLine="0" autoPict="0">
                <anchor moveWithCells="1" sizeWithCells="1">
                  <from>
                    <xdr:col>22</xdr:col>
                    <xdr:colOff>0</xdr:colOff>
                    <xdr:row>77</xdr:row>
                    <xdr:rowOff>0</xdr:rowOff>
                  </from>
                  <to>
                    <xdr:col>22</xdr:col>
                    <xdr:colOff>184150</xdr:colOff>
                    <xdr:row>77</xdr:row>
                    <xdr:rowOff>184150</xdr:rowOff>
                  </to>
                </anchor>
              </controlPr>
            </control>
          </mc:Choice>
        </mc:AlternateContent>
        <mc:AlternateContent xmlns:mc="http://schemas.openxmlformats.org/markup-compatibility/2006">
          <mc:Choice Requires="x14">
            <control shapeId="3243" r:id="rId19" name="Check Box 171">
              <controlPr locked="0" defaultSize="0" autoFill="0" autoLine="0" autoPict="0">
                <anchor moveWithCells="1" sizeWithCells="1">
                  <from>
                    <xdr:col>22</xdr:col>
                    <xdr:colOff>0</xdr:colOff>
                    <xdr:row>79</xdr:row>
                    <xdr:rowOff>0</xdr:rowOff>
                  </from>
                  <to>
                    <xdr:col>22</xdr:col>
                    <xdr:colOff>184150</xdr:colOff>
                    <xdr:row>79</xdr:row>
                    <xdr:rowOff>184150</xdr:rowOff>
                  </to>
                </anchor>
              </controlPr>
            </control>
          </mc:Choice>
        </mc:AlternateContent>
        <mc:AlternateContent xmlns:mc="http://schemas.openxmlformats.org/markup-compatibility/2006">
          <mc:Choice Requires="x14">
            <control shapeId="3244" r:id="rId20" name="Check Box 172">
              <controlPr locked="0" defaultSize="0" autoFill="0" autoLine="0" autoPict="0">
                <anchor moveWithCells="1" sizeWithCells="1">
                  <from>
                    <xdr:col>22</xdr:col>
                    <xdr:colOff>0</xdr:colOff>
                    <xdr:row>81</xdr:row>
                    <xdr:rowOff>0</xdr:rowOff>
                  </from>
                  <to>
                    <xdr:col>22</xdr:col>
                    <xdr:colOff>184150</xdr:colOff>
                    <xdr:row>81</xdr:row>
                    <xdr:rowOff>184150</xdr:rowOff>
                  </to>
                </anchor>
              </controlPr>
            </control>
          </mc:Choice>
        </mc:AlternateContent>
        <mc:AlternateContent xmlns:mc="http://schemas.openxmlformats.org/markup-compatibility/2006">
          <mc:Choice Requires="x14">
            <control shapeId="3245" r:id="rId21" name="Check Box 173">
              <controlPr locked="0" defaultSize="0" autoFill="0" autoLine="0" autoPict="0">
                <anchor moveWithCells="1" sizeWithCells="1">
                  <from>
                    <xdr:col>22</xdr:col>
                    <xdr:colOff>0</xdr:colOff>
                    <xdr:row>90</xdr:row>
                    <xdr:rowOff>0</xdr:rowOff>
                  </from>
                  <to>
                    <xdr:col>22</xdr:col>
                    <xdr:colOff>184150</xdr:colOff>
                    <xdr:row>90</xdr:row>
                    <xdr:rowOff>184150</xdr:rowOff>
                  </to>
                </anchor>
              </controlPr>
            </control>
          </mc:Choice>
        </mc:AlternateContent>
        <mc:AlternateContent xmlns:mc="http://schemas.openxmlformats.org/markup-compatibility/2006">
          <mc:Choice Requires="x14">
            <control shapeId="3246" r:id="rId22" name="Check Box 174">
              <controlPr locked="0" defaultSize="0" autoFill="0" autoLine="0" autoPict="0">
                <anchor moveWithCells="1" sizeWithCells="1">
                  <from>
                    <xdr:col>22</xdr:col>
                    <xdr:colOff>0</xdr:colOff>
                    <xdr:row>91</xdr:row>
                    <xdr:rowOff>0</xdr:rowOff>
                  </from>
                  <to>
                    <xdr:col>22</xdr:col>
                    <xdr:colOff>184150</xdr:colOff>
                    <xdr:row>91</xdr:row>
                    <xdr:rowOff>184150</xdr:rowOff>
                  </to>
                </anchor>
              </controlPr>
            </control>
          </mc:Choice>
        </mc:AlternateContent>
        <mc:AlternateContent xmlns:mc="http://schemas.openxmlformats.org/markup-compatibility/2006">
          <mc:Choice Requires="x14">
            <control shapeId="3248" r:id="rId23" name="Check Box 176">
              <controlPr locked="0" defaultSize="0" autoFill="0" autoLine="0" autoPict="0">
                <anchor moveWithCells="1" sizeWithCells="1">
                  <from>
                    <xdr:col>22</xdr:col>
                    <xdr:colOff>0</xdr:colOff>
                    <xdr:row>98</xdr:row>
                    <xdr:rowOff>0</xdr:rowOff>
                  </from>
                  <to>
                    <xdr:col>22</xdr:col>
                    <xdr:colOff>184150</xdr:colOff>
                    <xdr:row>98</xdr:row>
                    <xdr:rowOff>184150</xdr:rowOff>
                  </to>
                </anchor>
              </controlPr>
            </control>
          </mc:Choice>
        </mc:AlternateContent>
        <mc:AlternateContent xmlns:mc="http://schemas.openxmlformats.org/markup-compatibility/2006">
          <mc:Choice Requires="x14">
            <control shapeId="3249" r:id="rId24" name="Check Box 177">
              <controlPr locked="0" defaultSize="0" autoFill="0" autoLine="0" autoPict="0">
                <anchor moveWithCells="1" sizeWithCells="1">
                  <from>
                    <xdr:col>22</xdr:col>
                    <xdr:colOff>0</xdr:colOff>
                    <xdr:row>100</xdr:row>
                    <xdr:rowOff>0</xdr:rowOff>
                  </from>
                  <to>
                    <xdr:col>22</xdr:col>
                    <xdr:colOff>184150</xdr:colOff>
                    <xdr:row>100</xdr:row>
                    <xdr:rowOff>184150</xdr:rowOff>
                  </to>
                </anchor>
              </controlPr>
            </control>
          </mc:Choice>
        </mc:AlternateContent>
        <mc:AlternateContent xmlns:mc="http://schemas.openxmlformats.org/markup-compatibility/2006">
          <mc:Choice Requires="x14">
            <control shapeId="3250" r:id="rId25" name="Check Box 178">
              <controlPr locked="0" defaultSize="0" autoFill="0" autoLine="0" autoPict="0">
                <anchor moveWithCells="1" sizeWithCells="1">
                  <from>
                    <xdr:col>22</xdr:col>
                    <xdr:colOff>0</xdr:colOff>
                    <xdr:row>104</xdr:row>
                    <xdr:rowOff>0</xdr:rowOff>
                  </from>
                  <to>
                    <xdr:col>22</xdr:col>
                    <xdr:colOff>184150</xdr:colOff>
                    <xdr:row>104</xdr:row>
                    <xdr:rowOff>184150</xdr:rowOff>
                  </to>
                </anchor>
              </controlPr>
            </control>
          </mc:Choice>
        </mc:AlternateContent>
        <mc:AlternateContent xmlns:mc="http://schemas.openxmlformats.org/markup-compatibility/2006">
          <mc:Choice Requires="x14">
            <control shapeId="3251" r:id="rId26" name="Check Box 179">
              <controlPr locked="0" defaultSize="0" autoFill="0" autoLine="0" autoPict="0">
                <anchor moveWithCells="1" sizeWithCells="1">
                  <from>
                    <xdr:col>22</xdr:col>
                    <xdr:colOff>0</xdr:colOff>
                    <xdr:row>108</xdr:row>
                    <xdr:rowOff>0</xdr:rowOff>
                  </from>
                  <to>
                    <xdr:col>22</xdr:col>
                    <xdr:colOff>184150</xdr:colOff>
                    <xdr:row>108</xdr:row>
                    <xdr:rowOff>184150</xdr:rowOff>
                  </to>
                </anchor>
              </controlPr>
            </control>
          </mc:Choice>
        </mc:AlternateContent>
        <mc:AlternateContent xmlns:mc="http://schemas.openxmlformats.org/markup-compatibility/2006">
          <mc:Choice Requires="x14">
            <control shapeId="3252" r:id="rId27" name="Check Box 180">
              <controlPr locked="0" defaultSize="0" autoFill="0" autoLine="0" autoPict="0">
                <anchor moveWithCells="1" sizeWithCells="1">
                  <from>
                    <xdr:col>22</xdr:col>
                    <xdr:colOff>0</xdr:colOff>
                    <xdr:row>109</xdr:row>
                    <xdr:rowOff>0</xdr:rowOff>
                  </from>
                  <to>
                    <xdr:col>22</xdr:col>
                    <xdr:colOff>184150</xdr:colOff>
                    <xdr:row>109</xdr:row>
                    <xdr:rowOff>184150</xdr:rowOff>
                  </to>
                </anchor>
              </controlPr>
            </control>
          </mc:Choice>
        </mc:AlternateContent>
        <mc:AlternateContent xmlns:mc="http://schemas.openxmlformats.org/markup-compatibility/2006">
          <mc:Choice Requires="x14">
            <control shapeId="3253" r:id="rId28" name="Check Box 181">
              <controlPr locked="0" defaultSize="0" autoFill="0" autoLine="0" autoPict="0">
                <anchor moveWithCells="1" sizeWithCells="1">
                  <from>
                    <xdr:col>22</xdr:col>
                    <xdr:colOff>0</xdr:colOff>
                    <xdr:row>111</xdr:row>
                    <xdr:rowOff>0</xdr:rowOff>
                  </from>
                  <to>
                    <xdr:col>22</xdr:col>
                    <xdr:colOff>184150</xdr:colOff>
                    <xdr:row>111</xdr:row>
                    <xdr:rowOff>184150</xdr:rowOff>
                  </to>
                </anchor>
              </controlPr>
            </control>
          </mc:Choice>
        </mc:AlternateContent>
        <mc:AlternateContent xmlns:mc="http://schemas.openxmlformats.org/markup-compatibility/2006">
          <mc:Choice Requires="x14">
            <control shapeId="3254" r:id="rId29" name="Check Box 182">
              <controlPr locked="0" defaultSize="0" autoFill="0" autoLine="0" autoPict="0">
                <anchor moveWithCells="1" sizeWithCells="1">
                  <from>
                    <xdr:col>22</xdr:col>
                    <xdr:colOff>0</xdr:colOff>
                    <xdr:row>112</xdr:row>
                    <xdr:rowOff>0</xdr:rowOff>
                  </from>
                  <to>
                    <xdr:col>22</xdr:col>
                    <xdr:colOff>184150</xdr:colOff>
                    <xdr:row>112</xdr:row>
                    <xdr:rowOff>184150</xdr:rowOff>
                  </to>
                </anchor>
              </controlPr>
            </control>
          </mc:Choice>
        </mc:AlternateContent>
        <mc:AlternateContent xmlns:mc="http://schemas.openxmlformats.org/markup-compatibility/2006">
          <mc:Choice Requires="x14">
            <control shapeId="3255" r:id="rId30" name="Check Box 183">
              <controlPr locked="0" defaultSize="0" autoFill="0" autoLine="0" autoPict="0">
                <anchor moveWithCells="1" sizeWithCells="1">
                  <from>
                    <xdr:col>22</xdr:col>
                    <xdr:colOff>0</xdr:colOff>
                    <xdr:row>113</xdr:row>
                    <xdr:rowOff>0</xdr:rowOff>
                  </from>
                  <to>
                    <xdr:col>22</xdr:col>
                    <xdr:colOff>184150</xdr:colOff>
                    <xdr:row>113</xdr:row>
                    <xdr:rowOff>184150</xdr:rowOff>
                  </to>
                </anchor>
              </controlPr>
            </control>
          </mc:Choice>
        </mc:AlternateContent>
        <mc:AlternateContent xmlns:mc="http://schemas.openxmlformats.org/markup-compatibility/2006">
          <mc:Choice Requires="x14">
            <control shapeId="3256" r:id="rId31" name="Check Box 184">
              <controlPr locked="0" defaultSize="0" autoFill="0" autoLine="0" autoPict="0">
                <anchor moveWithCells="1" sizeWithCells="1">
                  <from>
                    <xdr:col>22</xdr:col>
                    <xdr:colOff>0</xdr:colOff>
                    <xdr:row>121</xdr:row>
                    <xdr:rowOff>0</xdr:rowOff>
                  </from>
                  <to>
                    <xdr:col>22</xdr:col>
                    <xdr:colOff>184150</xdr:colOff>
                    <xdr:row>121</xdr:row>
                    <xdr:rowOff>184150</xdr:rowOff>
                  </to>
                </anchor>
              </controlPr>
            </control>
          </mc:Choice>
        </mc:AlternateContent>
        <mc:AlternateContent xmlns:mc="http://schemas.openxmlformats.org/markup-compatibility/2006">
          <mc:Choice Requires="x14">
            <control shapeId="3257" r:id="rId32" name="Check Box 185">
              <controlPr locked="0" defaultSize="0" autoFill="0" autoLine="0" autoPict="0">
                <anchor moveWithCells="1" sizeWithCells="1">
                  <from>
                    <xdr:col>22</xdr:col>
                    <xdr:colOff>0</xdr:colOff>
                    <xdr:row>124</xdr:row>
                    <xdr:rowOff>0</xdr:rowOff>
                  </from>
                  <to>
                    <xdr:col>22</xdr:col>
                    <xdr:colOff>184150</xdr:colOff>
                    <xdr:row>124</xdr:row>
                    <xdr:rowOff>184150</xdr:rowOff>
                  </to>
                </anchor>
              </controlPr>
            </control>
          </mc:Choice>
        </mc:AlternateContent>
        <mc:AlternateContent xmlns:mc="http://schemas.openxmlformats.org/markup-compatibility/2006">
          <mc:Choice Requires="x14">
            <control shapeId="3260" r:id="rId33" name="Check Box 188">
              <controlPr locked="0" defaultSize="0" autoFill="0" autoLine="0" autoPict="0">
                <anchor moveWithCells="1" sizeWithCells="1">
                  <from>
                    <xdr:col>22</xdr:col>
                    <xdr:colOff>0</xdr:colOff>
                    <xdr:row>155</xdr:row>
                    <xdr:rowOff>0</xdr:rowOff>
                  </from>
                  <to>
                    <xdr:col>22</xdr:col>
                    <xdr:colOff>184150</xdr:colOff>
                    <xdr:row>155</xdr:row>
                    <xdr:rowOff>184150</xdr:rowOff>
                  </to>
                </anchor>
              </controlPr>
            </control>
          </mc:Choice>
        </mc:AlternateContent>
        <mc:AlternateContent xmlns:mc="http://schemas.openxmlformats.org/markup-compatibility/2006">
          <mc:Choice Requires="x14">
            <control shapeId="3261" r:id="rId34" name="Check Box 189">
              <controlPr locked="0" defaultSize="0" autoFill="0" autoLine="0" autoPict="0">
                <anchor moveWithCells="1" sizeWithCells="1">
                  <from>
                    <xdr:col>22</xdr:col>
                    <xdr:colOff>0</xdr:colOff>
                    <xdr:row>157</xdr:row>
                    <xdr:rowOff>0</xdr:rowOff>
                  </from>
                  <to>
                    <xdr:col>22</xdr:col>
                    <xdr:colOff>184150</xdr:colOff>
                    <xdr:row>157</xdr:row>
                    <xdr:rowOff>184150</xdr:rowOff>
                  </to>
                </anchor>
              </controlPr>
            </control>
          </mc:Choice>
        </mc:AlternateContent>
        <mc:AlternateContent xmlns:mc="http://schemas.openxmlformats.org/markup-compatibility/2006">
          <mc:Choice Requires="x14">
            <control shapeId="3262" r:id="rId35" name="Check Box 190">
              <controlPr locked="0" defaultSize="0" autoFill="0" autoLine="0" autoPict="0">
                <anchor moveWithCells="1" sizeWithCells="1">
                  <from>
                    <xdr:col>22</xdr:col>
                    <xdr:colOff>0</xdr:colOff>
                    <xdr:row>160</xdr:row>
                    <xdr:rowOff>0</xdr:rowOff>
                  </from>
                  <to>
                    <xdr:col>22</xdr:col>
                    <xdr:colOff>184150</xdr:colOff>
                    <xdr:row>160</xdr:row>
                    <xdr:rowOff>184150</xdr:rowOff>
                  </to>
                </anchor>
              </controlPr>
            </control>
          </mc:Choice>
        </mc:AlternateContent>
        <mc:AlternateContent xmlns:mc="http://schemas.openxmlformats.org/markup-compatibility/2006">
          <mc:Choice Requires="x14">
            <control shapeId="3263" r:id="rId36" name="Check Box 191">
              <controlPr locked="0" defaultSize="0" autoFill="0" autoLine="0" autoPict="0">
                <anchor moveWithCells="1" sizeWithCells="1">
                  <from>
                    <xdr:col>22</xdr:col>
                    <xdr:colOff>0</xdr:colOff>
                    <xdr:row>170</xdr:row>
                    <xdr:rowOff>0</xdr:rowOff>
                  </from>
                  <to>
                    <xdr:col>22</xdr:col>
                    <xdr:colOff>184150</xdr:colOff>
                    <xdr:row>170</xdr:row>
                    <xdr:rowOff>184150</xdr:rowOff>
                  </to>
                </anchor>
              </controlPr>
            </control>
          </mc:Choice>
        </mc:AlternateContent>
        <mc:AlternateContent xmlns:mc="http://schemas.openxmlformats.org/markup-compatibility/2006">
          <mc:Choice Requires="x14">
            <control shapeId="3264" r:id="rId37" name="Check Box 192">
              <controlPr locked="0" defaultSize="0" autoFill="0" autoLine="0" autoPict="0">
                <anchor moveWithCells="1" sizeWithCells="1">
                  <from>
                    <xdr:col>22</xdr:col>
                    <xdr:colOff>0</xdr:colOff>
                    <xdr:row>171</xdr:row>
                    <xdr:rowOff>0</xdr:rowOff>
                  </from>
                  <to>
                    <xdr:col>22</xdr:col>
                    <xdr:colOff>184150</xdr:colOff>
                    <xdr:row>171</xdr:row>
                    <xdr:rowOff>184150</xdr:rowOff>
                  </to>
                </anchor>
              </controlPr>
            </control>
          </mc:Choice>
        </mc:AlternateContent>
        <mc:AlternateContent xmlns:mc="http://schemas.openxmlformats.org/markup-compatibility/2006">
          <mc:Choice Requires="x14">
            <control shapeId="3265" r:id="rId38" name="Check Box 193">
              <controlPr locked="0" defaultSize="0" autoFill="0" autoLine="0" autoPict="0">
                <anchor moveWithCells="1" sizeWithCells="1">
                  <from>
                    <xdr:col>22</xdr:col>
                    <xdr:colOff>0</xdr:colOff>
                    <xdr:row>176</xdr:row>
                    <xdr:rowOff>0</xdr:rowOff>
                  </from>
                  <to>
                    <xdr:col>22</xdr:col>
                    <xdr:colOff>184150</xdr:colOff>
                    <xdr:row>176</xdr:row>
                    <xdr:rowOff>184150</xdr:rowOff>
                  </to>
                </anchor>
              </controlPr>
            </control>
          </mc:Choice>
        </mc:AlternateContent>
        <mc:AlternateContent xmlns:mc="http://schemas.openxmlformats.org/markup-compatibility/2006">
          <mc:Choice Requires="x14">
            <control shapeId="3266" r:id="rId39" name="Check Box 194">
              <controlPr locked="0" defaultSize="0" autoFill="0" autoLine="0" autoPict="0">
                <anchor moveWithCells="1" sizeWithCells="1">
                  <from>
                    <xdr:col>22</xdr:col>
                    <xdr:colOff>0</xdr:colOff>
                    <xdr:row>178</xdr:row>
                    <xdr:rowOff>0</xdr:rowOff>
                  </from>
                  <to>
                    <xdr:col>22</xdr:col>
                    <xdr:colOff>184150</xdr:colOff>
                    <xdr:row>178</xdr:row>
                    <xdr:rowOff>184150</xdr:rowOff>
                  </to>
                </anchor>
              </controlPr>
            </control>
          </mc:Choice>
        </mc:AlternateContent>
        <mc:AlternateContent xmlns:mc="http://schemas.openxmlformats.org/markup-compatibility/2006">
          <mc:Choice Requires="x14">
            <control shapeId="3267" r:id="rId40" name="Check Box 195">
              <controlPr locked="0" defaultSize="0" autoFill="0" autoLine="0" autoPict="0">
                <anchor moveWithCells="1" sizeWithCells="1">
                  <from>
                    <xdr:col>22</xdr:col>
                    <xdr:colOff>0</xdr:colOff>
                    <xdr:row>181</xdr:row>
                    <xdr:rowOff>0</xdr:rowOff>
                  </from>
                  <to>
                    <xdr:col>22</xdr:col>
                    <xdr:colOff>184150</xdr:colOff>
                    <xdr:row>181</xdr:row>
                    <xdr:rowOff>184150</xdr:rowOff>
                  </to>
                </anchor>
              </controlPr>
            </control>
          </mc:Choice>
        </mc:AlternateContent>
        <mc:AlternateContent xmlns:mc="http://schemas.openxmlformats.org/markup-compatibility/2006">
          <mc:Choice Requires="x14">
            <control shapeId="3268" r:id="rId41" name="Check Box 196">
              <controlPr locked="0" defaultSize="0" autoFill="0" autoLine="0" autoPict="0">
                <anchor moveWithCells="1" sizeWithCells="1">
                  <from>
                    <xdr:col>22</xdr:col>
                    <xdr:colOff>0</xdr:colOff>
                    <xdr:row>183</xdr:row>
                    <xdr:rowOff>0</xdr:rowOff>
                  </from>
                  <to>
                    <xdr:col>22</xdr:col>
                    <xdr:colOff>184150</xdr:colOff>
                    <xdr:row>183</xdr:row>
                    <xdr:rowOff>184150</xdr:rowOff>
                  </to>
                </anchor>
              </controlPr>
            </control>
          </mc:Choice>
        </mc:AlternateContent>
        <mc:AlternateContent xmlns:mc="http://schemas.openxmlformats.org/markup-compatibility/2006">
          <mc:Choice Requires="x14">
            <control shapeId="3269" r:id="rId42" name="Check Box 197">
              <controlPr locked="0" defaultSize="0" autoFill="0" autoLine="0" autoPict="0">
                <anchor moveWithCells="1" sizeWithCells="1">
                  <from>
                    <xdr:col>22</xdr:col>
                    <xdr:colOff>0</xdr:colOff>
                    <xdr:row>185</xdr:row>
                    <xdr:rowOff>0</xdr:rowOff>
                  </from>
                  <to>
                    <xdr:col>22</xdr:col>
                    <xdr:colOff>184150</xdr:colOff>
                    <xdr:row>185</xdr:row>
                    <xdr:rowOff>184150</xdr:rowOff>
                  </to>
                </anchor>
              </controlPr>
            </control>
          </mc:Choice>
        </mc:AlternateContent>
        <mc:AlternateContent xmlns:mc="http://schemas.openxmlformats.org/markup-compatibility/2006">
          <mc:Choice Requires="x14">
            <control shapeId="3270" r:id="rId43" name="Check Box 198">
              <controlPr locked="0" defaultSize="0" autoFill="0" autoLine="0" autoPict="0">
                <anchor moveWithCells="1" sizeWithCells="1">
                  <from>
                    <xdr:col>22</xdr:col>
                    <xdr:colOff>0</xdr:colOff>
                    <xdr:row>189</xdr:row>
                    <xdr:rowOff>0</xdr:rowOff>
                  </from>
                  <to>
                    <xdr:col>22</xdr:col>
                    <xdr:colOff>184150</xdr:colOff>
                    <xdr:row>189</xdr:row>
                    <xdr:rowOff>184150</xdr:rowOff>
                  </to>
                </anchor>
              </controlPr>
            </control>
          </mc:Choice>
        </mc:AlternateContent>
        <mc:AlternateContent xmlns:mc="http://schemas.openxmlformats.org/markup-compatibility/2006">
          <mc:Choice Requires="x14">
            <control shapeId="3271" r:id="rId44" name="Check Box 199">
              <controlPr locked="0" defaultSize="0" autoFill="0" autoLine="0" autoPict="0">
                <anchor moveWithCells="1" sizeWithCells="1">
                  <from>
                    <xdr:col>22</xdr:col>
                    <xdr:colOff>0</xdr:colOff>
                    <xdr:row>190</xdr:row>
                    <xdr:rowOff>0</xdr:rowOff>
                  </from>
                  <to>
                    <xdr:col>22</xdr:col>
                    <xdr:colOff>184150</xdr:colOff>
                    <xdr:row>190</xdr:row>
                    <xdr:rowOff>184150</xdr:rowOff>
                  </to>
                </anchor>
              </controlPr>
            </control>
          </mc:Choice>
        </mc:AlternateContent>
        <mc:AlternateContent xmlns:mc="http://schemas.openxmlformats.org/markup-compatibility/2006">
          <mc:Choice Requires="x14">
            <control shapeId="3272" r:id="rId45" name="Check Box 200">
              <controlPr locked="0" defaultSize="0" autoFill="0" autoLine="0" autoPict="0">
                <anchor moveWithCells="1" sizeWithCells="1">
                  <from>
                    <xdr:col>22</xdr:col>
                    <xdr:colOff>0</xdr:colOff>
                    <xdr:row>191</xdr:row>
                    <xdr:rowOff>0</xdr:rowOff>
                  </from>
                  <to>
                    <xdr:col>22</xdr:col>
                    <xdr:colOff>184150</xdr:colOff>
                    <xdr:row>191</xdr:row>
                    <xdr:rowOff>184150</xdr:rowOff>
                  </to>
                </anchor>
              </controlPr>
            </control>
          </mc:Choice>
        </mc:AlternateContent>
        <mc:AlternateContent xmlns:mc="http://schemas.openxmlformats.org/markup-compatibility/2006">
          <mc:Choice Requires="x14">
            <control shapeId="3273" r:id="rId46" name="Check Box 201">
              <controlPr locked="0" defaultSize="0" autoFill="0" autoLine="0" autoPict="0">
                <anchor moveWithCells="1" sizeWithCells="1">
                  <from>
                    <xdr:col>22</xdr:col>
                    <xdr:colOff>0</xdr:colOff>
                    <xdr:row>193</xdr:row>
                    <xdr:rowOff>0</xdr:rowOff>
                  </from>
                  <to>
                    <xdr:col>22</xdr:col>
                    <xdr:colOff>184150</xdr:colOff>
                    <xdr:row>193</xdr:row>
                    <xdr:rowOff>184150</xdr:rowOff>
                  </to>
                </anchor>
              </controlPr>
            </control>
          </mc:Choice>
        </mc:AlternateContent>
        <mc:AlternateContent xmlns:mc="http://schemas.openxmlformats.org/markup-compatibility/2006">
          <mc:Choice Requires="x14">
            <control shapeId="3276" r:id="rId47" name="Check Box 204">
              <controlPr locked="0" defaultSize="0" autoFill="0" autoLine="0" autoPict="0">
                <anchor moveWithCells="1" sizeWithCells="1">
                  <from>
                    <xdr:col>22</xdr:col>
                    <xdr:colOff>0</xdr:colOff>
                    <xdr:row>208</xdr:row>
                    <xdr:rowOff>0</xdr:rowOff>
                  </from>
                  <to>
                    <xdr:col>22</xdr:col>
                    <xdr:colOff>184150</xdr:colOff>
                    <xdr:row>208</xdr:row>
                    <xdr:rowOff>184150</xdr:rowOff>
                  </to>
                </anchor>
              </controlPr>
            </control>
          </mc:Choice>
        </mc:AlternateContent>
        <mc:AlternateContent xmlns:mc="http://schemas.openxmlformats.org/markup-compatibility/2006">
          <mc:Choice Requires="x14">
            <control shapeId="3277" r:id="rId48" name="Check Box 205">
              <controlPr locked="0" defaultSize="0" autoFill="0" autoLine="0" autoPict="0">
                <anchor moveWithCells="1" sizeWithCells="1">
                  <from>
                    <xdr:col>22</xdr:col>
                    <xdr:colOff>0</xdr:colOff>
                    <xdr:row>215</xdr:row>
                    <xdr:rowOff>0</xdr:rowOff>
                  </from>
                  <to>
                    <xdr:col>22</xdr:col>
                    <xdr:colOff>184150</xdr:colOff>
                    <xdr:row>215</xdr:row>
                    <xdr:rowOff>184150</xdr:rowOff>
                  </to>
                </anchor>
              </controlPr>
            </control>
          </mc:Choice>
        </mc:AlternateContent>
        <mc:AlternateContent xmlns:mc="http://schemas.openxmlformats.org/markup-compatibility/2006">
          <mc:Choice Requires="x14">
            <control shapeId="3278" r:id="rId49" name="Check Box 206">
              <controlPr locked="0" defaultSize="0" autoFill="0" autoLine="0" autoPict="0">
                <anchor moveWithCells="1" sizeWithCells="1">
                  <from>
                    <xdr:col>22</xdr:col>
                    <xdr:colOff>0</xdr:colOff>
                    <xdr:row>216</xdr:row>
                    <xdr:rowOff>0</xdr:rowOff>
                  </from>
                  <to>
                    <xdr:col>22</xdr:col>
                    <xdr:colOff>184150</xdr:colOff>
                    <xdr:row>216</xdr:row>
                    <xdr:rowOff>184150</xdr:rowOff>
                  </to>
                </anchor>
              </controlPr>
            </control>
          </mc:Choice>
        </mc:AlternateContent>
        <mc:AlternateContent xmlns:mc="http://schemas.openxmlformats.org/markup-compatibility/2006">
          <mc:Choice Requires="x14">
            <control shapeId="3279" r:id="rId50" name="Check Box 207">
              <controlPr locked="0" defaultSize="0" autoFill="0" autoLine="0" autoPict="0">
                <anchor moveWithCells="1" sizeWithCells="1">
                  <from>
                    <xdr:col>22</xdr:col>
                    <xdr:colOff>0</xdr:colOff>
                    <xdr:row>218</xdr:row>
                    <xdr:rowOff>0</xdr:rowOff>
                  </from>
                  <to>
                    <xdr:col>22</xdr:col>
                    <xdr:colOff>184150</xdr:colOff>
                    <xdr:row>218</xdr:row>
                    <xdr:rowOff>184150</xdr:rowOff>
                  </to>
                </anchor>
              </controlPr>
            </control>
          </mc:Choice>
        </mc:AlternateContent>
        <mc:AlternateContent xmlns:mc="http://schemas.openxmlformats.org/markup-compatibility/2006">
          <mc:Choice Requires="x14">
            <control shapeId="3280" r:id="rId51" name="Check Box 208">
              <controlPr locked="0" defaultSize="0" autoFill="0" autoLine="0" autoPict="0">
                <anchor moveWithCells="1" sizeWithCells="1">
                  <from>
                    <xdr:col>22</xdr:col>
                    <xdr:colOff>0</xdr:colOff>
                    <xdr:row>223</xdr:row>
                    <xdr:rowOff>0</xdr:rowOff>
                  </from>
                  <to>
                    <xdr:col>22</xdr:col>
                    <xdr:colOff>184150</xdr:colOff>
                    <xdr:row>223</xdr:row>
                    <xdr:rowOff>184150</xdr:rowOff>
                  </to>
                </anchor>
              </controlPr>
            </control>
          </mc:Choice>
        </mc:AlternateContent>
        <mc:AlternateContent xmlns:mc="http://schemas.openxmlformats.org/markup-compatibility/2006">
          <mc:Choice Requires="x14">
            <control shapeId="3281" r:id="rId52" name="Check Box 209">
              <controlPr locked="0" defaultSize="0" autoFill="0" autoLine="0" autoPict="0">
                <anchor moveWithCells="1" sizeWithCells="1">
                  <from>
                    <xdr:col>22</xdr:col>
                    <xdr:colOff>0</xdr:colOff>
                    <xdr:row>225</xdr:row>
                    <xdr:rowOff>0</xdr:rowOff>
                  </from>
                  <to>
                    <xdr:col>22</xdr:col>
                    <xdr:colOff>184150</xdr:colOff>
                    <xdr:row>225</xdr:row>
                    <xdr:rowOff>184150</xdr:rowOff>
                  </to>
                </anchor>
              </controlPr>
            </control>
          </mc:Choice>
        </mc:AlternateContent>
        <mc:AlternateContent xmlns:mc="http://schemas.openxmlformats.org/markup-compatibility/2006">
          <mc:Choice Requires="x14">
            <control shapeId="3282" r:id="rId53" name="Check Box 210">
              <controlPr locked="0" defaultSize="0" autoFill="0" autoLine="0" autoPict="0">
                <anchor moveWithCells="1" sizeWithCells="1">
                  <from>
                    <xdr:col>22</xdr:col>
                    <xdr:colOff>0</xdr:colOff>
                    <xdr:row>226</xdr:row>
                    <xdr:rowOff>0</xdr:rowOff>
                  </from>
                  <to>
                    <xdr:col>22</xdr:col>
                    <xdr:colOff>184150</xdr:colOff>
                    <xdr:row>226</xdr:row>
                    <xdr:rowOff>184150</xdr:rowOff>
                  </to>
                </anchor>
              </controlPr>
            </control>
          </mc:Choice>
        </mc:AlternateContent>
        <mc:AlternateContent xmlns:mc="http://schemas.openxmlformats.org/markup-compatibility/2006">
          <mc:Choice Requires="x14">
            <control shapeId="3283" r:id="rId54" name="Check Box 211">
              <controlPr locked="0" defaultSize="0" autoFill="0" autoLine="0" autoPict="0">
                <anchor moveWithCells="1" sizeWithCells="1">
                  <from>
                    <xdr:col>22</xdr:col>
                    <xdr:colOff>0</xdr:colOff>
                    <xdr:row>228</xdr:row>
                    <xdr:rowOff>0</xdr:rowOff>
                  </from>
                  <to>
                    <xdr:col>22</xdr:col>
                    <xdr:colOff>184150</xdr:colOff>
                    <xdr:row>228</xdr:row>
                    <xdr:rowOff>184150</xdr:rowOff>
                  </to>
                </anchor>
              </controlPr>
            </control>
          </mc:Choice>
        </mc:AlternateContent>
        <mc:AlternateContent xmlns:mc="http://schemas.openxmlformats.org/markup-compatibility/2006">
          <mc:Choice Requires="x14">
            <control shapeId="3284" r:id="rId55" name="Check Box 212">
              <controlPr locked="0" defaultSize="0" autoFill="0" autoLine="0" autoPict="0">
                <anchor moveWithCells="1" sizeWithCells="1">
                  <from>
                    <xdr:col>22</xdr:col>
                    <xdr:colOff>0</xdr:colOff>
                    <xdr:row>230</xdr:row>
                    <xdr:rowOff>0</xdr:rowOff>
                  </from>
                  <to>
                    <xdr:col>22</xdr:col>
                    <xdr:colOff>184150</xdr:colOff>
                    <xdr:row>230</xdr:row>
                    <xdr:rowOff>184150</xdr:rowOff>
                  </to>
                </anchor>
              </controlPr>
            </control>
          </mc:Choice>
        </mc:AlternateContent>
        <mc:AlternateContent xmlns:mc="http://schemas.openxmlformats.org/markup-compatibility/2006">
          <mc:Choice Requires="x14">
            <control shapeId="3285" r:id="rId56" name="Check Box 213">
              <controlPr locked="0" defaultSize="0" autoFill="0" autoLine="0" autoPict="0">
                <anchor moveWithCells="1" sizeWithCells="1">
                  <from>
                    <xdr:col>22</xdr:col>
                    <xdr:colOff>0</xdr:colOff>
                    <xdr:row>234</xdr:row>
                    <xdr:rowOff>0</xdr:rowOff>
                  </from>
                  <to>
                    <xdr:col>22</xdr:col>
                    <xdr:colOff>184150</xdr:colOff>
                    <xdr:row>234</xdr:row>
                    <xdr:rowOff>184150</xdr:rowOff>
                  </to>
                </anchor>
              </controlPr>
            </control>
          </mc:Choice>
        </mc:AlternateContent>
        <mc:AlternateContent xmlns:mc="http://schemas.openxmlformats.org/markup-compatibility/2006">
          <mc:Choice Requires="x14">
            <control shapeId="3286" r:id="rId57" name="Check Box 214">
              <controlPr locked="0" defaultSize="0" autoFill="0" autoLine="0" autoPict="0">
                <anchor moveWithCells="1" sizeWithCells="1">
                  <from>
                    <xdr:col>22</xdr:col>
                    <xdr:colOff>0</xdr:colOff>
                    <xdr:row>237</xdr:row>
                    <xdr:rowOff>0</xdr:rowOff>
                  </from>
                  <to>
                    <xdr:col>22</xdr:col>
                    <xdr:colOff>184150</xdr:colOff>
                    <xdr:row>237</xdr:row>
                    <xdr:rowOff>184150</xdr:rowOff>
                  </to>
                </anchor>
              </controlPr>
            </control>
          </mc:Choice>
        </mc:AlternateContent>
        <mc:AlternateContent xmlns:mc="http://schemas.openxmlformats.org/markup-compatibility/2006">
          <mc:Choice Requires="x14">
            <control shapeId="3287" r:id="rId58" name="Check Box 215">
              <controlPr locked="0" defaultSize="0" autoFill="0" autoLine="0" autoPict="0">
                <anchor moveWithCells="1" sizeWithCells="1">
                  <from>
                    <xdr:col>22</xdr:col>
                    <xdr:colOff>0</xdr:colOff>
                    <xdr:row>239</xdr:row>
                    <xdr:rowOff>0</xdr:rowOff>
                  </from>
                  <to>
                    <xdr:col>22</xdr:col>
                    <xdr:colOff>184150</xdr:colOff>
                    <xdr:row>239</xdr:row>
                    <xdr:rowOff>184150</xdr:rowOff>
                  </to>
                </anchor>
              </controlPr>
            </control>
          </mc:Choice>
        </mc:AlternateContent>
        <mc:AlternateContent xmlns:mc="http://schemas.openxmlformats.org/markup-compatibility/2006">
          <mc:Choice Requires="x14">
            <control shapeId="3288" r:id="rId59" name="Check Box 216">
              <controlPr locked="0" defaultSize="0" autoFill="0" autoLine="0" autoPict="0">
                <anchor moveWithCells="1" sizeWithCells="1">
                  <from>
                    <xdr:col>22</xdr:col>
                    <xdr:colOff>0</xdr:colOff>
                    <xdr:row>240</xdr:row>
                    <xdr:rowOff>0</xdr:rowOff>
                  </from>
                  <to>
                    <xdr:col>22</xdr:col>
                    <xdr:colOff>184150</xdr:colOff>
                    <xdr:row>240</xdr:row>
                    <xdr:rowOff>184150</xdr:rowOff>
                  </to>
                </anchor>
              </controlPr>
            </control>
          </mc:Choice>
        </mc:AlternateContent>
        <mc:AlternateContent xmlns:mc="http://schemas.openxmlformats.org/markup-compatibility/2006">
          <mc:Choice Requires="x14">
            <control shapeId="3289" r:id="rId60" name="Check Box 217">
              <controlPr locked="0" defaultSize="0" autoFill="0" autoLine="0" autoPict="0">
                <anchor moveWithCells="1" sizeWithCells="1">
                  <from>
                    <xdr:col>22</xdr:col>
                    <xdr:colOff>0</xdr:colOff>
                    <xdr:row>241</xdr:row>
                    <xdr:rowOff>0</xdr:rowOff>
                  </from>
                  <to>
                    <xdr:col>22</xdr:col>
                    <xdr:colOff>184150</xdr:colOff>
                    <xdr:row>241</xdr:row>
                    <xdr:rowOff>184150</xdr:rowOff>
                  </to>
                </anchor>
              </controlPr>
            </control>
          </mc:Choice>
        </mc:AlternateContent>
        <mc:AlternateContent xmlns:mc="http://schemas.openxmlformats.org/markup-compatibility/2006">
          <mc:Choice Requires="x14">
            <control shapeId="3290" r:id="rId61" name="Check Box 218">
              <controlPr locked="0" defaultSize="0" autoFill="0" autoLine="0" autoPict="0">
                <anchor moveWithCells="1" sizeWithCells="1">
                  <from>
                    <xdr:col>22</xdr:col>
                    <xdr:colOff>0</xdr:colOff>
                    <xdr:row>242</xdr:row>
                    <xdr:rowOff>0</xdr:rowOff>
                  </from>
                  <to>
                    <xdr:col>22</xdr:col>
                    <xdr:colOff>184150</xdr:colOff>
                    <xdr:row>242</xdr:row>
                    <xdr:rowOff>184150</xdr:rowOff>
                  </to>
                </anchor>
              </controlPr>
            </control>
          </mc:Choice>
        </mc:AlternateContent>
        <mc:AlternateContent xmlns:mc="http://schemas.openxmlformats.org/markup-compatibility/2006">
          <mc:Choice Requires="x14">
            <control shapeId="3291" r:id="rId62" name="Check Box 219">
              <controlPr locked="0" defaultSize="0" autoFill="0" autoLine="0" autoPict="0">
                <anchor moveWithCells="1" sizeWithCells="1">
                  <from>
                    <xdr:col>22</xdr:col>
                    <xdr:colOff>0</xdr:colOff>
                    <xdr:row>243</xdr:row>
                    <xdr:rowOff>0</xdr:rowOff>
                  </from>
                  <to>
                    <xdr:col>22</xdr:col>
                    <xdr:colOff>184150</xdr:colOff>
                    <xdr:row>243</xdr:row>
                    <xdr:rowOff>184150</xdr:rowOff>
                  </to>
                </anchor>
              </controlPr>
            </control>
          </mc:Choice>
        </mc:AlternateContent>
        <mc:AlternateContent xmlns:mc="http://schemas.openxmlformats.org/markup-compatibility/2006">
          <mc:Choice Requires="x14">
            <control shapeId="3292" r:id="rId63" name="Check Box 220">
              <controlPr locked="0" defaultSize="0" autoFill="0" autoLine="0" autoPict="0">
                <anchor moveWithCells="1" sizeWithCells="1">
                  <from>
                    <xdr:col>22</xdr:col>
                    <xdr:colOff>0</xdr:colOff>
                    <xdr:row>244</xdr:row>
                    <xdr:rowOff>0</xdr:rowOff>
                  </from>
                  <to>
                    <xdr:col>22</xdr:col>
                    <xdr:colOff>184150</xdr:colOff>
                    <xdr:row>244</xdr:row>
                    <xdr:rowOff>184150</xdr:rowOff>
                  </to>
                </anchor>
              </controlPr>
            </control>
          </mc:Choice>
        </mc:AlternateContent>
        <mc:AlternateContent xmlns:mc="http://schemas.openxmlformats.org/markup-compatibility/2006">
          <mc:Choice Requires="x14">
            <control shapeId="3293" r:id="rId64" name="Check Box 221">
              <controlPr locked="0" defaultSize="0" autoFill="0" autoLine="0" autoPict="0">
                <anchor moveWithCells="1" sizeWithCells="1">
                  <from>
                    <xdr:col>22</xdr:col>
                    <xdr:colOff>0</xdr:colOff>
                    <xdr:row>246</xdr:row>
                    <xdr:rowOff>0</xdr:rowOff>
                  </from>
                  <to>
                    <xdr:col>22</xdr:col>
                    <xdr:colOff>184150</xdr:colOff>
                    <xdr:row>246</xdr:row>
                    <xdr:rowOff>184150</xdr:rowOff>
                  </to>
                </anchor>
              </controlPr>
            </control>
          </mc:Choice>
        </mc:AlternateContent>
        <mc:AlternateContent xmlns:mc="http://schemas.openxmlformats.org/markup-compatibility/2006">
          <mc:Choice Requires="x14">
            <control shapeId="3294" r:id="rId65" name="Check Box 222">
              <controlPr locked="0" defaultSize="0" autoFill="0" autoLine="0" autoPict="0">
                <anchor moveWithCells="1" sizeWithCells="1">
                  <from>
                    <xdr:col>22</xdr:col>
                    <xdr:colOff>0</xdr:colOff>
                    <xdr:row>253</xdr:row>
                    <xdr:rowOff>0</xdr:rowOff>
                  </from>
                  <to>
                    <xdr:col>22</xdr:col>
                    <xdr:colOff>184150</xdr:colOff>
                    <xdr:row>253</xdr:row>
                    <xdr:rowOff>184150</xdr:rowOff>
                  </to>
                </anchor>
              </controlPr>
            </control>
          </mc:Choice>
        </mc:AlternateContent>
        <mc:AlternateContent xmlns:mc="http://schemas.openxmlformats.org/markup-compatibility/2006">
          <mc:Choice Requires="x14">
            <control shapeId="3295" r:id="rId66" name="Check Box 223">
              <controlPr locked="0" defaultSize="0" autoFill="0" autoLine="0" autoPict="0">
                <anchor moveWithCells="1" sizeWithCells="1">
                  <from>
                    <xdr:col>22</xdr:col>
                    <xdr:colOff>0</xdr:colOff>
                    <xdr:row>255</xdr:row>
                    <xdr:rowOff>0</xdr:rowOff>
                  </from>
                  <to>
                    <xdr:col>22</xdr:col>
                    <xdr:colOff>184150</xdr:colOff>
                    <xdr:row>255</xdr:row>
                    <xdr:rowOff>184150</xdr:rowOff>
                  </to>
                </anchor>
              </controlPr>
            </control>
          </mc:Choice>
        </mc:AlternateContent>
        <mc:AlternateContent xmlns:mc="http://schemas.openxmlformats.org/markup-compatibility/2006">
          <mc:Choice Requires="x14">
            <control shapeId="3296" r:id="rId67" name="Check Box 224">
              <controlPr locked="0" defaultSize="0" autoFill="0" autoLine="0" autoPict="0">
                <anchor moveWithCells="1" sizeWithCells="1">
                  <from>
                    <xdr:col>22</xdr:col>
                    <xdr:colOff>0</xdr:colOff>
                    <xdr:row>264</xdr:row>
                    <xdr:rowOff>0</xdr:rowOff>
                  </from>
                  <to>
                    <xdr:col>22</xdr:col>
                    <xdr:colOff>184150</xdr:colOff>
                    <xdr:row>264</xdr:row>
                    <xdr:rowOff>184150</xdr:rowOff>
                  </to>
                </anchor>
              </controlPr>
            </control>
          </mc:Choice>
        </mc:AlternateContent>
        <mc:AlternateContent xmlns:mc="http://schemas.openxmlformats.org/markup-compatibility/2006">
          <mc:Choice Requires="x14">
            <control shapeId="3297" r:id="rId68" name="Check Box 225">
              <controlPr locked="0" defaultSize="0" autoFill="0" autoLine="0" autoPict="0">
                <anchor moveWithCells="1" sizeWithCells="1">
                  <from>
                    <xdr:col>22</xdr:col>
                    <xdr:colOff>0</xdr:colOff>
                    <xdr:row>267</xdr:row>
                    <xdr:rowOff>0</xdr:rowOff>
                  </from>
                  <to>
                    <xdr:col>22</xdr:col>
                    <xdr:colOff>184150</xdr:colOff>
                    <xdr:row>267</xdr:row>
                    <xdr:rowOff>184150</xdr:rowOff>
                  </to>
                </anchor>
              </controlPr>
            </control>
          </mc:Choice>
        </mc:AlternateContent>
        <mc:AlternateContent xmlns:mc="http://schemas.openxmlformats.org/markup-compatibility/2006">
          <mc:Choice Requires="x14">
            <control shapeId="3298" r:id="rId69" name="Check Box 226">
              <controlPr locked="0" defaultSize="0" autoFill="0" autoLine="0" autoPict="0">
                <anchor moveWithCells="1" sizeWithCells="1">
                  <from>
                    <xdr:col>22</xdr:col>
                    <xdr:colOff>0</xdr:colOff>
                    <xdr:row>271</xdr:row>
                    <xdr:rowOff>0</xdr:rowOff>
                  </from>
                  <to>
                    <xdr:col>22</xdr:col>
                    <xdr:colOff>184150</xdr:colOff>
                    <xdr:row>271</xdr:row>
                    <xdr:rowOff>184150</xdr:rowOff>
                  </to>
                </anchor>
              </controlPr>
            </control>
          </mc:Choice>
        </mc:AlternateContent>
        <mc:AlternateContent xmlns:mc="http://schemas.openxmlformats.org/markup-compatibility/2006">
          <mc:Choice Requires="x14">
            <control shapeId="3299" r:id="rId70" name="Check Box 227">
              <controlPr locked="0" defaultSize="0" autoFill="0" autoLine="0" autoPict="0">
                <anchor moveWithCells="1" sizeWithCells="1">
                  <from>
                    <xdr:col>22</xdr:col>
                    <xdr:colOff>0</xdr:colOff>
                    <xdr:row>272</xdr:row>
                    <xdr:rowOff>0</xdr:rowOff>
                  </from>
                  <to>
                    <xdr:col>22</xdr:col>
                    <xdr:colOff>184150</xdr:colOff>
                    <xdr:row>272</xdr:row>
                    <xdr:rowOff>184150</xdr:rowOff>
                  </to>
                </anchor>
              </controlPr>
            </control>
          </mc:Choice>
        </mc:AlternateContent>
        <mc:AlternateContent xmlns:mc="http://schemas.openxmlformats.org/markup-compatibility/2006">
          <mc:Choice Requires="x14">
            <control shapeId="3300" r:id="rId71" name="Check Box 228">
              <controlPr locked="0" defaultSize="0" autoFill="0" autoLine="0" autoPict="0">
                <anchor moveWithCells="1" sizeWithCells="1">
                  <from>
                    <xdr:col>22</xdr:col>
                    <xdr:colOff>0</xdr:colOff>
                    <xdr:row>282</xdr:row>
                    <xdr:rowOff>0</xdr:rowOff>
                  </from>
                  <to>
                    <xdr:col>22</xdr:col>
                    <xdr:colOff>184150</xdr:colOff>
                    <xdr:row>282</xdr:row>
                    <xdr:rowOff>184150</xdr:rowOff>
                  </to>
                </anchor>
              </controlPr>
            </control>
          </mc:Choice>
        </mc:AlternateContent>
        <mc:AlternateContent xmlns:mc="http://schemas.openxmlformats.org/markup-compatibility/2006">
          <mc:Choice Requires="x14">
            <control shapeId="3306" r:id="rId72" name="Check Box 234">
              <controlPr locked="0" defaultSize="0" autoFill="0" autoLine="0" autoPict="0">
                <anchor moveWithCells="1" sizeWithCells="1">
                  <from>
                    <xdr:col>22</xdr:col>
                    <xdr:colOff>0</xdr:colOff>
                    <xdr:row>50</xdr:row>
                    <xdr:rowOff>0</xdr:rowOff>
                  </from>
                  <to>
                    <xdr:col>22</xdr:col>
                    <xdr:colOff>184150</xdr:colOff>
                    <xdr:row>50</xdr:row>
                    <xdr:rowOff>184150</xdr:rowOff>
                  </to>
                </anchor>
              </controlPr>
            </control>
          </mc:Choice>
        </mc:AlternateContent>
        <mc:AlternateContent xmlns:mc="http://schemas.openxmlformats.org/markup-compatibility/2006">
          <mc:Choice Requires="x14">
            <control shapeId="3309" r:id="rId73" name="Check Box 237">
              <controlPr locked="0" defaultSize="0" autoFill="0" autoLine="0" autoPict="0">
                <anchor moveWithCells="1" sizeWithCells="1">
                  <from>
                    <xdr:col>22</xdr:col>
                    <xdr:colOff>0</xdr:colOff>
                    <xdr:row>52</xdr:row>
                    <xdr:rowOff>0</xdr:rowOff>
                  </from>
                  <to>
                    <xdr:col>22</xdr:col>
                    <xdr:colOff>184150</xdr:colOff>
                    <xdr:row>52</xdr:row>
                    <xdr:rowOff>184150</xdr:rowOff>
                  </to>
                </anchor>
              </controlPr>
            </control>
          </mc:Choice>
        </mc:AlternateContent>
        <mc:AlternateContent xmlns:mc="http://schemas.openxmlformats.org/markup-compatibility/2006">
          <mc:Choice Requires="x14">
            <control shapeId="3310" r:id="rId74" name="Check Box 238">
              <controlPr locked="0" defaultSize="0" autoFill="0" autoLine="0" autoPict="0">
                <anchor moveWithCells="1" sizeWithCells="1">
                  <from>
                    <xdr:col>22</xdr:col>
                    <xdr:colOff>0</xdr:colOff>
                    <xdr:row>55</xdr:row>
                    <xdr:rowOff>0</xdr:rowOff>
                  </from>
                  <to>
                    <xdr:col>22</xdr:col>
                    <xdr:colOff>184150</xdr:colOff>
                    <xdr:row>55</xdr:row>
                    <xdr:rowOff>184150</xdr:rowOff>
                  </to>
                </anchor>
              </controlPr>
            </control>
          </mc:Choice>
        </mc:AlternateContent>
        <mc:AlternateContent xmlns:mc="http://schemas.openxmlformats.org/markup-compatibility/2006">
          <mc:Choice Requires="x14">
            <control shapeId="3312" r:id="rId75" name="Check Box 240">
              <controlPr locked="0" defaultSize="0" autoFill="0" autoLine="0" autoPict="0">
                <anchor moveWithCells="1" sizeWithCells="1">
                  <from>
                    <xdr:col>22</xdr:col>
                    <xdr:colOff>0</xdr:colOff>
                    <xdr:row>83</xdr:row>
                    <xdr:rowOff>0</xdr:rowOff>
                  </from>
                  <to>
                    <xdr:col>22</xdr:col>
                    <xdr:colOff>184150</xdr:colOff>
                    <xdr:row>83</xdr:row>
                    <xdr:rowOff>184150</xdr:rowOff>
                  </to>
                </anchor>
              </controlPr>
            </control>
          </mc:Choice>
        </mc:AlternateContent>
        <mc:AlternateContent xmlns:mc="http://schemas.openxmlformats.org/markup-compatibility/2006">
          <mc:Choice Requires="x14">
            <control shapeId="3314" r:id="rId76" name="Check Box 242">
              <controlPr locked="0" defaultSize="0" autoFill="0" autoLine="0" autoPict="0">
                <anchor moveWithCells="1" sizeWithCells="1">
                  <from>
                    <xdr:col>22</xdr:col>
                    <xdr:colOff>0</xdr:colOff>
                    <xdr:row>140</xdr:row>
                    <xdr:rowOff>0</xdr:rowOff>
                  </from>
                  <to>
                    <xdr:col>22</xdr:col>
                    <xdr:colOff>184150</xdr:colOff>
                    <xdr:row>140</xdr:row>
                    <xdr:rowOff>184150</xdr:rowOff>
                  </to>
                </anchor>
              </controlPr>
            </control>
          </mc:Choice>
        </mc:AlternateContent>
        <mc:AlternateContent xmlns:mc="http://schemas.openxmlformats.org/markup-compatibility/2006">
          <mc:Choice Requires="x14">
            <control shapeId="3315" r:id="rId77" name="Check Box 243">
              <controlPr locked="0" defaultSize="0" autoFill="0" autoLine="0" autoPict="0">
                <anchor moveWithCells="1" sizeWithCells="1">
                  <from>
                    <xdr:col>22</xdr:col>
                    <xdr:colOff>0</xdr:colOff>
                    <xdr:row>142</xdr:row>
                    <xdr:rowOff>0</xdr:rowOff>
                  </from>
                  <to>
                    <xdr:col>22</xdr:col>
                    <xdr:colOff>184150</xdr:colOff>
                    <xdr:row>142</xdr:row>
                    <xdr:rowOff>184150</xdr:rowOff>
                  </to>
                </anchor>
              </controlPr>
            </control>
          </mc:Choice>
        </mc:AlternateContent>
        <mc:AlternateContent xmlns:mc="http://schemas.openxmlformats.org/markup-compatibility/2006">
          <mc:Choice Requires="x14">
            <control shapeId="3318" r:id="rId78" name="Check Box 246">
              <controlPr locked="0" defaultSize="0" autoFill="0" autoLine="0" autoPict="0">
                <anchor moveWithCells="1" sizeWithCells="1">
                  <from>
                    <xdr:col>22</xdr:col>
                    <xdr:colOff>0</xdr:colOff>
                    <xdr:row>162</xdr:row>
                    <xdr:rowOff>0</xdr:rowOff>
                  </from>
                  <to>
                    <xdr:col>22</xdr:col>
                    <xdr:colOff>184150</xdr:colOff>
                    <xdr:row>162</xdr:row>
                    <xdr:rowOff>184150</xdr:rowOff>
                  </to>
                </anchor>
              </controlPr>
            </control>
          </mc:Choice>
        </mc:AlternateContent>
        <mc:AlternateContent xmlns:mc="http://schemas.openxmlformats.org/markup-compatibility/2006">
          <mc:Choice Requires="x14">
            <control shapeId="3321" r:id="rId79" name="Check Box 249">
              <controlPr locked="0" defaultSize="0" autoFill="0" autoLine="0" autoPict="0">
                <anchor moveWithCells="1" sizeWithCells="1">
                  <from>
                    <xdr:col>22</xdr:col>
                    <xdr:colOff>0</xdr:colOff>
                    <xdr:row>288</xdr:row>
                    <xdr:rowOff>0</xdr:rowOff>
                  </from>
                  <to>
                    <xdr:col>22</xdr:col>
                    <xdr:colOff>184150</xdr:colOff>
                    <xdr:row>288</xdr:row>
                    <xdr:rowOff>184150</xdr:rowOff>
                  </to>
                </anchor>
              </controlPr>
            </control>
          </mc:Choice>
        </mc:AlternateContent>
        <mc:AlternateContent xmlns:mc="http://schemas.openxmlformats.org/markup-compatibility/2006">
          <mc:Choice Requires="x14">
            <control shapeId="3322" r:id="rId80" name="Check Box 250">
              <controlPr locked="0" defaultSize="0" autoFill="0" autoLine="0" autoPict="0">
                <anchor moveWithCells="1" sizeWithCells="1">
                  <from>
                    <xdr:col>22</xdr:col>
                    <xdr:colOff>0</xdr:colOff>
                    <xdr:row>291</xdr:row>
                    <xdr:rowOff>0</xdr:rowOff>
                  </from>
                  <to>
                    <xdr:col>22</xdr:col>
                    <xdr:colOff>184150</xdr:colOff>
                    <xdr:row>291</xdr:row>
                    <xdr:rowOff>184150</xdr:rowOff>
                  </to>
                </anchor>
              </controlPr>
            </control>
          </mc:Choice>
        </mc:AlternateContent>
        <mc:AlternateContent xmlns:mc="http://schemas.openxmlformats.org/markup-compatibility/2006">
          <mc:Choice Requires="x14">
            <control shapeId="3323" r:id="rId81" name="Check Box 251">
              <controlPr locked="0" defaultSize="0" autoFill="0" autoLine="0" autoPict="0">
                <anchor moveWithCells="1" sizeWithCells="1">
                  <from>
                    <xdr:col>22</xdr:col>
                    <xdr:colOff>0</xdr:colOff>
                    <xdr:row>292</xdr:row>
                    <xdr:rowOff>0</xdr:rowOff>
                  </from>
                  <to>
                    <xdr:col>22</xdr:col>
                    <xdr:colOff>184150</xdr:colOff>
                    <xdr:row>292</xdr:row>
                    <xdr:rowOff>184150</xdr:rowOff>
                  </to>
                </anchor>
              </controlPr>
            </control>
          </mc:Choice>
        </mc:AlternateContent>
        <mc:AlternateContent xmlns:mc="http://schemas.openxmlformats.org/markup-compatibility/2006">
          <mc:Choice Requires="x14">
            <control shapeId="3325" r:id="rId82" name="Check Box 253">
              <controlPr locked="0" defaultSize="0" autoFill="0" autoLine="0" autoPict="0">
                <anchor moveWithCells="1" sizeWithCells="1">
                  <from>
                    <xdr:col>22</xdr:col>
                    <xdr:colOff>0</xdr:colOff>
                    <xdr:row>305</xdr:row>
                    <xdr:rowOff>0</xdr:rowOff>
                  </from>
                  <to>
                    <xdr:col>22</xdr:col>
                    <xdr:colOff>184150</xdr:colOff>
                    <xdr:row>305</xdr:row>
                    <xdr:rowOff>184150</xdr:rowOff>
                  </to>
                </anchor>
              </controlPr>
            </control>
          </mc:Choice>
        </mc:AlternateContent>
        <mc:AlternateContent xmlns:mc="http://schemas.openxmlformats.org/markup-compatibility/2006">
          <mc:Choice Requires="x14">
            <control shapeId="3326" r:id="rId83" name="Check Box 254">
              <controlPr locked="0" defaultSize="0" autoFill="0" autoLine="0" autoPict="0">
                <anchor moveWithCells="1" sizeWithCells="1">
                  <from>
                    <xdr:col>22</xdr:col>
                    <xdr:colOff>0</xdr:colOff>
                    <xdr:row>309</xdr:row>
                    <xdr:rowOff>0</xdr:rowOff>
                  </from>
                  <to>
                    <xdr:col>22</xdr:col>
                    <xdr:colOff>184150</xdr:colOff>
                    <xdr:row>309</xdr:row>
                    <xdr:rowOff>184150</xdr:rowOff>
                  </to>
                </anchor>
              </controlPr>
            </control>
          </mc:Choice>
        </mc:AlternateContent>
        <mc:AlternateContent xmlns:mc="http://schemas.openxmlformats.org/markup-compatibility/2006">
          <mc:Choice Requires="x14">
            <control shapeId="3327" r:id="rId84" name="Check Box 255">
              <controlPr locked="0" defaultSize="0" autoFill="0" autoLine="0" autoPict="0">
                <anchor moveWithCells="1" sizeWithCells="1">
                  <from>
                    <xdr:col>22</xdr:col>
                    <xdr:colOff>0</xdr:colOff>
                    <xdr:row>312</xdr:row>
                    <xdr:rowOff>0</xdr:rowOff>
                  </from>
                  <to>
                    <xdr:col>22</xdr:col>
                    <xdr:colOff>184150</xdr:colOff>
                    <xdr:row>312</xdr:row>
                    <xdr:rowOff>184150</xdr:rowOff>
                  </to>
                </anchor>
              </controlPr>
            </control>
          </mc:Choice>
        </mc:AlternateContent>
        <mc:AlternateContent xmlns:mc="http://schemas.openxmlformats.org/markup-compatibility/2006">
          <mc:Choice Requires="x14">
            <control shapeId="3328" r:id="rId85" name="Check Box 256">
              <controlPr locked="0" defaultSize="0" autoFill="0" autoLine="0" autoPict="0">
                <anchor moveWithCells="1" sizeWithCells="1">
                  <from>
                    <xdr:col>22</xdr:col>
                    <xdr:colOff>0</xdr:colOff>
                    <xdr:row>315</xdr:row>
                    <xdr:rowOff>0</xdr:rowOff>
                  </from>
                  <to>
                    <xdr:col>22</xdr:col>
                    <xdr:colOff>184150</xdr:colOff>
                    <xdr:row>315</xdr:row>
                    <xdr:rowOff>184150</xdr:rowOff>
                  </to>
                </anchor>
              </controlPr>
            </control>
          </mc:Choice>
        </mc:AlternateContent>
        <mc:AlternateContent xmlns:mc="http://schemas.openxmlformats.org/markup-compatibility/2006">
          <mc:Choice Requires="x14">
            <control shapeId="3329" r:id="rId86" name="Check Box 257">
              <controlPr locked="0" defaultSize="0" autoFill="0" autoLine="0" autoPict="0">
                <anchor moveWithCells="1" sizeWithCells="1">
                  <from>
                    <xdr:col>22</xdr:col>
                    <xdr:colOff>0</xdr:colOff>
                    <xdr:row>316</xdr:row>
                    <xdr:rowOff>0</xdr:rowOff>
                  </from>
                  <to>
                    <xdr:col>22</xdr:col>
                    <xdr:colOff>184150</xdr:colOff>
                    <xdr:row>316</xdr:row>
                    <xdr:rowOff>184150</xdr:rowOff>
                  </to>
                </anchor>
              </controlPr>
            </control>
          </mc:Choice>
        </mc:AlternateContent>
        <mc:AlternateContent xmlns:mc="http://schemas.openxmlformats.org/markup-compatibility/2006">
          <mc:Choice Requires="x14">
            <control shapeId="3330" r:id="rId87" name="Check Box 258">
              <controlPr locked="0" defaultSize="0" autoFill="0" autoLine="0" autoPict="0">
                <anchor moveWithCells="1" sizeWithCells="1">
                  <from>
                    <xdr:col>22</xdr:col>
                    <xdr:colOff>0</xdr:colOff>
                    <xdr:row>321</xdr:row>
                    <xdr:rowOff>0</xdr:rowOff>
                  </from>
                  <to>
                    <xdr:col>22</xdr:col>
                    <xdr:colOff>184150</xdr:colOff>
                    <xdr:row>321</xdr:row>
                    <xdr:rowOff>184150</xdr:rowOff>
                  </to>
                </anchor>
              </controlPr>
            </control>
          </mc:Choice>
        </mc:AlternateContent>
        <mc:AlternateContent xmlns:mc="http://schemas.openxmlformats.org/markup-compatibility/2006">
          <mc:Choice Requires="x14">
            <control shapeId="3331" r:id="rId88" name="Check Box 259">
              <controlPr locked="0" defaultSize="0" autoFill="0" autoLine="0" autoPict="0">
                <anchor moveWithCells="1" sizeWithCells="1">
                  <from>
                    <xdr:col>22</xdr:col>
                    <xdr:colOff>0</xdr:colOff>
                    <xdr:row>323</xdr:row>
                    <xdr:rowOff>0</xdr:rowOff>
                  </from>
                  <to>
                    <xdr:col>22</xdr:col>
                    <xdr:colOff>184150</xdr:colOff>
                    <xdr:row>323</xdr:row>
                    <xdr:rowOff>184150</xdr:rowOff>
                  </to>
                </anchor>
              </controlPr>
            </control>
          </mc:Choice>
        </mc:AlternateContent>
        <mc:AlternateContent xmlns:mc="http://schemas.openxmlformats.org/markup-compatibility/2006">
          <mc:Choice Requires="x14">
            <control shapeId="3332" r:id="rId89" name="Check Box 260">
              <controlPr locked="0" defaultSize="0" autoFill="0" autoLine="0" autoPict="0">
                <anchor moveWithCells="1" sizeWithCells="1">
                  <from>
                    <xdr:col>22</xdr:col>
                    <xdr:colOff>0</xdr:colOff>
                    <xdr:row>325</xdr:row>
                    <xdr:rowOff>0</xdr:rowOff>
                  </from>
                  <to>
                    <xdr:col>22</xdr:col>
                    <xdr:colOff>184150</xdr:colOff>
                    <xdr:row>325</xdr:row>
                    <xdr:rowOff>184150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3">
    <pageSetUpPr fitToPage="1"/>
  </sheetPr>
  <dimension ref="B2:I10"/>
  <sheetViews>
    <sheetView showGridLines="0" zoomScaleNormal="100" workbookViewId="0">
      <selection activeCell="S48" sqref="S48"/>
    </sheetView>
  </sheetViews>
  <sheetFormatPr defaultColWidth="9.1796875" defaultRowHeight="14.5" x14ac:dyDescent="0.35"/>
  <cols>
    <col min="2" max="2" width="7.453125" customWidth="1"/>
    <col min="3" max="3" width="8.26953125" bestFit="1" customWidth="1"/>
    <col min="4" max="8" width="5.54296875" bestFit="1" customWidth="1"/>
  </cols>
  <sheetData>
    <row r="2" spans="2:9" x14ac:dyDescent="0.35">
      <c r="B2" s="1252" t="s">
        <v>3630</v>
      </c>
      <c r="C2" s="1253"/>
      <c r="D2" s="1254"/>
      <c r="F2" s="1327" t="s">
        <v>4068</v>
      </c>
      <c r="G2" s="1328"/>
      <c r="H2" s="1328"/>
      <c r="I2" s="1329"/>
    </row>
    <row r="4" spans="2:9" x14ac:dyDescent="0.35">
      <c r="B4" s="951" t="s">
        <v>3497</v>
      </c>
      <c r="C4" s="951"/>
      <c r="D4" s="951"/>
      <c r="E4" s="951"/>
      <c r="F4" s="951"/>
      <c r="G4" s="951"/>
      <c r="H4" s="951"/>
    </row>
    <row r="5" spans="2:9" ht="15" thickBot="1" x14ac:dyDescent="0.4">
      <c r="B5" s="1319" t="s">
        <v>3496</v>
      </c>
      <c r="C5" s="1319"/>
      <c r="D5" s="1319"/>
      <c r="E5" s="1319"/>
      <c r="F5" s="1319"/>
      <c r="G5" s="1319"/>
      <c r="H5" s="1319"/>
    </row>
    <row r="6" spans="2:9" ht="25.5" customHeight="1" thickBot="1" x14ac:dyDescent="0.4">
      <c r="B6" s="1320"/>
      <c r="C6" s="1321"/>
      <c r="D6" s="1324" t="s">
        <v>3495</v>
      </c>
      <c r="E6" s="1325"/>
      <c r="F6" s="1325"/>
      <c r="G6" s="1325"/>
      <c r="H6" s="1326"/>
    </row>
    <row r="7" spans="2:9" ht="15" thickBot="1" x14ac:dyDescent="0.4">
      <c r="B7" s="1322"/>
      <c r="C7" s="1323"/>
      <c r="D7" s="211" t="s">
        <v>3494</v>
      </c>
      <c r="E7" s="210" t="s">
        <v>3493</v>
      </c>
      <c r="F7" s="211" t="s">
        <v>3492</v>
      </c>
      <c r="G7" s="210" t="s">
        <v>3491</v>
      </c>
      <c r="H7" s="210" t="s">
        <v>3490</v>
      </c>
    </row>
    <row r="8" spans="2:9" ht="15" thickBot="1" x14ac:dyDescent="0.4">
      <c r="B8" s="1316" t="s">
        <v>3430</v>
      </c>
      <c r="C8" s="211" t="s">
        <v>3489</v>
      </c>
      <c r="D8" s="209" t="s">
        <v>3488</v>
      </c>
      <c r="E8" s="209" t="s">
        <v>3488</v>
      </c>
      <c r="F8" s="209" t="s">
        <v>3486</v>
      </c>
      <c r="G8" s="209" t="s">
        <v>3484</v>
      </c>
      <c r="H8" s="209" t="s">
        <v>3484</v>
      </c>
    </row>
    <row r="9" spans="2:9" ht="15" thickBot="1" x14ac:dyDescent="0.4">
      <c r="B9" s="1317"/>
      <c r="C9" s="210" t="s">
        <v>3487</v>
      </c>
      <c r="D9" s="209" t="s">
        <v>3486</v>
      </c>
      <c r="E9" s="209" t="s">
        <v>3486</v>
      </c>
      <c r="F9" s="209" t="s">
        <v>3484</v>
      </c>
      <c r="G9" s="209" t="s">
        <v>3484</v>
      </c>
      <c r="H9" s="209" t="s">
        <v>3483</v>
      </c>
    </row>
    <row r="10" spans="2:9" ht="15" thickBot="1" x14ac:dyDescent="0.4">
      <c r="B10" s="1318"/>
      <c r="C10" s="210" t="s">
        <v>3485</v>
      </c>
      <c r="D10" s="209" t="s">
        <v>3484</v>
      </c>
      <c r="E10" s="209" t="s">
        <v>3483</v>
      </c>
      <c r="F10" s="209" t="s">
        <v>3483</v>
      </c>
      <c r="G10" s="209" t="s">
        <v>3482</v>
      </c>
      <c r="H10" s="209" t="s">
        <v>3481</v>
      </c>
    </row>
  </sheetData>
  <sheetProtection algorithmName="SHA-512" hashValue="vdSSdMFOpFBDINioSJxBJ/e148hMMQOvO6GNWbuYuJUAqPIvjLPa+TO0MFPaTXNyOhQWD9ls2hzH8QQm2tpK9A==" saltValue="991ZMgDKAGbEKizVWyVVvw==" spinCount="100000" sheet="1" objects="1" scenarios="1" selectLockedCells="1"/>
  <mergeCells count="7">
    <mergeCell ref="B8:B10"/>
    <mergeCell ref="B2:D2"/>
    <mergeCell ref="B4:H4"/>
    <mergeCell ref="B5:H5"/>
    <mergeCell ref="B6:C7"/>
    <mergeCell ref="D6:H6"/>
    <mergeCell ref="F2:I2"/>
  </mergeCells>
  <hyperlinks>
    <hyperlink ref="B2:C2" location="hyptarg7.1" display="back to 701.4.3.2(2)" xr:uid="{00000000-0004-0000-2300-000000000000}"/>
    <hyperlink ref="B2:D2" location="hyptarg7.26" display="back to 703.7.1" xr:uid="{00000000-0004-0000-2300-000001000000}"/>
    <hyperlink ref="F2:G2" location="'Verification Report'!A1" display="back to Verification Report" xr:uid="{00000000-0004-0000-2300-000002000000}"/>
  </hyperlinks>
  <pageMargins left="0.7" right="0.7" top="0.75" bottom="0.75" header="0.3" footer="0.3"/>
  <pageSetup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4">
    <pageSetUpPr fitToPage="1"/>
  </sheetPr>
  <dimension ref="B2:H30"/>
  <sheetViews>
    <sheetView showGridLines="0" zoomScaleNormal="100" workbookViewId="0">
      <selection activeCell="S48" sqref="S48"/>
    </sheetView>
  </sheetViews>
  <sheetFormatPr defaultColWidth="9.1796875" defaultRowHeight="14.5" x14ac:dyDescent="0.35"/>
  <cols>
    <col min="2" max="2" width="11.7265625" customWidth="1"/>
    <col min="4" max="4" width="11.26953125" customWidth="1"/>
    <col min="5" max="5" width="11.7265625" customWidth="1"/>
    <col min="6" max="6" width="12.1796875" customWidth="1"/>
    <col min="7" max="7" width="14.1796875" customWidth="1"/>
  </cols>
  <sheetData>
    <row r="2" spans="2:8" x14ac:dyDescent="0.35">
      <c r="B2" s="1255" t="s">
        <v>4584</v>
      </c>
      <c r="C2" s="1255"/>
      <c r="F2" s="1255" t="s">
        <v>4068</v>
      </c>
      <c r="G2" s="1255"/>
    </row>
    <row r="3" spans="2:8" x14ac:dyDescent="0.35">
      <c r="B3" s="891" t="s">
        <v>4585</v>
      </c>
      <c r="C3" s="891"/>
      <c r="D3" s="891"/>
      <c r="E3" s="891"/>
      <c r="F3" s="891"/>
      <c r="G3" s="891"/>
      <c r="H3" s="891"/>
    </row>
    <row r="4" spans="2:8" ht="15" x14ac:dyDescent="0.35">
      <c r="B4" s="1331" t="s">
        <v>3550</v>
      </c>
      <c r="C4" s="1296"/>
      <c r="D4" s="1296"/>
      <c r="E4" s="1296"/>
      <c r="F4" s="1296"/>
      <c r="G4" s="1296"/>
      <c r="H4" s="1296"/>
    </row>
    <row r="5" spans="2:8" ht="15" customHeight="1" x14ac:dyDescent="0.35">
      <c r="B5" s="1298" t="s">
        <v>3551</v>
      </c>
      <c r="C5" s="1332" t="s">
        <v>3552</v>
      </c>
      <c r="D5" s="1335" t="s">
        <v>3553</v>
      </c>
      <c r="E5" s="1335"/>
      <c r="F5" s="1335"/>
      <c r="G5" s="1335" t="s">
        <v>3554</v>
      </c>
    </row>
    <row r="6" spans="2:8" x14ac:dyDescent="0.35">
      <c r="B6" s="1299"/>
      <c r="C6" s="1333"/>
      <c r="D6" s="1335"/>
      <c r="E6" s="1335"/>
      <c r="F6" s="1335"/>
      <c r="G6" s="1335"/>
      <c r="H6" s="208"/>
    </row>
    <row r="7" spans="2:8" x14ac:dyDescent="0.35">
      <c r="B7" s="1299"/>
      <c r="C7" s="1333"/>
      <c r="D7" s="1335"/>
      <c r="E7" s="1335"/>
      <c r="F7" s="1335"/>
      <c r="G7" s="1335"/>
    </row>
    <row r="8" spans="2:8" x14ac:dyDescent="0.35">
      <c r="B8" s="1299"/>
      <c r="C8" s="1333"/>
      <c r="D8" s="1335"/>
      <c r="E8" s="1335"/>
      <c r="F8" s="1335"/>
      <c r="G8" s="1335"/>
    </row>
    <row r="9" spans="2:8" x14ac:dyDescent="0.35">
      <c r="B9" s="1299"/>
      <c r="C9" s="1333"/>
      <c r="D9" s="1335" t="s">
        <v>4881</v>
      </c>
      <c r="E9" s="1335" t="s">
        <v>4882</v>
      </c>
      <c r="F9" s="1335" t="s">
        <v>4883</v>
      </c>
      <c r="G9" s="1335" t="s">
        <v>4884</v>
      </c>
    </row>
    <row r="10" spans="2:8" x14ac:dyDescent="0.35">
      <c r="B10" s="1299"/>
      <c r="C10" s="1333"/>
      <c r="D10" s="1335"/>
      <c r="E10" s="1335"/>
      <c r="F10" s="1335"/>
      <c r="G10" s="1335"/>
    </row>
    <row r="11" spans="2:8" x14ac:dyDescent="0.35">
      <c r="B11" s="1299"/>
      <c r="C11" s="1333"/>
      <c r="D11" s="1335"/>
      <c r="E11" s="1335"/>
      <c r="F11" s="1335"/>
      <c r="G11" s="1335"/>
    </row>
    <row r="12" spans="2:8" x14ac:dyDescent="0.35">
      <c r="B12" s="1299"/>
      <c r="C12" s="1333"/>
      <c r="D12" s="1335"/>
      <c r="E12" s="1335"/>
      <c r="F12" s="1335"/>
      <c r="G12" s="1335"/>
    </row>
    <row r="13" spans="2:8" x14ac:dyDescent="0.35">
      <c r="B13" s="1300"/>
      <c r="C13" s="1334"/>
      <c r="D13" s="1330" t="s">
        <v>3555</v>
      </c>
      <c r="E13" s="1330"/>
      <c r="F13" s="1330"/>
      <c r="G13" s="1330"/>
    </row>
    <row r="14" spans="2:8" ht="15" x14ac:dyDescent="0.35">
      <c r="B14" s="204" t="s">
        <v>3556</v>
      </c>
      <c r="C14" s="204">
        <v>0.33</v>
      </c>
      <c r="D14" s="219">
        <v>50</v>
      </c>
      <c r="E14" s="219">
        <v>50</v>
      </c>
      <c r="F14" s="219">
        <v>50</v>
      </c>
      <c r="G14" s="219">
        <v>50</v>
      </c>
    </row>
    <row r="15" spans="2:8" ht="15" x14ac:dyDescent="0.35">
      <c r="B15" s="204" t="s">
        <v>3557</v>
      </c>
      <c r="C15" s="204">
        <v>0.5</v>
      </c>
      <c r="D15" s="219">
        <v>50</v>
      </c>
      <c r="E15" s="219">
        <v>50</v>
      </c>
      <c r="F15" s="219">
        <v>50</v>
      </c>
      <c r="G15" s="219">
        <v>48</v>
      </c>
    </row>
    <row r="16" spans="2:8" ht="15" x14ac:dyDescent="0.35">
      <c r="B16" s="204" t="s">
        <v>3558</v>
      </c>
      <c r="C16" s="204">
        <v>0.75</v>
      </c>
      <c r="D16" s="219">
        <v>50</v>
      </c>
      <c r="E16" s="204">
        <v>50</v>
      </c>
      <c r="F16" s="204">
        <v>43</v>
      </c>
      <c r="G16" s="204">
        <v>32</v>
      </c>
    </row>
    <row r="17" spans="2:7" x14ac:dyDescent="0.35">
      <c r="B17" s="203" t="s">
        <v>3559</v>
      </c>
      <c r="C17" s="204">
        <v>1.5</v>
      </c>
      <c r="D17" s="219">
        <v>50</v>
      </c>
      <c r="E17" s="204">
        <v>43</v>
      </c>
      <c r="F17" s="204">
        <v>21</v>
      </c>
      <c r="G17" s="204">
        <v>16</v>
      </c>
    </row>
    <row r="18" spans="2:7" x14ac:dyDescent="0.35">
      <c r="B18" s="203" t="s">
        <v>3560</v>
      </c>
      <c r="C18" s="204">
        <v>2</v>
      </c>
      <c r="D18" s="219">
        <v>50</v>
      </c>
      <c r="E18" s="204">
        <v>32</v>
      </c>
      <c r="F18" s="204">
        <v>16</v>
      </c>
      <c r="G18" s="204">
        <v>12</v>
      </c>
    </row>
    <row r="19" spans="2:7" x14ac:dyDescent="0.35">
      <c r="B19" s="203" t="s">
        <v>3561</v>
      </c>
      <c r="C19" s="204">
        <v>3</v>
      </c>
      <c r="D19" s="204">
        <v>43</v>
      </c>
      <c r="E19" s="204">
        <v>21</v>
      </c>
      <c r="F19" s="204">
        <v>11</v>
      </c>
      <c r="G19" s="204">
        <v>8</v>
      </c>
    </row>
    <row r="20" spans="2:7" x14ac:dyDescent="0.35">
      <c r="B20" s="203" t="s">
        <v>3562</v>
      </c>
      <c r="C20" s="204">
        <v>4</v>
      </c>
      <c r="D20" s="204">
        <v>32</v>
      </c>
      <c r="E20" s="204">
        <v>16</v>
      </c>
      <c r="F20" s="204">
        <v>8</v>
      </c>
      <c r="G20" s="204">
        <v>6</v>
      </c>
    </row>
    <row r="21" spans="2:7" x14ac:dyDescent="0.35">
      <c r="B21" s="20">
        <v>1</v>
      </c>
      <c r="C21" s="204">
        <v>5</v>
      </c>
      <c r="D21" s="204">
        <v>26</v>
      </c>
      <c r="E21" s="204">
        <v>13</v>
      </c>
      <c r="F21" s="204">
        <v>6</v>
      </c>
      <c r="G21" s="204">
        <v>5</v>
      </c>
    </row>
    <row r="22" spans="2:7" x14ac:dyDescent="0.35">
      <c r="B22" s="203" t="s">
        <v>3563</v>
      </c>
      <c r="C22" s="204">
        <v>8</v>
      </c>
      <c r="D22" s="204">
        <v>16</v>
      </c>
      <c r="E22" s="204">
        <v>8</v>
      </c>
      <c r="F22" s="204">
        <v>4</v>
      </c>
      <c r="G22" s="204">
        <v>3</v>
      </c>
    </row>
    <row r="23" spans="2:7" x14ac:dyDescent="0.35">
      <c r="B23" s="203" t="s">
        <v>3564</v>
      </c>
      <c r="C23" s="204">
        <v>11</v>
      </c>
      <c r="D23" s="204">
        <v>12</v>
      </c>
      <c r="E23" s="204">
        <v>6</v>
      </c>
      <c r="F23" s="204">
        <v>3</v>
      </c>
      <c r="G23" s="204">
        <v>2</v>
      </c>
    </row>
    <row r="24" spans="2:7" x14ac:dyDescent="0.35">
      <c r="B24" s="203" t="s">
        <v>282</v>
      </c>
      <c r="C24" s="204">
        <v>18</v>
      </c>
      <c r="D24" s="20">
        <v>7</v>
      </c>
      <c r="E24" s="20">
        <v>4</v>
      </c>
      <c r="F24" s="20">
        <v>2</v>
      </c>
      <c r="G24" s="20">
        <v>1</v>
      </c>
    </row>
    <row r="25" spans="2:7" x14ac:dyDescent="0.35">
      <c r="B25" s="836" t="s">
        <v>4885</v>
      </c>
      <c r="C25" s="836"/>
      <c r="D25" s="836"/>
      <c r="E25" s="836"/>
      <c r="F25" s="836"/>
      <c r="G25" s="836"/>
    </row>
    <row r="26" spans="2:7" x14ac:dyDescent="0.35">
      <c r="B26" s="814"/>
      <c r="C26" s="814"/>
      <c r="D26" s="814"/>
      <c r="E26" s="814"/>
      <c r="F26" s="814"/>
      <c r="G26" s="814"/>
    </row>
    <row r="27" spans="2:7" x14ac:dyDescent="0.35">
      <c r="B27" s="814"/>
      <c r="C27" s="814"/>
      <c r="D27" s="814"/>
      <c r="E27" s="814"/>
      <c r="F27" s="814"/>
      <c r="G27" s="814"/>
    </row>
    <row r="28" spans="2:7" x14ac:dyDescent="0.35">
      <c r="B28" s="814" t="s">
        <v>3565</v>
      </c>
      <c r="C28" s="814"/>
      <c r="D28" s="814"/>
      <c r="E28" s="814"/>
      <c r="F28" s="814"/>
      <c r="G28" s="814"/>
    </row>
    <row r="29" spans="2:7" x14ac:dyDescent="0.35">
      <c r="B29" s="814"/>
      <c r="C29" s="814"/>
      <c r="D29" s="814"/>
      <c r="E29" s="814"/>
      <c r="F29" s="814"/>
      <c r="G29" s="814"/>
    </row>
    <row r="30" spans="2:7" x14ac:dyDescent="0.35">
      <c r="B30" s="814"/>
      <c r="C30" s="814"/>
      <c r="D30" s="814"/>
      <c r="E30" s="814"/>
      <c r="F30" s="814"/>
      <c r="G30" s="814"/>
    </row>
  </sheetData>
  <sheetProtection algorithmName="SHA-512" hashValue="QPI4djzynuGd1RVsef6Rkwc+yWs/tfuFYskfXOMLS0O8Ln3vDsMTcxSarMRIlA3A1jmJwj5yo099zTKchSJP1Q==" saltValue="sDBdpYVAcxH+DYTTvqG0Gw==" spinCount="100000" sheet="1" objects="1" scenarios="1" selectLockedCells="1"/>
  <mergeCells count="15">
    <mergeCell ref="D13:G13"/>
    <mergeCell ref="B25:G27"/>
    <mergeCell ref="B28:G30"/>
    <mergeCell ref="B2:C2"/>
    <mergeCell ref="B3:H3"/>
    <mergeCell ref="B4:H4"/>
    <mergeCell ref="B5:B13"/>
    <mergeCell ref="C5:C13"/>
    <mergeCell ref="D5:F8"/>
    <mergeCell ref="G5:G8"/>
    <mergeCell ref="D9:D12"/>
    <mergeCell ref="E9:E12"/>
    <mergeCell ref="F9:F12"/>
    <mergeCell ref="G9:G12"/>
    <mergeCell ref="F2:G2"/>
  </mergeCells>
  <hyperlinks>
    <hyperlink ref="B2:C2" location="hyptarg8.1" display="back to 801.1" xr:uid="{00000000-0004-0000-2400-000000000000}"/>
    <hyperlink ref="F2:G2" location="'Verification Report'!A1" display="back to Verification Report" xr:uid="{00000000-0004-0000-2400-000001000000}"/>
  </hyperlinks>
  <pageMargins left="0.7" right="0.7" top="0.75" bottom="0.75" header="0.3" footer="0.3"/>
  <pageSetup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5">
    <pageSetUpPr fitToPage="1"/>
  </sheetPr>
  <dimension ref="B2:M14"/>
  <sheetViews>
    <sheetView showGridLines="0" zoomScaleNormal="100" workbookViewId="0">
      <selection activeCell="S48" sqref="S48"/>
    </sheetView>
  </sheetViews>
  <sheetFormatPr defaultColWidth="9.1796875" defaultRowHeight="14.5" x14ac:dyDescent="0.35"/>
  <cols>
    <col min="6" max="6" width="7.26953125" customWidth="1"/>
    <col min="7" max="7" width="5.81640625" customWidth="1"/>
    <col min="8" max="8" width="7.7265625" customWidth="1"/>
    <col min="11" max="11" width="5.7265625" customWidth="1"/>
    <col min="12" max="12" width="5.81640625" customWidth="1"/>
    <col min="13" max="13" width="5.7265625" customWidth="1"/>
  </cols>
  <sheetData>
    <row r="2" spans="2:13" x14ac:dyDescent="0.35">
      <c r="B2" s="1255" t="s">
        <v>4584</v>
      </c>
      <c r="C2" s="1255"/>
      <c r="J2" s="1252" t="s">
        <v>4068</v>
      </c>
      <c r="K2" s="1253"/>
      <c r="L2" s="1253"/>
      <c r="M2" s="1254"/>
    </row>
    <row r="3" spans="2:13" x14ac:dyDescent="0.35">
      <c r="B3" s="891" t="s">
        <v>4586</v>
      </c>
      <c r="C3" s="891"/>
      <c r="D3" s="891"/>
      <c r="E3" s="891"/>
      <c r="F3" s="891"/>
      <c r="G3" s="891"/>
      <c r="H3" s="891"/>
      <c r="I3" s="891"/>
      <c r="J3" s="891"/>
      <c r="K3" s="891"/>
      <c r="L3" s="891"/>
      <c r="M3" s="891"/>
    </row>
    <row r="4" spans="2:13" x14ac:dyDescent="0.35">
      <c r="B4" s="891" t="s">
        <v>3566</v>
      </c>
      <c r="C4" s="891"/>
      <c r="D4" s="891"/>
      <c r="E4" s="891"/>
      <c r="F4" s="891"/>
      <c r="G4" s="891"/>
      <c r="H4" s="891"/>
      <c r="I4" s="891"/>
      <c r="J4" s="891"/>
      <c r="K4" s="891"/>
      <c r="L4" s="891"/>
      <c r="M4" s="891"/>
    </row>
    <row r="5" spans="2:13" ht="15" thickBot="1" x14ac:dyDescent="0.4">
      <c r="B5" s="1338" t="s">
        <v>3567</v>
      </c>
      <c r="C5" s="1338"/>
      <c r="D5" s="1338"/>
      <c r="E5" s="1338"/>
      <c r="F5" s="1338"/>
      <c r="G5" s="1338"/>
      <c r="H5" s="1338"/>
      <c r="I5" s="1338"/>
      <c r="J5" s="1338"/>
      <c r="K5" s="1338"/>
      <c r="L5" s="1338"/>
      <c r="M5" s="1338"/>
    </row>
    <row r="6" spans="2:13" ht="22.5" customHeight="1" x14ac:dyDescent="0.35">
      <c r="B6" s="1336" t="s">
        <v>3568</v>
      </c>
      <c r="C6" s="1336" t="s">
        <v>3569</v>
      </c>
      <c r="D6" s="1336" t="s">
        <v>3570</v>
      </c>
      <c r="E6" s="1336" t="s">
        <v>3571</v>
      </c>
      <c r="F6" s="1336" t="s">
        <v>3572</v>
      </c>
      <c r="G6" s="1336" t="s">
        <v>3573</v>
      </c>
      <c r="H6" s="220" t="s">
        <v>3574</v>
      </c>
      <c r="I6" s="220" t="s">
        <v>3575</v>
      </c>
      <c r="J6" s="1336" t="s">
        <v>3576</v>
      </c>
      <c r="K6" s="1336" t="s">
        <v>3577</v>
      </c>
      <c r="L6" s="1336" t="s">
        <v>3578</v>
      </c>
      <c r="M6" s="1336" t="s">
        <v>3579</v>
      </c>
    </row>
    <row r="7" spans="2:13" ht="15" thickBot="1" x14ac:dyDescent="0.4">
      <c r="B7" s="1337"/>
      <c r="C7" s="1337"/>
      <c r="D7" s="1337"/>
      <c r="E7" s="1337"/>
      <c r="F7" s="1337"/>
      <c r="G7" s="1337"/>
      <c r="H7" s="221" t="s">
        <v>3580</v>
      </c>
      <c r="I7" s="222" t="s">
        <v>3581</v>
      </c>
      <c r="J7" s="1337"/>
      <c r="K7" s="1337"/>
      <c r="L7" s="1337"/>
      <c r="M7" s="1337"/>
    </row>
    <row r="8" spans="2:13" ht="15" thickBot="1" x14ac:dyDescent="0.4">
      <c r="B8" s="223" t="s">
        <v>3582</v>
      </c>
      <c r="C8" s="224">
        <v>1.06</v>
      </c>
      <c r="D8" s="224">
        <v>0.97</v>
      </c>
      <c r="E8" s="224">
        <v>0.84</v>
      </c>
      <c r="F8" s="224" t="s">
        <v>3040</v>
      </c>
      <c r="G8" s="224">
        <v>1.17</v>
      </c>
      <c r="H8" s="224" t="s">
        <v>3040</v>
      </c>
      <c r="I8" s="224">
        <v>0.64</v>
      </c>
      <c r="J8" s="224">
        <v>0.63</v>
      </c>
      <c r="K8" s="224">
        <v>0.64</v>
      </c>
      <c r="L8" s="224" t="s">
        <v>3040</v>
      </c>
      <c r="M8" s="224" t="s">
        <v>3040</v>
      </c>
    </row>
    <row r="9" spans="2:13" ht="15" thickBot="1" x14ac:dyDescent="0.4">
      <c r="B9" s="223" t="s">
        <v>3559</v>
      </c>
      <c r="C9" s="224">
        <v>1.69</v>
      </c>
      <c r="D9" s="224">
        <v>1.55</v>
      </c>
      <c r="E9" s="224">
        <v>1.45</v>
      </c>
      <c r="F9" s="224">
        <v>1.25</v>
      </c>
      <c r="G9" s="224">
        <v>1.89</v>
      </c>
      <c r="H9" s="224">
        <v>1.46</v>
      </c>
      <c r="I9" s="224">
        <v>1.18</v>
      </c>
      <c r="J9" s="224">
        <v>1.31</v>
      </c>
      <c r="K9" s="224">
        <v>1.18</v>
      </c>
      <c r="L9" s="224">
        <v>1.72</v>
      </c>
      <c r="M9" s="224">
        <v>1.96</v>
      </c>
    </row>
    <row r="10" spans="2:13" ht="15" thickBot="1" x14ac:dyDescent="0.4">
      <c r="B10" s="223" t="s">
        <v>3561</v>
      </c>
      <c r="C10" s="224">
        <v>3.43</v>
      </c>
      <c r="D10" s="224">
        <v>3.22</v>
      </c>
      <c r="E10" s="225">
        <v>2.9</v>
      </c>
      <c r="F10" s="224">
        <v>2.67</v>
      </c>
      <c r="G10" s="224">
        <v>3.38</v>
      </c>
      <c r="H10" s="224">
        <v>2.74</v>
      </c>
      <c r="I10" s="224">
        <v>2.35</v>
      </c>
      <c r="J10" s="224">
        <v>3.39</v>
      </c>
      <c r="K10" s="224">
        <v>2.35</v>
      </c>
      <c r="L10" s="224">
        <v>2.69</v>
      </c>
      <c r="M10" s="224">
        <v>3.06</v>
      </c>
    </row>
    <row r="11" spans="2:13" ht="15" thickBot="1" x14ac:dyDescent="0.4">
      <c r="B11" s="226">
        <v>1</v>
      </c>
      <c r="C11" s="224">
        <v>5.81</v>
      </c>
      <c r="D11" s="224">
        <v>5.49</v>
      </c>
      <c r="E11" s="224">
        <v>5.17</v>
      </c>
      <c r="F11" s="224">
        <v>4.43</v>
      </c>
      <c r="G11" s="224">
        <v>5.53</v>
      </c>
      <c r="H11" s="224">
        <v>4.57</v>
      </c>
      <c r="I11" s="224">
        <v>3.91</v>
      </c>
      <c r="J11" s="224">
        <v>5.56</v>
      </c>
      <c r="K11" s="224">
        <v>3.91</v>
      </c>
      <c r="L11" s="224">
        <v>4.41</v>
      </c>
      <c r="M11" s="224">
        <v>5.01</v>
      </c>
    </row>
    <row r="12" spans="2:13" ht="15" thickBot="1" x14ac:dyDescent="0.4">
      <c r="B12" s="226" t="s">
        <v>3583</v>
      </c>
      <c r="C12" s="224">
        <v>8.6999999999999993</v>
      </c>
      <c r="D12" s="224">
        <v>8.36</v>
      </c>
      <c r="E12" s="224">
        <v>8.09</v>
      </c>
      <c r="F12" s="224">
        <v>6.61</v>
      </c>
      <c r="G12" s="224">
        <v>9.66</v>
      </c>
      <c r="H12" s="224">
        <v>8.24</v>
      </c>
      <c r="I12" s="224">
        <v>5.81</v>
      </c>
      <c r="J12" s="224">
        <v>8.49</v>
      </c>
      <c r="K12" s="224">
        <v>5.81</v>
      </c>
      <c r="L12" s="225">
        <v>6.9</v>
      </c>
      <c r="M12" s="224">
        <v>7.83</v>
      </c>
    </row>
    <row r="13" spans="2:13" ht="15" thickBot="1" x14ac:dyDescent="0.4">
      <c r="B13" s="226" t="s">
        <v>3584</v>
      </c>
      <c r="C13" s="224">
        <v>12.18</v>
      </c>
      <c r="D13" s="224">
        <v>11.83</v>
      </c>
      <c r="E13" s="224">
        <v>11.45</v>
      </c>
      <c r="F13" s="224">
        <v>9.2200000000000006</v>
      </c>
      <c r="G13" s="224">
        <v>13.2</v>
      </c>
      <c r="H13" s="224">
        <v>11.38</v>
      </c>
      <c r="I13" s="224">
        <v>8.09</v>
      </c>
      <c r="J13" s="224">
        <v>13.88</v>
      </c>
      <c r="K13" s="224">
        <v>8.09</v>
      </c>
      <c r="L13" s="224">
        <v>10.77</v>
      </c>
      <c r="M13" s="224">
        <v>12.24</v>
      </c>
    </row>
    <row r="14" spans="2:13" ht="15" thickBot="1" x14ac:dyDescent="0.4">
      <c r="B14" s="226">
        <v>2</v>
      </c>
      <c r="C14" s="224">
        <v>21.08</v>
      </c>
      <c r="D14" s="224">
        <v>20.58</v>
      </c>
      <c r="E14" s="224">
        <v>20.04</v>
      </c>
      <c r="F14" s="224">
        <v>15.79</v>
      </c>
      <c r="G14" s="224">
        <v>21.88</v>
      </c>
      <c r="H14" s="224">
        <v>19.11</v>
      </c>
      <c r="I14" s="224">
        <v>13.86</v>
      </c>
      <c r="J14" s="224">
        <v>21.48</v>
      </c>
      <c r="K14" s="224">
        <v>13.86</v>
      </c>
      <c r="L14" s="224">
        <v>17.11</v>
      </c>
      <c r="M14" s="224">
        <v>19.43</v>
      </c>
    </row>
  </sheetData>
  <sheetProtection algorithmName="SHA-512" hashValue="BYXWfTQps+4vsxtTGSOOAPHLQhcx8ellQsUUnXv9HH+gu1aiBPyUut/FYJchmPueu9MqZlNEoOI1X8K84dksMA==" saltValue="h1JONnRxz7V53OHmIUudJg==" spinCount="100000" sheet="1" objects="1" scenarios="1" selectLockedCells="1"/>
  <mergeCells count="15">
    <mergeCell ref="K6:K7"/>
    <mergeCell ref="L6:L7"/>
    <mergeCell ref="M6:M7"/>
    <mergeCell ref="B2:C2"/>
    <mergeCell ref="B3:M3"/>
    <mergeCell ref="B4:M4"/>
    <mergeCell ref="B5:M5"/>
    <mergeCell ref="B6:B7"/>
    <mergeCell ref="C6:C7"/>
    <mergeCell ref="D6:D7"/>
    <mergeCell ref="E6:E7"/>
    <mergeCell ref="F6:F7"/>
    <mergeCell ref="G6:G7"/>
    <mergeCell ref="J6:J7"/>
    <mergeCell ref="J2:M2"/>
  </mergeCells>
  <hyperlinks>
    <hyperlink ref="B2:C2" location="hyptarg8.1" display="back to 801.1" xr:uid="{00000000-0004-0000-2500-000000000000}"/>
    <hyperlink ref="J2:L2" location="'Verification Report'!A1" display="back to Verification Report" xr:uid="{00000000-0004-0000-2500-000001000000}"/>
  </hyperlinks>
  <pageMargins left="0.7" right="0.7" top="0.75" bottom="0.75" header="0.3" footer="0.3"/>
  <pageSetup scale="88"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4">
    <pageSetUpPr fitToPage="1"/>
  </sheetPr>
  <dimension ref="B2:G60"/>
  <sheetViews>
    <sheetView showGridLines="0" zoomScaleNormal="100" workbookViewId="0">
      <selection activeCell="S48" sqref="S48"/>
    </sheetView>
  </sheetViews>
  <sheetFormatPr defaultColWidth="9.1796875" defaultRowHeight="14.5" x14ac:dyDescent="0.35"/>
  <cols>
    <col min="2" max="2" width="40.453125" bestFit="1" customWidth="1"/>
    <col min="3" max="3" width="9.54296875" bestFit="1" customWidth="1"/>
  </cols>
  <sheetData>
    <row r="2" spans="2:7" x14ac:dyDescent="0.35">
      <c r="B2" s="1255" t="s">
        <v>3757</v>
      </c>
      <c r="C2" s="1255"/>
      <c r="E2" s="1252" t="s">
        <v>4068</v>
      </c>
      <c r="F2" s="1253"/>
      <c r="G2" s="1254"/>
    </row>
    <row r="4" spans="2:7" x14ac:dyDescent="0.35">
      <c r="B4" s="951" t="s">
        <v>3716</v>
      </c>
      <c r="C4" s="951"/>
    </row>
    <row r="5" spans="2:7" ht="15" thickBot="1" x14ac:dyDescent="0.4">
      <c r="B5" s="1319" t="s">
        <v>3715</v>
      </c>
      <c r="C5" s="1319"/>
    </row>
    <row r="6" spans="2:7" ht="15" customHeight="1" thickBot="1" x14ac:dyDescent="0.4">
      <c r="B6" s="256" t="s">
        <v>3701</v>
      </c>
      <c r="C6" s="244" t="s">
        <v>3700</v>
      </c>
    </row>
    <row r="7" spans="2:7" ht="15" customHeight="1" thickBot="1" x14ac:dyDescent="0.4">
      <c r="B7" s="255" t="s">
        <v>3714</v>
      </c>
      <c r="C7" s="246">
        <v>50</v>
      </c>
    </row>
    <row r="8" spans="2:7" ht="15" customHeight="1" thickBot="1" x14ac:dyDescent="0.4">
      <c r="B8" s="255" t="s">
        <v>3713</v>
      </c>
      <c r="C8" s="246">
        <v>100</v>
      </c>
    </row>
    <row r="9" spans="2:7" ht="15" customHeight="1" thickBot="1" x14ac:dyDescent="0.4">
      <c r="B9" s="255" t="s">
        <v>3712</v>
      </c>
      <c r="C9" s="246">
        <v>150</v>
      </c>
    </row>
    <row r="10" spans="2:7" ht="15" customHeight="1" thickBot="1" x14ac:dyDescent="0.4">
      <c r="B10" s="254" t="s">
        <v>3711</v>
      </c>
      <c r="C10" s="253"/>
    </row>
    <row r="11" spans="2:7" ht="15" customHeight="1" thickBot="1" x14ac:dyDescent="0.4">
      <c r="B11" s="247" t="s">
        <v>3710</v>
      </c>
      <c r="C11" s="246">
        <v>400</v>
      </c>
    </row>
    <row r="12" spans="2:7" ht="15" customHeight="1" thickBot="1" x14ac:dyDescent="0.4">
      <c r="B12" s="247" t="s">
        <v>3709</v>
      </c>
      <c r="C12" s="246">
        <v>400</v>
      </c>
    </row>
    <row r="13" spans="2:7" ht="15" customHeight="1" thickBot="1" x14ac:dyDescent="0.4">
      <c r="B13" s="247" t="s">
        <v>3708</v>
      </c>
      <c r="C13" s="246">
        <v>50</v>
      </c>
    </row>
    <row r="14" spans="2:7" ht="15" customHeight="1" thickBot="1" x14ac:dyDescent="0.4">
      <c r="B14" s="247" t="s">
        <v>3707</v>
      </c>
      <c r="C14" s="246">
        <v>350</v>
      </c>
    </row>
    <row r="15" spans="2:7" ht="15" customHeight="1" thickBot="1" x14ac:dyDescent="0.4">
      <c r="B15" s="247" t="s">
        <v>3706</v>
      </c>
      <c r="C15" s="246">
        <v>350</v>
      </c>
    </row>
    <row r="16" spans="2:7" ht="15" customHeight="1" thickBot="1" x14ac:dyDescent="0.4">
      <c r="B16" s="247" t="s">
        <v>3705</v>
      </c>
      <c r="C16" s="246">
        <v>350</v>
      </c>
    </row>
    <row r="17" spans="2:3" ht="15" customHeight="1" thickBot="1" x14ac:dyDescent="0.4">
      <c r="B17" s="247" t="s">
        <v>3704</v>
      </c>
      <c r="C17" s="246">
        <v>100</v>
      </c>
    </row>
    <row r="18" spans="2:3" ht="15" customHeight="1" thickBot="1" x14ac:dyDescent="0.4">
      <c r="B18" s="247" t="s">
        <v>3703</v>
      </c>
      <c r="C18" s="246">
        <v>50</v>
      </c>
    </row>
    <row r="19" spans="2:3" ht="15" customHeight="1" thickBot="1" x14ac:dyDescent="0.4">
      <c r="B19" s="247" t="s">
        <v>3702</v>
      </c>
      <c r="C19" s="246">
        <v>150</v>
      </c>
    </row>
    <row r="20" spans="2:3" ht="15" customHeight="1" thickBot="1" x14ac:dyDescent="0.4">
      <c r="B20" s="252" t="s">
        <v>3701</v>
      </c>
      <c r="C20" s="211" t="s">
        <v>3700</v>
      </c>
    </row>
    <row r="21" spans="2:3" ht="15" customHeight="1" thickBot="1" x14ac:dyDescent="0.4">
      <c r="B21" s="247" t="s">
        <v>3699</v>
      </c>
      <c r="C21" s="246">
        <v>350</v>
      </c>
    </row>
    <row r="22" spans="2:3" ht="15" customHeight="1" thickBot="1" x14ac:dyDescent="0.4">
      <c r="B22" s="247" t="s">
        <v>3698</v>
      </c>
      <c r="C22" s="246">
        <v>350</v>
      </c>
    </row>
    <row r="23" spans="2:3" ht="15" customHeight="1" thickBot="1" x14ac:dyDescent="0.4">
      <c r="B23" s="247" t="s">
        <v>3697</v>
      </c>
      <c r="C23" s="246">
        <v>100</v>
      </c>
    </row>
    <row r="24" spans="2:3" ht="15" customHeight="1" thickBot="1" x14ac:dyDescent="0.4">
      <c r="B24" s="247" t="s">
        <v>3696</v>
      </c>
      <c r="C24" s="246">
        <v>250</v>
      </c>
    </row>
    <row r="25" spans="2:3" ht="15" customHeight="1" thickBot="1" x14ac:dyDescent="0.4">
      <c r="B25" s="247" t="s">
        <v>3695</v>
      </c>
      <c r="C25" s="246">
        <v>500</v>
      </c>
    </row>
    <row r="26" spans="2:3" ht="15" customHeight="1" thickBot="1" x14ac:dyDescent="0.4">
      <c r="B26" s="247" t="s">
        <v>3694</v>
      </c>
      <c r="C26" s="246">
        <v>420</v>
      </c>
    </row>
    <row r="27" spans="2:3" ht="15" customHeight="1" thickBot="1" x14ac:dyDescent="0.4">
      <c r="B27" s="247" t="s">
        <v>3693</v>
      </c>
      <c r="C27" s="246">
        <v>250</v>
      </c>
    </row>
    <row r="28" spans="2:3" ht="15" customHeight="1" thickBot="1" x14ac:dyDescent="0.4">
      <c r="B28" s="247" t="s">
        <v>3692</v>
      </c>
      <c r="C28" s="246" t="s">
        <v>3691</v>
      </c>
    </row>
    <row r="29" spans="2:3" ht="15" customHeight="1" thickBot="1" x14ac:dyDescent="0.4">
      <c r="B29" s="247" t="s">
        <v>3690</v>
      </c>
      <c r="C29" s="246">
        <v>450</v>
      </c>
    </row>
    <row r="30" spans="2:3" ht="15" customHeight="1" thickBot="1" x14ac:dyDescent="0.4">
      <c r="B30" s="247" t="s">
        <v>3689</v>
      </c>
      <c r="C30" s="246">
        <v>100</v>
      </c>
    </row>
    <row r="31" spans="2:3" ht="15" customHeight="1" thickBot="1" x14ac:dyDescent="0.4">
      <c r="B31" s="247" t="s">
        <v>3688</v>
      </c>
      <c r="C31" s="246">
        <v>500</v>
      </c>
    </row>
    <row r="32" spans="2:3" ht="15" customHeight="1" thickBot="1" x14ac:dyDescent="0.4">
      <c r="B32" s="247" t="s">
        <v>3687</v>
      </c>
      <c r="C32" s="246">
        <v>250</v>
      </c>
    </row>
    <row r="33" spans="2:3" ht="15" customHeight="1" thickBot="1" x14ac:dyDescent="0.4">
      <c r="B33" s="251" t="s">
        <v>3686</v>
      </c>
      <c r="C33" s="250">
        <v>420</v>
      </c>
    </row>
    <row r="34" spans="2:3" ht="15" customHeight="1" thickBot="1" x14ac:dyDescent="0.4">
      <c r="B34" s="249" t="s">
        <v>3685</v>
      </c>
      <c r="C34" s="248">
        <v>100</v>
      </c>
    </row>
    <row r="35" spans="2:3" ht="15" customHeight="1" thickBot="1" x14ac:dyDescent="0.4">
      <c r="B35" s="247" t="s">
        <v>3684</v>
      </c>
      <c r="C35" s="246">
        <v>350</v>
      </c>
    </row>
    <row r="36" spans="2:3" ht="15" customHeight="1" thickBot="1" x14ac:dyDescent="0.4">
      <c r="B36" s="247" t="s">
        <v>3683</v>
      </c>
      <c r="C36" s="246">
        <v>250</v>
      </c>
    </row>
    <row r="37" spans="2:3" ht="15" customHeight="1" thickBot="1" x14ac:dyDescent="0.4">
      <c r="B37" s="247" t="s">
        <v>3682</v>
      </c>
      <c r="C37" s="246">
        <v>50</v>
      </c>
    </row>
    <row r="38" spans="2:3" ht="15" customHeight="1" thickBot="1" x14ac:dyDescent="0.4">
      <c r="B38" s="247" t="s">
        <v>3681</v>
      </c>
      <c r="C38" s="246">
        <v>250</v>
      </c>
    </row>
    <row r="39" spans="2:3" ht="15" customHeight="1" thickBot="1" x14ac:dyDescent="0.4">
      <c r="B39" s="247" t="s">
        <v>3680</v>
      </c>
      <c r="C39" s="246">
        <v>730</v>
      </c>
    </row>
    <row r="40" spans="2:3" ht="15" customHeight="1" thickBot="1" x14ac:dyDescent="0.4">
      <c r="B40" s="247" t="s">
        <v>3679</v>
      </c>
      <c r="C40" s="246">
        <v>550</v>
      </c>
    </row>
    <row r="41" spans="2:3" ht="15" customHeight="1" thickBot="1" x14ac:dyDescent="0.4">
      <c r="B41" s="247" t="s">
        <v>3678</v>
      </c>
      <c r="C41" s="246">
        <v>100</v>
      </c>
    </row>
    <row r="42" spans="2:3" ht="15" customHeight="1" thickBot="1" x14ac:dyDescent="0.4">
      <c r="B42" s="247" t="s">
        <v>3677</v>
      </c>
      <c r="C42" s="246">
        <v>250</v>
      </c>
    </row>
    <row r="43" spans="2:3" ht="15" customHeight="1" thickBot="1" x14ac:dyDescent="0.4">
      <c r="B43" s="247" t="s">
        <v>3676</v>
      </c>
      <c r="C43" s="246">
        <v>450</v>
      </c>
    </row>
    <row r="44" spans="2:3" ht="15" customHeight="1" thickBot="1" x14ac:dyDescent="0.4">
      <c r="B44" s="247" t="s">
        <v>3675</v>
      </c>
      <c r="C44" s="246">
        <v>340</v>
      </c>
    </row>
    <row r="45" spans="2:3" ht="15" customHeight="1" thickBot="1" x14ac:dyDescent="0.4">
      <c r="B45" s="247" t="s">
        <v>3674</v>
      </c>
      <c r="C45" s="246">
        <v>100</v>
      </c>
    </row>
    <row r="46" spans="2:3" ht="15" customHeight="1" thickBot="1" x14ac:dyDescent="0.4">
      <c r="B46" s="247" t="s">
        <v>3673</v>
      </c>
      <c r="C46" s="246">
        <v>420</v>
      </c>
    </row>
    <row r="47" spans="2:3" ht="15" customHeight="1" thickBot="1" x14ac:dyDescent="0.4">
      <c r="B47" s="247" t="s">
        <v>3672</v>
      </c>
      <c r="C47" s="246">
        <v>250</v>
      </c>
    </row>
    <row r="48" spans="2:3" ht="15" customHeight="1" thickBot="1" x14ac:dyDescent="0.4">
      <c r="B48" s="247" t="s">
        <v>3671</v>
      </c>
      <c r="C48" s="246">
        <v>275</v>
      </c>
    </row>
    <row r="49" spans="2:6" ht="15" customHeight="1" thickBot="1" x14ac:dyDescent="0.4">
      <c r="B49" s="247" t="s">
        <v>3670</v>
      </c>
      <c r="C49" s="246">
        <v>350</v>
      </c>
    </row>
    <row r="50" spans="2:6" ht="15" customHeight="1" thickBot="1" x14ac:dyDescent="0.4">
      <c r="B50" s="247" t="s">
        <v>3669</v>
      </c>
      <c r="C50" s="246">
        <v>340</v>
      </c>
    </row>
    <row r="51" spans="2:6" x14ac:dyDescent="0.35">
      <c r="B51" s="898" t="s">
        <v>3668</v>
      </c>
      <c r="C51" s="898"/>
      <c r="D51" s="898"/>
      <c r="E51" s="898"/>
      <c r="F51" s="898"/>
    </row>
    <row r="52" spans="2:6" x14ac:dyDescent="0.35">
      <c r="B52" s="898"/>
      <c r="C52" s="898"/>
      <c r="D52" s="898"/>
      <c r="E52" s="898"/>
      <c r="F52" s="898"/>
    </row>
    <row r="53" spans="2:6" x14ac:dyDescent="0.35">
      <c r="B53" s="898" t="s">
        <v>3667</v>
      </c>
      <c r="C53" s="898"/>
      <c r="D53" s="898"/>
      <c r="E53" s="898"/>
      <c r="F53" s="898"/>
    </row>
    <row r="54" spans="2:6" x14ac:dyDescent="0.35">
      <c r="B54" s="898"/>
      <c r="C54" s="898"/>
      <c r="D54" s="898"/>
      <c r="E54" s="898"/>
      <c r="F54" s="898"/>
    </row>
    <row r="55" spans="2:6" x14ac:dyDescent="0.35">
      <c r="B55" s="898" t="s">
        <v>3666</v>
      </c>
      <c r="C55" s="898"/>
      <c r="D55" s="898"/>
      <c r="E55" s="898"/>
      <c r="F55" s="898"/>
    </row>
    <row r="56" spans="2:6" x14ac:dyDescent="0.35">
      <c r="B56" s="898"/>
      <c r="C56" s="898"/>
      <c r="D56" s="898"/>
      <c r="E56" s="898"/>
      <c r="F56" s="898"/>
    </row>
    <row r="57" spans="2:6" x14ac:dyDescent="0.35">
      <c r="B57" s="898"/>
      <c r="C57" s="898"/>
      <c r="D57" s="898"/>
      <c r="E57" s="898"/>
      <c r="F57" s="898"/>
    </row>
    <row r="58" spans="2:6" x14ac:dyDescent="0.35">
      <c r="B58" s="898" t="s">
        <v>3665</v>
      </c>
      <c r="C58" s="898"/>
      <c r="D58" s="898"/>
      <c r="E58" s="898"/>
      <c r="F58" s="898"/>
    </row>
    <row r="59" spans="2:6" x14ac:dyDescent="0.35">
      <c r="B59" s="898"/>
      <c r="C59" s="898"/>
      <c r="D59" s="898"/>
      <c r="E59" s="898"/>
      <c r="F59" s="898"/>
    </row>
    <row r="60" spans="2:6" x14ac:dyDescent="0.35">
      <c r="B60" s="1339" t="s">
        <v>3664</v>
      </c>
      <c r="C60" s="1339"/>
      <c r="D60" s="1339"/>
      <c r="E60" s="1339"/>
      <c r="F60" s="1339"/>
    </row>
  </sheetData>
  <sheetProtection algorithmName="SHA-512" hashValue="n9vDHCIf8/65w485gYctTP3nhfv/n7tJxO0eZH8DKrihuxxFa/Cus8qxq+ddabbt3sg5lgI7aMhY763Mq6hytA==" saltValue="/0TVcXNNlk0DSNjhgSpV6g==" spinCount="100000" sheet="1" objects="1" scenarios="1" selectLockedCells="1"/>
  <mergeCells count="9">
    <mergeCell ref="B60:F60"/>
    <mergeCell ref="B2:C2"/>
    <mergeCell ref="B58:F59"/>
    <mergeCell ref="B5:C5"/>
    <mergeCell ref="B4:C4"/>
    <mergeCell ref="B51:F52"/>
    <mergeCell ref="B53:F54"/>
    <mergeCell ref="B55:F57"/>
    <mergeCell ref="E2:G2"/>
  </mergeCells>
  <hyperlinks>
    <hyperlink ref="B2:C2" location="hyptarg9.1" display="back to 901.9.1" xr:uid="{00000000-0004-0000-2600-000000000000}"/>
    <hyperlink ref="E2:F2" location="'Verification Report'!A1" display="back to Verification Report" xr:uid="{00000000-0004-0000-2600-000001000000}"/>
    <hyperlink ref="E2:G2" location="'Verification Report'!A1" display="back to Verification Report" xr:uid="{00000000-0004-0000-2600-000002000000}"/>
  </hyperlinks>
  <pageMargins left="0.7" right="0.7" top="0.75" bottom="0.75" header="0.3" footer="0.3"/>
  <pageSetup scale="94" fitToHeight="0" orientation="portrait" r:id="rId1"/>
  <rowBreaks count="1" manualBreakCount="1">
    <brk id="19"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pageSetUpPr fitToPage="1"/>
  </sheetPr>
  <dimension ref="B2:G9"/>
  <sheetViews>
    <sheetView showGridLines="0" zoomScaleNormal="100" workbookViewId="0">
      <selection activeCell="S48" sqref="S48"/>
    </sheetView>
  </sheetViews>
  <sheetFormatPr defaultColWidth="9.1796875" defaultRowHeight="14.5" x14ac:dyDescent="0.35"/>
  <cols>
    <col min="2" max="2" width="37.7265625" bestFit="1" customWidth="1"/>
    <col min="3" max="3" width="8.81640625" bestFit="1" customWidth="1"/>
  </cols>
  <sheetData>
    <row r="2" spans="2:7" x14ac:dyDescent="0.35">
      <c r="B2" s="1255" t="s">
        <v>4099</v>
      </c>
      <c r="C2" s="1255"/>
      <c r="E2" s="1252" t="s">
        <v>4068</v>
      </c>
      <c r="F2" s="1253"/>
      <c r="G2" s="1254"/>
    </row>
    <row r="4" spans="2:7" ht="15" customHeight="1" x14ac:dyDescent="0.35">
      <c r="B4" s="891" t="s">
        <v>3723</v>
      </c>
      <c r="C4" s="891"/>
    </row>
    <row r="5" spans="2:7" ht="15" customHeight="1" thickBot="1" x14ac:dyDescent="0.4">
      <c r="B5" s="1338" t="s">
        <v>3722</v>
      </c>
      <c r="C5" s="1338"/>
    </row>
    <row r="6" spans="2:7" ht="15" customHeight="1" thickBot="1" x14ac:dyDescent="0.4">
      <c r="B6" s="252" t="s">
        <v>3721</v>
      </c>
      <c r="C6" s="211" t="s">
        <v>3720</v>
      </c>
    </row>
    <row r="7" spans="2:7" ht="15" customHeight="1" thickBot="1" x14ac:dyDescent="0.4">
      <c r="B7" s="257" t="s">
        <v>3719</v>
      </c>
      <c r="C7" s="246">
        <v>50</v>
      </c>
    </row>
    <row r="8" spans="2:7" ht="15" customHeight="1" thickBot="1" x14ac:dyDescent="0.4">
      <c r="B8" s="257" t="s">
        <v>3718</v>
      </c>
      <c r="C8" s="246">
        <v>600</v>
      </c>
    </row>
    <row r="9" spans="2:7" ht="15" customHeight="1" thickBot="1" x14ac:dyDescent="0.4">
      <c r="B9" s="257" t="s">
        <v>3717</v>
      </c>
      <c r="C9" s="246">
        <v>50</v>
      </c>
    </row>
  </sheetData>
  <sheetProtection algorithmName="SHA-512" hashValue="McQEdOxfX9sIds/Dbu+ii2dHpUJN7fwgGWlzk245P+tmRvE/wxCZc+7bWzjZRHJVNMXsONvCAvOCzDIcEb4HEQ==" saltValue="xJEinTvOASv6McX2PLsN/g==" spinCount="100000" sheet="1" objects="1" scenarios="1" selectLockedCells="1"/>
  <mergeCells count="4">
    <mergeCell ref="B4:C4"/>
    <mergeCell ref="B5:C5"/>
    <mergeCell ref="B2:C2"/>
    <mergeCell ref="E2:G2"/>
  </mergeCells>
  <hyperlinks>
    <hyperlink ref="B2:C2" location="hyptarg9.2" display="back to 901.9.1" xr:uid="{00000000-0004-0000-2700-000000000000}"/>
    <hyperlink ref="E2:F2" location="'Verification Report'!A1" display="back to Verification Report" xr:uid="{00000000-0004-0000-2700-000001000000}"/>
    <hyperlink ref="E2:G2" location="'Verification Report'!A1" display="back to Verification Report" xr:uid="{00000000-0004-0000-2700-000002000000}"/>
  </hyperlinks>
  <pageMargins left="0.7" right="0.7" top="0.75" bottom="0.75" header="0.3" footer="0.3"/>
  <pageSetup scale="98"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pageSetUpPr fitToPage="1"/>
  </sheetPr>
  <dimension ref="B2:G40"/>
  <sheetViews>
    <sheetView showGridLines="0" zoomScaleNormal="100" zoomScaleSheetLayoutView="80" workbookViewId="0">
      <selection activeCell="S48" sqref="S48"/>
    </sheetView>
  </sheetViews>
  <sheetFormatPr defaultColWidth="9.1796875" defaultRowHeight="14.5" x14ac:dyDescent="0.35"/>
  <cols>
    <col min="2" max="2" width="32.7265625" customWidth="1"/>
    <col min="3" max="3" width="23.453125" customWidth="1"/>
  </cols>
  <sheetData>
    <row r="2" spans="2:7" x14ac:dyDescent="0.35">
      <c r="B2" s="1255" t="s">
        <v>3760</v>
      </c>
      <c r="C2" s="1255"/>
      <c r="E2" s="1252" t="s">
        <v>4068</v>
      </c>
      <c r="F2" s="1253"/>
      <c r="G2" s="1254"/>
    </row>
    <row r="4" spans="2:7" ht="15" customHeight="1" x14ac:dyDescent="0.35">
      <c r="B4" s="891" t="s">
        <v>3756</v>
      </c>
      <c r="C4" s="891"/>
    </row>
    <row r="5" spans="2:7" ht="15" customHeight="1" x14ac:dyDescent="0.35">
      <c r="B5" s="891" t="s">
        <v>3755</v>
      </c>
      <c r="C5" s="891"/>
    </row>
    <row r="6" spans="2:7" ht="15" customHeight="1" x14ac:dyDescent="0.35">
      <c r="B6" s="262" t="s">
        <v>3744</v>
      </c>
      <c r="C6" s="262" t="s">
        <v>3743</v>
      </c>
    </row>
    <row r="7" spans="2:7" ht="15" customHeight="1" x14ac:dyDescent="0.35">
      <c r="B7" s="258" t="s">
        <v>3754</v>
      </c>
      <c r="C7" s="207">
        <v>50</v>
      </c>
    </row>
    <row r="8" spans="2:7" ht="15" customHeight="1" x14ac:dyDescent="0.35">
      <c r="B8" s="258" t="s">
        <v>3753</v>
      </c>
      <c r="C8" s="207">
        <v>50</v>
      </c>
    </row>
    <row r="9" spans="2:7" ht="15" customHeight="1" x14ac:dyDescent="0.35">
      <c r="B9" s="258" t="s">
        <v>3752</v>
      </c>
      <c r="C9" s="207">
        <v>150</v>
      </c>
    </row>
    <row r="10" spans="2:7" ht="15" customHeight="1" x14ac:dyDescent="0.35">
      <c r="B10" s="258" t="s">
        <v>3751</v>
      </c>
      <c r="C10" s="207">
        <v>100</v>
      </c>
    </row>
    <row r="11" spans="2:7" ht="15" customHeight="1" x14ac:dyDescent="0.35">
      <c r="B11" s="258" t="s">
        <v>3750</v>
      </c>
      <c r="C11" s="207">
        <v>60</v>
      </c>
    </row>
    <row r="12" spans="2:7" ht="15" customHeight="1" x14ac:dyDescent="0.35">
      <c r="B12" s="258" t="s">
        <v>3749</v>
      </c>
      <c r="C12" s="207">
        <v>50</v>
      </c>
    </row>
    <row r="13" spans="2:7" ht="15" customHeight="1" x14ac:dyDescent="0.35">
      <c r="B13" s="258" t="s">
        <v>3748</v>
      </c>
      <c r="C13" s="207">
        <v>65</v>
      </c>
    </row>
    <row r="14" spans="2:7" ht="15" customHeight="1" x14ac:dyDescent="0.35">
      <c r="B14" s="258" t="s">
        <v>3747</v>
      </c>
      <c r="C14" s="207">
        <v>50</v>
      </c>
    </row>
    <row r="15" spans="2:7" ht="15" customHeight="1" x14ac:dyDescent="0.35">
      <c r="B15" s="258" t="s">
        <v>3746</v>
      </c>
      <c r="C15" s="207">
        <v>50</v>
      </c>
    </row>
    <row r="16" spans="2:7" ht="15" customHeight="1" x14ac:dyDescent="0.35">
      <c r="B16" s="258" t="s">
        <v>3745</v>
      </c>
      <c r="C16" s="207">
        <v>50</v>
      </c>
    </row>
    <row r="17" spans="2:3" ht="15" customHeight="1" x14ac:dyDescent="0.35">
      <c r="B17" s="262" t="s">
        <v>3744</v>
      </c>
      <c r="C17" s="262" t="s">
        <v>3743</v>
      </c>
    </row>
    <row r="18" spans="2:3" ht="15" customHeight="1" x14ac:dyDescent="0.35">
      <c r="B18" s="258" t="s">
        <v>3742</v>
      </c>
      <c r="C18" s="207">
        <v>70</v>
      </c>
    </row>
    <row r="19" spans="2:3" ht="15" customHeight="1" x14ac:dyDescent="0.35">
      <c r="B19" s="258" t="s">
        <v>3741</v>
      </c>
      <c r="C19" s="207">
        <v>100</v>
      </c>
    </row>
    <row r="20" spans="2:3" ht="15" customHeight="1" x14ac:dyDescent="0.35">
      <c r="B20" s="258" t="s">
        <v>3740</v>
      </c>
      <c r="C20" s="207">
        <v>250</v>
      </c>
    </row>
    <row r="21" spans="2:3" ht="15" customHeight="1" x14ac:dyDescent="0.35">
      <c r="B21" s="263" t="s">
        <v>3739</v>
      </c>
      <c r="C21" s="261">
        <v>250</v>
      </c>
    </row>
    <row r="22" spans="2:3" ht="15" customHeight="1" x14ac:dyDescent="0.35">
      <c r="B22" s="263" t="s">
        <v>3738</v>
      </c>
      <c r="C22" s="261"/>
    </row>
    <row r="23" spans="2:3" ht="15" customHeight="1" x14ac:dyDescent="0.35">
      <c r="B23" s="265" t="s">
        <v>3737</v>
      </c>
      <c r="C23" s="260">
        <v>250</v>
      </c>
    </row>
    <row r="24" spans="2:3" ht="15" customHeight="1" x14ac:dyDescent="0.35">
      <c r="B24" s="264" t="s">
        <v>3736</v>
      </c>
      <c r="C24" s="259">
        <v>775</v>
      </c>
    </row>
    <row r="25" spans="2:3" ht="15" customHeight="1" x14ac:dyDescent="0.35">
      <c r="B25" s="264" t="s">
        <v>3735</v>
      </c>
      <c r="C25" s="259">
        <v>500</v>
      </c>
    </row>
    <row r="26" spans="2:3" ht="15" customHeight="1" x14ac:dyDescent="0.35">
      <c r="B26" s="258" t="s">
        <v>3734</v>
      </c>
      <c r="C26" s="207">
        <v>750</v>
      </c>
    </row>
    <row r="27" spans="2:3" ht="15" customHeight="1" x14ac:dyDescent="0.35">
      <c r="B27" s="258" t="s">
        <v>3733</v>
      </c>
      <c r="C27" s="207">
        <v>490</v>
      </c>
    </row>
    <row r="28" spans="2:3" ht="15" customHeight="1" x14ac:dyDescent="0.35">
      <c r="B28" s="258" t="s">
        <v>3732</v>
      </c>
      <c r="C28" s="207">
        <v>510</v>
      </c>
    </row>
    <row r="29" spans="2:3" ht="15" customHeight="1" x14ac:dyDescent="0.35">
      <c r="B29" s="258" t="s">
        <v>3731</v>
      </c>
      <c r="C29" s="207">
        <v>325</v>
      </c>
    </row>
    <row r="30" spans="2:3" ht="15" customHeight="1" x14ac:dyDescent="0.35">
      <c r="B30" s="258" t="s">
        <v>3730</v>
      </c>
      <c r="C30" s="207">
        <v>250</v>
      </c>
    </row>
    <row r="31" spans="2:3" ht="15" customHeight="1" x14ac:dyDescent="0.35">
      <c r="B31" s="258" t="s">
        <v>3729</v>
      </c>
      <c r="C31" s="207">
        <v>550</v>
      </c>
    </row>
    <row r="32" spans="2:3" ht="15" customHeight="1" x14ac:dyDescent="0.35">
      <c r="B32" s="258" t="s">
        <v>3728</v>
      </c>
      <c r="C32" s="207">
        <v>80</v>
      </c>
    </row>
    <row r="33" spans="2:3" ht="15" customHeight="1" x14ac:dyDescent="0.35">
      <c r="B33" s="258" t="s">
        <v>3727</v>
      </c>
      <c r="C33" s="207">
        <v>250</v>
      </c>
    </row>
    <row r="34" spans="2:3" ht="15" customHeight="1" x14ac:dyDescent="0.35">
      <c r="B34" s="258" t="s">
        <v>3726</v>
      </c>
      <c r="C34" s="207">
        <v>140</v>
      </c>
    </row>
    <row r="35" spans="2:3" x14ac:dyDescent="0.35">
      <c r="B35" s="1340" t="s">
        <v>3725</v>
      </c>
      <c r="C35" s="1340"/>
    </row>
    <row r="36" spans="2:3" x14ac:dyDescent="0.35">
      <c r="B36" s="814" t="s">
        <v>3724</v>
      </c>
      <c r="C36" s="814"/>
    </row>
    <row r="37" spans="2:3" x14ac:dyDescent="0.35">
      <c r="B37" s="814"/>
      <c r="C37" s="814"/>
    </row>
    <row r="38" spans="2:3" x14ac:dyDescent="0.35">
      <c r="B38" s="814"/>
      <c r="C38" s="814"/>
    </row>
    <row r="39" spans="2:3" x14ac:dyDescent="0.35">
      <c r="B39" s="814"/>
      <c r="C39" s="814"/>
    </row>
    <row r="40" spans="2:3" x14ac:dyDescent="0.35">
      <c r="B40" s="814"/>
      <c r="C40" s="814"/>
    </row>
  </sheetData>
  <sheetProtection algorithmName="SHA-512" hashValue="YFrsgl2SA3KJXlsLDXurjTWkqTlkCYGBTsPD3x/nC3jbMvcp7s0ZMBqboNKyZlfJT2gqJuZIB49XI8HH/5oNVw==" saltValue="Peubw362yJmMQrM2ivmi2Q==" spinCount="100000" sheet="1" objects="1" scenarios="1" selectLockedCells="1"/>
  <mergeCells count="6">
    <mergeCell ref="E2:G2"/>
    <mergeCell ref="B4:C4"/>
    <mergeCell ref="B5:C5"/>
    <mergeCell ref="B35:C35"/>
    <mergeCell ref="B36:C40"/>
    <mergeCell ref="B2:C2"/>
  </mergeCells>
  <hyperlinks>
    <hyperlink ref="B2:C2" location="hyptarg9.3" display="back to 901.10(3)" xr:uid="{00000000-0004-0000-2800-000000000000}"/>
    <hyperlink ref="E2:F2" location="'Verification Report'!A1" display="back to Verification Report" xr:uid="{00000000-0004-0000-2800-000001000000}"/>
    <hyperlink ref="E2:G2" location="'Verification Report'!A1" display="back to Verification Report" xr:uid="{00000000-0004-0000-2800-000002000000}"/>
  </hyperlinks>
  <pageMargins left="0.7" right="0.7" top="0.75" bottom="0.75" header="0.3" footer="0.3"/>
  <pageSetup scale="88"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8">
    <pageSetUpPr fitToPage="1"/>
  </sheetPr>
  <dimension ref="A1:C32"/>
  <sheetViews>
    <sheetView zoomScaleNormal="100" workbookViewId="0">
      <selection activeCell="S48" sqref="S48"/>
    </sheetView>
  </sheetViews>
  <sheetFormatPr defaultRowHeight="14.5" x14ac:dyDescent="0.35"/>
  <cols>
    <col min="1" max="1" width="7.54296875" bestFit="1" customWidth="1"/>
    <col min="2" max="2" width="12" bestFit="1" customWidth="1"/>
    <col min="3" max="3" width="10" bestFit="1" customWidth="1"/>
  </cols>
  <sheetData>
    <row r="1" spans="1:3" x14ac:dyDescent="0.35">
      <c r="A1" t="s">
        <v>4070</v>
      </c>
      <c r="B1" t="s">
        <v>4072</v>
      </c>
      <c r="C1" t="s">
        <v>4071</v>
      </c>
    </row>
    <row r="2" spans="1:3" x14ac:dyDescent="0.35">
      <c r="A2" s="447" t="s">
        <v>4817</v>
      </c>
      <c r="B2" s="448">
        <v>43941</v>
      </c>
      <c r="C2" t="s">
        <v>4073</v>
      </c>
    </row>
    <row r="3" spans="1:3" x14ac:dyDescent="0.35">
      <c r="A3" s="447" t="s">
        <v>5150</v>
      </c>
      <c r="B3" s="448">
        <v>43944</v>
      </c>
      <c r="C3" t="s">
        <v>5151</v>
      </c>
    </row>
    <row r="4" spans="1:3" x14ac:dyDescent="0.35">
      <c r="A4" s="447" t="s">
        <v>5152</v>
      </c>
      <c r="B4" s="448">
        <v>43954</v>
      </c>
      <c r="C4" t="s">
        <v>5153</v>
      </c>
    </row>
    <row r="5" spans="1:3" x14ac:dyDescent="0.35">
      <c r="A5" s="447" t="s">
        <v>5154</v>
      </c>
      <c r="B5" s="448">
        <v>43961</v>
      </c>
      <c r="C5" t="s">
        <v>5236</v>
      </c>
    </row>
    <row r="6" spans="1:3" x14ac:dyDescent="0.35">
      <c r="A6" s="447" t="s">
        <v>5238</v>
      </c>
      <c r="B6" s="448">
        <v>43977</v>
      </c>
      <c r="C6" t="s">
        <v>5239</v>
      </c>
    </row>
    <row r="7" spans="1:3" x14ac:dyDescent="0.35">
      <c r="A7" s="447" t="s">
        <v>5243</v>
      </c>
      <c r="B7" s="448">
        <v>44019</v>
      </c>
      <c r="C7" t="s">
        <v>5574</v>
      </c>
    </row>
    <row r="8" spans="1:3" x14ac:dyDescent="0.35">
      <c r="A8" s="447" t="s">
        <v>5595</v>
      </c>
      <c r="B8" s="448">
        <v>44041</v>
      </c>
      <c r="C8" t="s">
        <v>5601</v>
      </c>
    </row>
    <row r="9" spans="1:3" x14ac:dyDescent="0.35">
      <c r="A9" s="447" t="s">
        <v>5602</v>
      </c>
      <c r="B9" s="448">
        <v>44064</v>
      </c>
      <c r="C9" t="s">
        <v>5603</v>
      </c>
    </row>
    <row r="10" spans="1:3" x14ac:dyDescent="0.35">
      <c r="A10" s="447" t="s">
        <v>5607</v>
      </c>
      <c r="B10" s="448">
        <v>44073</v>
      </c>
      <c r="C10" t="s">
        <v>5608</v>
      </c>
    </row>
    <row r="11" spans="1:3" x14ac:dyDescent="0.35">
      <c r="A11" s="447" t="s">
        <v>5613</v>
      </c>
      <c r="B11" s="448">
        <v>44091</v>
      </c>
      <c r="C11" t="s">
        <v>5614</v>
      </c>
    </row>
    <row r="12" spans="1:3" x14ac:dyDescent="0.35">
      <c r="A12" s="447" t="s">
        <v>5615</v>
      </c>
      <c r="B12" s="448">
        <v>44092</v>
      </c>
      <c r="C12" t="s">
        <v>5616</v>
      </c>
    </row>
    <row r="13" spans="1:3" x14ac:dyDescent="0.35">
      <c r="A13" s="447" t="s">
        <v>5617</v>
      </c>
      <c r="B13" s="448">
        <v>44101</v>
      </c>
      <c r="C13" t="s">
        <v>5618</v>
      </c>
    </row>
    <row r="14" spans="1:3" x14ac:dyDescent="0.35">
      <c r="A14" s="447" t="s">
        <v>5619</v>
      </c>
      <c r="B14" s="448">
        <v>44129</v>
      </c>
      <c r="C14" t="s">
        <v>5622</v>
      </c>
    </row>
    <row r="15" spans="1:3" x14ac:dyDescent="0.35">
      <c r="A15" s="447" t="s">
        <v>5623</v>
      </c>
      <c r="B15" s="448">
        <v>44159</v>
      </c>
      <c r="C15" t="s">
        <v>5625</v>
      </c>
    </row>
    <row r="16" spans="1:3" x14ac:dyDescent="0.35">
      <c r="A16" s="447" t="s">
        <v>5626</v>
      </c>
      <c r="B16" s="448">
        <v>44201</v>
      </c>
      <c r="C16" t="s">
        <v>5653</v>
      </c>
    </row>
    <row r="17" spans="1:3" x14ac:dyDescent="0.35">
      <c r="A17" s="447" t="s">
        <v>5674</v>
      </c>
      <c r="B17" s="448">
        <v>44243</v>
      </c>
      <c r="C17" t="s">
        <v>5676</v>
      </c>
    </row>
    <row r="18" spans="1:3" x14ac:dyDescent="0.35">
      <c r="A18" s="447" t="s">
        <v>5677</v>
      </c>
      <c r="B18" s="448">
        <v>44260</v>
      </c>
      <c r="C18" t="s">
        <v>5732</v>
      </c>
    </row>
    <row r="19" spans="1:3" x14ac:dyDescent="0.35">
      <c r="A19" s="447" t="s">
        <v>5733</v>
      </c>
      <c r="B19" s="448">
        <v>44288</v>
      </c>
      <c r="C19" t="s">
        <v>5734</v>
      </c>
    </row>
    <row r="20" spans="1:3" x14ac:dyDescent="0.35">
      <c r="A20" s="447" t="s">
        <v>5735</v>
      </c>
      <c r="B20" s="448">
        <v>44328</v>
      </c>
      <c r="C20" t="s">
        <v>5736</v>
      </c>
    </row>
    <row r="21" spans="1:3" x14ac:dyDescent="0.35">
      <c r="A21" s="447" t="s">
        <v>5737</v>
      </c>
      <c r="B21" s="448">
        <v>44416</v>
      </c>
      <c r="C21" t="s">
        <v>5740</v>
      </c>
    </row>
    <row r="22" spans="1:3" x14ac:dyDescent="0.35">
      <c r="A22" s="447" t="s">
        <v>5742</v>
      </c>
      <c r="B22" s="448">
        <v>44434</v>
      </c>
      <c r="C22" t="s">
        <v>5743</v>
      </c>
    </row>
    <row r="23" spans="1:3" x14ac:dyDescent="0.35">
      <c r="A23" s="447" t="s">
        <v>5776</v>
      </c>
      <c r="B23" s="448">
        <v>44511</v>
      </c>
      <c r="C23" t="s">
        <v>5811</v>
      </c>
    </row>
    <row r="24" spans="1:3" x14ac:dyDescent="0.35">
      <c r="A24" s="676" t="s">
        <v>5799</v>
      </c>
      <c r="B24" t="s">
        <v>5799</v>
      </c>
      <c r="C24" t="s">
        <v>5800</v>
      </c>
    </row>
    <row r="25" spans="1:3" x14ac:dyDescent="0.35">
      <c r="A25" s="447" t="s">
        <v>5812</v>
      </c>
      <c r="B25" s="448">
        <v>44593</v>
      </c>
      <c r="C25" t="s">
        <v>5813</v>
      </c>
    </row>
    <row r="26" spans="1:3" x14ac:dyDescent="0.35">
      <c r="A26" s="447" t="s">
        <v>5799</v>
      </c>
      <c r="B26" t="s">
        <v>5799</v>
      </c>
      <c r="C26" t="s">
        <v>5815</v>
      </c>
    </row>
    <row r="27" spans="1:3" x14ac:dyDescent="0.35">
      <c r="A27" s="447" t="s">
        <v>5816</v>
      </c>
      <c r="B27" s="448">
        <v>44810</v>
      </c>
      <c r="C27" t="s">
        <v>5851</v>
      </c>
    </row>
    <row r="28" spans="1:3" x14ac:dyDescent="0.35">
      <c r="A28" s="447" t="s">
        <v>5852</v>
      </c>
      <c r="B28" s="448">
        <v>44887</v>
      </c>
      <c r="C28" t="s">
        <v>5853</v>
      </c>
    </row>
    <row r="29" spans="1:3" x14ac:dyDescent="0.35">
      <c r="A29" s="447" t="s">
        <v>6061</v>
      </c>
      <c r="B29" s="448">
        <v>44945</v>
      </c>
      <c r="C29" t="s">
        <v>6066</v>
      </c>
    </row>
    <row r="30" spans="1:3" x14ac:dyDescent="0.35">
      <c r="A30" s="447" t="s">
        <v>6067</v>
      </c>
      <c r="B30" s="448">
        <v>44978</v>
      </c>
      <c r="C30" t="s">
        <v>6068</v>
      </c>
    </row>
    <row r="31" spans="1:3" x14ac:dyDescent="0.35">
      <c r="A31" s="447" t="s">
        <v>6069</v>
      </c>
      <c r="B31" s="448">
        <v>45029</v>
      </c>
      <c r="C31" t="s">
        <v>6086</v>
      </c>
    </row>
    <row r="32" spans="1:3" x14ac:dyDescent="0.35">
      <c r="A32" s="447" t="s">
        <v>6088</v>
      </c>
      <c r="B32" s="448">
        <v>45071</v>
      </c>
      <c r="C32" t="s">
        <v>6092</v>
      </c>
    </row>
  </sheetData>
  <sheetProtection algorithmName="SHA-512" hashValue="VCpPdpzPYdJ9EKGVse2AK2N0GOZWjjsGgUolsuL6MlZ4Wl8k/7ben9ui6DCb2gVQ6p5jTijcxBDqg6bBEyXenw==" saltValue="qjIRjxqT8If5VZiPtKbtFA==" spinCount="100000" sheet="1" objects="1" scenarios="1" selectLockedCells="1" selectUnlockedCells="1"/>
  <pageMargins left="0.7" right="0.7" top="0.75" bottom="0.75" header="0.3" footer="0.3"/>
  <pageSetup scale="60"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pageSetUpPr fitToPage="1"/>
  </sheetPr>
  <dimension ref="A1:BI562"/>
  <sheetViews>
    <sheetView showGridLines="0" zoomScaleNormal="100" workbookViewId="0">
      <pane ySplit="7" topLeftCell="A520" activePane="bottomLeft" state="frozen"/>
      <selection activeCell="S48" sqref="S48"/>
      <selection pane="bottomLeft" activeCell="S48" sqref="S48"/>
    </sheetView>
  </sheetViews>
  <sheetFormatPr defaultColWidth="9.1796875" defaultRowHeight="14.5" x14ac:dyDescent="0.35"/>
  <cols>
    <col min="1" max="1" width="9.1796875" style="12" hidden="1" customWidth="1"/>
    <col min="2" max="2" width="7.26953125" style="12" hidden="1" customWidth="1"/>
    <col min="3" max="7" width="3.81640625" style="12" hidden="1" customWidth="1"/>
    <col min="8" max="8" width="3.81640625" style="12" customWidth="1"/>
    <col min="9" max="9" width="10.453125" customWidth="1"/>
    <col min="10" max="11" width="3.81640625" customWidth="1"/>
    <col min="12" max="12" width="71.7265625" style="565" customWidth="1"/>
    <col min="13" max="13" width="13.54296875" style="33" customWidth="1"/>
    <col min="14" max="14" width="7.7265625" hidden="1" customWidth="1"/>
    <col min="15" max="15" width="7.7265625" style="41" customWidth="1"/>
    <col min="16" max="21" width="8.81640625" hidden="1" customWidth="1"/>
    <col min="22" max="22" width="3" hidden="1" customWidth="1"/>
    <col min="23" max="23" width="21.453125" customWidth="1"/>
    <col min="24" max="24" width="69" customWidth="1"/>
    <col min="25" max="26" width="34.81640625" hidden="1" customWidth="1"/>
    <col min="27" max="37" width="9.1796875" hidden="1" customWidth="1"/>
    <col min="38" max="38" width="16.453125" hidden="1" customWidth="1"/>
    <col min="39" max="39" width="3" hidden="1" customWidth="1"/>
    <col min="40" max="40" width="15.7265625" hidden="1" customWidth="1"/>
    <col min="41" max="41" width="2.1796875" hidden="1" customWidth="1"/>
    <col min="42" max="42" width="15.7265625" hidden="1" customWidth="1"/>
    <col min="43" max="43" width="2.1796875" hidden="1" customWidth="1"/>
    <col min="44" max="44" width="15.7265625" hidden="1" customWidth="1"/>
    <col min="45" max="45" width="2.1796875" hidden="1" customWidth="1"/>
    <col min="46" max="61" width="9.1796875" hidden="1" customWidth="1"/>
  </cols>
  <sheetData>
    <row r="1" spans="1:61" x14ac:dyDescent="0.35">
      <c r="H1" s="856" t="s">
        <v>4088</v>
      </c>
      <c r="I1" s="867" t="str">
        <f ca="1">IF(OR(AG3,AI3),"Errors on page, no Level reached","Current Chapter level: "&amp;AG1&amp;"                                            Total Points: "&amp;AG2)</f>
        <v>Current Chapter level: Bronze                                            Total Points: 54</v>
      </c>
      <c r="J1" s="867"/>
      <c r="K1" s="867"/>
      <c r="L1" s="867"/>
      <c r="M1" s="857"/>
      <c r="N1" s="857"/>
      <c r="O1" s="857"/>
      <c r="P1" s="857"/>
      <c r="Q1" s="857"/>
      <c r="R1" s="857"/>
      <c r="S1" s="857"/>
      <c r="T1" s="857"/>
      <c r="U1" s="857"/>
      <c r="V1" s="857"/>
      <c r="W1" s="857"/>
      <c r="X1" s="716" t="s">
        <v>4063</v>
      </c>
      <c r="AF1" s="6" t="s">
        <v>494</v>
      </c>
      <c r="AG1" t="str">
        <f ca="1">IF(OR(AG3,AI3),"None",Ch6Level)</f>
        <v>Bronze</v>
      </c>
    </row>
    <row r="2" spans="1:61" x14ac:dyDescent="0.35">
      <c r="H2" s="856"/>
      <c r="I2" s="868" t="str">
        <f ca="1">"Points away from:  Bronze: "&amp;MAX(Points!C16-Ch6Points,0)&amp;",  Silver: "&amp;MAX(Points!D16-Ch6Points,0)&amp;",  Gold: "&amp;MAX(Points!E16-Ch6Points,0)&amp;",  Emerald: "&amp;MAX(Points!F16-Ch6Points,0)</f>
        <v>Points away from:  Bronze: 0,  Silver: 5,  Gold: 35,  Emerald: 65</v>
      </c>
      <c r="J2" s="868"/>
      <c r="K2" s="868"/>
      <c r="L2" s="868"/>
      <c r="M2" s="857"/>
      <c r="N2" s="857"/>
      <c r="O2" s="857"/>
      <c r="P2" s="857"/>
      <c r="Q2" s="857"/>
      <c r="R2" s="857"/>
      <c r="S2" s="857"/>
      <c r="T2" s="857"/>
      <c r="U2" s="857"/>
      <c r="V2" s="857"/>
      <c r="W2" s="857"/>
      <c r="X2" s="716" t="s">
        <v>3504</v>
      </c>
      <c r="AF2" s="6" t="s">
        <v>495</v>
      </c>
      <c r="AG2">
        <f ca="1">Ch6Points</f>
        <v>54</v>
      </c>
      <c r="AH2" t="s">
        <v>739</v>
      </c>
      <c r="AI2">
        <f ca="1">Ch6NLev</f>
        <v>5</v>
      </c>
    </row>
    <row r="3" spans="1:61" x14ac:dyDescent="0.35">
      <c r="H3" s="856"/>
      <c r="I3" s="868" t="str">
        <f ca="1">"Add'l pts earned above:  Bronze: "&amp; MAX(0,Ch6Points-Points!C16) &amp;",  Silver: " &amp; MAX(0,Ch6Points-Points!D16) &amp;",  Gold: " &amp; MAX(0,Ch6Points-Points!E16) &amp;",  Emerald: " &amp; MAX(0,Ch6Points-Points!F16)</f>
        <v>Add'l pts earned above:  Bronze: 11,  Silver: 0,  Gold: 0,  Emerald: 0</v>
      </c>
      <c r="J3" s="868"/>
      <c r="K3" s="868"/>
      <c r="L3" s="868"/>
      <c r="M3" s="857"/>
      <c r="N3" s="857"/>
      <c r="O3" s="857"/>
      <c r="P3" s="857"/>
      <c r="Q3" s="857"/>
      <c r="R3" s="857"/>
      <c r="S3" s="857"/>
      <c r="T3" s="857"/>
      <c r="U3" s="857"/>
      <c r="V3" s="857"/>
      <c r="W3" s="857"/>
      <c r="X3" s="716" t="s">
        <v>3503</v>
      </c>
      <c r="AF3" s="6" t="s">
        <v>496</v>
      </c>
      <c r="AG3" t="b">
        <f ca="1">OR(AE:AE)</f>
        <v>0</v>
      </c>
      <c r="AH3" s="6" t="s">
        <v>740</v>
      </c>
      <c r="AI3" t="b">
        <f ca="1">OR(AD:AD)</f>
        <v>0</v>
      </c>
    </row>
    <row r="4" spans="1:61" x14ac:dyDescent="0.35">
      <c r="H4" s="856"/>
      <c r="I4" s="871" t="str">
        <f>"Total Chapter Points needed for:  Bronze: "&amp;Points!C16&amp;",  Silver: "&amp;Points!D16&amp;",  Gold: "&amp;Points!E16&amp;",  Emerald: "&amp;Points!F16</f>
        <v>Total Chapter Points needed for:  Bronze: 43,  Silver: 59,  Gold: 89,  Emerald: 119</v>
      </c>
      <c r="J4" s="872"/>
      <c r="K4" s="872"/>
      <c r="L4" s="873"/>
      <c r="M4" s="857"/>
      <c r="N4" s="857"/>
      <c r="O4" s="857"/>
      <c r="P4" s="857"/>
      <c r="Q4" s="857"/>
      <c r="R4" s="857"/>
      <c r="S4" s="857"/>
      <c r="T4" s="857"/>
      <c r="U4" s="857"/>
      <c r="V4" s="857"/>
      <c r="W4" s="857"/>
      <c r="X4" s="762" t="s">
        <v>4873</v>
      </c>
      <c r="AF4" s="6"/>
      <c r="AH4" s="6"/>
    </row>
    <row r="5" spans="1:61" x14ac:dyDescent="0.35">
      <c r="H5" s="856"/>
      <c r="I5" s="874" t="str">
        <f>"Revision Date:  "&amp;TEXT('Info &amp; Intro'!E7,"m/d/yyyy")</f>
        <v>Revision Date:  5/25/2023</v>
      </c>
      <c r="J5" s="875"/>
      <c r="K5" s="875"/>
      <c r="L5" s="876"/>
      <c r="M5" s="857"/>
      <c r="N5" s="857"/>
      <c r="O5" s="857"/>
      <c r="P5" s="857"/>
      <c r="Q5" s="857"/>
      <c r="R5" s="857"/>
      <c r="S5" s="857"/>
      <c r="T5" s="857"/>
      <c r="U5" s="857"/>
      <c r="V5" s="857"/>
      <c r="W5" s="857"/>
      <c r="X5" s="762"/>
      <c r="AF5" s="6"/>
      <c r="AH5" s="6"/>
    </row>
    <row r="6" spans="1:61" x14ac:dyDescent="0.35">
      <c r="H6" s="856"/>
      <c r="I6" s="877" t="s">
        <v>248</v>
      </c>
      <c r="J6" s="878"/>
      <c r="K6" s="879"/>
      <c r="L6" s="880" t="s">
        <v>1108</v>
      </c>
      <c r="M6" s="860" t="s">
        <v>249</v>
      </c>
      <c r="N6" s="860"/>
      <c r="O6" s="23" t="s">
        <v>318</v>
      </c>
      <c r="P6" s="860" t="s">
        <v>4101</v>
      </c>
      <c r="Q6" s="860" t="s">
        <v>309</v>
      </c>
      <c r="R6" s="860" t="s">
        <v>250</v>
      </c>
      <c r="S6" s="860" t="s">
        <v>251</v>
      </c>
      <c r="T6" s="860" t="s">
        <v>0</v>
      </c>
      <c r="U6" s="860" t="s">
        <v>4102</v>
      </c>
      <c r="V6" s="860"/>
      <c r="W6" s="860" t="s">
        <v>252</v>
      </c>
      <c r="X6" s="869" t="s">
        <v>1</v>
      </c>
      <c r="AC6" s="2" t="s">
        <v>307</v>
      </c>
      <c r="AD6" s="2" t="s">
        <v>0</v>
      </c>
      <c r="AE6" s="2" t="s">
        <v>306</v>
      </c>
    </row>
    <row r="7" spans="1:61" x14ac:dyDescent="0.35">
      <c r="H7" s="856"/>
      <c r="I7" s="877"/>
      <c r="J7" s="878"/>
      <c r="K7" s="879"/>
      <c r="L7" s="880"/>
      <c r="M7" s="860"/>
      <c r="N7" s="860"/>
      <c r="O7" s="23" t="s">
        <v>319</v>
      </c>
      <c r="P7" s="860"/>
      <c r="Q7" s="860"/>
      <c r="R7" s="860"/>
      <c r="S7" s="860"/>
      <c r="T7" s="860"/>
      <c r="U7" s="860"/>
      <c r="V7" s="860"/>
      <c r="W7" s="860"/>
      <c r="X7" s="870"/>
      <c r="AC7" s="2" t="s">
        <v>307</v>
      </c>
      <c r="AD7" s="2" t="s">
        <v>0</v>
      </c>
      <c r="AE7" s="2" t="s">
        <v>306</v>
      </c>
    </row>
    <row r="8" spans="1:61" hidden="1" x14ac:dyDescent="0.35">
      <c r="I8" s="451"/>
      <c r="J8" s="451"/>
      <c r="K8" s="451"/>
      <c r="L8" s="588"/>
      <c r="M8" s="22"/>
      <c r="N8" s="22"/>
      <c r="O8" s="23"/>
      <c r="P8" s="22"/>
      <c r="Q8" s="22"/>
      <c r="R8" s="22"/>
      <c r="S8" s="22"/>
      <c r="T8" s="22"/>
      <c r="U8" s="22"/>
      <c r="V8" s="22"/>
      <c r="W8" s="22"/>
      <c r="X8" s="451"/>
      <c r="AC8" s="2"/>
      <c r="AD8" s="2"/>
      <c r="AE8" s="2"/>
    </row>
    <row r="9" spans="1:61" ht="18.5" x14ac:dyDescent="0.45">
      <c r="A9" s="12" t="s">
        <v>247</v>
      </c>
      <c r="B9" s="12" t="s">
        <v>247</v>
      </c>
      <c r="C9" s="12" t="s">
        <v>247</v>
      </c>
      <c r="D9" s="12" t="s">
        <v>247</v>
      </c>
      <c r="E9" s="12" t="s">
        <v>247</v>
      </c>
      <c r="F9" s="12" t="s">
        <v>247</v>
      </c>
      <c r="G9" s="12" t="s">
        <v>247</v>
      </c>
      <c r="H9" s="455"/>
      <c r="I9" s="14" t="s">
        <v>498</v>
      </c>
      <c r="J9" s="14"/>
      <c r="K9" s="14"/>
      <c r="L9" s="584"/>
      <c r="M9" s="16"/>
      <c r="N9" t="s">
        <v>247</v>
      </c>
      <c r="O9" s="16"/>
      <c r="P9" t="s">
        <v>247</v>
      </c>
      <c r="Q9" t="s">
        <v>247</v>
      </c>
      <c r="R9" t="s">
        <v>247</v>
      </c>
      <c r="S9" t="s">
        <v>247</v>
      </c>
      <c r="T9" t="s">
        <v>247</v>
      </c>
      <c r="U9" t="s">
        <v>247</v>
      </c>
      <c r="V9" t="s">
        <v>247</v>
      </c>
      <c r="W9" s="15"/>
      <c r="X9" s="15"/>
      <c r="Y9" s="21" t="s">
        <v>247</v>
      </c>
      <c r="Z9" s="21" t="s">
        <v>247</v>
      </c>
      <c r="AA9" s="21" t="s">
        <v>247</v>
      </c>
      <c r="AB9" s="21" t="s">
        <v>247</v>
      </c>
      <c r="AC9" s="21" t="s">
        <v>247</v>
      </c>
      <c r="AD9" s="21" t="s">
        <v>247</v>
      </c>
      <c r="AE9" s="21" t="s">
        <v>247</v>
      </c>
      <c r="AF9" s="21" t="s">
        <v>247</v>
      </c>
      <c r="AG9" s="21" t="s">
        <v>247</v>
      </c>
      <c r="AH9" s="21" t="s">
        <v>247</v>
      </c>
      <c r="AI9" s="21" t="s">
        <v>247</v>
      </c>
      <c r="AJ9" s="21" t="s">
        <v>247</v>
      </c>
      <c r="AK9" s="21" t="s">
        <v>247</v>
      </c>
      <c r="AL9" s="21" t="s">
        <v>247</v>
      </c>
      <c r="AM9" s="21" t="s">
        <v>247</v>
      </c>
      <c r="AN9" s="21" t="s">
        <v>247</v>
      </c>
      <c r="AO9" s="21" t="s">
        <v>247</v>
      </c>
      <c r="AP9" s="21" t="s">
        <v>247</v>
      </c>
      <c r="AQ9" s="21" t="s">
        <v>247</v>
      </c>
      <c r="AR9" s="21" t="s">
        <v>247</v>
      </c>
      <c r="AS9" s="21" t="s">
        <v>247</v>
      </c>
      <c r="AT9" s="21" t="s">
        <v>247</v>
      </c>
      <c r="AU9" s="21" t="s">
        <v>247</v>
      </c>
      <c r="AV9" s="21" t="s">
        <v>247</v>
      </c>
      <c r="AW9" s="21" t="s">
        <v>247</v>
      </c>
      <c r="AX9" s="21" t="s">
        <v>247</v>
      </c>
      <c r="AY9" s="21" t="s">
        <v>247</v>
      </c>
      <c r="AZ9" s="21" t="s">
        <v>247</v>
      </c>
      <c r="BA9" s="21" t="s">
        <v>247</v>
      </c>
      <c r="BB9" s="21" t="s">
        <v>247</v>
      </c>
      <c r="BC9" s="21" t="s">
        <v>247</v>
      </c>
      <c r="BD9" s="21" t="s">
        <v>247</v>
      </c>
      <c r="BE9" s="21" t="s">
        <v>247</v>
      </c>
      <c r="BF9" s="21" t="s">
        <v>247</v>
      </c>
      <c r="BG9" s="21" t="s">
        <v>247</v>
      </c>
      <c r="BH9" s="21" t="s">
        <v>247</v>
      </c>
      <c r="BI9" s="21" t="s">
        <v>247</v>
      </c>
    </row>
    <row r="10" spans="1:61" x14ac:dyDescent="0.35">
      <c r="B10" s="37" t="s">
        <v>499</v>
      </c>
      <c r="C10" s="13"/>
      <c r="D10" s="13"/>
      <c r="E10" s="13"/>
      <c r="F10" s="13"/>
      <c r="G10" s="13"/>
      <c r="H10" s="453"/>
      <c r="I10" s="38" t="s">
        <v>499</v>
      </c>
      <c r="J10" s="19"/>
      <c r="K10" s="47"/>
      <c r="L10" s="838" t="s">
        <v>500</v>
      </c>
      <c r="M10" s="40"/>
    </row>
    <row r="11" spans="1:61" x14ac:dyDescent="0.35">
      <c r="B11" s="37" t="s">
        <v>499</v>
      </c>
      <c r="C11" s="13"/>
      <c r="D11" s="13"/>
      <c r="E11" s="13"/>
      <c r="F11" s="13"/>
      <c r="G11" s="13"/>
      <c r="H11" s="453"/>
      <c r="I11" s="30"/>
      <c r="J11" s="4"/>
      <c r="K11" s="43"/>
      <c r="L11" s="838"/>
      <c r="M11" s="40"/>
      <c r="AX11" s="6" t="str">
        <f>'Overview (Design)'!A10</f>
        <v>Builder Name:</v>
      </c>
      <c r="AY11" t="str">
        <f>'Overview (Design)'!G10</f>
        <v>ABC Builder</v>
      </c>
    </row>
    <row r="12" spans="1:61" ht="15" thickBot="1" x14ac:dyDescent="0.4">
      <c r="B12" s="37" t="s">
        <v>499</v>
      </c>
      <c r="C12" s="13"/>
      <c r="D12" s="13"/>
      <c r="E12" s="13"/>
      <c r="F12" s="13"/>
      <c r="G12" s="13"/>
      <c r="H12" s="453"/>
      <c r="I12" s="30"/>
      <c r="J12" s="4"/>
      <c r="K12" s="43"/>
      <c r="L12" s="838"/>
      <c r="M12" s="40"/>
      <c r="AX12" s="6" t="str">
        <f>'Overview (Design)'!A11</f>
        <v>Physical Address of Home:</v>
      </c>
      <c r="AY12" t="str">
        <f>'Overview (Design)'!G11</f>
        <v>123 Example Drive</v>
      </c>
    </row>
    <row r="13" spans="1:61" ht="15" thickTop="1" x14ac:dyDescent="0.35">
      <c r="B13" s="37">
        <v>601.1</v>
      </c>
      <c r="C13" s="13"/>
      <c r="D13" s="13"/>
      <c r="E13" s="13"/>
      <c r="F13" s="13"/>
      <c r="G13" s="13"/>
      <c r="H13" s="453"/>
      <c r="I13" s="106">
        <v>601.1</v>
      </c>
      <c r="J13" s="107"/>
      <c r="K13" s="108"/>
      <c r="L13" s="837" t="s">
        <v>4164</v>
      </c>
      <c r="M13" s="267"/>
      <c r="N13" s="107"/>
      <c r="O13" s="831">
        <f>IFERROR(INDEX({14,12,9,6,3,0},MATCH(AY26,{1,701,1001,1501,2001,2501,100000},1)),0)</f>
        <v>0</v>
      </c>
      <c r="P13" s="59"/>
      <c r="Q13" s="59"/>
      <c r="R13" s="59"/>
      <c r="S13" s="59"/>
      <c r="T13" s="59"/>
      <c r="U13" s="59"/>
      <c r="V13" s="59"/>
      <c r="W13" s="59"/>
      <c r="X13" s="840"/>
      <c r="AN13" t="str">
        <f>SUBSTITUTE(SUBSTITUTE(SUBSTITUTE("dpc"&amp;$B13&amp;$C13&amp;$D13&amp;$E13,".","_"),"(","_"),")","")</f>
        <v>dpc601_1</v>
      </c>
      <c r="AO13">
        <f>O13</f>
        <v>0</v>
      </c>
      <c r="AR13" t="str">
        <f>SUBSTITUTE(SUBSTITUTE(SUBSTITUTE("dnt"&amp;$B13&amp;$C13&amp;$D13&amp;$E13,".","_"),"(","_"),")","")</f>
        <v>dnt601_1</v>
      </c>
      <c r="AS13" t="str">
        <f>IF(LEN(X13)=0,"",X13)</f>
        <v/>
      </c>
      <c r="AX13" s="6" t="str">
        <f>'Overview (Design)'!A12</f>
        <v>Community/Lot #:</v>
      </c>
      <c r="AY13" t="str">
        <f>'Overview (Design)'!G12</f>
        <v>Lot 1A</v>
      </c>
    </row>
    <row r="14" spans="1:61" x14ac:dyDescent="0.35">
      <c r="B14" s="37">
        <v>601.1</v>
      </c>
      <c r="C14" s="13"/>
      <c r="D14" s="13"/>
      <c r="E14" s="13"/>
      <c r="F14" s="13"/>
      <c r="G14" s="13"/>
      <c r="H14" s="453"/>
      <c r="I14" s="30"/>
      <c r="J14" s="4"/>
      <c r="K14" s="43"/>
      <c r="L14" s="838"/>
      <c r="M14" s="40"/>
      <c r="N14" s="4"/>
      <c r="O14" s="832"/>
      <c r="X14" s="817"/>
      <c r="AX14" s="6" t="str">
        <f>'Overview (Design)'!A13</f>
        <v>City:</v>
      </c>
      <c r="AY14" t="str">
        <f>'Overview (Design)'!G13</f>
        <v>Durham</v>
      </c>
    </row>
    <row r="15" spans="1:61" x14ac:dyDescent="0.35">
      <c r="B15" s="37">
        <v>601.1</v>
      </c>
      <c r="C15" s="13"/>
      <c r="D15" s="13"/>
      <c r="E15" s="13"/>
      <c r="F15" s="13"/>
      <c r="G15" s="13"/>
      <c r="H15" s="453"/>
      <c r="I15" s="30"/>
      <c r="J15" s="4"/>
      <c r="K15" s="43"/>
      <c r="L15" s="838"/>
      <c r="M15" s="40"/>
      <c r="N15" s="4"/>
      <c r="O15" s="832"/>
      <c r="X15" s="817"/>
      <c r="AX15" s="6" t="str">
        <f>'Overview (Design)'!A14</f>
        <v>State:</v>
      </c>
      <c r="AY15" t="str">
        <f>'Overview (Design)'!G14</f>
        <v>North Carolina</v>
      </c>
      <c r="BC15" t="str">
        <f>'Overview (Design)'!K14</f>
        <v>State</v>
      </c>
      <c r="BD15" t="str">
        <f>'Overview (Design)'!L14</f>
        <v>County</v>
      </c>
      <c r="BE15" t="str">
        <f>'Overview (Design)'!M14</f>
        <v>Radon</v>
      </c>
      <c r="BF15" t="str">
        <f>'Overview (Design)'!N14</f>
        <v>Climate</v>
      </c>
      <c r="BG15" t="str">
        <f>'Overview (Design)'!O14</f>
        <v>Moist</v>
      </c>
      <c r="BH15" t="str">
        <f>'Overview (Design)'!P14</f>
        <v>WarmHumid</v>
      </c>
      <c r="BI15" t="str">
        <f>'Overview (Design)'!Q14</f>
        <v>Tropical</v>
      </c>
    </row>
    <row r="16" spans="1:61" x14ac:dyDescent="0.35">
      <c r="B16" s="37">
        <v>601.1</v>
      </c>
      <c r="C16" s="13"/>
      <c r="D16" s="13"/>
      <c r="E16" s="13"/>
      <c r="F16" s="13"/>
      <c r="G16" s="13"/>
      <c r="H16" s="453"/>
      <c r="I16" s="30"/>
      <c r="J16" s="4"/>
      <c r="K16" s="43"/>
      <c r="L16" s="838"/>
      <c r="M16" s="40"/>
      <c r="N16" s="4"/>
      <c r="O16" s="832"/>
      <c r="X16" s="817"/>
      <c r="AX16" s="6" t="str">
        <f>'Overview (Design)'!A15</f>
        <v>County:</v>
      </c>
      <c r="AY16" t="str">
        <f>'Overview (Design)'!G15</f>
        <v xml:space="preserve">Chatham  </v>
      </c>
      <c r="BC16" t="str">
        <f>'Overview (Design)'!K15</f>
        <v>North Carolina</v>
      </c>
      <c r="BD16" t="str">
        <f>'Overview (Design)'!L15</f>
        <v xml:space="preserve">Chatham  </v>
      </c>
      <c r="BE16">
        <f>'Overview (Design)'!M15</f>
        <v>3</v>
      </c>
      <c r="BF16">
        <f>'Overview (Design)'!N15</f>
        <v>4</v>
      </c>
      <c r="BG16" t="str">
        <f>'Overview (Design)'!O15</f>
        <v>Moist</v>
      </c>
      <c r="BH16" t="str">
        <f>'Overview (Design)'!P15</f>
        <v xml:space="preserve"> </v>
      </c>
      <c r="BI16" t="str">
        <f>'Overview (Design)'!Q15</f>
        <v xml:space="preserve"> </v>
      </c>
    </row>
    <row r="17" spans="2:51" x14ac:dyDescent="0.35">
      <c r="B17" s="37">
        <v>601.1</v>
      </c>
      <c r="C17" s="13"/>
      <c r="D17" s="13"/>
      <c r="E17" s="13"/>
      <c r="F17" s="13"/>
      <c r="G17" s="13"/>
      <c r="H17" s="453"/>
      <c r="I17" s="30"/>
      <c r="J17" s="4"/>
      <c r="K17" s="43"/>
      <c r="L17" s="838"/>
      <c r="M17" s="40"/>
      <c r="N17" s="4"/>
      <c r="O17" s="832"/>
      <c r="X17" s="817"/>
      <c r="AX17" s="6" t="str">
        <f>'Overview (Design)'!A16</f>
        <v>Zip:</v>
      </c>
      <c r="AY17" t="str">
        <f>'Overview (Design)'!G16</f>
        <v>27703</v>
      </c>
    </row>
    <row r="18" spans="2:51" x14ac:dyDescent="0.35">
      <c r="B18" s="37">
        <v>601.1</v>
      </c>
      <c r="C18" s="13"/>
      <c r="D18" s="13"/>
      <c r="E18" s="13"/>
      <c r="F18" s="13"/>
      <c r="G18" s="13"/>
      <c r="H18" s="453"/>
      <c r="I18" s="30"/>
      <c r="J18" s="4"/>
      <c r="K18" s="43"/>
      <c r="L18" s="838"/>
      <c r="M18" s="40"/>
      <c r="N18" s="4"/>
      <c r="O18" s="832"/>
      <c r="X18" s="817"/>
      <c r="AX18" s="6"/>
    </row>
    <row r="19" spans="2:51" x14ac:dyDescent="0.35">
      <c r="B19" s="37">
        <v>601.1</v>
      </c>
      <c r="C19" s="13" t="s">
        <v>256</v>
      </c>
      <c r="D19" s="13"/>
      <c r="E19" s="13"/>
      <c r="F19" s="13"/>
      <c r="G19" s="13"/>
      <c r="H19" s="453"/>
      <c r="I19" s="30"/>
      <c r="J19" s="129" t="s">
        <v>256</v>
      </c>
      <c r="K19" s="101"/>
      <c r="L19" s="281" t="s">
        <v>501</v>
      </c>
      <c r="M19" s="268">
        <v>14</v>
      </c>
      <c r="N19" s="4"/>
      <c r="O19" s="75"/>
      <c r="X19" s="817"/>
      <c r="AL19" t="str">
        <f>SUBSTITUTE(SUBSTITUTE(SUBSTITUTE("dpa"&amp;$B19&amp;$C19&amp;$D19&amp;$E19,".","_"),"(","_"),")","")</f>
        <v>dpa601_1_1</v>
      </c>
      <c r="AM19">
        <f>M19</f>
        <v>14</v>
      </c>
      <c r="AX19" s="6" t="str">
        <f>'Overview (Design)'!A18</f>
        <v>Single-Family or Multifamily:</v>
      </c>
      <c r="AY19" t="str">
        <f>'Overview (Design)'!G18</f>
        <v>Single-Family</v>
      </c>
    </row>
    <row r="20" spans="2:51" x14ac:dyDescent="0.35">
      <c r="B20" s="37">
        <v>601.1</v>
      </c>
      <c r="C20" s="13" t="s">
        <v>258</v>
      </c>
      <c r="D20" s="13"/>
      <c r="E20" s="13"/>
      <c r="F20" s="13"/>
      <c r="G20" s="13"/>
      <c r="H20" s="453"/>
      <c r="I20" s="30"/>
      <c r="J20" s="130" t="s">
        <v>258</v>
      </c>
      <c r="K20" s="131"/>
      <c r="L20" s="177" t="s">
        <v>502</v>
      </c>
      <c r="M20" s="278">
        <v>12</v>
      </c>
      <c r="N20" s="4"/>
      <c r="O20" s="75"/>
      <c r="X20" s="817"/>
      <c r="AL20" t="str">
        <f>SUBSTITUTE(SUBSTITUTE(SUBSTITUTE("dpa"&amp;$B20&amp;$C20&amp;$D20&amp;$E20,".","_"),"(","_"),")","")</f>
        <v>dpa601_1_2</v>
      </c>
      <c r="AM20">
        <f>M20</f>
        <v>12</v>
      </c>
      <c r="AX20" s="6" t="str">
        <f>'Overview (Design)'!A19</f>
        <v>Number of Units:</v>
      </c>
      <c r="AY20">
        <f>'Overview (Design)'!G19</f>
        <v>0</v>
      </c>
    </row>
    <row r="21" spans="2:51" x14ac:dyDescent="0.35">
      <c r="B21" s="37">
        <v>601.1</v>
      </c>
      <c r="C21" s="13" t="s">
        <v>260</v>
      </c>
      <c r="D21" s="13"/>
      <c r="E21" s="13"/>
      <c r="F21" s="13"/>
      <c r="G21" s="13"/>
      <c r="H21" s="453"/>
      <c r="I21" s="30"/>
      <c r="J21" s="130" t="s">
        <v>260</v>
      </c>
      <c r="K21" s="131"/>
      <c r="L21" s="177" t="s">
        <v>503</v>
      </c>
      <c r="M21" s="278">
        <v>9</v>
      </c>
      <c r="N21" s="4"/>
      <c r="O21" s="75"/>
      <c r="X21" s="817"/>
      <c r="AL21" t="str">
        <f>SUBSTITUTE(SUBSTITUTE(SUBSTITUTE("dpa"&amp;$B21&amp;$C21&amp;$D21&amp;$E21,".","_"),"(","_"),")","")</f>
        <v>dpa601_1_3</v>
      </c>
      <c r="AM21">
        <f>M21</f>
        <v>9</v>
      </c>
      <c r="AX21" s="6" t="str">
        <f>'Overview (Design)'!A20</f>
        <v>Building includes commercial space pursuing Commercial Space certification?</v>
      </c>
      <c r="AY21">
        <f>'Overview (Design)'!G20</f>
        <v>0</v>
      </c>
    </row>
    <row r="22" spans="2:51" x14ac:dyDescent="0.35">
      <c r="B22" s="37">
        <v>601.1</v>
      </c>
      <c r="C22" s="13" t="s">
        <v>269</v>
      </c>
      <c r="D22" s="13"/>
      <c r="E22" s="13"/>
      <c r="F22" s="13"/>
      <c r="G22" s="13"/>
      <c r="H22" s="453"/>
      <c r="I22" s="30"/>
      <c r="J22" s="130" t="s">
        <v>269</v>
      </c>
      <c r="K22" s="131"/>
      <c r="L22" s="177" t="s">
        <v>504</v>
      </c>
      <c r="M22" s="278">
        <v>6</v>
      </c>
      <c r="N22" s="4"/>
      <c r="O22" s="75"/>
      <c r="X22" s="817"/>
      <c r="AL22" t="str">
        <f>SUBSTITUTE(SUBSTITUTE(SUBSTITUTE("dpa"&amp;$B22&amp;$C22&amp;$D22&amp;$E22,".","_"),"(","_"),")","")</f>
        <v>dpa601_1_4</v>
      </c>
      <c r="AM22">
        <f>M22</f>
        <v>6</v>
      </c>
    </row>
    <row r="23" spans="2:51" x14ac:dyDescent="0.35">
      <c r="B23" s="37">
        <v>601.1</v>
      </c>
      <c r="C23" s="13" t="s">
        <v>275</v>
      </c>
      <c r="D23" s="13"/>
      <c r="E23" s="13"/>
      <c r="F23" s="13"/>
      <c r="G23" s="13"/>
      <c r="H23" s="453"/>
      <c r="I23" s="30"/>
      <c r="J23" s="130" t="s">
        <v>275</v>
      </c>
      <c r="K23" s="131"/>
      <c r="L23" s="177" t="s">
        <v>505</v>
      </c>
      <c r="M23" s="278">
        <v>3</v>
      </c>
      <c r="N23" s="4"/>
      <c r="O23" s="75"/>
      <c r="X23" s="817"/>
      <c r="AL23" t="str">
        <f>SUBSTITUTE(SUBSTITUTE(SUBSTITUTE("dpa"&amp;$B23&amp;$C23&amp;$D23&amp;$E23,".","_"),"(","_"),")","")</f>
        <v>dpa601_1_5</v>
      </c>
      <c r="AM23">
        <f>M23</f>
        <v>3</v>
      </c>
    </row>
    <row r="24" spans="2:51" x14ac:dyDescent="0.35">
      <c r="B24" s="37">
        <v>601.1</v>
      </c>
      <c r="C24" s="13" t="s">
        <v>277</v>
      </c>
      <c r="D24" s="13"/>
      <c r="E24" s="13"/>
      <c r="F24" s="13"/>
      <c r="G24" s="13"/>
      <c r="H24" s="453"/>
      <c r="I24" s="30"/>
      <c r="J24" s="19" t="s">
        <v>277</v>
      </c>
      <c r="K24" s="43"/>
      <c r="L24" s="266" t="s">
        <v>506</v>
      </c>
      <c r="M24" s="459" t="str">
        <f>IF(AY26&gt;4000,"Mandatory","N/A")</f>
        <v>N/A</v>
      </c>
      <c r="N24" s="4"/>
      <c r="O24" s="75"/>
      <c r="X24" s="817"/>
      <c r="AX24" s="6" t="str">
        <f>'Overview (Design)'!A23</f>
        <v>Project Name:</v>
      </c>
      <c r="AY24">
        <f>'Overview (Design)'!G23</f>
        <v>0</v>
      </c>
    </row>
    <row r="25" spans="2:51" x14ac:dyDescent="0.35">
      <c r="B25" s="37">
        <v>601.1</v>
      </c>
      <c r="C25" s="13" t="s">
        <v>277</v>
      </c>
      <c r="D25" s="13"/>
      <c r="E25" s="13"/>
      <c r="F25" s="13"/>
      <c r="G25" s="13"/>
      <c r="H25" s="453"/>
      <c r="I25" s="30"/>
      <c r="J25" s="4"/>
      <c r="K25" s="43"/>
      <c r="L25" s="838" t="s">
        <v>507</v>
      </c>
      <c r="M25" s="109" t="s">
        <v>1101</v>
      </c>
      <c r="N25" s="4"/>
      <c r="O25" s="75"/>
      <c r="X25" s="817"/>
      <c r="AX25" s="6"/>
    </row>
    <row r="26" spans="2:51" x14ac:dyDescent="0.35">
      <c r="B26" s="37">
        <v>601.1</v>
      </c>
      <c r="C26" s="13" t="s">
        <v>277</v>
      </c>
      <c r="D26" s="13"/>
      <c r="E26" s="13"/>
      <c r="F26" s="13"/>
      <c r="G26" s="13"/>
      <c r="H26" s="453"/>
      <c r="I26" s="30"/>
      <c r="J26" s="4"/>
      <c r="K26" s="43"/>
      <c r="L26" s="838"/>
      <c r="M26" s="109">
        <f>MAX(0,ROUNDDOWN((AY26-4000)/100,0))</f>
        <v>0</v>
      </c>
      <c r="N26" s="4"/>
      <c r="O26" s="75"/>
      <c r="X26" s="817"/>
      <c r="AX26" s="6" t="str">
        <f>'Overview (Design)'!A25</f>
        <v>Above grade plane finished floor area:</v>
      </c>
      <c r="AY26">
        <f>'Overview (Design)'!G25</f>
        <v>2644</v>
      </c>
    </row>
    <row r="27" spans="2:51" ht="15" customHeight="1" x14ac:dyDescent="0.35">
      <c r="B27" s="37">
        <v>601.1</v>
      </c>
      <c r="C27" s="13" t="s">
        <v>277</v>
      </c>
      <c r="D27" s="13"/>
      <c r="E27" s="13"/>
      <c r="F27" s="13"/>
      <c r="G27" s="13"/>
      <c r="H27" s="453"/>
      <c r="I27" s="30"/>
      <c r="J27" s="4"/>
      <c r="L27" s="855" t="s">
        <v>3832</v>
      </c>
      <c r="M27" s="40"/>
      <c r="N27" s="4"/>
      <c r="O27" s="75"/>
      <c r="X27" s="817"/>
      <c r="AX27" s="6" t="str">
        <f>'Overview (Design)'!A26</f>
        <v>Total conditioned floor area:</v>
      </c>
      <c r="AY27">
        <f>'Overview (Design)'!G26</f>
        <v>2644</v>
      </c>
    </row>
    <row r="28" spans="2:51" ht="15" thickBot="1" x14ac:dyDescent="0.4">
      <c r="B28" s="37">
        <v>601.1</v>
      </c>
      <c r="C28" s="13" t="s">
        <v>277</v>
      </c>
      <c r="D28" s="13"/>
      <c r="E28" s="13"/>
      <c r="F28" s="13"/>
      <c r="G28" s="13"/>
      <c r="H28" s="453"/>
      <c r="I28" s="30"/>
      <c r="J28" s="4"/>
      <c r="K28" s="128"/>
      <c r="L28" s="855"/>
      <c r="M28" s="40"/>
      <c r="N28" s="4"/>
      <c r="O28" s="75"/>
      <c r="X28" s="850"/>
      <c r="AX28" s="6" t="str">
        <f>'Overview (Design)'!A27</f>
        <v>Stories above grade:</v>
      </c>
      <c r="AY28">
        <f>'Overview (Design)'!G27</f>
        <v>2</v>
      </c>
    </row>
    <row r="29" spans="2:51" ht="15" thickTop="1" x14ac:dyDescent="0.35">
      <c r="B29" s="37">
        <v>601.20000000000005</v>
      </c>
      <c r="C29" s="13"/>
      <c r="D29" s="13"/>
      <c r="E29" s="13"/>
      <c r="F29" s="13"/>
      <c r="G29" s="13"/>
      <c r="H29" s="453"/>
      <c r="I29" s="106">
        <v>601.20000000000005</v>
      </c>
      <c r="J29" s="107"/>
      <c r="K29" s="108"/>
      <c r="L29" s="837" t="s">
        <v>508</v>
      </c>
      <c r="M29" s="267"/>
      <c r="N29" s="107"/>
      <c r="O29" s="308"/>
      <c r="P29" s="59"/>
      <c r="Q29" s="59"/>
      <c r="R29" s="59"/>
      <c r="S29" s="59"/>
      <c r="T29" s="59"/>
      <c r="U29" s="59"/>
      <c r="V29" s="59"/>
      <c r="W29" s="59"/>
      <c r="X29" s="110"/>
      <c r="AX29" s="6" t="str">
        <f>'Overview (Design)'!A28</f>
        <v>Project Elevation (ft. above sea level):</v>
      </c>
      <c r="AY29">
        <f>'Overview (Design)'!G28</f>
        <v>0</v>
      </c>
    </row>
    <row r="30" spans="2:51" x14ac:dyDescent="0.35">
      <c r="B30" s="37">
        <v>601.20000000000005</v>
      </c>
      <c r="C30" s="13"/>
      <c r="D30" s="13"/>
      <c r="E30" s="13"/>
      <c r="F30" s="13"/>
      <c r="G30" s="13"/>
      <c r="H30" s="453"/>
      <c r="I30" s="30"/>
      <c r="J30" s="4"/>
      <c r="K30" s="43"/>
      <c r="L30" s="838"/>
      <c r="M30" s="40"/>
      <c r="N30" s="4"/>
      <c r="O30" s="75"/>
      <c r="X30" s="65"/>
    </row>
    <row r="31" spans="2:51" x14ac:dyDescent="0.35">
      <c r="B31" s="37">
        <v>601.20000000000005</v>
      </c>
      <c r="C31" s="13" t="s">
        <v>256</v>
      </c>
      <c r="D31" s="13"/>
      <c r="E31" s="13"/>
      <c r="F31" s="13"/>
      <c r="G31" s="13"/>
      <c r="H31" s="453"/>
      <c r="I31" s="30"/>
      <c r="J31" s="19" t="s">
        <v>256</v>
      </c>
      <c r="K31" s="43"/>
      <c r="L31" s="814" t="s">
        <v>510</v>
      </c>
      <c r="M31" s="818">
        <v>3</v>
      </c>
      <c r="N31" s="4"/>
      <c r="O31" s="832">
        <f>M31*S31*W31</f>
        <v>0</v>
      </c>
      <c r="P31" t="b">
        <v>1</v>
      </c>
      <c r="Q31" t="b">
        <v>0</v>
      </c>
      <c r="R31" t="b">
        <v>0</v>
      </c>
      <c r="S31" t="b">
        <v>1</v>
      </c>
      <c r="T31" t="b">
        <v>0</v>
      </c>
      <c r="W31" s="17"/>
      <c r="X31" s="817"/>
      <c r="AL31" t="str">
        <f>SUBSTITUTE(SUBSTITUTE(SUBSTITUTE("dpa"&amp;$B31&amp;$C31&amp;$D31&amp;$E31,".","_"),"(","_"),")","")</f>
        <v>dpa601_2_1</v>
      </c>
      <c r="AM31">
        <f>M31</f>
        <v>3</v>
      </c>
      <c r="AN31" t="str">
        <f>SUBSTITUTE(SUBSTITUTE(SUBSTITUTE("dpc"&amp;$B31&amp;$C31&amp;$D31&amp;$E31,".","_"),"(","_"),")","")</f>
        <v>dpc601_2_1</v>
      </c>
      <c r="AO31">
        <f>O31</f>
        <v>0</v>
      </c>
      <c r="AP31" t="str">
        <f>SUBSTITUTE(SUBSTITUTE(SUBSTITUTE("dch"&amp;$B31&amp;$C31&amp;$D31&amp;$E31,".","_"),"(","_"),")","")</f>
        <v>dch601_2_1</v>
      </c>
      <c r="AQ31" t="str">
        <f>IF(LEN(W31)=0,"",W31)</f>
        <v/>
      </c>
      <c r="AR31" t="str">
        <f>SUBSTITUTE(SUBSTITUTE(SUBSTITUTE("dnt"&amp;$B31&amp;$C31&amp;$D31&amp;$E31,".","_"),"(","_"),")","")</f>
        <v>dnt601_2_1</v>
      </c>
      <c r="AS31" t="str">
        <f>IF(LEN(X31)=0,"",X31)</f>
        <v/>
      </c>
      <c r="AX31" s="6" t="str">
        <f>'Overview (Design)'!A30</f>
        <v xml:space="preserve">Project Description (optional): </v>
      </c>
      <c r="AY31">
        <f>'Overview (Design)'!G30</f>
        <v>0</v>
      </c>
    </row>
    <row r="32" spans="2:51" x14ac:dyDescent="0.35">
      <c r="B32" s="37">
        <v>601.20000000000005</v>
      </c>
      <c r="C32" s="13" t="s">
        <v>256</v>
      </c>
      <c r="D32" s="13"/>
      <c r="E32" s="13"/>
      <c r="F32" s="13"/>
      <c r="G32" s="13"/>
      <c r="H32" s="453"/>
      <c r="I32" s="30"/>
      <c r="J32" s="4"/>
      <c r="K32" s="43"/>
      <c r="L32" s="814"/>
      <c r="M32" s="818"/>
      <c r="N32" s="4"/>
      <c r="O32" s="832"/>
      <c r="X32" s="817"/>
    </row>
    <row r="33" spans="2:52" x14ac:dyDescent="0.35">
      <c r="B33" s="37">
        <v>601.20000000000005</v>
      </c>
      <c r="C33" s="13" t="s">
        <v>256</v>
      </c>
      <c r="D33" s="13"/>
      <c r="E33" s="13"/>
      <c r="F33" s="13"/>
      <c r="G33" s="13"/>
      <c r="H33" s="453"/>
      <c r="I33" s="30"/>
      <c r="J33" s="133"/>
      <c r="K33" s="101"/>
      <c r="L33" s="815"/>
      <c r="M33" s="819"/>
      <c r="N33" s="133"/>
      <c r="O33" s="824"/>
      <c r="X33" s="817"/>
      <c r="AX33" s="6" t="str">
        <f>'Overview (Design)'!A32</f>
        <v>Foundation Type:</v>
      </c>
      <c r="AY33" t="str">
        <f>'Overview (Design)'!G32</f>
        <v>Conditioned crawlspace</v>
      </c>
      <c r="AZ33" s="1">
        <f>IFERROR(MATCH(AY33,ddFoundation,0),0)</f>
        <v>3</v>
      </c>
    </row>
    <row r="34" spans="2:52" x14ac:dyDescent="0.35">
      <c r="B34" s="37">
        <v>601.20000000000005</v>
      </c>
      <c r="C34" s="13" t="s">
        <v>258</v>
      </c>
      <c r="D34" s="13"/>
      <c r="E34" s="13"/>
      <c r="F34" s="13"/>
      <c r="G34" s="13"/>
      <c r="H34" s="453"/>
      <c r="I34" s="30"/>
      <c r="J34" s="19" t="s">
        <v>258</v>
      </c>
      <c r="K34" s="43"/>
      <c r="L34" s="814" t="s">
        <v>511</v>
      </c>
      <c r="M34" s="818">
        <v>3</v>
      </c>
      <c r="N34" s="4"/>
      <c r="O34" s="832">
        <f>M34*S34*W34</f>
        <v>0</v>
      </c>
      <c r="P34" t="b">
        <v>1</v>
      </c>
      <c r="Q34" t="b">
        <v>0</v>
      </c>
      <c r="R34" t="b">
        <v>0</v>
      </c>
      <c r="S34" t="b">
        <v>1</v>
      </c>
      <c r="T34" t="b">
        <v>0</v>
      </c>
      <c r="W34" s="17"/>
      <c r="X34" s="817"/>
      <c r="AL34" t="str">
        <f>SUBSTITUTE(SUBSTITUTE(SUBSTITUTE("dpa"&amp;$B34&amp;$C34&amp;$D34&amp;$E34,".","_"),"(","_"),")","")</f>
        <v>dpa601_2_2</v>
      </c>
      <c r="AM34">
        <f>M34</f>
        <v>3</v>
      </c>
      <c r="AN34" t="str">
        <f>SUBSTITUTE(SUBSTITUTE(SUBSTITUTE("dpc"&amp;$B34&amp;$C34&amp;$D34&amp;$E34,".","_"),"(","_"),")","")</f>
        <v>dpc601_2_2</v>
      </c>
      <c r="AO34">
        <f>O34</f>
        <v>0</v>
      </c>
      <c r="AP34" t="str">
        <f>SUBSTITUTE(SUBSTITUTE(SUBSTITUTE("dch"&amp;$B34&amp;$C34&amp;$D34&amp;$E34,".","_"),"(","_"),")","")</f>
        <v>dch601_2_2</v>
      </c>
      <c r="AQ34" t="str">
        <f>IF(LEN(W34)=0,"",W34)</f>
        <v/>
      </c>
      <c r="AR34" t="str">
        <f>SUBSTITUTE(SUBSTITUTE(SUBSTITUTE("dnt"&amp;$B34&amp;$C34&amp;$D34&amp;$E34,".","_"),"(","_"),")","")</f>
        <v>dnt601_2_2</v>
      </c>
      <c r="AS34" t="str">
        <f>IF(LEN(X34)=0,"",X34)</f>
        <v/>
      </c>
      <c r="AX34" s="6"/>
    </row>
    <row r="35" spans="2:52" x14ac:dyDescent="0.35">
      <c r="B35" s="37">
        <v>601.20000000000005</v>
      </c>
      <c r="C35" s="13" t="s">
        <v>258</v>
      </c>
      <c r="D35" s="13"/>
      <c r="E35" s="13"/>
      <c r="F35" s="13"/>
      <c r="G35" s="13"/>
      <c r="H35" s="453"/>
      <c r="I35" s="30"/>
      <c r="J35" s="4"/>
      <c r="K35" s="43"/>
      <c r="L35" s="814"/>
      <c r="M35" s="818"/>
      <c r="N35" s="4"/>
      <c r="O35" s="832"/>
      <c r="X35" s="817"/>
      <c r="AX35" s="6" t="str">
        <f>'Overview (Design)'!A34</f>
        <v>Type of Heating System (main system):</v>
      </c>
      <c r="AY35" t="str">
        <f>'Overview (Design)'!G34</f>
        <v>Furnace</v>
      </c>
    </row>
    <row r="36" spans="2:52" x14ac:dyDescent="0.35">
      <c r="B36" s="37">
        <v>601.20000000000005</v>
      </c>
      <c r="C36" s="13" t="s">
        <v>258</v>
      </c>
      <c r="D36" s="13"/>
      <c r="E36" s="13"/>
      <c r="F36" s="13"/>
      <c r="G36" s="13"/>
      <c r="H36" s="453"/>
      <c r="I36" s="30"/>
      <c r="J36" s="133"/>
      <c r="K36" s="101"/>
      <c r="L36" s="815"/>
      <c r="M36" s="819"/>
      <c r="N36" s="133"/>
      <c r="O36" s="824"/>
      <c r="X36" s="817"/>
      <c r="AX36" s="6" t="str">
        <f>'Overview (Design)'!A35</f>
        <v>Type of Heating System (system 2):</v>
      </c>
      <c r="AY36">
        <f>'Overview (Design)'!G35</f>
        <v>0</v>
      </c>
    </row>
    <row r="37" spans="2:52" ht="15" customHeight="1" thickBot="1" x14ac:dyDescent="0.4">
      <c r="B37" s="37">
        <v>601.20000000000005</v>
      </c>
      <c r="C37" s="13" t="s">
        <v>260</v>
      </c>
      <c r="D37" s="13"/>
      <c r="E37" s="13"/>
      <c r="F37" s="13"/>
      <c r="G37" s="13"/>
      <c r="H37" s="453"/>
      <c r="I37" s="30"/>
      <c r="J37" s="19" t="s">
        <v>260</v>
      </c>
      <c r="K37" s="43"/>
      <c r="L37" s="90" t="s">
        <v>512</v>
      </c>
      <c r="M37" s="40">
        <v>3</v>
      </c>
      <c r="N37" s="4"/>
      <c r="O37" s="75">
        <f>M37*S37*W37</f>
        <v>0</v>
      </c>
      <c r="P37" t="b">
        <v>1</v>
      </c>
      <c r="Q37" t="b">
        <v>0</v>
      </c>
      <c r="R37" t="b">
        <v>0</v>
      </c>
      <c r="S37" t="b">
        <v>1</v>
      </c>
      <c r="T37" t="b">
        <v>0</v>
      </c>
      <c r="W37" s="17"/>
      <c r="X37" s="96"/>
      <c r="AL37" t="str">
        <f>SUBSTITUTE(SUBSTITUTE(SUBSTITUTE("dpa"&amp;$B37&amp;$C37&amp;$D37&amp;$E37,".","_"),"(","_"),")","")</f>
        <v>dpa601_2_3</v>
      </c>
      <c r="AM37">
        <f>M37</f>
        <v>3</v>
      </c>
      <c r="AN37" t="str">
        <f>SUBSTITUTE(SUBSTITUTE(SUBSTITUTE("dpc"&amp;$B37&amp;$C37&amp;$D37&amp;$E37,".","_"),"(","_"),")","")</f>
        <v>dpc601_2_3</v>
      </c>
      <c r="AO37">
        <f>O37</f>
        <v>0</v>
      </c>
      <c r="AP37" t="str">
        <f>SUBSTITUTE(SUBSTITUTE(SUBSTITUTE("dch"&amp;$B37&amp;$C37&amp;$D37&amp;$E37,".","_"),"(","_"),")","")</f>
        <v>dch601_2_3</v>
      </c>
      <c r="AQ37" t="str">
        <f>IF(LEN(W37)=0,"",W37)</f>
        <v/>
      </c>
      <c r="AR37" t="str">
        <f>SUBSTITUTE(SUBSTITUTE(SUBSTITUTE("dnt"&amp;$B37&amp;$C37&amp;$D37&amp;$E37,".","_"),"(","_"),")","")</f>
        <v>dnt601_2_3</v>
      </c>
      <c r="AS37" t="str">
        <f>IF(LEN(X37)=0,"",X37)</f>
        <v/>
      </c>
      <c r="AX37" s="6" t="str">
        <f>'Overview (Design)'!A36</f>
        <v>Type of Heating System (system 3):</v>
      </c>
      <c r="AY37">
        <f>'Overview (Design)'!G36</f>
        <v>0</v>
      </c>
    </row>
    <row r="38" spans="2:52" ht="15" thickTop="1" x14ac:dyDescent="0.35">
      <c r="B38" s="37">
        <v>601.29999999999995</v>
      </c>
      <c r="C38" s="13"/>
      <c r="D38" s="13"/>
      <c r="E38" s="13"/>
      <c r="F38" s="13"/>
      <c r="G38" s="13"/>
      <c r="H38" s="453"/>
      <c r="I38" s="106">
        <v>601.29999999999995</v>
      </c>
      <c r="J38" s="107"/>
      <c r="K38" s="108"/>
      <c r="L38" s="837" t="s">
        <v>513</v>
      </c>
      <c r="M38" s="267"/>
      <c r="N38" s="107"/>
      <c r="O38" s="308"/>
      <c r="P38" s="59"/>
      <c r="Q38" s="59"/>
      <c r="R38" s="59"/>
      <c r="S38" s="59"/>
      <c r="T38" s="59"/>
      <c r="U38" s="59"/>
      <c r="V38" s="59"/>
      <c r="W38" s="59"/>
      <c r="X38" s="110"/>
      <c r="AX38" s="6" t="str">
        <f>'Overview (Design)'!A37</f>
        <v>Primary Heating Fuel:</v>
      </c>
      <c r="AY38">
        <f>'Overview (Design)'!G37</f>
        <v>0</v>
      </c>
    </row>
    <row r="39" spans="2:52" x14ac:dyDescent="0.35">
      <c r="B39" s="37">
        <v>601.29999999999995</v>
      </c>
      <c r="C39" s="13"/>
      <c r="D39" s="13"/>
      <c r="E39" s="13"/>
      <c r="F39" s="13"/>
      <c r="G39" s="13"/>
      <c r="H39" s="453"/>
      <c r="I39" s="30"/>
      <c r="J39" s="4"/>
      <c r="K39" s="43"/>
      <c r="L39" s="838"/>
      <c r="M39" s="40"/>
      <c r="N39" s="4"/>
      <c r="O39" s="75"/>
      <c r="X39" s="65"/>
      <c r="AX39" s="6" t="str">
        <f>'Overview (Design)'!A38</f>
        <v>Heating Ducts:</v>
      </c>
      <c r="AY39" t="str">
        <f>'Overview (Design)'!G38</f>
        <v>Ducted</v>
      </c>
    </row>
    <row r="40" spans="2:52" x14ac:dyDescent="0.35">
      <c r="B40" s="37">
        <v>601.29999999999995</v>
      </c>
      <c r="C40" s="13"/>
      <c r="D40" s="13"/>
      <c r="E40" s="13"/>
      <c r="F40" s="13"/>
      <c r="G40" s="13"/>
      <c r="H40" s="453"/>
      <c r="I40" s="30"/>
      <c r="J40" s="4"/>
      <c r="K40" s="43"/>
      <c r="L40" s="838"/>
      <c r="M40" s="40"/>
      <c r="N40" s="4"/>
      <c r="O40" s="75"/>
      <c r="X40" s="65"/>
      <c r="AX40" s="6" t="str">
        <f>'Overview (Design)'!A39</f>
        <v>Type of Cooling System (main system):</v>
      </c>
      <c r="AY40" t="str">
        <f>'Overview (Design)'!G39</f>
        <v>Electric Air Conditiner</v>
      </c>
    </row>
    <row r="41" spans="2:52" x14ac:dyDescent="0.35">
      <c r="B41" s="37">
        <v>601.29999999999995</v>
      </c>
      <c r="C41" s="13" t="s">
        <v>256</v>
      </c>
      <c r="D41" s="13"/>
      <c r="E41" s="13"/>
      <c r="F41" s="13"/>
      <c r="G41" s="13"/>
      <c r="H41" s="453"/>
      <c r="I41" s="30"/>
      <c r="J41" s="129" t="s">
        <v>256</v>
      </c>
      <c r="K41" s="101"/>
      <c r="L41" s="228" t="s">
        <v>514</v>
      </c>
      <c r="M41" s="268">
        <v>3</v>
      </c>
      <c r="N41" s="133"/>
      <c r="O41" s="309">
        <f t="shared" ref="O41:O46" si="0">M41*S41*W41</f>
        <v>3</v>
      </c>
      <c r="P41" t="b">
        <v>1</v>
      </c>
      <c r="Q41" t="b">
        <v>0</v>
      </c>
      <c r="R41" t="b">
        <v>0</v>
      </c>
      <c r="S41" t="b">
        <v>1</v>
      </c>
      <c r="T41" t="b">
        <v>0</v>
      </c>
      <c r="W41" s="17" t="b">
        <v>1</v>
      </c>
      <c r="X41" s="36"/>
      <c r="AL41" t="str">
        <f t="shared" ref="AL41:AL46" si="1">SUBSTITUTE(SUBSTITUTE(SUBSTITUTE("dpa"&amp;$B41&amp;$C41&amp;$D41&amp;$E41,".","_"),"(","_"),")","")</f>
        <v>dpa601_3_1</v>
      </c>
      <c r="AM41">
        <f t="shared" ref="AM41:AM46" si="2">M41</f>
        <v>3</v>
      </c>
      <c r="AN41" t="str">
        <f t="shared" ref="AN41:AN46" si="3">SUBSTITUTE(SUBSTITUTE(SUBSTITUTE("dpc"&amp;$B41&amp;$C41&amp;$D41&amp;$E41,".","_"),"(","_"),")","")</f>
        <v>dpc601_3_1</v>
      </c>
      <c r="AO41">
        <f t="shared" ref="AO41:AO46" si="4">O41</f>
        <v>3</v>
      </c>
      <c r="AP41" t="str">
        <f t="shared" ref="AP41:AP46" si="5">SUBSTITUTE(SUBSTITUTE(SUBSTITUTE("dch"&amp;$B41&amp;$C41&amp;$D41&amp;$E41,".","_"),"(","_"),")","")</f>
        <v>dch601_3_1</v>
      </c>
      <c r="AQ41" t="b">
        <f t="shared" ref="AQ41:AQ46" si="6">IF(LEN(W41)=0,"",W41)</f>
        <v>1</v>
      </c>
      <c r="AR41" t="str">
        <f t="shared" ref="AR41:AR46" si="7">SUBSTITUTE(SUBSTITUTE(SUBSTITUTE("dnt"&amp;$B41&amp;$C41&amp;$D41&amp;$E41,".","_"),"(","_"),")","")</f>
        <v>dnt601_3_1</v>
      </c>
      <c r="AS41" t="str">
        <f t="shared" ref="AS41:AS46" si="8">IF(LEN(X41)=0,"",X41)</f>
        <v/>
      </c>
      <c r="AX41" s="6" t="str">
        <f>'Overview (Design)'!A40</f>
        <v>Type of Cooling System (system 2):</v>
      </c>
      <c r="AY41">
        <f>'Overview (Design)'!G40</f>
        <v>0</v>
      </c>
    </row>
    <row r="42" spans="2:52" x14ac:dyDescent="0.35">
      <c r="B42" s="37">
        <v>601.29999999999995</v>
      </c>
      <c r="C42" s="13" t="s">
        <v>258</v>
      </c>
      <c r="D42" s="13"/>
      <c r="E42" s="13"/>
      <c r="F42" s="13"/>
      <c r="G42" s="13"/>
      <c r="H42" s="453"/>
      <c r="I42" s="30"/>
      <c r="J42" s="130" t="s">
        <v>258</v>
      </c>
      <c r="K42" s="131"/>
      <c r="L42" s="178" t="s">
        <v>515</v>
      </c>
      <c r="M42" s="278">
        <v>3</v>
      </c>
      <c r="N42" s="163"/>
      <c r="O42" s="277">
        <f t="shared" si="0"/>
        <v>3</v>
      </c>
      <c r="P42" t="b">
        <v>1</v>
      </c>
      <c r="Q42" t="b">
        <v>0</v>
      </c>
      <c r="R42" t="b">
        <v>0</v>
      </c>
      <c r="S42" t="b">
        <v>1</v>
      </c>
      <c r="T42" t="b">
        <v>0</v>
      </c>
      <c r="W42" s="17" t="b">
        <v>1</v>
      </c>
      <c r="X42" s="36" t="s">
        <v>6108</v>
      </c>
      <c r="AL42" t="str">
        <f t="shared" si="1"/>
        <v>dpa601_3_2</v>
      </c>
      <c r="AM42">
        <f t="shared" si="2"/>
        <v>3</v>
      </c>
      <c r="AN42" t="str">
        <f t="shared" si="3"/>
        <v>dpc601_3_2</v>
      </c>
      <c r="AO42">
        <f t="shared" si="4"/>
        <v>3</v>
      </c>
      <c r="AP42" t="str">
        <f t="shared" si="5"/>
        <v>dch601_3_2</v>
      </c>
      <c r="AQ42" t="b">
        <f t="shared" si="6"/>
        <v>1</v>
      </c>
      <c r="AR42" t="str">
        <f t="shared" si="7"/>
        <v>dnt601_3_2</v>
      </c>
      <c r="AS42" t="str">
        <f t="shared" si="8"/>
        <v>BamCore Prime Wall System</v>
      </c>
      <c r="AX42" s="6" t="str">
        <f>'Overview (Design)'!A41</f>
        <v>Type of Cooling System (system 3):</v>
      </c>
      <c r="AY42">
        <f>'Overview (Design)'!G41</f>
        <v>0</v>
      </c>
    </row>
    <row r="43" spans="2:52" x14ac:dyDescent="0.35">
      <c r="B43" s="37">
        <v>601.29999999999995</v>
      </c>
      <c r="C43" s="13" t="s">
        <v>260</v>
      </c>
      <c r="D43" s="13"/>
      <c r="E43" s="13"/>
      <c r="F43" s="13"/>
      <c r="G43" s="13"/>
      <c r="H43" s="453"/>
      <c r="I43" s="30"/>
      <c r="J43" s="130" t="s">
        <v>260</v>
      </c>
      <c r="K43" s="131"/>
      <c r="L43" s="178" t="s">
        <v>516</v>
      </c>
      <c r="M43" s="278">
        <v>3</v>
      </c>
      <c r="N43" s="163"/>
      <c r="O43" s="277">
        <f t="shared" si="0"/>
        <v>3</v>
      </c>
      <c r="P43" t="b">
        <v>1</v>
      </c>
      <c r="Q43" t="b">
        <v>0</v>
      </c>
      <c r="R43" t="b">
        <v>0</v>
      </c>
      <c r="S43" t="b">
        <v>1</v>
      </c>
      <c r="T43" t="b">
        <v>0</v>
      </c>
      <c r="W43" s="17" t="b">
        <v>1</v>
      </c>
      <c r="X43" s="36"/>
      <c r="AL43" t="str">
        <f t="shared" si="1"/>
        <v>dpa601_3_3</v>
      </c>
      <c r="AM43">
        <f t="shared" si="2"/>
        <v>3</v>
      </c>
      <c r="AN43" t="str">
        <f t="shared" si="3"/>
        <v>dpc601_3_3</v>
      </c>
      <c r="AO43">
        <f t="shared" si="4"/>
        <v>3</v>
      </c>
      <c r="AP43" t="str">
        <f t="shared" si="5"/>
        <v>dch601_3_3</v>
      </c>
      <c r="AQ43" t="b">
        <f t="shared" si="6"/>
        <v>1</v>
      </c>
      <c r="AR43" t="str">
        <f t="shared" si="7"/>
        <v>dnt601_3_3</v>
      </c>
      <c r="AS43" t="str">
        <f t="shared" si="8"/>
        <v/>
      </c>
      <c r="AX43" s="6" t="str">
        <f>'Overview (Design)'!A42</f>
        <v>Cooling Ducts:</v>
      </c>
      <c r="AY43" t="str">
        <f>'Overview (Design)'!G42</f>
        <v>Ducted</v>
      </c>
    </row>
    <row r="44" spans="2:52" x14ac:dyDescent="0.35">
      <c r="B44" s="37">
        <v>601.29999999999995</v>
      </c>
      <c r="C44" s="13" t="s">
        <v>269</v>
      </c>
      <c r="D44" s="13"/>
      <c r="E44" s="13"/>
      <c r="F44" s="13"/>
      <c r="G44" s="13"/>
      <c r="H44" s="453"/>
      <c r="I44" s="30"/>
      <c r="J44" s="130" t="s">
        <v>269</v>
      </c>
      <c r="K44" s="131"/>
      <c r="L44" s="178" t="s">
        <v>517</v>
      </c>
      <c r="M44" s="278">
        <v>3</v>
      </c>
      <c r="N44" s="163"/>
      <c r="O44" s="277">
        <f t="shared" si="0"/>
        <v>0</v>
      </c>
      <c r="P44" t="b">
        <v>1</v>
      </c>
      <c r="Q44" t="b">
        <v>0</v>
      </c>
      <c r="R44" t="b">
        <v>0</v>
      </c>
      <c r="S44" t="b">
        <v>1</v>
      </c>
      <c r="T44" t="b">
        <v>0</v>
      </c>
      <c r="W44" s="17"/>
      <c r="X44" s="36"/>
      <c r="AL44" t="str">
        <f t="shared" si="1"/>
        <v>dpa601_3_4</v>
      </c>
      <c r="AM44">
        <f t="shared" si="2"/>
        <v>3</v>
      </c>
      <c r="AN44" t="str">
        <f t="shared" si="3"/>
        <v>dpc601_3_4</v>
      </c>
      <c r="AO44">
        <f t="shared" si="4"/>
        <v>0</v>
      </c>
      <c r="AP44" t="str">
        <f t="shared" si="5"/>
        <v>dch601_3_4</v>
      </c>
      <c r="AQ44" t="str">
        <f t="shared" si="6"/>
        <v/>
      </c>
      <c r="AR44" t="str">
        <f t="shared" si="7"/>
        <v>dnt601_3_4</v>
      </c>
      <c r="AS44" t="str">
        <f t="shared" si="8"/>
        <v/>
      </c>
      <c r="AX44" s="6"/>
    </row>
    <row r="45" spans="2:52" ht="15" thickBot="1" x14ac:dyDescent="0.4">
      <c r="B45" s="37">
        <v>601.29999999999995</v>
      </c>
      <c r="C45" s="13" t="s">
        <v>275</v>
      </c>
      <c r="D45" s="13"/>
      <c r="E45" s="13"/>
      <c r="F45" s="13"/>
      <c r="G45" s="13"/>
      <c r="H45" s="453"/>
      <c r="I45" s="30"/>
      <c r="J45" s="19" t="s">
        <v>275</v>
      </c>
      <c r="K45" s="43"/>
      <c r="L45" s="90" t="s">
        <v>518</v>
      </c>
      <c r="M45" s="40">
        <v>1</v>
      </c>
      <c r="N45" s="4"/>
      <c r="O45" s="75">
        <f t="shared" si="0"/>
        <v>0</v>
      </c>
      <c r="P45" t="b">
        <v>1</v>
      </c>
      <c r="Q45" t="b">
        <v>0</v>
      </c>
      <c r="R45" t="b">
        <v>0</v>
      </c>
      <c r="S45" t="b">
        <v>1</v>
      </c>
      <c r="T45" t="b">
        <v>0</v>
      </c>
      <c r="W45" s="56"/>
      <c r="X45" s="96"/>
      <c r="AL45" t="str">
        <f t="shared" si="1"/>
        <v>dpa601_3_5</v>
      </c>
      <c r="AM45">
        <f t="shared" si="2"/>
        <v>1</v>
      </c>
      <c r="AN45" t="str">
        <f t="shared" si="3"/>
        <v>dpc601_3_5</v>
      </c>
      <c r="AO45">
        <f t="shared" si="4"/>
        <v>0</v>
      </c>
      <c r="AP45" t="str">
        <f t="shared" si="5"/>
        <v>dch601_3_5</v>
      </c>
      <c r="AQ45" t="str">
        <f t="shared" si="6"/>
        <v/>
      </c>
      <c r="AR45" t="str">
        <f t="shared" si="7"/>
        <v>dnt601_3_5</v>
      </c>
      <c r="AS45" t="str">
        <f t="shared" si="8"/>
        <v/>
      </c>
      <c r="AX45" s="6" t="str">
        <f>'Overview (Design)'!A44</f>
        <v>Maximum window and door SHGC:</v>
      </c>
      <c r="AY45">
        <f>'Overview (Design)'!G44</f>
        <v>0.22</v>
      </c>
    </row>
    <row r="46" spans="2:52" ht="15" thickTop="1" x14ac:dyDescent="0.35">
      <c r="B46" s="37">
        <v>601.4</v>
      </c>
      <c r="C46" s="13"/>
      <c r="D46" s="13"/>
      <c r="E46" s="13"/>
      <c r="F46" s="13"/>
      <c r="G46" s="13"/>
      <c r="H46" s="453"/>
      <c r="I46" s="106">
        <v>601.4</v>
      </c>
      <c r="J46" s="107"/>
      <c r="K46" s="108"/>
      <c r="L46" s="837" t="s">
        <v>519</v>
      </c>
      <c r="M46" s="830">
        <v>4</v>
      </c>
      <c r="N46" s="107"/>
      <c r="O46" s="831">
        <f t="shared" si="0"/>
        <v>4</v>
      </c>
      <c r="P46" t="b">
        <v>1</v>
      </c>
      <c r="Q46" t="b">
        <v>0</v>
      </c>
      <c r="R46" s="59" t="b">
        <v>0</v>
      </c>
      <c r="S46" s="59" t="b">
        <v>1</v>
      </c>
      <c r="T46" s="59" t="b">
        <v>0</v>
      </c>
      <c r="U46" s="59"/>
      <c r="V46" s="59"/>
      <c r="W46" s="69" t="b">
        <v>1</v>
      </c>
      <c r="X46" s="840" t="s">
        <v>6093</v>
      </c>
      <c r="AL46" t="str">
        <f t="shared" si="1"/>
        <v>dpa601_4</v>
      </c>
      <c r="AM46">
        <f t="shared" si="2"/>
        <v>4</v>
      </c>
      <c r="AN46" t="str">
        <f t="shared" si="3"/>
        <v>dpc601_4</v>
      </c>
      <c r="AO46">
        <f t="shared" si="4"/>
        <v>4</v>
      </c>
      <c r="AP46" t="str">
        <f t="shared" si="5"/>
        <v>dch601_4</v>
      </c>
      <c r="AQ46" t="b">
        <f t="shared" si="6"/>
        <v>1</v>
      </c>
      <c r="AR46" t="str">
        <f t="shared" si="7"/>
        <v>dnt601_4</v>
      </c>
      <c r="AS46" t="str">
        <f t="shared" si="8"/>
        <v>Weyerhaeuser NextPhase Site Solutions</v>
      </c>
      <c r="AX46" s="6" t="str">
        <f>'Overview (Design)'!A45</f>
        <v>Maximum skylight SHGC:</v>
      </c>
      <c r="AY46">
        <f>'Overview (Design)'!G45</f>
        <v>0</v>
      </c>
    </row>
    <row r="47" spans="2:52" x14ac:dyDescent="0.35">
      <c r="B47" s="37">
        <v>601.4</v>
      </c>
      <c r="C47" s="13"/>
      <c r="D47" s="13"/>
      <c r="E47" s="13"/>
      <c r="F47" s="13"/>
      <c r="G47" s="13"/>
      <c r="H47" s="453"/>
      <c r="I47" s="30"/>
      <c r="J47" s="4"/>
      <c r="K47" s="43"/>
      <c r="L47" s="838"/>
      <c r="M47" s="818"/>
      <c r="N47" s="4"/>
      <c r="O47" s="832"/>
      <c r="X47" s="817"/>
      <c r="AX47" s="6" t="str">
        <f>'Overview (Design)'!A46</f>
        <v>Maximum window and door U-value:</v>
      </c>
      <c r="AY47">
        <f>'Overview (Design)'!G46</f>
        <v>0.32</v>
      </c>
    </row>
    <row r="48" spans="2:52" ht="15" thickBot="1" x14ac:dyDescent="0.4">
      <c r="B48" s="37">
        <v>601.4</v>
      </c>
      <c r="C48" s="13"/>
      <c r="D48" s="13"/>
      <c r="E48" s="13"/>
      <c r="F48" s="13"/>
      <c r="G48" s="13"/>
      <c r="H48" s="453"/>
      <c r="I48" s="30"/>
      <c r="J48" s="4"/>
      <c r="K48" s="43"/>
      <c r="L48" s="838"/>
      <c r="M48" s="818"/>
      <c r="N48" s="4"/>
      <c r="O48" s="832"/>
      <c r="X48" s="850"/>
      <c r="AX48" s="6" t="str">
        <f>'Overview (Design)'!A47</f>
        <v>Maximum skylight U-value:</v>
      </c>
      <c r="AY48">
        <f>'Overview (Design)'!G47</f>
        <v>0</v>
      </c>
    </row>
    <row r="49" spans="2:51" ht="15" thickTop="1" x14ac:dyDescent="0.35">
      <c r="B49" s="37">
        <v>601.5</v>
      </c>
      <c r="C49" s="13"/>
      <c r="D49" s="13"/>
      <c r="E49" s="13"/>
      <c r="F49" s="13"/>
      <c r="G49" s="13"/>
      <c r="H49" s="453"/>
      <c r="I49" s="60">
        <v>601.5</v>
      </c>
      <c r="J49" s="107"/>
      <c r="K49" s="108"/>
      <c r="L49" s="837" t="s">
        <v>520</v>
      </c>
      <c r="M49" s="830" t="s">
        <v>521</v>
      </c>
      <c r="N49" s="107"/>
      <c r="O49" s="308"/>
      <c r="P49" s="59"/>
      <c r="Q49" s="59"/>
      <c r="R49" s="59"/>
      <c r="S49" s="59"/>
      <c r="T49" s="59"/>
      <c r="U49" s="59"/>
      <c r="V49" s="59"/>
      <c r="W49" s="59"/>
      <c r="X49" s="110"/>
      <c r="AL49" t="str">
        <f>SUBSTITUTE(SUBSTITUTE(SUBSTITUTE("dpa"&amp;$B49&amp;$C49&amp;$D49&amp;$E49,".","_"),"(","_"),")","")</f>
        <v>dpa601_5</v>
      </c>
      <c r="AM49" t="str">
        <f>M49</f>
        <v>13 Max</v>
      </c>
      <c r="AX49" s="6" t="str">
        <f>'Overview (Design)'!A48</f>
        <v>Renewable Energy:</v>
      </c>
      <c r="AY49">
        <f>'Overview (Design)'!G48</f>
        <v>0</v>
      </c>
    </row>
    <row r="50" spans="2:51" x14ac:dyDescent="0.35">
      <c r="B50" s="37">
        <v>601.5</v>
      </c>
      <c r="C50" s="13"/>
      <c r="D50" s="13"/>
      <c r="E50" s="13"/>
      <c r="F50" s="13"/>
      <c r="G50" s="13"/>
      <c r="H50" s="453"/>
      <c r="I50" s="30"/>
      <c r="J50" s="4"/>
      <c r="K50" s="43"/>
      <c r="L50" s="838"/>
      <c r="M50" s="818"/>
      <c r="N50" s="4"/>
      <c r="O50" s="75"/>
      <c r="X50" s="65"/>
      <c r="AX50" s="6" t="str">
        <f>'Overview (Design)'!A49</f>
        <v>Thermal Envelope Insulation:</v>
      </c>
      <c r="AY50">
        <f>'Overview (Design)'!G49</f>
        <v>0</v>
      </c>
    </row>
    <row r="51" spans="2:51" x14ac:dyDescent="0.35">
      <c r="B51" s="37">
        <v>601.5</v>
      </c>
      <c r="C51" s="13"/>
      <c r="D51" s="13"/>
      <c r="E51" s="13"/>
      <c r="F51" s="13"/>
      <c r="G51" s="13"/>
      <c r="H51" s="453"/>
      <c r="I51" s="30"/>
      <c r="J51" s="4"/>
      <c r="K51" s="43"/>
      <c r="L51" s="838"/>
      <c r="M51" s="818"/>
      <c r="N51" s="4"/>
      <c r="O51" s="75"/>
      <c r="X51" s="65"/>
      <c r="AX51" s="6" t="str">
        <f>'Overview (Design)'!A50</f>
        <v>Attic Type:</v>
      </c>
      <c r="AY51" t="str">
        <f>'Overview (Design)'!G50</f>
        <v>Vented</v>
      </c>
    </row>
    <row r="52" spans="2:51" x14ac:dyDescent="0.35">
      <c r="B52" s="37">
        <v>601.5</v>
      </c>
      <c r="C52" s="13" t="s">
        <v>256</v>
      </c>
      <c r="D52" s="13"/>
      <c r="E52" s="13"/>
      <c r="F52" s="13"/>
      <c r="G52" s="13"/>
      <c r="H52" s="453"/>
      <c r="I52" s="30"/>
      <c r="J52" s="129" t="s">
        <v>256</v>
      </c>
      <c r="K52" s="101"/>
      <c r="L52" s="228" t="s">
        <v>522</v>
      </c>
      <c r="M52" s="268">
        <v>4</v>
      </c>
      <c r="N52" s="133"/>
      <c r="O52" s="309">
        <f>M52*S52*W52</f>
        <v>0</v>
      </c>
      <c r="P52" t="b">
        <v>1</v>
      </c>
      <c r="Q52" t="b">
        <v>0</v>
      </c>
      <c r="R52" t="b">
        <v>0</v>
      </c>
      <c r="S52" t="b">
        <f>AND(NOT(W55=TRUE),NOT(W56=TRUE))</f>
        <v>1</v>
      </c>
      <c r="T52" t="b">
        <f>AND(NOT(S52),W52=TRUE)</f>
        <v>0</v>
      </c>
      <c r="W52" s="17"/>
      <c r="X52" s="36"/>
      <c r="AC52" t="b">
        <f>OR(AD52:AE52)</f>
        <v>0</v>
      </c>
      <c r="AD52" t="b">
        <f>T52</f>
        <v>0</v>
      </c>
      <c r="AE52" t="b">
        <v>0</v>
      </c>
      <c r="AL52" t="str">
        <f t="shared" ref="AL52:AL57" si="9">SUBSTITUTE(SUBSTITUTE(SUBSTITUTE("dpa"&amp;$B52&amp;$C52&amp;$D52&amp;$E52,".","_"),"(","_"),")","")</f>
        <v>dpa601_5_1</v>
      </c>
      <c r="AM52">
        <f t="shared" ref="AM52:AM57" si="10">M52</f>
        <v>4</v>
      </c>
      <c r="AN52" t="str">
        <f t="shared" ref="AN52:AN57" si="11">SUBSTITUTE(SUBSTITUTE(SUBSTITUTE("dpc"&amp;$B52&amp;$C52&amp;$D52&amp;$E52,".","_"),"(","_"),")","")</f>
        <v>dpc601_5_1</v>
      </c>
      <c r="AO52">
        <f t="shared" ref="AO52:AO57" si="12">O52</f>
        <v>0</v>
      </c>
      <c r="AP52" t="str">
        <f>SUBSTITUTE(SUBSTITUTE(SUBSTITUTE("dch"&amp;$B52&amp;$C52&amp;$D52&amp;$E52,".","_"),"(","_"),")","")</f>
        <v>dch601_5_1</v>
      </c>
      <c r="AQ52" t="str">
        <f>IF(LEN(W52)=0,"",W52)</f>
        <v/>
      </c>
      <c r="AR52" t="str">
        <f t="shared" ref="AR52:AR57" si="13">SUBSTITUTE(SUBSTITUTE(SUBSTITUTE("dnt"&amp;$B52&amp;$C52&amp;$D52&amp;$E52,".","_"),"(","_"),")","")</f>
        <v>dnt601_5_1</v>
      </c>
      <c r="AS52" t="str">
        <f t="shared" ref="AS52:AS57" si="14">IF(LEN(X52)=0,"",X52)</f>
        <v/>
      </c>
      <c r="AX52" s="6" t="str">
        <f>'Overview (Design)'!A51</f>
        <v>Attached Garage:</v>
      </c>
      <c r="AY52" t="str">
        <f>'Overview (Design)'!G51</f>
        <v>Yes</v>
      </c>
    </row>
    <row r="53" spans="2:51" x14ac:dyDescent="0.35">
      <c r="B53" s="37">
        <v>601.5</v>
      </c>
      <c r="C53" s="13" t="s">
        <v>258</v>
      </c>
      <c r="D53" s="13"/>
      <c r="E53" s="13"/>
      <c r="F53" s="13"/>
      <c r="G53" s="13"/>
      <c r="H53" s="453"/>
      <c r="I53" s="30"/>
      <c r="J53" s="130" t="s">
        <v>258</v>
      </c>
      <c r="K53" s="131"/>
      <c r="L53" s="178" t="s">
        <v>523</v>
      </c>
      <c r="M53" s="278">
        <v>4</v>
      </c>
      <c r="N53" s="163"/>
      <c r="O53" s="277">
        <f>M53*S53*W53</f>
        <v>4</v>
      </c>
      <c r="P53" t="b">
        <v>1</v>
      </c>
      <c r="Q53" t="b">
        <v>0</v>
      </c>
      <c r="R53" t="b">
        <v>0</v>
      </c>
      <c r="S53" t="b">
        <f>AND(NOT(W55=TRUE),NOT(W56=TRUE))</f>
        <v>1</v>
      </c>
      <c r="T53" t="b">
        <f>AND(NOT(S53),W53=TRUE)</f>
        <v>0</v>
      </c>
      <c r="W53" s="17" t="b">
        <v>1</v>
      </c>
      <c r="X53" s="36" t="s">
        <v>6094</v>
      </c>
      <c r="AC53" t="b">
        <f>OR(AD53:AE53)</f>
        <v>0</v>
      </c>
      <c r="AD53" t="b">
        <f>T53</f>
        <v>0</v>
      </c>
      <c r="AE53" t="b">
        <v>0</v>
      </c>
      <c r="AL53" t="str">
        <f t="shared" si="9"/>
        <v>dpa601_5_2</v>
      </c>
      <c r="AM53">
        <f t="shared" si="10"/>
        <v>4</v>
      </c>
      <c r="AN53" t="str">
        <f t="shared" si="11"/>
        <v>dpc601_5_2</v>
      </c>
      <c r="AO53">
        <f t="shared" si="12"/>
        <v>4</v>
      </c>
      <c r="AP53" t="str">
        <f>SUBSTITUTE(SUBSTITUTE(SUBSTITUTE("dch"&amp;$B53&amp;$C53&amp;$D53&amp;$E53,".","_"),"(","_"),")","")</f>
        <v>dch601_5_2</v>
      </c>
      <c r="AQ53" t="b">
        <f>IF(LEN(W53)=0,"",W53)</f>
        <v>1</v>
      </c>
      <c r="AR53" t="str">
        <f t="shared" si="13"/>
        <v>dnt601_5_2</v>
      </c>
      <c r="AS53" t="str">
        <f t="shared" si="14"/>
        <v>BamCore Prime Wall System / Superior Walls Insulated Precast Concrete Walls</v>
      </c>
      <c r="AX53" s="6" t="str">
        <f>'Overview (Design)'!A52</f>
        <v>Recessed Lighting:</v>
      </c>
      <c r="AY53">
        <f>'Overview (Design)'!G52</f>
        <v>0</v>
      </c>
    </row>
    <row r="54" spans="2:51" x14ac:dyDescent="0.35">
      <c r="B54" s="37">
        <v>601.5</v>
      </c>
      <c r="C54" s="13" t="s">
        <v>260</v>
      </c>
      <c r="D54" s="13"/>
      <c r="E54" s="13"/>
      <c r="F54" s="13"/>
      <c r="G54" s="13"/>
      <c r="H54" s="453"/>
      <c r="I54" s="30"/>
      <c r="J54" s="130" t="s">
        <v>260</v>
      </c>
      <c r="K54" s="131"/>
      <c r="L54" s="178" t="s">
        <v>524</v>
      </c>
      <c r="M54" s="278">
        <v>4</v>
      </c>
      <c r="N54" s="163"/>
      <c r="O54" s="277">
        <f>M54*S54*W54</f>
        <v>0</v>
      </c>
      <c r="P54" t="b">
        <v>1</v>
      </c>
      <c r="Q54" t="b">
        <v>0</v>
      </c>
      <c r="R54" t="b">
        <v>0</v>
      </c>
      <c r="S54" t="b">
        <f>AND(NOT(W55=TRUE),NOT(W56=TRUE))</f>
        <v>1</v>
      </c>
      <c r="T54" t="b">
        <f>AND(NOT(S54),W54=TRUE)</f>
        <v>0</v>
      </c>
      <c r="W54" s="17"/>
      <c r="X54" s="36"/>
      <c r="AC54" t="b">
        <f>OR(AD54:AE54)</f>
        <v>0</v>
      </c>
      <c r="AD54" t="b">
        <f>T54</f>
        <v>0</v>
      </c>
      <c r="AE54" t="b">
        <v>0</v>
      </c>
      <c r="AL54" t="str">
        <f t="shared" si="9"/>
        <v>dpa601_5_3</v>
      </c>
      <c r="AM54">
        <f t="shared" si="10"/>
        <v>4</v>
      </c>
      <c r="AN54" t="str">
        <f t="shared" si="11"/>
        <v>dpc601_5_3</v>
      </c>
      <c r="AO54">
        <f t="shared" si="12"/>
        <v>0</v>
      </c>
      <c r="AP54" t="str">
        <f>SUBSTITUTE(SUBSTITUTE(SUBSTITUTE("dch"&amp;$B54&amp;$C54&amp;$D54&amp;$E54,".","_"),"(","_"),")","")</f>
        <v>dch601_5_3</v>
      </c>
      <c r="AQ54" t="str">
        <f>IF(LEN(W54)=0,"",W54)</f>
        <v/>
      </c>
      <c r="AR54" t="str">
        <f t="shared" si="13"/>
        <v>dnt601_5_3</v>
      </c>
      <c r="AS54" t="str">
        <f t="shared" si="14"/>
        <v/>
      </c>
      <c r="AX54" s="6"/>
    </row>
    <row r="55" spans="2:51" x14ac:dyDescent="0.35">
      <c r="B55" s="37">
        <v>601.5</v>
      </c>
      <c r="C55" s="13" t="s">
        <v>269</v>
      </c>
      <c r="D55" s="13"/>
      <c r="E55" s="13"/>
      <c r="F55" s="13"/>
      <c r="G55" s="13"/>
      <c r="H55" s="453"/>
      <c r="I55" s="30"/>
      <c r="J55" s="130" t="s">
        <v>269</v>
      </c>
      <c r="K55" s="131"/>
      <c r="L55" s="178" t="s">
        <v>525</v>
      </c>
      <c r="M55" s="278">
        <v>13</v>
      </c>
      <c r="N55" s="163"/>
      <c r="O55" s="277">
        <f>M55*S55*W55</f>
        <v>0</v>
      </c>
      <c r="P55" t="b">
        <v>1</v>
      </c>
      <c r="Q55" t="b">
        <v>0</v>
      </c>
      <c r="R55" t="b">
        <v>0</v>
      </c>
      <c r="S55" t="b">
        <f>NOT(OR(W52=TRUE,W53=TRUE,W54=TRUE,W56=TRUE))</f>
        <v>0</v>
      </c>
      <c r="T55" t="b">
        <f>AND(NOT(S55),W55=TRUE)</f>
        <v>0</v>
      </c>
      <c r="W55" s="17"/>
      <c r="X55" s="36"/>
      <c r="AC55" t="b">
        <f>OR(AD55:AE55)</f>
        <v>0</v>
      </c>
      <c r="AD55" t="b">
        <f>T55</f>
        <v>0</v>
      </c>
      <c r="AE55" t="b">
        <v>0</v>
      </c>
      <c r="AL55" t="str">
        <f t="shared" si="9"/>
        <v>dpa601_5_4</v>
      </c>
      <c r="AM55">
        <f t="shared" si="10"/>
        <v>13</v>
      </c>
      <c r="AN55" t="str">
        <f t="shared" si="11"/>
        <v>dpc601_5_4</v>
      </c>
      <c r="AO55">
        <f t="shared" si="12"/>
        <v>0</v>
      </c>
      <c r="AP55" t="str">
        <f>SUBSTITUTE(SUBSTITUTE(SUBSTITUTE("dch"&amp;$B55&amp;$C55&amp;$D55&amp;$E55,".","_"),"(","_"),")","")</f>
        <v>dch601_5_4</v>
      </c>
      <c r="AQ55" t="str">
        <f>IF(LEN(W55)=0,"",W55)</f>
        <v/>
      </c>
      <c r="AR55" t="str">
        <f t="shared" si="13"/>
        <v>dnt601_5_4</v>
      </c>
      <c r="AS55" t="str">
        <f t="shared" si="14"/>
        <v/>
      </c>
      <c r="AX55" s="6" t="str">
        <f>'Overview (Design)'!A54</f>
        <v>Special Design Features:</v>
      </c>
      <c r="AY55">
        <f>'Overview (Design)'!G54</f>
        <v>0</v>
      </c>
    </row>
    <row r="56" spans="2:51" ht="15" thickBot="1" x14ac:dyDescent="0.4">
      <c r="B56" s="37">
        <v>601.5</v>
      </c>
      <c r="C56" s="13" t="s">
        <v>275</v>
      </c>
      <c r="D56" s="13"/>
      <c r="E56" s="13"/>
      <c r="F56" s="13"/>
      <c r="G56" s="13"/>
      <c r="H56" s="453"/>
      <c r="I56" s="30"/>
      <c r="J56" s="19" t="s">
        <v>275</v>
      </c>
      <c r="K56" s="43"/>
      <c r="L56" s="90" t="s">
        <v>526</v>
      </c>
      <c r="M56" s="40">
        <v>13</v>
      </c>
      <c r="N56" s="4"/>
      <c r="O56" s="75">
        <f>M56*S56*W56</f>
        <v>0</v>
      </c>
      <c r="P56" t="b">
        <v>1</v>
      </c>
      <c r="Q56" t="b">
        <v>0</v>
      </c>
      <c r="R56" t="b">
        <v>0</v>
      </c>
      <c r="S56" t="b">
        <f>NOT(OR(W52=TRUE,W53=TRUE,W54=TRUE,W55=TRUE))</f>
        <v>0</v>
      </c>
      <c r="T56" t="b">
        <f>AND(NOT(S56),W56=TRUE)</f>
        <v>0</v>
      </c>
      <c r="W56" s="17"/>
      <c r="X56" s="96"/>
      <c r="AC56" t="b">
        <f>OR(AD56:AE56)</f>
        <v>0</v>
      </c>
      <c r="AD56" t="b">
        <f>T56</f>
        <v>0</v>
      </c>
      <c r="AE56" t="b">
        <v>0</v>
      </c>
      <c r="AL56" t="str">
        <f t="shared" si="9"/>
        <v>dpa601_5_5</v>
      </c>
      <c r="AM56">
        <f t="shared" si="10"/>
        <v>13</v>
      </c>
      <c r="AN56" t="str">
        <f t="shared" si="11"/>
        <v>dpc601_5_5</v>
      </c>
      <c r="AO56">
        <f t="shared" si="12"/>
        <v>0</v>
      </c>
      <c r="AP56" t="str">
        <f>SUBSTITUTE(SUBSTITUTE(SUBSTITUTE("dch"&amp;$B56&amp;$C56&amp;$D56&amp;$E56,".","_"),"(","_"),")","")</f>
        <v>dch601_5_5</v>
      </c>
      <c r="AQ56" t="str">
        <f>IF(LEN(W56)=0,"",W56)</f>
        <v/>
      </c>
      <c r="AR56" t="str">
        <f t="shared" si="13"/>
        <v>dnt601_5_5</v>
      </c>
      <c r="AS56" t="str">
        <f t="shared" si="14"/>
        <v/>
      </c>
      <c r="AX56" s="6" t="str">
        <f>'Overview (Design)'!A55</f>
        <v>Passive Solar:</v>
      </c>
      <c r="AY56">
        <f>'Overview (Design)'!G55</f>
        <v>0</v>
      </c>
    </row>
    <row r="57" spans="2:51" ht="15" thickTop="1" x14ac:dyDescent="0.35">
      <c r="B57" s="37">
        <v>601.6</v>
      </c>
      <c r="C57" s="13"/>
      <c r="D57" s="13"/>
      <c r="E57" s="13"/>
      <c r="F57" s="13"/>
      <c r="G57" s="13"/>
      <c r="H57" s="453"/>
      <c r="I57" s="106">
        <v>601.6</v>
      </c>
      <c r="J57" s="107"/>
      <c r="K57" s="108"/>
      <c r="L57" s="837" t="s">
        <v>527</v>
      </c>
      <c r="M57" s="830" t="s">
        <v>528</v>
      </c>
      <c r="N57" s="107"/>
      <c r="O57" s="831">
        <f ca="1">IFERROR(INDEX({4,6,8},MATCH(W58,INDIRECT(U58),0)),0)</f>
        <v>4</v>
      </c>
      <c r="P57" s="59"/>
      <c r="Q57" s="59"/>
      <c r="R57" s="59"/>
      <c r="S57" s="59"/>
      <c r="T57" s="59"/>
      <c r="U57" s="59"/>
      <c r="V57" s="59"/>
      <c r="W57" s="59" t="s">
        <v>4588</v>
      </c>
      <c r="X57" s="840"/>
      <c r="AL57" t="str">
        <f t="shared" si="9"/>
        <v>dpa601_6</v>
      </c>
      <c r="AM57" t="str">
        <f t="shared" si="10"/>
        <v>8 Max</v>
      </c>
      <c r="AN57" t="str">
        <f t="shared" si="11"/>
        <v>dpc601_6</v>
      </c>
      <c r="AO57">
        <f t="shared" ca="1" si="12"/>
        <v>4</v>
      </c>
      <c r="AR57" t="str">
        <f t="shared" si="13"/>
        <v>dnt601_6</v>
      </c>
      <c r="AS57" t="str">
        <f t="shared" si="14"/>
        <v/>
      </c>
      <c r="AX57" s="6" t="str">
        <f>'Overview (Design)'!A56</f>
        <v>Mass Walls:</v>
      </c>
      <c r="AY57">
        <f>'Overview (Design)'!G56</f>
        <v>0</v>
      </c>
    </row>
    <row r="58" spans="2:51" x14ac:dyDescent="0.35">
      <c r="B58" s="37">
        <v>601.6</v>
      </c>
      <c r="C58" s="13"/>
      <c r="D58" s="13"/>
      <c r="E58" s="13"/>
      <c r="F58" s="13"/>
      <c r="G58" s="13"/>
      <c r="H58" s="453"/>
      <c r="I58" s="30"/>
      <c r="J58" s="4"/>
      <c r="K58" s="43"/>
      <c r="L58" s="838"/>
      <c r="M58" s="818"/>
      <c r="N58" s="4"/>
      <c r="O58" s="832"/>
      <c r="P58" t="b">
        <v>1</v>
      </c>
      <c r="Q58" t="b">
        <v>0</v>
      </c>
      <c r="R58" t="b">
        <v>0</v>
      </c>
      <c r="S58" t="b">
        <v>1</v>
      </c>
      <c r="T58" t="b">
        <v>0</v>
      </c>
      <c r="U58" t="str">
        <f>SUBSTITUTE(SUBSTITUTE(SUBSTITUTE("dd"&amp;B58&amp;C58&amp;D58&amp;E58&amp;F58,".","_"),"(","_"),")","")</f>
        <v>dd601_6</v>
      </c>
      <c r="W58" s="350" t="str">
        <f ca="1">IFERROR(INDEX(INDIRECT(U58),MIN(S60-1,3)),"no stacked stories")</f>
        <v>2 story bldg.</v>
      </c>
      <c r="X58" s="817"/>
      <c r="AX58" s="6" t="str">
        <f>'Overview (Design)'!A57</f>
        <v>Radiant/Hydronic:</v>
      </c>
      <c r="AY58">
        <f>'Overview (Design)'!G57</f>
        <v>0</v>
      </c>
    </row>
    <row r="59" spans="2:51" x14ac:dyDescent="0.35">
      <c r="B59" s="37">
        <v>601.6</v>
      </c>
      <c r="C59" s="13"/>
      <c r="D59" s="13"/>
      <c r="E59" s="13"/>
      <c r="F59" s="13"/>
      <c r="G59" s="13"/>
      <c r="H59" s="453"/>
      <c r="I59" s="30"/>
      <c r="J59" s="4"/>
      <c r="K59" s="43"/>
      <c r="L59" s="838"/>
      <c r="M59" s="818"/>
      <c r="N59" s="4"/>
      <c r="O59" s="832"/>
      <c r="S59" s="1" t="s">
        <v>4587</v>
      </c>
      <c r="X59" s="817"/>
      <c r="AX59" s="6" t="str">
        <f>'Overview (Design)'!A58</f>
        <v>Tankless Water Heater:</v>
      </c>
      <c r="AY59">
        <f>'Overview (Design)'!G58</f>
        <v>0</v>
      </c>
    </row>
    <row r="60" spans="2:51" x14ac:dyDescent="0.35">
      <c r="B60" s="37">
        <v>601.6</v>
      </c>
      <c r="C60" s="13" t="s">
        <v>256</v>
      </c>
      <c r="D60" s="13"/>
      <c r="E60" s="13"/>
      <c r="F60" s="13"/>
      <c r="G60" s="13"/>
      <c r="H60" s="453"/>
      <c r="I60" s="30"/>
      <c r="J60" s="129" t="s">
        <v>256</v>
      </c>
      <c r="K60" s="101"/>
      <c r="L60" s="228" t="s">
        <v>529</v>
      </c>
      <c r="M60" s="268">
        <v>4</v>
      </c>
      <c r="N60" s="4"/>
      <c r="O60" s="75"/>
      <c r="S60" s="1">
        <f>AY28</f>
        <v>2</v>
      </c>
      <c r="X60" s="817"/>
      <c r="AL60" t="str">
        <f>SUBSTITUTE(SUBSTITUTE(SUBSTITUTE("dpa"&amp;$B60&amp;$C60&amp;$D60&amp;$E60,".","_"),"(","_"),")","")</f>
        <v>dpa601_6_1</v>
      </c>
      <c r="AM60">
        <f>M60</f>
        <v>4</v>
      </c>
      <c r="AX60" s="6" t="str">
        <f>'Overview (Design)'!A59</f>
        <v>Composting Toilet:</v>
      </c>
      <c r="AY60">
        <f>'Overview (Design)'!G59</f>
        <v>0</v>
      </c>
    </row>
    <row r="61" spans="2:51" ht="15" thickBot="1" x14ac:dyDescent="0.4">
      <c r="B61" s="37">
        <v>601.6</v>
      </c>
      <c r="C61" s="13" t="s">
        <v>258</v>
      </c>
      <c r="D61" s="13"/>
      <c r="E61" s="13"/>
      <c r="F61" s="13"/>
      <c r="G61" s="13"/>
      <c r="H61" s="453"/>
      <c r="I61" s="30"/>
      <c r="J61" s="19" t="s">
        <v>258</v>
      </c>
      <c r="K61" s="43"/>
      <c r="L61" s="90" t="s">
        <v>530</v>
      </c>
      <c r="M61" s="40">
        <v>2</v>
      </c>
      <c r="N61" s="4"/>
      <c r="O61" s="75"/>
      <c r="X61" s="850"/>
      <c r="AL61" t="str">
        <f>SUBSTITUTE(SUBSTITUTE(SUBSTITUTE("dpa"&amp;$B61&amp;$C61&amp;$D61&amp;$E61,".","_"),"(","_"),")","")</f>
        <v>dpa601_6_2</v>
      </c>
      <c r="AM61">
        <f>M61</f>
        <v>2</v>
      </c>
      <c r="AX61" s="6"/>
    </row>
    <row r="62" spans="2:51" ht="15" thickTop="1" x14ac:dyDescent="0.35">
      <c r="B62" s="37">
        <v>601.70000000000005</v>
      </c>
      <c r="C62" s="13"/>
      <c r="D62" s="13"/>
      <c r="E62" s="13"/>
      <c r="F62" s="13"/>
      <c r="G62" s="13"/>
      <c r="H62" s="453"/>
      <c r="I62" s="106">
        <v>601.70000000000005</v>
      </c>
      <c r="J62" s="107"/>
      <c r="K62" s="108"/>
      <c r="L62" s="837" t="s">
        <v>531</v>
      </c>
      <c r="M62" s="830" t="s">
        <v>532</v>
      </c>
      <c r="N62" s="107"/>
      <c r="O62" s="831">
        <f ca="1">MIN(12,IFERROR(INDEX({1,2,5},MATCH(W65,INDIRECT(U65),0)),0)+IFERROR(INDEX({1,2,5},MATCH(W66,INDIRECT(U66),0)),0)+IFERROR(INDEX({1,2,5},MATCH(W67,INDIRECT(U67),0)),0)+IFERROR(INDEX({1,2,5},MATCH(W71,INDIRECT(U71),0)),0)+IFERROR(INDEX({1,2,5},MATCH(W73,INDIRECT(U73),0)),0))</f>
        <v>0</v>
      </c>
      <c r="P62" s="59"/>
      <c r="Q62" s="59"/>
      <c r="R62" s="59"/>
      <c r="S62" s="59"/>
      <c r="T62" s="59"/>
      <c r="U62" s="59"/>
      <c r="V62" s="59"/>
      <c r="W62" s="59"/>
      <c r="X62" s="864"/>
      <c r="AL62" t="str">
        <f>SUBSTITUTE(SUBSTITUTE(SUBSTITUTE("dpa"&amp;$B62&amp;$C62&amp;$D62&amp;$E62,".","_"),"(","_"),")","")</f>
        <v>dpa601_7</v>
      </c>
      <c r="AM62" t="str">
        <f>M62</f>
        <v>12 Max</v>
      </c>
      <c r="AN62" t="str">
        <f>SUBSTITUTE(SUBSTITUTE(SUBSTITUTE("dpc"&amp;$B62&amp;$C62&amp;$D62&amp;$E62,".","_"),"(","_"),")","")</f>
        <v>dpc601_7</v>
      </c>
      <c r="AO62">
        <f ca="1">O62</f>
        <v>0</v>
      </c>
      <c r="AR62" t="str">
        <f>SUBSTITUTE(SUBSTITUTE(SUBSTITUTE("dnt"&amp;$B62&amp;$C62&amp;$D62&amp;$E62,".","_"),"(","_"),")","")</f>
        <v>dnt601_7</v>
      </c>
      <c r="AS62" t="str">
        <f>IF(LEN(X62)=0,"",X62)</f>
        <v/>
      </c>
      <c r="AX62" s="6" t="str">
        <f>'Overview (Design)'!A61</f>
        <v>Local Energy Code:</v>
      </c>
      <c r="AY62">
        <f>'Overview (Design)'!G61</f>
        <v>0</v>
      </c>
    </row>
    <row r="63" spans="2:51" x14ac:dyDescent="0.35">
      <c r="B63" s="37">
        <v>601.70000000000005</v>
      </c>
      <c r="C63" s="13"/>
      <c r="D63" s="13"/>
      <c r="E63" s="13"/>
      <c r="F63" s="13"/>
      <c r="G63" s="13"/>
      <c r="H63" s="453"/>
      <c r="I63" s="30"/>
      <c r="J63" s="4"/>
      <c r="K63" s="43"/>
      <c r="L63" s="838"/>
      <c r="M63" s="818"/>
      <c r="N63" s="4"/>
      <c r="O63" s="832"/>
      <c r="X63" s="851"/>
      <c r="AX63" s="6" t="str">
        <f>'Overview (Design)'!A62</f>
        <v>Local Building Code:</v>
      </c>
      <c r="AY63">
        <f>'Overview (Design)'!G62</f>
        <v>0</v>
      </c>
    </row>
    <row r="64" spans="2:51" x14ac:dyDescent="0.35">
      <c r="B64" s="37">
        <v>601.70000000000005</v>
      </c>
      <c r="C64" s="13"/>
      <c r="D64" s="13"/>
      <c r="E64" s="13"/>
      <c r="F64" s="13"/>
      <c r="G64" s="13"/>
      <c r="H64" s="453"/>
      <c r="I64" s="30"/>
      <c r="J64" s="4"/>
      <c r="K64" s="43"/>
      <c r="L64" s="92" t="s">
        <v>542</v>
      </c>
      <c r="M64" s="40"/>
      <c r="N64" s="4"/>
      <c r="O64" s="75"/>
      <c r="X64" s="851"/>
    </row>
    <row r="65" spans="2:45" x14ac:dyDescent="0.35">
      <c r="B65" s="37">
        <v>601.70000000000005</v>
      </c>
      <c r="C65" s="13"/>
      <c r="D65" s="13" t="s">
        <v>121</v>
      </c>
      <c r="E65" s="13"/>
      <c r="F65" s="13"/>
      <c r="G65" s="13"/>
      <c r="H65" s="453"/>
      <c r="I65" s="30"/>
      <c r="J65" s="4"/>
      <c r="K65" s="100" t="s">
        <v>121</v>
      </c>
      <c r="L65" s="228" t="s">
        <v>533</v>
      </c>
      <c r="M65" s="40"/>
      <c r="N65" s="4"/>
      <c r="O65" s="75"/>
      <c r="P65" t="b">
        <v>1</v>
      </c>
      <c r="Q65" t="b">
        <v>1</v>
      </c>
      <c r="R65" t="b">
        <v>0</v>
      </c>
      <c r="S65" t="b">
        <v>1</v>
      </c>
      <c r="T65" t="b">
        <v>0</v>
      </c>
      <c r="U65" t="str">
        <f>SUBSTITUTE(SUBSTITUTE(SUBSTITUTE("dd"&amp;B65&amp;C65&amp;D65&amp;E65&amp;F65,".","_"),"(","_"),")","")</f>
        <v>dd601_7_a</v>
      </c>
      <c r="W65" s="9"/>
      <c r="X65" s="851"/>
      <c r="AP65" t="str">
        <f>SUBSTITUTE(SUBSTITUTE(SUBSTITUTE("dch"&amp;$B65&amp;$C65&amp;$D65&amp;$E65,".","_"),"(","_"),")","")</f>
        <v>dch601_7_a</v>
      </c>
      <c r="AQ65" t="str">
        <f>IF(LEN(W65)=0,"",W65)</f>
        <v/>
      </c>
    </row>
    <row r="66" spans="2:45" x14ac:dyDescent="0.35">
      <c r="B66" s="37">
        <v>601.70000000000005</v>
      </c>
      <c r="C66" s="13"/>
      <c r="D66" s="13" t="s">
        <v>122</v>
      </c>
      <c r="E66" s="13"/>
      <c r="F66" s="13"/>
      <c r="G66" s="13"/>
      <c r="H66" s="453"/>
      <c r="I66" s="30"/>
      <c r="J66" s="4"/>
      <c r="K66" s="135" t="s">
        <v>122</v>
      </c>
      <c r="L66" s="178" t="s">
        <v>534</v>
      </c>
      <c r="M66" s="40"/>
      <c r="N66" s="4"/>
      <c r="O66" s="75"/>
      <c r="P66" t="b">
        <v>1</v>
      </c>
      <c r="Q66" t="b">
        <v>1</v>
      </c>
      <c r="R66" t="b">
        <v>0</v>
      </c>
      <c r="S66" t="b">
        <v>1</v>
      </c>
      <c r="T66" t="b">
        <v>0</v>
      </c>
      <c r="U66" t="str">
        <f>SUBSTITUTE(SUBSTITUTE(SUBSTITUTE("dd"&amp;B66&amp;C66&amp;D66&amp;E66&amp;F66,".","_"),"(","_"),")","")</f>
        <v>dd601_7_b</v>
      </c>
      <c r="W66" s="9"/>
      <c r="X66" s="851"/>
      <c r="AP66" t="str">
        <f>SUBSTITUTE(SUBSTITUTE(SUBSTITUTE("dch"&amp;$B66&amp;$C66&amp;$D66&amp;$E66,".","_"),"(","_"),")","")</f>
        <v>dch601_7_b</v>
      </c>
      <c r="AQ66" t="str">
        <f>IF(LEN(W66)=0,"",W66)</f>
        <v/>
      </c>
    </row>
    <row r="67" spans="2:45" x14ac:dyDescent="0.35">
      <c r="B67" s="37">
        <v>601.70000000000005</v>
      </c>
      <c r="C67" s="13"/>
      <c r="D67" s="18" t="s">
        <v>123</v>
      </c>
      <c r="E67" s="13"/>
      <c r="F67" s="18"/>
      <c r="G67" s="18"/>
      <c r="H67" s="454"/>
      <c r="I67" s="30"/>
      <c r="J67" s="4"/>
      <c r="K67" s="136" t="s">
        <v>123</v>
      </c>
      <c r="L67" s="897" t="s">
        <v>535</v>
      </c>
      <c r="M67" s="40"/>
      <c r="N67" s="4"/>
      <c r="O67" s="75"/>
      <c r="P67" t="b">
        <v>1</v>
      </c>
      <c r="Q67" t="b">
        <v>1</v>
      </c>
      <c r="R67" t="b">
        <v>0</v>
      </c>
      <c r="S67" t="b">
        <v>1</v>
      </c>
      <c r="T67" t="b">
        <v>0</v>
      </c>
      <c r="U67" t="str">
        <f>SUBSTITUTE(SUBSTITUTE(SUBSTITUTE("dd"&amp;B67&amp;C67&amp;D67&amp;E67&amp;F67,".","_"),"(","_"),")","")</f>
        <v>dd601_7_c</v>
      </c>
      <c r="W67" s="9"/>
      <c r="X67" s="851"/>
      <c r="AP67" t="str">
        <f>SUBSTITUTE(SUBSTITUTE(SUBSTITUTE("dch"&amp;$B67&amp;$C67&amp;$D67&amp;$E67,".","_"),"(","_"),")","")</f>
        <v>dch601_7_c</v>
      </c>
      <c r="AQ67" t="str">
        <f>IF(LEN(W67)=0,"",W67)</f>
        <v/>
      </c>
    </row>
    <row r="68" spans="2:45" x14ac:dyDescent="0.35">
      <c r="B68" s="37">
        <v>601.70000000000005</v>
      </c>
      <c r="C68" s="13"/>
      <c r="D68" s="18" t="s">
        <v>123</v>
      </c>
      <c r="E68" s="13"/>
      <c r="F68" s="18"/>
      <c r="G68" s="18"/>
      <c r="H68" s="454"/>
      <c r="I68" s="30"/>
      <c r="J68" s="4"/>
      <c r="K68" s="43"/>
      <c r="L68" s="898"/>
      <c r="M68" s="40"/>
      <c r="N68" s="4"/>
      <c r="O68" s="75"/>
      <c r="X68" s="851"/>
    </row>
    <row r="69" spans="2:45" x14ac:dyDescent="0.35">
      <c r="B69" s="37">
        <v>601.70000000000005</v>
      </c>
      <c r="C69" s="13"/>
      <c r="D69" s="18" t="s">
        <v>123</v>
      </c>
      <c r="E69" s="13"/>
      <c r="F69" s="18"/>
      <c r="G69" s="18"/>
      <c r="H69" s="454"/>
      <c r="I69" s="30"/>
      <c r="J69" s="4"/>
      <c r="K69" s="43"/>
      <c r="L69" s="179" t="s">
        <v>536</v>
      </c>
      <c r="M69" s="40"/>
      <c r="N69" s="4"/>
      <c r="O69" s="75"/>
      <c r="X69" s="851"/>
    </row>
    <row r="70" spans="2:45" x14ac:dyDescent="0.35">
      <c r="B70" s="37">
        <v>601.70000000000005</v>
      </c>
      <c r="C70" s="13"/>
      <c r="D70" s="18" t="s">
        <v>123</v>
      </c>
      <c r="E70" s="13"/>
      <c r="F70" s="18"/>
      <c r="G70" s="18"/>
      <c r="H70" s="454"/>
      <c r="I70" s="30"/>
      <c r="J70" s="4"/>
      <c r="K70" s="101"/>
      <c r="L70" s="281" t="s">
        <v>537</v>
      </c>
      <c r="M70" s="40"/>
      <c r="N70" s="4"/>
      <c r="O70" s="75"/>
      <c r="X70" s="851"/>
    </row>
    <row r="71" spans="2:45" x14ac:dyDescent="0.35">
      <c r="B71" s="37">
        <v>601.70000000000005</v>
      </c>
      <c r="C71" s="13"/>
      <c r="D71" s="13" t="s">
        <v>401</v>
      </c>
      <c r="E71" s="13"/>
      <c r="F71" s="13"/>
      <c r="G71" s="13"/>
      <c r="H71" s="453"/>
      <c r="I71" s="30"/>
      <c r="J71" s="4"/>
      <c r="K71" s="137" t="s">
        <v>401</v>
      </c>
      <c r="L71" s="836" t="s">
        <v>538</v>
      </c>
      <c r="M71" s="40"/>
      <c r="N71" s="4"/>
      <c r="O71" s="75"/>
      <c r="P71" t="b">
        <v>1</v>
      </c>
      <c r="Q71" t="b">
        <v>1</v>
      </c>
      <c r="R71" t="b">
        <v>0</v>
      </c>
      <c r="S71" t="b">
        <v>1</v>
      </c>
      <c r="T71" t="b">
        <v>0</v>
      </c>
      <c r="U71" t="str">
        <f>SUBSTITUTE(SUBSTITUTE(SUBSTITUTE("dd"&amp;B71&amp;C71&amp;D71&amp;E71&amp;F71,".","_"),"(","_"),")","")</f>
        <v>dd601_7_d</v>
      </c>
      <c r="W71" s="9"/>
      <c r="X71" s="851"/>
      <c r="AP71" t="str">
        <f>SUBSTITUTE(SUBSTITUTE(SUBSTITUTE("dch"&amp;$B71&amp;$C71&amp;$D71&amp;$E71,".","_"),"(","_"),")","")</f>
        <v>dch601_7_d</v>
      </c>
      <c r="AQ71" t="str">
        <f>IF(LEN(W71)=0,"",W71)</f>
        <v/>
      </c>
    </row>
    <row r="72" spans="2:45" x14ac:dyDescent="0.35">
      <c r="B72" s="37">
        <v>601.70000000000005</v>
      </c>
      <c r="C72" s="13"/>
      <c r="D72" s="13" t="s">
        <v>401</v>
      </c>
      <c r="E72" s="13"/>
      <c r="F72" s="13"/>
      <c r="G72" s="13"/>
      <c r="H72" s="453"/>
      <c r="I72" s="30"/>
      <c r="J72" s="4"/>
      <c r="K72" s="101"/>
      <c r="L72" s="815"/>
      <c r="M72" s="40"/>
      <c r="N72" s="4"/>
      <c r="O72" s="75"/>
      <c r="X72" s="851"/>
    </row>
    <row r="73" spans="2:45" x14ac:dyDescent="0.35">
      <c r="B73" s="37">
        <v>601.70000000000005</v>
      </c>
      <c r="C73" s="13"/>
      <c r="D73" s="13" t="s">
        <v>539</v>
      </c>
      <c r="E73" s="13"/>
      <c r="F73" s="13"/>
      <c r="G73" s="13"/>
      <c r="H73" s="453"/>
      <c r="I73" s="30"/>
      <c r="J73" s="4"/>
      <c r="K73" s="137" t="s">
        <v>539</v>
      </c>
      <c r="L73" s="836" t="s">
        <v>540</v>
      </c>
      <c r="M73" s="40"/>
      <c r="N73" s="4"/>
      <c r="O73" s="75"/>
      <c r="P73" t="b">
        <v>1</v>
      </c>
      <c r="Q73" t="b">
        <v>1</v>
      </c>
      <c r="R73" t="b">
        <v>0</v>
      </c>
      <c r="S73" t="b">
        <v>1</v>
      </c>
      <c r="T73" t="b">
        <v>0</v>
      </c>
      <c r="U73" t="str">
        <f>SUBSTITUTE(SUBSTITUTE(SUBSTITUTE("dd"&amp;B73&amp;C73&amp;D73&amp;E73&amp;F73,".","_"),"(","_"),")","")</f>
        <v>dd601_7_e</v>
      </c>
      <c r="W73" s="9"/>
      <c r="X73" s="851"/>
      <c r="AP73" t="str">
        <f>SUBSTITUTE(SUBSTITUTE(SUBSTITUTE("dch"&amp;$B73&amp;$C73&amp;$D73&amp;$E73,".","_"),"(","_"),")","")</f>
        <v>dch601_7_e</v>
      </c>
      <c r="AQ73" t="str">
        <f>IF(LEN(W73)=0,"",W73)</f>
        <v/>
      </c>
    </row>
    <row r="74" spans="2:45" x14ac:dyDescent="0.35">
      <c r="B74" s="37">
        <v>601.70000000000005</v>
      </c>
      <c r="C74" s="13"/>
      <c r="D74" s="13" t="s">
        <v>539</v>
      </c>
      <c r="E74" s="13"/>
      <c r="F74" s="13"/>
      <c r="G74" s="13"/>
      <c r="H74" s="453"/>
      <c r="I74" s="30"/>
      <c r="J74" s="4"/>
      <c r="K74" s="101"/>
      <c r="L74" s="815"/>
      <c r="M74" s="40"/>
      <c r="N74" s="4"/>
      <c r="O74" s="75"/>
      <c r="X74" s="851"/>
    </row>
    <row r="75" spans="2:45" x14ac:dyDescent="0.35">
      <c r="B75" s="37">
        <v>601.70000000000005</v>
      </c>
      <c r="C75" s="13" t="s">
        <v>256</v>
      </c>
      <c r="D75" s="13"/>
      <c r="E75" s="13"/>
      <c r="F75" s="13"/>
      <c r="G75" s="13"/>
      <c r="H75" s="453"/>
      <c r="I75" s="30"/>
      <c r="J75" s="129" t="s">
        <v>256</v>
      </c>
      <c r="K75" s="43"/>
      <c r="L75" s="228" t="s">
        <v>541</v>
      </c>
      <c r="M75" s="268">
        <v>5</v>
      </c>
      <c r="N75" s="4"/>
      <c r="O75" s="75"/>
      <c r="X75" s="851"/>
      <c r="AL75" t="str">
        <f>SUBSTITUTE(SUBSTITUTE(SUBSTITUTE("dpa"&amp;$B75&amp;$C75&amp;$D75&amp;$E75,".","_"),"(","_"),")","")</f>
        <v>dpa601_7_1</v>
      </c>
      <c r="AM75">
        <f>M75</f>
        <v>5</v>
      </c>
    </row>
    <row r="76" spans="2:45" x14ac:dyDescent="0.35">
      <c r="B76" s="37">
        <v>601.70000000000005</v>
      </c>
      <c r="C76" s="13" t="s">
        <v>258</v>
      </c>
      <c r="D76" s="13"/>
      <c r="E76" s="13"/>
      <c r="F76" s="13"/>
      <c r="G76" s="13"/>
      <c r="H76" s="453"/>
      <c r="I76" s="30"/>
      <c r="J76" s="19" t="s">
        <v>258</v>
      </c>
      <c r="K76" s="120"/>
      <c r="L76" s="820" t="s">
        <v>543</v>
      </c>
      <c r="M76" s="822">
        <v>2</v>
      </c>
      <c r="N76" s="4"/>
      <c r="O76" s="75"/>
      <c r="X76" s="851"/>
      <c r="AL76" t="str">
        <f>SUBSTITUTE(SUBSTITUTE(SUBSTITUTE("dpa"&amp;$B76&amp;$C76&amp;$D76&amp;$E76,".","_"),"(","_"),")","")</f>
        <v>dpa601_7_2</v>
      </c>
      <c r="AM76">
        <f>M76</f>
        <v>2</v>
      </c>
    </row>
    <row r="77" spans="2:45" x14ac:dyDescent="0.35">
      <c r="B77" s="37">
        <v>601.70000000000005</v>
      </c>
      <c r="C77" s="13" t="s">
        <v>258</v>
      </c>
      <c r="D77" s="13"/>
      <c r="E77" s="13"/>
      <c r="F77" s="13"/>
      <c r="G77" s="13"/>
      <c r="H77" s="453"/>
      <c r="I77" s="30"/>
      <c r="J77" s="104"/>
      <c r="K77" s="101"/>
      <c r="L77" s="821"/>
      <c r="M77" s="819"/>
      <c r="N77" s="4"/>
      <c r="O77" s="75"/>
      <c r="X77" s="851"/>
    </row>
    <row r="78" spans="2:45" x14ac:dyDescent="0.35">
      <c r="B78" s="37">
        <v>601.70000000000005</v>
      </c>
      <c r="C78" s="13" t="s">
        <v>260</v>
      </c>
      <c r="D78" s="13"/>
      <c r="E78" s="13"/>
      <c r="F78" s="13"/>
      <c r="G78" s="13"/>
      <c r="H78" s="453"/>
      <c r="I78" s="30"/>
      <c r="J78" s="19" t="s">
        <v>260</v>
      </c>
      <c r="K78" s="43"/>
      <c r="L78" s="848" t="s">
        <v>544</v>
      </c>
      <c r="M78" s="40">
        <v>1</v>
      </c>
      <c r="N78" s="4"/>
      <c r="O78" s="75"/>
      <c r="X78" s="851"/>
      <c r="AL78" t="str">
        <f>SUBSTITUTE(SUBSTITUTE(SUBSTITUTE("dpa"&amp;$B78&amp;$C78&amp;$D78&amp;$E78,".","_"),"(","_"),")","")</f>
        <v>dpa601_7_3</v>
      </c>
      <c r="AM78">
        <f>M78</f>
        <v>1</v>
      </c>
    </row>
    <row r="79" spans="2:45" ht="15" thickBot="1" x14ac:dyDescent="0.4">
      <c r="B79" s="37">
        <v>601.70000000000005</v>
      </c>
      <c r="C79" s="13" t="s">
        <v>260</v>
      </c>
      <c r="D79" s="13"/>
      <c r="E79" s="13"/>
      <c r="F79" s="13"/>
      <c r="G79" s="13"/>
      <c r="H79" s="453"/>
      <c r="I79" s="30"/>
      <c r="J79" s="19"/>
      <c r="K79" s="43"/>
      <c r="L79" s="888"/>
      <c r="M79" s="40"/>
      <c r="N79" s="4"/>
      <c r="O79" s="75"/>
      <c r="W79" s="64"/>
      <c r="X79" s="852"/>
    </row>
    <row r="80" spans="2:45" ht="15" thickTop="1" x14ac:dyDescent="0.35">
      <c r="B80" s="37">
        <v>601.79999999999995</v>
      </c>
      <c r="C80" s="13"/>
      <c r="D80" s="13"/>
      <c r="E80" s="13"/>
      <c r="F80" s="13"/>
      <c r="G80" s="13"/>
      <c r="H80" s="453"/>
      <c r="I80" s="106">
        <v>601.79999999999995</v>
      </c>
      <c r="J80" s="107"/>
      <c r="K80" s="108"/>
      <c r="L80" s="837" t="s">
        <v>545</v>
      </c>
      <c r="M80" s="830">
        <v>3</v>
      </c>
      <c r="N80" s="107"/>
      <c r="O80" s="831">
        <f>M80*S80*W80</f>
        <v>0</v>
      </c>
      <c r="P80" t="b">
        <v>1</v>
      </c>
      <c r="Q80" t="b">
        <v>0</v>
      </c>
      <c r="R80" s="59" t="b">
        <v>0</v>
      </c>
      <c r="S80" s="59" t="b">
        <f>NOT(AZ33=1)</f>
        <v>1</v>
      </c>
      <c r="T80" t="b">
        <f>AND(NOT(S80),W80=TRUE)</f>
        <v>0</v>
      </c>
      <c r="U80" s="59"/>
      <c r="V80" s="59"/>
      <c r="W80" s="69"/>
      <c r="X80" s="840"/>
      <c r="AC80" t="b">
        <f>OR(AD80:AE80)</f>
        <v>0</v>
      </c>
      <c r="AD80" t="b">
        <v>0</v>
      </c>
      <c r="AE80" t="b">
        <f>AND(W80=TRUE,LEN(X80)=0)</f>
        <v>0</v>
      </c>
      <c r="AL80" t="str">
        <f>SUBSTITUTE(SUBSTITUTE(SUBSTITUTE("dpa"&amp;$B80&amp;$C80&amp;$D80&amp;$E80,".","_"),"(","_"),")","")</f>
        <v>dpa601_8</v>
      </c>
      <c r="AM80">
        <f>M80</f>
        <v>3</v>
      </c>
      <c r="AN80" t="str">
        <f>SUBSTITUTE(SUBSTITUTE(SUBSTITUTE("dpc"&amp;$B80&amp;$C80&amp;$D80&amp;$E80,".","_"),"(","_"),")","")</f>
        <v>dpc601_8</v>
      </c>
      <c r="AO80">
        <f>O80</f>
        <v>0</v>
      </c>
      <c r="AP80" t="str">
        <f>SUBSTITUTE(SUBSTITUTE(SUBSTITUTE("dch"&amp;$B80&amp;$C80&amp;$D80&amp;$E80,".","_"),"(","_"),")","")</f>
        <v>dch601_8</v>
      </c>
      <c r="AQ80" t="str">
        <f>IF(LEN(W80)=0,"",W80)</f>
        <v/>
      </c>
      <c r="AR80" t="str">
        <f>SUBSTITUTE(SUBSTITUTE(SUBSTITUTE("dnt"&amp;$B80&amp;$C80&amp;$D80&amp;$E80,".","_"),"(","_"),")","")</f>
        <v>dnt601_8</v>
      </c>
      <c r="AS80" t="str">
        <f>IF(LEN(X80)=0,"",X80)</f>
        <v/>
      </c>
    </row>
    <row r="81" spans="2:45" x14ac:dyDescent="0.35">
      <c r="B81" s="37">
        <v>601.79999999999995</v>
      </c>
      <c r="C81" s="13"/>
      <c r="D81" s="13"/>
      <c r="E81" s="13"/>
      <c r="F81" s="13"/>
      <c r="G81" s="13"/>
      <c r="H81" s="453"/>
      <c r="I81" s="30"/>
      <c r="J81" s="4"/>
      <c r="K81" s="43"/>
      <c r="L81" s="838"/>
      <c r="M81" s="818"/>
      <c r="N81" s="4"/>
      <c r="O81" s="832"/>
      <c r="X81" s="817"/>
    </row>
    <row r="82" spans="2:45" x14ac:dyDescent="0.35">
      <c r="B82" s="37">
        <v>601.79999999999995</v>
      </c>
      <c r="C82" s="13"/>
      <c r="D82" s="13"/>
      <c r="E82" s="13"/>
      <c r="F82" s="13"/>
      <c r="G82" s="13"/>
      <c r="H82" s="453"/>
      <c r="I82" s="30"/>
      <c r="J82" s="4"/>
      <c r="K82" s="43"/>
      <c r="L82" s="838"/>
      <c r="M82" s="818"/>
      <c r="N82" s="4"/>
      <c r="O82" s="832"/>
      <c r="X82" s="817"/>
    </row>
    <row r="83" spans="2:45" x14ac:dyDescent="0.35">
      <c r="B83" s="37">
        <v>601.79999999999995</v>
      </c>
      <c r="C83" s="13"/>
      <c r="D83" s="13"/>
      <c r="E83" s="13"/>
      <c r="F83" s="13"/>
      <c r="G83" s="13"/>
      <c r="H83" s="453"/>
      <c r="I83" s="30"/>
      <c r="J83" s="4"/>
      <c r="K83" s="43"/>
      <c r="L83" s="838"/>
      <c r="M83" s="818"/>
      <c r="N83" s="4"/>
      <c r="O83" s="832"/>
      <c r="X83" s="817"/>
    </row>
    <row r="84" spans="2:45" x14ac:dyDescent="0.35">
      <c r="B84" s="37">
        <v>601.79999999999995</v>
      </c>
      <c r="C84" s="13"/>
      <c r="D84" s="13"/>
      <c r="E84" s="13"/>
      <c r="F84" s="13"/>
      <c r="G84" s="13"/>
      <c r="H84" s="453"/>
      <c r="I84" s="30"/>
      <c r="J84" s="4"/>
      <c r="K84" s="43"/>
      <c r="L84" s="838"/>
      <c r="M84" s="818"/>
      <c r="N84" s="4"/>
      <c r="O84" s="832"/>
      <c r="X84" s="817"/>
    </row>
    <row r="85" spans="2:45" x14ac:dyDescent="0.35">
      <c r="B85" s="37">
        <v>601.79999999999995</v>
      </c>
      <c r="C85" s="13"/>
      <c r="D85" s="13"/>
      <c r="E85" s="13"/>
      <c r="F85" s="13"/>
      <c r="G85" s="13"/>
      <c r="H85" s="453"/>
      <c r="I85" s="30"/>
      <c r="J85" s="4"/>
      <c r="K85" s="43"/>
      <c r="L85" s="855" t="s">
        <v>1102</v>
      </c>
      <c r="M85" s="818"/>
      <c r="N85" s="4"/>
      <c r="O85" s="832"/>
      <c r="X85" s="817"/>
    </row>
    <row r="86" spans="2:45" x14ac:dyDescent="0.35">
      <c r="B86" s="37">
        <v>601.79999999999995</v>
      </c>
      <c r="C86" s="13"/>
      <c r="D86" s="13"/>
      <c r="E86" s="13"/>
      <c r="F86" s="13"/>
      <c r="G86" s="13"/>
      <c r="H86" s="453"/>
      <c r="I86" s="30"/>
      <c r="J86" s="4"/>
      <c r="K86" s="43"/>
      <c r="L86" s="855"/>
      <c r="M86" s="818"/>
      <c r="N86" s="4"/>
      <c r="O86" s="832"/>
      <c r="X86" s="817"/>
    </row>
    <row r="87" spans="2:45" x14ac:dyDescent="0.35">
      <c r="B87" s="37">
        <v>601.79999999999995</v>
      </c>
      <c r="C87" s="13"/>
      <c r="D87" s="13"/>
      <c r="E87" s="13"/>
      <c r="F87" s="13"/>
      <c r="G87" s="13"/>
      <c r="H87" s="453"/>
      <c r="I87" s="30"/>
      <c r="J87" s="4"/>
      <c r="K87" s="43"/>
      <c r="L87" s="893"/>
      <c r="M87" s="818"/>
      <c r="N87" s="4"/>
      <c r="O87" s="832"/>
      <c r="W87" s="65"/>
      <c r="X87" s="850"/>
    </row>
    <row r="88" spans="2:45" ht="18.5" x14ac:dyDescent="0.45">
      <c r="B88" s="37">
        <v>602</v>
      </c>
      <c r="C88" s="13"/>
      <c r="D88" s="13"/>
      <c r="E88" s="13"/>
      <c r="F88" s="13"/>
      <c r="G88" s="13"/>
      <c r="H88" s="453"/>
      <c r="I88" s="35" t="s">
        <v>546</v>
      </c>
      <c r="J88" s="35"/>
      <c r="K88" s="35"/>
      <c r="L88" s="151"/>
      <c r="M88" s="243"/>
      <c r="N88" s="311"/>
      <c r="O88" s="307"/>
      <c r="P88" s="15"/>
      <c r="Q88" s="15"/>
      <c r="R88" s="15"/>
      <c r="S88" s="15"/>
      <c r="T88" s="15"/>
      <c r="U88" s="15"/>
      <c r="V88" s="15"/>
      <c r="W88" s="15"/>
      <c r="X88" s="15"/>
    </row>
    <row r="89" spans="2:45" x14ac:dyDescent="0.35">
      <c r="B89" s="37" t="s">
        <v>3140</v>
      </c>
      <c r="C89" s="13"/>
      <c r="D89" s="13"/>
      <c r="E89" s="13"/>
      <c r="F89" s="13"/>
      <c r="G89" s="13"/>
      <c r="H89" s="453"/>
      <c r="I89" s="38" t="s">
        <v>3140</v>
      </c>
      <c r="J89" s="4"/>
      <c r="K89" s="43"/>
      <c r="L89" s="838" t="s">
        <v>547</v>
      </c>
      <c r="M89" s="40"/>
      <c r="N89" s="4"/>
      <c r="O89" s="75"/>
    </row>
    <row r="90" spans="2:45" ht="15" thickBot="1" x14ac:dyDescent="0.4">
      <c r="B90" s="37" t="s">
        <v>3140</v>
      </c>
      <c r="C90" s="13"/>
      <c r="D90" s="13"/>
      <c r="E90" s="13"/>
      <c r="F90" s="13"/>
      <c r="G90" s="13"/>
      <c r="H90" s="453"/>
      <c r="I90" s="30"/>
      <c r="J90" s="4"/>
      <c r="K90" s="43"/>
      <c r="L90" s="838"/>
      <c r="M90" s="40"/>
      <c r="N90" s="4"/>
      <c r="O90" s="75"/>
    </row>
    <row r="91" spans="2:45" ht="15.5" thickTop="1" thickBot="1" x14ac:dyDescent="0.4">
      <c r="B91" s="37">
        <v>602.1</v>
      </c>
      <c r="C91" s="13"/>
      <c r="D91" s="13"/>
      <c r="E91" s="13"/>
      <c r="F91" s="13"/>
      <c r="G91" s="13"/>
      <c r="H91" s="453"/>
      <c r="I91" s="106">
        <v>602.1</v>
      </c>
      <c r="J91" s="107"/>
      <c r="K91" s="108"/>
      <c r="L91" s="274" t="s">
        <v>548</v>
      </c>
      <c r="M91" s="267"/>
      <c r="N91" s="107"/>
      <c r="O91" s="308"/>
      <c r="P91" s="59"/>
      <c r="Q91" s="59"/>
      <c r="R91" s="59"/>
      <c r="S91" s="59"/>
      <c r="T91" s="59"/>
      <c r="U91" s="59"/>
      <c r="V91" s="59"/>
      <c r="W91" s="59"/>
      <c r="X91" s="59"/>
    </row>
    <row r="92" spans="2:45" ht="15" thickTop="1" x14ac:dyDescent="0.35">
      <c r="B92" s="37" t="s">
        <v>549</v>
      </c>
      <c r="C92" s="13"/>
      <c r="D92" s="13"/>
      <c r="E92" s="13"/>
      <c r="F92" s="13"/>
      <c r="G92" s="13"/>
      <c r="H92" s="453"/>
      <c r="I92" s="106" t="s">
        <v>549</v>
      </c>
      <c r="J92" s="107"/>
      <c r="K92" s="108"/>
      <c r="L92" s="274" t="s">
        <v>550</v>
      </c>
      <c r="M92" s="267"/>
      <c r="N92" s="107"/>
      <c r="O92" s="308"/>
      <c r="P92" s="59"/>
      <c r="Q92" s="59"/>
      <c r="R92" s="59"/>
      <c r="S92" s="59"/>
      <c r="T92" s="59"/>
      <c r="U92" s="59"/>
      <c r="V92" s="59"/>
      <c r="W92" s="59"/>
      <c r="X92" s="59"/>
    </row>
    <row r="93" spans="2:45" x14ac:dyDescent="0.35">
      <c r="B93" s="37" t="s">
        <v>551</v>
      </c>
      <c r="C93" s="37"/>
      <c r="D93" s="13"/>
      <c r="E93" s="13"/>
      <c r="F93" s="13"/>
      <c r="G93" s="13"/>
      <c r="H93" s="453"/>
      <c r="I93" s="30" t="s">
        <v>551</v>
      </c>
      <c r="J93" s="4"/>
      <c r="K93" s="43"/>
      <c r="L93" s="838" t="s">
        <v>4849</v>
      </c>
      <c r="M93" s="885" t="str">
        <f>IF(R93,"Mandatory","N/A")</f>
        <v>N/A</v>
      </c>
      <c r="N93" s="4"/>
      <c r="O93" s="75"/>
      <c r="P93" t="b">
        <v>1</v>
      </c>
      <c r="Q93" t="b">
        <v>0</v>
      </c>
      <c r="R93" t="b">
        <f>S93</f>
        <v>0</v>
      </c>
      <c r="S93" t="b">
        <f>IF(OR(AZ33=2,AZ33=3),FALSE,TRUE)</f>
        <v>0</v>
      </c>
      <c r="T93" t="b">
        <f>AND(NOT(S93),W93="Met")</f>
        <v>0</v>
      </c>
      <c r="U93" t="str">
        <f>SUBSTITUTE(SUBSTITUTE(SUBSTITUTE("dd"&amp;B93&amp;C93&amp;D93&amp;E93&amp;F93,".","_"),"(","_"),")","")</f>
        <v>dd602_1_1_1</v>
      </c>
      <c r="W93" s="9"/>
      <c r="X93" s="817"/>
      <c r="AC93" t="b">
        <f>OR(AD93:AE93)</f>
        <v>0</v>
      </c>
      <c r="AD93" t="b">
        <f>T93</f>
        <v>0</v>
      </c>
      <c r="AE93" t="b">
        <f>OR(AND(R93,NOT(W93="Met"),NOT(W93="N/A")),AND(W93="N/A",ISBLANK(X93)))</f>
        <v>0</v>
      </c>
      <c r="AL93" t="str">
        <f>SUBSTITUTE(SUBSTITUTE(SUBSTITUTE("dpa"&amp;$B93&amp;$C93&amp;$D93&amp;$E93,".","_"),"(","_"),")","")</f>
        <v>dpa602_1_1_1</v>
      </c>
      <c r="AM93" t="str">
        <f>M93</f>
        <v>N/A</v>
      </c>
      <c r="AP93" t="str">
        <f>SUBSTITUTE(SUBSTITUTE(SUBSTITUTE("dch"&amp;$B93&amp;$C93&amp;$D93&amp;$E93,".","_"),"(","_"),")","")</f>
        <v>dch602_1_1_1</v>
      </c>
      <c r="AQ93" t="str">
        <f>IF(LEN(W93)=0,"",W93)</f>
        <v/>
      </c>
      <c r="AR93" t="str">
        <f>SUBSTITUTE(SUBSTITUTE(SUBSTITUTE("dnt"&amp;$B93&amp;$C93&amp;$D93&amp;$E93,".","_"),"(","_"),")","")</f>
        <v>dnt602_1_1_1</v>
      </c>
      <c r="AS93" t="str">
        <f>IF(LEN(X93)=0,"",X93)</f>
        <v/>
      </c>
    </row>
    <row r="94" spans="2:45" x14ac:dyDescent="0.35">
      <c r="B94" s="37" t="s">
        <v>551</v>
      </c>
      <c r="C94" s="37"/>
      <c r="D94" s="13"/>
      <c r="E94" s="13"/>
      <c r="F94" s="13"/>
      <c r="G94" s="13"/>
      <c r="H94" s="453"/>
      <c r="I94" s="30"/>
      <c r="J94" s="4"/>
      <c r="K94" s="43"/>
      <c r="L94" s="838"/>
      <c r="M94" s="885"/>
      <c r="N94" s="4"/>
      <c r="O94" s="75"/>
      <c r="X94" s="817"/>
    </row>
    <row r="95" spans="2:45" x14ac:dyDescent="0.35">
      <c r="B95" s="37" t="s">
        <v>551</v>
      </c>
      <c r="C95" s="37"/>
      <c r="D95" s="13"/>
      <c r="E95" s="13"/>
      <c r="F95" s="13"/>
      <c r="G95" s="13"/>
      <c r="H95" s="453"/>
      <c r="I95" s="138"/>
      <c r="J95" s="133"/>
      <c r="K95" s="101"/>
      <c r="L95" s="889"/>
      <c r="M95" s="890"/>
      <c r="N95" s="4"/>
      <c r="O95" s="75"/>
      <c r="X95" s="817"/>
    </row>
    <row r="96" spans="2:45" x14ac:dyDescent="0.35">
      <c r="B96" s="37" t="s">
        <v>552</v>
      </c>
      <c r="C96" s="37"/>
      <c r="D96" s="13"/>
      <c r="E96" s="13"/>
      <c r="F96" s="13"/>
      <c r="G96" s="13"/>
      <c r="H96" s="453"/>
      <c r="I96" s="30" t="s">
        <v>552</v>
      </c>
      <c r="J96" s="4"/>
      <c r="K96" s="43"/>
      <c r="L96" s="838" t="s">
        <v>553</v>
      </c>
      <c r="M96" s="818">
        <v>3</v>
      </c>
      <c r="N96" s="4"/>
      <c r="O96" s="832">
        <f>M96*S96*W96</f>
        <v>0</v>
      </c>
      <c r="P96" t="b">
        <v>1</v>
      </c>
      <c r="Q96" t="b">
        <v>0</v>
      </c>
      <c r="R96" t="b">
        <v>0</v>
      </c>
      <c r="S96" t="b">
        <v>1</v>
      </c>
      <c r="T96" t="b">
        <v>0</v>
      </c>
      <c r="W96" s="17"/>
      <c r="X96" s="817"/>
      <c r="AL96" t="str">
        <f>SUBSTITUTE(SUBSTITUTE(SUBSTITUTE("dpa"&amp;$B96&amp;$C96&amp;$D96&amp;$E96,".","_"),"(","_"),")","")</f>
        <v xml:space="preserve">dpa602_1_1_2 </v>
      </c>
      <c r="AM96">
        <f>M96</f>
        <v>3</v>
      </c>
      <c r="AN96" t="str">
        <f>SUBSTITUTE(SUBSTITUTE(SUBSTITUTE("dpc"&amp;$B96&amp;$C96&amp;$D96&amp;$E96,".","_"),"(","_"),")","")</f>
        <v xml:space="preserve">dpc602_1_1_2 </v>
      </c>
      <c r="AO96">
        <f>O96</f>
        <v>0</v>
      </c>
      <c r="AP96" t="str">
        <f>SUBSTITUTE(SUBSTITUTE(SUBSTITUTE("dch"&amp;$B96&amp;$C96&amp;$D96&amp;$E96,".","_"),"(","_"),")","")</f>
        <v xml:space="preserve">dch602_1_1_2 </v>
      </c>
      <c r="AQ96" t="str">
        <f>IF(LEN(W96)=0,"",W96)</f>
        <v/>
      </c>
      <c r="AR96" t="str">
        <f>SUBSTITUTE(SUBSTITUTE(SUBSTITUTE("dnt"&amp;$B96&amp;$C96&amp;$D96&amp;$E96,".","_"),"(","_"),")","")</f>
        <v xml:space="preserve">dnt602_1_1_2 </v>
      </c>
      <c r="AS96" t="str">
        <f>IF(LEN(X96)=0,"",X96)</f>
        <v/>
      </c>
    </row>
    <row r="97" spans="2:45" ht="15" thickBot="1" x14ac:dyDescent="0.4">
      <c r="B97" s="37" t="s">
        <v>552</v>
      </c>
      <c r="C97" s="37"/>
      <c r="D97" s="13"/>
      <c r="E97" s="13"/>
      <c r="F97" s="13"/>
      <c r="G97" s="13"/>
      <c r="H97" s="453"/>
      <c r="I97" s="30"/>
      <c r="J97" s="4"/>
      <c r="K97" s="43"/>
      <c r="L97" s="838"/>
      <c r="M97" s="818"/>
      <c r="N97" s="4"/>
      <c r="O97" s="832"/>
      <c r="X97" s="850"/>
    </row>
    <row r="98" spans="2:45" ht="15" thickTop="1" x14ac:dyDescent="0.35">
      <c r="B98" s="13" t="s">
        <v>554</v>
      </c>
      <c r="C98" s="13"/>
      <c r="D98" s="13"/>
      <c r="E98" s="13"/>
      <c r="F98" s="13"/>
      <c r="G98" s="13"/>
      <c r="H98" s="453"/>
      <c r="I98" s="106" t="s">
        <v>3141</v>
      </c>
      <c r="J98" s="107"/>
      <c r="K98" s="108"/>
      <c r="L98" s="837" t="s">
        <v>555</v>
      </c>
      <c r="M98" s="830">
        <v>4</v>
      </c>
      <c r="N98" s="107"/>
      <c r="O98" s="831">
        <f>M98*OR(S100*W100,S101*W101)</f>
        <v>0</v>
      </c>
      <c r="P98" s="59"/>
      <c r="Q98" s="59"/>
      <c r="R98" s="59"/>
      <c r="S98" s="59"/>
      <c r="T98" s="59"/>
      <c r="U98" s="59"/>
      <c r="V98" s="59"/>
      <c r="W98" s="59"/>
      <c r="X98" s="840"/>
      <c r="AL98" t="str">
        <f>SUBSTITUTE(SUBSTITUTE(SUBSTITUTE("dpa"&amp;$B98&amp;$C98&amp;$D98&amp;$E98,".","_"),"(","_"),")","")</f>
        <v xml:space="preserve">dpa602_1_2 </v>
      </c>
      <c r="AM98">
        <f>M98</f>
        <v>4</v>
      </c>
      <c r="AN98" t="str">
        <f>SUBSTITUTE(SUBSTITUTE(SUBSTITUTE("dpc"&amp;$B98&amp;$C98&amp;$D98&amp;$E98,".","_"),"(","_"),")","")</f>
        <v xml:space="preserve">dpc602_1_2 </v>
      </c>
      <c r="AO98">
        <f>O98</f>
        <v>0</v>
      </c>
      <c r="AR98" t="str">
        <f>SUBSTITUTE(SUBSTITUTE(SUBSTITUTE("dnt"&amp;$B98&amp;$C98&amp;$D98&amp;$E98,".","_"),"(","_"),")","")</f>
        <v xml:space="preserve">dnt602_1_2 </v>
      </c>
      <c r="AS98" t="str">
        <f>IF(LEN(X98)=0,"",X98)</f>
        <v/>
      </c>
    </row>
    <row r="99" spans="2:45" x14ac:dyDescent="0.35">
      <c r="B99" s="13" t="s">
        <v>554</v>
      </c>
      <c r="C99" s="13"/>
      <c r="D99" s="13"/>
      <c r="E99" s="13"/>
      <c r="F99" s="13"/>
      <c r="G99" s="13"/>
      <c r="H99" s="453"/>
      <c r="I99" s="30"/>
      <c r="J99" s="4"/>
      <c r="K99" s="43"/>
      <c r="L99" s="838"/>
      <c r="M99" s="818"/>
      <c r="N99" s="4"/>
      <c r="O99" s="832"/>
      <c r="X99" s="817"/>
    </row>
    <row r="100" spans="2:45" x14ac:dyDescent="0.35">
      <c r="B100" s="13" t="s">
        <v>554</v>
      </c>
      <c r="C100" s="13" t="s">
        <v>256</v>
      </c>
      <c r="D100" s="13"/>
      <c r="E100" s="13"/>
      <c r="F100" s="13"/>
      <c r="G100" s="13"/>
      <c r="H100" s="453"/>
      <c r="I100" s="30"/>
      <c r="J100" s="129" t="s">
        <v>256</v>
      </c>
      <c r="K100" s="101"/>
      <c r="L100" s="228" t="s">
        <v>556</v>
      </c>
      <c r="M100" s="818"/>
      <c r="N100" s="4"/>
      <c r="O100" s="832"/>
      <c r="P100" t="b">
        <v>1</v>
      </c>
      <c r="Q100" t="b">
        <v>0</v>
      </c>
      <c r="R100" t="b">
        <v>0</v>
      </c>
      <c r="S100" t="b">
        <f>NOT(AZ33=4)</f>
        <v>1</v>
      </c>
      <c r="T100" t="b">
        <f>AND(NOT(S100),W100=TRUE)</f>
        <v>0</v>
      </c>
      <c r="W100" s="17"/>
      <c r="X100" s="817"/>
      <c r="AC100" t="b">
        <f>OR(AD100:AE100)</f>
        <v>0</v>
      </c>
      <c r="AD100" t="b">
        <f>T100</f>
        <v>0</v>
      </c>
      <c r="AP100" t="str">
        <f>SUBSTITUTE(SUBSTITUTE(SUBSTITUTE("dch"&amp;$B100&amp;$C100&amp;$D100&amp;$E100,".","_"),"(","_"),")","")</f>
        <v>dch602_1_2 _1</v>
      </c>
      <c r="AQ100" t="str">
        <f>IF(LEN(W100)=0,"",W100)</f>
        <v/>
      </c>
    </row>
    <row r="101" spans="2:45" ht="15" thickBot="1" x14ac:dyDescent="0.4">
      <c r="B101" s="13" t="s">
        <v>554</v>
      </c>
      <c r="C101" s="13" t="s">
        <v>258</v>
      </c>
      <c r="D101" s="13"/>
      <c r="E101" s="13"/>
      <c r="F101" s="13"/>
      <c r="G101" s="13"/>
      <c r="H101" s="453"/>
      <c r="I101" s="114"/>
      <c r="J101" s="115" t="s">
        <v>258</v>
      </c>
      <c r="K101" s="53"/>
      <c r="L101" s="229" t="s">
        <v>557</v>
      </c>
      <c r="M101" s="827"/>
      <c r="N101" s="160"/>
      <c r="O101" s="833"/>
      <c r="P101" s="55"/>
      <c r="Q101" s="55"/>
      <c r="R101" s="55" t="b">
        <v>0</v>
      </c>
      <c r="S101" s="55" t="b">
        <f>NOT(AZ33=4)</f>
        <v>1</v>
      </c>
      <c r="T101" t="b">
        <f>AND(NOT(S101),W101=TRUE)</f>
        <v>0</v>
      </c>
      <c r="U101" s="55"/>
      <c r="V101" s="55"/>
      <c r="W101" s="17"/>
      <c r="X101" s="829"/>
      <c r="AC101" t="b">
        <f>OR(AD101:AE101)</f>
        <v>0</v>
      </c>
      <c r="AD101" t="b">
        <f>T101</f>
        <v>0</v>
      </c>
      <c r="AP101" t="str">
        <f>SUBSTITUTE(SUBSTITUTE(SUBSTITUTE("dch"&amp;$B101&amp;$C101&amp;$D101&amp;$E101,".","_"),"(","_"),")","")</f>
        <v>dch602_1_2 _2</v>
      </c>
      <c r="AQ101" t="str">
        <f>IF(LEN(W101)=0,"",W101)</f>
        <v/>
      </c>
    </row>
    <row r="102" spans="2:45" ht="15" thickTop="1" x14ac:dyDescent="0.35">
      <c r="B102" s="37" t="s">
        <v>558</v>
      </c>
      <c r="C102" s="13"/>
      <c r="D102" s="13"/>
      <c r="E102" s="13"/>
      <c r="F102" s="13"/>
      <c r="G102" s="13"/>
      <c r="H102" s="453"/>
      <c r="I102" s="106" t="s">
        <v>558</v>
      </c>
      <c r="J102" s="107"/>
      <c r="K102" s="108"/>
      <c r="L102" s="274" t="s">
        <v>559</v>
      </c>
      <c r="M102" s="267"/>
      <c r="N102" s="107"/>
      <c r="O102" s="308"/>
      <c r="P102" s="59"/>
      <c r="Q102" s="59"/>
      <c r="R102" s="59"/>
      <c r="S102" s="59"/>
      <c r="T102" s="59"/>
      <c r="U102" s="59"/>
      <c r="V102" s="59"/>
      <c r="W102" s="173"/>
      <c r="X102" s="59"/>
    </row>
    <row r="103" spans="2:45" x14ac:dyDescent="0.35">
      <c r="B103" s="37" t="s">
        <v>560</v>
      </c>
      <c r="C103" s="37"/>
      <c r="D103" s="13"/>
      <c r="E103" s="13"/>
      <c r="F103" s="13"/>
      <c r="G103" s="13"/>
      <c r="H103" s="453"/>
      <c r="I103" s="30" t="s">
        <v>560</v>
      </c>
      <c r="J103" s="4"/>
      <c r="K103" s="43"/>
      <c r="L103" s="838" t="s">
        <v>561</v>
      </c>
      <c r="M103" s="885" t="str">
        <f>IF(R103,"Mandatory","N/A")</f>
        <v>N/A</v>
      </c>
      <c r="N103" s="4"/>
      <c r="O103" s="75"/>
      <c r="P103" t="b">
        <v>1</v>
      </c>
      <c r="Q103" t="b">
        <v>0</v>
      </c>
      <c r="R103" t="b">
        <f>S103</f>
        <v>0</v>
      </c>
      <c r="S103" t="b">
        <f>OR(AZ33=1,AZ33=5,AZ33=6)</f>
        <v>0</v>
      </c>
      <c r="T103" t="b">
        <f>AND(NOT(S103),W103=TRUE)</f>
        <v>0</v>
      </c>
      <c r="W103" s="17"/>
      <c r="X103" s="817"/>
      <c r="AC103" t="b">
        <f>OR(AD103:AE103)</f>
        <v>0</v>
      </c>
      <c r="AD103" t="b">
        <f>T103</f>
        <v>0</v>
      </c>
      <c r="AE103" t="b">
        <f>AND(R103,NOT(W103))</f>
        <v>0</v>
      </c>
      <c r="AL103" t="str">
        <f>SUBSTITUTE(SUBSTITUTE(SUBSTITUTE("dpa"&amp;$B103&amp;$C103&amp;$D103&amp;$E103,".","_"),"(","_"),")","")</f>
        <v>dpa602_1_3_1</v>
      </c>
      <c r="AM103" t="str">
        <f>M103</f>
        <v>N/A</v>
      </c>
      <c r="AP103" t="str">
        <f>SUBSTITUTE(SUBSTITUTE(SUBSTITUTE("dch"&amp;$B103&amp;$C103&amp;$D103&amp;$E103,".","_"),"(","_"),")","")</f>
        <v>dch602_1_3_1</v>
      </c>
      <c r="AQ103" t="str">
        <f>IF(LEN(W103)=0,"",W103)</f>
        <v/>
      </c>
      <c r="AR103" t="str">
        <f>SUBSTITUTE(SUBSTITUTE(SUBSTITUTE("dnt"&amp;$B103&amp;$C103&amp;$D103&amp;$E103,".","_"),"(","_"),")","")</f>
        <v>dnt602_1_3_1</v>
      </c>
      <c r="AS103" t="str">
        <f>IF(LEN(X103)=0,"",X103)</f>
        <v/>
      </c>
    </row>
    <row r="104" spans="2:45" x14ac:dyDescent="0.35">
      <c r="B104" s="37" t="s">
        <v>560</v>
      </c>
      <c r="C104" s="37"/>
      <c r="D104" s="13"/>
      <c r="E104" s="13"/>
      <c r="F104" s="13"/>
      <c r="G104" s="13"/>
      <c r="H104" s="453"/>
      <c r="I104" s="138"/>
      <c r="J104" s="133"/>
      <c r="K104" s="101"/>
      <c r="L104" s="889"/>
      <c r="M104" s="890"/>
      <c r="N104" s="4"/>
      <c r="O104" s="75"/>
      <c r="X104" s="817"/>
    </row>
    <row r="105" spans="2:45" x14ac:dyDescent="0.35">
      <c r="B105" s="412" t="s">
        <v>562</v>
      </c>
      <c r="C105" s="412"/>
      <c r="D105" s="13"/>
      <c r="E105" s="13"/>
      <c r="F105" s="13"/>
      <c r="G105" s="13"/>
      <c r="H105" s="453"/>
      <c r="I105" s="30" t="s">
        <v>562</v>
      </c>
      <c r="J105" s="4"/>
      <c r="K105" s="43"/>
      <c r="L105" s="838" t="s">
        <v>563</v>
      </c>
      <c r="M105" s="818">
        <v>4</v>
      </c>
      <c r="N105" s="4"/>
      <c r="O105" s="832">
        <f>M105*S105*W105</f>
        <v>4</v>
      </c>
      <c r="P105" t="b">
        <v>1</v>
      </c>
      <c r="Q105" t="b">
        <v>0</v>
      </c>
      <c r="R105" t="b">
        <v>0</v>
      </c>
      <c r="S105" t="b">
        <v>1</v>
      </c>
      <c r="T105" t="b">
        <v>0</v>
      </c>
      <c r="W105" s="17" t="b">
        <v>1</v>
      </c>
      <c r="X105" s="817"/>
      <c r="AL105" t="str">
        <f>SUBSTITUTE(SUBSTITUTE(SUBSTITUTE("dpa"&amp;$B105&amp;$C105&amp;$D105&amp;$E105,".","_"),"(","_"),")","")</f>
        <v>dpa602_1_3_2</v>
      </c>
      <c r="AM105">
        <f>M105</f>
        <v>4</v>
      </c>
      <c r="AN105" t="str">
        <f>SUBSTITUTE(SUBSTITUTE(SUBSTITUTE("dpc"&amp;$B105&amp;$C105&amp;$D105&amp;$E105,".","_"),"(","_"),")","")</f>
        <v>dpc602_1_3_2</v>
      </c>
      <c r="AO105">
        <f>O105</f>
        <v>4</v>
      </c>
      <c r="AP105" t="str">
        <f>SUBSTITUTE(SUBSTITUTE(SUBSTITUTE("dch"&amp;$B105&amp;$C105&amp;$D105&amp;$E105,".","_"),"(","_"),")","")</f>
        <v>dch602_1_3_2</v>
      </c>
      <c r="AQ105" t="b">
        <f>IF(LEN(W105)=0,"",W105)</f>
        <v>1</v>
      </c>
      <c r="AR105" t="str">
        <f>SUBSTITUTE(SUBSTITUTE(SUBSTITUTE("dnt"&amp;$B105&amp;$C105&amp;$D105&amp;$E105,".","_"),"(","_"),")","")</f>
        <v>dnt602_1_3_2</v>
      </c>
      <c r="AS105" t="str">
        <f>IF(LEN(X105)=0,"",X105)</f>
        <v/>
      </c>
    </row>
    <row r="106" spans="2:45" ht="15" thickBot="1" x14ac:dyDescent="0.4">
      <c r="B106" s="412" t="s">
        <v>562</v>
      </c>
      <c r="C106" s="412"/>
      <c r="D106" s="13"/>
      <c r="E106" s="13"/>
      <c r="F106" s="13"/>
      <c r="G106" s="13"/>
      <c r="H106" s="453"/>
      <c r="I106" s="30"/>
      <c r="J106" s="4"/>
      <c r="K106" s="43"/>
      <c r="L106" s="838"/>
      <c r="M106" s="818"/>
      <c r="N106" s="4"/>
      <c r="O106" s="832"/>
      <c r="X106" s="850"/>
    </row>
    <row r="107" spans="2:45" ht="15" thickTop="1" x14ac:dyDescent="0.35">
      <c r="B107" s="37" t="s">
        <v>564</v>
      </c>
      <c r="C107" s="13"/>
      <c r="D107" s="13"/>
      <c r="E107" s="13"/>
      <c r="F107" s="13"/>
      <c r="G107" s="13"/>
      <c r="H107" s="453"/>
      <c r="I107" s="106" t="s">
        <v>564</v>
      </c>
      <c r="J107" s="107"/>
      <c r="K107" s="108"/>
      <c r="L107" s="274" t="s">
        <v>565</v>
      </c>
      <c r="M107" s="267"/>
      <c r="N107" s="107"/>
      <c r="O107" s="308"/>
      <c r="P107" s="59"/>
      <c r="Q107" s="59"/>
      <c r="R107" s="59"/>
      <c r="S107" s="59"/>
      <c r="T107" s="59"/>
      <c r="U107" s="59"/>
      <c r="V107" s="59"/>
      <c r="W107" s="59"/>
      <c r="X107" s="59"/>
    </row>
    <row r="108" spans="2:45" x14ac:dyDescent="0.35">
      <c r="B108" s="412" t="s">
        <v>566</v>
      </c>
      <c r="C108" s="412"/>
      <c r="D108" s="13"/>
      <c r="E108" s="13"/>
      <c r="F108" s="13"/>
      <c r="G108" s="13"/>
      <c r="H108" s="453"/>
      <c r="I108" s="30" t="s">
        <v>566</v>
      </c>
      <c r="J108" s="4"/>
      <c r="K108" s="43"/>
      <c r="L108" s="838" t="s">
        <v>567</v>
      </c>
      <c r="M108" s="40"/>
      <c r="N108" s="4"/>
      <c r="O108" s="75"/>
    </row>
    <row r="109" spans="2:45" x14ac:dyDescent="0.35">
      <c r="B109" s="412" t="s">
        <v>566</v>
      </c>
      <c r="C109" s="412"/>
      <c r="D109" s="13"/>
      <c r="E109" s="13"/>
      <c r="F109" s="13"/>
      <c r="G109" s="13"/>
      <c r="H109" s="453"/>
      <c r="I109" s="30"/>
      <c r="J109" s="4"/>
      <c r="K109" s="43"/>
      <c r="L109" s="838"/>
      <c r="M109" s="40"/>
      <c r="N109" s="4"/>
      <c r="O109" s="75"/>
    </row>
    <row r="110" spans="2:45" x14ac:dyDescent="0.35">
      <c r="B110" s="412" t="s">
        <v>566</v>
      </c>
      <c r="C110" s="412"/>
      <c r="D110" s="13"/>
      <c r="E110" s="13"/>
      <c r="F110" s="13"/>
      <c r="G110" s="13"/>
      <c r="H110" s="453"/>
      <c r="I110" s="30"/>
      <c r="J110" s="4"/>
      <c r="K110" s="43"/>
      <c r="L110" s="838"/>
      <c r="M110" s="40"/>
      <c r="N110" s="4"/>
      <c r="O110" s="75"/>
    </row>
    <row r="111" spans="2:45" x14ac:dyDescent="0.35">
      <c r="B111" s="412" t="s">
        <v>566</v>
      </c>
      <c r="C111" s="13" t="s">
        <v>256</v>
      </c>
      <c r="D111" s="13"/>
      <c r="E111" s="13"/>
      <c r="F111" s="13"/>
      <c r="G111" s="13"/>
      <c r="H111" s="453"/>
      <c r="I111" s="30"/>
      <c r="J111" s="19" t="s">
        <v>256</v>
      </c>
      <c r="K111" s="43"/>
      <c r="L111" s="814" t="s">
        <v>568</v>
      </c>
      <c r="M111" s="818">
        <v>6</v>
      </c>
      <c r="N111" s="4"/>
      <c r="O111" s="832">
        <f>M111*S111*W111</f>
        <v>0</v>
      </c>
      <c r="P111" t="b">
        <v>1</v>
      </c>
      <c r="Q111" t="b">
        <v>0</v>
      </c>
      <c r="R111" t="b">
        <v>0</v>
      </c>
      <c r="S111" t="b">
        <f>OR(AZ33=2,AZ33=7)</f>
        <v>0</v>
      </c>
      <c r="T111" t="b">
        <f>AND(NOT(S111),W111=TRUE)</f>
        <v>0</v>
      </c>
      <c r="W111" s="17"/>
      <c r="X111" s="817"/>
      <c r="AC111" t="b">
        <f>OR(AD111:AE111)</f>
        <v>0</v>
      </c>
      <c r="AD111" t="b">
        <f>T111</f>
        <v>0</v>
      </c>
      <c r="AL111" t="str">
        <f>SUBSTITUTE(SUBSTITUTE(SUBSTITUTE("dpa"&amp;$B111&amp;$C111&amp;$D111&amp;$E111,".","_"),"(","_"),")","")</f>
        <v>dpa602_1_4_1_1</v>
      </c>
      <c r="AM111">
        <f>M111</f>
        <v>6</v>
      </c>
      <c r="AN111" t="str">
        <f>SUBSTITUTE(SUBSTITUTE(SUBSTITUTE("dpc"&amp;$B111&amp;$C111&amp;$D111&amp;$E111,".","_"),"(","_"),")","")</f>
        <v>dpc602_1_4_1_1</v>
      </c>
      <c r="AO111">
        <f>O111</f>
        <v>0</v>
      </c>
      <c r="AP111" t="str">
        <f>SUBSTITUTE(SUBSTITUTE(SUBSTITUTE("dch"&amp;$B111&amp;$C111&amp;$D111&amp;$E111,".","_"),"(","_"),")","")</f>
        <v>dch602_1_4_1_1</v>
      </c>
      <c r="AQ111" t="str">
        <f>IF(LEN(W111)=0,"",W111)</f>
        <v/>
      </c>
      <c r="AR111" t="str">
        <f>SUBSTITUTE(SUBSTITUTE(SUBSTITUTE("dnt"&amp;$B111&amp;$C111&amp;$D111&amp;$E111,".","_"),"(","_"),")","")</f>
        <v>dnt602_1_4_1_1</v>
      </c>
      <c r="AS111" t="str">
        <f>IF(LEN(X111)=0,"",X111)</f>
        <v/>
      </c>
    </row>
    <row r="112" spans="2:45" x14ac:dyDescent="0.35">
      <c r="B112" s="412" t="s">
        <v>566</v>
      </c>
      <c r="C112" s="13" t="s">
        <v>256</v>
      </c>
      <c r="D112" s="13"/>
      <c r="E112" s="13"/>
      <c r="F112" s="13"/>
      <c r="G112" s="13"/>
      <c r="H112" s="453"/>
      <c r="I112" s="30"/>
      <c r="J112" s="133"/>
      <c r="K112" s="101"/>
      <c r="L112" s="815"/>
      <c r="M112" s="819"/>
      <c r="N112" s="133"/>
      <c r="O112" s="824"/>
      <c r="X112" s="817"/>
    </row>
    <row r="113" spans="2:45" x14ac:dyDescent="0.35">
      <c r="B113" s="412" t="s">
        <v>566</v>
      </c>
      <c r="C113" s="13" t="s">
        <v>258</v>
      </c>
      <c r="D113" s="13"/>
      <c r="E113" s="13"/>
      <c r="F113" s="13"/>
      <c r="G113" s="13"/>
      <c r="H113" s="453"/>
      <c r="I113" s="138"/>
      <c r="J113" s="129" t="s">
        <v>258</v>
      </c>
      <c r="K113" s="101"/>
      <c r="L113" s="228" t="s">
        <v>569</v>
      </c>
      <c r="M113" s="458" t="str">
        <f>IF(R113,"Mandatory","N/A")</f>
        <v>N/A</v>
      </c>
      <c r="N113" s="4"/>
      <c r="O113" s="75"/>
      <c r="P113" t="b">
        <v>1</v>
      </c>
      <c r="Q113" t="b">
        <v>0</v>
      </c>
      <c r="R113" t="b">
        <f>S113</f>
        <v>0</v>
      </c>
      <c r="S113" t="b">
        <f>OR(AZ33=2,AZ33=7)</f>
        <v>0</v>
      </c>
      <c r="T113" t="b">
        <f>AND(NOT(S113),LEN(W113)&gt;0)</f>
        <v>0</v>
      </c>
      <c r="U113" t="str">
        <f>SUBSTITUTE(SUBSTITUTE(SUBSTITUTE("dd"&amp;B113&amp;C113&amp;D113&amp;E113&amp;F113,".","_"),"(","_"),")","")</f>
        <v>dd602_1_4_1_2</v>
      </c>
      <c r="W113" s="9"/>
      <c r="X113" s="36"/>
      <c r="AC113" t="b">
        <f>OR(AD113:AE113)</f>
        <v>0</v>
      </c>
      <c r="AD113" t="b">
        <f>T113</f>
        <v>0</v>
      </c>
      <c r="AE113" t="b">
        <f>AND(R113,NOT(W113="Met"),NOT(W113="N/A"))</f>
        <v>0</v>
      </c>
      <c r="AL113" t="str">
        <f>SUBSTITUTE(SUBSTITUTE(SUBSTITUTE("dpa"&amp;$B113&amp;$C113&amp;$D113&amp;$E113,".","_"),"(","_"),")","")</f>
        <v>dpa602_1_4_1_2</v>
      </c>
      <c r="AM113" t="str">
        <f>M113</f>
        <v>N/A</v>
      </c>
      <c r="AP113" t="str">
        <f>SUBSTITUTE(SUBSTITUTE(SUBSTITUTE("dch"&amp;$B113&amp;$C113&amp;$D113&amp;$E113,".","_"),"(","_"),")","")</f>
        <v>dch602_1_4_1_2</v>
      </c>
      <c r="AQ113" t="str">
        <f>IF(LEN(W113)=0,"",W113)</f>
        <v/>
      </c>
      <c r="AR113" t="str">
        <f>SUBSTITUTE(SUBSTITUTE(SUBSTITUTE("dnt"&amp;$B113&amp;$C113&amp;$D113&amp;$E113,".","_"),"(","_"),")","")</f>
        <v>dnt602_1_4_1_2</v>
      </c>
      <c r="AS113" t="str">
        <f>IF(LEN(X113)=0,"",X113)</f>
        <v/>
      </c>
    </row>
    <row r="114" spans="2:45" ht="15" customHeight="1" x14ac:dyDescent="0.35">
      <c r="B114" s="37" t="s">
        <v>570</v>
      </c>
      <c r="C114" s="13"/>
      <c r="D114" s="13"/>
      <c r="E114" s="13"/>
      <c r="F114" s="13"/>
      <c r="G114" s="13"/>
      <c r="H114" s="453"/>
      <c r="I114" s="30" t="s">
        <v>570</v>
      </c>
      <c r="J114" s="4"/>
      <c r="K114" s="43"/>
      <c r="L114" s="838" t="s">
        <v>571</v>
      </c>
      <c r="M114" s="40"/>
      <c r="N114" s="4"/>
      <c r="O114" s="75"/>
    </row>
    <row r="115" spans="2:45" x14ac:dyDescent="0.35">
      <c r="B115" s="37" t="s">
        <v>570</v>
      </c>
      <c r="C115" s="13"/>
      <c r="D115" s="13"/>
      <c r="E115" s="13"/>
      <c r="F115" s="13"/>
      <c r="G115" s="13"/>
      <c r="H115" s="453"/>
      <c r="I115" s="30"/>
      <c r="J115" s="4"/>
      <c r="K115" s="43"/>
      <c r="L115" s="838"/>
      <c r="M115" s="40"/>
      <c r="N115" s="4"/>
      <c r="O115" s="75"/>
    </row>
    <row r="116" spans="2:45" x14ac:dyDescent="0.35">
      <c r="B116" s="37" t="s">
        <v>570</v>
      </c>
      <c r="C116" s="13"/>
      <c r="D116" s="13"/>
      <c r="E116" s="13"/>
      <c r="F116" s="13"/>
      <c r="G116" s="13"/>
      <c r="H116" s="453"/>
      <c r="I116" s="30"/>
      <c r="J116" s="4"/>
      <c r="K116" s="43"/>
      <c r="L116" s="838"/>
      <c r="M116" s="40"/>
      <c r="N116" s="4"/>
      <c r="O116" s="75"/>
    </row>
    <row r="117" spans="2:45" ht="15" customHeight="1" x14ac:dyDescent="0.35">
      <c r="B117" s="37" t="s">
        <v>570</v>
      </c>
      <c r="C117" s="13" t="s">
        <v>256</v>
      </c>
      <c r="D117" s="13"/>
      <c r="E117" s="13"/>
      <c r="F117" s="13"/>
      <c r="G117" s="13"/>
      <c r="H117" s="453"/>
      <c r="I117" s="30"/>
      <c r="J117" s="19" t="s">
        <v>256</v>
      </c>
      <c r="K117" s="43"/>
      <c r="L117" s="814" t="s">
        <v>3041</v>
      </c>
      <c r="M117" s="818">
        <v>8</v>
      </c>
      <c r="N117" s="4"/>
      <c r="O117" s="832">
        <f>M117*S117*W117</f>
        <v>0</v>
      </c>
      <c r="P117" t="b">
        <v>1</v>
      </c>
      <c r="Q117" t="b">
        <v>0</v>
      </c>
      <c r="R117" t="b">
        <v>0</v>
      </c>
      <c r="S117" t="b">
        <f>OR(AZ33=3,AZ33=7)</f>
        <v>1</v>
      </c>
      <c r="T117" t="b">
        <f>AND(NOT(S117),W117=TRUE)</f>
        <v>0</v>
      </c>
      <c r="W117" s="17"/>
      <c r="X117" s="817"/>
      <c r="AC117" t="b">
        <f>OR(AD117:AE117)</f>
        <v>0</v>
      </c>
      <c r="AD117" t="b">
        <f>T117</f>
        <v>0</v>
      </c>
      <c r="AL117" t="str">
        <f>SUBSTITUTE(SUBSTITUTE(SUBSTITUTE("dpa"&amp;$B117&amp;$C117&amp;$D117&amp;$E117,".","_"),"(","_"),")","")</f>
        <v>dpa602_1_4_2_1</v>
      </c>
      <c r="AM117">
        <f>M117</f>
        <v>8</v>
      </c>
      <c r="AN117" t="str">
        <f>SUBSTITUTE(SUBSTITUTE(SUBSTITUTE("dpc"&amp;$B117&amp;$C117&amp;$D117&amp;$E117,".","_"),"(","_"),")","")</f>
        <v>dpc602_1_4_2_1</v>
      </c>
      <c r="AO117">
        <f>O117</f>
        <v>0</v>
      </c>
      <c r="AP117" t="str">
        <f>SUBSTITUTE(SUBSTITUTE(SUBSTITUTE("dch"&amp;$B117&amp;$C117&amp;$D117&amp;$E117,".","_"),"(","_"),")","")</f>
        <v>dch602_1_4_2_1</v>
      </c>
      <c r="AQ117" t="str">
        <f>IF(LEN(W117)=0,"",W117)</f>
        <v/>
      </c>
      <c r="AR117" t="str">
        <f>SUBSTITUTE(SUBSTITUTE(SUBSTITUTE("dnt"&amp;$B117&amp;$C117&amp;$D117&amp;$E117,".","_"),"(","_"),")","")</f>
        <v>dnt602_1_4_2_1</v>
      </c>
      <c r="AS117" t="str">
        <f>IF(LEN(X117)=0,"",X117)</f>
        <v/>
      </c>
    </row>
    <row r="118" spans="2:45" x14ac:dyDescent="0.35">
      <c r="B118" s="37" t="s">
        <v>570</v>
      </c>
      <c r="C118" s="13" t="s">
        <v>256</v>
      </c>
      <c r="D118" s="13"/>
      <c r="E118" s="13"/>
      <c r="F118" s="13"/>
      <c r="G118" s="13"/>
      <c r="H118" s="453"/>
      <c r="I118" s="30"/>
      <c r="J118" s="133"/>
      <c r="K118" s="101"/>
      <c r="L118" s="815"/>
      <c r="M118" s="819"/>
      <c r="N118" s="133"/>
      <c r="O118" s="824"/>
      <c r="X118" s="817"/>
    </row>
    <row r="119" spans="2:45" x14ac:dyDescent="0.35">
      <c r="B119" s="37" t="s">
        <v>570</v>
      </c>
      <c r="C119" s="13" t="s">
        <v>258</v>
      </c>
      <c r="D119" s="13"/>
      <c r="E119" s="13"/>
      <c r="F119" s="13"/>
      <c r="G119" s="13"/>
      <c r="H119" s="453"/>
      <c r="I119" s="30"/>
      <c r="J119" s="19" t="s">
        <v>258</v>
      </c>
      <c r="K119" s="43"/>
      <c r="L119" s="814" t="s">
        <v>3042</v>
      </c>
      <c r="M119" s="885" t="str">
        <f>IF(R119,"Mandatory","N/A")</f>
        <v>Mandatory</v>
      </c>
      <c r="N119" s="4"/>
      <c r="O119" s="75"/>
      <c r="P119" t="b">
        <v>1</v>
      </c>
      <c r="Q119" t="b">
        <v>0</v>
      </c>
      <c r="R119" t="b">
        <f>S119</f>
        <v>1</v>
      </c>
      <c r="S119" t="b">
        <f>OR(AZ33=3,AZ33=7)</f>
        <v>1</v>
      </c>
      <c r="T119" t="b">
        <f>AND(NOT(S119),LEN(W119)&gt;0)</f>
        <v>0</v>
      </c>
      <c r="U119" t="str">
        <f>SUBSTITUTE(SUBSTITUTE(SUBSTITUTE("dd"&amp;B119&amp;C119&amp;D119&amp;E119&amp;F119,".","_"),"(","_"),")","")</f>
        <v>dd602_1_4_2_2</v>
      </c>
      <c r="W119" s="9" t="s">
        <v>3038</v>
      </c>
      <c r="X119" s="817"/>
      <c r="AC119" t="b">
        <f>OR(AD119:AE119)</f>
        <v>0</v>
      </c>
      <c r="AD119" t="b">
        <f>T119</f>
        <v>0</v>
      </c>
      <c r="AE119" t="b">
        <f>AND(R119,NOT(W119="Met"),NOT(W119="N/A"))</f>
        <v>0</v>
      </c>
      <c r="AL119" t="str">
        <f>SUBSTITUTE(SUBSTITUTE(SUBSTITUTE("dpa"&amp;$B119&amp;$C119&amp;$D119&amp;$E119,".","_"),"(","_"),")","")</f>
        <v>dpa602_1_4_2_2</v>
      </c>
      <c r="AM119" t="str">
        <f>M119</f>
        <v>Mandatory</v>
      </c>
      <c r="AP119" t="str">
        <f>SUBSTITUTE(SUBSTITUTE(SUBSTITUTE("dch"&amp;$B119&amp;$C119&amp;$D119&amp;$E119,".","_"),"(","_"),")","")</f>
        <v>dch602_1_4_2_2</v>
      </c>
      <c r="AQ119" t="str">
        <f>IF(LEN(W119)=0,"",W119)</f>
        <v>Met</v>
      </c>
      <c r="AR119" t="str">
        <f>SUBSTITUTE(SUBSTITUTE(SUBSTITUTE("dnt"&amp;$B119&amp;$C119&amp;$D119&amp;$E119,".","_"),"(","_"),")","")</f>
        <v>dnt602_1_4_2_2</v>
      </c>
      <c r="AS119" t="str">
        <f>IF(LEN(X119)=0,"",X119)</f>
        <v/>
      </c>
    </row>
    <row r="120" spans="2:45" ht="15" thickBot="1" x14ac:dyDescent="0.4">
      <c r="B120" s="37" t="s">
        <v>570</v>
      </c>
      <c r="C120" s="13" t="s">
        <v>258</v>
      </c>
      <c r="D120" s="13"/>
      <c r="E120" s="13"/>
      <c r="F120" s="13"/>
      <c r="G120" s="13"/>
      <c r="H120" s="453"/>
      <c r="I120" s="30"/>
      <c r="J120" s="4"/>
      <c r="K120" s="43"/>
      <c r="L120" s="814"/>
      <c r="M120" s="885"/>
      <c r="N120" s="4"/>
      <c r="O120" s="75"/>
      <c r="X120" s="850"/>
    </row>
    <row r="121" spans="2:45" ht="15" thickTop="1" x14ac:dyDescent="0.35">
      <c r="B121" s="37" t="s">
        <v>572</v>
      </c>
      <c r="C121" s="13"/>
      <c r="D121" s="13"/>
      <c r="E121" s="13"/>
      <c r="F121" s="13"/>
      <c r="G121" s="13"/>
      <c r="H121" s="453"/>
      <c r="I121" s="106" t="s">
        <v>572</v>
      </c>
      <c r="J121" s="107"/>
      <c r="K121" s="108"/>
      <c r="L121" s="574" t="s">
        <v>573</v>
      </c>
      <c r="M121" s="267"/>
      <c r="N121" s="107"/>
      <c r="O121" s="308"/>
      <c r="P121" s="59"/>
      <c r="Q121" s="59"/>
      <c r="R121" s="59"/>
      <c r="S121" s="59"/>
      <c r="T121" s="59"/>
      <c r="U121" s="59"/>
      <c r="V121" s="59"/>
      <c r="W121" s="59" t="s">
        <v>1103</v>
      </c>
      <c r="X121" s="59"/>
    </row>
    <row r="122" spans="2:45" x14ac:dyDescent="0.35">
      <c r="B122" s="37" t="s">
        <v>572</v>
      </c>
      <c r="C122" s="13"/>
      <c r="D122" s="13"/>
      <c r="E122" s="13"/>
      <c r="F122" s="13"/>
      <c r="G122" s="13"/>
      <c r="H122" s="453"/>
      <c r="I122" s="30"/>
      <c r="J122" s="4"/>
      <c r="K122" s="43"/>
      <c r="L122" s="276" t="s">
        <v>3033</v>
      </c>
      <c r="M122" s="40"/>
      <c r="N122" s="4"/>
      <c r="O122" s="75"/>
      <c r="P122" t="b">
        <v>1</v>
      </c>
      <c r="Q122" t="b">
        <v>0</v>
      </c>
      <c r="R122" t="b">
        <v>0</v>
      </c>
      <c r="S122" t="b">
        <v>1</v>
      </c>
      <c r="T122" t="b">
        <v>0</v>
      </c>
      <c r="U122" t="str">
        <f>SUBSTITUTE(SUBSTITUTE(SUBSTITUTE("dd"&amp;B122&amp;C122&amp;D122&amp;E122&amp;F122,".","_"),"(","_"),")","")</f>
        <v>dd602_1_5</v>
      </c>
      <c r="W122" s="9"/>
      <c r="X122" s="817"/>
      <c r="AP122" t="str">
        <f>SUBSTITUTE(SUBSTITUTE(SUBSTITUTE("dch"&amp;$B122&amp;$C122&amp;$D122&amp;$E122,".","_"),"(","_"),")","")</f>
        <v>dch602_1_5</v>
      </c>
      <c r="AQ122" t="str">
        <f>IF(LEN(W122)=0,"",W122)</f>
        <v/>
      </c>
      <c r="AR122" t="str">
        <f>SUBSTITUTE(SUBSTITUTE(SUBSTITUTE("dnt"&amp;$B122&amp;$C122&amp;$D122&amp;$E122,".","_"),"(","_"),")","")</f>
        <v>dnt602_1_5</v>
      </c>
      <c r="AS122" t="str">
        <f>IF(LEN(X122)=0,"",X122)</f>
        <v/>
      </c>
    </row>
    <row r="123" spans="2:45" x14ac:dyDescent="0.35">
      <c r="B123" s="37" t="s">
        <v>572</v>
      </c>
      <c r="C123" s="13" t="s">
        <v>256</v>
      </c>
      <c r="D123" s="13"/>
      <c r="E123" s="13"/>
      <c r="F123" s="13"/>
      <c r="G123" s="13"/>
      <c r="H123" s="453"/>
      <c r="I123" s="30"/>
      <c r="J123" s="19" t="s">
        <v>256</v>
      </c>
      <c r="K123" s="43"/>
      <c r="L123" s="814" t="s">
        <v>574</v>
      </c>
      <c r="M123" s="818">
        <v>4</v>
      </c>
      <c r="N123" s="4"/>
      <c r="O123" s="832">
        <f ca="1">M123*S123*W123</f>
        <v>0</v>
      </c>
      <c r="P123" t="b">
        <v>1</v>
      </c>
      <c r="Q123" t="b">
        <v>0</v>
      </c>
      <c r="R123" t="b">
        <v>0</v>
      </c>
      <c r="S123" t="b">
        <f ca="1">IF(IFERROR(MATCH(W122,INDIRECT(U122),0),0)=3,TRUE,FALSE)</f>
        <v>0</v>
      </c>
      <c r="T123" t="b">
        <f ca="1">AND(NOT(S123),W123=TRUE)</f>
        <v>0</v>
      </c>
      <c r="W123" s="17"/>
      <c r="X123" s="817"/>
      <c r="AC123" t="b">
        <f ca="1">OR(AD123:AE123)</f>
        <v>0</v>
      </c>
      <c r="AD123" t="b">
        <f ca="1">T123</f>
        <v>0</v>
      </c>
      <c r="AE123" t="b">
        <v>0</v>
      </c>
      <c r="AL123" t="str">
        <f>SUBSTITUTE(SUBSTITUTE(SUBSTITUTE("dpa"&amp;$B123&amp;$C123&amp;$D123&amp;$E123,".","_"),"(","_"),")","")</f>
        <v>dpa602_1_5_1</v>
      </c>
      <c r="AM123">
        <f>M123</f>
        <v>4</v>
      </c>
      <c r="AN123" t="str">
        <f>SUBSTITUTE(SUBSTITUTE(SUBSTITUTE("dpc"&amp;$B123&amp;$C123&amp;$D123&amp;$E123,".","_"),"(","_"),")","")</f>
        <v>dpc602_1_5_1</v>
      </c>
      <c r="AO123">
        <f ca="1">O123</f>
        <v>0</v>
      </c>
      <c r="AP123" t="str">
        <f>SUBSTITUTE(SUBSTITUTE(SUBSTITUTE("dch"&amp;$B123&amp;$C123&amp;$D123&amp;$E123,".","_"),"(","_"),")","")</f>
        <v>dch602_1_5_1</v>
      </c>
      <c r="AQ123" t="str">
        <f>IF(LEN(W123)=0,"",W123)</f>
        <v/>
      </c>
    </row>
    <row r="124" spans="2:45" x14ac:dyDescent="0.35">
      <c r="B124" s="37" t="s">
        <v>572</v>
      </c>
      <c r="C124" s="13" t="s">
        <v>256</v>
      </c>
      <c r="D124" s="13"/>
      <c r="E124" s="13"/>
      <c r="F124" s="13"/>
      <c r="G124" s="13"/>
      <c r="H124" s="453"/>
      <c r="I124" s="30"/>
      <c r="J124" s="133"/>
      <c r="K124" s="101"/>
      <c r="L124" s="815"/>
      <c r="M124" s="819"/>
      <c r="N124" s="133"/>
      <c r="O124" s="824"/>
      <c r="X124" s="817"/>
    </row>
    <row r="125" spans="2:45" x14ac:dyDescent="0.35">
      <c r="B125" s="37" t="s">
        <v>572</v>
      </c>
      <c r="C125" s="13" t="s">
        <v>258</v>
      </c>
      <c r="D125" s="13"/>
      <c r="E125" s="13"/>
      <c r="F125" s="13"/>
      <c r="G125" s="13"/>
      <c r="H125" s="453"/>
      <c r="I125" s="30"/>
      <c r="J125" s="19" t="s">
        <v>258</v>
      </c>
      <c r="K125" s="43"/>
      <c r="L125" s="814" t="s">
        <v>575</v>
      </c>
      <c r="M125" s="818">
        <v>4</v>
      </c>
      <c r="N125" s="4"/>
      <c r="O125" s="832">
        <f ca="1">M125*S125*W125</f>
        <v>0</v>
      </c>
      <c r="P125" t="b">
        <v>1</v>
      </c>
      <c r="Q125" t="b">
        <v>0</v>
      </c>
      <c r="R125" t="b">
        <v>0</v>
      </c>
      <c r="S125" t="b">
        <f ca="1">IF(IFERROR(MATCH(W122,INDIRECT(U122),0),0)=4,TRUE,FALSE)</f>
        <v>0</v>
      </c>
      <c r="T125" t="b">
        <f ca="1">AND(NOT(S125),W125=TRUE)</f>
        <v>0</v>
      </c>
      <c r="W125" s="17"/>
      <c r="X125" s="817"/>
      <c r="AC125" t="b">
        <f ca="1">OR(AD125:AE125)</f>
        <v>0</v>
      </c>
      <c r="AD125" t="b">
        <f ca="1">T125</f>
        <v>0</v>
      </c>
      <c r="AE125" t="b">
        <v>0</v>
      </c>
      <c r="AL125" t="str">
        <f>SUBSTITUTE(SUBSTITUTE(SUBSTITUTE("dpa"&amp;$B125&amp;$C125&amp;$D125&amp;$E125,".","_"),"(","_"),")","")</f>
        <v>dpa602_1_5_2</v>
      </c>
      <c r="AM125">
        <f>M125</f>
        <v>4</v>
      </c>
      <c r="AN125" t="str">
        <f>SUBSTITUTE(SUBSTITUTE(SUBSTITUTE("dpc"&amp;$B125&amp;$C125&amp;$D125&amp;$E125,".","_"),"(","_"),")","")</f>
        <v>dpc602_1_5_2</v>
      </c>
      <c r="AO125">
        <f ca="1">O125</f>
        <v>0</v>
      </c>
      <c r="AP125" t="str">
        <f>SUBSTITUTE(SUBSTITUTE(SUBSTITUTE("dch"&amp;$B125&amp;$C125&amp;$D125&amp;$E125,".","_"),"(","_"),")","")</f>
        <v>dch602_1_5_2</v>
      </c>
      <c r="AQ125" t="str">
        <f>IF(LEN(W125)=0,"",W125)</f>
        <v/>
      </c>
    </row>
    <row r="126" spans="2:45" x14ac:dyDescent="0.35">
      <c r="B126" s="37" t="s">
        <v>572</v>
      </c>
      <c r="C126" s="13" t="s">
        <v>258</v>
      </c>
      <c r="D126" s="13"/>
      <c r="E126" s="13"/>
      <c r="F126" s="13"/>
      <c r="G126" s="13"/>
      <c r="H126" s="453"/>
      <c r="I126" s="30"/>
      <c r="J126" s="4"/>
      <c r="K126" s="43"/>
      <c r="L126" s="814"/>
      <c r="M126" s="818"/>
      <c r="N126" s="4"/>
      <c r="O126" s="832"/>
      <c r="X126" s="817"/>
    </row>
    <row r="127" spans="2:45" ht="15" thickBot="1" x14ac:dyDescent="0.4">
      <c r="B127" s="37" t="s">
        <v>572</v>
      </c>
      <c r="C127" s="13" t="s">
        <v>258</v>
      </c>
      <c r="D127" s="13"/>
      <c r="E127" s="13"/>
      <c r="F127" s="13"/>
      <c r="G127" s="13"/>
      <c r="H127" s="453"/>
      <c r="I127" s="30"/>
      <c r="J127" s="4"/>
      <c r="K127" s="43"/>
      <c r="L127" s="814"/>
      <c r="M127" s="818"/>
      <c r="N127" s="4"/>
      <c r="O127" s="832"/>
      <c r="X127" s="817"/>
    </row>
    <row r="128" spans="2:45" ht="15" customHeight="1" thickTop="1" x14ac:dyDescent="0.35">
      <c r="B128" s="37" t="s">
        <v>576</v>
      </c>
      <c r="C128" s="13"/>
      <c r="D128" s="13"/>
      <c r="E128" s="13"/>
      <c r="F128" s="13"/>
      <c r="G128" s="13"/>
      <c r="H128" s="453"/>
      <c r="I128" s="106" t="s">
        <v>576</v>
      </c>
      <c r="J128" s="107"/>
      <c r="K128" s="108"/>
      <c r="L128" s="837" t="s">
        <v>577</v>
      </c>
      <c r="M128" s="267"/>
      <c r="N128" s="107"/>
      <c r="O128" s="308"/>
      <c r="P128" s="59"/>
      <c r="Q128" s="59"/>
      <c r="R128" s="59"/>
      <c r="S128" s="59"/>
      <c r="T128" s="59"/>
      <c r="U128" s="59"/>
      <c r="V128" s="59"/>
      <c r="W128" s="59"/>
      <c r="X128" s="59"/>
    </row>
    <row r="129" spans="2:45" x14ac:dyDescent="0.35">
      <c r="B129" s="37" t="s">
        <v>576</v>
      </c>
      <c r="C129" s="13"/>
      <c r="D129" s="13"/>
      <c r="E129" s="13"/>
      <c r="F129" s="13"/>
      <c r="G129" s="13"/>
      <c r="H129" s="453"/>
      <c r="I129" s="30"/>
      <c r="J129" s="4"/>
      <c r="K129" s="43"/>
      <c r="L129" s="838"/>
      <c r="M129" s="40"/>
      <c r="N129" s="4"/>
      <c r="O129" s="75"/>
    </row>
    <row r="130" spans="2:45" x14ac:dyDescent="0.35">
      <c r="B130" s="37" t="s">
        <v>576</v>
      </c>
      <c r="C130" s="13"/>
      <c r="D130" s="13"/>
      <c r="E130" s="13"/>
      <c r="F130" s="13"/>
      <c r="G130" s="13"/>
      <c r="H130" s="453"/>
      <c r="I130" s="30"/>
      <c r="J130" s="4"/>
      <c r="K130" s="43"/>
      <c r="L130" s="276" t="s">
        <v>3033</v>
      </c>
      <c r="M130" s="40"/>
      <c r="N130" s="4"/>
      <c r="O130" s="75"/>
    </row>
    <row r="131" spans="2:45" x14ac:dyDescent="0.35">
      <c r="B131" s="37" t="s">
        <v>576</v>
      </c>
      <c r="C131" s="13" t="s">
        <v>256</v>
      </c>
      <c r="D131" s="13"/>
      <c r="E131" s="13"/>
      <c r="F131" s="13"/>
      <c r="G131" s="13"/>
      <c r="H131" s="453"/>
      <c r="I131" s="30"/>
      <c r="J131" s="19" t="s">
        <v>256</v>
      </c>
      <c r="K131" s="43"/>
      <c r="L131" s="814" t="s">
        <v>578</v>
      </c>
      <c r="M131" s="818">
        <v>2</v>
      </c>
      <c r="N131" s="4"/>
      <c r="O131" s="832">
        <f ca="1">M131*S131*W131</f>
        <v>0</v>
      </c>
      <c r="P131" t="b">
        <v>1</v>
      </c>
      <c r="Q131" t="b">
        <v>1</v>
      </c>
      <c r="R131" t="b">
        <v>0</v>
      </c>
      <c r="S131" t="b">
        <f ca="1">IF(IFERROR(MATCH(W122,INDIRECT(U122),0),0)=2,TRUE,FALSE)</f>
        <v>0</v>
      </c>
      <c r="T131" t="b">
        <f ca="1">AND(NOT(S131),W131=TRUE)</f>
        <v>0</v>
      </c>
      <c r="W131" s="17"/>
      <c r="X131" s="817"/>
      <c r="AC131" t="b">
        <f ca="1">OR(AD131:AE131)</f>
        <v>0</v>
      </c>
      <c r="AD131" t="b">
        <f ca="1">T131</f>
        <v>0</v>
      </c>
      <c r="AE131" t="b">
        <v>0</v>
      </c>
      <c r="AL131" t="str">
        <f>SUBSTITUTE(SUBSTITUTE(SUBSTITUTE("dpa"&amp;$B131&amp;$C131&amp;$D131&amp;$E131,".","_"),"(","_"),")","")</f>
        <v>dpa602_1_6_1</v>
      </c>
      <c r="AM131">
        <f>M131</f>
        <v>2</v>
      </c>
      <c r="AN131" t="str">
        <f>SUBSTITUTE(SUBSTITUTE(SUBSTITUTE("dpc"&amp;$B131&amp;$C131&amp;$D131&amp;$E131,".","_"),"(","_"),")","")</f>
        <v>dpc602_1_6_1</v>
      </c>
      <c r="AO131">
        <f ca="1">O131</f>
        <v>0</v>
      </c>
      <c r="AP131" t="str">
        <f>SUBSTITUTE(SUBSTITUTE(SUBSTITUTE("dch"&amp;$B131&amp;$C131&amp;$D131&amp;$E131,".","_"),"(","_"),")","")</f>
        <v>dch602_1_6_1</v>
      </c>
      <c r="AQ131" t="str">
        <f>IF(LEN(W131)=0,"",W131)</f>
        <v/>
      </c>
      <c r="AR131" t="str">
        <f>SUBSTITUTE(SUBSTITUTE(SUBSTITUTE("dnt"&amp;$B131&amp;$C131&amp;$D131&amp;$E131,".","_"),"(","_"),")","")</f>
        <v>dnt602_1_6_1</v>
      </c>
      <c r="AS131" t="str">
        <f>IF(LEN(X131)=0,"",X131)</f>
        <v/>
      </c>
    </row>
    <row r="132" spans="2:45" x14ac:dyDescent="0.35">
      <c r="B132" s="37" t="s">
        <v>576</v>
      </c>
      <c r="C132" s="13" t="s">
        <v>256</v>
      </c>
      <c r="D132" s="13"/>
      <c r="E132" s="13"/>
      <c r="F132" s="13"/>
      <c r="G132" s="13"/>
      <c r="H132" s="453"/>
      <c r="I132" s="30"/>
      <c r="J132" s="4"/>
      <c r="K132" s="43"/>
      <c r="L132" s="814"/>
      <c r="M132" s="818"/>
      <c r="N132" s="4"/>
      <c r="O132" s="832"/>
      <c r="X132" s="817"/>
    </row>
    <row r="133" spans="2:45" x14ac:dyDescent="0.35">
      <c r="B133" s="37" t="s">
        <v>576</v>
      </c>
      <c r="C133" s="13" t="s">
        <v>256</v>
      </c>
      <c r="D133" s="13"/>
      <c r="E133" s="13"/>
      <c r="F133" s="13"/>
      <c r="G133" s="13"/>
      <c r="H133" s="453"/>
      <c r="I133" s="30"/>
      <c r="J133" s="4"/>
      <c r="K133" s="43"/>
      <c r="L133" s="814"/>
      <c r="M133" s="818"/>
      <c r="N133" s="4"/>
      <c r="O133" s="832"/>
      <c r="X133" s="817"/>
    </row>
    <row r="134" spans="2:45" x14ac:dyDescent="0.35">
      <c r="B134" s="37" t="s">
        <v>576</v>
      </c>
      <c r="C134" s="13" t="s">
        <v>256</v>
      </c>
      <c r="D134" s="13"/>
      <c r="E134" s="13"/>
      <c r="F134" s="13"/>
      <c r="G134" s="13"/>
      <c r="H134" s="453"/>
      <c r="I134" s="30"/>
      <c r="J134" s="133"/>
      <c r="K134" s="101"/>
      <c r="L134" s="815"/>
      <c r="M134" s="819"/>
      <c r="N134" s="133"/>
      <c r="O134" s="824"/>
      <c r="X134" s="817"/>
    </row>
    <row r="135" spans="2:45" x14ac:dyDescent="0.35">
      <c r="B135" s="37" t="s">
        <v>576</v>
      </c>
      <c r="C135" s="13" t="s">
        <v>258</v>
      </c>
      <c r="D135" s="13"/>
      <c r="E135" s="13"/>
      <c r="F135" s="13"/>
      <c r="G135" s="13"/>
      <c r="H135" s="453"/>
      <c r="I135" s="30"/>
      <c r="J135" s="132" t="s">
        <v>258</v>
      </c>
      <c r="K135" s="119"/>
      <c r="L135" s="836" t="s">
        <v>579</v>
      </c>
      <c r="M135" s="822">
        <v>4</v>
      </c>
      <c r="N135" s="118"/>
      <c r="O135" s="823">
        <f ca="1">M135*S135*W135</f>
        <v>0</v>
      </c>
      <c r="P135" t="b">
        <v>1</v>
      </c>
      <c r="Q135" t="b">
        <v>1</v>
      </c>
      <c r="R135" t="b">
        <v>0</v>
      </c>
      <c r="S135" t="b">
        <f ca="1">IF(IFERROR(MATCH(W122,INDIRECT(U122),0),0)=3,TRUE,FALSE)</f>
        <v>0</v>
      </c>
      <c r="T135" t="b">
        <f ca="1">AND(NOT(S135),W135=TRUE)</f>
        <v>0</v>
      </c>
      <c r="W135" s="17"/>
      <c r="X135" s="817"/>
      <c r="AC135" t="b">
        <f ca="1">OR(AD135:AE135)</f>
        <v>0</v>
      </c>
      <c r="AD135" t="b">
        <f ca="1">T135</f>
        <v>0</v>
      </c>
      <c r="AE135" t="b">
        <v>0</v>
      </c>
      <c r="AL135" t="str">
        <f>SUBSTITUTE(SUBSTITUTE(SUBSTITUTE("dpa"&amp;$B135&amp;$C135&amp;$D135&amp;$E135,".","_"),"(","_"),")","")</f>
        <v>dpa602_1_6_2</v>
      </c>
      <c r="AM135">
        <f>M135</f>
        <v>4</v>
      </c>
      <c r="AN135" t="str">
        <f>SUBSTITUTE(SUBSTITUTE(SUBSTITUTE("dpc"&amp;$B135&amp;$C135&amp;$D135&amp;$E135,".","_"),"(","_"),")","")</f>
        <v>dpc602_1_6_2</v>
      </c>
      <c r="AO135">
        <f ca="1">O135</f>
        <v>0</v>
      </c>
      <c r="AP135" t="str">
        <f>SUBSTITUTE(SUBSTITUTE(SUBSTITUTE("dch"&amp;$B135&amp;$C135&amp;$D135&amp;$E135,".","_"),"(","_"),")","")</f>
        <v>dch602_1_6_2</v>
      </c>
      <c r="AQ135" t="str">
        <f>IF(LEN(W135)=0,"",W135)</f>
        <v/>
      </c>
    </row>
    <row r="136" spans="2:45" x14ac:dyDescent="0.35">
      <c r="B136" s="37" t="s">
        <v>576</v>
      </c>
      <c r="C136" s="13" t="s">
        <v>258</v>
      </c>
      <c r="D136" s="13"/>
      <c r="E136" s="13"/>
      <c r="F136" s="13"/>
      <c r="G136" s="13"/>
      <c r="H136" s="453"/>
      <c r="I136" s="30"/>
      <c r="J136" s="4"/>
      <c r="K136" s="43"/>
      <c r="L136" s="814"/>
      <c r="M136" s="818"/>
      <c r="N136" s="4"/>
      <c r="O136" s="832"/>
      <c r="X136" s="817"/>
    </row>
    <row r="137" spans="2:45" x14ac:dyDescent="0.35">
      <c r="B137" s="37" t="s">
        <v>576</v>
      </c>
      <c r="C137" s="13" t="s">
        <v>258</v>
      </c>
      <c r="D137" s="13"/>
      <c r="E137" s="13"/>
      <c r="F137" s="13"/>
      <c r="G137" s="13"/>
      <c r="H137" s="453"/>
      <c r="I137" s="30"/>
      <c r="J137" s="4"/>
      <c r="K137" s="43"/>
      <c r="L137" s="814"/>
      <c r="M137" s="818"/>
      <c r="N137" s="4"/>
      <c r="O137" s="832"/>
      <c r="X137" s="817"/>
    </row>
    <row r="138" spans="2:45" x14ac:dyDescent="0.35">
      <c r="B138" s="37" t="s">
        <v>576</v>
      </c>
      <c r="C138" s="13" t="s">
        <v>258</v>
      </c>
      <c r="D138" s="13"/>
      <c r="E138" s="13"/>
      <c r="F138" s="13"/>
      <c r="G138" s="13"/>
      <c r="H138" s="453"/>
      <c r="I138" s="30"/>
      <c r="J138" s="133"/>
      <c r="K138" s="101"/>
      <c r="L138" s="815"/>
      <c r="M138" s="819"/>
      <c r="N138" s="133"/>
      <c r="O138" s="824"/>
      <c r="X138" s="817"/>
    </row>
    <row r="139" spans="2:45" x14ac:dyDescent="0.35">
      <c r="B139" s="37" t="s">
        <v>576</v>
      </c>
      <c r="C139" s="13" t="s">
        <v>260</v>
      </c>
      <c r="D139" s="13"/>
      <c r="E139" s="13"/>
      <c r="F139" s="13"/>
      <c r="G139" s="13"/>
      <c r="H139" s="453"/>
      <c r="I139" s="30"/>
      <c r="J139" s="19" t="s">
        <v>260</v>
      </c>
      <c r="K139" s="43"/>
      <c r="L139" s="814" t="s">
        <v>580</v>
      </c>
      <c r="M139" s="818">
        <v>6</v>
      </c>
      <c r="N139" s="4"/>
      <c r="O139" s="832">
        <f ca="1">M139*S139*W139</f>
        <v>0</v>
      </c>
      <c r="P139" t="b">
        <v>1</v>
      </c>
      <c r="Q139" t="b">
        <v>1</v>
      </c>
      <c r="R139" t="b">
        <v>0</v>
      </c>
      <c r="S139" t="b">
        <f ca="1">IF(IFERROR(MATCH(W122,INDIRECT(U122),0),0)=4,TRUE,FALSE)</f>
        <v>0</v>
      </c>
      <c r="T139" t="b">
        <f ca="1">AND(NOT(S139),W139=TRUE)</f>
        <v>0</v>
      </c>
      <c r="W139" s="17"/>
      <c r="X139" s="817"/>
      <c r="AC139" t="b">
        <f ca="1">OR(AD139:AE139)</f>
        <v>0</v>
      </c>
      <c r="AD139" t="b">
        <f ca="1">T139</f>
        <v>0</v>
      </c>
      <c r="AE139" t="b">
        <v>0</v>
      </c>
      <c r="AL139" t="str">
        <f>SUBSTITUTE(SUBSTITUTE(SUBSTITUTE("dpa"&amp;$B139&amp;$C139&amp;$D139&amp;$E139,".","_"),"(","_"),")","")</f>
        <v>dpa602_1_6_3</v>
      </c>
      <c r="AM139">
        <f>M139</f>
        <v>6</v>
      </c>
      <c r="AN139" t="str">
        <f>SUBSTITUTE(SUBSTITUTE(SUBSTITUTE("dpc"&amp;$B139&amp;$C139&amp;$D139&amp;$E139,".","_"),"(","_"),")","")</f>
        <v>dpc602_1_6_3</v>
      </c>
      <c r="AO139">
        <f ca="1">O139</f>
        <v>0</v>
      </c>
      <c r="AP139" t="str">
        <f>SUBSTITUTE(SUBSTITUTE(SUBSTITUTE("dch"&amp;$B139&amp;$C139&amp;$D139&amp;$E139,".","_"),"(","_"),")","")</f>
        <v>dch602_1_6_3</v>
      </c>
      <c r="AQ139" t="str">
        <f>IF(LEN(W139)=0,"",W139)</f>
        <v/>
      </c>
    </row>
    <row r="140" spans="2:45" x14ac:dyDescent="0.35">
      <c r="B140" s="37" t="s">
        <v>576</v>
      </c>
      <c r="C140" s="13" t="s">
        <v>260</v>
      </c>
      <c r="D140" s="13"/>
      <c r="E140" s="13"/>
      <c r="F140" s="13"/>
      <c r="G140" s="13"/>
      <c r="H140" s="453"/>
      <c r="I140" s="30"/>
      <c r="J140" s="4"/>
      <c r="K140" s="43"/>
      <c r="L140" s="814"/>
      <c r="M140" s="818"/>
      <c r="N140" s="4"/>
      <c r="O140" s="832"/>
      <c r="X140" s="817"/>
    </row>
    <row r="141" spans="2:45" ht="15" thickBot="1" x14ac:dyDescent="0.4">
      <c r="B141" s="37" t="s">
        <v>576</v>
      </c>
      <c r="C141" s="13" t="s">
        <v>260</v>
      </c>
      <c r="D141" s="13"/>
      <c r="E141" s="13"/>
      <c r="F141" s="13"/>
      <c r="G141" s="13"/>
      <c r="H141" s="453"/>
      <c r="I141" s="30"/>
      <c r="J141" s="4"/>
      <c r="K141" s="43"/>
      <c r="L141" s="814"/>
      <c r="M141" s="818"/>
      <c r="N141" s="4"/>
      <c r="O141" s="832"/>
      <c r="X141" s="850"/>
    </row>
    <row r="142" spans="2:45" ht="15" thickTop="1" x14ac:dyDescent="0.35">
      <c r="B142" s="37" t="s">
        <v>581</v>
      </c>
      <c r="C142" s="13"/>
      <c r="D142" s="13"/>
      <c r="E142" s="13"/>
      <c r="F142" s="13"/>
      <c r="G142" s="13"/>
      <c r="H142" s="453"/>
      <c r="I142" s="106" t="s">
        <v>581</v>
      </c>
      <c r="J142" s="107"/>
      <c r="K142" s="108"/>
      <c r="L142" s="274" t="s">
        <v>582</v>
      </c>
      <c r="M142" s="267"/>
      <c r="N142" s="107"/>
      <c r="O142" s="308"/>
      <c r="P142" s="59"/>
      <c r="Q142" s="59"/>
      <c r="R142" s="59"/>
      <c r="S142" s="59"/>
      <c r="T142" s="59"/>
      <c r="U142" s="59"/>
      <c r="V142" s="59"/>
      <c r="W142" s="59"/>
      <c r="X142" s="59"/>
    </row>
    <row r="143" spans="2:45" x14ac:dyDescent="0.35">
      <c r="B143" s="412" t="s">
        <v>583</v>
      </c>
      <c r="C143" s="412"/>
      <c r="D143" s="13"/>
      <c r="E143" s="13"/>
      <c r="F143" s="13"/>
      <c r="G143" s="13"/>
      <c r="H143" s="453"/>
      <c r="I143" s="30" t="s">
        <v>583</v>
      </c>
      <c r="J143" s="4"/>
      <c r="K143" s="43"/>
      <c r="L143" s="95" t="s">
        <v>584</v>
      </c>
      <c r="M143" s="40"/>
      <c r="N143" s="4"/>
      <c r="O143" s="75"/>
    </row>
    <row r="144" spans="2:45" x14ac:dyDescent="0.35">
      <c r="B144" s="412" t="s">
        <v>583</v>
      </c>
      <c r="C144" s="13" t="s">
        <v>256</v>
      </c>
      <c r="D144" s="13"/>
      <c r="E144" s="13"/>
      <c r="F144" s="13"/>
      <c r="G144" s="13"/>
      <c r="H144" s="453"/>
      <c r="I144" s="30"/>
      <c r="J144" s="19" t="s">
        <v>256</v>
      </c>
      <c r="K144" s="43"/>
      <c r="L144" s="814" t="s">
        <v>585</v>
      </c>
      <c r="M144" s="818">
        <v>2</v>
      </c>
      <c r="N144" s="4"/>
      <c r="O144" s="832">
        <f>M144*S144*W144</f>
        <v>2</v>
      </c>
      <c r="P144" t="b">
        <v>1</v>
      </c>
      <c r="Q144" t="b">
        <v>0</v>
      </c>
      <c r="R144" t="b">
        <v>0</v>
      </c>
      <c r="S144" t="b">
        <v>1</v>
      </c>
      <c r="T144" t="b">
        <v>0</v>
      </c>
      <c r="W144" s="17" t="b">
        <v>1</v>
      </c>
      <c r="X144" s="817"/>
      <c r="AL144" t="str">
        <f>SUBSTITUTE(SUBSTITUTE(SUBSTITUTE("dpa"&amp;$B144&amp;$C144&amp;$D144&amp;$E144,".","_"),"(","_"),")","")</f>
        <v>dpa602_1_7_1_1</v>
      </c>
      <c r="AM144">
        <f>M144</f>
        <v>2</v>
      </c>
      <c r="AN144" t="str">
        <f>SUBSTITUTE(SUBSTITUTE(SUBSTITUTE("dpc"&amp;$B144&amp;$C144&amp;$D144&amp;$E144,".","_"),"(","_"),")","")</f>
        <v>dpc602_1_7_1_1</v>
      </c>
      <c r="AO144">
        <f>O144</f>
        <v>2</v>
      </c>
      <c r="AP144" t="str">
        <f>SUBSTITUTE(SUBSTITUTE(SUBSTITUTE("dch"&amp;$B144&amp;$C144&amp;$D144&amp;$E144,".","_"),"(","_"),")","")</f>
        <v>dch602_1_7_1_1</v>
      </c>
      <c r="AQ144" t="b">
        <f>IF(LEN(W144)=0,"",W144)</f>
        <v>1</v>
      </c>
      <c r="AR144" t="str">
        <f>SUBSTITUTE(SUBSTITUTE(SUBSTITUTE("dnt"&amp;$B144&amp;$C144&amp;$D144&amp;$E144,".","_"),"(","_"),")","")</f>
        <v>dnt602_1_7_1_1</v>
      </c>
      <c r="AS144" t="str">
        <f>IF(LEN(X144)=0,"",X144)</f>
        <v/>
      </c>
    </row>
    <row r="145" spans="2:45" x14ac:dyDescent="0.35">
      <c r="B145" s="412" t="s">
        <v>583</v>
      </c>
      <c r="C145" s="13" t="s">
        <v>256</v>
      </c>
      <c r="D145" s="13"/>
      <c r="E145" s="13"/>
      <c r="F145" s="13"/>
      <c r="G145" s="13"/>
      <c r="H145" s="453"/>
      <c r="I145" s="30"/>
      <c r="J145" s="133"/>
      <c r="K145" s="101"/>
      <c r="L145" s="815"/>
      <c r="M145" s="819"/>
      <c r="N145" s="133"/>
      <c r="O145" s="824"/>
      <c r="X145" s="817"/>
    </row>
    <row r="146" spans="2:45" x14ac:dyDescent="0.35">
      <c r="B146" s="412" t="s">
        <v>583</v>
      </c>
      <c r="C146" s="13" t="s">
        <v>258</v>
      </c>
      <c r="D146" s="13"/>
      <c r="E146" s="13"/>
      <c r="F146" s="13"/>
      <c r="G146" s="13"/>
      <c r="H146" s="453"/>
      <c r="I146" s="30"/>
      <c r="J146" s="19" t="s">
        <v>258</v>
      </c>
      <c r="K146" s="43"/>
      <c r="L146" s="814" t="s">
        <v>586</v>
      </c>
      <c r="M146" s="900" t="str">
        <f>IF(R146,"Mandatory
2","N/A")</f>
        <v>Mandatory
2</v>
      </c>
      <c r="N146" s="4"/>
      <c r="O146" s="832">
        <f>IF(AND(S146,W146="Met"),2,0)</f>
        <v>2</v>
      </c>
      <c r="P146" t="b">
        <v>1</v>
      </c>
      <c r="Q146" t="b">
        <v>0</v>
      </c>
      <c r="R146" t="b">
        <f>S146</f>
        <v>1</v>
      </c>
      <c r="S146" t="b">
        <v>1</v>
      </c>
      <c r="T146" t="b">
        <v>0</v>
      </c>
      <c r="U146" t="str">
        <f>SUBSTITUTE(SUBSTITUTE(SUBSTITUTE("dd"&amp;B146&amp;C146&amp;D146&amp;E146&amp;F146,".","_"),"(","_"),")","")</f>
        <v>dd602_1_7_1_2</v>
      </c>
      <c r="W146" s="9" t="s">
        <v>3038</v>
      </c>
      <c r="X146" s="817"/>
      <c r="AC146" t="b">
        <f>OR(AD146:AE146)</f>
        <v>0</v>
      </c>
      <c r="AD146" t="b">
        <v>0</v>
      </c>
      <c r="AE146" t="b">
        <f>OR(AND(R146,NOT(W146="Met"),NOT(W146="N/A")),AND(W146="N/A",ISBLANK(X146)))</f>
        <v>0</v>
      </c>
      <c r="AL146" t="str">
        <f>SUBSTITUTE(SUBSTITUTE(SUBSTITUTE("dpa"&amp;$B146&amp;$C146&amp;$D146&amp;$E146,".","_"),"(","_"),")","")</f>
        <v>dpa602_1_7_1_2</v>
      </c>
      <c r="AM146" t="str">
        <f>M146</f>
        <v>Mandatory
2</v>
      </c>
      <c r="AN146" t="str">
        <f>SUBSTITUTE(SUBSTITUTE(SUBSTITUTE("dpc"&amp;$B146&amp;$C146&amp;$D146&amp;$E146,".","_"),"(","_"),")","")</f>
        <v>dpc602_1_7_1_2</v>
      </c>
      <c r="AO146">
        <f>O146</f>
        <v>2</v>
      </c>
      <c r="AP146" t="str">
        <f>SUBSTITUTE(SUBSTITUTE(SUBSTITUTE("dch"&amp;$B146&amp;$C146&amp;$D146&amp;$E146,".","_"),"(","_"),")","")</f>
        <v>dch602_1_7_1_2</v>
      </c>
      <c r="AQ146" t="str">
        <f>IF(LEN(W146)=0,"",W146)</f>
        <v>Met</v>
      </c>
      <c r="AR146" t="str">
        <f>SUBSTITUTE(SUBSTITUTE(SUBSTITUTE("dnt"&amp;$B146&amp;$C146&amp;$D146&amp;$E146,".","_"),"(","_"),")","")</f>
        <v>dnt602_1_7_1_2</v>
      </c>
      <c r="AS146" t="str">
        <f>IF(LEN(X146)=0,"",X146)</f>
        <v/>
      </c>
    </row>
    <row r="147" spans="2:45" x14ac:dyDescent="0.35">
      <c r="B147" s="412" t="s">
        <v>583</v>
      </c>
      <c r="C147" s="13" t="s">
        <v>258</v>
      </c>
      <c r="D147" s="13"/>
      <c r="E147" s="13"/>
      <c r="F147" s="13"/>
      <c r="G147" s="13"/>
      <c r="H147" s="453"/>
      <c r="I147" s="30"/>
      <c r="J147" s="4"/>
      <c r="K147" s="43"/>
      <c r="L147" s="814"/>
      <c r="M147" s="900"/>
      <c r="N147" s="4"/>
      <c r="O147" s="832"/>
      <c r="X147" s="817"/>
    </row>
    <row r="148" spans="2:45" x14ac:dyDescent="0.35">
      <c r="B148" s="412" t="s">
        <v>583</v>
      </c>
      <c r="C148" s="13" t="s">
        <v>258</v>
      </c>
      <c r="D148" s="13"/>
      <c r="E148" s="13"/>
      <c r="F148" s="13"/>
      <c r="G148" s="13"/>
      <c r="H148" s="453"/>
      <c r="I148" s="30"/>
      <c r="J148" s="133"/>
      <c r="K148" s="101"/>
      <c r="L148" s="284" t="s">
        <v>1104</v>
      </c>
      <c r="M148" s="901"/>
      <c r="N148" s="133"/>
      <c r="O148" s="824"/>
      <c r="X148" s="817"/>
    </row>
    <row r="149" spans="2:45" x14ac:dyDescent="0.35">
      <c r="B149" s="412" t="s">
        <v>583</v>
      </c>
      <c r="C149" s="13" t="s">
        <v>260</v>
      </c>
      <c r="D149" s="13"/>
      <c r="E149" s="13"/>
      <c r="F149" s="13"/>
      <c r="G149" s="13"/>
      <c r="H149" s="453"/>
      <c r="I149" s="30"/>
      <c r="J149" s="19" t="s">
        <v>260</v>
      </c>
      <c r="K149" s="43"/>
      <c r="L149" s="814" t="s">
        <v>587</v>
      </c>
      <c r="M149" s="843">
        <v>4</v>
      </c>
      <c r="N149" s="4"/>
      <c r="O149" s="832">
        <f>M149*S149*W149</f>
        <v>0</v>
      </c>
      <c r="P149" t="b">
        <v>1</v>
      </c>
      <c r="Q149" t="b">
        <v>0</v>
      </c>
      <c r="R149" t="b">
        <v>0</v>
      </c>
      <c r="S149" t="b">
        <v>1</v>
      </c>
      <c r="T149" t="b">
        <v>0</v>
      </c>
      <c r="W149" s="17"/>
      <c r="X149" s="817"/>
      <c r="AL149" t="str">
        <f>SUBSTITUTE(SUBSTITUTE(SUBSTITUTE("dpa"&amp;$B149&amp;$C149&amp;$D149&amp;$E149,".","_"),"(","_"),")","")</f>
        <v>dpa602_1_7_1_3</v>
      </c>
      <c r="AM149">
        <f>M149</f>
        <v>4</v>
      </c>
      <c r="AN149" t="str">
        <f>SUBSTITUTE(SUBSTITUTE(SUBSTITUTE("dpc"&amp;$B149&amp;$C149&amp;$D149&amp;$E149,".","_"),"(","_"),")","")</f>
        <v>dpc602_1_7_1_3</v>
      </c>
      <c r="AO149">
        <f>O149</f>
        <v>0</v>
      </c>
      <c r="AP149" t="str">
        <f>SUBSTITUTE(SUBSTITUTE(SUBSTITUTE("dch"&amp;$B149&amp;$C149&amp;$D149&amp;$E149,".","_"),"(","_"),")","")</f>
        <v>dch602_1_7_1_3</v>
      </c>
      <c r="AQ149" t="str">
        <f>IF(LEN(W149)=0,"",W149)</f>
        <v/>
      </c>
      <c r="AR149" t="str">
        <f>SUBSTITUTE(SUBSTITUTE(SUBSTITUTE("dnt"&amp;$B149&amp;$C149&amp;$D149&amp;$E149,".","_"),"(","_"),")","")</f>
        <v>dnt602_1_7_1_3</v>
      </c>
      <c r="AS149" t="str">
        <f>IF(LEN(X149)=0,"",X149)</f>
        <v/>
      </c>
    </row>
    <row r="150" spans="2:45" x14ac:dyDescent="0.35">
      <c r="B150" s="412" t="s">
        <v>583</v>
      </c>
      <c r="C150" s="13" t="s">
        <v>260</v>
      </c>
      <c r="D150" s="13"/>
      <c r="E150" s="13"/>
      <c r="F150" s="13"/>
      <c r="G150" s="13"/>
      <c r="H150" s="453"/>
      <c r="I150" s="138"/>
      <c r="J150" s="133"/>
      <c r="K150" s="101"/>
      <c r="L150" s="815"/>
      <c r="M150" s="906"/>
      <c r="N150" s="133"/>
      <c r="O150" s="824"/>
      <c r="X150" s="817"/>
    </row>
    <row r="151" spans="2:45" ht="15" customHeight="1" x14ac:dyDescent="0.35">
      <c r="B151" s="412" t="s">
        <v>588</v>
      </c>
      <c r="C151" s="412"/>
      <c r="D151" s="13"/>
      <c r="E151" s="13"/>
      <c r="F151" s="13"/>
      <c r="G151" s="13"/>
      <c r="H151" s="453"/>
      <c r="I151" s="117" t="s">
        <v>589</v>
      </c>
      <c r="J151" s="118"/>
      <c r="K151" s="119"/>
      <c r="L151" s="905" t="s">
        <v>590</v>
      </c>
      <c r="M151" s="822">
        <v>2</v>
      </c>
      <c r="N151" s="118"/>
      <c r="O151" s="823">
        <f>M151*S151*W151</f>
        <v>0</v>
      </c>
      <c r="P151" t="b">
        <v>1</v>
      </c>
      <c r="Q151" t="b">
        <v>1</v>
      </c>
      <c r="R151" t="b">
        <v>0</v>
      </c>
      <c r="S151" t="b">
        <v>1</v>
      </c>
      <c r="T151" t="b">
        <v>0</v>
      </c>
      <c r="W151" s="17"/>
      <c r="X151" s="817"/>
      <c r="AL151" t="str">
        <f>SUBSTITUTE(SUBSTITUTE(SUBSTITUTE("dpa"&amp;$B151&amp;$C151&amp;$D151&amp;$E151,".","_"),"(","_"),")","")</f>
        <v>dpa602_1_7_2</v>
      </c>
      <c r="AM151">
        <f>M151</f>
        <v>2</v>
      </c>
      <c r="AN151" t="str">
        <f>SUBSTITUTE(SUBSTITUTE(SUBSTITUTE("dpc"&amp;$B151&amp;$C151&amp;$D151&amp;$E151,".","_"),"(","_"),")","")</f>
        <v>dpc602_1_7_2</v>
      </c>
      <c r="AO151">
        <f>O151</f>
        <v>0</v>
      </c>
      <c r="AP151" t="str">
        <f>SUBSTITUTE(SUBSTITUTE(SUBSTITUTE("dch"&amp;$B151&amp;$C151&amp;$D151&amp;$E151,".","_"),"(","_"),")","")</f>
        <v>dch602_1_7_2</v>
      </c>
      <c r="AQ151" t="str">
        <f>IF(LEN(W151)=0,"",W151)</f>
        <v/>
      </c>
      <c r="AR151" t="str">
        <f>SUBSTITUTE(SUBSTITUTE(SUBSTITUTE("dnt"&amp;$B151&amp;$C151&amp;$D151&amp;$E151,".","_"),"(","_"),")","")</f>
        <v>dnt602_1_7_2</v>
      </c>
      <c r="AS151" t="str">
        <f>IF(LEN(X151)=0,"",X151)</f>
        <v/>
      </c>
    </row>
    <row r="152" spans="2:45" x14ac:dyDescent="0.35">
      <c r="B152" s="37" t="s">
        <v>588</v>
      </c>
      <c r="C152" s="37"/>
      <c r="D152" s="13"/>
      <c r="E152" s="13"/>
      <c r="F152" s="13"/>
      <c r="G152" s="13"/>
      <c r="H152" s="453"/>
      <c r="I152" s="138"/>
      <c r="J152" s="133"/>
      <c r="K152" s="101"/>
      <c r="L152" s="889"/>
      <c r="M152" s="819"/>
      <c r="N152" s="133"/>
      <c r="O152" s="824"/>
      <c r="X152" s="817"/>
    </row>
    <row r="153" spans="2:45" x14ac:dyDescent="0.35">
      <c r="B153" s="37" t="s">
        <v>591</v>
      </c>
      <c r="C153" s="37"/>
      <c r="D153" s="13"/>
      <c r="E153" s="13"/>
      <c r="F153" s="13"/>
      <c r="G153" s="13"/>
      <c r="H153" s="453"/>
      <c r="I153" s="30" t="s">
        <v>592</v>
      </c>
      <c r="J153" s="4"/>
      <c r="K153" s="43"/>
      <c r="L153" s="838" t="s">
        <v>593</v>
      </c>
      <c r="M153" s="818">
        <v>4</v>
      </c>
      <c r="N153" s="4"/>
      <c r="O153" s="832">
        <f>M153*S153*W153</f>
        <v>0</v>
      </c>
      <c r="P153" t="b">
        <v>1</v>
      </c>
      <c r="Q153" t="b">
        <v>0</v>
      </c>
      <c r="R153" t="b">
        <v>0</v>
      </c>
      <c r="S153" t="b">
        <v>1</v>
      </c>
      <c r="T153" t="b">
        <v>0</v>
      </c>
      <c r="W153" s="17"/>
      <c r="X153" s="817"/>
      <c r="AL153" t="str">
        <f>SUBSTITUTE(SUBSTITUTE(SUBSTITUTE("dpa"&amp;$B153&amp;$C153&amp;$D153&amp;$E153,".","_"),"(","_"),")","")</f>
        <v>dpa602_1_7_3</v>
      </c>
      <c r="AM153">
        <f>M153</f>
        <v>4</v>
      </c>
      <c r="AN153" t="str">
        <f>SUBSTITUTE(SUBSTITUTE(SUBSTITUTE("dpc"&amp;$B153&amp;$C153&amp;$D153&amp;$E153,".","_"),"(","_"),")","")</f>
        <v>dpc602_1_7_3</v>
      </c>
      <c r="AO153">
        <f>O153</f>
        <v>0</v>
      </c>
      <c r="AP153" t="str">
        <f>SUBSTITUTE(SUBSTITUTE(SUBSTITUTE("dch"&amp;$B153&amp;$C153&amp;$D153&amp;$E153,".","_"),"(","_"),")","")</f>
        <v>dch602_1_7_3</v>
      </c>
      <c r="AQ153" t="str">
        <f>IF(LEN(W153)=0,"",W153)</f>
        <v/>
      </c>
      <c r="AR153" t="str">
        <f>SUBSTITUTE(SUBSTITUTE(SUBSTITUTE("dnt"&amp;$B153&amp;$C153&amp;$D153&amp;$E153,".","_"),"(","_"),")","")</f>
        <v>dnt602_1_7_3</v>
      </c>
      <c r="AS153" t="str">
        <f>IF(LEN(X153)=0,"",X153)</f>
        <v/>
      </c>
    </row>
    <row r="154" spans="2:45" x14ac:dyDescent="0.35">
      <c r="B154" s="37" t="s">
        <v>591</v>
      </c>
      <c r="C154" s="37"/>
      <c r="D154" s="13"/>
      <c r="E154" s="13"/>
      <c r="F154" s="13"/>
      <c r="G154" s="13"/>
      <c r="H154" s="453"/>
      <c r="I154" s="30"/>
      <c r="J154" s="4"/>
      <c r="K154" s="43"/>
      <c r="L154" s="838"/>
      <c r="M154" s="818"/>
      <c r="N154" s="4"/>
      <c r="O154" s="832"/>
      <c r="X154" s="817"/>
    </row>
    <row r="155" spans="2:45" x14ac:dyDescent="0.35">
      <c r="B155" s="37" t="s">
        <v>591</v>
      </c>
      <c r="C155" s="37"/>
      <c r="D155" s="13"/>
      <c r="E155" s="13"/>
      <c r="F155" s="13"/>
      <c r="G155" s="13"/>
      <c r="H155" s="453"/>
      <c r="I155" s="30"/>
      <c r="J155" s="4"/>
      <c r="K155" s="43"/>
      <c r="L155" s="838"/>
      <c r="M155" s="818"/>
      <c r="N155" s="4"/>
      <c r="O155" s="832"/>
      <c r="X155" s="817"/>
    </row>
    <row r="156" spans="2:45" ht="15" thickBot="1" x14ac:dyDescent="0.4">
      <c r="B156" s="37" t="s">
        <v>591</v>
      </c>
      <c r="C156" s="37"/>
      <c r="D156" s="13"/>
      <c r="E156" s="13"/>
      <c r="F156" s="13"/>
      <c r="G156" s="13"/>
      <c r="H156" s="453"/>
      <c r="I156" s="30"/>
      <c r="J156" s="4"/>
      <c r="K156" s="43"/>
      <c r="L156" s="838"/>
      <c r="M156" s="818"/>
      <c r="N156" s="4"/>
      <c r="O156" s="832"/>
      <c r="W156" s="64"/>
      <c r="X156" s="850"/>
    </row>
    <row r="157" spans="2:45" ht="15" thickTop="1" x14ac:dyDescent="0.35">
      <c r="B157" s="37" t="s">
        <v>594</v>
      </c>
      <c r="C157" s="13"/>
      <c r="D157" s="13"/>
      <c r="E157" s="13"/>
      <c r="F157" s="13"/>
      <c r="G157" s="13"/>
      <c r="H157" s="453"/>
      <c r="I157" s="106" t="s">
        <v>594</v>
      </c>
      <c r="J157" s="107"/>
      <c r="K157" s="108"/>
      <c r="L157" s="837" t="s">
        <v>595</v>
      </c>
      <c r="M157" s="899" t="str">
        <f>IF(R157,"Mandatory","N/A")</f>
        <v>Mandatory</v>
      </c>
      <c r="N157" s="107"/>
      <c r="O157" s="308"/>
      <c r="P157" t="b">
        <v>1</v>
      </c>
      <c r="Q157" t="b">
        <v>0</v>
      </c>
      <c r="R157" s="59" t="b">
        <f>S157</f>
        <v>1</v>
      </c>
      <c r="S157" s="59" t="b">
        <v>1</v>
      </c>
      <c r="T157" s="59" t="b">
        <v>0</v>
      </c>
      <c r="U157" s="59" t="str">
        <f>SUBSTITUTE(SUBSTITUTE(SUBSTITUTE("dd"&amp;B157&amp;C157&amp;D157&amp;E157&amp;F157,".","_"),"(","_"),")","")</f>
        <v>dd602_1_8</v>
      </c>
      <c r="V157" s="59"/>
      <c r="W157" s="167" t="s">
        <v>3038</v>
      </c>
      <c r="X157" s="840" t="s">
        <v>6109</v>
      </c>
      <c r="AC157" t="b">
        <f>OR(AD157:AE157)</f>
        <v>0</v>
      </c>
      <c r="AD157" t="b">
        <v>0</v>
      </c>
      <c r="AE157" t="b">
        <f>OR(AND(R157,NOT(W157="Met"),NOT(W157="N/A")),AND(W157="N/A",ISBLANK(X157)))</f>
        <v>0</v>
      </c>
      <c r="AL157" t="str">
        <f>SUBSTITUTE(SUBSTITUTE(SUBSTITUTE("dpa"&amp;$B157&amp;$C157&amp;$D157&amp;$E157,".","_"),"(","_"),")","")</f>
        <v>dpa602_1_8</v>
      </c>
      <c r="AM157" t="str">
        <f>M157</f>
        <v>Mandatory</v>
      </c>
      <c r="AP157" t="str">
        <f>SUBSTITUTE(SUBSTITUTE(SUBSTITUTE("dch"&amp;$B157&amp;$C157&amp;$D157&amp;$E157,".","_"),"(","_"),")","")</f>
        <v>dch602_1_8</v>
      </c>
      <c r="AQ157" t="str">
        <f>IF(LEN(W157)=0,"",W157)</f>
        <v>Met</v>
      </c>
      <c r="AR157" t="str">
        <f>SUBSTITUTE(SUBSTITUTE(SUBSTITUTE("dnt"&amp;$B157&amp;$C157&amp;$D157&amp;$E157,".","_"),"(","_"),")","")</f>
        <v>dnt602_1_8</v>
      </c>
      <c r="AS157" t="str">
        <f>IF(LEN(X157)=0,"",X157)</f>
        <v>Hardie™ Weather Barrier</v>
      </c>
    </row>
    <row r="158" spans="2:45" x14ac:dyDescent="0.35">
      <c r="B158" s="37" t="s">
        <v>594</v>
      </c>
      <c r="C158" s="13"/>
      <c r="D158" s="13"/>
      <c r="E158" s="13"/>
      <c r="F158" s="13"/>
      <c r="G158" s="13"/>
      <c r="H158" s="453"/>
      <c r="I158" s="30"/>
      <c r="J158" s="4"/>
      <c r="K158" s="43"/>
      <c r="L158" s="838"/>
      <c r="M158" s="885"/>
      <c r="N158" s="4"/>
      <c r="O158" s="75"/>
      <c r="X158" s="817"/>
    </row>
    <row r="159" spans="2:45" ht="15" thickBot="1" x14ac:dyDescent="0.4">
      <c r="B159" s="37" t="s">
        <v>594</v>
      </c>
      <c r="C159" s="13"/>
      <c r="D159" s="13"/>
      <c r="E159" s="13"/>
      <c r="F159" s="13"/>
      <c r="G159" s="13"/>
      <c r="H159" s="453"/>
      <c r="I159" s="30"/>
      <c r="J159" s="4"/>
      <c r="K159" s="43"/>
      <c r="L159" s="531" t="s">
        <v>1104</v>
      </c>
      <c r="M159" s="885"/>
      <c r="N159" s="4"/>
      <c r="O159" s="75"/>
      <c r="X159" s="850"/>
    </row>
    <row r="160" spans="2:45" ht="15" thickTop="1" x14ac:dyDescent="0.35">
      <c r="B160" s="37" t="s">
        <v>596</v>
      </c>
      <c r="C160" s="13"/>
      <c r="D160" s="13"/>
      <c r="E160" s="13"/>
      <c r="F160" s="13"/>
      <c r="G160" s="13"/>
      <c r="H160" s="453"/>
      <c r="I160" s="106" t="s">
        <v>596</v>
      </c>
      <c r="J160" s="107"/>
      <c r="K160" s="108"/>
      <c r="L160" s="837" t="s">
        <v>597</v>
      </c>
      <c r="M160" s="267"/>
      <c r="N160" s="107"/>
      <c r="O160" s="308"/>
      <c r="P160" s="59"/>
      <c r="Q160" s="59"/>
      <c r="R160" s="59"/>
      <c r="S160" s="59"/>
      <c r="T160" s="59"/>
      <c r="U160" s="59"/>
      <c r="V160" s="59"/>
      <c r="W160" s="59"/>
      <c r="X160" s="59"/>
    </row>
    <row r="161" spans="2:45" x14ac:dyDescent="0.35">
      <c r="B161" s="37" t="s">
        <v>596</v>
      </c>
      <c r="C161" s="13"/>
      <c r="D161" s="13"/>
      <c r="E161" s="13"/>
      <c r="F161" s="13"/>
      <c r="G161" s="13"/>
      <c r="H161" s="453"/>
      <c r="I161" s="30"/>
      <c r="J161" s="4"/>
      <c r="K161" s="43"/>
      <c r="L161" s="838"/>
      <c r="M161" s="40"/>
      <c r="N161" s="4"/>
      <c r="O161" s="75"/>
    </row>
    <row r="162" spans="2:45" x14ac:dyDescent="0.35">
      <c r="B162" s="37" t="s">
        <v>596</v>
      </c>
      <c r="C162" s="13"/>
      <c r="D162" s="13"/>
      <c r="E162" s="13"/>
      <c r="F162" s="13"/>
      <c r="G162" s="13"/>
      <c r="H162" s="453"/>
      <c r="I162" s="30"/>
      <c r="J162" s="4"/>
      <c r="K162" s="43"/>
      <c r="L162" s="838"/>
      <c r="M162" s="40"/>
      <c r="N162" s="4"/>
      <c r="O162" s="75"/>
    </row>
    <row r="163" spans="2:45" x14ac:dyDescent="0.35">
      <c r="B163" s="37" t="s">
        <v>596</v>
      </c>
      <c r="C163" s="13"/>
      <c r="D163" s="13"/>
      <c r="E163" s="13"/>
      <c r="F163" s="13"/>
      <c r="G163" s="13"/>
      <c r="H163" s="453"/>
      <c r="I163" s="30"/>
      <c r="J163" s="4"/>
      <c r="K163" s="43"/>
      <c r="L163" s="838"/>
      <c r="M163" s="40"/>
      <c r="N163" s="4"/>
      <c r="O163" s="75"/>
    </row>
    <row r="164" spans="2:45" x14ac:dyDescent="0.35">
      <c r="B164" s="37" t="s">
        <v>596</v>
      </c>
      <c r="C164" s="13"/>
      <c r="D164" s="13"/>
      <c r="E164" s="13"/>
      <c r="F164" s="13"/>
      <c r="G164" s="13"/>
      <c r="H164" s="453"/>
      <c r="I164" s="30"/>
      <c r="J164" s="4"/>
      <c r="K164" s="43"/>
      <c r="L164" s="838"/>
      <c r="M164" s="40"/>
      <c r="N164" s="4"/>
      <c r="O164" s="75"/>
    </row>
    <row r="165" spans="2:45" x14ac:dyDescent="0.35">
      <c r="B165" s="37" t="s">
        <v>596</v>
      </c>
      <c r="C165" s="13" t="s">
        <v>256</v>
      </c>
      <c r="D165" s="13"/>
      <c r="E165" s="13"/>
      <c r="F165" s="13"/>
      <c r="G165" s="13"/>
      <c r="H165" s="453"/>
      <c r="I165" s="30"/>
      <c r="J165" s="19" t="s">
        <v>256</v>
      </c>
      <c r="K165" s="43"/>
      <c r="L165" s="90" t="s">
        <v>598</v>
      </c>
      <c r="M165" s="885" t="str">
        <f>IF(R165,"Mandatory","N/A")</f>
        <v>Mandatory</v>
      </c>
      <c r="N165" s="4"/>
      <c r="O165" s="75"/>
      <c r="P165" t="b">
        <v>1</v>
      </c>
      <c r="Q165" t="b">
        <v>0</v>
      </c>
      <c r="R165" t="b">
        <f>S165</f>
        <v>1</v>
      </c>
      <c r="S165" t="b">
        <v>1</v>
      </c>
      <c r="T165" t="b">
        <v>0</v>
      </c>
      <c r="W165" s="17" t="b">
        <v>1</v>
      </c>
      <c r="X165" s="817" t="s">
        <v>6110</v>
      </c>
      <c r="AC165" t="b">
        <f>OR(AD165:AE165)</f>
        <v>0</v>
      </c>
      <c r="AD165" t="b">
        <v>0</v>
      </c>
      <c r="AE165" t="b">
        <f>AND(R165,NOT(W165))</f>
        <v>0</v>
      </c>
      <c r="AL165" t="str">
        <f>SUBSTITUTE(SUBSTITUTE(SUBSTITUTE("dpa"&amp;$B165&amp;$C165&amp;$D165&amp;$E165,".","_"),"(","_"),")","")</f>
        <v>dpa602_1_9_1</v>
      </c>
      <c r="AM165" t="str">
        <f>M165</f>
        <v>Mandatory</v>
      </c>
      <c r="AP165" t="str">
        <f>SUBSTITUTE(SUBSTITUTE(SUBSTITUTE("dch"&amp;$B165&amp;$C165&amp;$D165&amp;$E165,".","_"),"(","_"),")","")</f>
        <v>dch602_1_9_1</v>
      </c>
      <c r="AQ165" t="b">
        <f>IF(LEN(W165)=0,"",W165)</f>
        <v>1</v>
      </c>
      <c r="AR165" t="str">
        <f>SUBSTITUTE(SUBSTITUTE(SUBSTITUTE("dnt"&amp;$B165&amp;$C165&amp;$D165&amp;$E165,".","_"),"(","_"),")","")</f>
        <v>dnt602_1_9_1</v>
      </c>
      <c r="AS165" t="str">
        <f>IF(LEN(X165)=0,"",X165)</f>
        <v>Hardie™ Pro-Flashing</v>
      </c>
    </row>
    <row r="166" spans="2:45" x14ac:dyDescent="0.35">
      <c r="B166" s="37" t="s">
        <v>596</v>
      </c>
      <c r="C166" s="13" t="s">
        <v>256</v>
      </c>
      <c r="D166" s="13" t="s">
        <v>121</v>
      </c>
      <c r="E166" s="13"/>
      <c r="F166" s="13"/>
      <c r="G166" s="13"/>
      <c r="H166" s="453"/>
      <c r="I166" s="30"/>
      <c r="J166" s="4"/>
      <c r="K166" s="47" t="s">
        <v>121</v>
      </c>
      <c r="L166" s="90" t="s">
        <v>599</v>
      </c>
      <c r="M166" s="885"/>
      <c r="N166" s="4"/>
      <c r="O166" s="75"/>
      <c r="X166" s="817"/>
    </row>
    <row r="167" spans="2:45" x14ac:dyDescent="0.35">
      <c r="B167" s="37" t="s">
        <v>596</v>
      </c>
      <c r="C167" s="13" t="s">
        <v>256</v>
      </c>
      <c r="D167" s="13" t="s">
        <v>122</v>
      </c>
      <c r="E167" s="13"/>
      <c r="F167" s="13"/>
      <c r="G167" s="13"/>
      <c r="H167" s="453"/>
      <c r="I167" s="30"/>
      <c r="J167" s="4"/>
      <c r="K167" s="47" t="s">
        <v>122</v>
      </c>
      <c r="L167" s="90" t="s">
        <v>600</v>
      </c>
      <c r="M167" s="885"/>
      <c r="N167" s="4"/>
      <c r="O167" s="75"/>
      <c r="X167" s="817"/>
    </row>
    <row r="168" spans="2:45" x14ac:dyDescent="0.35">
      <c r="B168" s="37" t="s">
        <v>596</v>
      </c>
      <c r="C168" s="13" t="s">
        <v>256</v>
      </c>
      <c r="D168" s="18" t="s">
        <v>123</v>
      </c>
      <c r="E168" s="13"/>
      <c r="F168" s="18"/>
      <c r="G168" s="18"/>
      <c r="H168" s="454"/>
      <c r="I168" s="30"/>
      <c r="J168" s="4"/>
      <c r="K168" s="49" t="s">
        <v>123</v>
      </c>
      <c r="L168" s="90" t="s">
        <v>601</v>
      </c>
      <c r="M168" s="885"/>
      <c r="N168" s="4"/>
      <c r="O168" s="75"/>
      <c r="X168" s="817"/>
    </row>
    <row r="169" spans="2:45" x14ac:dyDescent="0.35">
      <c r="B169" s="37" t="s">
        <v>596</v>
      </c>
      <c r="C169" s="13" t="s">
        <v>256</v>
      </c>
      <c r="D169" s="13" t="s">
        <v>401</v>
      </c>
      <c r="E169" s="13"/>
      <c r="F169" s="13"/>
      <c r="G169" s="13"/>
      <c r="H169" s="453"/>
      <c r="I169" s="30"/>
      <c r="J169" s="4"/>
      <c r="K169" s="45" t="s">
        <v>401</v>
      </c>
      <c r="L169" s="814" t="s">
        <v>602</v>
      </c>
      <c r="M169" s="885"/>
      <c r="N169" s="4"/>
      <c r="O169" s="75"/>
      <c r="X169" s="817"/>
    </row>
    <row r="170" spans="2:45" x14ac:dyDescent="0.35">
      <c r="B170" s="37" t="s">
        <v>596</v>
      </c>
      <c r="C170" s="13" t="s">
        <v>256</v>
      </c>
      <c r="D170" s="13" t="s">
        <v>401</v>
      </c>
      <c r="E170" s="13"/>
      <c r="F170" s="13"/>
      <c r="G170" s="13"/>
      <c r="H170" s="453"/>
      <c r="I170" s="30"/>
      <c r="J170" s="4"/>
      <c r="K170" s="43"/>
      <c r="L170" s="814"/>
      <c r="M170" s="885"/>
      <c r="N170" s="4"/>
      <c r="O170" s="75"/>
      <c r="X170" s="817"/>
    </row>
    <row r="171" spans="2:45" x14ac:dyDescent="0.35">
      <c r="B171" s="37" t="s">
        <v>596</v>
      </c>
      <c r="C171" s="13" t="s">
        <v>256</v>
      </c>
      <c r="D171" s="13" t="s">
        <v>539</v>
      </c>
      <c r="E171" s="13"/>
      <c r="F171" s="13"/>
      <c r="G171" s="13"/>
      <c r="H171" s="453"/>
      <c r="I171" s="30"/>
      <c r="J171" s="4"/>
      <c r="K171" s="45" t="s">
        <v>539</v>
      </c>
      <c r="L171" s="90" t="s">
        <v>603</v>
      </c>
      <c r="M171" s="885"/>
      <c r="N171" s="4"/>
      <c r="O171" s="75"/>
      <c r="X171" s="817"/>
    </row>
    <row r="172" spans="2:45" x14ac:dyDescent="0.35">
      <c r="B172" s="37" t="s">
        <v>596</v>
      </c>
      <c r="C172" s="13" t="s">
        <v>256</v>
      </c>
      <c r="D172" s="18" t="s">
        <v>604</v>
      </c>
      <c r="E172" s="13"/>
      <c r="F172" s="18"/>
      <c r="G172" s="18"/>
      <c r="H172" s="454"/>
      <c r="I172" s="30"/>
      <c r="J172" s="4"/>
      <c r="K172" s="49" t="s">
        <v>604</v>
      </c>
      <c r="L172" s="90" t="s">
        <v>605</v>
      </c>
      <c r="M172" s="885"/>
      <c r="N172" s="4"/>
      <c r="O172" s="75"/>
      <c r="X172" s="817"/>
    </row>
    <row r="173" spans="2:45" x14ac:dyDescent="0.35">
      <c r="B173" s="37" t="s">
        <v>596</v>
      </c>
      <c r="C173" s="13" t="s">
        <v>256</v>
      </c>
      <c r="D173" s="13" t="s">
        <v>606</v>
      </c>
      <c r="E173" s="13"/>
      <c r="F173" s="13"/>
      <c r="G173" s="13"/>
      <c r="H173" s="453"/>
      <c r="I173" s="30"/>
      <c r="J173" s="4"/>
      <c r="K173" s="45" t="s">
        <v>606</v>
      </c>
      <c r="L173" s="90" t="s">
        <v>607</v>
      </c>
      <c r="M173" s="885"/>
      <c r="N173" s="4"/>
      <c r="O173" s="75"/>
      <c r="X173" s="817"/>
    </row>
    <row r="174" spans="2:45" x14ac:dyDescent="0.35">
      <c r="B174" s="37" t="s">
        <v>596</v>
      </c>
      <c r="C174" s="13" t="s">
        <v>256</v>
      </c>
      <c r="D174" s="13" t="s">
        <v>608</v>
      </c>
      <c r="E174" s="13"/>
      <c r="F174" s="13"/>
      <c r="G174" s="13"/>
      <c r="H174" s="453"/>
      <c r="I174" s="30"/>
      <c r="J174" s="133"/>
      <c r="K174" s="139" t="s">
        <v>608</v>
      </c>
      <c r="L174" s="228" t="s">
        <v>609</v>
      </c>
      <c r="M174" s="890"/>
      <c r="N174" s="4"/>
      <c r="O174" s="75"/>
      <c r="X174" s="817"/>
    </row>
    <row r="175" spans="2:45" x14ac:dyDescent="0.35">
      <c r="B175" s="37" t="s">
        <v>596</v>
      </c>
      <c r="C175" s="13" t="s">
        <v>258</v>
      </c>
      <c r="D175" s="37"/>
      <c r="E175" s="13"/>
      <c r="F175" s="37"/>
      <c r="G175" s="37"/>
      <c r="H175" s="456"/>
      <c r="I175" s="30"/>
      <c r="J175" s="19" t="s">
        <v>258</v>
      </c>
      <c r="K175" s="43"/>
      <c r="L175" s="814" t="s">
        <v>610</v>
      </c>
      <c r="M175" s="818">
        <v>2</v>
      </c>
      <c r="N175" s="4"/>
      <c r="O175" s="832">
        <f>M175*S175*W175</f>
        <v>0</v>
      </c>
      <c r="P175" t="b">
        <v>1</v>
      </c>
      <c r="Q175" t="b">
        <v>0</v>
      </c>
      <c r="R175" t="b">
        <v>0</v>
      </c>
      <c r="S175" t="b">
        <v>1</v>
      </c>
      <c r="T175" t="b">
        <v>0</v>
      </c>
      <c r="W175" s="17"/>
      <c r="X175" s="817"/>
      <c r="AL175" t="str">
        <f>SUBSTITUTE(SUBSTITUTE(SUBSTITUTE("dpa"&amp;$B175&amp;$C175&amp;$D175&amp;$E175,".","_"),"(","_"),")","")</f>
        <v>dpa602_1_9_2</v>
      </c>
      <c r="AM175">
        <f>M175</f>
        <v>2</v>
      </c>
      <c r="AN175" t="str">
        <f>SUBSTITUTE(SUBSTITUTE(SUBSTITUTE("dpc"&amp;$B175&amp;$C175&amp;$D175&amp;$E175,".","_"),"(","_"),")","")</f>
        <v>dpc602_1_9_2</v>
      </c>
      <c r="AO175">
        <f>O175</f>
        <v>0</v>
      </c>
      <c r="AP175" t="str">
        <f>SUBSTITUTE(SUBSTITUTE(SUBSTITUTE("dch"&amp;$B175&amp;$C175&amp;$D175&amp;$E175,".","_"),"(","_"),")","")</f>
        <v>dch602_1_9_2</v>
      </c>
      <c r="AQ175" t="str">
        <f>IF(LEN(W175)=0,"",W175)</f>
        <v/>
      </c>
      <c r="AR175" t="str">
        <f>SUBSTITUTE(SUBSTITUTE(SUBSTITUTE("dnt"&amp;$B175&amp;$C175&amp;$D175&amp;$E175,".","_"),"(","_"),")","")</f>
        <v>dnt602_1_9_2</v>
      </c>
      <c r="AS175" t="str">
        <f>IF(LEN(X175)=0,"",X175)</f>
        <v/>
      </c>
    </row>
    <row r="176" spans="2:45" x14ac:dyDescent="0.35">
      <c r="B176" s="37" t="s">
        <v>596</v>
      </c>
      <c r="C176" s="13" t="s">
        <v>258</v>
      </c>
      <c r="D176" s="37"/>
      <c r="E176" s="13"/>
      <c r="F176" s="37"/>
      <c r="G176" s="37"/>
      <c r="H176" s="456"/>
      <c r="I176" s="30"/>
      <c r="J176" s="4"/>
      <c r="K176" s="43"/>
      <c r="L176" s="814"/>
      <c r="M176" s="818"/>
      <c r="N176" s="4"/>
      <c r="O176" s="832"/>
      <c r="X176" s="817"/>
    </row>
    <row r="177" spans="2:45" x14ac:dyDescent="0.35">
      <c r="B177" s="37" t="s">
        <v>596</v>
      </c>
      <c r="C177" s="13" t="s">
        <v>258</v>
      </c>
      <c r="D177" s="37"/>
      <c r="E177" s="13"/>
      <c r="F177" s="37"/>
      <c r="G177" s="37"/>
      <c r="H177" s="456"/>
      <c r="I177" s="30"/>
      <c r="J177" s="133"/>
      <c r="K177" s="101"/>
      <c r="L177" s="815"/>
      <c r="M177" s="819"/>
      <c r="N177" s="133"/>
      <c r="O177" s="824"/>
      <c r="X177" s="817"/>
    </row>
    <row r="178" spans="2:45" x14ac:dyDescent="0.35">
      <c r="B178" s="37" t="s">
        <v>596</v>
      </c>
      <c r="C178" s="13" t="s">
        <v>260</v>
      </c>
      <c r="D178" s="37"/>
      <c r="E178" s="13"/>
      <c r="F178" s="37"/>
      <c r="G178" s="37"/>
      <c r="H178" s="456"/>
      <c r="I178" s="30"/>
      <c r="J178" s="130" t="s">
        <v>260</v>
      </c>
      <c r="K178" s="131"/>
      <c r="L178" s="178" t="s">
        <v>611</v>
      </c>
      <c r="M178" s="278">
        <v>3</v>
      </c>
      <c r="N178" s="163"/>
      <c r="O178" s="277">
        <f>M178*S178*W178</f>
        <v>0</v>
      </c>
      <c r="P178" t="b">
        <v>1</v>
      </c>
      <c r="Q178" t="b">
        <v>0</v>
      </c>
      <c r="R178" t="b">
        <v>0</v>
      </c>
      <c r="S178" t="b">
        <v>1</v>
      </c>
      <c r="T178" t="b">
        <v>0</v>
      </c>
      <c r="W178" s="17"/>
      <c r="X178" s="36"/>
      <c r="AL178" t="str">
        <f>SUBSTITUTE(SUBSTITUTE(SUBSTITUTE("dpa"&amp;$B178&amp;$C178&amp;$D178&amp;$E178,".","_"),"(","_"),")","")</f>
        <v>dpa602_1_9_3</v>
      </c>
      <c r="AM178">
        <f>M178</f>
        <v>3</v>
      </c>
      <c r="AN178" t="str">
        <f>SUBSTITUTE(SUBSTITUTE(SUBSTITUTE("dpc"&amp;$B178&amp;$C178&amp;$D178&amp;$E178,".","_"),"(","_"),")","")</f>
        <v>dpc602_1_9_3</v>
      </c>
      <c r="AO178">
        <f>O178</f>
        <v>0</v>
      </c>
      <c r="AP178" t="str">
        <f>SUBSTITUTE(SUBSTITUTE(SUBSTITUTE("dch"&amp;$B178&amp;$C178&amp;$D178&amp;$E178,".","_"),"(","_"),")","")</f>
        <v>dch602_1_9_3</v>
      </c>
      <c r="AQ178" t="str">
        <f>IF(LEN(W178)=0,"",W178)</f>
        <v/>
      </c>
      <c r="AR178" t="str">
        <f>SUBSTITUTE(SUBSTITUTE(SUBSTITUTE("dnt"&amp;$B178&amp;$C178&amp;$D178&amp;$E178,".","_"),"(","_"),")","")</f>
        <v>dnt602_1_9_3</v>
      </c>
      <c r="AS178" t="str">
        <f>IF(LEN(X178)=0,"",X178)</f>
        <v/>
      </c>
    </row>
    <row r="179" spans="2:45" x14ac:dyDescent="0.35">
      <c r="B179" s="37" t="s">
        <v>596</v>
      </c>
      <c r="C179" s="13" t="s">
        <v>269</v>
      </c>
      <c r="D179" s="37"/>
      <c r="E179" s="13"/>
      <c r="F179" s="37"/>
      <c r="G179" s="37"/>
      <c r="H179" s="456"/>
      <c r="I179" s="30"/>
      <c r="J179" s="132" t="s">
        <v>269</v>
      </c>
      <c r="K179" s="119"/>
      <c r="L179" s="836" t="s">
        <v>612</v>
      </c>
      <c r="M179" s="822">
        <v>3</v>
      </c>
      <c r="N179" s="118"/>
      <c r="O179" s="823">
        <f>M179*S179*W179</f>
        <v>0</v>
      </c>
      <c r="P179" t="b">
        <v>1</v>
      </c>
      <c r="Q179" t="b">
        <v>0</v>
      </c>
      <c r="R179" t="b">
        <v>0</v>
      </c>
      <c r="S179" t="b">
        <v>1</v>
      </c>
      <c r="T179" t="b">
        <v>0</v>
      </c>
      <c r="W179" s="17"/>
      <c r="X179" s="817"/>
      <c r="AL179" t="str">
        <f>SUBSTITUTE(SUBSTITUTE(SUBSTITUTE("dpa"&amp;$B179&amp;$C179&amp;$D179&amp;$E179,".","_"),"(","_"),")","")</f>
        <v>dpa602_1_9_4</v>
      </c>
      <c r="AM179">
        <f>M179</f>
        <v>3</v>
      </c>
      <c r="AN179" t="str">
        <f>SUBSTITUTE(SUBSTITUTE(SUBSTITUTE("dpc"&amp;$B179&amp;$C179&amp;$D179&amp;$E179,".","_"),"(","_"),")","")</f>
        <v>dpc602_1_9_4</v>
      </c>
      <c r="AO179">
        <f>O179</f>
        <v>0</v>
      </c>
      <c r="AP179" t="str">
        <f>SUBSTITUTE(SUBSTITUTE(SUBSTITUTE("dch"&amp;$B179&amp;$C179&amp;$D179&amp;$E179,".","_"),"(","_"),")","")</f>
        <v>dch602_1_9_4</v>
      </c>
      <c r="AQ179" t="str">
        <f>IF(LEN(W179)=0,"",W179)</f>
        <v/>
      </c>
      <c r="AR179" t="str">
        <f>SUBSTITUTE(SUBSTITUTE(SUBSTITUTE("dnt"&amp;$B179&amp;$C179&amp;$D179&amp;$E179,".","_"),"(","_"),")","")</f>
        <v>dnt602_1_9_4</v>
      </c>
      <c r="AS179" t="str">
        <f>IF(LEN(X179)=0,"",X179)</f>
        <v/>
      </c>
    </row>
    <row r="180" spans="2:45" x14ac:dyDescent="0.35">
      <c r="B180" s="37" t="s">
        <v>596</v>
      </c>
      <c r="C180" s="13" t="s">
        <v>269</v>
      </c>
      <c r="D180" s="37"/>
      <c r="E180" s="13"/>
      <c r="F180" s="37"/>
      <c r="G180" s="37"/>
      <c r="H180" s="456"/>
      <c r="I180" s="30"/>
      <c r="J180" s="4"/>
      <c r="K180" s="43"/>
      <c r="L180" s="814"/>
      <c r="M180" s="818"/>
      <c r="N180" s="4"/>
      <c r="O180" s="832"/>
      <c r="X180" s="817"/>
    </row>
    <row r="181" spans="2:45" x14ac:dyDescent="0.35">
      <c r="B181" s="37" t="s">
        <v>596</v>
      </c>
      <c r="C181" s="13" t="s">
        <v>269</v>
      </c>
      <c r="D181" s="37"/>
      <c r="E181" s="13"/>
      <c r="F181" s="37"/>
      <c r="G181" s="37"/>
      <c r="H181" s="456"/>
      <c r="I181" s="30"/>
      <c r="J181" s="4"/>
      <c r="K181" s="43"/>
      <c r="L181" s="814"/>
      <c r="M181" s="818"/>
      <c r="N181" s="4"/>
      <c r="O181" s="832"/>
      <c r="X181" s="817"/>
    </row>
    <row r="182" spans="2:45" x14ac:dyDescent="0.35">
      <c r="B182" s="37" t="s">
        <v>596</v>
      </c>
      <c r="C182" s="13" t="s">
        <v>269</v>
      </c>
      <c r="D182" s="37"/>
      <c r="E182" s="13"/>
      <c r="F182" s="37"/>
      <c r="G182" s="37"/>
      <c r="H182" s="456"/>
      <c r="I182" s="30"/>
      <c r="J182" s="133"/>
      <c r="K182" s="101"/>
      <c r="L182" s="815"/>
      <c r="M182" s="819"/>
      <c r="N182" s="133"/>
      <c r="O182" s="824"/>
      <c r="X182" s="817"/>
    </row>
    <row r="183" spans="2:45" x14ac:dyDescent="0.35">
      <c r="B183" s="37" t="s">
        <v>596</v>
      </c>
      <c r="C183" s="13" t="s">
        <v>275</v>
      </c>
      <c r="D183" s="37"/>
      <c r="E183" s="13"/>
      <c r="F183" s="37"/>
      <c r="G183" s="37"/>
      <c r="H183" s="456"/>
      <c r="I183" s="30"/>
      <c r="J183" s="19" t="s">
        <v>275</v>
      </c>
      <c r="K183" s="43"/>
      <c r="L183" s="90" t="s">
        <v>613</v>
      </c>
      <c r="M183" s="40"/>
      <c r="N183" s="4"/>
      <c r="O183" s="75">
        <f ca="1">IFERROR(INDEX({4,2},MATCH(W183,INDIRECT(U183),0)),0)</f>
        <v>0</v>
      </c>
      <c r="P183" t="b">
        <v>1</v>
      </c>
      <c r="Q183" t="b">
        <v>0</v>
      </c>
      <c r="R183" t="b">
        <v>0</v>
      </c>
      <c r="S183" t="b">
        <v>1</v>
      </c>
      <c r="T183" t="b">
        <v>0</v>
      </c>
      <c r="U183" t="str">
        <f>SUBSTITUTE(SUBSTITUTE(SUBSTITUTE("dd"&amp;B183&amp;C183&amp;D183&amp;E183&amp;F183,".","_"),"(","_"),")","")</f>
        <v>dd602_1_9_5</v>
      </c>
      <c r="W183" s="9"/>
      <c r="X183" s="817"/>
      <c r="AN183" t="str">
        <f>SUBSTITUTE(SUBSTITUTE(SUBSTITUTE("dpc"&amp;$B183&amp;$C183&amp;$D183&amp;$E183,".","_"),"(","_"),")","")</f>
        <v>dpc602_1_9_5</v>
      </c>
      <c r="AO183">
        <f ca="1">O183</f>
        <v>0</v>
      </c>
      <c r="AP183" t="str">
        <f>SUBSTITUTE(SUBSTITUTE(SUBSTITUTE("dch"&amp;$B183&amp;$C183&amp;$D183&amp;$E183,".","_"),"(","_"),")","")</f>
        <v>dch602_1_9_5</v>
      </c>
      <c r="AQ183" t="str">
        <f>IF(LEN(W183)=0,"",W183)</f>
        <v/>
      </c>
      <c r="AR183" t="str">
        <f>SUBSTITUTE(SUBSTITUTE(SUBSTITUTE("dnt"&amp;$B183&amp;$C183&amp;$D183&amp;$E183,".","_"),"(","_"),")","")</f>
        <v>dnt602_1_9_5</v>
      </c>
      <c r="AS183" t="str">
        <f>IF(LEN(X183)=0,"",X183)</f>
        <v/>
      </c>
    </row>
    <row r="184" spans="2:45" x14ac:dyDescent="0.35">
      <c r="B184" s="37" t="s">
        <v>596</v>
      </c>
      <c r="C184" s="13" t="s">
        <v>275</v>
      </c>
      <c r="D184" s="13" t="s">
        <v>121</v>
      </c>
      <c r="E184" s="13"/>
      <c r="F184" s="13"/>
      <c r="G184" s="13"/>
      <c r="H184" s="453"/>
      <c r="I184" s="30"/>
      <c r="J184" s="4"/>
      <c r="K184" s="47" t="s">
        <v>121</v>
      </c>
      <c r="L184" s="814" t="s">
        <v>614</v>
      </c>
      <c r="M184" s="818">
        <v>4</v>
      </c>
      <c r="N184" s="4"/>
      <c r="O184" s="75"/>
      <c r="X184" s="817"/>
      <c r="AL184" t="str">
        <f>SUBSTITUTE(SUBSTITUTE(SUBSTITUTE("dpa"&amp;$B184&amp;$C184&amp;$D184&amp;$E184,".","_"),"(","_"),")","")</f>
        <v>dpa602_1_9_5_a</v>
      </c>
      <c r="AM184">
        <f>M184</f>
        <v>4</v>
      </c>
    </row>
    <row r="185" spans="2:45" x14ac:dyDescent="0.35">
      <c r="B185" s="37" t="s">
        <v>596</v>
      </c>
      <c r="C185" s="13" t="s">
        <v>275</v>
      </c>
      <c r="D185" s="13" t="s">
        <v>121</v>
      </c>
      <c r="E185" s="13"/>
      <c r="F185" s="13"/>
      <c r="G185" s="13"/>
      <c r="H185" s="453"/>
      <c r="I185" s="30"/>
      <c r="J185" s="4"/>
      <c r="K185" s="47"/>
      <c r="L185" s="814"/>
      <c r="M185" s="818"/>
      <c r="N185" s="4"/>
      <c r="O185" s="75"/>
      <c r="X185" s="817"/>
    </row>
    <row r="186" spans="2:45" x14ac:dyDescent="0.35">
      <c r="B186" s="37" t="s">
        <v>596</v>
      </c>
      <c r="C186" s="13" t="s">
        <v>275</v>
      </c>
      <c r="D186" s="13" t="s">
        <v>121</v>
      </c>
      <c r="E186" s="13"/>
      <c r="F186" s="13"/>
      <c r="G186" s="13"/>
      <c r="H186" s="453"/>
      <c r="I186" s="30"/>
      <c r="J186" s="4"/>
      <c r="K186" s="100"/>
      <c r="L186" s="815"/>
      <c r="M186" s="819"/>
      <c r="N186" s="4"/>
      <c r="O186" s="75"/>
      <c r="X186" s="817"/>
    </row>
    <row r="187" spans="2:45" x14ac:dyDescent="0.35">
      <c r="B187" s="37" t="s">
        <v>596</v>
      </c>
      <c r="C187" s="13" t="s">
        <v>275</v>
      </c>
      <c r="D187" s="13" t="s">
        <v>122</v>
      </c>
      <c r="E187" s="13"/>
      <c r="F187" s="13"/>
      <c r="G187" s="13"/>
      <c r="H187" s="453"/>
      <c r="I187" s="30"/>
      <c r="J187" s="4"/>
      <c r="K187" s="47" t="s">
        <v>122</v>
      </c>
      <c r="L187" s="814" t="s">
        <v>615</v>
      </c>
      <c r="M187" s="818">
        <v>2</v>
      </c>
      <c r="N187" s="4"/>
      <c r="O187" s="75"/>
      <c r="X187" s="817"/>
      <c r="AL187" t="str">
        <f>SUBSTITUTE(SUBSTITUTE(SUBSTITUTE("dpa"&amp;$B187&amp;$C187&amp;$D187&amp;$E187,".","_"),"(","_"),")","")</f>
        <v>dpa602_1_9_5_b</v>
      </c>
      <c r="AM187">
        <f>M187</f>
        <v>2</v>
      </c>
    </row>
    <row r="188" spans="2:45" x14ac:dyDescent="0.35">
      <c r="B188" s="37" t="s">
        <v>596</v>
      </c>
      <c r="C188" s="13" t="s">
        <v>275</v>
      </c>
      <c r="D188" s="13" t="s">
        <v>122</v>
      </c>
      <c r="E188" s="13"/>
      <c r="F188" s="13"/>
      <c r="G188" s="13"/>
      <c r="H188" s="453"/>
      <c r="I188" s="30"/>
      <c r="J188" s="133"/>
      <c r="K188" s="101"/>
      <c r="L188" s="815"/>
      <c r="M188" s="819"/>
      <c r="N188" s="133"/>
      <c r="O188" s="309"/>
      <c r="X188" s="817"/>
    </row>
    <row r="189" spans="2:45" x14ac:dyDescent="0.35">
      <c r="B189" s="37" t="s">
        <v>596</v>
      </c>
      <c r="C189" s="13" t="s">
        <v>277</v>
      </c>
      <c r="D189" s="37"/>
      <c r="E189" s="13"/>
      <c r="F189" s="37"/>
      <c r="G189" s="37"/>
      <c r="H189" s="456"/>
      <c r="I189" s="30"/>
      <c r="J189" s="132" t="s">
        <v>277</v>
      </c>
      <c r="K189" s="119"/>
      <c r="L189" s="836" t="s">
        <v>616</v>
      </c>
      <c r="M189" s="822">
        <v>2</v>
      </c>
      <c r="N189" s="118"/>
      <c r="O189" s="823">
        <f>M189*S189*W189</f>
        <v>0</v>
      </c>
      <c r="P189" t="b">
        <v>1</v>
      </c>
      <c r="Q189" t="b">
        <v>0</v>
      </c>
      <c r="R189" t="b">
        <v>0</v>
      </c>
      <c r="S189" t="b">
        <v>1</v>
      </c>
      <c r="T189" t="b">
        <v>0</v>
      </c>
      <c r="W189" s="17"/>
      <c r="X189" s="817"/>
      <c r="AL189" t="str">
        <f>SUBSTITUTE(SUBSTITUTE(SUBSTITUTE("dpa"&amp;$B189&amp;$C189&amp;$D189&amp;$E189,".","_"),"(","_"),")","")</f>
        <v>dpa602_1_9_6</v>
      </c>
      <c r="AM189">
        <f>M189</f>
        <v>2</v>
      </c>
      <c r="AN189" t="str">
        <f>SUBSTITUTE(SUBSTITUTE(SUBSTITUTE("dpc"&amp;$B189&amp;$C189&amp;$D189&amp;$E189,".","_"),"(","_"),")","")</f>
        <v>dpc602_1_9_6</v>
      </c>
      <c r="AO189">
        <f>O189</f>
        <v>0</v>
      </c>
      <c r="AP189" t="str">
        <f>SUBSTITUTE(SUBSTITUTE(SUBSTITUTE("dch"&amp;$B189&amp;$C189&amp;$D189&amp;$E189,".","_"),"(","_"),")","")</f>
        <v>dch602_1_9_6</v>
      </c>
      <c r="AQ189" t="str">
        <f>IF(LEN(W189)=0,"",W189)</f>
        <v/>
      </c>
      <c r="AR189" t="str">
        <f>SUBSTITUTE(SUBSTITUTE(SUBSTITUTE("dnt"&amp;$B189&amp;$C189&amp;$D189&amp;$E189,".","_"),"(","_"),")","")</f>
        <v>dnt602_1_9_6</v>
      </c>
      <c r="AS189" t="str">
        <f>IF(LEN(X189)=0,"",X189)</f>
        <v/>
      </c>
    </row>
    <row r="190" spans="2:45" x14ac:dyDescent="0.35">
      <c r="B190" s="37" t="s">
        <v>596</v>
      </c>
      <c r="C190" s="13" t="s">
        <v>277</v>
      </c>
      <c r="D190" s="37"/>
      <c r="E190" s="13"/>
      <c r="F190" s="37"/>
      <c r="G190" s="37"/>
      <c r="H190" s="456"/>
      <c r="I190" s="30"/>
      <c r="J190" s="133"/>
      <c r="K190" s="101"/>
      <c r="L190" s="815"/>
      <c r="M190" s="819"/>
      <c r="N190" s="133"/>
      <c r="O190" s="824"/>
      <c r="X190" s="817"/>
    </row>
    <row r="191" spans="2:45" ht="15" thickBot="1" x14ac:dyDescent="0.4">
      <c r="B191" s="37" t="s">
        <v>596</v>
      </c>
      <c r="C191" s="13" t="s">
        <v>383</v>
      </c>
      <c r="D191" s="38"/>
      <c r="E191" s="13"/>
      <c r="F191" s="38"/>
      <c r="G191" s="38"/>
      <c r="H191" s="457"/>
      <c r="I191" s="30"/>
      <c r="J191" s="19" t="s">
        <v>383</v>
      </c>
      <c r="K191" s="43"/>
      <c r="L191" s="90" t="s">
        <v>617</v>
      </c>
      <c r="M191" s="40">
        <v>2</v>
      </c>
      <c r="N191" s="4"/>
      <c r="O191" s="75">
        <f>M191*S191*W191</f>
        <v>0</v>
      </c>
      <c r="P191" t="b">
        <v>1</v>
      </c>
      <c r="Q191" t="b">
        <v>0</v>
      </c>
      <c r="R191" t="b">
        <v>0</v>
      </c>
      <c r="S191" t="b">
        <v>1</v>
      </c>
      <c r="T191" t="b">
        <v>0</v>
      </c>
      <c r="W191" s="17"/>
      <c r="X191" s="96"/>
      <c r="AL191" t="str">
        <f>SUBSTITUTE(SUBSTITUTE(SUBSTITUTE("dpa"&amp;$B191&amp;$C191&amp;$D191&amp;$E191,".","_"),"(","_"),")","")</f>
        <v>dpa602_1_9_7</v>
      </c>
      <c r="AM191">
        <f>M191</f>
        <v>2</v>
      </c>
      <c r="AN191" t="str">
        <f>SUBSTITUTE(SUBSTITUTE(SUBSTITUTE("dpc"&amp;$B191&amp;$C191&amp;$D191&amp;$E191,".","_"),"(","_"),")","")</f>
        <v>dpc602_1_9_7</v>
      </c>
      <c r="AO191">
        <f>O191</f>
        <v>0</v>
      </c>
      <c r="AP191" t="str">
        <f>SUBSTITUTE(SUBSTITUTE(SUBSTITUTE("dch"&amp;$B191&amp;$C191&amp;$D191&amp;$E191,".","_"),"(","_"),")","")</f>
        <v>dch602_1_9_7</v>
      </c>
      <c r="AQ191" t="str">
        <f>IF(LEN(W191)=0,"",W191)</f>
        <v/>
      </c>
      <c r="AR191" t="str">
        <f>SUBSTITUTE(SUBSTITUTE(SUBSTITUTE("dnt"&amp;$B191&amp;$C191&amp;$D191&amp;$E191,".","_"),"(","_"),")","")</f>
        <v>dnt602_1_9_7</v>
      </c>
      <c r="AS191" t="str">
        <f>IF(LEN(X191)=0,"",X191)</f>
        <v/>
      </c>
    </row>
    <row r="192" spans="2:45" ht="15" customHeight="1" thickTop="1" x14ac:dyDescent="0.35">
      <c r="B192" s="412" t="s">
        <v>618</v>
      </c>
      <c r="C192" s="449"/>
      <c r="D192" s="13"/>
      <c r="E192" s="13"/>
      <c r="F192" s="13"/>
      <c r="G192" s="13"/>
      <c r="H192" s="453"/>
      <c r="I192" s="106" t="s">
        <v>619</v>
      </c>
      <c r="J192" s="107"/>
      <c r="K192" s="108"/>
      <c r="L192" s="837" t="s">
        <v>5584</v>
      </c>
      <c r="M192" s="907" t="s">
        <v>737</v>
      </c>
      <c r="N192" s="107"/>
      <c r="O192" s="831">
        <f ca="1">IFERROR(INDEX({2,4,6},MATCH(W193,INDIRECT(U193),0)),0)</f>
        <v>2</v>
      </c>
      <c r="P192" s="59"/>
      <c r="Q192" s="59"/>
      <c r="R192" s="59"/>
      <c r="S192" s="59"/>
      <c r="T192" s="59"/>
      <c r="U192" s="59"/>
      <c r="V192" s="59"/>
      <c r="W192" s="59"/>
      <c r="X192" s="59"/>
      <c r="AL192" t="str">
        <f>SUBSTITUTE(SUBSTITUTE(SUBSTITUTE("dpa"&amp;$B192&amp;$C192&amp;$D192&amp;$E192,".","_"),"(","_"),")","")</f>
        <v>dpa602_1_10</v>
      </c>
      <c r="AM192" t="str">
        <f>M192</f>
        <v>2 per exterior door
6 Max</v>
      </c>
      <c r="AN192" t="str">
        <f>SUBSTITUTE(SUBSTITUTE(SUBSTITUTE("dpc"&amp;$B192&amp;$C192&amp;$D192&amp;$E192,".","_"),"(","_"),")","")</f>
        <v>dpc602_1_10</v>
      </c>
      <c r="AO192">
        <f ca="1">O192</f>
        <v>2</v>
      </c>
    </row>
    <row r="193" spans="2:45" ht="15" customHeight="1" x14ac:dyDescent="0.35">
      <c r="B193" s="412" t="s">
        <v>618</v>
      </c>
      <c r="C193" s="449"/>
      <c r="D193" s="13"/>
      <c r="E193" s="13"/>
      <c r="F193" s="13"/>
      <c r="G193" s="13"/>
      <c r="H193" s="453"/>
      <c r="I193" s="30"/>
      <c r="J193" s="4"/>
      <c r="K193" s="43"/>
      <c r="L193" s="838"/>
      <c r="M193" s="891"/>
      <c r="N193" s="4"/>
      <c r="O193" s="832"/>
      <c r="P193" t="b">
        <v>1</v>
      </c>
      <c r="Q193" t="b">
        <v>1</v>
      </c>
      <c r="R193" t="b">
        <v>0</v>
      </c>
      <c r="S193" t="b">
        <v>1</v>
      </c>
      <c r="T193" t="b">
        <v>0</v>
      </c>
      <c r="U193" t="str">
        <f>SUBSTITUTE(SUBSTITUTE(SUBSTITUTE("dd"&amp;B193&amp;C193&amp;D193&amp;E193&amp;F193,".","_"),"(","_"),")","")</f>
        <v>dd602_1_10</v>
      </c>
      <c r="W193" s="9" t="s">
        <v>3047</v>
      </c>
      <c r="X193" s="817"/>
      <c r="AP193" t="str">
        <f>SUBSTITUTE(SUBSTITUTE(SUBSTITUTE("dch"&amp;$B193&amp;$C193&amp;$D193&amp;$E193,".","_"),"(","_"),")","")</f>
        <v>dch602_1_10</v>
      </c>
      <c r="AQ193" t="str">
        <f>IF(LEN(W193)=0,"",W193)</f>
        <v>1 exterior door</v>
      </c>
      <c r="AR193" t="str">
        <f>SUBSTITUTE(SUBSTITUTE(SUBSTITUTE("dnt"&amp;$B193&amp;$C193&amp;$D193&amp;$E193,".","_"),"(","_"),")","")</f>
        <v>dnt602_1_10</v>
      </c>
      <c r="AS193" t="str">
        <f>IF(LEN(X193)=0,"",X193)</f>
        <v/>
      </c>
    </row>
    <row r="194" spans="2:45" ht="15" customHeight="1" x14ac:dyDescent="0.35">
      <c r="B194" s="412" t="s">
        <v>618</v>
      </c>
      <c r="C194" s="449"/>
      <c r="D194" s="13"/>
      <c r="E194" s="13"/>
      <c r="F194" s="13"/>
      <c r="G194" s="13"/>
      <c r="H194" s="453"/>
      <c r="I194" s="30"/>
      <c r="J194" s="4"/>
      <c r="K194" s="43"/>
      <c r="L194" s="838"/>
      <c r="M194" s="891"/>
      <c r="N194" s="4"/>
      <c r="O194" s="832"/>
      <c r="X194" s="817"/>
    </row>
    <row r="195" spans="2:45" ht="15" customHeight="1" x14ac:dyDescent="0.35">
      <c r="B195" s="412" t="s">
        <v>618</v>
      </c>
      <c r="C195" s="449"/>
      <c r="D195" s="13"/>
      <c r="E195" s="13"/>
      <c r="F195" s="13"/>
      <c r="G195" s="13"/>
      <c r="H195" s="453"/>
      <c r="I195" s="30"/>
      <c r="J195" s="4"/>
      <c r="K195" s="43"/>
      <c r="L195" s="838"/>
      <c r="M195" s="891"/>
      <c r="N195" s="4"/>
      <c r="O195" s="832"/>
      <c r="X195" s="817"/>
    </row>
    <row r="196" spans="2:45" ht="15" customHeight="1" x14ac:dyDescent="0.35">
      <c r="B196" s="412" t="s">
        <v>618</v>
      </c>
      <c r="C196" s="449"/>
      <c r="D196" s="13"/>
      <c r="E196" s="13"/>
      <c r="F196" s="13"/>
      <c r="G196" s="13"/>
      <c r="H196" s="453"/>
      <c r="I196" s="30"/>
      <c r="J196" s="4"/>
      <c r="K196" s="43"/>
      <c r="L196" s="838"/>
      <c r="M196" s="891"/>
      <c r="N196" s="4"/>
      <c r="O196" s="832"/>
      <c r="X196" s="817"/>
    </row>
    <row r="197" spans="2:45" ht="15" customHeight="1" x14ac:dyDescent="0.35">
      <c r="B197" s="412" t="s">
        <v>618</v>
      </c>
      <c r="C197" s="449"/>
      <c r="D197" s="13"/>
      <c r="E197" s="13"/>
      <c r="F197" s="13"/>
      <c r="G197" s="13"/>
      <c r="H197" s="453"/>
      <c r="I197" s="30"/>
      <c r="J197" s="4"/>
      <c r="K197" s="43"/>
      <c r="L197" s="838"/>
      <c r="M197" s="891"/>
      <c r="N197" s="4"/>
      <c r="O197" s="832"/>
      <c r="X197" s="817"/>
    </row>
    <row r="198" spans="2:45" x14ac:dyDescent="0.35">
      <c r="B198" s="412" t="s">
        <v>618</v>
      </c>
      <c r="C198" s="449"/>
      <c r="D198" s="13"/>
      <c r="E198" s="13"/>
      <c r="F198" s="13"/>
      <c r="G198" s="13"/>
      <c r="H198" s="453"/>
      <c r="I198" s="30"/>
      <c r="J198" s="4"/>
      <c r="K198" s="43"/>
      <c r="L198" s="218" t="str">
        <f>"This Project's Climate Zone: "&amp;BF16</f>
        <v>This Project's Climate Zone: 4</v>
      </c>
      <c r="M198" s="891"/>
      <c r="N198" s="4"/>
      <c r="O198" s="832"/>
      <c r="X198" s="817"/>
    </row>
    <row r="199" spans="2:45" ht="15" customHeight="1" x14ac:dyDescent="0.35">
      <c r="B199" s="412" t="s">
        <v>618</v>
      </c>
      <c r="C199" s="449"/>
      <c r="D199" s="13" t="s">
        <v>121</v>
      </c>
      <c r="E199" s="13"/>
      <c r="F199" s="13"/>
      <c r="G199" s="13"/>
      <c r="H199" s="453"/>
      <c r="I199" s="30"/>
      <c r="J199" s="4"/>
      <c r="K199" s="47" t="s">
        <v>121</v>
      </c>
      <c r="L199" s="90" t="s">
        <v>620</v>
      </c>
      <c r="M199" s="891"/>
      <c r="N199" s="4"/>
      <c r="O199" s="832"/>
      <c r="X199" s="817"/>
    </row>
    <row r="200" spans="2:45" ht="15" customHeight="1" x14ac:dyDescent="0.35">
      <c r="B200" s="412" t="s">
        <v>618</v>
      </c>
      <c r="C200" s="449"/>
      <c r="D200" s="13" t="s">
        <v>122</v>
      </c>
      <c r="E200" s="13"/>
      <c r="F200" s="13"/>
      <c r="G200" s="13"/>
      <c r="H200" s="453"/>
      <c r="I200" s="30"/>
      <c r="J200" s="4"/>
      <c r="K200" s="47" t="s">
        <v>122</v>
      </c>
      <c r="L200" s="90" t="s">
        <v>621</v>
      </c>
      <c r="M200" s="891"/>
      <c r="N200" s="4"/>
      <c r="O200" s="832"/>
      <c r="X200" s="817"/>
    </row>
    <row r="201" spans="2:45" ht="15" customHeight="1" x14ac:dyDescent="0.35">
      <c r="B201" s="412" t="s">
        <v>618</v>
      </c>
      <c r="C201" s="449"/>
      <c r="D201" s="13" t="s">
        <v>123</v>
      </c>
      <c r="E201" s="13"/>
      <c r="F201" s="13"/>
      <c r="G201" s="13"/>
      <c r="H201" s="453"/>
      <c r="I201" s="30"/>
      <c r="J201" s="4"/>
      <c r="K201" s="49" t="s">
        <v>123</v>
      </c>
      <c r="L201" s="90" t="s">
        <v>622</v>
      </c>
      <c r="M201" s="891"/>
      <c r="N201" s="4"/>
      <c r="O201" s="832"/>
      <c r="X201" s="817"/>
    </row>
    <row r="202" spans="2:45" ht="15" customHeight="1" x14ac:dyDescent="0.35">
      <c r="B202" s="412" t="s">
        <v>618</v>
      </c>
      <c r="C202" s="449"/>
      <c r="D202" s="13" t="s">
        <v>401</v>
      </c>
      <c r="E202" s="13"/>
      <c r="F202" s="13"/>
      <c r="G202" s="13"/>
      <c r="H202" s="453"/>
      <c r="I202" s="30"/>
      <c r="J202" s="4"/>
      <c r="K202" s="45" t="s">
        <v>401</v>
      </c>
      <c r="L202" s="90" t="s">
        <v>623</v>
      </c>
      <c r="M202" s="891"/>
      <c r="N202" s="4"/>
      <c r="O202" s="832"/>
      <c r="X202" s="817"/>
    </row>
    <row r="203" spans="2:45" x14ac:dyDescent="0.35">
      <c r="B203" s="412" t="s">
        <v>618</v>
      </c>
      <c r="C203" s="449"/>
      <c r="D203" s="13"/>
      <c r="E203" s="13"/>
      <c r="F203" s="13"/>
      <c r="G203" s="13"/>
      <c r="H203" s="453"/>
      <c r="I203" s="30"/>
      <c r="J203" s="4"/>
      <c r="K203" s="45"/>
      <c r="L203" s="855" t="s">
        <v>3050</v>
      </c>
      <c r="M203" s="891"/>
      <c r="N203" s="4"/>
      <c r="O203" s="832"/>
      <c r="X203" s="817"/>
    </row>
    <row r="204" spans="2:45" ht="15" thickBot="1" x14ac:dyDescent="0.4">
      <c r="B204" s="412" t="s">
        <v>618</v>
      </c>
      <c r="C204" s="449"/>
      <c r="D204" s="13"/>
      <c r="E204" s="13"/>
      <c r="F204" s="13"/>
      <c r="G204" s="13"/>
      <c r="H204" s="453"/>
      <c r="I204" s="30"/>
      <c r="J204" s="4"/>
      <c r="K204" s="45"/>
      <c r="L204" s="893"/>
      <c r="M204" s="891"/>
      <c r="N204" s="4"/>
      <c r="O204" s="832"/>
      <c r="W204" s="64"/>
      <c r="X204" s="850"/>
    </row>
    <row r="205" spans="2:45" ht="15" customHeight="1" thickTop="1" x14ac:dyDescent="0.35">
      <c r="B205" s="412" t="s">
        <v>624</v>
      </c>
      <c r="C205" s="449"/>
      <c r="D205" s="13"/>
      <c r="E205" s="13"/>
      <c r="F205" s="13"/>
      <c r="G205" s="13"/>
      <c r="H205" s="453"/>
      <c r="I205" s="106" t="s">
        <v>625</v>
      </c>
      <c r="J205" s="107"/>
      <c r="K205" s="108"/>
      <c r="L205" s="837" t="s">
        <v>626</v>
      </c>
      <c r="M205" s="899" t="str">
        <f>IF(R205,"Mandatory","N/A")</f>
        <v>Mandatory</v>
      </c>
      <c r="N205" s="107"/>
      <c r="O205" s="308"/>
      <c r="P205" s="59" t="b">
        <v>1</v>
      </c>
      <c r="Q205" s="59" t="b">
        <v>1</v>
      </c>
      <c r="R205" s="59" t="b">
        <f>S205</f>
        <v>1</v>
      </c>
      <c r="S205" s="59" t="b">
        <v>1</v>
      </c>
      <c r="T205" s="59" t="b">
        <v>0</v>
      </c>
      <c r="U205" s="59" t="str">
        <f>SUBSTITUTE(SUBSTITUTE(SUBSTITUTE("dd"&amp;B205&amp;C205&amp;D205&amp;E205&amp;F205,".","_"),"(","_"),")","")</f>
        <v>dd602_1_11</v>
      </c>
      <c r="V205" s="59"/>
      <c r="W205" s="167" t="s">
        <v>3038</v>
      </c>
      <c r="X205" s="840" t="s">
        <v>6111</v>
      </c>
      <c r="AC205" t="b">
        <f>OR(AD205:AE205)</f>
        <v>0</v>
      </c>
      <c r="AD205" t="b">
        <v>0</v>
      </c>
      <c r="AE205" t="b">
        <f>AND(R205,NOT(W205="Met"),NOT(W205="N/A"))</f>
        <v>0</v>
      </c>
      <c r="AL205" t="str">
        <f>SUBSTITUTE(SUBSTITUTE(SUBSTITUTE("dpa"&amp;$B205&amp;$C205&amp;$D205&amp;$E205,".","_"),"(","_"),")","")</f>
        <v>dpa602_1_11</v>
      </c>
      <c r="AM205" t="str">
        <f>M205</f>
        <v>Mandatory</v>
      </c>
      <c r="AP205" t="str">
        <f>SUBSTITUTE(SUBSTITUTE(SUBSTITUTE("dch"&amp;$B205&amp;$C205&amp;$D205&amp;$E205,".","_"),"(","_"),")","")</f>
        <v>dch602_1_11</v>
      </c>
      <c r="AQ205" t="str">
        <f>IF(LEN(W205)=0,"",W205)</f>
        <v>Met</v>
      </c>
      <c r="AR205" t="str">
        <f>SUBSTITUTE(SUBSTITUTE(SUBSTITUTE("dnt"&amp;$B205&amp;$C205&amp;$D205&amp;$E205,".","_"),"(","_"),")","")</f>
        <v>dnt602_1_11</v>
      </c>
      <c r="AS205" t="str">
        <f>IF(LEN(X205)=0,"",X205)</f>
        <v>Hardie® Backer Cement Boards with MoldBLock® Technology</v>
      </c>
    </row>
    <row r="206" spans="2:45" ht="15" customHeight="1" thickBot="1" x14ac:dyDescent="0.4">
      <c r="B206" s="412" t="s">
        <v>624</v>
      </c>
      <c r="C206" s="449"/>
      <c r="D206" s="13"/>
      <c r="E206" s="13"/>
      <c r="F206" s="13"/>
      <c r="G206" s="13"/>
      <c r="H206" s="453"/>
      <c r="I206" s="30"/>
      <c r="J206" s="4"/>
      <c r="K206" s="43"/>
      <c r="L206" s="838"/>
      <c r="M206" s="885"/>
      <c r="N206" s="4"/>
      <c r="O206" s="75"/>
      <c r="W206" s="168"/>
      <c r="X206" s="850"/>
    </row>
    <row r="207" spans="2:45" ht="15" customHeight="1" thickTop="1" x14ac:dyDescent="0.35">
      <c r="B207" s="412" t="s">
        <v>627</v>
      </c>
      <c r="C207" s="449"/>
      <c r="D207" s="13"/>
      <c r="E207" s="13"/>
      <c r="F207" s="13"/>
      <c r="G207" s="13"/>
      <c r="H207" s="453"/>
      <c r="I207" s="106" t="s">
        <v>627</v>
      </c>
      <c r="J207" s="107"/>
      <c r="K207" s="108"/>
      <c r="L207" s="837" t="s">
        <v>628</v>
      </c>
      <c r="M207" s="830">
        <v>4</v>
      </c>
      <c r="N207" s="107"/>
      <c r="O207" s="831">
        <f ca="1">M207*S207*W207</f>
        <v>4</v>
      </c>
      <c r="P207" t="b">
        <v>1</v>
      </c>
      <c r="Q207" t="b">
        <v>0</v>
      </c>
      <c r="R207" s="59" t="b">
        <v>0</v>
      </c>
      <c r="S207" s="59" t="b">
        <f ca="1">OR(W58="no stacked stories",W58=INDEX(INDIRECT(U58),1))</f>
        <v>1</v>
      </c>
      <c r="T207" t="b">
        <f ca="1">AND(NOT(S207),W207=TRUE)</f>
        <v>0</v>
      </c>
      <c r="U207" s="59"/>
      <c r="V207" s="59"/>
      <c r="W207" s="69" t="b">
        <v>1</v>
      </c>
      <c r="X207" s="840"/>
      <c r="AC207" t="b">
        <f ca="1">OR(AD207:AE207)</f>
        <v>0</v>
      </c>
      <c r="AD207" t="b">
        <f ca="1">T207</f>
        <v>0</v>
      </c>
      <c r="AL207" t="str">
        <f>SUBSTITUTE(SUBSTITUTE(SUBSTITUTE("dpa"&amp;$B207&amp;$C207&amp;$D207&amp;$E207,".","_"),"(","_"),")","")</f>
        <v>dpa602_1_12</v>
      </c>
      <c r="AM207">
        <f>M207</f>
        <v>4</v>
      </c>
      <c r="AN207" t="str">
        <f>SUBSTITUTE(SUBSTITUTE(SUBSTITUTE("dpc"&amp;$B207&amp;$C207&amp;$D207&amp;$E207,".","_"),"(","_"),")","")</f>
        <v>dpc602_1_12</v>
      </c>
      <c r="AO207">
        <f ca="1">O207</f>
        <v>4</v>
      </c>
      <c r="AP207" t="str">
        <f>SUBSTITUTE(SUBSTITUTE(SUBSTITUTE("dch"&amp;$B207&amp;$C207&amp;$D207&amp;$E207,".","_"),"(","_"),")","")</f>
        <v>dch602_1_12</v>
      </c>
      <c r="AQ207" t="b">
        <f>IF(LEN(W207)=0,"",W207)</f>
        <v>1</v>
      </c>
      <c r="AR207" t="str">
        <f>SUBSTITUTE(SUBSTITUTE(SUBSTITUTE("dnt"&amp;$B207&amp;$C207&amp;$D207&amp;$E207,".","_"),"(","_"),")","")</f>
        <v>dnt602_1_12</v>
      </c>
      <c r="AS207" t="str">
        <f>IF(LEN(X207)=0,"",X207)</f>
        <v/>
      </c>
    </row>
    <row r="208" spans="2:45" ht="15" customHeight="1" x14ac:dyDescent="0.35">
      <c r="B208" s="412" t="s">
        <v>627</v>
      </c>
      <c r="C208" s="449"/>
      <c r="D208" s="13"/>
      <c r="E208" s="13"/>
      <c r="F208" s="13"/>
      <c r="G208" s="13"/>
      <c r="H208" s="453"/>
      <c r="I208" s="30"/>
      <c r="J208" s="4"/>
      <c r="K208" s="43"/>
      <c r="L208" s="838"/>
      <c r="M208" s="818"/>
      <c r="N208" s="4"/>
      <c r="O208" s="832"/>
      <c r="X208" s="817"/>
    </row>
    <row r="209" spans="1:45" ht="15" thickBot="1" x14ac:dyDescent="0.4">
      <c r="B209" s="412" t="s">
        <v>627</v>
      </c>
      <c r="C209" s="449"/>
      <c r="D209" s="13"/>
      <c r="E209" s="13"/>
      <c r="F209" s="13"/>
      <c r="G209" s="13"/>
      <c r="H209" s="453"/>
      <c r="I209" s="30"/>
      <c r="J209" s="4"/>
      <c r="K209" s="43"/>
      <c r="L209" s="585" t="s">
        <v>3035</v>
      </c>
      <c r="M209" s="818"/>
      <c r="N209" s="4"/>
      <c r="O209" s="832"/>
      <c r="W209" s="64"/>
      <c r="X209" s="850"/>
    </row>
    <row r="210" spans="1:45" ht="15" thickTop="1" x14ac:dyDescent="0.35">
      <c r="B210" s="37" t="s">
        <v>629</v>
      </c>
      <c r="C210" s="37"/>
      <c r="D210" s="13"/>
      <c r="E210" s="13"/>
      <c r="F210" s="13"/>
      <c r="G210" s="13"/>
      <c r="H210" s="453"/>
      <c r="I210" s="106" t="s">
        <v>630</v>
      </c>
      <c r="J210" s="107"/>
      <c r="K210" s="108"/>
      <c r="L210" s="837" t="s">
        <v>631</v>
      </c>
      <c r="M210" s="899" t="str">
        <f>IF(R210,"Mandatory","N/A")</f>
        <v>Mandatory</v>
      </c>
      <c r="N210" s="107"/>
      <c r="O210" s="308"/>
      <c r="P210" s="59" t="b">
        <v>1</v>
      </c>
      <c r="Q210" s="59" t="b">
        <v>0</v>
      </c>
      <c r="R210" s="59" t="b">
        <f>S210</f>
        <v>1</v>
      </c>
      <c r="S210" s="59" t="b">
        <v>1</v>
      </c>
      <c r="T210" s="59" t="b">
        <v>0</v>
      </c>
      <c r="U210" s="59" t="str">
        <f>SUBSTITUTE(SUBSTITUTE(SUBSTITUTE("dd"&amp;B210&amp;C210&amp;D210&amp;E210&amp;F210,".","_"),"(","_"),")","")</f>
        <v>dd602_1_13</v>
      </c>
      <c r="V210" s="59"/>
      <c r="W210" s="167" t="s">
        <v>3040</v>
      </c>
      <c r="X210" s="840"/>
      <c r="AC210" t="b">
        <f>OR(AD210:AE210)</f>
        <v>0</v>
      </c>
      <c r="AD210" t="b">
        <v>0</v>
      </c>
      <c r="AE210" t="b">
        <f>AND(R210,NOT(W210="Met"),NOT(W210="N/A"))</f>
        <v>0</v>
      </c>
      <c r="AL210" t="str">
        <f>SUBSTITUTE(SUBSTITUTE(SUBSTITUTE("dpa"&amp;$B210&amp;$C210&amp;$D210&amp;$E210,".","_"),"(","_"),")","")</f>
        <v>dpa602_1_13</v>
      </c>
      <c r="AM210" t="str">
        <f>M210</f>
        <v>Mandatory</v>
      </c>
      <c r="AP210" t="str">
        <f>SUBSTITUTE(SUBSTITUTE(SUBSTITUTE("dch"&amp;$B210&amp;$C210&amp;$D210&amp;$E210,".","_"),"(","_"),")","")</f>
        <v>dch602_1_13</v>
      </c>
      <c r="AQ210" t="str">
        <f>IF(LEN(W210)=0,"",W210)</f>
        <v>N/A</v>
      </c>
      <c r="AR210" t="str">
        <f>SUBSTITUTE(SUBSTITUTE(SUBSTITUTE("dnt"&amp;$B210&amp;$C210&amp;$D210&amp;$E210,".","_"),"(","_"),")","")</f>
        <v>dnt602_1_13</v>
      </c>
      <c r="AS210" t="str">
        <f>IF(LEN(X210)=0,"",X210)</f>
        <v/>
      </c>
    </row>
    <row r="211" spans="1:45" x14ac:dyDescent="0.35">
      <c r="B211" s="37" t="s">
        <v>629</v>
      </c>
      <c r="C211" s="37"/>
      <c r="D211" s="13"/>
      <c r="E211" s="13"/>
      <c r="F211" s="13"/>
      <c r="G211" s="13"/>
      <c r="H211" s="453"/>
      <c r="I211" s="30"/>
      <c r="J211" s="4"/>
      <c r="K211" s="43"/>
      <c r="L211" s="838"/>
      <c r="M211" s="885"/>
      <c r="N211" s="4"/>
      <c r="O211" s="75"/>
      <c r="X211" s="817"/>
    </row>
    <row r="212" spans="1:45" x14ac:dyDescent="0.35">
      <c r="B212" s="37" t="s">
        <v>629</v>
      </c>
      <c r="C212" s="37"/>
      <c r="D212" s="13"/>
      <c r="E212" s="13"/>
      <c r="F212" s="13"/>
      <c r="G212" s="13"/>
      <c r="H212" s="453"/>
      <c r="I212" s="30"/>
      <c r="J212" s="4"/>
      <c r="K212" s="43"/>
      <c r="L212" s="838"/>
      <c r="M212" s="885"/>
      <c r="N212" s="4"/>
      <c r="O212" s="75"/>
      <c r="X212" s="817"/>
    </row>
    <row r="213" spans="1:45" ht="15" thickBot="1" x14ac:dyDescent="0.4">
      <c r="B213" s="37" t="s">
        <v>629</v>
      </c>
      <c r="C213" s="37"/>
      <c r="D213" s="13"/>
      <c r="E213" s="13"/>
      <c r="F213" s="13"/>
      <c r="G213" s="13"/>
      <c r="H213" s="453"/>
      <c r="I213" s="30"/>
      <c r="J213" s="4"/>
      <c r="K213" s="43"/>
      <c r="L213" s="838"/>
      <c r="M213" s="885"/>
      <c r="N213" s="4"/>
      <c r="O213" s="75"/>
      <c r="X213" s="850"/>
    </row>
    <row r="214" spans="1:45" ht="15" thickTop="1" x14ac:dyDescent="0.35">
      <c r="B214" s="37" t="s">
        <v>632</v>
      </c>
      <c r="C214" s="37"/>
      <c r="D214" s="13"/>
      <c r="E214" s="13"/>
      <c r="F214" s="13"/>
      <c r="G214" s="13"/>
      <c r="H214" s="453"/>
      <c r="I214" s="106" t="s">
        <v>632</v>
      </c>
      <c r="J214" s="107"/>
      <c r="K214" s="108"/>
      <c r="L214" s="837" t="s">
        <v>633</v>
      </c>
      <c r="M214" s="267"/>
      <c r="N214" s="107"/>
      <c r="O214" s="308"/>
      <c r="P214" s="59"/>
      <c r="Q214" s="59"/>
      <c r="R214" s="59"/>
      <c r="S214" s="59"/>
      <c r="T214" s="59"/>
      <c r="U214" s="59"/>
      <c r="V214" s="59"/>
      <c r="W214" s="59"/>
      <c r="X214" s="59"/>
    </row>
    <row r="215" spans="1:45" x14ac:dyDescent="0.35">
      <c r="B215" s="37" t="s">
        <v>632</v>
      </c>
      <c r="C215" s="37"/>
      <c r="D215" s="13"/>
      <c r="E215" s="13"/>
      <c r="F215" s="13"/>
      <c r="G215" s="13"/>
      <c r="H215" s="453"/>
      <c r="I215" s="30"/>
      <c r="J215" s="4"/>
      <c r="K215" s="43"/>
      <c r="L215" s="838"/>
      <c r="M215" s="40"/>
      <c r="N215" s="4"/>
      <c r="O215" s="75"/>
    </row>
    <row r="216" spans="1:45" x14ac:dyDescent="0.35">
      <c r="B216" s="37" t="s">
        <v>632</v>
      </c>
      <c r="C216" s="13" t="s">
        <v>256</v>
      </c>
      <c r="D216" s="13"/>
      <c r="E216" s="13"/>
      <c r="F216" s="13"/>
      <c r="G216" s="13"/>
      <c r="H216" s="453"/>
      <c r="I216" s="30"/>
      <c r="J216" s="19" t="s">
        <v>256</v>
      </c>
      <c r="K216" s="43"/>
      <c r="L216" s="814" t="s">
        <v>634</v>
      </c>
      <c r="M216" s="900" t="str">
        <f>IF(R216,"Mandatory
1","N/A")</f>
        <v>Mandatory
1</v>
      </c>
      <c r="N216" s="4"/>
      <c r="O216" s="832">
        <f>IF(AND(S216,W216="Met"),1,0)</f>
        <v>1</v>
      </c>
      <c r="P216" t="b">
        <v>1</v>
      </c>
      <c r="Q216" t="b">
        <v>1</v>
      </c>
      <c r="R216" t="b">
        <f>S216</f>
        <v>1</v>
      </c>
      <c r="S216" t="b">
        <v>1</v>
      </c>
      <c r="T216" t="b">
        <v>0</v>
      </c>
      <c r="U216" t="str">
        <f>SUBSTITUTE(SUBSTITUTE(SUBSTITUTE("dd"&amp;B216&amp;C216&amp;D216&amp;E216&amp;F216,".","_"),"(","_"),")","")</f>
        <v>dd602_1_14_1</v>
      </c>
      <c r="W216" s="9" t="s">
        <v>3038</v>
      </c>
      <c r="X216" s="817"/>
      <c r="AC216" t="b">
        <f>OR(AD216:AE216)</f>
        <v>0</v>
      </c>
      <c r="AD216" t="b">
        <v>0</v>
      </c>
      <c r="AE216" t="b">
        <f>AND(R216,NOT(W216="Met"),NOT(W216="N/A"))</f>
        <v>0</v>
      </c>
      <c r="AL216" t="str">
        <f>SUBSTITUTE(SUBSTITUTE(SUBSTITUTE("dpa"&amp;$B216&amp;$C216&amp;$D216&amp;$E216,".","_"),"(","_"),")","")</f>
        <v>dpa602_1_14_1</v>
      </c>
      <c r="AM216" t="str">
        <f>M216</f>
        <v>Mandatory
1</v>
      </c>
      <c r="AN216" t="str">
        <f>SUBSTITUTE(SUBSTITUTE(SUBSTITUTE("dpc"&amp;$B216&amp;$C216&amp;$D216&amp;$E216,".","_"),"(","_"),")","")</f>
        <v>dpc602_1_14_1</v>
      </c>
      <c r="AO216">
        <f>O216</f>
        <v>1</v>
      </c>
      <c r="AP216" t="str">
        <f>SUBSTITUTE(SUBSTITUTE(SUBSTITUTE("dch"&amp;$B216&amp;$C216&amp;$D216&amp;$E216,".","_"),"(","_"),")","")</f>
        <v>dch602_1_14_1</v>
      </c>
      <c r="AQ216" t="str">
        <f>IF(LEN(W216)=0,"",W216)</f>
        <v>Met</v>
      </c>
      <c r="AR216" t="str">
        <f>SUBSTITUTE(SUBSTITUTE(SUBSTITUTE("dnt"&amp;$B216&amp;$C216&amp;$D216&amp;$E216,".","_"),"(","_"),")","")</f>
        <v>dnt602_1_14_1</v>
      </c>
      <c r="AS216" t="str">
        <f>IF(LEN(X216)=0,"",X216)</f>
        <v/>
      </c>
    </row>
    <row r="217" spans="1:45" x14ac:dyDescent="0.35">
      <c r="B217" s="37" t="s">
        <v>632</v>
      </c>
      <c r="C217" s="13" t="s">
        <v>256</v>
      </c>
      <c r="D217" s="13"/>
      <c r="E217" s="13"/>
      <c r="F217" s="13"/>
      <c r="G217" s="13"/>
      <c r="H217" s="453"/>
      <c r="I217" s="30"/>
      <c r="J217" s="133"/>
      <c r="K217" s="101"/>
      <c r="L217" s="815"/>
      <c r="M217" s="901"/>
      <c r="N217" s="133"/>
      <c r="O217" s="824"/>
      <c r="X217" s="817"/>
    </row>
    <row r="218" spans="1:45" x14ac:dyDescent="0.35">
      <c r="B218" s="37" t="s">
        <v>632</v>
      </c>
      <c r="C218" s="13" t="s">
        <v>258</v>
      </c>
      <c r="D218" s="13"/>
      <c r="E218" s="13"/>
      <c r="F218" s="13"/>
      <c r="G218" s="13"/>
      <c r="H218" s="453"/>
      <c r="I218" s="30"/>
      <c r="J218" s="130" t="s">
        <v>258</v>
      </c>
      <c r="K218" s="131"/>
      <c r="L218" s="178" t="s">
        <v>635</v>
      </c>
      <c r="M218" s="278">
        <v>2</v>
      </c>
      <c r="N218" s="163"/>
      <c r="O218" s="277">
        <f>M218*S218*W218</f>
        <v>2</v>
      </c>
      <c r="P218" t="b">
        <v>1</v>
      </c>
      <c r="Q218" t="b">
        <v>1</v>
      </c>
      <c r="R218" t="b">
        <v>0</v>
      </c>
      <c r="S218" t="b">
        <v>1</v>
      </c>
      <c r="T218" t="b">
        <v>0</v>
      </c>
      <c r="W218" s="17" t="b">
        <v>1</v>
      </c>
      <c r="X218" s="36"/>
      <c r="AL218" t="str">
        <f>SUBSTITUTE(SUBSTITUTE(SUBSTITUTE("dpa"&amp;$B218&amp;$C218&amp;$D218&amp;$E218,".","_"),"(","_"),")","")</f>
        <v>dpa602_1_14_2</v>
      </c>
      <c r="AM218">
        <f>M218</f>
        <v>2</v>
      </c>
      <c r="AN218" t="str">
        <f>SUBSTITUTE(SUBSTITUTE(SUBSTITUTE("dpc"&amp;$B218&amp;$C218&amp;$D218&amp;$E218,".","_"),"(","_"),")","")</f>
        <v>dpc602_1_14_2</v>
      </c>
      <c r="AO218">
        <f>O218</f>
        <v>2</v>
      </c>
      <c r="AP218" t="str">
        <f>SUBSTITUTE(SUBSTITUTE(SUBSTITUTE("dch"&amp;$B218&amp;$C218&amp;$D218&amp;$E218,".","_"),"(","_"),")","")</f>
        <v>dch602_1_14_2</v>
      </c>
      <c r="AQ218" t="b">
        <f>IF(LEN(W218)=0,"",W218)</f>
        <v>1</v>
      </c>
      <c r="AR218" t="str">
        <f>SUBSTITUTE(SUBSTITUTE(SUBSTITUTE("dnt"&amp;$B218&amp;$C218&amp;$D218&amp;$E218,".","_"),"(","_"),")","")</f>
        <v>dnt602_1_14_2</v>
      </c>
      <c r="AS218" t="str">
        <f>IF(LEN(X218)=0,"",X218)</f>
        <v/>
      </c>
    </row>
    <row r="219" spans="1:45" ht="15" thickBot="1" x14ac:dyDescent="0.4">
      <c r="B219" s="37" t="s">
        <v>632</v>
      </c>
      <c r="C219" s="13" t="s">
        <v>260</v>
      </c>
      <c r="D219" s="13"/>
      <c r="E219" s="13"/>
      <c r="F219" s="13"/>
      <c r="G219" s="13"/>
      <c r="H219" s="453"/>
      <c r="I219" s="30"/>
      <c r="J219" s="115" t="s">
        <v>260</v>
      </c>
      <c r="K219" s="53"/>
      <c r="L219" s="229" t="s">
        <v>636</v>
      </c>
      <c r="M219" s="270">
        <v>2</v>
      </c>
      <c r="N219" s="160"/>
      <c r="O219" s="161">
        <f>M219*S219*W219</f>
        <v>2</v>
      </c>
      <c r="P219" s="55" t="b">
        <v>1</v>
      </c>
      <c r="Q219" s="55" t="b">
        <v>1</v>
      </c>
      <c r="R219" s="55" t="b">
        <v>0</v>
      </c>
      <c r="S219" s="55" t="b">
        <v>1</v>
      </c>
      <c r="T219" s="55" t="b">
        <v>0</v>
      </c>
      <c r="U219" s="55"/>
      <c r="V219" s="55"/>
      <c r="W219" s="56" t="b">
        <v>1</v>
      </c>
      <c r="X219" s="98"/>
      <c r="AL219" t="str">
        <f>SUBSTITUTE(SUBSTITUTE(SUBSTITUTE("dpa"&amp;$B219&amp;$C219&amp;$D219&amp;$E219,".","_"),"(","_"),")","")</f>
        <v>dpa602_1_14_3</v>
      </c>
      <c r="AM219">
        <f>M219</f>
        <v>2</v>
      </c>
      <c r="AN219" t="str">
        <f>SUBSTITUTE(SUBSTITUTE(SUBSTITUTE("dpc"&amp;$B219&amp;$C219&amp;$D219&amp;$E219,".","_"),"(","_"),")","")</f>
        <v>dpc602_1_14_3</v>
      </c>
      <c r="AO219">
        <f>O219</f>
        <v>2</v>
      </c>
      <c r="AP219" t="str">
        <f>SUBSTITUTE(SUBSTITUTE(SUBSTITUTE("dch"&amp;$B219&amp;$C219&amp;$D219&amp;$E219,".","_"),"(","_"),")","")</f>
        <v>dch602_1_14_3</v>
      </c>
      <c r="AQ219" t="b">
        <f>IF(LEN(W219)=0,"",W219)</f>
        <v>1</v>
      </c>
      <c r="AR219" t="str">
        <f>SUBSTITUTE(SUBSTITUTE(SUBSTITUTE("dnt"&amp;$B219&amp;$C219&amp;$D219&amp;$E219,".","_"),"(","_"),")","")</f>
        <v>dnt602_1_14_3</v>
      </c>
      <c r="AS219" t="str">
        <f>IF(LEN(X219)=0,"",X219)</f>
        <v/>
      </c>
    </row>
    <row r="220" spans="1:45" ht="15" thickTop="1" x14ac:dyDescent="0.35">
      <c r="A220"/>
      <c r="B220" s="50" t="s">
        <v>4165</v>
      </c>
      <c r="C220"/>
      <c r="D220"/>
      <c r="E220"/>
      <c r="F220"/>
      <c r="G220"/>
      <c r="H220"/>
      <c r="I220" s="106" t="s">
        <v>4165</v>
      </c>
      <c r="L220" s="884" t="s">
        <v>4166</v>
      </c>
      <c r="M220" s="818">
        <v>2</v>
      </c>
      <c r="N220" s="4"/>
      <c r="O220" s="832">
        <f>M220*S220*W220</f>
        <v>0</v>
      </c>
      <c r="P220" t="b">
        <v>0</v>
      </c>
      <c r="Q220" t="b">
        <v>1</v>
      </c>
      <c r="R220" t="b">
        <v>0</v>
      </c>
      <c r="S220" t="b">
        <v>1</v>
      </c>
      <c r="T220" t="b">
        <v>0</v>
      </c>
      <c r="W220" s="69"/>
      <c r="X220" s="851"/>
      <c r="AC220" t="b">
        <f>OR(AD220:AE220)</f>
        <v>0</v>
      </c>
      <c r="AD220" t="b">
        <v>0</v>
      </c>
      <c r="AE220" t="b">
        <f>AND(W220=TRUE,LEN(X220)&lt;1)</f>
        <v>0</v>
      </c>
      <c r="AL220" t="str">
        <f>SUBSTITUTE(SUBSTITUTE(SUBSTITUTE("dpa"&amp;$B220&amp;$C220&amp;$D220&amp;$E220,".","_"),"(","_"),")","")</f>
        <v>dpa602_1_15</v>
      </c>
      <c r="AM220">
        <f>M220</f>
        <v>2</v>
      </c>
      <c r="AN220" t="str">
        <f>SUBSTITUTE(SUBSTITUTE(SUBSTITUTE("dpc"&amp;$B220&amp;$C220&amp;$D220&amp;$E220,".","_"),"(","_"),")","")</f>
        <v>dpc602_1_15</v>
      </c>
      <c r="AO220">
        <f>O220</f>
        <v>0</v>
      </c>
      <c r="AP220" t="str">
        <f>SUBSTITUTE(SUBSTITUTE(SUBSTITUTE("dch"&amp;$B220&amp;$C220&amp;$D220&amp;$E220,".","_"),"(","_"),")","")</f>
        <v>dch602_1_15</v>
      </c>
      <c r="AQ220" t="str">
        <f>IF(LEN(W220)=0,"",W220)</f>
        <v/>
      </c>
      <c r="AR220" t="str">
        <f>SUBSTITUTE(SUBSTITUTE(SUBSTITUTE("dnt"&amp;$B220&amp;$C220&amp;$D220&amp;$E220,".","_"),"(","_"),")","")</f>
        <v>dnt602_1_15</v>
      </c>
      <c r="AS220" t="str">
        <f>IF(LEN(X220)=0,"",X220)</f>
        <v/>
      </c>
    </row>
    <row r="221" spans="1:45" x14ac:dyDescent="0.35">
      <c r="A221"/>
      <c r="B221" s="50" t="s">
        <v>4165</v>
      </c>
      <c r="C221"/>
      <c r="D221"/>
      <c r="E221"/>
      <c r="F221"/>
      <c r="G221"/>
      <c r="H221"/>
      <c r="L221" s="884"/>
      <c r="M221" s="818"/>
      <c r="N221" s="4"/>
      <c r="O221" s="832"/>
      <c r="X221" s="851"/>
    </row>
    <row r="222" spans="1:45" ht="15" thickBot="1" x14ac:dyDescent="0.4">
      <c r="A222"/>
      <c r="B222" s="50" t="s">
        <v>4165</v>
      </c>
      <c r="C222"/>
      <c r="D222"/>
      <c r="E222"/>
      <c r="F222"/>
      <c r="G222"/>
      <c r="H222"/>
      <c r="L222" s="531" t="s">
        <v>4167</v>
      </c>
      <c r="M222" s="827"/>
      <c r="N222" s="4"/>
      <c r="O222" s="833"/>
      <c r="X222" s="852"/>
    </row>
    <row r="223" spans="1:45" ht="15" thickTop="1" x14ac:dyDescent="0.35">
      <c r="B223" s="37">
        <v>602.20000000000005</v>
      </c>
      <c r="C223" s="13"/>
      <c r="D223" s="13"/>
      <c r="E223" s="13"/>
      <c r="F223" s="13"/>
      <c r="G223" s="13"/>
      <c r="H223" s="453"/>
      <c r="I223" s="106">
        <v>602.20000000000005</v>
      </c>
      <c r="J223" s="107"/>
      <c r="K223" s="108"/>
      <c r="L223" s="837" t="s">
        <v>637</v>
      </c>
      <c r="M223" s="830">
        <v>3</v>
      </c>
      <c r="N223" s="107"/>
      <c r="O223" s="831">
        <f>IFERROR(OR(W227,W229,W230),0)*M223</f>
        <v>0</v>
      </c>
      <c r="P223" s="59"/>
      <c r="Q223" s="59"/>
      <c r="R223" s="59"/>
      <c r="S223" s="59"/>
      <c r="T223" s="59"/>
      <c r="U223" s="59"/>
      <c r="V223" s="59"/>
      <c r="W223" s="59"/>
      <c r="X223" s="59"/>
      <c r="AL223" t="str">
        <f>SUBSTITUTE(SUBSTITUTE(SUBSTITUTE("dpa"&amp;$B223&amp;$C223&amp;$D223&amp;$E223,".","_"),"(","_"),")","")</f>
        <v>dpa602_2</v>
      </c>
      <c r="AM223">
        <f>M223</f>
        <v>3</v>
      </c>
      <c r="AN223" t="str">
        <f>SUBSTITUTE(SUBSTITUTE(SUBSTITUTE("dpc"&amp;$B223&amp;$C223&amp;$D223&amp;$E223,".","_"),"(","_"),")","")</f>
        <v>dpc602_2</v>
      </c>
      <c r="AO223">
        <f>O223</f>
        <v>0</v>
      </c>
    </row>
    <row r="224" spans="1:45" x14ac:dyDescent="0.35">
      <c r="B224" s="37">
        <v>602.20000000000005</v>
      </c>
      <c r="C224" s="13"/>
      <c r="D224" s="13"/>
      <c r="E224" s="13"/>
      <c r="F224" s="13"/>
      <c r="G224" s="13"/>
      <c r="H224" s="453"/>
      <c r="I224" s="30"/>
      <c r="J224" s="4"/>
      <c r="K224" s="43"/>
      <c r="L224" s="838"/>
      <c r="M224" s="818"/>
      <c r="N224" s="4"/>
      <c r="O224" s="832"/>
    </row>
    <row r="225" spans="2:45" x14ac:dyDescent="0.35">
      <c r="B225" s="37">
        <v>602.20000000000005</v>
      </c>
      <c r="C225" s="13"/>
      <c r="D225" s="13"/>
      <c r="E225" s="13"/>
      <c r="F225" s="13"/>
      <c r="G225" s="13"/>
      <c r="H225" s="453"/>
      <c r="I225" s="30"/>
      <c r="J225" s="4"/>
      <c r="K225" s="43"/>
      <c r="L225" s="838"/>
      <c r="M225" s="818"/>
      <c r="N225" s="4"/>
      <c r="O225" s="832"/>
    </row>
    <row r="226" spans="2:45" x14ac:dyDescent="0.35">
      <c r="B226" s="37">
        <v>602.20000000000005</v>
      </c>
      <c r="C226" s="13"/>
      <c r="D226" s="13"/>
      <c r="E226" s="13"/>
      <c r="F226" s="13"/>
      <c r="G226" s="13"/>
      <c r="H226" s="453"/>
      <c r="I226" s="30"/>
      <c r="J226" s="4"/>
      <c r="K226" s="43"/>
      <c r="L226" s="838"/>
      <c r="M226" s="818"/>
      <c r="N226" s="4"/>
      <c r="O226" s="832"/>
    </row>
    <row r="227" spans="2:45" x14ac:dyDescent="0.35">
      <c r="B227" s="37">
        <v>602.20000000000005</v>
      </c>
      <c r="C227" s="13" t="s">
        <v>256</v>
      </c>
      <c r="D227" s="13"/>
      <c r="E227" s="13"/>
      <c r="F227" s="13"/>
      <c r="G227" s="13"/>
      <c r="H227" s="453"/>
      <c r="I227" s="30"/>
      <c r="J227" s="19" t="s">
        <v>256</v>
      </c>
      <c r="K227" s="43"/>
      <c r="L227" s="848" t="s">
        <v>638</v>
      </c>
      <c r="M227" s="40"/>
      <c r="N227" s="4"/>
      <c r="O227" s="75"/>
      <c r="P227" t="b">
        <v>1</v>
      </c>
      <c r="Q227" t="b">
        <v>1</v>
      </c>
      <c r="R227" t="b">
        <v>0</v>
      </c>
      <c r="S227" t="b">
        <v>1</v>
      </c>
      <c r="T227" t="b">
        <v>0</v>
      </c>
      <c r="W227" s="17"/>
      <c r="X227" s="817"/>
      <c r="AP227" t="str">
        <f>SUBSTITUTE(SUBSTITUTE(SUBSTITUTE("dch"&amp;$B227&amp;$C227&amp;$D227&amp;$E227,".","_"),"(","_"),")","")</f>
        <v>dch602_2_1</v>
      </c>
      <c r="AQ227" t="str">
        <f>IF(LEN(W227)=0,"",W227)</f>
        <v/>
      </c>
      <c r="AR227" t="str">
        <f>SUBSTITUTE(SUBSTITUTE(SUBSTITUTE("dnt"&amp;$B227&amp;$C227&amp;$D227&amp;$E227,".","_"),"(","_"),")","")</f>
        <v>dnt602_2_1</v>
      </c>
      <c r="AS227" t="str">
        <f>IF(LEN(X227)=0,"",X227)</f>
        <v/>
      </c>
    </row>
    <row r="228" spans="2:45" x14ac:dyDescent="0.35">
      <c r="B228" s="37">
        <v>602.20000000000005</v>
      </c>
      <c r="C228" s="13" t="s">
        <v>256</v>
      </c>
      <c r="D228" s="13"/>
      <c r="E228" s="13"/>
      <c r="F228" s="13"/>
      <c r="G228" s="13"/>
      <c r="H228" s="453"/>
      <c r="I228" s="30"/>
      <c r="J228" s="129"/>
      <c r="K228" s="101"/>
      <c r="L228" s="821"/>
      <c r="M228" s="40"/>
      <c r="N228" s="4"/>
      <c r="O228" s="75"/>
      <c r="X228" s="817"/>
    </row>
    <row r="229" spans="2:45" x14ac:dyDescent="0.35">
      <c r="B229" s="37">
        <v>602.20000000000005</v>
      </c>
      <c r="C229" s="13" t="s">
        <v>258</v>
      </c>
      <c r="D229" s="13"/>
      <c r="E229" s="13"/>
      <c r="F229" s="13"/>
      <c r="G229" s="13"/>
      <c r="H229" s="453"/>
      <c r="I229" s="30"/>
      <c r="J229" s="130" t="s">
        <v>258</v>
      </c>
      <c r="K229" s="131"/>
      <c r="L229" s="178" t="s">
        <v>639</v>
      </c>
      <c r="M229" s="40"/>
      <c r="N229" s="4"/>
      <c r="O229" s="75"/>
      <c r="P229" t="b">
        <v>1</v>
      </c>
      <c r="Q229" t="b">
        <v>1</v>
      </c>
      <c r="R229" t="b">
        <v>0</v>
      </c>
      <c r="S229" t="b">
        <v>1</v>
      </c>
      <c r="T229" t="b">
        <v>0</v>
      </c>
      <c r="W229" s="17"/>
      <c r="X229" s="36"/>
      <c r="AP229" t="str">
        <f>SUBSTITUTE(SUBSTITUTE(SUBSTITUTE("dch"&amp;$B229&amp;$C229&amp;$D229&amp;$E229,".","_"),"(","_"),")","")</f>
        <v>dch602_2_2</v>
      </c>
      <c r="AQ229" t="str">
        <f>IF(LEN(W229)=0,"",W229)</f>
        <v/>
      </c>
      <c r="AR229" t="str">
        <f>SUBSTITUTE(SUBSTITUTE(SUBSTITUTE("dnt"&amp;$B229&amp;$C229&amp;$D229&amp;$E229,".","_"),"(","_"),")","")</f>
        <v>dnt602_2_2</v>
      </c>
      <c r="AS229" t="str">
        <f>IF(LEN(X229)=0,"",X229)</f>
        <v/>
      </c>
    </row>
    <row r="230" spans="2:45" x14ac:dyDescent="0.35">
      <c r="B230" s="37">
        <v>602.20000000000005</v>
      </c>
      <c r="C230" s="13" t="s">
        <v>260</v>
      </c>
      <c r="D230" s="13"/>
      <c r="E230" s="13"/>
      <c r="F230" s="13"/>
      <c r="G230" s="13"/>
      <c r="H230" s="453"/>
      <c r="I230" s="30"/>
      <c r="J230" s="19" t="s">
        <v>260</v>
      </c>
      <c r="K230" s="43"/>
      <c r="L230" s="814" t="s">
        <v>640</v>
      </c>
      <c r="M230" s="40"/>
      <c r="N230" s="4"/>
      <c r="O230" s="75"/>
      <c r="P230" t="b">
        <v>1</v>
      </c>
      <c r="Q230" t="b">
        <v>1</v>
      </c>
      <c r="R230" t="b">
        <v>0</v>
      </c>
      <c r="S230" t="b">
        <v>1</v>
      </c>
      <c r="T230" t="b">
        <v>0</v>
      </c>
      <c r="W230" s="17"/>
      <c r="X230" s="817"/>
      <c r="AP230" t="str">
        <f>SUBSTITUTE(SUBSTITUTE(SUBSTITUTE("dch"&amp;$B230&amp;$C230&amp;$D230&amp;$E230,".","_"),"(","_"),")","")</f>
        <v>dch602_2_3</v>
      </c>
      <c r="AQ230" t="str">
        <f>IF(LEN(W230)=0,"",W230)</f>
        <v/>
      </c>
      <c r="AR230" t="str">
        <f>SUBSTITUTE(SUBSTITUTE(SUBSTITUTE("dnt"&amp;$B230&amp;$C230&amp;$D230&amp;$E230,".","_"),"(","_"),")","")</f>
        <v>dnt602_2_3</v>
      </c>
      <c r="AS230" t="str">
        <f>IF(LEN(X230)=0,"",X230)</f>
        <v/>
      </c>
    </row>
    <row r="231" spans="2:45" x14ac:dyDescent="0.35">
      <c r="B231" s="37">
        <v>602.20000000000005</v>
      </c>
      <c r="C231" s="13" t="s">
        <v>260</v>
      </c>
      <c r="D231" s="13"/>
      <c r="E231" s="13"/>
      <c r="F231" s="13"/>
      <c r="G231" s="13"/>
      <c r="H231" s="453"/>
      <c r="I231" s="30"/>
      <c r="J231" s="4"/>
      <c r="K231" s="43"/>
      <c r="L231" s="814"/>
      <c r="M231" s="40"/>
      <c r="N231" s="4"/>
      <c r="O231" s="75"/>
      <c r="X231" s="817"/>
    </row>
    <row r="232" spans="2:45" ht="15" thickBot="1" x14ac:dyDescent="0.4">
      <c r="B232" s="37">
        <v>602.20000000000005</v>
      </c>
      <c r="C232" s="13" t="s">
        <v>260</v>
      </c>
      <c r="D232" s="13"/>
      <c r="E232" s="13"/>
      <c r="F232" s="13"/>
      <c r="G232" s="13"/>
      <c r="H232" s="453"/>
      <c r="I232" s="30"/>
      <c r="J232" s="4"/>
      <c r="K232" s="43"/>
      <c r="L232" s="814"/>
      <c r="M232" s="40"/>
      <c r="N232" s="4"/>
      <c r="O232" s="75"/>
      <c r="W232" s="64"/>
      <c r="X232" s="850"/>
    </row>
    <row r="233" spans="2:45" ht="15" thickTop="1" x14ac:dyDescent="0.35">
      <c r="B233" s="37">
        <v>602.29999999999995</v>
      </c>
      <c r="C233" s="13"/>
      <c r="D233" s="13"/>
      <c r="E233" s="13"/>
      <c r="F233" s="13"/>
      <c r="G233" s="13"/>
      <c r="H233" s="453"/>
      <c r="I233" s="106">
        <v>602.29999999999995</v>
      </c>
      <c r="J233" s="107"/>
      <c r="K233" s="108"/>
      <c r="L233" s="837" t="s">
        <v>641</v>
      </c>
      <c r="M233" s="830">
        <v>4</v>
      </c>
      <c r="N233" s="107"/>
      <c r="O233" s="831">
        <f>M233*S233*W233</f>
        <v>4</v>
      </c>
      <c r="P233" t="b">
        <v>0</v>
      </c>
      <c r="Q233" t="b">
        <v>1</v>
      </c>
      <c r="R233" s="59" t="b">
        <v>0</v>
      </c>
      <c r="S233" s="59" t="b">
        <v>1</v>
      </c>
      <c r="T233" s="59" t="b">
        <v>0</v>
      </c>
      <c r="U233" s="59"/>
      <c r="V233" s="59"/>
      <c r="W233" s="69" t="b">
        <v>1</v>
      </c>
      <c r="X233" s="840"/>
      <c r="AL233" t="str">
        <f>SUBSTITUTE(SUBSTITUTE(SUBSTITUTE("dpa"&amp;$B233&amp;$C233&amp;$D233&amp;$E233,".","_"),"(","_"),")","")</f>
        <v>dpa602_3</v>
      </c>
      <c r="AM233">
        <f>M233</f>
        <v>4</v>
      </c>
      <c r="AN233" t="str">
        <f>SUBSTITUTE(SUBSTITUTE(SUBSTITUTE("dpc"&amp;$B233&amp;$C233&amp;$D233&amp;$E233,".","_"),"(","_"),")","")</f>
        <v>dpc602_3</v>
      </c>
      <c r="AO233">
        <f>O233</f>
        <v>4</v>
      </c>
      <c r="AP233" t="str">
        <f>SUBSTITUTE(SUBSTITUTE(SUBSTITUTE("dch"&amp;$B233&amp;$C233&amp;$D233&amp;$E233,".","_"),"(","_"),")","")</f>
        <v>dch602_3</v>
      </c>
      <c r="AQ233" t="b">
        <f>IF(LEN(W233)=0,"",W233)</f>
        <v>1</v>
      </c>
      <c r="AR233" t="str">
        <f>SUBSTITUTE(SUBSTITUTE(SUBSTITUTE("dnt"&amp;$B233&amp;$C233&amp;$D233&amp;$E233,".","_"),"(","_"),")","")</f>
        <v>dnt602_3</v>
      </c>
      <c r="AS233" t="str">
        <f>IF(LEN(X233)=0,"",X233)</f>
        <v/>
      </c>
    </row>
    <row r="234" spans="2:45" x14ac:dyDescent="0.35">
      <c r="B234" s="37">
        <v>602.29999999999995</v>
      </c>
      <c r="C234" s="13"/>
      <c r="D234" s="13"/>
      <c r="E234" s="13"/>
      <c r="F234" s="13"/>
      <c r="G234" s="13"/>
      <c r="H234" s="453"/>
      <c r="I234" s="30"/>
      <c r="J234" s="4"/>
      <c r="K234" s="43"/>
      <c r="L234" s="838"/>
      <c r="M234" s="818"/>
      <c r="N234" s="4"/>
      <c r="O234" s="832"/>
      <c r="X234" s="817"/>
    </row>
    <row r="235" spans="2:45" ht="15" thickBot="1" x14ac:dyDescent="0.4">
      <c r="B235" s="37">
        <v>602.29999999999995</v>
      </c>
      <c r="C235" s="13"/>
      <c r="D235" s="13"/>
      <c r="E235" s="13"/>
      <c r="F235" s="13"/>
      <c r="G235" s="13"/>
      <c r="H235" s="453"/>
      <c r="I235" s="30"/>
      <c r="J235" s="4"/>
      <c r="K235" s="43"/>
      <c r="L235" s="838"/>
      <c r="M235" s="818"/>
      <c r="N235" s="4"/>
      <c r="O235" s="832"/>
      <c r="X235" s="850"/>
    </row>
    <row r="236" spans="2:45" ht="15" thickTop="1" x14ac:dyDescent="0.35">
      <c r="B236" s="37">
        <v>602.4</v>
      </c>
      <c r="C236" s="13"/>
      <c r="D236" s="13"/>
      <c r="E236" s="13"/>
      <c r="F236" s="13"/>
      <c r="G236" s="13"/>
      <c r="H236" s="453"/>
      <c r="I236" s="106">
        <v>602.4</v>
      </c>
      <c r="J236" s="107"/>
      <c r="K236" s="108"/>
      <c r="L236" s="274" t="s">
        <v>642</v>
      </c>
      <c r="M236" s="267"/>
      <c r="N236" s="107"/>
      <c r="O236" s="308"/>
      <c r="P236" s="59"/>
      <c r="Q236" s="59"/>
      <c r="R236" s="59"/>
      <c r="S236" s="59"/>
      <c r="T236" s="59"/>
      <c r="U236" s="59"/>
      <c r="V236" s="59"/>
      <c r="W236" s="59"/>
      <c r="X236" s="59"/>
    </row>
    <row r="237" spans="2:45" x14ac:dyDescent="0.35">
      <c r="B237" s="37" t="s">
        <v>643</v>
      </c>
      <c r="C237" s="13"/>
      <c r="D237" s="13"/>
      <c r="E237" s="13"/>
      <c r="F237" s="13"/>
      <c r="G237" s="13"/>
      <c r="H237" s="453"/>
      <c r="I237" s="30" t="s">
        <v>643</v>
      </c>
      <c r="J237" s="4"/>
      <c r="K237" s="43"/>
      <c r="L237" s="838" t="s">
        <v>644</v>
      </c>
      <c r="M237" s="885" t="str">
        <f>IF(R237,"Mandatory","N/A")</f>
        <v>Mandatory</v>
      </c>
      <c r="N237" s="4"/>
      <c r="O237" s="75"/>
      <c r="P237" t="b">
        <v>1</v>
      </c>
      <c r="Q237" t="b">
        <v>1</v>
      </c>
      <c r="R237" t="b">
        <f>S237</f>
        <v>1</v>
      </c>
      <c r="S237" t="b">
        <v>1</v>
      </c>
      <c r="T237" t="b">
        <v>0</v>
      </c>
      <c r="W237" s="17" t="b">
        <v>1</v>
      </c>
      <c r="X237" s="817"/>
      <c r="AC237" t="b">
        <f>OR(AD237:AE237)</f>
        <v>0</v>
      </c>
      <c r="AD237" t="b">
        <f>T237</f>
        <v>0</v>
      </c>
      <c r="AE237" t="b">
        <f>AND(R237,NOT(W237))</f>
        <v>0</v>
      </c>
      <c r="AL237" t="str">
        <f>SUBSTITUTE(SUBSTITUTE(SUBSTITUTE("dpa"&amp;$B237&amp;$C237&amp;$D237&amp;$E237,".","_"),"(","_"),")","")</f>
        <v>dpa602_4_1</v>
      </c>
      <c r="AM237" t="str">
        <f>M237</f>
        <v>Mandatory</v>
      </c>
      <c r="AP237" t="str">
        <f>SUBSTITUTE(SUBSTITUTE(SUBSTITUTE("dch"&amp;$B237&amp;$C237&amp;$D237&amp;$E237,".","_"),"(","_"),")","")</f>
        <v>dch602_4_1</v>
      </c>
      <c r="AQ237" t="b">
        <f>IF(LEN(W237)=0,"",W237)</f>
        <v>1</v>
      </c>
      <c r="AR237" t="str">
        <f>SUBSTITUTE(SUBSTITUTE(SUBSTITUTE("dnt"&amp;$B237&amp;$C237&amp;$D237&amp;$E237,".","_"),"(","_"),")","")</f>
        <v>dnt602_4_1</v>
      </c>
      <c r="AS237" t="str">
        <f>IF(LEN(X237)=0,"",X237)</f>
        <v/>
      </c>
    </row>
    <row r="238" spans="2:45" x14ac:dyDescent="0.35">
      <c r="B238" s="37" t="s">
        <v>643</v>
      </c>
      <c r="C238" s="13"/>
      <c r="D238" s="13"/>
      <c r="E238" s="13"/>
      <c r="F238" s="13"/>
      <c r="G238" s="13"/>
      <c r="H238" s="453"/>
      <c r="I238" s="30"/>
      <c r="J238" s="4"/>
      <c r="K238" s="43"/>
      <c r="L238" s="838"/>
      <c r="M238" s="885"/>
      <c r="N238" s="4"/>
      <c r="O238" s="75"/>
      <c r="X238" s="817"/>
    </row>
    <row r="239" spans="2:45" x14ac:dyDescent="0.35">
      <c r="B239" s="37" t="s">
        <v>643</v>
      </c>
      <c r="C239" s="13"/>
      <c r="D239" s="13"/>
      <c r="E239" s="13"/>
      <c r="F239" s="13"/>
      <c r="G239" s="13"/>
      <c r="H239" s="453"/>
      <c r="I239" s="30"/>
      <c r="J239" s="4"/>
      <c r="K239" s="43"/>
      <c r="L239" s="838"/>
      <c r="M239" s="885"/>
      <c r="N239" s="4"/>
      <c r="O239" s="75"/>
      <c r="X239" s="817"/>
    </row>
    <row r="240" spans="2:45" x14ac:dyDescent="0.35">
      <c r="B240" s="37" t="s">
        <v>643</v>
      </c>
      <c r="C240" s="13"/>
      <c r="D240" s="13"/>
      <c r="E240" s="13"/>
      <c r="F240" s="13"/>
      <c r="G240" s="13"/>
      <c r="H240" s="453"/>
      <c r="I240" s="30"/>
      <c r="J240" s="4"/>
      <c r="K240" s="43"/>
      <c r="L240" s="838"/>
      <c r="M240" s="885"/>
      <c r="N240" s="4"/>
      <c r="O240" s="75"/>
      <c r="X240" s="817"/>
    </row>
    <row r="241" spans="2:45" x14ac:dyDescent="0.35">
      <c r="B241" s="37" t="s">
        <v>643</v>
      </c>
      <c r="C241" s="13"/>
      <c r="D241" s="13"/>
      <c r="E241" s="13"/>
      <c r="F241" s="13"/>
      <c r="G241" s="13"/>
      <c r="H241" s="453"/>
      <c r="I241" s="138"/>
      <c r="J241" s="133"/>
      <c r="K241" s="101"/>
      <c r="L241" s="889"/>
      <c r="M241" s="890"/>
      <c r="N241" s="4"/>
      <c r="O241" s="75"/>
      <c r="X241" s="817"/>
    </row>
    <row r="242" spans="2:45" x14ac:dyDescent="0.35">
      <c r="B242" s="37" t="s">
        <v>645</v>
      </c>
      <c r="C242" s="13"/>
      <c r="D242" s="13"/>
      <c r="E242" s="13"/>
      <c r="F242" s="13"/>
      <c r="G242" s="13"/>
      <c r="H242" s="453"/>
      <c r="I242" s="30" t="s">
        <v>645</v>
      </c>
      <c r="J242" s="4"/>
      <c r="K242" s="43"/>
      <c r="L242" s="838" t="s">
        <v>646</v>
      </c>
      <c r="M242" s="818">
        <v>1</v>
      </c>
      <c r="N242" s="4"/>
      <c r="O242" s="832">
        <f>M242*S242*W242</f>
        <v>1</v>
      </c>
      <c r="P242" t="b">
        <v>1</v>
      </c>
      <c r="Q242" t="b">
        <v>1</v>
      </c>
      <c r="R242" t="b">
        <v>0</v>
      </c>
      <c r="S242" t="b">
        <v>1</v>
      </c>
      <c r="T242" t="b">
        <v>0</v>
      </c>
      <c r="W242" s="17" t="b">
        <v>1</v>
      </c>
      <c r="X242" s="817"/>
      <c r="AL242" t="str">
        <f>SUBSTITUTE(SUBSTITUTE(SUBSTITUTE("dpa"&amp;$B242&amp;$C242&amp;$D242&amp;$E242,".","_"),"(","_"),")","")</f>
        <v>dpa602_4_2</v>
      </c>
      <c r="AM242">
        <f>M242</f>
        <v>1</v>
      </c>
      <c r="AN242" t="str">
        <f>SUBSTITUTE(SUBSTITUTE(SUBSTITUTE("dpc"&amp;$B242&amp;$C242&amp;$D242&amp;$E242,".","_"),"(","_"),")","")</f>
        <v>dpc602_4_2</v>
      </c>
      <c r="AO242">
        <f>O242</f>
        <v>1</v>
      </c>
      <c r="AP242" t="str">
        <f>SUBSTITUTE(SUBSTITUTE(SUBSTITUTE("dch"&amp;$B242&amp;$C242&amp;$D242&amp;$E242,".","_"),"(","_"),")","")</f>
        <v>dch602_4_2</v>
      </c>
      <c r="AQ242" t="b">
        <f>IF(LEN(W242)=0,"",W242)</f>
        <v>1</v>
      </c>
      <c r="AR242" t="str">
        <f>SUBSTITUTE(SUBSTITUTE(SUBSTITUTE("dnt"&amp;$B242&amp;$C242&amp;$D242&amp;$E242,".","_"),"(","_"),")","")</f>
        <v>dnt602_4_2</v>
      </c>
      <c r="AS242" t="str">
        <f>IF(LEN(X242)=0,"",X242)</f>
        <v/>
      </c>
    </row>
    <row r="243" spans="2:45" x14ac:dyDescent="0.35">
      <c r="B243" s="37" t="s">
        <v>645</v>
      </c>
      <c r="C243" s="13"/>
      <c r="D243" s="13"/>
      <c r="E243" s="13"/>
      <c r="F243" s="13"/>
      <c r="G243" s="13"/>
      <c r="H243" s="453"/>
      <c r="I243" s="138"/>
      <c r="J243" s="133"/>
      <c r="K243" s="101"/>
      <c r="L243" s="889"/>
      <c r="M243" s="819"/>
      <c r="N243" s="133"/>
      <c r="O243" s="824"/>
      <c r="X243" s="817"/>
    </row>
    <row r="244" spans="2:45" ht="15" customHeight="1" x14ac:dyDescent="0.35">
      <c r="B244" s="37" t="s">
        <v>647</v>
      </c>
      <c r="C244" s="13"/>
      <c r="D244" s="13"/>
      <c r="E244" s="13"/>
      <c r="F244" s="13"/>
      <c r="G244" s="13"/>
      <c r="H244" s="453"/>
      <c r="I244" s="30" t="s">
        <v>647</v>
      </c>
      <c r="J244" s="4"/>
      <c r="K244" s="43"/>
      <c r="L244" s="95" t="s">
        <v>648</v>
      </c>
      <c r="M244" s="40">
        <v>1</v>
      </c>
      <c r="N244" s="4"/>
      <c r="O244" s="75">
        <f>M244*S244*W244</f>
        <v>1</v>
      </c>
      <c r="P244" t="b">
        <v>1</v>
      </c>
      <c r="Q244" t="b">
        <v>1</v>
      </c>
      <c r="R244" t="b">
        <v>0</v>
      </c>
      <c r="S244" t="b">
        <v>1</v>
      </c>
      <c r="T244" t="b">
        <v>0</v>
      </c>
      <c r="W244" s="17" t="b">
        <v>1</v>
      </c>
      <c r="X244" s="36"/>
      <c r="AL244" t="str">
        <f>SUBSTITUTE(SUBSTITUTE(SUBSTITUTE("dpa"&amp;$B244&amp;$C244&amp;$D244&amp;$E244,".","_"),"(","_"),")","")</f>
        <v>dpa602_4_3</v>
      </c>
      <c r="AM244">
        <f>M244</f>
        <v>1</v>
      </c>
      <c r="AN244" t="str">
        <f>SUBSTITUTE(SUBSTITUTE(SUBSTITUTE("dpc"&amp;$B244&amp;$C244&amp;$D244&amp;$E244,".","_"),"(","_"),")","")</f>
        <v>dpc602_4_3</v>
      </c>
      <c r="AO244">
        <f>O244</f>
        <v>1</v>
      </c>
      <c r="AP244" t="str">
        <f>SUBSTITUTE(SUBSTITUTE(SUBSTITUTE("dch"&amp;$B244&amp;$C244&amp;$D244&amp;$E244,".","_"),"(","_"),")","")</f>
        <v>dch602_4_3</v>
      </c>
      <c r="AQ244" t="b">
        <f>IF(LEN(W244)=0,"",W244)</f>
        <v>1</v>
      </c>
      <c r="AR244" t="str">
        <f>SUBSTITUTE(SUBSTITUTE(SUBSTITUTE("dnt"&amp;$B244&amp;$C244&amp;$D244&amp;$E244,".","_"),"(","_"),")","")</f>
        <v>dnt602_4_3</v>
      </c>
      <c r="AS244" t="str">
        <f>IF(LEN(X244)=0,"",X244)</f>
        <v/>
      </c>
    </row>
    <row r="245" spans="2:45" ht="18.5" x14ac:dyDescent="0.45">
      <c r="B245" s="37">
        <v>603</v>
      </c>
      <c r="C245" s="13"/>
      <c r="D245" s="13"/>
      <c r="E245" s="13"/>
      <c r="F245" s="13"/>
      <c r="G245" s="13"/>
      <c r="H245" s="453"/>
      <c r="I245" s="35" t="s">
        <v>649</v>
      </c>
      <c r="J245" s="15"/>
      <c r="K245" s="42"/>
      <c r="L245" s="151"/>
      <c r="M245" s="243"/>
      <c r="N245" s="311"/>
      <c r="O245" s="307"/>
      <c r="P245" s="15"/>
      <c r="Q245" s="15"/>
      <c r="R245" s="15"/>
      <c r="S245" s="15"/>
      <c r="T245" s="15"/>
      <c r="U245" s="15"/>
      <c r="V245" s="15"/>
      <c r="W245" s="15"/>
      <c r="X245" s="15"/>
    </row>
    <row r="246" spans="2:45" x14ac:dyDescent="0.35">
      <c r="B246" s="37" t="s">
        <v>3982</v>
      </c>
      <c r="C246" s="13"/>
      <c r="D246" s="13"/>
      <c r="E246" s="13"/>
      <c r="F246" s="13"/>
      <c r="G246" s="13"/>
      <c r="H246" s="453"/>
      <c r="I246" s="402" t="s">
        <v>3982</v>
      </c>
      <c r="J246" s="4"/>
      <c r="K246" s="43"/>
      <c r="L246" s="838" t="s">
        <v>650</v>
      </c>
      <c r="M246" s="40"/>
      <c r="N246" s="4"/>
      <c r="O246" s="75"/>
    </row>
    <row r="247" spans="2:45" ht="15" thickBot="1" x14ac:dyDescent="0.4">
      <c r="B247" s="37" t="s">
        <v>3982</v>
      </c>
      <c r="C247" s="13"/>
      <c r="D247" s="13"/>
      <c r="E247" s="13"/>
      <c r="F247" s="13"/>
      <c r="G247" s="13"/>
      <c r="H247" s="453"/>
      <c r="I247" s="30"/>
      <c r="J247" s="4"/>
      <c r="K247" s="43"/>
      <c r="L247" s="838"/>
      <c r="M247" s="40"/>
      <c r="N247" s="4"/>
      <c r="O247" s="75"/>
    </row>
    <row r="248" spans="2:45" ht="15" thickTop="1" x14ac:dyDescent="0.35">
      <c r="B248" s="37">
        <v>603.1</v>
      </c>
      <c r="C248" s="13"/>
      <c r="D248" s="13"/>
      <c r="E248" s="13"/>
      <c r="F248" s="13"/>
      <c r="G248" s="13"/>
      <c r="H248" s="453"/>
      <c r="I248" s="106">
        <v>603.1</v>
      </c>
      <c r="J248" s="107"/>
      <c r="K248" s="108"/>
      <c r="L248" s="837" t="s">
        <v>651</v>
      </c>
      <c r="M248" s="892" t="s">
        <v>3053</v>
      </c>
      <c r="N248" s="107"/>
      <c r="O248" s="831">
        <f>MIN(ROUNDDOWN(W248/200,0),12)</f>
        <v>0</v>
      </c>
      <c r="P248" s="59" t="b">
        <v>1</v>
      </c>
      <c r="Q248" s="59" t="b">
        <v>0</v>
      </c>
      <c r="R248" s="59" t="b">
        <v>0</v>
      </c>
      <c r="S248" s="59" t="b">
        <v>1</v>
      </c>
      <c r="T248" s="59" t="b">
        <v>0</v>
      </c>
      <c r="U248" s="59"/>
      <c r="V248" s="59"/>
      <c r="W248" s="116"/>
      <c r="X248" s="864"/>
      <c r="AC248" t="b">
        <f>OR(AD248:AE248)</f>
        <v>0</v>
      </c>
      <c r="AD248" t="b">
        <v>0</v>
      </c>
      <c r="AE248" t="b">
        <f>AND(W248&gt;0,LEN(X248)=0)</f>
        <v>0</v>
      </c>
      <c r="AL248" t="str">
        <f>SUBSTITUTE(SUBSTITUTE(SUBSTITUTE("dpa"&amp;$B248&amp;$C248&amp;$D248&amp;$E248,".","_"),"(","_"),")","")</f>
        <v>dpa603_1</v>
      </c>
      <c r="AM248" t="str">
        <f>M248</f>
        <v>1
12 Max</v>
      </c>
      <c r="AN248" t="str">
        <f>SUBSTITUTE(SUBSTITUTE(SUBSTITUTE("dpc"&amp;$B248&amp;$C248&amp;$D248&amp;$E248,".","_"),"(","_"),")","")</f>
        <v>dpc603_1</v>
      </c>
      <c r="AO248">
        <f>O248</f>
        <v>0</v>
      </c>
      <c r="AP248" t="str">
        <f>SUBSTITUTE(SUBSTITUTE(SUBSTITUTE("dch"&amp;$B248&amp;$C248&amp;$D248&amp;$E248,".","_"),"(","_"),")","")</f>
        <v>dch603_1</v>
      </c>
      <c r="AQ248" t="str">
        <f>IF(LEN(W248)=0,"",W248)</f>
        <v/>
      </c>
      <c r="AR248" t="str">
        <f>SUBSTITUTE(SUBSTITUTE(SUBSTITUTE("dnt"&amp;$B248&amp;$C248&amp;$D248&amp;$E248,".","_"),"(","_"),")","")</f>
        <v>dnt603_1</v>
      </c>
      <c r="AS248" t="str">
        <f>IF(LEN(X248)=0,"",X248)</f>
        <v/>
      </c>
    </row>
    <row r="249" spans="2:45" x14ac:dyDescent="0.35">
      <c r="B249" s="37">
        <v>603.1</v>
      </c>
      <c r="C249" s="13"/>
      <c r="D249" s="13"/>
      <c r="E249" s="13"/>
      <c r="F249" s="13"/>
      <c r="G249" s="13"/>
      <c r="H249" s="453"/>
      <c r="I249" s="30"/>
      <c r="J249" s="4"/>
      <c r="K249" s="43"/>
      <c r="L249" s="838"/>
      <c r="M249" s="843"/>
      <c r="N249" s="4"/>
      <c r="O249" s="832"/>
      <c r="X249" s="851"/>
    </row>
    <row r="250" spans="2:45" x14ac:dyDescent="0.35">
      <c r="B250" s="37">
        <v>603.1</v>
      </c>
      <c r="C250" s="13"/>
      <c r="D250" s="13"/>
      <c r="E250" s="13"/>
      <c r="F250" s="13"/>
      <c r="G250" s="13"/>
      <c r="H250" s="453"/>
      <c r="I250" s="30"/>
      <c r="J250" s="4"/>
      <c r="K250" s="43"/>
      <c r="L250" s="92" t="s">
        <v>652</v>
      </c>
      <c r="M250" s="843"/>
      <c r="N250" s="4"/>
      <c r="O250" s="832"/>
      <c r="X250" s="851"/>
    </row>
    <row r="251" spans="2:45" x14ac:dyDescent="0.35">
      <c r="B251" s="37">
        <v>603.1</v>
      </c>
      <c r="C251" s="13"/>
      <c r="D251" s="13"/>
      <c r="E251" s="13"/>
      <c r="F251" s="13"/>
      <c r="G251" s="13"/>
      <c r="H251" s="453"/>
      <c r="I251" s="30"/>
      <c r="J251" s="4"/>
      <c r="K251" s="43"/>
      <c r="L251" s="893" t="s">
        <v>3054</v>
      </c>
      <c r="M251" s="843"/>
      <c r="N251" s="4"/>
      <c r="O251" s="832"/>
      <c r="X251" s="851"/>
    </row>
    <row r="252" spans="2:45" x14ac:dyDescent="0.35">
      <c r="B252" s="37">
        <v>603.1</v>
      </c>
      <c r="C252" s="13"/>
      <c r="D252" s="13"/>
      <c r="E252" s="13"/>
      <c r="F252" s="13"/>
      <c r="G252" s="13"/>
      <c r="H252" s="453"/>
      <c r="I252" s="30"/>
      <c r="J252" s="4"/>
      <c r="K252" s="43"/>
      <c r="L252" s="894"/>
      <c r="M252" s="843"/>
      <c r="N252" s="4"/>
      <c r="O252" s="832"/>
      <c r="X252" s="851"/>
    </row>
    <row r="253" spans="2:45" ht="15" thickBot="1" x14ac:dyDescent="0.4">
      <c r="B253" s="37">
        <v>603.1</v>
      </c>
      <c r="C253" s="13"/>
      <c r="D253" s="13"/>
      <c r="E253" s="13"/>
      <c r="F253" s="13"/>
      <c r="G253" s="13"/>
      <c r="H253" s="453"/>
      <c r="I253" s="30"/>
      <c r="J253" s="4"/>
      <c r="K253" s="43"/>
      <c r="L253" s="894"/>
      <c r="M253" s="843"/>
      <c r="N253" s="4"/>
      <c r="O253" s="832"/>
      <c r="X253" s="851"/>
    </row>
    <row r="254" spans="2:45" ht="15" thickTop="1" x14ac:dyDescent="0.35">
      <c r="B254" s="37">
        <v>603.20000000000005</v>
      </c>
      <c r="C254" s="13"/>
      <c r="D254" s="13"/>
      <c r="E254" s="13"/>
      <c r="F254" s="13"/>
      <c r="G254" s="13"/>
      <c r="H254" s="453"/>
      <c r="I254" s="106">
        <v>603.20000000000005</v>
      </c>
      <c r="J254" s="107"/>
      <c r="K254" s="108"/>
      <c r="L254" s="837" t="s">
        <v>653</v>
      </c>
      <c r="M254" s="892" t="s">
        <v>3055</v>
      </c>
      <c r="N254" s="107"/>
      <c r="O254" s="831">
        <f>MIN(9,ROUNDDOWN(W254/0.01,0))</f>
        <v>0</v>
      </c>
      <c r="P254" s="59" t="b">
        <v>1</v>
      </c>
      <c r="Q254" s="59" t="b">
        <v>1</v>
      </c>
      <c r="R254" s="59" t="b">
        <v>0</v>
      </c>
      <c r="S254" s="59" t="b">
        <v>1</v>
      </c>
      <c r="T254" s="59" t="b">
        <v>0</v>
      </c>
      <c r="U254" s="59"/>
      <c r="V254" s="59"/>
      <c r="W254" s="121"/>
      <c r="X254" s="840"/>
      <c r="AC254" t="b">
        <f>OR(AD254:AE254)</f>
        <v>0</v>
      </c>
      <c r="AD254" t="b">
        <v>0</v>
      </c>
      <c r="AE254" t="b">
        <f>AND(W254&gt;0,LEN(X254)=0)</f>
        <v>0</v>
      </c>
      <c r="AL254" t="str">
        <f>SUBSTITUTE(SUBSTITUTE(SUBSTITUTE("dpa"&amp;$B254&amp;$C254&amp;$D254&amp;$E254,".","_"),"(","_"),")","")</f>
        <v>dpa603_2</v>
      </c>
      <c r="AM254" t="str">
        <f>M254</f>
        <v>1
9 Max</v>
      </c>
      <c r="AN254" t="str">
        <f>SUBSTITUTE(SUBSTITUTE(SUBSTITUTE("dpc"&amp;$B254&amp;$C254&amp;$D254&amp;$E254,".","_"),"(","_"),")","")</f>
        <v>dpc603_2</v>
      </c>
      <c r="AO254">
        <f>O254</f>
        <v>0</v>
      </c>
      <c r="AP254" t="str">
        <f>SUBSTITUTE(SUBSTITUTE(SUBSTITUTE("dch"&amp;$B254&amp;$C254&amp;$D254&amp;$E254,".","_"),"(","_"),")","")</f>
        <v>dch603_2</v>
      </c>
      <c r="AQ254" t="str">
        <f>IF(LEN(W254)=0,"",W254)</f>
        <v/>
      </c>
      <c r="AR254" t="str">
        <f>SUBSTITUTE(SUBSTITUTE(SUBSTITUTE("dnt"&amp;$B254&amp;$C254&amp;$D254&amp;$E254,".","_"),"(","_"),")","")</f>
        <v>dnt603_2</v>
      </c>
      <c r="AS254" t="str">
        <f>IF(LEN(X254)=0,"",X254)</f>
        <v/>
      </c>
    </row>
    <row r="255" spans="2:45" x14ac:dyDescent="0.35">
      <c r="B255" s="37">
        <v>603.20000000000005</v>
      </c>
      <c r="C255" s="13"/>
      <c r="D255" s="13"/>
      <c r="E255" s="13"/>
      <c r="F255" s="13"/>
      <c r="G255" s="13"/>
      <c r="H255" s="453"/>
      <c r="I255" s="30"/>
      <c r="J255" s="4"/>
      <c r="K255" s="43"/>
      <c r="L255" s="838"/>
      <c r="M255" s="843"/>
      <c r="N255" s="4"/>
      <c r="O255" s="832"/>
      <c r="X255" s="817"/>
    </row>
    <row r="256" spans="2:45" x14ac:dyDescent="0.35">
      <c r="B256" s="37">
        <v>603.20000000000005</v>
      </c>
      <c r="C256" s="13"/>
      <c r="D256" s="13"/>
      <c r="E256" s="13"/>
      <c r="F256" s="13"/>
      <c r="G256" s="13"/>
      <c r="H256" s="453"/>
      <c r="I256" s="30"/>
      <c r="J256" s="4"/>
      <c r="K256" s="43"/>
      <c r="L256" s="838"/>
      <c r="M256" s="843"/>
      <c r="N256" s="4"/>
      <c r="O256" s="832"/>
      <c r="X256" s="817"/>
    </row>
    <row r="257" spans="2:45" ht="15" customHeight="1" x14ac:dyDescent="0.35">
      <c r="B257" s="37">
        <v>603.20000000000005</v>
      </c>
      <c r="C257" s="13"/>
      <c r="D257" s="13"/>
      <c r="E257" s="13"/>
      <c r="F257" s="13"/>
      <c r="G257" s="13"/>
      <c r="H257" s="453"/>
      <c r="I257" s="30"/>
      <c r="J257" s="4"/>
      <c r="K257" s="43"/>
      <c r="L257" s="91" t="s">
        <v>3056</v>
      </c>
      <c r="M257" s="843"/>
      <c r="N257" s="4"/>
      <c r="O257" s="832"/>
      <c r="X257" s="817"/>
    </row>
    <row r="258" spans="2:45" x14ac:dyDescent="0.35">
      <c r="B258" s="37">
        <v>603.20000000000005</v>
      </c>
      <c r="C258" s="13"/>
      <c r="D258" s="13"/>
      <c r="E258" s="13"/>
      <c r="F258" s="13"/>
      <c r="G258" s="13"/>
      <c r="H258" s="453"/>
      <c r="I258" s="30"/>
      <c r="J258" s="4"/>
      <c r="K258" s="43"/>
      <c r="L258" s="893" t="s">
        <v>3054</v>
      </c>
      <c r="M258" s="843"/>
      <c r="N258" s="4"/>
      <c r="O258" s="832"/>
      <c r="X258" s="817"/>
    </row>
    <row r="259" spans="2:45" x14ac:dyDescent="0.35">
      <c r="B259" s="37">
        <v>603.20000000000005</v>
      </c>
      <c r="C259" s="13"/>
      <c r="D259" s="13"/>
      <c r="E259" s="13"/>
      <c r="F259" s="13"/>
      <c r="G259" s="13"/>
      <c r="H259" s="453"/>
      <c r="I259" s="30"/>
      <c r="J259" s="4"/>
      <c r="K259" s="43"/>
      <c r="L259" s="894"/>
      <c r="M259" s="843"/>
      <c r="N259" s="4"/>
      <c r="O259" s="832"/>
      <c r="X259" s="817"/>
    </row>
    <row r="260" spans="2:45" ht="15.75" customHeight="1" thickBot="1" x14ac:dyDescent="0.4">
      <c r="B260" s="37">
        <v>603.20000000000005</v>
      </c>
      <c r="C260" s="13"/>
      <c r="D260" s="13"/>
      <c r="E260" s="13"/>
      <c r="F260" s="13"/>
      <c r="G260" s="13"/>
      <c r="H260" s="453"/>
      <c r="I260" s="30"/>
      <c r="J260" s="4"/>
      <c r="K260" s="43"/>
      <c r="L260" s="894"/>
      <c r="M260" s="843"/>
      <c r="N260" s="4"/>
      <c r="O260" s="832"/>
      <c r="W260" s="64"/>
      <c r="X260" s="850"/>
    </row>
    <row r="261" spans="2:45" ht="15.75" customHeight="1" thickTop="1" x14ac:dyDescent="0.35">
      <c r="B261" s="37">
        <v>603.29999999999995</v>
      </c>
      <c r="C261" s="13"/>
      <c r="D261" s="13"/>
      <c r="E261" s="13"/>
      <c r="F261" s="13"/>
      <c r="G261" s="13"/>
      <c r="H261" s="453"/>
      <c r="I261" s="106">
        <v>603.29999999999995</v>
      </c>
      <c r="J261" s="107"/>
      <c r="K261" s="108"/>
      <c r="L261" s="837" t="s">
        <v>654</v>
      </c>
      <c r="M261" s="830">
        <v>4</v>
      </c>
      <c r="N261" s="107"/>
      <c r="O261" s="831">
        <f>M261*S261*W261</f>
        <v>0</v>
      </c>
      <c r="P261" s="59" t="b">
        <v>1</v>
      </c>
      <c r="Q261" s="59" t="b">
        <v>1</v>
      </c>
      <c r="R261" s="59" t="b">
        <v>0</v>
      </c>
      <c r="S261" s="59" t="b">
        <v>1</v>
      </c>
      <c r="T261" s="59" t="b">
        <v>0</v>
      </c>
      <c r="U261" s="59"/>
      <c r="V261" s="59"/>
      <c r="W261" s="69"/>
      <c r="X261" s="840"/>
      <c r="AC261" t="b">
        <f>OR(AD261:AE261)</f>
        <v>0</v>
      </c>
      <c r="AD261" t="b">
        <v>0</v>
      </c>
      <c r="AE261" t="b">
        <f>AND(W261=TRUE,LEN(X261)=0)</f>
        <v>0</v>
      </c>
      <c r="AL261" t="str">
        <f>SUBSTITUTE(SUBSTITUTE(SUBSTITUTE("dpa"&amp;$B261&amp;$C261&amp;$D261&amp;$E261,".","_"),"(","_"),")","")</f>
        <v>dpa603_3</v>
      </c>
      <c r="AM261">
        <f>M261</f>
        <v>4</v>
      </c>
      <c r="AN261" t="str">
        <f>SUBSTITUTE(SUBSTITUTE(SUBSTITUTE("dpc"&amp;$B261&amp;$C261&amp;$D261&amp;$E261,".","_"),"(","_"),")","")</f>
        <v>dpc603_3</v>
      </c>
      <c r="AO261">
        <f>O261</f>
        <v>0</v>
      </c>
      <c r="AP261" t="str">
        <f>SUBSTITUTE(SUBSTITUTE(SUBSTITUTE("dch"&amp;$B261&amp;$C261&amp;$D261&amp;$E261,".","_"),"(","_"),")","")</f>
        <v>dch603_3</v>
      </c>
      <c r="AQ261" t="str">
        <f>IF(LEN(W261)=0,"",W261)</f>
        <v/>
      </c>
      <c r="AR261" t="str">
        <f>SUBSTITUTE(SUBSTITUTE(SUBSTITUTE("dnt"&amp;$B261&amp;$C261&amp;$D261&amp;$E261,".","_"),"(","_"),")","")</f>
        <v>dnt603_3</v>
      </c>
      <c r="AS261" t="str">
        <f>IF(LEN(X261)=0,"",X261)</f>
        <v/>
      </c>
    </row>
    <row r="262" spans="2:45" x14ac:dyDescent="0.35">
      <c r="B262" s="37">
        <v>603.29999999999995</v>
      </c>
      <c r="C262" s="13"/>
      <c r="D262" s="13"/>
      <c r="E262" s="13"/>
      <c r="F262" s="13"/>
      <c r="G262" s="13"/>
      <c r="H262" s="453"/>
      <c r="I262" s="30"/>
      <c r="J262" s="4"/>
      <c r="K262" s="43"/>
      <c r="L262" s="838"/>
      <c r="M262" s="818"/>
      <c r="N262" s="4"/>
      <c r="O262" s="832"/>
      <c r="X262" s="817"/>
    </row>
    <row r="263" spans="2:45" ht="15" customHeight="1" x14ac:dyDescent="0.35">
      <c r="B263" s="37">
        <v>603.29999999999995</v>
      </c>
      <c r="C263" s="13"/>
      <c r="D263" s="13"/>
      <c r="E263" s="13"/>
      <c r="F263" s="13"/>
      <c r="G263" s="13"/>
      <c r="H263" s="453"/>
      <c r="I263" s="30"/>
      <c r="J263" s="4"/>
      <c r="K263" s="43"/>
      <c r="L263" s="218" t="s">
        <v>3052</v>
      </c>
      <c r="M263" s="818"/>
      <c r="N263" s="4"/>
      <c r="O263" s="832"/>
      <c r="X263" s="817"/>
    </row>
    <row r="264" spans="2:45" ht="18.5" x14ac:dyDescent="0.45">
      <c r="B264" s="37">
        <v>604</v>
      </c>
      <c r="C264" s="13"/>
      <c r="D264" s="13"/>
      <c r="E264" s="13"/>
      <c r="F264" s="13"/>
      <c r="G264" s="13"/>
      <c r="H264" s="453"/>
      <c r="I264" s="10" t="s">
        <v>655</v>
      </c>
      <c r="J264" s="15"/>
      <c r="K264" s="42"/>
      <c r="L264" s="151"/>
      <c r="M264" s="243"/>
      <c r="N264" s="311"/>
      <c r="O264" s="307"/>
      <c r="P264" s="15"/>
      <c r="Q264" s="15"/>
      <c r="R264" s="15"/>
      <c r="S264" s="15"/>
      <c r="T264" s="15"/>
      <c r="U264" s="15"/>
      <c r="V264" s="15"/>
      <c r="W264" s="15"/>
      <c r="X264" s="15"/>
    </row>
    <row r="265" spans="2:45" ht="15" customHeight="1" x14ac:dyDescent="0.35">
      <c r="B265" s="37">
        <v>604.1</v>
      </c>
      <c r="C265" s="13" t="s">
        <v>2970</v>
      </c>
      <c r="D265" s="13"/>
      <c r="E265" s="13"/>
      <c r="F265" s="13"/>
      <c r="G265" s="13"/>
      <c r="H265" s="453"/>
      <c r="I265" s="30">
        <v>604.1</v>
      </c>
      <c r="J265" s="4"/>
      <c r="K265" s="43"/>
      <c r="L265" s="838" t="s">
        <v>656</v>
      </c>
      <c r="M265" s="843" t="s">
        <v>3058</v>
      </c>
      <c r="N265" s="4"/>
      <c r="O265" s="832">
        <f>IFERROR(INDEX({0,1,2,3},MATCH(MIN(W268+0,W266+0),{0,0.25,0.5,0.75},1)),0)+IFERROR(INDEX({0,2,4,6},MATCH(MIN(W270+0,W272+0),{0,0.25,0.5,0.75},1)),0)</f>
        <v>0</v>
      </c>
      <c r="W265" t="s">
        <v>3059</v>
      </c>
      <c r="X265" s="850"/>
      <c r="AL265" t="str">
        <f>SUBSTITUTE(SUBSTITUTE(SUBSTITUTE("dpa"&amp;$B265&amp;$C265&amp;$D265&amp;$E265,".","_"),"(","_"),")","")</f>
        <v>dpa604_1a</v>
      </c>
      <c r="AM265" t="str">
        <f>M265</f>
        <v>per Table
604.1</v>
      </c>
      <c r="AN265" t="str">
        <f>SUBSTITUTE(SUBSTITUTE(SUBSTITUTE("dpc"&amp;$B265&amp;$C265&amp;$D265&amp;$E265,".","_"),"(","_"),")","")</f>
        <v>dpc604_1a</v>
      </c>
      <c r="AO265">
        <f>O265</f>
        <v>0</v>
      </c>
      <c r="AR265" t="str">
        <f>SUBSTITUTE(SUBSTITUTE(SUBSTITUTE("dnt"&amp;$B265&amp;$C265&amp;$D265&amp;$E265,".","_"),"(","_"),")","")</f>
        <v>dnt604_1a</v>
      </c>
      <c r="AS265" t="str">
        <f>IF(LEN(X265)=0,"",X265)</f>
        <v/>
      </c>
    </row>
    <row r="266" spans="2:45" x14ac:dyDescent="0.35">
      <c r="B266" s="37">
        <v>604.1</v>
      </c>
      <c r="C266" s="13" t="s">
        <v>2970</v>
      </c>
      <c r="D266" s="13"/>
      <c r="E266" s="13"/>
      <c r="F266" s="13"/>
      <c r="G266" s="13"/>
      <c r="H266" s="453"/>
      <c r="I266" s="30"/>
      <c r="J266" s="4"/>
      <c r="K266" s="43"/>
      <c r="L266" s="838"/>
      <c r="M266" s="843"/>
      <c r="N266" s="4"/>
      <c r="O266" s="832"/>
      <c r="P266" t="b">
        <v>1</v>
      </c>
      <c r="Q266" t="b">
        <v>1</v>
      </c>
      <c r="R266" t="b">
        <v>0</v>
      </c>
      <c r="S266" t="b">
        <v>1</v>
      </c>
      <c r="T266" t="b">
        <v>0</v>
      </c>
      <c r="W266" s="97"/>
      <c r="X266" s="816"/>
      <c r="AC266" t="b">
        <f>OR(AD266:AE266)</f>
        <v>0</v>
      </c>
      <c r="AD266" t="b">
        <v>0</v>
      </c>
      <c r="AE266" t="b">
        <f>AND(W266&gt;0,LEN(X265)=0)</f>
        <v>0</v>
      </c>
      <c r="AP266" t="str">
        <f>SUBSTITUTE(SUBSTITUTE(SUBSTITUTE("dch"&amp;$B266&amp;$C266&amp;$D266&amp;$E266,".","_"),"(","_"),")","")</f>
        <v>dch604_1a</v>
      </c>
      <c r="AQ266" t="str">
        <f>IF(LEN(W266)=0,"",W266)</f>
        <v/>
      </c>
    </row>
    <row r="267" spans="2:45" x14ac:dyDescent="0.35">
      <c r="B267" s="37">
        <v>604.1</v>
      </c>
      <c r="C267" s="13" t="s">
        <v>2971</v>
      </c>
      <c r="D267" s="13"/>
      <c r="E267" s="13"/>
      <c r="F267" s="13"/>
      <c r="G267" s="13"/>
      <c r="H267" s="453"/>
      <c r="I267" s="30"/>
      <c r="J267" s="4"/>
      <c r="K267" s="43"/>
      <c r="L267" s="218" t="s">
        <v>3066</v>
      </c>
      <c r="M267" s="843"/>
      <c r="N267" s="4"/>
      <c r="O267" s="832"/>
      <c r="W267" t="s">
        <v>3060</v>
      </c>
      <c r="X267" s="817"/>
      <c r="AR267" t="str">
        <f>SUBSTITUTE(SUBSTITUTE(SUBSTITUTE("dnt"&amp;$B267&amp;$C267&amp;$D267&amp;$E267,".","_"),"(","_"),")","")</f>
        <v>dnt604_1b</v>
      </c>
      <c r="AS267" t="str">
        <f>IF(LEN(X267)=0,"",X267)</f>
        <v/>
      </c>
    </row>
    <row r="268" spans="2:45" x14ac:dyDescent="0.35">
      <c r="B268" s="37">
        <v>604.1</v>
      </c>
      <c r="C268" s="13" t="s">
        <v>2971</v>
      </c>
      <c r="D268" s="13"/>
      <c r="E268" s="13"/>
      <c r="F268" s="13"/>
      <c r="G268" s="13"/>
      <c r="H268" s="453"/>
      <c r="I268" s="30"/>
      <c r="J268" s="4"/>
      <c r="K268" s="43"/>
      <c r="L268" s="170" t="s">
        <v>3063</v>
      </c>
      <c r="M268" s="843"/>
      <c r="N268" s="4"/>
      <c r="O268" s="832"/>
      <c r="P268" t="b">
        <v>1</v>
      </c>
      <c r="Q268" t="b">
        <v>1</v>
      </c>
      <c r="R268" t="b">
        <v>0</v>
      </c>
      <c r="S268" t="b">
        <v>1</v>
      </c>
      <c r="T268" t="b">
        <v>0</v>
      </c>
      <c r="W268" s="97"/>
      <c r="X268" s="817"/>
      <c r="AC268" t="b">
        <f>OR(AD268:AE268)</f>
        <v>0</v>
      </c>
      <c r="AD268" t="b">
        <v>0</v>
      </c>
      <c r="AE268" t="b">
        <f>AND(W268&gt;0,LEN(X267)=0)</f>
        <v>0</v>
      </c>
      <c r="AP268" t="str">
        <f>SUBSTITUTE(SUBSTITUTE(SUBSTITUTE("dch"&amp;$B268&amp;$C268&amp;$D268&amp;$E268,".","_"),"(","_"),")","")</f>
        <v>dch604_1b</v>
      </c>
      <c r="AQ268" t="str">
        <f>IF(LEN(W268)=0,"",W268)</f>
        <v/>
      </c>
    </row>
    <row r="269" spans="2:45" x14ac:dyDescent="0.35">
      <c r="B269" s="37">
        <v>604.1</v>
      </c>
      <c r="C269" s="13" t="s">
        <v>2972</v>
      </c>
      <c r="D269" s="13"/>
      <c r="E269" s="13"/>
      <c r="F269" s="13"/>
      <c r="G269" s="13"/>
      <c r="H269" s="453"/>
      <c r="I269" s="30"/>
      <c r="J269" s="4"/>
      <c r="K269" s="43"/>
      <c r="L269" s="855" t="s">
        <v>3065</v>
      </c>
      <c r="M269" s="843"/>
      <c r="N269" s="4"/>
      <c r="O269" s="832"/>
      <c r="W269" t="s">
        <v>3062</v>
      </c>
      <c r="X269" s="817"/>
      <c r="AR269" t="str">
        <f>SUBSTITUTE(SUBSTITUTE(SUBSTITUTE("dnt"&amp;$B269&amp;$C269&amp;$D269&amp;$E269,".","_"),"(","_"),")","")</f>
        <v>dnt604_1c</v>
      </c>
      <c r="AS269" t="str">
        <f>IF(LEN(X269)=0,"",X269)</f>
        <v/>
      </c>
    </row>
    <row r="270" spans="2:45" x14ac:dyDescent="0.35">
      <c r="B270" s="37">
        <v>604.1</v>
      </c>
      <c r="C270" s="13" t="s">
        <v>2972</v>
      </c>
      <c r="D270" s="13"/>
      <c r="E270" s="13"/>
      <c r="F270" s="13"/>
      <c r="G270" s="13"/>
      <c r="H270" s="453"/>
      <c r="I270" s="30"/>
      <c r="J270" s="4"/>
      <c r="K270" s="43"/>
      <c r="L270" s="855"/>
      <c r="M270" s="843"/>
      <c r="N270" s="4"/>
      <c r="O270" s="832"/>
      <c r="P270" t="b">
        <v>1</v>
      </c>
      <c r="Q270" t="b">
        <v>1</v>
      </c>
      <c r="R270" t="b">
        <v>0</v>
      </c>
      <c r="S270" t="b">
        <v>1</v>
      </c>
      <c r="T270" t="b">
        <v>0</v>
      </c>
      <c r="W270" s="97"/>
      <c r="X270" s="817"/>
      <c r="AC270" t="b">
        <f>OR(AD270:AE270)</f>
        <v>0</v>
      </c>
      <c r="AD270" t="b">
        <v>0</v>
      </c>
      <c r="AE270" t="b">
        <f>AND(W270&gt;0,LEN(X269)=0)</f>
        <v>0</v>
      </c>
      <c r="AP270" t="str">
        <f>SUBSTITUTE(SUBSTITUTE(SUBSTITUTE("dch"&amp;$B270&amp;$C270&amp;$D270&amp;$E270,".","_"),"(","_"),")","")</f>
        <v>dch604_1c</v>
      </c>
      <c r="AQ270" t="str">
        <f>IF(LEN(W270)=0,"",W270)</f>
        <v/>
      </c>
    </row>
    <row r="271" spans="2:45" x14ac:dyDescent="0.35">
      <c r="B271" s="37">
        <v>604.1</v>
      </c>
      <c r="C271" s="13" t="s">
        <v>2973</v>
      </c>
      <c r="D271" s="13"/>
      <c r="E271" s="13"/>
      <c r="F271" s="13"/>
      <c r="G271" s="13"/>
      <c r="H271" s="453"/>
      <c r="I271" s="30"/>
      <c r="J271" s="4"/>
      <c r="K271" s="43"/>
      <c r="M271" s="843"/>
      <c r="N271" s="4"/>
      <c r="O271" s="832"/>
      <c r="W271" t="s">
        <v>3061</v>
      </c>
      <c r="X271" s="817"/>
      <c r="AR271" t="str">
        <f>SUBSTITUTE(SUBSTITUTE(SUBSTITUTE("dnt"&amp;$B271&amp;$C271&amp;$D271&amp;$E271,".","_"),"(","_"),")","")</f>
        <v>dnt604_1d</v>
      </c>
      <c r="AS271" t="str">
        <f>IF(LEN(X271)=0,"",X271)</f>
        <v/>
      </c>
    </row>
    <row r="272" spans="2:45" x14ac:dyDescent="0.35">
      <c r="B272" s="37">
        <v>604.1</v>
      </c>
      <c r="C272" s="13" t="s">
        <v>2973</v>
      </c>
      <c r="D272" s="13"/>
      <c r="E272" s="13"/>
      <c r="F272" s="13"/>
      <c r="G272" s="13"/>
      <c r="H272" s="453"/>
      <c r="I272" s="30"/>
      <c r="J272" s="4"/>
      <c r="K272" s="43"/>
      <c r="M272" s="843"/>
      <c r="N272" s="4"/>
      <c r="O272" s="832"/>
      <c r="P272" t="b">
        <v>1</v>
      </c>
      <c r="Q272" t="b">
        <v>1</v>
      </c>
      <c r="R272" t="b">
        <v>0</v>
      </c>
      <c r="S272" t="b">
        <v>1</v>
      </c>
      <c r="T272" t="b">
        <v>0</v>
      </c>
      <c r="W272" s="97"/>
      <c r="X272" s="817"/>
      <c r="AC272" t="b">
        <f>OR(AD272:AE272)</f>
        <v>0</v>
      </c>
      <c r="AD272" t="b">
        <v>0</v>
      </c>
      <c r="AE272" t="b">
        <f>AND(W272&gt;0,LEN(X271)=0)</f>
        <v>0</v>
      </c>
      <c r="AP272" t="str">
        <f>SUBSTITUTE(SUBSTITUTE(SUBSTITUTE("dch"&amp;$B272&amp;$C272&amp;$D272&amp;$E272,".","_"),"(","_"),")","")</f>
        <v>dch604_1d</v>
      </c>
      <c r="AQ272" t="str">
        <f>IF(LEN(W272)=0,"",W272)</f>
        <v/>
      </c>
    </row>
    <row r="273" spans="2:45" ht="18.5" x14ac:dyDescent="0.45">
      <c r="B273" s="37">
        <v>605</v>
      </c>
      <c r="C273" s="13"/>
      <c r="D273" s="13"/>
      <c r="E273" s="13"/>
      <c r="F273" s="13"/>
      <c r="G273" s="13"/>
      <c r="H273" s="453"/>
      <c r="I273" s="10" t="s">
        <v>657</v>
      </c>
      <c r="J273" s="15"/>
      <c r="K273" s="42"/>
      <c r="L273" s="150"/>
      <c r="M273" s="243"/>
      <c r="N273" s="311"/>
      <c r="O273" s="307"/>
      <c r="P273" s="15"/>
      <c r="Q273" s="15"/>
      <c r="R273" s="15"/>
      <c r="S273" s="15"/>
      <c r="T273" s="15"/>
      <c r="U273" s="15"/>
      <c r="V273" s="15"/>
      <c r="W273" s="15"/>
      <c r="X273" s="15"/>
    </row>
    <row r="274" spans="2:45" ht="15" thickBot="1" x14ac:dyDescent="0.4">
      <c r="B274" s="37" t="s">
        <v>3981</v>
      </c>
      <c r="C274" s="13"/>
      <c r="D274" s="13"/>
      <c r="E274" s="13"/>
      <c r="F274" s="13"/>
      <c r="G274" s="13"/>
      <c r="H274" s="453"/>
      <c r="I274" s="38" t="s">
        <v>3981</v>
      </c>
      <c r="J274" s="160"/>
      <c r="K274" s="53"/>
      <c r="L274" s="575" t="s">
        <v>4168</v>
      </c>
      <c r="M274" s="270"/>
      <c r="N274" s="160"/>
      <c r="O274" s="161"/>
      <c r="P274" s="55"/>
      <c r="Q274" s="55"/>
      <c r="R274" s="55"/>
      <c r="S274" s="55"/>
      <c r="T274" s="55"/>
      <c r="U274" s="55"/>
      <c r="V274" s="55"/>
      <c r="W274" s="55"/>
      <c r="X274" s="55"/>
    </row>
    <row r="275" spans="2:45" ht="15" thickTop="1" x14ac:dyDescent="0.35">
      <c r="B275" s="37">
        <v>605.1</v>
      </c>
      <c r="C275" s="13"/>
      <c r="D275" s="13"/>
      <c r="E275" s="13"/>
      <c r="F275" s="13"/>
      <c r="G275" s="13"/>
      <c r="H275" s="453"/>
      <c r="I275" s="106">
        <v>605.1</v>
      </c>
      <c r="J275" s="4"/>
      <c r="K275" s="43"/>
      <c r="L275" s="884" t="s">
        <v>4169</v>
      </c>
      <c r="M275" s="885" t="str">
        <f>IF(R275,"Mandatory","N/A")</f>
        <v>Mandatory</v>
      </c>
      <c r="N275" s="4"/>
      <c r="O275" s="75"/>
      <c r="P275" s="466" t="b">
        <v>1</v>
      </c>
      <c r="Q275" s="466" t="b">
        <v>0</v>
      </c>
      <c r="R275" s="466" t="b">
        <f>S275</f>
        <v>1</v>
      </c>
      <c r="S275" s="466" t="b">
        <v>1</v>
      </c>
      <c r="T275" s="466" t="b">
        <v>0</v>
      </c>
      <c r="W275" s="69" t="b">
        <v>1</v>
      </c>
      <c r="X275" s="816"/>
      <c r="AC275" t="b">
        <f>OR(AD275:AE275)</f>
        <v>0</v>
      </c>
      <c r="AD275" t="b">
        <v>0</v>
      </c>
      <c r="AE275" t="b">
        <f>AND(R275,NOT(W275))</f>
        <v>0</v>
      </c>
      <c r="AL275" t="str">
        <f>SUBSTITUTE(SUBSTITUTE(SUBSTITUTE("dpa"&amp;$B275&amp;$C275&amp;$D275&amp;$E275,".","_"),"(","_"),")","")</f>
        <v>dpa605_1</v>
      </c>
      <c r="AM275" t="str">
        <f>M275</f>
        <v>Mandatory</v>
      </c>
      <c r="AP275" t="str">
        <f>SUBSTITUTE(SUBSTITUTE(SUBSTITUTE("dch"&amp;$B275&amp;$C275&amp;$D275&amp;$E275,".","_"),"(","_"),")","")</f>
        <v>dch605_1</v>
      </c>
      <c r="AQ275" t="b">
        <f>IF(LEN(W275)=0,"",W275)</f>
        <v>1</v>
      </c>
      <c r="AR275" t="str">
        <f>SUBSTITUTE(SUBSTITUTE(SUBSTITUTE("dnt"&amp;$B275&amp;$C275&amp;$D275&amp;$E275,".","_"),"(","_"),")","")</f>
        <v>dnt605_1</v>
      </c>
      <c r="AS275" t="str">
        <f>IF(LEN(X275)=0,"",X275)</f>
        <v/>
      </c>
    </row>
    <row r="276" spans="2:45" x14ac:dyDescent="0.35">
      <c r="B276" s="37">
        <v>605.1</v>
      </c>
      <c r="C276" s="13"/>
      <c r="D276" s="13"/>
      <c r="E276" s="13"/>
      <c r="F276" s="13"/>
      <c r="G276" s="13"/>
      <c r="H276" s="453"/>
      <c r="I276" s="38"/>
      <c r="J276" s="4"/>
      <c r="K276" s="43"/>
      <c r="L276" s="884"/>
      <c r="M276" s="885"/>
      <c r="N276" s="4"/>
      <c r="O276" s="75"/>
      <c r="X276" s="817"/>
    </row>
    <row r="277" spans="2:45" ht="15" thickBot="1" x14ac:dyDescent="0.4">
      <c r="B277" s="37">
        <v>605.1</v>
      </c>
      <c r="C277" s="13"/>
      <c r="D277" s="13"/>
      <c r="E277" s="13"/>
      <c r="F277" s="13"/>
      <c r="G277" s="13"/>
      <c r="H277" s="453"/>
      <c r="I277" s="38"/>
      <c r="J277" s="4"/>
      <c r="K277" s="43"/>
      <c r="L277" s="884"/>
      <c r="M277" s="886"/>
      <c r="N277" s="4"/>
      <c r="O277" s="75"/>
      <c r="W277" s="64"/>
      <c r="X277" s="817"/>
    </row>
    <row r="278" spans="2:45" ht="15" thickTop="1" x14ac:dyDescent="0.35">
      <c r="B278" s="37">
        <v>605.20000000000005</v>
      </c>
      <c r="C278" s="13"/>
      <c r="D278" s="13"/>
      <c r="E278" s="13"/>
      <c r="F278" s="13"/>
      <c r="G278" s="13"/>
      <c r="H278" s="453"/>
      <c r="I278" s="106">
        <v>605.20000000000005</v>
      </c>
      <c r="J278" s="107"/>
      <c r="K278" s="108"/>
      <c r="L278" s="837" t="s">
        <v>4170</v>
      </c>
      <c r="M278" s="830">
        <v>6</v>
      </c>
      <c r="N278" s="107"/>
      <c r="O278" s="831">
        <f>M278*S278*IFERROR(OR(W278,W291),0)</f>
        <v>0</v>
      </c>
      <c r="P278" t="b">
        <v>1</v>
      </c>
      <c r="Q278" t="b">
        <v>1</v>
      </c>
      <c r="R278" s="59" t="b">
        <v>0</v>
      </c>
      <c r="S278" s="59" t="b">
        <v>1</v>
      </c>
      <c r="T278" s="59" t="b">
        <v>0</v>
      </c>
      <c r="U278" s="59"/>
      <c r="V278" s="59"/>
      <c r="W278" s="69"/>
      <c r="X278" s="840"/>
      <c r="AL278" t="str">
        <f>SUBSTITUTE(SUBSTITUTE(SUBSTITUTE("dpa"&amp;$B278&amp;$C278&amp;$D278&amp;$E278,".","_"),"(","_"),")","")</f>
        <v>dpa605_2</v>
      </c>
      <c r="AM278">
        <f>M278</f>
        <v>6</v>
      </c>
      <c r="AN278" t="str">
        <f>SUBSTITUTE(SUBSTITUTE(SUBSTITUTE("dpc"&amp;$B278&amp;$C278&amp;$D278&amp;$E278,".","_"),"(","_"),")","")</f>
        <v>dpc605_2</v>
      </c>
      <c r="AO278">
        <f>O278</f>
        <v>0</v>
      </c>
      <c r="AP278" t="str">
        <f>SUBSTITUTE(SUBSTITUTE(SUBSTITUTE("dch"&amp;$B278&amp;$C278&amp;$D278&amp;$E278,".","_"),"(","_"),")","")</f>
        <v>dch605_2</v>
      </c>
      <c r="AQ278" t="str">
        <f>IF(LEN(W278)=0,"",W278)</f>
        <v/>
      </c>
      <c r="AR278" t="str">
        <f>SUBSTITUTE(SUBSTITUTE(SUBSTITUTE("dnt"&amp;$B278&amp;$C278&amp;$D278&amp;$E278,".","_"),"(","_"),")","")</f>
        <v>dnt605_2</v>
      </c>
      <c r="AS278" t="str">
        <f>IF(LEN(X278)=0,"",X278)</f>
        <v/>
      </c>
    </row>
    <row r="279" spans="2:45" x14ac:dyDescent="0.35">
      <c r="B279" s="37">
        <v>605.20000000000005</v>
      </c>
      <c r="C279" s="13"/>
      <c r="D279" s="13"/>
      <c r="E279" s="13"/>
      <c r="F279" s="13"/>
      <c r="G279" s="13"/>
      <c r="H279" s="453"/>
      <c r="I279" s="30"/>
      <c r="J279" s="4"/>
      <c r="K279" s="43"/>
      <c r="L279" s="838"/>
      <c r="M279" s="818"/>
      <c r="N279" s="4"/>
      <c r="O279" s="832"/>
      <c r="X279" s="817"/>
    </row>
    <row r="280" spans="2:45" x14ac:dyDescent="0.35">
      <c r="B280" s="37">
        <v>605.20000000000005</v>
      </c>
      <c r="C280" s="13"/>
      <c r="D280" s="13"/>
      <c r="E280" s="13"/>
      <c r="F280" s="13"/>
      <c r="G280" s="13"/>
      <c r="H280" s="453"/>
      <c r="I280" s="30"/>
      <c r="J280" s="4"/>
      <c r="K280" s="43"/>
      <c r="L280" s="838"/>
      <c r="M280" s="818"/>
      <c r="N280" s="4"/>
      <c r="O280" s="832"/>
      <c r="X280" s="817"/>
    </row>
    <row r="281" spans="2:45" x14ac:dyDescent="0.35">
      <c r="B281" s="37">
        <v>605.20000000000005</v>
      </c>
      <c r="C281" s="13"/>
      <c r="D281" s="13"/>
      <c r="E281" s="13"/>
      <c r="F281" s="13"/>
      <c r="G281" s="13"/>
      <c r="H281" s="453"/>
      <c r="I281" s="30"/>
      <c r="J281" s="4"/>
      <c r="K281" s="43"/>
      <c r="L281" s="838"/>
      <c r="M281" s="818"/>
      <c r="N281" s="4"/>
      <c r="O281" s="832"/>
      <c r="X281" s="817"/>
    </row>
    <row r="282" spans="2:45" x14ac:dyDescent="0.35">
      <c r="B282" s="37">
        <v>605.20000000000005</v>
      </c>
      <c r="C282" s="13"/>
      <c r="D282" s="13"/>
      <c r="E282" s="13"/>
      <c r="F282" s="13"/>
      <c r="G282" s="13"/>
      <c r="H282" s="453"/>
      <c r="I282" s="30"/>
      <c r="J282" s="4"/>
      <c r="K282" s="43"/>
      <c r="L282" s="838"/>
      <c r="M282" s="818"/>
      <c r="N282" s="4"/>
      <c r="O282" s="832"/>
      <c r="X282" s="817"/>
    </row>
    <row r="283" spans="2:45" x14ac:dyDescent="0.35">
      <c r="B283" s="37">
        <v>605.20000000000005</v>
      </c>
      <c r="C283" s="13"/>
      <c r="D283" s="13"/>
      <c r="E283" s="13"/>
      <c r="F283" s="13"/>
      <c r="G283" s="13"/>
      <c r="H283" s="453"/>
      <c r="I283" s="30"/>
      <c r="J283" s="4"/>
      <c r="K283" s="43"/>
      <c r="L283" s="838"/>
      <c r="M283" s="818"/>
      <c r="N283" s="4"/>
      <c r="O283" s="832"/>
      <c r="X283" s="817"/>
    </row>
    <row r="284" spans="2:45" x14ac:dyDescent="0.35">
      <c r="B284" s="37">
        <v>605.20000000000005</v>
      </c>
      <c r="C284" s="13"/>
      <c r="D284" s="13"/>
      <c r="E284" s="13"/>
      <c r="F284" s="13"/>
      <c r="G284" s="13"/>
      <c r="H284" s="453"/>
      <c r="I284" s="30"/>
      <c r="J284" s="4"/>
      <c r="K284" s="43"/>
      <c r="L284" s="814" t="s">
        <v>4174</v>
      </c>
      <c r="M284" s="818"/>
      <c r="N284" s="4"/>
      <c r="O284" s="832"/>
      <c r="X284" s="817"/>
    </row>
    <row r="285" spans="2:45" x14ac:dyDescent="0.35">
      <c r="B285" s="37">
        <v>605.20000000000005</v>
      </c>
      <c r="C285" s="13"/>
      <c r="D285" s="13"/>
      <c r="E285" s="13"/>
      <c r="F285" s="13"/>
      <c r="G285" s="13"/>
      <c r="H285" s="453"/>
      <c r="I285" s="30"/>
      <c r="J285" s="4"/>
      <c r="K285" s="43"/>
      <c r="L285" s="814"/>
      <c r="M285" s="818"/>
      <c r="N285" s="4"/>
      <c r="O285" s="832"/>
      <c r="X285" s="817"/>
    </row>
    <row r="286" spans="2:45" x14ac:dyDescent="0.35">
      <c r="B286" s="37">
        <v>605.20000000000005</v>
      </c>
      <c r="C286" s="13"/>
      <c r="D286" s="13"/>
      <c r="E286" s="13"/>
      <c r="F286" s="13"/>
      <c r="G286" s="13"/>
      <c r="H286" s="453"/>
      <c r="I286" s="30"/>
      <c r="J286" s="4"/>
      <c r="K286" s="43"/>
      <c r="L286" s="814"/>
      <c r="M286" s="818"/>
      <c r="N286" s="4"/>
      <c r="O286" s="832"/>
      <c r="X286" s="817"/>
    </row>
    <row r="287" spans="2:45" x14ac:dyDescent="0.35">
      <c r="B287" s="37">
        <v>605.20000000000005</v>
      </c>
      <c r="C287" s="13"/>
      <c r="D287" s="13"/>
      <c r="E287" s="13"/>
      <c r="F287" s="13"/>
      <c r="G287" s="13"/>
      <c r="H287" s="453"/>
      <c r="I287" s="30"/>
      <c r="J287" s="4"/>
      <c r="K287" s="43"/>
      <c r="L287" s="814"/>
      <c r="M287" s="818"/>
      <c r="N287" s="4"/>
      <c r="O287" s="832"/>
      <c r="X287" s="817"/>
    </row>
    <row r="288" spans="2:45" x14ac:dyDescent="0.35">
      <c r="B288" s="37">
        <v>605.20000000000005</v>
      </c>
      <c r="C288" s="13"/>
      <c r="D288" s="13"/>
      <c r="E288" s="13"/>
      <c r="F288" s="13"/>
      <c r="G288" s="13"/>
      <c r="H288" s="453"/>
      <c r="I288" s="30"/>
      <c r="J288" s="4"/>
      <c r="K288" s="43"/>
      <c r="L288" s="95" t="s">
        <v>658</v>
      </c>
      <c r="M288" s="818"/>
      <c r="N288" s="4"/>
      <c r="O288" s="832"/>
      <c r="X288" s="817"/>
    </row>
    <row r="289" spans="2:45" x14ac:dyDescent="0.35">
      <c r="B289" s="37">
        <v>605.20000000000005</v>
      </c>
      <c r="C289" s="13" t="s">
        <v>256</v>
      </c>
      <c r="D289" s="13"/>
      <c r="E289" s="13"/>
      <c r="F289" s="13"/>
      <c r="G289" s="13"/>
      <c r="H289" s="453"/>
      <c r="I289" s="30"/>
      <c r="J289" s="19" t="s">
        <v>256</v>
      </c>
      <c r="K289" s="43"/>
      <c r="L289" s="814" t="s">
        <v>4175</v>
      </c>
      <c r="M289" s="818"/>
      <c r="N289" s="4"/>
      <c r="O289" s="832"/>
      <c r="X289" s="817"/>
    </row>
    <row r="290" spans="2:45" x14ac:dyDescent="0.35">
      <c r="B290" s="37">
        <v>605.20000000000005</v>
      </c>
      <c r="C290" s="13" t="s">
        <v>256</v>
      </c>
      <c r="D290" s="13"/>
      <c r="E290" s="13"/>
      <c r="F290" s="13"/>
      <c r="G290" s="13"/>
      <c r="H290" s="453"/>
      <c r="I290" s="30"/>
      <c r="J290" s="4"/>
      <c r="K290" s="43"/>
      <c r="L290" s="814"/>
      <c r="M290" s="818"/>
      <c r="N290" s="4"/>
      <c r="O290" s="832"/>
      <c r="X290" s="817"/>
    </row>
    <row r="291" spans="2:45" x14ac:dyDescent="0.35">
      <c r="B291" s="37">
        <v>605.20000000000005</v>
      </c>
      <c r="C291" s="13" t="s">
        <v>258</v>
      </c>
      <c r="D291" s="13"/>
      <c r="E291" s="13"/>
      <c r="F291" s="13"/>
      <c r="G291" s="13"/>
      <c r="H291" s="453"/>
      <c r="I291" s="30"/>
      <c r="J291" s="19" t="s">
        <v>258</v>
      </c>
      <c r="K291" s="43"/>
      <c r="L291" s="814" t="s">
        <v>659</v>
      </c>
      <c r="M291" s="818"/>
      <c r="N291" s="4"/>
      <c r="O291" s="832"/>
      <c r="P291" t="b">
        <v>1</v>
      </c>
      <c r="Q291" t="b">
        <v>1</v>
      </c>
      <c r="R291" t="b">
        <v>0</v>
      </c>
      <c r="S291" t="b">
        <v>1</v>
      </c>
      <c r="T291" t="b">
        <v>0</v>
      </c>
      <c r="W291" s="17"/>
      <c r="X291" s="817"/>
      <c r="AP291" t="str">
        <f>SUBSTITUTE(SUBSTITUTE(SUBSTITUTE("dch"&amp;$B291&amp;$C291&amp;$D291&amp;$E291,".","_"),"(","_"),")","")</f>
        <v>dch605_2_2</v>
      </c>
      <c r="AQ291" t="str">
        <f>IF(LEN(W291)=0,"",W291)</f>
        <v/>
      </c>
    </row>
    <row r="292" spans="2:45" ht="15" thickBot="1" x14ac:dyDescent="0.4">
      <c r="B292" s="37">
        <v>605.20000000000005</v>
      </c>
      <c r="C292" s="13" t="s">
        <v>258</v>
      </c>
      <c r="D292" s="13"/>
      <c r="E292" s="13"/>
      <c r="F292" s="13"/>
      <c r="G292" s="13"/>
      <c r="H292" s="453"/>
      <c r="I292" s="30"/>
      <c r="J292" s="4"/>
      <c r="K292" s="43"/>
      <c r="L292" s="814"/>
      <c r="M292" s="818"/>
      <c r="N292" s="4"/>
      <c r="O292" s="832"/>
      <c r="W292" s="168"/>
      <c r="X292" s="850"/>
    </row>
    <row r="293" spans="2:45" ht="15" thickTop="1" x14ac:dyDescent="0.35">
      <c r="B293" s="37">
        <v>605.29999999999995</v>
      </c>
      <c r="C293" s="13"/>
      <c r="D293" s="13"/>
      <c r="E293" s="13"/>
      <c r="F293" s="13"/>
      <c r="G293" s="13"/>
      <c r="H293" s="453"/>
      <c r="I293" s="106">
        <v>605.29999999999995</v>
      </c>
      <c r="J293" s="107"/>
      <c r="K293" s="108"/>
      <c r="L293" s="837" t="s">
        <v>4171</v>
      </c>
      <c r="M293" s="830">
        <v>7</v>
      </c>
      <c r="N293" s="107"/>
      <c r="O293" s="831">
        <f>M293*S293*W293</f>
        <v>0</v>
      </c>
      <c r="P293" t="b">
        <v>1</v>
      </c>
      <c r="Q293" t="b">
        <v>1</v>
      </c>
      <c r="R293" s="59" t="b">
        <v>0</v>
      </c>
      <c r="S293" s="59" t="b">
        <v>1</v>
      </c>
      <c r="T293" s="59" t="b">
        <v>0</v>
      </c>
      <c r="U293" s="59"/>
      <c r="V293" s="59"/>
      <c r="W293" s="69"/>
      <c r="X293" s="840"/>
      <c r="AL293" t="str">
        <f>SUBSTITUTE(SUBSTITUTE(SUBSTITUTE("dpa"&amp;$B293&amp;$C293&amp;$D293&amp;$E293,".","_"),"(","_"),")","")</f>
        <v>dpa605_3</v>
      </c>
      <c r="AM293">
        <f>M293</f>
        <v>7</v>
      </c>
      <c r="AN293" t="str">
        <f>SUBSTITUTE(SUBSTITUTE(SUBSTITUTE("dpc"&amp;$B293&amp;$C293&amp;$D293&amp;$E293,".","_"),"(","_"),")","")</f>
        <v>dpc605_3</v>
      </c>
      <c r="AO293">
        <f>O293</f>
        <v>0</v>
      </c>
      <c r="AP293" t="str">
        <f>SUBSTITUTE(SUBSTITUTE(SUBSTITUTE("dch"&amp;$B293&amp;$C293&amp;$D293&amp;$E293,".","_"),"(","_"),")","")</f>
        <v>dch605_3</v>
      </c>
      <c r="AQ293" t="str">
        <f>IF(LEN(W293)=0,"",W293)</f>
        <v/>
      </c>
      <c r="AR293" t="str">
        <f>SUBSTITUTE(SUBSTITUTE(SUBSTITUTE("dnt"&amp;$B293&amp;$C293&amp;$D293&amp;$E293,".","_"),"(","_"),")","")</f>
        <v>dnt605_3</v>
      </c>
      <c r="AS293" t="str">
        <f>IF(LEN(X293)=0,"",X293)</f>
        <v/>
      </c>
    </row>
    <row r="294" spans="2:45" x14ac:dyDescent="0.35">
      <c r="B294" s="37">
        <v>605.29999999999995</v>
      </c>
      <c r="C294" s="13"/>
      <c r="D294" s="13"/>
      <c r="E294" s="13"/>
      <c r="F294" s="13"/>
      <c r="G294" s="13"/>
      <c r="H294" s="453"/>
      <c r="I294" s="30"/>
      <c r="J294" s="4"/>
      <c r="K294" s="43"/>
      <c r="L294" s="838"/>
      <c r="M294" s="818"/>
      <c r="N294" s="4"/>
      <c r="O294" s="832"/>
      <c r="X294" s="817"/>
    </row>
    <row r="295" spans="2:45" x14ac:dyDescent="0.35">
      <c r="B295" s="37">
        <v>605.29999999999995</v>
      </c>
      <c r="C295" s="13"/>
      <c r="D295" s="13" t="s">
        <v>121</v>
      </c>
      <c r="E295" s="13"/>
      <c r="F295" s="13"/>
      <c r="G295" s="13"/>
      <c r="H295" s="453"/>
      <c r="I295" s="30"/>
      <c r="J295" s="4"/>
      <c r="K295" s="47" t="s">
        <v>121</v>
      </c>
      <c r="L295" s="814" t="s">
        <v>660</v>
      </c>
      <c r="M295" s="40"/>
      <c r="N295" s="4"/>
      <c r="O295" s="75"/>
      <c r="X295" s="817"/>
    </row>
    <row r="296" spans="2:45" x14ac:dyDescent="0.35">
      <c r="B296" s="37">
        <v>605.29999999999995</v>
      </c>
      <c r="C296" s="13"/>
      <c r="D296" s="13" t="s">
        <v>121</v>
      </c>
      <c r="E296" s="13"/>
      <c r="F296" s="13"/>
      <c r="G296" s="13"/>
      <c r="H296" s="453"/>
      <c r="I296" s="30"/>
      <c r="J296" s="4"/>
      <c r="K296" s="43"/>
      <c r="L296" s="814"/>
      <c r="M296" s="40"/>
      <c r="N296" s="4"/>
      <c r="O296" s="75"/>
      <c r="X296" s="817"/>
    </row>
    <row r="297" spans="2:45" x14ac:dyDescent="0.35">
      <c r="B297" s="37">
        <v>605.29999999999995</v>
      </c>
      <c r="C297" s="13"/>
      <c r="D297" s="13" t="s">
        <v>121</v>
      </c>
      <c r="E297" s="13"/>
      <c r="F297" s="13"/>
      <c r="G297" s="13"/>
      <c r="H297" s="453"/>
      <c r="I297" s="30"/>
      <c r="J297" s="4"/>
      <c r="K297" s="101"/>
      <c r="L297" s="815"/>
      <c r="M297" s="40"/>
      <c r="N297" s="4"/>
      <c r="O297" s="75"/>
      <c r="X297" s="817"/>
    </row>
    <row r="298" spans="2:45" x14ac:dyDescent="0.35">
      <c r="B298" s="37">
        <v>605.29999999999995</v>
      </c>
      <c r="C298" s="13"/>
      <c r="D298" s="13" t="s">
        <v>122</v>
      </c>
      <c r="E298" s="13"/>
      <c r="F298" s="13"/>
      <c r="G298" s="13"/>
      <c r="H298" s="453"/>
      <c r="I298" s="30"/>
      <c r="J298" s="4"/>
      <c r="K298" s="135" t="s">
        <v>122</v>
      </c>
      <c r="L298" s="178" t="s">
        <v>661</v>
      </c>
      <c r="M298" s="40"/>
      <c r="N298" s="4"/>
      <c r="O298" s="75"/>
      <c r="X298" s="817"/>
    </row>
    <row r="299" spans="2:45" x14ac:dyDescent="0.35">
      <c r="B299" s="37">
        <v>605.29999999999995</v>
      </c>
      <c r="C299" s="13"/>
      <c r="D299" s="13" t="s">
        <v>123</v>
      </c>
      <c r="E299" s="13"/>
      <c r="F299" s="13"/>
      <c r="G299" s="13"/>
      <c r="H299" s="453"/>
      <c r="I299" s="30"/>
      <c r="J299" s="4"/>
      <c r="K299" s="49" t="s">
        <v>123</v>
      </c>
      <c r="L299" s="814" t="s">
        <v>662</v>
      </c>
      <c r="M299" s="40"/>
      <c r="N299" s="4"/>
      <c r="O299" s="75"/>
      <c r="X299" s="817"/>
    </row>
    <row r="300" spans="2:45" x14ac:dyDescent="0.35">
      <c r="B300" s="37">
        <v>605.29999999999995</v>
      </c>
      <c r="C300" s="13"/>
      <c r="D300" s="13" t="s">
        <v>123</v>
      </c>
      <c r="E300" s="13"/>
      <c r="F300" s="13"/>
      <c r="G300" s="13"/>
      <c r="H300" s="453"/>
      <c r="I300" s="30"/>
      <c r="J300" s="4"/>
      <c r="K300" s="45"/>
      <c r="L300" s="814"/>
      <c r="M300" s="40"/>
      <c r="N300" s="4"/>
      <c r="O300" s="75"/>
      <c r="X300" s="817"/>
    </row>
    <row r="301" spans="2:45" ht="15" thickBot="1" x14ac:dyDescent="0.4">
      <c r="B301" s="37">
        <v>605.29999999999995</v>
      </c>
      <c r="C301" s="13"/>
      <c r="D301" s="13" t="s">
        <v>123</v>
      </c>
      <c r="E301" s="13"/>
      <c r="F301" s="13"/>
      <c r="G301" s="13"/>
      <c r="H301" s="453"/>
      <c r="I301" s="30"/>
      <c r="J301" s="4"/>
      <c r="K301" s="43"/>
      <c r="L301" s="814"/>
      <c r="M301" s="40"/>
      <c r="N301" s="4"/>
      <c r="O301" s="75"/>
      <c r="X301" s="850"/>
    </row>
    <row r="302" spans="2:45" ht="15" thickTop="1" x14ac:dyDescent="0.35">
      <c r="B302" s="37" t="s">
        <v>4173</v>
      </c>
      <c r="C302" s="13"/>
      <c r="D302" s="13"/>
      <c r="E302" s="13"/>
      <c r="F302" s="13"/>
      <c r="G302" s="13"/>
      <c r="H302" s="453"/>
      <c r="I302" s="106">
        <v>605.4</v>
      </c>
      <c r="J302" s="107"/>
      <c r="K302" s="108"/>
      <c r="L302" s="837" t="s">
        <v>4172</v>
      </c>
      <c r="M302" s="830" t="s">
        <v>663</v>
      </c>
      <c r="N302" s="107"/>
      <c r="O302" s="831">
        <f>IF(COUNTIF(W306:W314,TRUE)&lt;2,0,MIN(6,(COUNTIF(W306:W314,TRUE)+1)))</f>
        <v>0</v>
      </c>
      <c r="P302" t="b">
        <v>1</v>
      </c>
      <c r="Q302" t="b">
        <v>1</v>
      </c>
      <c r="R302" s="59" t="b">
        <v>0</v>
      </c>
      <c r="S302" s="59" t="b">
        <v>1</v>
      </c>
      <c r="T302" s="59" t="b">
        <v>0</v>
      </c>
      <c r="U302" s="59"/>
      <c r="V302" s="59"/>
      <c r="W302" s="59"/>
      <c r="X302" s="59"/>
      <c r="AL302" t="str">
        <f>SUBSTITUTE(SUBSTITUTE(SUBSTITUTE("dpa"&amp;$B302&amp;$C302&amp;$D302&amp;$E302,".","_"),"(","_"),")","")</f>
        <v>dpa605_4</v>
      </c>
      <c r="AM302" t="str">
        <f>M302</f>
        <v>6 Max</v>
      </c>
      <c r="AN302" t="str">
        <f>SUBSTITUTE(SUBSTITUTE(SUBSTITUTE("dpc"&amp;$B302&amp;$C302&amp;$D302&amp;$E302,".","_"),"(","_"),")","")</f>
        <v>dpc605_4</v>
      </c>
      <c r="AO302">
        <f>O302</f>
        <v>0</v>
      </c>
    </row>
    <row r="303" spans="2:45" x14ac:dyDescent="0.35">
      <c r="B303" s="37" t="s">
        <v>4173</v>
      </c>
      <c r="C303" s="13"/>
      <c r="D303" s="13"/>
      <c r="E303" s="13"/>
      <c r="F303" s="13"/>
      <c r="G303" s="13"/>
      <c r="H303" s="453"/>
      <c r="I303" s="30"/>
      <c r="J303" s="4"/>
      <c r="K303" s="43"/>
      <c r="L303" s="838"/>
      <c r="M303" s="818"/>
      <c r="N303" s="4"/>
      <c r="O303" s="832"/>
    </row>
    <row r="304" spans="2:45" x14ac:dyDescent="0.35">
      <c r="B304" s="37" t="s">
        <v>4173</v>
      </c>
      <c r="C304" s="13" t="s">
        <v>256</v>
      </c>
      <c r="D304" s="13"/>
      <c r="E304" s="13"/>
      <c r="F304" s="13"/>
      <c r="G304" s="13"/>
      <c r="H304" s="453"/>
      <c r="I304" s="30"/>
      <c r="J304" s="129" t="s">
        <v>256</v>
      </c>
      <c r="K304" s="101"/>
      <c r="L304" s="228" t="s">
        <v>664</v>
      </c>
      <c r="M304" s="268">
        <v>3</v>
      </c>
      <c r="N304" s="4"/>
      <c r="O304" s="75"/>
      <c r="AL304" t="str">
        <f>SUBSTITUTE(SUBSTITUTE(SUBSTITUTE("dpa"&amp;$B304&amp;$C304&amp;$D304&amp;$E304,".","_"),"(","_"),")","")</f>
        <v>dpa605_4_1</v>
      </c>
      <c r="AM304">
        <f>M304</f>
        <v>3</v>
      </c>
    </row>
    <row r="305" spans="2:45" x14ac:dyDescent="0.35">
      <c r="B305" s="37" t="s">
        <v>4173</v>
      </c>
      <c r="C305" s="13" t="s">
        <v>258</v>
      </c>
      <c r="D305" s="13"/>
      <c r="E305" s="13"/>
      <c r="F305" s="13"/>
      <c r="G305" s="13"/>
      <c r="H305" s="453"/>
      <c r="I305" s="30"/>
      <c r="J305" s="19" t="s">
        <v>258</v>
      </c>
      <c r="K305" s="43"/>
      <c r="L305" s="90" t="s">
        <v>665</v>
      </c>
      <c r="M305" s="40">
        <v>1</v>
      </c>
      <c r="N305" s="4"/>
      <c r="O305" s="75"/>
      <c r="AL305" t="str">
        <f>SUBSTITUTE(SUBSTITUTE(SUBSTITUTE("dpa"&amp;$B305&amp;$C305&amp;$D305&amp;$E305,".","_"),"(","_"),")","")</f>
        <v>dpa605_4_2</v>
      </c>
      <c r="AM305">
        <f>M305</f>
        <v>1</v>
      </c>
    </row>
    <row r="306" spans="2:45" x14ac:dyDescent="0.35">
      <c r="B306" s="37" t="s">
        <v>4173</v>
      </c>
      <c r="C306" s="13" t="s">
        <v>258</v>
      </c>
      <c r="D306" s="13" t="s">
        <v>121</v>
      </c>
      <c r="E306" s="13"/>
      <c r="F306" s="13"/>
      <c r="G306" s="13"/>
      <c r="H306" s="453"/>
      <c r="I306" s="30"/>
      <c r="J306" s="4"/>
      <c r="K306" s="100" t="s">
        <v>121</v>
      </c>
      <c r="L306" s="228" t="s">
        <v>3067</v>
      </c>
      <c r="M306" s="40"/>
      <c r="N306" s="4"/>
      <c r="O306" s="75"/>
      <c r="P306" t="b">
        <v>1</v>
      </c>
      <c r="Q306" t="b">
        <v>1</v>
      </c>
      <c r="R306" t="b">
        <v>0</v>
      </c>
      <c r="S306" t="b">
        <v>1</v>
      </c>
      <c r="T306" t="b">
        <v>0</v>
      </c>
      <c r="W306" s="17"/>
      <c r="X306" s="817"/>
      <c r="AP306" t="str">
        <f t="shared" ref="AP306:AP314" si="15">SUBSTITUTE(SUBSTITUTE(SUBSTITUTE("dch"&amp;$B306&amp;$C306&amp;$D306&amp;$E306,".","_"),"(","_"),")","")</f>
        <v>dch605_4_2_a</v>
      </c>
      <c r="AQ306" t="str">
        <f t="shared" ref="AQ306:AQ314" si="16">IF(LEN(W306)=0,"",W306)</f>
        <v/>
      </c>
      <c r="AR306" t="str">
        <f>SUBSTITUTE(SUBSTITUTE(SUBSTITUTE("dnt"&amp;$B306&amp;$C306&amp;$D306&amp;$E306,".","_"),"(","_"),")","")</f>
        <v>dnt605_4_2_a</v>
      </c>
      <c r="AS306" t="str">
        <f>IF(LEN(X306)=0,"",X306)</f>
        <v/>
      </c>
    </row>
    <row r="307" spans="2:45" x14ac:dyDescent="0.35">
      <c r="B307" s="37" t="s">
        <v>4173</v>
      </c>
      <c r="C307" s="13" t="s">
        <v>258</v>
      </c>
      <c r="D307" s="13" t="s">
        <v>122</v>
      </c>
      <c r="E307" s="13"/>
      <c r="F307" s="13"/>
      <c r="G307" s="13"/>
      <c r="H307" s="453"/>
      <c r="I307" s="30"/>
      <c r="J307" s="4"/>
      <c r="K307" s="135" t="s">
        <v>122</v>
      </c>
      <c r="L307" s="178" t="s">
        <v>3068</v>
      </c>
      <c r="M307" s="40"/>
      <c r="N307" s="4"/>
      <c r="O307" s="75"/>
      <c r="P307" t="b">
        <v>1</v>
      </c>
      <c r="Q307" t="b">
        <v>1</v>
      </c>
      <c r="R307" t="b">
        <v>0</v>
      </c>
      <c r="S307" t="b">
        <v>1</v>
      </c>
      <c r="T307" t="b">
        <v>0</v>
      </c>
      <c r="W307" s="17"/>
      <c r="X307" s="817"/>
      <c r="AP307" t="str">
        <f t="shared" si="15"/>
        <v>dch605_4_2_b</v>
      </c>
      <c r="AQ307" t="str">
        <f t="shared" si="16"/>
        <v/>
      </c>
    </row>
    <row r="308" spans="2:45" x14ac:dyDescent="0.35">
      <c r="B308" s="37" t="s">
        <v>4173</v>
      </c>
      <c r="C308" s="13" t="s">
        <v>258</v>
      </c>
      <c r="D308" s="13" t="s">
        <v>123</v>
      </c>
      <c r="E308" s="13"/>
      <c r="F308" s="13"/>
      <c r="G308" s="13"/>
      <c r="H308" s="453"/>
      <c r="I308" s="30"/>
      <c r="J308" s="4"/>
      <c r="K308" s="140" t="s">
        <v>123</v>
      </c>
      <c r="L308" s="178" t="s">
        <v>3069</v>
      </c>
      <c r="M308" s="40"/>
      <c r="N308" s="4"/>
      <c r="O308" s="75"/>
      <c r="P308" t="b">
        <v>1</v>
      </c>
      <c r="Q308" t="b">
        <v>1</v>
      </c>
      <c r="R308" t="b">
        <v>0</v>
      </c>
      <c r="S308" t="b">
        <v>1</v>
      </c>
      <c r="T308" t="b">
        <v>0</v>
      </c>
      <c r="W308" s="17"/>
      <c r="X308" s="817"/>
      <c r="AP308" t="str">
        <f t="shared" si="15"/>
        <v>dch605_4_2_c</v>
      </c>
      <c r="AQ308" t="str">
        <f t="shared" si="16"/>
        <v/>
      </c>
    </row>
    <row r="309" spans="2:45" x14ac:dyDescent="0.35">
      <c r="B309" s="37" t="s">
        <v>4173</v>
      </c>
      <c r="C309" s="13" t="s">
        <v>258</v>
      </c>
      <c r="D309" s="13" t="s">
        <v>401</v>
      </c>
      <c r="E309" s="13"/>
      <c r="F309" s="13"/>
      <c r="G309" s="13"/>
      <c r="H309" s="453"/>
      <c r="I309" s="30"/>
      <c r="J309" s="4"/>
      <c r="K309" s="141" t="s">
        <v>401</v>
      </c>
      <c r="L309" s="178" t="s">
        <v>3070</v>
      </c>
      <c r="M309" s="40"/>
      <c r="N309" s="4"/>
      <c r="O309" s="75"/>
      <c r="P309" t="b">
        <v>1</v>
      </c>
      <c r="Q309" t="b">
        <v>1</v>
      </c>
      <c r="R309" t="b">
        <v>0</v>
      </c>
      <c r="S309" t="b">
        <v>1</v>
      </c>
      <c r="T309" t="b">
        <v>0</v>
      </c>
      <c r="W309" s="17"/>
      <c r="X309" s="817"/>
      <c r="AP309" t="str">
        <f t="shared" si="15"/>
        <v>dch605_4_2_d</v>
      </c>
      <c r="AQ309" t="str">
        <f t="shared" si="16"/>
        <v/>
      </c>
    </row>
    <row r="310" spans="2:45" x14ac:dyDescent="0.35">
      <c r="B310" s="37" t="s">
        <v>4173</v>
      </c>
      <c r="C310" s="13" t="s">
        <v>258</v>
      </c>
      <c r="D310" s="13" t="s">
        <v>539</v>
      </c>
      <c r="E310" s="13"/>
      <c r="F310" s="13"/>
      <c r="G310" s="13"/>
      <c r="H310" s="453"/>
      <c r="I310" s="30"/>
      <c r="J310" s="4"/>
      <c r="K310" s="135" t="s">
        <v>539</v>
      </c>
      <c r="L310" s="178" t="s">
        <v>3071</v>
      </c>
      <c r="M310" s="40"/>
      <c r="N310" s="4"/>
      <c r="O310" s="75"/>
      <c r="P310" t="b">
        <v>1</v>
      </c>
      <c r="Q310" t="b">
        <v>1</v>
      </c>
      <c r="R310" t="b">
        <v>0</v>
      </c>
      <c r="S310" t="b">
        <v>1</v>
      </c>
      <c r="T310" t="b">
        <v>0</v>
      </c>
      <c r="W310" s="17"/>
      <c r="X310" s="817"/>
      <c r="AP310" t="str">
        <f t="shared" si="15"/>
        <v>dch605_4_2_e</v>
      </c>
      <c r="AQ310" t="str">
        <f t="shared" si="16"/>
        <v/>
      </c>
    </row>
    <row r="311" spans="2:45" x14ac:dyDescent="0.35">
      <c r="B311" s="37" t="s">
        <v>4173</v>
      </c>
      <c r="C311" s="13" t="s">
        <v>258</v>
      </c>
      <c r="D311" s="13" t="s">
        <v>604</v>
      </c>
      <c r="E311" s="13"/>
      <c r="F311" s="13"/>
      <c r="G311" s="13"/>
      <c r="H311" s="453"/>
      <c r="I311" s="30"/>
      <c r="J311" s="4"/>
      <c r="K311" s="135" t="s">
        <v>604</v>
      </c>
      <c r="L311" s="178" t="s">
        <v>3072</v>
      </c>
      <c r="M311" s="40"/>
      <c r="N311" s="4"/>
      <c r="O311" s="75"/>
      <c r="P311" t="b">
        <v>1</v>
      </c>
      <c r="Q311" t="b">
        <v>1</v>
      </c>
      <c r="R311" t="b">
        <v>0</v>
      </c>
      <c r="S311" t="b">
        <v>1</v>
      </c>
      <c r="T311" t="b">
        <v>0</v>
      </c>
      <c r="W311" s="17"/>
      <c r="X311" s="817"/>
      <c r="AP311" t="str">
        <f t="shared" si="15"/>
        <v>dch605_4_2_f</v>
      </c>
      <c r="AQ311" t="str">
        <f t="shared" si="16"/>
        <v/>
      </c>
    </row>
    <row r="312" spans="2:45" x14ac:dyDescent="0.35">
      <c r="B312" s="37" t="s">
        <v>4173</v>
      </c>
      <c r="C312" s="13" t="s">
        <v>258</v>
      </c>
      <c r="D312" s="13" t="s">
        <v>606</v>
      </c>
      <c r="E312" s="13"/>
      <c r="F312" s="13"/>
      <c r="G312" s="13"/>
      <c r="H312" s="453"/>
      <c r="I312" s="30"/>
      <c r="J312" s="4"/>
      <c r="K312" s="140" t="s">
        <v>606</v>
      </c>
      <c r="L312" s="178" t="s">
        <v>3073</v>
      </c>
      <c r="M312" s="40"/>
      <c r="N312" s="4"/>
      <c r="O312" s="75"/>
      <c r="P312" t="b">
        <v>1</v>
      </c>
      <c r="Q312" t="b">
        <v>1</v>
      </c>
      <c r="R312" t="b">
        <v>0</v>
      </c>
      <c r="S312" t="b">
        <v>1</v>
      </c>
      <c r="T312" t="b">
        <v>0</v>
      </c>
      <c r="W312" s="17"/>
      <c r="X312" s="817"/>
      <c r="AP312" t="str">
        <f t="shared" si="15"/>
        <v>dch605_4_2_g</v>
      </c>
      <c r="AQ312" t="str">
        <f t="shared" si="16"/>
        <v/>
      </c>
    </row>
    <row r="313" spans="2:45" x14ac:dyDescent="0.35">
      <c r="B313" s="37" t="s">
        <v>4173</v>
      </c>
      <c r="C313" s="13" t="s">
        <v>258</v>
      </c>
      <c r="D313" s="13" t="s">
        <v>608</v>
      </c>
      <c r="E313" s="13"/>
      <c r="F313" s="13"/>
      <c r="G313" s="13"/>
      <c r="H313" s="453"/>
      <c r="I313" s="30"/>
      <c r="K313" s="141" t="s">
        <v>608</v>
      </c>
      <c r="L313" s="178" t="s">
        <v>3074</v>
      </c>
      <c r="M313" s="32"/>
      <c r="N313" s="4"/>
      <c r="O313" s="75"/>
      <c r="P313" t="b">
        <v>1</v>
      </c>
      <c r="Q313" t="b">
        <v>1</v>
      </c>
      <c r="R313" t="b">
        <v>0</v>
      </c>
      <c r="S313" t="b">
        <v>1</v>
      </c>
      <c r="T313" t="b">
        <v>0</v>
      </c>
      <c r="W313" s="17"/>
      <c r="X313" s="36"/>
      <c r="AC313" t="b">
        <f>OR(AD313:AE313)</f>
        <v>0</v>
      </c>
      <c r="AD313" t="b">
        <v>0</v>
      </c>
      <c r="AE313" t="b">
        <f>AND(W313=TRUE,LEN(X313)=0)</f>
        <v>0</v>
      </c>
      <c r="AP313" t="str">
        <f t="shared" si="15"/>
        <v>dch605_4_2_h</v>
      </c>
      <c r="AQ313" t="str">
        <f t="shared" si="16"/>
        <v/>
      </c>
      <c r="AR313" t="str">
        <f>SUBSTITUTE(SUBSTITUTE(SUBSTITUTE("dnt"&amp;$B313&amp;$C313&amp;$D313&amp;$E313,".","_"),"(","_"),")","")</f>
        <v>dnt605_4_2_h</v>
      </c>
      <c r="AS313" t="str">
        <f>IF(LEN(X313)=0,"",X313)</f>
        <v/>
      </c>
    </row>
    <row r="314" spans="2:45" x14ac:dyDescent="0.35">
      <c r="B314" s="37" t="s">
        <v>4173</v>
      </c>
      <c r="C314" s="13" t="s">
        <v>258</v>
      </c>
      <c r="D314" s="13" t="s">
        <v>843</v>
      </c>
      <c r="E314" s="13"/>
      <c r="F314" s="13"/>
      <c r="G314" s="13"/>
      <c r="H314" s="453"/>
      <c r="I314" s="30"/>
      <c r="K314" s="45" t="s">
        <v>843</v>
      </c>
      <c r="L314" s="90" t="s">
        <v>3074</v>
      </c>
      <c r="M314" s="32"/>
      <c r="N314" s="4"/>
      <c r="O314" s="75"/>
      <c r="P314" t="b">
        <v>1</v>
      </c>
      <c r="Q314" t="b">
        <v>1</v>
      </c>
      <c r="R314" t="b">
        <v>0</v>
      </c>
      <c r="S314" t="b">
        <v>1</v>
      </c>
      <c r="T314" t="b">
        <v>0</v>
      </c>
      <c r="W314" s="17"/>
      <c r="X314" s="36"/>
      <c r="AC314" t="b">
        <f>OR(AD314:AE314)</f>
        <v>0</v>
      </c>
      <c r="AD314" t="b">
        <v>0</v>
      </c>
      <c r="AE314" t="b">
        <f>AND(W314=TRUE,LEN(X314)=0)</f>
        <v>0</v>
      </c>
      <c r="AP314" t="str">
        <f t="shared" si="15"/>
        <v>dch605_4_2_i</v>
      </c>
      <c r="AQ314" t="str">
        <f t="shared" si="16"/>
        <v/>
      </c>
      <c r="AR314" t="str">
        <f>SUBSTITUTE(SUBSTITUTE(SUBSTITUTE("dnt"&amp;$B314&amp;$C314&amp;$D314&amp;$E314,".","_"),"(","_"),")","")</f>
        <v>dnt605_4_2_i</v>
      </c>
      <c r="AS314" t="str">
        <f>IF(LEN(X314)=0,"",X314)</f>
        <v/>
      </c>
    </row>
    <row r="315" spans="2:45" x14ac:dyDescent="0.35">
      <c r="B315" s="37" t="s">
        <v>4173</v>
      </c>
      <c r="C315" s="13"/>
      <c r="D315" s="13"/>
      <c r="E315" s="13"/>
      <c r="F315" s="13"/>
      <c r="G315" s="13"/>
      <c r="H315" s="453"/>
      <c r="I315" s="30"/>
      <c r="K315" s="45"/>
      <c r="L315" s="218" t="s">
        <v>3075</v>
      </c>
      <c r="M315" s="32"/>
      <c r="N315" s="4"/>
      <c r="O315" s="75"/>
    </row>
    <row r="316" spans="2:45" ht="18.5" x14ac:dyDescent="0.45">
      <c r="B316" s="37">
        <v>606</v>
      </c>
      <c r="C316" s="13"/>
      <c r="D316" s="13"/>
      <c r="E316" s="13"/>
      <c r="F316" s="13"/>
      <c r="G316" s="13"/>
      <c r="H316" s="453"/>
      <c r="I316" s="10" t="s">
        <v>666</v>
      </c>
      <c r="J316" s="15"/>
      <c r="K316" s="42"/>
      <c r="L316" s="151"/>
      <c r="M316" s="243"/>
      <c r="N316" s="311"/>
      <c r="O316" s="307"/>
      <c r="P316" s="15"/>
      <c r="Q316" s="15"/>
      <c r="R316" s="15"/>
      <c r="S316" s="15"/>
      <c r="T316" s="15"/>
      <c r="U316" s="15"/>
      <c r="V316" s="15"/>
      <c r="W316" s="15"/>
      <c r="X316" s="15"/>
    </row>
    <row r="317" spans="2:45" ht="15" thickBot="1" x14ac:dyDescent="0.4">
      <c r="B317" s="37" t="s">
        <v>3980</v>
      </c>
      <c r="C317" s="13"/>
      <c r="D317" s="13"/>
      <c r="E317" s="13"/>
      <c r="F317" s="13"/>
      <c r="G317" s="13"/>
      <c r="H317" s="453"/>
      <c r="I317" s="38" t="s">
        <v>3980</v>
      </c>
      <c r="J317" s="4"/>
      <c r="K317" s="43"/>
      <c r="L317" s="95" t="s">
        <v>667</v>
      </c>
      <c r="M317" s="40"/>
      <c r="N317" s="4"/>
      <c r="O317" s="75"/>
    </row>
    <row r="318" spans="2:45" ht="15" thickTop="1" x14ac:dyDescent="0.35">
      <c r="B318" s="37">
        <v>606.1</v>
      </c>
      <c r="C318" s="13"/>
      <c r="D318" s="13"/>
      <c r="E318" s="13"/>
      <c r="F318" s="13"/>
      <c r="G318" s="13"/>
      <c r="H318" s="453"/>
      <c r="I318" s="106">
        <v>606.1</v>
      </c>
      <c r="J318" s="107"/>
      <c r="K318" s="108"/>
      <c r="L318" s="274" t="s">
        <v>668</v>
      </c>
      <c r="M318" s="267"/>
      <c r="N318" s="107"/>
      <c r="O318" s="831">
        <f ca="1">MIN(8,IF(R331&gt;1,6+R331+R329-2,IF(R331+R329&gt;1,3+MIN(2,R329+R331-2),0)))</f>
        <v>0</v>
      </c>
      <c r="P318" s="59"/>
      <c r="Q318" s="59"/>
      <c r="R318" s="59"/>
      <c r="S318" s="59"/>
      <c r="T318" s="59"/>
      <c r="U318" s="59"/>
      <c r="V318" s="59"/>
      <c r="W318" s="59"/>
      <c r="X318" s="59"/>
      <c r="AN318" t="str">
        <f>SUBSTITUTE(SUBSTITUTE(SUBSTITUTE("dpc"&amp;$B318&amp;$C318&amp;$D318&amp;$E318,".","_"),"(","_"),")","")</f>
        <v>dpc606_1</v>
      </c>
      <c r="AO318">
        <f ca="1">O318</f>
        <v>0</v>
      </c>
    </row>
    <row r="319" spans="2:45" x14ac:dyDescent="0.35">
      <c r="B319" s="37">
        <v>606.1</v>
      </c>
      <c r="C319" s="13"/>
      <c r="D319" s="13" t="s">
        <v>121</v>
      </c>
      <c r="E319" s="13"/>
      <c r="F319" s="13"/>
      <c r="G319" s="13"/>
      <c r="H319" s="453"/>
      <c r="I319" s="30"/>
      <c r="J319" s="4"/>
      <c r="K319" s="47" t="s">
        <v>121</v>
      </c>
      <c r="L319" s="90" t="s">
        <v>669</v>
      </c>
      <c r="M319" s="40"/>
      <c r="N319" s="4"/>
      <c r="O319" s="832"/>
      <c r="P319" t="b">
        <v>1</v>
      </c>
      <c r="Q319" t="b">
        <v>1</v>
      </c>
      <c r="R319" t="b">
        <v>0</v>
      </c>
      <c r="S319" t="b">
        <f>OR(NOT(ISBLANK(W350)),NOT(ISBLANK(W351)),NOT(ISBLANK(W353)),NOT(ISBLANK(W354)))</f>
        <v>1</v>
      </c>
      <c r="T319" t="b">
        <f>AND(NOT(S319),LEN(W319)&gt;0)</f>
        <v>0</v>
      </c>
      <c r="U319" t="str">
        <f t="shared" ref="U319:U326" si="17">SUBSTITUTE(SUBSTITUTE(SUBSTITUTE("dd"&amp;B319&amp;C319&amp;D319&amp;E319&amp;F319,".","_"),"(","_"),")","")</f>
        <v>dd606_1_a</v>
      </c>
      <c r="W319" s="9"/>
      <c r="X319" s="817"/>
      <c r="AC319" t="b">
        <f>OR(AD319:AE319)</f>
        <v>0</v>
      </c>
      <c r="AD319" t="b">
        <f>T319</f>
        <v>0</v>
      </c>
      <c r="AP319" t="str">
        <f t="shared" ref="AP319:AP326" si="18">SUBSTITUTE(SUBSTITUTE(SUBSTITUTE("dch"&amp;$B319&amp;$C319&amp;$D319&amp;$E319,".","_"),"(","_"),")","")</f>
        <v>dch606_1_a</v>
      </c>
      <c r="AQ319" t="str">
        <f t="shared" ref="AQ319:AQ326" si="19">IF(LEN(W319)=0,"",W319)</f>
        <v/>
      </c>
      <c r="AR319" t="str">
        <f>SUBSTITUTE(SUBSTITUTE(SUBSTITUTE("dnt"&amp;$B319&amp;$C319&amp;$D319&amp;$E319,".","_"),"(","_"),")","")</f>
        <v>dnt606_1_a</v>
      </c>
      <c r="AS319" t="str">
        <f>IF(LEN(X319)=0,"",X319)</f>
        <v/>
      </c>
    </row>
    <row r="320" spans="2:45" x14ac:dyDescent="0.35">
      <c r="B320" s="37">
        <v>606.1</v>
      </c>
      <c r="C320" s="13"/>
      <c r="D320" s="13" t="s">
        <v>122</v>
      </c>
      <c r="E320" s="13"/>
      <c r="F320" s="13"/>
      <c r="G320" s="13"/>
      <c r="H320" s="453"/>
      <c r="I320" s="30"/>
      <c r="J320" s="4"/>
      <c r="K320" s="47" t="s">
        <v>122</v>
      </c>
      <c r="L320" s="90" t="s">
        <v>670</v>
      </c>
      <c r="M320" s="40"/>
      <c r="N320" s="4"/>
      <c r="O320" s="832"/>
      <c r="P320" t="b">
        <v>1</v>
      </c>
      <c r="Q320" t="b">
        <v>1</v>
      </c>
      <c r="R320" t="b">
        <v>0</v>
      </c>
      <c r="S320" t="b">
        <v>1</v>
      </c>
      <c r="T320" t="b">
        <v>0</v>
      </c>
      <c r="U320" t="str">
        <f t="shared" si="17"/>
        <v>dd606_1_b</v>
      </c>
      <c r="W320" s="9"/>
      <c r="X320" s="817"/>
      <c r="AP320" t="str">
        <f t="shared" si="18"/>
        <v>dch606_1_b</v>
      </c>
      <c r="AQ320" t="str">
        <f t="shared" si="19"/>
        <v/>
      </c>
    </row>
    <row r="321" spans="2:43" x14ac:dyDescent="0.35">
      <c r="B321" s="37">
        <v>606.1</v>
      </c>
      <c r="C321" s="13"/>
      <c r="D321" s="18" t="s">
        <v>123</v>
      </c>
      <c r="E321" s="13"/>
      <c r="F321" s="18"/>
      <c r="G321" s="18"/>
      <c r="H321" s="454"/>
      <c r="I321" s="30"/>
      <c r="J321" s="4"/>
      <c r="K321" s="49" t="s">
        <v>123</v>
      </c>
      <c r="L321" s="90" t="s">
        <v>671</v>
      </c>
      <c r="M321" s="40"/>
      <c r="N321" s="4"/>
      <c r="O321" s="832"/>
      <c r="P321" t="b">
        <v>1</v>
      </c>
      <c r="Q321" t="b">
        <v>1</v>
      </c>
      <c r="R321" t="b">
        <v>0</v>
      </c>
      <c r="S321" t="b">
        <v>1</v>
      </c>
      <c r="T321" t="b">
        <v>0</v>
      </c>
      <c r="U321" t="str">
        <f t="shared" si="17"/>
        <v>dd606_1_c</v>
      </c>
      <c r="W321" s="9"/>
      <c r="X321" s="817"/>
      <c r="AP321" t="str">
        <f t="shared" si="18"/>
        <v>dch606_1_c</v>
      </c>
      <c r="AQ321" t="str">
        <f t="shared" si="19"/>
        <v/>
      </c>
    </row>
    <row r="322" spans="2:43" x14ac:dyDescent="0.35">
      <c r="B322" s="37">
        <v>606.1</v>
      </c>
      <c r="C322" s="13"/>
      <c r="D322" s="13" t="s">
        <v>401</v>
      </c>
      <c r="E322" s="13"/>
      <c r="F322" s="13"/>
      <c r="G322" s="13"/>
      <c r="H322" s="453"/>
      <c r="I322" s="30"/>
      <c r="J322" s="4"/>
      <c r="K322" s="45" t="s">
        <v>401</v>
      </c>
      <c r="L322" s="90" t="s">
        <v>672</v>
      </c>
      <c r="M322" s="40"/>
      <c r="N322" s="4"/>
      <c r="O322" s="832"/>
      <c r="P322" t="b">
        <v>1</v>
      </c>
      <c r="Q322" t="b">
        <v>1</v>
      </c>
      <c r="R322" t="b">
        <v>0</v>
      </c>
      <c r="S322" t="b">
        <v>1</v>
      </c>
      <c r="T322" t="b">
        <v>0</v>
      </c>
      <c r="U322" t="str">
        <f t="shared" si="17"/>
        <v>dd606_1_d</v>
      </c>
      <c r="W322" s="9"/>
      <c r="X322" s="817"/>
      <c r="AP322" t="str">
        <f t="shared" si="18"/>
        <v>dch606_1_d</v>
      </c>
      <c r="AQ322" t="str">
        <f t="shared" si="19"/>
        <v/>
      </c>
    </row>
    <row r="323" spans="2:43" x14ac:dyDescent="0.35">
      <c r="B323" s="37">
        <v>606.1</v>
      </c>
      <c r="C323" s="13"/>
      <c r="D323" s="13" t="s">
        <v>539</v>
      </c>
      <c r="E323" s="13"/>
      <c r="F323" s="13"/>
      <c r="G323" s="13"/>
      <c r="H323" s="453"/>
      <c r="I323" s="30"/>
      <c r="J323" s="4"/>
      <c r="K323" s="47" t="s">
        <v>539</v>
      </c>
      <c r="L323" s="90" t="s">
        <v>673</v>
      </c>
      <c r="M323" s="40"/>
      <c r="N323" s="4"/>
      <c r="O323" s="832"/>
      <c r="P323" t="b">
        <v>1</v>
      </c>
      <c r="Q323" t="b">
        <v>1</v>
      </c>
      <c r="R323" t="b">
        <v>0</v>
      </c>
      <c r="S323" t="b">
        <v>1</v>
      </c>
      <c r="T323" t="b">
        <v>0</v>
      </c>
      <c r="U323" t="str">
        <f t="shared" si="17"/>
        <v>dd606_1_e</v>
      </c>
      <c r="W323" s="9"/>
      <c r="X323" s="817"/>
      <c r="AP323" t="str">
        <f t="shared" si="18"/>
        <v>dch606_1_e</v>
      </c>
      <c r="AQ323" t="str">
        <f t="shared" si="19"/>
        <v/>
      </c>
    </row>
    <row r="324" spans="2:43" x14ac:dyDescent="0.35">
      <c r="B324" s="37">
        <v>606.1</v>
      </c>
      <c r="C324" s="13"/>
      <c r="D324" s="13" t="s">
        <v>604</v>
      </c>
      <c r="E324" s="13"/>
      <c r="F324" s="13"/>
      <c r="G324" s="13"/>
      <c r="H324" s="453"/>
      <c r="I324" s="30"/>
      <c r="J324" s="4"/>
      <c r="K324" s="47" t="s">
        <v>604</v>
      </c>
      <c r="L324" s="90" t="s">
        <v>674</v>
      </c>
      <c r="M324" s="40"/>
      <c r="N324" s="4"/>
      <c r="O324" s="832"/>
      <c r="P324" t="b">
        <v>1</v>
      </c>
      <c r="Q324" t="b">
        <v>1</v>
      </c>
      <c r="R324" t="b">
        <v>0</v>
      </c>
      <c r="S324" t="b">
        <v>1</v>
      </c>
      <c r="T324" t="b">
        <v>0</v>
      </c>
      <c r="U324" t="str">
        <f t="shared" si="17"/>
        <v>dd606_1_f</v>
      </c>
      <c r="W324" s="9"/>
      <c r="X324" s="817"/>
      <c r="AP324" t="str">
        <f t="shared" si="18"/>
        <v>dch606_1_f</v>
      </c>
      <c r="AQ324" t="str">
        <f t="shared" si="19"/>
        <v/>
      </c>
    </row>
    <row r="325" spans="2:43" x14ac:dyDescent="0.35">
      <c r="B325" s="37">
        <v>606.1</v>
      </c>
      <c r="C325" s="13"/>
      <c r="D325" s="18" t="s">
        <v>606</v>
      </c>
      <c r="E325" s="13"/>
      <c r="F325" s="18"/>
      <c r="G325" s="18"/>
      <c r="H325" s="454"/>
      <c r="I325" s="30"/>
      <c r="J325" s="4"/>
      <c r="K325" s="49" t="s">
        <v>606</v>
      </c>
      <c r="L325" s="90" t="s">
        <v>675</v>
      </c>
      <c r="M325" s="40"/>
      <c r="N325" s="4"/>
      <c r="O325" s="832"/>
      <c r="P325" t="b">
        <v>1</v>
      </c>
      <c r="Q325" t="b">
        <v>1</v>
      </c>
      <c r="R325" t="b">
        <v>0</v>
      </c>
      <c r="S325" t="b">
        <v>1</v>
      </c>
      <c r="T325" t="b">
        <v>0</v>
      </c>
      <c r="U325" t="str">
        <f t="shared" si="17"/>
        <v>dd606_1_g</v>
      </c>
      <c r="W325" s="9"/>
      <c r="X325" s="817"/>
      <c r="AP325" t="str">
        <f t="shared" si="18"/>
        <v>dch606_1_g</v>
      </c>
      <c r="AQ325" t="str">
        <f t="shared" si="19"/>
        <v/>
      </c>
    </row>
    <row r="326" spans="2:43" x14ac:dyDescent="0.35">
      <c r="B326" s="37">
        <v>606.1</v>
      </c>
      <c r="C326" s="13"/>
      <c r="D326" s="13" t="s">
        <v>608</v>
      </c>
      <c r="E326" s="13"/>
      <c r="F326" s="13"/>
      <c r="G326" s="13"/>
      <c r="H326" s="453"/>
      <c r="I326" s="30"/>
      <c r="J326" s="4"/>
      <c r="K326" s="45" t="s">
        <v>608</v>
      </c>
      <c r="L326" s="814" t="s">
        <v>676</v>
      </c>
      <c r="M326" s="40"/>
      <c r="N326" s="4"/>
      <c r="O326" s="832"/>
      <c r="P326" t="b">
        <v>1</v>
      </c>
      <c r="Q326" t="b">
        <v>1</v>
      </c>
      <c r="R326" t="b">
        <v>0</v>
      </c>
      <c r="S326" t="b">
        <v>1</v>
      </c>
      <c r="T326" t="b">
        <v>0</v>
      </c>
      <c r="U326" t="str">
        <f t="shared" si="17"/>
        <v>dd606_1_h</v>
      </c>
      <c r="W326" s="9"/>
      <c r="X326" s="817"/>
      <c r="AC326" t="b">
        <f>OR(AD326:AE326)</f>
        <v>0</v>
      </c>
      <c r="AD326" t="b">
        <v>0</v>
      </c>
      <c r="AE326" t="b">
        <f>AND(NOT(ISBLANK(W326)),LEN(X319)=0)</f>
        <v>0</v>
      </c>
      <c r="AP326" t="str">
        <f t="shared" si="18"/>
        <v>dch606_1_h</v>
      </c>
      <c r="AQ326" t="str">
        <f t="shared" si="19"/>
        <v/>
      </c>
    </row>
    <row r="327" spans="2:43" x14ac:dyDescent="0.35">
      <c r="B327" s="37">
        <v>606.1</v>
      </c>
      <c r="C327" s="13"/>
      <c r="D327" s="13" t="s">
        <v>608</v>
      </c>
      <c r="E327" s="13"/>
      <c r="F327" s="13"/>
      <c r="G327" s="13"/>
      <c r="H327" s="453"/>
      <c r="I327" s="30"/>
      <c r="J327" s="4"/>
      <c r="K327" s="45"/>
      <c r="L327" s="814"/>
      <c r="M327" s="40"/>
      <c r="N327" s="4"/>
      <c r="O327" s="832"/>
      <c r="X327" s="817"/>
    </row>
    <row r="328" spans="2:43" x14ac:dyDescent="0.35">
      <c r="B328" s="37">
        <v>606.1</v>
      </c>
      <c r="C328" s="13"/>
      <c r="D328" s="13"/>
      <c r="E328" s="13"/>
      <c r="F328" s="13"/>
      <c r="G328" s="13"/>
      <c r="H328" s="453"/>
      <c r="I328" s="30"/>
      <c r="J328" s="4"/>
      <c r="K328" s="45"/>
      <c r="L328" s="218" t="s">
        <v>1105</v>
      </c>
      <c r="M328" s="40"/>
      <c r="N328" s="4"/>
      <c r="O328" s="75"/>
      <c r="X328" s="817"/>
    </row>
    <row r="329" spans="2:43" x14ac:dyDescent="0.35">
      <c r="B329" s="37">
        <v>606.1</v>
      </c>
      <c r="C329" s="13" t="s">
        <v>256</v>
      </c>
      <c r="D329" s="13"/>
      <c r="E329" s="13"/>
      <c r="F329" s="13"/>
      <c r="G329" s="13"/>
      <c r="H329" s="453"/>
      <c r="I329" s="30"/>
      <c r="J329" s="19" t="s">
        <v>256</v>
      </c>
      <c r="K329" s="43"/>
      <c r="L329" s="814" t="s">
        <v>677</v>
      </c>
      <c r="M329" s="818">
        <v>3</v>
      </c>
      <c r="N329" s="4"/>
      <c r="O329" s="75"/>
      <c r="R329" s="1">
        <f ca="1">COUNTIF(W320:W326,INDEX(INDIRECT(U319),1))+IF(AND(S319,W319=INDEX(INDIRECT(U319),1)),1,0)</f>
        <v>0</v>
      </c>
      <c r="X329" s="817"/>
      <c r="AL329" t="str">
        <f>SUBSTITUTE(SUBSTITUTE(SUBSTITUTE("dpa"&amp;$B329&amp;$C329&amp;$D329&amp;$E329,".","_"),"(","_"),")","")</f>
        <v>dpa606_1_1</v>
      </c>
      <c r="AM329">
        <f>M329</f>
        <v>3</v>
      </c>
    </row>
    <row r="330" spans="2:43" x14ac:dyDescent="0.35">
      <c r="B330" s="37">
        <v>606.1</v>
      </c>
      <c r="C330" s="13" t="s">
        <v>256</v>
      </c>
      <c r="D330" s="13"/>
      <c r="E330" s="13"/>
      <c r="F330" s="13"/>
      <c r="G330" s="13"/>
      <c r="H330" s="453"/>
      <c r="I330" s="30"/>
      <c r="J330" s="133"/>
      <c r="K330" s="101"/>
      <c r="L330" s="815"/>
      <c r="M330" s="819"/>
      <c r="N330" s="4"/>
      <c r="O330" s="75"/>
      <c r="X330" s="817"/>
    </row>
    <row r="331" spans="2:43" x14ac:dyDescent="0.35">
      <c r="B331" s="37">
        <v>606.1</v>
      </c>
      <c r="C331" s="13" t="s">
        <v>258</v>
      </c>
      <c r="D331" s="13"/>
      <c r="E331" s="13"/>
      <c r="F331" s="13"/>
      <c r="G331" s="13"/>
      <c r="H331" s="453"/>
      <c r="I331" s="30"/>
      <c r="J331" s="132" t="s">
        <v>258</v>
      </c>
      <c r="K331" s="119"/>
      <c r="L331" s="836" t="s">
        <v>678</v>
      </c>
      <c r="M331" s="822">
        <v>6</v>
      </c>
      <c r="N331" s="4"/>
      <c r="O331" s="75"/>
      <c r="R331" s="1">
        <f ca="1">COUNTIF(W320:W326,INDEX(INDIRECT(U319),2))+IF(AND(S319,W319=INDEX(INDIRECT(U319),2)),1,0)</f>
        <v>0</v>
      </c>
      <c r="X331" s="817"/>
      <c r="AL331" t="str">
        <f>SUBSTITUTE(SUBSTITUTE(SUBSTITUTE("dpa"&amp;$B331&amp;$C331&amp;$D331&amp;$E331,".","_"),"(","_"),")","")</f>
        <v>dpa606_1_2</v>
      </c>
      <c r="AM331">
        <f>M331</f>
        <v>6</v>
      </c>
    </row>
    <row r="332" spans="2:43" x14ac:dyDescent="0.35">
      <c r="B332" s="37">
        <v>606.1</v>
      </c>
      <c r="C332" s="13" t="s">
        <v>258</v>
      </c>
      <c r="D332" s="13"/>
      <c r="E332" s="13"/>
      <c r="F332" s="13"/>
      <c r="G332" s="13"/>
      <c r="H332" s="453"/>
      <c r="I332" s="30"/>
      <c r="J332" s="133"/>
      <c r="K332" s="101"/>
      <c r="L332" s="815"/>
      <c r="M332" s="819"/>
      <c r="N332" s="4"/>
      <c r="O332" s="75"/>
      <c r="X332" s="817"/>
    </row>
    <row r="333" spans="2:43" x14ac:dyDescent="0.35">
      <c r="B333" s="37">
        <v>606.1</v>
      </c>
      <c r="C333" s="13" t="s">
        <v>260</v>
      </c>
      <c r="D333" s="13"/>
      <c r="E333" s="13"/>
      <c r="F333" s="13"/>
      <c r="G333" s="13"/>
      <c r="H333" s="453"/>
      <c r="I333" s="30"/>
      <c r="J333" s="19" t="s">
        <v>260</v>
      </c>
      <c r="K333" s="43"/>
      <c r="L333" s="814" t="s">
        <v>679</v>
      </c>
      <c r="M333" s="843" t="s">
        <v>3078</v>
      </c>
      <c r="N333" s="4"/>
      <c r="O333" s="75"/>
      <c r="X333" s="817"/>
      <c r="AL333" t="str">
        <f>SUBSTITUTE(SUBSTITUTE(SUBSTITUTE("dpa"&amp;$B333&amp;$C333&amp;$D333&amp;$E333,".","_"),"(","_"),")","")</f>
        <v>dpa606_1_3</v>
      </c>
      <c r="AM333" t="str">
        <f>M333</f>
        <v>1
2 Max</v>
      </c>
    </row>
    <row r="334" spans="2:43" ht="15" thickBot="1" x14ac:dyDescent="0.4">
      <c r="B334" s="37">
        <v>606.1</v>
      </c>
      <c r="C334" s="13" t="s">
        <v>260</v>
      </c>
      <c r="D334" s="13"/>
      <c r="E334" s="13"/>
      <c r="F334" s="13"/>
      <c r="G334" s="13"/>
      <c r="H334" s="453"/>
      <c r="I334" s="30"/>
      <c r="J334" s="4"/>
      <c r="K334" s="43"/>
      <c r="L334" s="814"/>
      <c r="M334" s="843"/>
      <c r="N334" s="4"/>
      <c r="O334" s="75"/>
      <c r="X334" s="850"/>
    </row>
    <row r="335" spans="2:43" ht="15" thickTop="1" x14ac:dyDescent="0.35">
      <c r="B335" s="37">
        <v>606.20000000000005</v>
      </c>
      <c r="C335" s="13"/>
      <c r="D335" s="13"/>
      <c r="E335" s="13"/>
      <c r="F335" s="13"/>
      <c r="G335" s="13"/>
      <c r="H335" s="453"/>
      <c r="I335" s="106">
        <v>606.20000000000005</v>
      </c>
      <c r="J335" s="107"/>
      <c r="K335" s="108"/>
      <c r="L335" s="837" t="s">
        <v>4180</v>
      </c>
      <c r="M335" s="267"/>
      <c r="N335" s="107"/>
      <c r="O335" s="308"/>
      <c r="P335" s="59"/>
      <c r="Q335" s="59"/>
      <c r="R335" s="59"/>
      <c r="S335" s="59"/>
      <c r="T335" s="59"/>
      <c r="U335" s="59"/>
      <c r="V335" s="59"/>
      <c r="W335" s="59"/>
      <c r="X335" s="59"/>
    </row>
    <row r="336" spans="2:43" x14ac:dyDescent="0.35">
      <c r="B336" s="37">
        <v>606.20000000000005</v>
      </c>
      <c r="C336" s="13"/>
      <c r="D336" s="13"/>
      <c r="E336" s="13"/>
      <c r="F336" s="13"/>
      <c r="G336" s="13"/>
      <c r="H336" s="453"/>
      <c r="I336" s="30"/>
      <c r="J336" s="4"/>
      <c r="K336" s="43"/>
      <c r="L336" s="838"/>
      <c r="M336" s="40"/>
      <c r="N336" s="4"/>
      <c r="O336" s="75"/>
    </row>
    <row r="337" spans="2:45" x14ac:dyDescent="0.35">
      <c r="B337" s="37">
        <v>606.20000000000005</v>
      </c>
      <c r="C337" s="13"/>
      <c r="D337" s="13" t="s">
        <v>121</v>
      </c>
      <c r="E337" s="13"/>
      <c r="F337" s="13"/>
      <c r="G337" s="13"/>
      <c r="H337" s="453"/>
      <c r="I337" s="30"/>
      <c r="J337" s="4"/>
      <c r="K337" s="47" t="s">
        <v>121</v>
      </c>
      <c r="L337" s="90" t="s">
        <v>680</v>
      </c>
      <c r="M337" s="40"/>
      <c r="N337" s="4"/>
      <c r="O337" s="75"/>
    </row>
    <row r="338" spans="2:45" x14ac:dyDescent="0.35">
      <c r="B338" s="37">
        <v>606.20000000000005</v>
      </c>
      <c r="C338" s="13"/>
      <c r="D338" s="13" t="s">
        <v>122</v>
      </c>
      <c r="E338" s="13"/>
      <c r="F338" s="13"/>
      <c r="G338" s="13"/>
      <c r="H338" s="453"/>
      <c r="I338" s="30"/>
      <c r="J338" s="4"/>
      <c r="K338" s="47" t="s">
        <v>122</v>
      </c>
      <c r="L338" s="814" t="s">
        <v>681</v>
      </c>
      <c r="M338" s="40"/>
      <c r="N338" s="4"/>
      <c r="O338" s="75"/>
    </row>
    <row r="339" spans="2:45" x14ac:dyDescent="0.35">
      <c r="B339" s="37">
        <v>606.20000000000005</v>
      </c>
      <c r="C339" s="13"/>
      <c r="D339" s="13" t="s">
        <v>122</v>
      </c>
      <c r="E339" s="13"/>
      <c r="F339" s="13"/>
      <c r="G339" s="13"/>
      <c r="H339" s="453"/>
      <c r="I339" s="30"/>
      <c r="J339" s="4"/>
      <c r="K339" s="47"/>
      <c r="L339" s="814"/>
      <c r="M339" s="40"/>
      <c r="N339" s="4"/>
      <c r="O339" s="75"/>
    </row>
    <row r="340" spans="2:45" x14ac:dyDescent="0.35">
      <c r="B340" s="37">
        <v>606.20000000000005</v>
      </c>
      <c r="C340" s="13"/>
      <c r="D340" s="13" t="s">
        <v>123</v>
      </c>
      <c r="E340" s="13"/>
      <c r="F340" s="13"/>
      <c r="G340" s="13"/>
      <c r="H340" s="453"/>
      <c r="I340" s="30"/>
      <c r="J340" s="4"/>
      <c r="K340" s="47" t="s">
        <v>123</v>
      </c>
      <c r="L340" s="155" t="s">
        <v>682</v>
      </c>
      <c r="M340" s="40"/>
      <c r="N340" s="4"/>
      <c r="O340" s="75"/>
    </row>
    <row r="341" spans="2:45" x14ac:dyDescent="0.35">
      <c r="B341" s="37">
        <v>606.20000000000005</v>
      </c>
      <c r="C341" s="13"/>
      <c r="D341" s="18" t="s">
        <v>401</v>
      </c>
      <c r="E341" s="13"/>
      <c r="F341" s="18"/>
      <c r="G341" s="18"/>
      <c r="H341" s="454"/>
      <c r="I341" s="30"/>
      <c r="J341" s="4"/>
      <c r="K341" s="49" t="s">
        <v>401</v>
      </c>
      <c r="L341" s="155" t="s">
        <v>683</v>
      </c>
      <c r="M341" s="40"/>
      <c r="N341" s="4"/>
      <c r="O341" s="75"/>
    </row>
    <row r="342" spans="2:45" x14ac:dyDescent="0.35">
      <c r="B342" s="37">
        <v>606.20000000000005</v>
      </c>
      <c r="C342" s="13"/>
      <c r="D342" s="13" t="s">
        <v>539</v>
      </c>
      <c r="E342" s="13"/>
      <c r="F342" s="13"/>
      <c r="G342" s="13"/>
      <c r="H342" s="453"/>
      <c r="I342" s="30"/>
      <c r="J342" s="4"/>
      <c r="K342" s="45" t="s">
        <v>539</v>
      </c>
      <c r="L342" s="155" t="s">
        <v>684</v>
      </c>
      <c r="M342" s="40"/>
      <c r="N342" s="4"/>
      <c r="O342" s="75"/>
    </row>
    <row r="343" spans="2:45" x14ac:dyDescent="0.35">
      <c r="B343" s="37">
        <v>606.20000000000005</v>
      </c>
      <c r="C343" s="13"/>
      <c r="D343" s="13" t="s">
        <v>604</v>
      </c>
      <c r="E343" s="13"/>
      <c r="F343" s="13"/>
      <c r="G343" s="13"/>
      <c r="H343" s="453"/>
      <c r="I343" s="30"/>
      <c r="J343" s="4"/>
      <c r="K343" s="47" t="s">
        <v>604</v>
      </c>
      <c r="L343" s="90" t="s">
        <v>685</v>
      </c>
      <c r="M343" s="40"/>
      <c r="N343" s="4"/>
      <c r="O343" s="75"/>
    </row>
    <row r="344" spans="2:45" x14ac:dyDescent="0.35">
      <c r="B344" s="37">
        <v>606.20000000000005</v>
      </c>
      <c r="C344" s="13"/>
      <c r="D344" s="13" t="s">
        <v>606</v>
      </c>
      <c r="E344" s="13"/>
      <c r="F344" s="13"/>
      <c r="G344" s="13"/>
      <c r="H344" s="453"/>
      <c r="I344" s="30"/>
      <c r="J344" s="4"/>
      <c r="K344" s="47" t="s">
        <v>606</v>
      </c>
      <c r="L344" s="90" t="s">
        <v>686</v>
      </c>
      <c r="M344" s="40"/>
      <c r="N344" s="4"/>
      <c r="O344" s="75"/>
    </row>
    <row r="345" spans="2:45" x14ac:dyDescent="0.35">
      <c r="B345" s="37">
        <v>606.20000000000005</v>
      </c>
      <c r="C345" s="13"/>
      <c r="D345" s="13" t="s">
        <v>608</v>
      </c>
      <c r="E345" s="13"/>
      <c r="F345" s="13"/>
      <c r="G345" s="13"/>
      <c r="H345" s="453"/>
      <c r="I345" s="30"/>
      <c r="J345" s="4"/>
      <c r="K345" s="47" t="s">
        <v>608</v>
      </c>
      <c r="L345" s="887" t="s">
        <v>4176</v>
      </c>
      <c r="M345" s="40"/>
      <c r="N345" s="4"/>
      <c r="O345" s="75"/>
    </row>
    <row r="346" spans="2:45" x14ac:dyDescent="0.35">
      <c r="B346" s="37">
        <v>606.20000000000005</v>
      </c>
      <c r="C346" s="13"/>
      <c r="D346" s="13" t="s">
        <v>608</v>
      </c>
      <c r="E346" s="13"/>
      <c r="F346" s="13"/>
      <c r="G346" s="13"/>
      <c r="H346" s="453"/>
      <c r="I346" s="30"/>
      <c r="J346" s="4"/>
      <c r="K346" s="47"/>
      <c r="L346" s="887"/>
      <c r="M346" s="40"/>
      <c r="N346" s="4"/>
      <c r="O346" s="75"/>
    </row>
    <row r="347" spans="2:45" x14ac:dyDescent="0.35">
      <c r="B347" s="37">
        <v>606.20000000000005</v>
      </c>
      <c r="C347" s="13"/>
      <c r="D347" s="13" t="s">
        <v>608</v>
      </c>
      <c r="E347" s="13"/>
      <c r="F347" s="13"/>
      <c r="G347" s="13"/>
      <c r="H347" s="453"/>
      <c r="I347" s="30"/>
      <c r="J347" s="4"/>
      <c r="K347" s="47"/>
      <c r="L347" s="887"/>
      <c r="M347" s="40"/>
      <c r="N347" s="4"/>
      <c r="O347" s="75"/>
    </row>
    <row r="348" spans="2:45" x14ac:dyDescent="0.35">
      <c r="B348" s="37">
        <v>606.20000000000005</v>
      </c>
      <c r="C348" s="13"/>
      <c r="D348" s="13" t="s">
        <v>608</v>
      </c>
      <c r="E348" s="13"/>
      <c r="F348" s="13"/>
      <c r="G348" s="13"/>
      <c r="H348" s="453"/>
      <c r="I348" s="30"/>
      <c r="J348" s="4"/>
      <c r="K348" s="47"/>
      <c r="L348" s="887"/>
      <c r="M348" s="40"/>
      <c r="N348" s="4"/>
      <c r="O348" s="75"/>
    </row>
    <row r="349" spans="2:45" x14ac:dyDescent="0.35">
      <c r="B349" s="37">
        <v>606.20000000000005</v>
      </c>
      <c r="C349" s="13"/>
      <c r="D349" s="13" t="s">
        <v>608</v>
      </c>
      <c r="E349" s="13"/>
      <c r="F349" s="13"/>
      <c r="G349" s="13"/>
      <c r="H349" s="453"/>
      <c r="I349" s="30"/>
      <c r="J349" s="4"/>
      <c r="K349" s="47"/>
      <c r="L349" s="887"/>
      <c r="M349" s="40"/>
      <c r="N349" s="4"/>
      <c r="O349" s="75"/>
      <c r="W349" t="s">
        <v>3079</v>
      </c>
    </row>
    <row r="350" spans="2:45" x14ac:dyDescent="0.35">
      <c r="B350" s="37">
        <v>606.20000000000005</v>
      </c>
      <c r="C350" s="13" t="s">
        <v>256</v>
      </c>
      <c r="D350" s="37" t="s">
        <v>2970</v>
      </c>
      <c r="E350" s="13"/>
      <c r="F350" s="37"/>
      <c r="G350" s="38"/>
      <c r="H350" s="457"/>
      <c r="I350" s="30"/>
      <c r="J350" s="19" t="s">
        <v>256</v>
      </c>
      <c r="K350" s="43"/>
      <c r="L350" s="814" t="s">
        <v>4178</v>
      </c>
      <c r="M350" s="818">
        <v>3</v>
      </c>
      <c r="N350" s="4"/>
      <c r="O350" s="832">
        <f>IF(AND(S350,NOT(ISBLANK(W350)),NOT(ISBLANK(W351))),M350,0)</f>
        <v>3</v>
      </c>
      <c r="P350" t="b">
        <v>1</v>
      </c>
      <c r="Q350" t="b">
        <v>1</v>
      </c>
      <c r="R350" t="b">
        <v>0</v>
      </c>
      <c r="S350" t="b">
        <v>1</v>
      </c>
      <c r="T350" t="b">
        <v>0</v>
      </c>
      <c r="U350" t="str">
        <f t="shared" ref="U350:U356" si="20">SUBSTITUTE(SUBSTITUTE(SUBSTITUTE("dd"&amp;B350&amp;C350&amp;D350&amp;E350&amp;F350,".","_"),"(","_"),")","")</f>
        <v>dd606_2_1a</v>
      </c>
      <c r="W350" s="9" t="s">
        <v>3510</v>
      </c>
      <c r="X350" s="36" t="s">
        <v>6095</v>
      </c>
      <c r="AC350" t="b">
        <f>OR(AD350:AE350)</f>
        <v>0</v>
      </c>
      <c r="AD350" t="b">
        <v>0</v>
      </c>
      <c r="AE350" t="b">
        <f>AND(NOT(ISBLANK(W350)),LEN(X350)=0)</f>
        <v>0</v>
      </c>
      <c r="AL350" t="str">
        <f>SUBSTITUTE(SUBSTITUTE(SUBSTITUTE("dpa"&amp;$B350&amp;$C350&amp;$D350&amp;$E350,".","_"),"(","_"),")","")</f>
        <v>dpa606_2_1a</v>
      </c>
      <c r="AM350">
        <f>M350</f>
        <v>3</v>
      </c>
      <c r="AN350" t="str">
        <f>SUBSTITUTE(SUBSTITUTE(SUBSTITUTE("dpc"&amp;$B350&amp;$C350&amp;$D350&amp;$E350,".","_"),"(","_"),")","")</f>
        <v>dpc606_2_1a</v>
      </c>
      <c r="AO350">
        <f>O350</f>
        <v>3</v>
      </c>
      <c r="AP350" t="str">
        <f>SUBSTITUTE(SUBSTITUTE(SUBSTITUTE("dch"&amp;$B350&amp;$C350&amp;$D350&amp;$E350,".","_"),"(","_"),")","")</f>
        <v>dch606_2_1a</v>
      </c>
      <c r="AQ350" t="str">
        <f>IF(LEN(W350)=0,"",W350)</f>
        <v>SFI</v>
      </c>
      <c r="AR350" t="str">
        <f>SUBSTITUTE(SUBSTITUTE(SUBSTITUTE("dnt"&amp;$B350&amp;$C350&amp;$D350&amp;$E350,".","_"),"(","_"),")","")</f>
        <v>dnt606_2_1a</v>
      </c>
      <c r="AS350" t="str">
        <f>IF(LEN(X350)=0,"",X350)</f>
        <v>Weyerhaeuser Trus Joist</v>
      </c>
    </row>
    <row r="351" spans="2:45" x14ac:dyDescent="0.35">
      <c r="B351" s="37">
        <v>606.20000000000005</v>
      </c>
      <c r="C351" s="13" t="s">
        <v>256</v>
      </c>
      <c r="D351" s="37" t="s">
        <v>2971</v>
      </c>
      <c r="E351" s="13"/>
      <c r="F351" s="37"/>
      <c r="G351" s="38"/>
      <c r="H351" s="457"/>
      <c r="I351" s="30"/>
      <c r="J351" s="19"/>
      <c r="K351" s="43"/>
      <c r="L351" s="814"/>
      <c r="M351" s="818"/>
      <c r="N351" s="4"/>
      <c r="O351" s="832"/>
      <c r="P351" t="b">
        <v>1</v>
      </c>
      <c r="Q351" t="b">
        <v>1</v>
      </c>
      <c r="R351" t="b">
        <v>0</v>
      </c>
      <c r="S351" t="b">
        <v>1</v>
      </c>
      <c r="T351" t="b">
        <v>0</v>
      </c>
      <c r="U351" t="str">
        <f t="shared" si="20"/>
        <v>dd606_2_1b</v>
      </c>
      <c r="W351" s="9" t="s">
        <v>3510</v>
      </c>
      <c r="X351" s="817" t="s">
        <v>6096</v>
      </c>
      <c r="AC351" t="b">
        <f>OR(AD351:AE351)</f>
        <v>0</v>
      </c>
      <c r="AD351" t="b">
        <v>0</v>
      </c>
      <c r="AE351" t="b">
        <f>AND(NOT(ISBLANK(W351)),LEN(X351)=0)</f>
        <v>0</v>
      </c>
      <c r="AP351" t="str">
        <f>SUBSTITUTE(SUBSTITUTE(SUBSTITUTE("dch"&amp;$B351&amp;$C351&amp;$D351&amp;$E351,".","_"),"(","_"),")","")</f>
        <v>dch606_2_1b</v>
      </c>
      <c r="AQ351" t="str">
        <f>IF(LEN(W351)=0,"",W351)</f>
        <v>SFI</v>
      </c>
      <c r="AR351" t="str">
        <f>SUBSTITUTE(SUBSTITUTE(SUBSTITUTE("dnt"&amp;$B351&amp;$C351&amp;$D351&amp;$E351,".","_"),"(","_"),")","")</f>
        <v>dnt606_2_1b</v>
      </c>
      <c r="AS351" t="str">
        <f>IF(LEN(X351)=0,"",X351)</f>
        <v>Boise Cascade Versa-Lam / Boise Cascade Versa-Rim</v>
      </c>
    </row>
    <row r="352" spans="2:45" x14ac:dyDescent="0.35">
      <c r="B352" s="37">
        <v>606.20000000000005</v>
      </c>
      <c r="C352" s="13" t="s">
        <v>256</v>
      </c>
      <c r="D352" s="37"/>
      <c r="E352" s="13"/>
      <c r="F352" s="37"/>
      <c r="G352" s="38"/>
      <c r="H352" s="457"/>
      <c r="I352" s="30"/>
      <c r="J352" s="129"/>
      <c r="K352" s="101"/>
      <c r="L352" s="284" t="s">
        <v>3080</v>
      </c>
      <c r="M352" s="819"/>
      <c r="N352" s="133"/>
      <c r="O352" s="824"/>
      <c r="X352" s="817"/>
    </row>
    <row r="353" spans="2:45" x14ac:dyDescent="0.35">
      <c r="B353" s="37">
        <v>606.20000000000005</v>
      </c>
      <c r="C353" s="13" t="s">
        <v>258</v>
      </c>
      <c r="D353" s="37" t="s">
        <v>2970</v>
      </c>
      <c r="E353" s="13"/>
      <c r="F353" s="37"/>
      <c r="G353" s="38"/>
      <c r="H353" s="457"/>
      <c r="I353" s="30"/>
      <c r="J353" s="19" t="s">
        <v>258</v>
      </c>
      <c r="K353" s="43"/>
      <c r="L353" s="814" t="s">
        <v>4179</v>
      </c>
      <c r="M353" s="818">
        <v>4</v>
      </c>
      <c r="N353" s="4"/>
      <c r="O353" s="832">
        <f>IF(AND(S353,NOT(ISBLANK(W353)),NOT(ISBLANK(W354))),M353,0)</f>
        <v>0</v>
      </c>
      <c r="P353" t="b">
        <v>1</v>
      </c>
      <c r="Q353" t="b">
        <v>1</v>
      </c>
      <c r="R353" t="b">
        <v>0</v>
      </c>
      <c r="S353" t="b">
        <v>1</v>
      </c>
      <c r="T353" t="b">
        <v>0</v>
      </c>
      <c r="U353" t="str">
        <f t="shared" si="20"/>
        <v>dd606_2_2a</v>
      </c>
      <c r="W353" s="9"/>
      <c r="X353" s="36"/>
      <c r="AC353" t="b">
        <f>OR(AD353:AE353)</f>
        <v>0</v>
      </c>
      <c r="AD353" t="b">
        <v>0</v>
      </c>
      <c r="AE353" t="b">
        <f>AND(NOT(ISBLANK(W353)),LEN(X353)=0)</f>
        <v>0</v>
      </c>
      <c r="AL353" t="str">
        <f>SUBSTITUTE(SUBSTITUTE(SUBSTITUTE("dpa"&amp;$B353&amp;$C353&amp;$D353&amp;$E353,".","_"),"(","_"),")","")</f>
        <v>dpa606_2_2a</v>
      </c>
      <c r="AM353">
        <f>M353</f>
        <v>4</v>
      </c>
      <c r="AN353" t="str">
        <f>SUBSTITUTE(SUBSTITUTE(SUBSTITUTE("dpc"&amp;$B353&amp;$C353&amp;$D353&amp;$E353,".","_"),"(","_"),")","")</f>
        <v>dpc606_2_2a</v>
      </c>
      <c r="AO353">
        <f>O353</f>
        <v>0</v>
      </c>
      <c r="AP353" t="str">
        <f>SUBSTITUTE(SUBSTITUTE(SUBSTITUTE("dch"&amp;$B353&amp;$C353&amp;$D353&amp;$E353,".","_"),"(","_"),")","")</f>
        <v>dch606_2_2a</v>
      </c>
      <c r="AQ353" t="str">
        <f>IF(LEN(W353)=0,"",W353)</f>
        <v/>
      </c>
      <c r="AR353" t="str">
        <f>SUBSTITUTE(SUBSTITUTE(SUBSTITUTE("dnt"&amp;$B353&amp;$C353&amp;$D353&amp;$E353,".","_"),"(","_"),")","")</f>
        <v>dnt606_2_2a</v>
      </c>
      <c r="AS353" t="str">
        <f>IF(LEN(X353)=0,"",X353)</f>
        <v/>
      </c>
    </row>
    <row r="354" spans="2:45" x14ac:dyDescent="0.35">
      <c r="B354" s="37">
        <v>606.20000000000005</v>
      </c>
      <c r="C354" s="13" t="s">
        <v>258</v>
      </c>
      <c r="D354" s="37" t="s">
        <v>2971</v>
      </c>
      <c r="E354" s="13"/>
      <c r="F354" s="37"/>
      <c r="G354" s="38"/>
      <c r="H354" s="457"/>
      <c r="I354" s="30"/>
      <c r="J354" s="4"/>
      <c r="K354" s="43"/>
      <c r="L354" s="814"/>
      <c r="M354" s="818"/>
      <c r="N354" s="4"/>
      <c r="O354" s="832"/>
      <c r="P354" t="b">
        <v>1</v>
      </c>
      <c r="Q354" t="b">
        <v>1</v>
      </c>
      <c r="R354" t="b">
        <v>0</v>
      </c>
      <c r="S354" t="b">
        <v>1</v>
      </c>
      <c r="T354" t="b">
        <v>0</v>
      </c>
      <c r="U354" t="str">
        <f t="shared" si="20"/>
        <v>dd606_2_2b</v>
      </c>
      <c r="W354" s="9"/>
      <c r="X354" s="817"/>
      <c r="AC354" t="b">
        <f>OR(AD354:AE354)</f>
        <v>0</v>
      </c>
      <c r="AD354" t="b">
        <v>0</v>
      </c>
      <c r="AE354" t="b">
        <f>AND(NOT(ISBLANK(W354)),LEN(X354)=0)</f>
        <v>0</v>
      </c>
      <c r="AP354" t="str">
        <f>SUBSTITUTE(SUBSTITUTE(SUBSTITUTE("dch"&amp;$B354&amp;$C354&amp;$D354&amp;$E354,".","_"),"(","_"),")","")</f>
        <v>dch606_2_2b</v>
      </c>
      <c r="AQ354" t="str">
        <f>IF(LEN(W354)=0,"",W354)</f>
        <v/>
      </c>
      <c r="AR354" t="str">
        <f>SUBSTITUTE(SUBSTITUTE(SUBSTITUTE("dnt"&amp;$B354&amp;$C354&amp;$D354&amp;$E354,".","_"),"(","_"),")","")</f>
        <v>dnt606_2_2b</v>
      </c>
      <c r="AS354" t="str">
        <f>IF(LEN(X354)=0,"",X354)</f>
        <v/>
      </c>
    </row>
    <row r="355" spans="2:45" ht="15" thickBot="1" x14ac:dyDescent="0.4">
      <c r="B355" s="37">
        <v>606.20000000000005</v>
      </c>
      <c r="C355" s="13" t="s">
        <v>258</v>
      </c>
      <c r="D355" s="38"/>
      <c r="E355" s="13"/>
      <c r="F355" s="38"/>
      <c r="G355" s="38"/>
      <c r="H355" s="457"/>
      <c r="I355" s="30"/>
      <c r="J355" s="4"/>
      <c r="K355" s="43"/>
      <c r="L355" s="531" t="s">
        <v>3080</v>
      </c>
      <c r="M355" s="818"/>
      <c r="N355" s="4"/>
      <c r="O355" s="832"/>
      <c r="X355" s="850"/>
    </row>
    <row r="356" spans="2:45" ht="15" thickTop="1" x14ac:dyDescent="0.35">
      <c r="B356" s="37">
        <v>606.29999999999995</v>
      </c>
      <c r="C356" s="13"/>
      <c r="D356" s="13"/>
      <c r="E356" s="13"/>
      <c r="F356" s="13"/>
      <c r="G356" s="13"/>
      <c r="H356" s="453"/>
      <c r="I356" s="106">
        <v>606.29999999999995</v>
      </c>
      <c r="J356" s="107"/>
      <c r="K356" s="108"/>
      <c r="L356" s="837" t="s">
        <v>687</v>
      </c>
      <c r="M356" s="830" t="s">
        <v>663</v>
      </c>
      <c r="N356" s="107"/>
      <c r="O356" s="831">
        <f ca="1">IFERROR(MATCH(W356,INDIRECT(U356),0),0)*2</f>
        <v>0</v>
      </c>
      <c r="P356" s="59" t="b">
        <v>1</v>
      </c>
      <c r="Q356" s="59" t="b">
        <v>1</v>
      </c>
      <c r="R356" s="59" t="b">
        <v>0</v>
      </c>
      <c r="S356" s="59" t="b">
        <v>1</v>
      </c>
      <c r="T356" s="59" t="b">
        <v>0</v>
      </c>
      <c r="U356" s="59" t="str">
        <f t="shared" si="20"/>
        <v>dd606_3</v>
      </c>
      <c r="V356" s="59"/>
      <c r="W356" s="113"/>
      <c r="X356" s="864"/>
      <c r="AC356" t="b">
        <f>OR(AD356:AE356)</f>
        <v>0</v>
      </c>
      <c r="AD356" t="b">
        <v>0</v>
      </c>
      <c r="AE356" t="b">
        <f>AND(NOT(ISBLANK(W356)),LEN(X356)=0)</f>
        <v>0</v>
      </c>
      <c r="AL356" t="str">
        <f>SUBSTITUTE(SUBSTITUTE(SUBSTITUTE("dpa"&amp;$B356&amp;$C356&amp;$D356&amp;$E356,".","_"),"(","_"),")","")</f>
        <v>dpa606_3</v>
      </c>
      <c r="AM356" t="str">
        <f>M356</f>
        <v>6 Max</v>
      </c>
      <c r="AN356" t="str">
        <f>SUBSTITUTE(SUBSTITUTE(SUBSTITUTE("dpc"&amp;$B356&amp;$C356&amp;$D356&amp;$E356,".","_"),"(","_"),")","")</f>
        <v>dpc606_3</v>
      </c>
      <c r="AO356">
        <f ca="1">O356</f>
        <v>0</v>
      </c>
      <c r="AP356" t="str">
        <f>SUBSTITUTE(SUBSTITUTE(SUBSTITUTE("dch"&amp;$B356&amp;$C356&amp;$D356&amp;$E356,".","_"),"(","_"),")","")</f>
        <v>dch606_3</v>
      </c>
      <c r="AQ356" t="str">
        <f>IF(LEN(W356)=0,"",W356)</f>
        <v/>
      </c>
      <c r="AR356" t="str">
        <f>SUBSTITUTE(SUBSTITUTE(SUBSTITUTE("dnt"&amp;$B356&amp;$C356&amp;$D356&amp;$E356,".","_"),"(","_"),")","")</f>
        <v>dnt606_3</v>
      </c>
      <c r="AS356" t="str">
        <f>IF(LEN(X356)=0,"",X356)</f>
        <v/>
      </c>
    </row>
    <row r="357" spans="2:45" x14ac:dyDescent="0.35">
      <c r="B357" s="37">
        <v>606.29999999999995</v>
      </c>
      <c r="C357" s="13"/>
      <c r="D357" s="13"/>
      <c r="E357" s="13"/>
      <c r="F357" s="13"/>
      <c r="G357" s="13"/>
      <c r="H357" s="453"/>
      <c r="I357" s="30"/>
      <c r="J357" s="4"/>
      <c r="K357" s="43"/>
      <c r="L357" s="838"/>
      <c r="M357" s="818"/>
      <c r="N357" s="4"/>
      <c r="O357" s="832"/>
      <c r="X357" s="851"/>
    </row>
    <row r="358" spans="2:45" x14ac:dyDescent="0.35">
      <c r="B358" s="37">
        <v>606.29999999999995</v>
      </c>
      <c r="C358" s="13"/>
      <c r="D358" s="13"/>
      <c r="E358" s="13"/>
      <c r="F358" s="13"/>
      <c r="G358" s="13"/>
      <c r="H358" s="453"/>
      <c r="I358" s="30"/>
      <c r="J358" s="4"/>
      <c r="K358" s="43"/>
      <c r="L358" s="838"/>
      <c r="M358" s="818"/>
      <c r="N358" s="4"/>
      <c r="O358" s="832"/>
      <c r="X358" s="851"/>
    </row>
    <row r="359" spans="2:45" x14ac:dyDescent="0.35">
      <c r="B359" s="37">
        <v>606.29999999999995</v>
      </c>
      <c r="C359" s="13"/>
      <c r="D359" s="13"/>
      <c r="E359" s="13"/>
      <c r="F359" s="13"/>
      <c r="G359" s="13"/>
      <c r="H359" s="453"/>
      <c r="I359" s="30"/>
      <c r="J359" s="4"/>
      <c r="K359" s="43"/>
      <c r="L359" s="838"/>
      <c r="M359" s="818"/>
      <c r="N359" s="4"/>
      <c r="O359" s="832"/>
      <c r="X359" s="851"/>
    </row>
    <row r="360" spans="2:45" x14ac:dyDescent="0.35">
      <c r="B360" s="37">
        <v>606.29999999999995</v>
      </c>
      <c r="C360" s="13"/>
      <c r="D360" s="13"/>
      <c r="E360" s="13"/>
      <c r="F360" s="13"/>
      <c r="G360" s="13"/>
      <c r="H360" s="453"/>
      <c r="I360" s="30"/>
      <c r="J360" s="4"/>
      <c r="K360" s="43"/>
      <c r="L360" s="92" t="s">
        <v>688</v>
      </c>
      <c r="M360" s="818"/>
      <c r="N360" s="4"/>
      <c r="O360" s="832"/>
      <c r="X360" s="851"/>
    </row>
    <row r="361" spans="2:45" x14ac:dyDescent="0.35">
      <c r="B361" s="37">
        <v>606.29999999999995</v>
      </c>
      <c r="C361" s="13"/>
      <c r="D361" s="13"/>
      <c r="E361" s="13"/>
      <c r="F361" s="13"/>
      <c r="G361" s="13"/>
      <c r="H361" s="453"/>
      <c r="I361" s="30"/>
      <c r="J361" s="4"/>
      <c r="K361" s="43"/>
      <c r="L361" s="218" t="s">
        <v>3084</v>
      </c>
      <c r="M361" s="818"/>
      <c r="N361" s="4"/>
      <c r="O361" s="832"/>
      <c r="X361" s="816"/>
    </row>
    <row r="362" spans="2:45" ht="18.5" x14ac:dyDescent="0.45">
      <c r="B362" s="37">
        <v>607</v>
      </c>
      <c r="C362" s="13"/>
      <c r="D362" s="13"/>
      <c r="E362" s="13"/>
      <c r="F362" s="13"/>
      <c r="G362" s="13"/>
      <c r="H362" s="453"/>
      <c r="I362" s="10" t="s">
        <v>689</v>
      </c>
      <c r="J362" s="15"/>
      <c r="K362" s="42"/>
      <c r="L362" s="151"/>
      <c r="M362" s="243"/>
      <c r="N362" s="311"/>
      <c r="O362" s="307"/>
      <c r="P362" s="15"/>
      <c r="Q362" s="15"/>
      <c r="R362" s="15"/>
      <c r="S362" s="15"/>
      <c r="T362" s="15"/>
      <c r="U362" s="15"/>
      <c r="V362" s="15"/>
      <c r="W362" s="15"/>
      <c r="X362" s="15"/>
    </row>
    <row r="363" spans="2:45" x14ac:dyDescent="0.35">
      <c r="B363" s="37">
        <v>607.1</v>
      </c>
      <c r="C363" s="13"/>
      <c r="D363" s="13"/>
      <c r="E363" s="13"/>
      <c r="F363" s="13"/>
      <c r="G363" s="13"/>
      <c r="H363" s="453"/>
      <c r="I363" s="30">
        <v>607.1</v>
      </c>
      <c r="J363" s="4"/>
      <c r="K363" s="43"/>
      <c r="L363" s="838" t="s">
        <v>690</v>
      </c>
      <c r="M363" s="40"/>
      <c r="N363" s="4"/>
      <c r="O363" s="75"/>
    </row>
    <row r="364" spans="2:45" x14ac:dyDescent="0.35">
      <c r="B364" s="37">
        <v>607.1</v>
      </c>
      <c r="C364" s="13"/>
      <c r="D364" s="13"/>
      <c r="E364" s="13"/>
      <c r="F364" s="13"/>
      <c r="G364" s="13"/>
      <c r="H364" s="453"/>
      <c r="I364" s="30"/>
      <c r="J364" s="4"/>
      <c r="K364" s="43"/>
      <c r="L364" s="838"/>
      <c r="M364" s="40"/>
      <c r="N364" s="4"/>
      <c r="O364" s="75"/>
    </row>
    <row r="365" spans="2:45" x14ac:dyDescent="0.35">
      <c r="B365" s="37">
        <v>607.1</v>
      </c>
      <c r="C365" s="13" t="s">
        <v>256</v>
      </c>
      <c r="D365" s="13"/>
      <c r="E365" s="13"/>
      <c r="F365" s="13"/>
      <c r="G365" s="13"/>
      <c r="H365" s="453"/>
      <c r="I365" s="30"/>
      <c r="J365" s="19" t="s">
        <v>256</v>
      </c>
      <c r="K365" s="43"/>
      <c r="L365" s="814" t="s">
        <v>4181</v>
      </c>
      <c r="M365" s="818">
        <v>2</v>
      </c>
      <c r="N365" s="4"/>
      <c r="O365" s="832">
        <f>M365*S365*W365</f>
        <v>2</v>
      </c>
      <c r="P365" t="b">
        <v>0</v>
      </c>
      <c r="Q365" t="b">
        <v>1</v>
      </c>
      <c r="R365" t="b">
        <v>0</v>
      </c>
      <c r="S365" t="b">
        <v>1</v>
      </c>
      <c r="T365" t="b">
        <v>0</v>
      </c>
      <c r="W365" s="17" t="b">
        <v>1</v>
      </c>
      <c r="X365" s="817"/>
      <c r="AL365" t="str">
        <f>SUBSTITUTE(SUBSTITUTE(SUBSTITUTE("dpa"&amp;$B365&amp;$C365&amp;$D365&amp;$E365,".","_"),"(","_"),")","")</f>
        <v>dpa607_1_1</v>
      </c>
      <c r="AM365">
        <f>M365</f>
        <v>2</v>
      </c>
      <c r="AN365" t="str">
        <f>SUBSTITUTE(SUBSTITUTE(SUBSTITUTE("dpc"&amp;$B365&amp;$C365&amp;$D365&amp;$E365,".","_"),"(","_"),")","")</f>
        <v>dpc607_1_1</v>
      </c>
      <c r="AO365">
        <f>O365</f>
        <v>2</v>
      </c>
      <c r="AP365" t="str">
        <f>SUBSTITUTE(SUBSTITUTE(SUBSTITUTE("dch"&amp;$B365&amp;$C365&amp;$D365&amp;$E365,".","_"),"(","_"),")","")</f>
        <v>dch607_1_1</v>
      </c>
      <c r="AQ365" t="b">
        <f>IF(LEN(W365)=0,"",W365)</f>
        <v>1</v>
      </c>
      <c r="AR365" t="str">
        <f>SUBSTITUTE(SUBSTITUTE(SUBSTITUTE("dnt"&amp;$B365&amp;$C365&amp;$D365&amp;$E365,".","_"),"(","_"),")","")</f>
        <v>dnt607_1_1</v>
      </c>
      <c r="AS365" t="str">
        <f>IF(LEN(X365)=0,"",X365)</f>
        <v/>
      </c>
    </row>
    <row r="366" spans="2:45" x14ac:dyDescent="0.35">
      <c r="B366" s="37">
        <v>607.1</v>
      </c>
      <c r="C366" s="13" t="s">
        <v>256</v>
      </c>
      <c r="D366" s="13"/>
      <c r="E366" s="13"/>
      <c r="F366" s="13"/>
      <c r="G366" s="13"/>
      <c r="H366" s="453"/>
      <c r="I366" s="30"/>
      <c r="J366" s="19"/>
      <c r="K366" s="43"/>
      <c r="L366" s="814"/>
      <c r="M366" s="818"/>
      <c r="N366" s="4"/>
      <c r="O366" s="832"/>
      <c r="X366" s="817"/>
    </row>
    <row r="367" spans="2:45" x14ac:dyDescent="0.35">
      <c r="B367" s="37">
        <v>607.1</v>
      </c>
      <c r="C367" s="13" t="s">
        <v>256</v>
      </c>
      <c r="D367" s="13"/>
      <c r="E367" s="13"/>
      <c r="F367" s="13"/>
      <c r="G367" s="13"/>
      <c r="H367" s="453"/>
      <c r="I367" s="30"/>
      <c r="J367" s="19"/>
      <c r="K367" s="43"/>
      <c r="L367" s="814"/>
      <c r="M367" s="818"/>
      <c r="N367" s="4"/>
      <c r="O367" s="832"/>
      <c r="X367" s="817"/>
    </row>
    <row r="368" spans="2:45" x14ac:dyDescent="0.35">
      <c r="B368" s="37">
        <v>607.1</v>
      </c>
      <c r="C368" s="13" t="s">
        <v>256</v>
      </c>
      <c r="D368" s="13"/>
      <c r="E368" s="13"/>
      <c r="F368" s="13"/>
      <c r="G368" s="13"/>
      <c r="H368" s="453"/>
      <c r="I368" s="30"/>
      <c r="J368" s="19"/>
      <c r="K368" s="43"/>
      <c r="L368" s="814"/>
      <c r="M368" s="818"/>
      <c r="N368" s="4"/>
      <c r="O368" s="832"/>
      <c r="X368" s="817"/>
    </row>
    <row r="369" spans="2:45" x14ac:dyDescent="0.35">
      <c r="B369" s="37">
        <v>607.1</v>
      </c>
      <c r="C369" s="13" t="s">
        <v>256</v>
      </c>
      <c r="D369" s="13"/>
      <c r="E369" s="13"/>
      <c r="F369" s="13"/>
      <c r="G369" s="13"/>
      <c r="H369" s="453"/>
      <c r="I369" s="30"/>
      <c r="J369" s="129"/>
      <c r="K369" s="101"/>
      <c r="L369" s="815"/>
      <c r="M369" s="819"/>
      <c r="N369" s="133"/>
      <c r="O369" s="824"/>
      <c r="X369" s="817"/>
    </row>
    <row r="370" spans="2:45" x14ac:dyDescent="0.35">
      <c r="B370" s="37">
        <v>607.1</v>
      </c>
      <c r="C370" s="13" t="s">
        <v>258</v>
      </c>
      <c r="D370" s="13"/>
      <c r="E370" s="13"/>
      <c r="F370" s="13"/>
      <c r="G370" s="13"/>
      <c r="H370" s="453"/>
      <c r="I370" s="30"/>
      <c r="J370" s="19" t="s">
        <v>258</v>
      </c>
      <c r="K370" s="43"/>
      <c r="L370" s="820" t="s">
        <v>4182</v>
      </c>
      <c r="M370" s="822">
        <v>4</v>
      </c>
      <c r="N370" s="4"/>
      <c r="O370" s="823">
        <f>M370*S370*W370</f>
        <v>0</v>
      </c>
      <c r="P370" t="b">
        <v>0</v>
      </c>
      <c r="Q370" t="b">
        <v>1</v>
      </c>
      <c r="R370" t="b">
        <v>0</v>
      </c>
      <c r="S370" t="b">
        <v>1</v>
      </c>
      <c r="T370" t="b">
        <v>0</v>
      </c>
      <c r="W370" s="111"/>
      <c r="X370" s="817"/>
      <c r="AL370" t="str">
        <f>SUBSTITUTE(SUBSTITUTE(SUBSTITUTE("dpa"&amp;$B370&amp;$C370&amp;$D370&amp;$E370,".","_"),"(","_"),")","")</f>
        <v>dpa607_1_2</v>
      </c>
      <c r="AM370">
        <f>M370</f>
        <v>4</v>
      </c>
      <c r="AN370" t="str">
        <f>SUBSTITUTE(SUBSTITUTE(SUBSTITUTE("dpc"&amp;$B370&amp;$C370&amp;$D370&amp;$E370,".","_"),"(","_"),")","")</f>
        <v>dpc607_1_2</v>
      </c>
      <c r="AO370">
        <f>O370</f>
        <v>0</v>
      </c>
      <c r="AP370" t="str">
        <f>SUBSTITUTE(SUBSTITUTE(SUBSTITUTE("dch"&amp;$B370&amp;$C370&amp;$D370&amp;$E370,".","_"),"(","_"),")","")</f>
        <v>dch607_1_2</v>
      </c>
      <c r="AQ370" t="str">
        <f>IF(LEN(W370)=0,"",W370)</f>
        <v/>
      </c>
      <c r="AR370" t="str">
        <f>SUBSTITUTE(SUBSTITUTE(SUBSTITUTE("dnt"&amp;$B370&amp;$C370&amp;$D370&amp;$E370,".","_"),"(","_"),")","")</f>
        <v>dnt607_1_2</v>
      </c>
      <c r="AS370" t="str">
        <f>IF(LEN(X370)=0,"",X370)</f>
        <v/>
      </c>
    </row>
    <row r="371" spans="2:45" x14ac:dyDescent="0.35">
      <c r="B371" s="37">
        <v>607.1</v>
      </c>
      <c r="C371" s="13" t="s">
        <v>258</v>
      </c>
      <c r="D371" s="13"/>
      <c r="E371" s="13"/>
      <c r="F371" s="13"/>
      <c r="G371" s="13"/>
      <c r="H371" s="453"/>
      <c r="I371" s="30"/>
      <c r="J371" s="19"/>
      <c r="K371" s="43"/>
      <c r="L371" s="848"/>
      <c r="M371" s="818"/>
      <c r="N371" s="4"/>
      <c r="O371" s="832"/>
      <c r="W371" s="336"/>
      <c r="X371" s="817"/>
    </row>
    <row r="372" spans="2:45" x14ac:dyDescent="0.35">
      <c r="B372" s="37">
        <v>607.1</v>
      </c>
      <c r="C372" s="13" t="s">
        <v>258</v>
      </c>
      <c r="D372" s="13"/>
      <c r="E372" s="13"/>
      <c r="F372" s="13"/>
      <c r="G372" s="13"/>
      <c r="H372" s="453"/>
      <c r="I372" s="30"/>
      <c r="J372" s="19"/>
      <c r="K372" s="43"/>
      <c r="L372" s="848"/>
      <c r="M372" s="818"/>
      <c r="N372" s="4"/>
      <c r="O372" s="832"/>
      <c r="X372" s="817"/>
    </row>
    <row r="373" spans="2:45" x14ac:dyDescent="0.35">
      <c r="B373" s="37">
        <v>607.1</v>
      </c>
      <c r="C373" s="13" t="s">
        <v>258</v>
      </c>
      <c r="D373" s="13"/>
      <c r="E373" s="13"/>
      <c r="F373" s="13"/>
      <c r="G373" s="13"/>
      <c r="H373" s="453"/>
      <c r="I373" s="30"/>
      <c r="J373" s="19"/>
      <c r="K373" s="43"/>
      <c r="L373" s="848"/>
      <c r="M373" s="818"/>
      <c r="N373" s="4"/>
      <c r="O373" s="832"/>
      <c r="X373" s="817"/>
    </row>
    <row r="374" spans="2:45" x14ac:dyDescent="0.35">
      <c r="B374" s="37">
        <v>607.1</v>
      </c>
      <c r="C374" s="13" t="s">
        <v>258</v>
      </c>
      <c r="D374" s="13"/>
      <c r="E374" s="13"/>
      <c r="F374" s="13"/>
      <c r="G374" s="13"/>
      <c r="H374" s="453"/>
      <c r="I374" s="30"/>
      <c r="J374" s="19"/>
      <c r="K374" s="43"/>
      <c r="L374" s="848"/>
      <c r="M374" s="818"/>
      <c r="N374" s="4"/>
      <c r="O374" s="832"/>
      <c r="X374" s="817"/>
    </row>
    <row r="375" spans="2:45" ht="15" thickBot="1" x14ac:dyDescent="0.4">
      <c r="B375" s="37">
        <v>607.1</v>
      </c>
      <c r="C375" s="13" t="s">
        <v>258</v>
      </c>
      <c r="D375" s="13"/>
      <c r="E375" s="13"/>
      <c r="F375" s="13"/>
      <c r="G375" s="13"/>
      <c r="H375" s="453"/>
      <c r="I375" s="30"/>
      <c r="J375" s="19"/>
      <c r="K375" s="43"/>
      <c r="L375" s="888"/>
      <c r="M375" s="827"/>
      <c r="N375" s="4"/>
      <c r="O375" s="833"/>
      <c r="W375" s="64"/>
      <c r="X375" s="817"/>
    </row>
    <row r="376" spans="2:45" ht="15" thickTop="1" x14ac:dyDescent="0.35">
      <c r="B376" s="37">
        <v>607.20000000000005</v>
      </c>
      <c r="C376" s="13"/>
      <c r="D376" s="13"/>
      <c r="E376" s="13"/>
      <c r="F376" s="13"/>
      <c r="G376" s="13"/>
      <c r="H376" s="453"/>
      <c r="I376" s="106">
        <v>607.20000000000005</v>
      </c>
      <c r="J376" s="107"/>
      <c r="K376" s="108"/>
      <c r="L376" s="837" t="s">
        <v>691</v>
      </c>
      <c r="M376" s="830">
        <v>1</v>
      </c>
      <c r="N376" s="107"/>
      <c r="O376" s="831">
        <f>M376*S376*W376</f>
        <v>1</v>
      </c>
      <c r="P376" t="b">
        <v>0</v>
      </c>
      <c r="Q376" t="b">
        <v>1</v>
      </c>
      <c r="R376" s="59" t="b">
        <v>0</v>
      </c>
      <c r="S376" s="59" t="b">
        <v>1</v>
      </c>
      <c r="T376" s="59" t="b">
        <v>0</v>
      </c>
      <c r="U376" s="59"/>
      <c r="V376" s="59"/>
      <c r="W376" s="69" t="b">
        <v>1</v>
      </c>
      <c r="X376" s="840" t="s">
        <v>6097</v>
      </c>
      <c r="AL376" t="str">
        <f>SUBSTITUTE(SUBSTITUTE(SUBSTITUTE("dpa"&amp;$B376&amp;$C376&amp;$D376&amp;$E376,".","_"),"(","_"),")","")</f>
        <v>dpa607_2</v>
      </c>
      <c r="AM376">
        <f>M376</f>
        <v>1</v>
      </c>
      <c r="AN376" t="str">
        <f>SUBSTITUTE(SUBSTITUTE(SUBSTITUTE("dpc"&amp;$B376&amp;$C376&amp;$D376&amp;$E376,".","_"),"(","_"),")","")</f>
        <v>dpc607_2</v>
      </c>
      <c r="AO376">
        <f>O376</f>
        <v>1</v>
      </c>
      <c r="AP376" t="str">
        <f>SUBSTITUTE(SUBSTITUTE(SUBSTITUTE("dch"&amp;$B376&amp;$C376&amp;$D376&amp;$E376,".","_"),"(","_"),")","")</f>
        <v>dch607_2</v>
      </c>
      <c r="AQ376" t="b">
        <f>IF(LEN(W376)=0,"",W376)</f>
        <v>1</v>
      </c>
      <c r="AR376" t="str">
        <f>SUBSTITUTE(SUBSTITUTE(SUBSTITUTE("dnt"&amp;$B376&amp;$C376&amp;$D376&amp;$E376,".","_"),"(","_"),")","")</f>
        <v>dnt607_2</v>
      </c>
      <c r="AS376" t="str">
        <f>IF(LEN(X376)=0,"",X376)</f>
        <v>Insinkerator Food Waste Disposer</v>
      </c>
    </row>
    <row r="377" spans="2:45" x14ac:dyDescent="0.35">
      <c r="B377" s="37">
        <v>607.20000000000005</v>
      </c>
      <c r="C377" s="13"/>
      <c r="D377" s="13"/>
      <c r="E377" s="13"/>
      <c r="F377" s="13"/>
      <c r="G377" s="13"/>
      <c r="H377" s="453"/>
      <c r="I377" s="30"/>
      <c r="J377" s="4"/>
      <c r="K377" s="43"/>
      <c r="L377" s="838"/>
      <c r="M377" s="818"/>
      <c r="N377" s="4"/>
      <c r="O377" s="832"/>
      <c r="X377" s="817"/>
    </row>
    <row r="378" spans="2:45" ht="18.5" x14ac:dyDescent="0.45">
      <c r="B378" s="37">
        <v>608</v>
      </c>
      <c r="C378" s="13"/>
      <c r="D378" s="13"/>
      <c r="E378" s="13"/>
      <c r="F378" s="13"/>
      <c r="G378" s="13"/>
      <c r="H378" s="453"/>
      <c r="I378" s="10" t="s">
        <v>692</v>
      </c>
      <c r="J378" s="15"/>
      <c r="K378" s="42"/>
      <c r="L378" s="151"/>
      <c r="M378" s="243"/>
      <c r="N378" s="311"/>
      <c r="O378" s="307"/>
      <c r="P378" s="15"/>
      <c r="Q378" s="15"/>
      <c r="R378" s="15"/>
      <c r="S378" s="15"/>
      <c r="T378" s="15"/>
      <c r="U378" s="15"/>
      <c r="V378" s="15"/>
      <c r="W378" s="15"/>
      <c r="X378" s="15"/>
    </row>
    <row r="379" spans="2:45" x14ac:dyDescent="0.35">
      <c r="B379" s="37">
        <v>608.1</v>
      </c>
      <c r="C379" s="13"/>
      <c r="D379" s="13"/>
      <c r="E379" s="13"/>
      <c r="F379" s="13"/>
      <c r="G379" s="13"/>
      <c r="H379" s="453"/>
      <c r="I379" s="30">
        <v>608.1</v>
      </c>
      <c r="J379" s="4"/>
      <c r="K379" s="43"/>
      <c r="L379" s="838" t="s">
        <v>693</v>
      </c>
      <c r="M379" s="891" t="s">
        <v>3085</v>
      </c>
      <c r="N379" s="4"/>
      <c r="O379" s="832">
        <f ca="1">IFERROR(MATCH(W379,INDIRECT(U379),0),0)*3</f>
        <v>0</v>
      </c>
      <c r="P379" t="b">
        <v>1</v>
      </c>
      <c r="Q379" t="b">
        <v>1</v>
      </c>
      <c r="R379" t="b">
        <v>0</v>
      </c>
      <c r="S379" t="b">
        <v>1</v>
      </c>
      <c r="T379" t="b">
        <v>0</v>
      </c>
      <c r="U379" t="str">
        <f>SUBSTITUTE(SUBSTITUTE(SUBSTITUTE("dd"&amp;B379&amp;C379&amp;D379&amp;E379&amp;F379,".","_"),"(","_"),")","")</f>
        <v>dd608_1</v>
      </c>
      <c r="W379" s="9"/>
      <c r="X379" s="850"/>
      <c r="AC379" t="b">
        <f>OR(AD379:AE379)</f>
        <v>0</v>
      </c>
      <c r="AD379" t="b">
        <v>0</v>
      </c>
      <c r="AE379" t="b">
        <f>AND(NOT(ISBLANK(W379)),LEN(X379)=0)</f>
        <v>0</v>
      </c>
      <c r="AL379" t="str">
        <f>SUBSTITUTE(SUBSTITUTE(SUBSTITUTE("dpa"&amp;$B379&amp;$C379&amp;$D379&amp;$E379,".","_"),"(","_"),")","")</f>
        <v>dpa608_1</v>
      </c>
      <c r="AM379" t="str">
        <f>M379</f>
        <v>9 Max
3 per material</v>
      </c>
      <c r="AN379" t="str">
        <f>SUBSTITUTE(SUBSTITUTE(SUBSTITUTE("dpc"&amp;$B379&amp;$C379&amp;$D379&amp;$E379,".","_"),"(","_"),")","")</f>
        <v>dpc608_1</v>
      </c>
      <c r="AO379">
        <f ca="1">O379</f>
        <v>0</v>
      </c>
      <c r="AP379" t="str">
        <f>SUBSTITUTE(SUBSTITUTE(SUBSTITUTE("dch"&amp;$B379&amp;$C379&amp;$D379&amp;$E379,".","_"),"(","_"),")","")</f>
        <v>dch608_1</v>
      </c>
      <c r="AQ379" t="str">
        <f>IF(LEN(W379)=0,"",W379)</f>
        <v/>
      </c>
      <c r="AR379" t="str">
        <f>SUBSTITUTE(SUBSTITUTE(SUBSTITUTE("dnt"&amp;$B379&amp;$C379&amp;$D379&amp;$E379,".","_"),"(","_"),")","")</f>
        <v>dnt608_1</v>
      </c>
      <c r="AS379" t="str">
        <f>IF(LEN(X379)=0,"",X379)</f>
        <v/>
      </c>
    </row>
    <row r="380" spans="2:45" x14ac:dyDescent="0.35">
      <c r="B380" s="37">
        <v>608.1</v>
      </c>
      <c r="C380" s="13"/>
      <c r="D380" s="13"/>
      <c r="E380" s="13"/>
      <c r="F380" s="13"/>
      <c r="G380" s="13"/>
      <c r="H380" s="453"/>
      <c r="I380" s="30"/>
      <c r="J380" s="4"/>
      <c r="K380" s="43"/>
      <c r="L380" s="838"/>
      <c r="M380" s="891"/>
      <c r="N380" s="4"/>
      <c r="O380" s="832"/>
      <c r="X380" s="851"/>
    </row>
    <row r="381" spans="2:45" x14ac:dyDescent="0.35">
      <c r="B381" s="37">
        <v>608.1</v>
      </c>
      <c r="C381" s="13"/>
      <c r="D381" s="13"/>
      <c r="E381" s="13"/>
      <c r="F381" s="13"/>
      <c r="G381" s="13"/>
      <c r="H381" s="453"/>
      <c r="I381" s="30"/>
      <c r="J381" s="4"/>
      <c r="K381" s="43"/>
      <c r="L381" s="838"/>
      <c r="M381" s="891"/>
      <c r="N381" s="4"/>
      <c r="O381" s="832"/>
      <c r="X381" s="851"/>
    </row>
    <row r="382" spans="2:45" x14ac:dyDescent="0.35">
      <c r="B382" s="37">
        <v>608.1</v>
      </c>
      <c r="C382" s="13" t="s">
        <v>256</v>
      </c>
      <c r="D382" s="13"/>
      <c r="E382" s="13"/>
      <c r="F382" s="13"/>
      <c r="G382" s="13"/>
      <c r="H382" s="453"/>
      <c r="I382" s="30"/>
      <c r="J382" s="19" t="s">
        <v>256</v>
      </c>
      <c r="K382" s="43"/>
      <c r="L382" s="814" t="s">
        <v>694</v>
      </c>
      <c r="M382" s="891"/>
      <c r="N382" s="4"/>
      <c r="O382" s="832"/>
      <c r="X382" s="851"/>
    </row>
    <row r="383" spans="2:45" x14ac:dyDescent="0.35">
      <c r="B383" s="37">
        <v>608.1</v>
      </c>
      <c r="C383" s="13" t="s">
        <v>256</v>
      </c>
      <c r="D383" s="13"/>
      <c r="E383" s="13"/>
      <c r="F383" s="13"/>
      <c r="G383" s="13"/>
      <c r="H383" s="453"/>
      <c r="I383" s="30"/>
      <c r="J383" s="19"/>
      <c r="K383" s="43"/>
      <c r="L383" s="814"/>
      <c r="M383" s="891"/>
      <c r="N383" s="4"/>
      <c r="O383" s="832"/>
      <c r="X383" s="851"/>
    </row>
    <row r="384" spans="2:45" x14ac:dyDescent="0.35">
      <c r="B384" s="37">
        <v>608.1</v>
      </c>
      <c r="C384" s="13" t="s">
        <v>258</v>
      </c>
      <c r="D384" s="13"/>
      <c r="E384" s="13"/>
      <c r="F384" s="13"/>
      <c r="G384" s="13"/>
      <c r="H384" s="453"/>
      <c r="I384" s="30"/>
      <c r="J384" s="19" t="s">
        <v>258</v>
      </c>
      <c r="K384" s="43"/>
      <c r="L384" s="90" t="s">
        <v>695</v>
      </c>
      <c r="M384" s="891"/>
      <c r="N384" s="4"/>
      <c r="O384" s="832"/>
      <c r="X384" s="851"/>
    </row>
    <row r="385" spans="2:45" x14ac:dyDescent="0.35">
      <c r="B385" s="37">
        <v>608.1</v>
      </c>
      <c r="C385" s="13" t="s">
        <v>260</v>
      </c>
      <c r="D385" s="13"/>
      <c r="E385" s="13"/>
      <c r="F385" s="13"/>
      <c r="G385" s="13"/>
      <c r="H385" s="453"/>
      <c r="I385" s="30"/>
      <c r="J385" s="19" t="s">
        <v>260</v>
      </c>
      <c r="K385" s="43"/>
      <c r="L385" s="90" t="s">
        <v>696</v>
      </c>
      <c r="M385" s="891"/>
      <c r="N385" s="4"/>
      <c r="O385" s="832"/>
      <c r="X385" s="851"/>
    </row>
    <row r="386" spans="2:45" ht="15" customHeight="1" x14ac:dyDescent="0.35">
      <c r="B386" s="37">
        <v>608.1</v>
      </c>
      <c r="C386" s="13"/>
      <c r="D386" s="13"/>
      <c r="E386" s="13"/>
      <c r="F386" s="13"/>
      <c r="G386" s="13"/>
      <c r="H386" s="453"/>
      <c r="I386" s="30"/>
      <c r="J386" s="19"/>
      <c r="K386" s="43"/>
      <c r="L386" s="218" t="s">
        <v>3089</v>
      </c>
      <c r="M386" s="891"/>
      <c r="N386" s="4"/>
      <c r="O386" s="832"/>
      <c r="X386" s="816"/>
    </row>
    <row r="387" spans="2:45" ht="18.5" x14ac:dyDescent="0.45">
      <c r="B387" s="37">
        <v>609</v>
      </c>
      <c r="C387" s="13"/>
      <c r="D387" s="13"/>
      <c r="E387" s="13"/>
      <c r="F387" s="13"/>
      <c r="G387" s="13"/>
      <c r="H387" s="453"/>
      <c r="I387" s="10" t="s">
        <v>697</v>
      </c>
      <c r="J387" s="15"/>
      <c r="K387" s="42"/>
      <c r="L387" s="151"/>
      <c r="M387" s="243"/>
      <c r="N387" s="311"/>
      <c r="O387" s="307"/>
      <c r="P387" s="15"/>
      <c r="Q387" s="15"/>
      <c r="R387" s="15"/>
      <c r="S387" s="15"/>
      <c r="T387" s="15"/>
      <c r="U387" s="15"/>
      <c r="V387" s="15"/>
      <c r="W387" s="15"/>
      <c r="X387" s="15"/>
    </row>
    <row r="388" spans="2:45" ht="15" customHeight="1" x14ac:dyDescent="0.35">
      <c r="B388" s="37">
        <v>609.1</v>
      </c>
      <c r="C388" s="13"/>
      <c r="D388" s="13"/>
      <c r="E388" s="13"/>
      <c r="F388" s="13"/>
      <c r="G388" s="13"/>
      <c r="H388" s="453"/>
      <c r="I388" s="30">
        <v>609.1</v>
      </c>
      <c r="J388" s="4"/>
      <c r="K388" s="43"/>
      <c r="L388" s="838" t="s">
        <v>698</v>
      </c>
      <c r="M388" s="818" t="s">
        <v>699</v>
      </c>
      <c r="N388" s="4"/>
      <c r="O388" s="832">
        <f ca="1">MIN(10,IFERROR(MATCH(W390,INDIRECT(U390),0),0)*2+IFERROR(MATCH(W392,INDIRECT(U392),0),0))</f>
        <v>0</v>
      </c>
      <c r="AL388" t="str">
        <f>SUBSTITUTE(SUBSTITUTE(SUBSTITUTE("dpa"&amp;$B388&amp;$C388&amp;$D388&amp;$E388,".","_"),"(","_"),")","")</f>
        <v>dpa609_1</v>
      </c>
      <c r="AM388" t="str">
        <f>M390</f>
        <v>2 per each component</v>
      </c>
      <c r="AN388" t="str">
        <f>SUBSTITUTE(SUBSTITUTE(SUBSTITUTE("dpc"&amp;$B388&amp;$C388&amp;$D388&amp;$E388,".","_"),"(","_"),")","")</f>
        <v>dpc609_1</v>
      </c>
      <c r="AO388">
        <f ca="1">O388</f>
        <v>0</v>
      </c>
    </row>
    <row r="389" spans="2:45" x14ac:dyDescent="0.35">
      <c r="B389" s="37">
        <v>609.1</v>
      </c>
      <c r="C389" s="13"/>
      <c r="D389" s="13"/>
      <c r="E389" s="13"/>
      <c r="F389" s="13"/>
      <c r="G389" s="13"/>
      <c r="H389" s="453"/>
      <c r="I389" s="30"/>
      <c r="J389" s="4"/>
      <c r="K389" s="43"/>
      <c r="L389" s="838"/>
      <c r="M389" s="818"/>
      <c r="N389" s="4"/>
      <c r="O389" s="832"/>
      <c r="W389" t="s">
        <v>3090</v>
      </c>
    </row>
    <row r="390" spans="2:45" ht="15" customHeight="1" x14ac:dyDescent="0.35">
      <c r="B390" s="37">
        <v>609.1</v>
      </c>
      <c r="C390" s="13" t="s">
        <v>256</v>
      </c>
      <c r="D390" s="13"/>
      <c r="E390" s="13"/>
      <c r="F390" s="13"/>
      <c r="G390" s="13"/>
      <c r="H390" s="453"/>
      <c r="I390" s="30"/>
      <c r="J390" s="19" t="s">
        <v>256</v>
      </c>
      <c r="K390" s="43"/>
      <c r="L390" s="146" t="s">
        <v>4876</v>
      </c>
      <c r="M390" s="843" t="s">
        <v>4878</v>
      </c>
      <c r="N390" s="4"/>
      <c r="O390" s="832"/>
      <c r="P390" t="b">
        <v>1</v>
      </c>
      <c r="Q390" t="b">
        <v>1</v>
      </c>
      <c r="R390" t="b">
        <v>0</v>
      </c>
      <c r="S390" t="b">
        <v>1</v>
      </c>
      <c r="T390" t="b">
        <v>0</v>
      </c>
      <c r="U390" t="str">
        <f>SUBSTITUTE(SUBSTITUTE(SUBSTITUTE("dd"&amp;B390&amp;C390&amp;D390&amp;E390&amp;F390,".","_"),"(","_"),")","")</f>
        <v>dd609_1_1</v>
      </c>
      <c r="W390" s="9"/>
      <c r="X390" s="817"/>
      <c r="AC390" t="b">
        <f>OR(AD390:AE390)</f>
        <v>0</v>
      </c>
      <c r="AD390" t="b">
        <v>0</v>
      </c>
      <c r="AE390" t="b">
        <f>AND(NOT(ISBLANK(W390)),LEN(X390)=0)</f>
        <v>0</v>
      </c>
      <c r="AL390" t="str">
        <f>SUBSTITUTE(SUBSTITUTE(SUBSTITUTE("dpa"&amp;$B390&amp;$C390&amp;$D390&amp;$E390,".","_"),"(","_"),")","")</f>
        <v>dpa609_1_1</v>
      </c>
      <c r="AM390" t="str">
        <f>M390</f>
        <v>2 per each component</v>
      </c>
      <c r="AP390" t="str">
        <f>SUBSTITUTE(SUBSTITUTE(SUBSTITUTE("dch"&amp;$B390&amp;$C390&amp;$D390&amp;$E390,".","_"),"(","_"),")","")</f>
        <v>dch609_1_1</v>
      </c>
      <c r="AQ390" t="str">
        <f>IF(LEN(W390)=0,"",W390)</f>
        <v/>
      </c>
      <c r="AR390" t="str">
        <f>SUBSTITUTE(SUBSTITUTE(SUBSTITUTE("dnt"&amp;$B390&amp;$C390&amp;$D390&amp;$E390,".","_"),"(","_"),")","")</f>
        <v>dnt609_1_1</v>
      </c>
      <c r="AS390" t="str">
        <f>IF(LEN(X390)=0,"",X390)</f>
        <v/>
      </c>
    </row>
    <row r="391" spans="2:45" ht="15" customHeight="1" x14ac:dyDescent="0.35">
      <c r="B391" s="37">
        <v>609.1</v>
      </c>
      <c r="C391" s="13" t="s">
        <v>256</v>
      </c>
      <c r="D391" s="13"/>
      <c r="E391" s="13"/>
      <c r="F391" s="13"/>
      <c r="G391" s="13"/>
      <c r="H391" s="453"/>
      <c r="I391" s="30"/>
      <c r="J391" s="19"/>
      <c r="K391" s="43"/>
      <c r="L391" s="146"/>
      <c r="M391" s="843"/>
      <c r="N391" s="4"/>
      <c r="O391" s="832"/>
      <c r="W391" t="s">
        <v>3091</v>
      </c>
      <c r="X391" s="817"/>
    </row>
    <row r="392" spans="2:45" ht="15" customHeight="1" x14ac:dyDescent="0.35">
      <c r="B392" s="37">
        <v>609.1</v>
      </c>
      <c r="C392" s="13" t="s">
        <v>258</v>
      </c>
      <c r="D392" s="13"/>
      <c r="E392" s="13"/>
      <c r="F392" s="13"/>
      <c r="G392" s="13"/>
      <c r="H392" s="453"/>
      <c r="I392" s="30"/>
      <c r="J392" s="19" t="s">
        <v>258</v>
      </c>
      <c r="K392" s="43"/>
      <c r="L392" s="146" t="s">
        <v>4877</v>
      </c>
      <c r="M392" s="843" t="s">
        <v>4879</v>
      </c>
      <c r="N392" s="4"/>
      <c r="O392" s="832"/>
      <c r="P392" t="b">
        <v>1</v>
      </c>
      <c r="Q392" t="b">
        <v>1</v>
      </c>
      <c r="R392" t="b">
        <v>0</v>
      </c>
      <c r="S392" t="b">
        <v>1</v>
      </c>
      <c r="T392" t="b">
        <v>0</v>
      </c>
      <c r="U392" t="str">
        <f>SUBSTITUTE(SUBSTITUTE(SUBSTITUTE("dd"&amp;B392&amp;C392&amp;D392&amp;E392&amp;F392,".","_"),"(","_"),")","")</f>
        <v>dd609_1_2</v>
      </c>
      <c r="W392" s="9"/>
      <c r="X392" s="817"/>
      <c r="AC392" t="b">
        <f>OR(AD392:AE392)</f>
        <v>0</v>
      </c>
      <c r="AD392" t="b">
        <v>0</v>
      </c>
      <c r="AE392" t="b">
        <f>AND(NOT(ISBLANK(W392)),LEN(X392)=0)</f>
        <v>0</v>
      </c>
      <c r="AL392" t="str">
        <f>SUBSTITUTE(SUBSTITUTE(SUBSTITUTE("dpa"&amp;$B392&amp;$C392&amp;$D392&amp;$E392,".","_"),"(","_"),")","")</f>
        <v>dpa609_1_2</v>
      </c>
      <c r="AM392" t="str">
        <f>M392</f>
        <v>1 per each component</v>
      </c>
      <c r="AP392" t="str">
        <f>SUBSTITUTE(SUBSTITUTE(SUBSTITUTE("dch"&amp;$B392&amp;$C392&amp;$D392&amp;$E392,".","_"),"(","_"),")","")</f>
        <v>dch609_1_2</v>
      </c>
      <c r="AQ392" t="str">
        <f>IF(LEN(W392)=0,"",W392)</f>
        <v/>
      </c>
      <c r="AR392" t="str">
        <f>SUBSTITUTE(SUBSTITUTE(SUBSTITUTE("dnt"&amp;$B392&amp;$C392&amp;$D392&amp;$E392,".","_"),"(","_"),")","")</f>
        <v>dnt609_1_2</v>
      </c>
      <c r="AS392" t="str">
        <f>IF(LEN(X392)=0,"",X392)</f>
        <v/>
      </c>
    </row>
    <row r="393" spans="2:45" ht="15" customHeight="1" x14ac:dyDescent="0.35">
      <c r="B393" s="37">
        <v>609.1</v>
      </c>
      <c r="C393" s="13" t="s">
        <v>258</v>
      </c>
      <c r="D393" s="13"/>
      <c r="E393" s="13"/>
      <c r="F393" s="13"/>
      <c r="G393" s="13"/>
      <c r="H393" s="453"/>
      <c r="I393" s="30"/>
      <c r="J393" s="19"/>
      <c r="K393" s="43"/>
      <c r="L393" s="146"/>
      <c r="M393" s="843"/>
      <c r="N393" s="4"/>
      <c r="O393" s="832"/>
      <c r="X393" s="817"/>
    </row>
    <row r="394" spans="2:45" ht="15" customHeight="1" x14ac:dyDescent="0.35">
      <c r="B394" s="37">
        <v>609.1</v>
      </c>
      <c r="C394" s="13"/>
      <c r="D394" s="13"/>
      <c r="E394" s="13"/>
      <c r="F394" s="13"/>
      <c r="G394" s="13"/>
      <c r="H394" s="453"/>
      <c r="I394" s="30"/>
      <c r="J394" s="4"/>
      <c r="K394" s="43"/>
      <c r="L394" s="895" t="s">
        <v>4875</v>
      </c>
      <c r="M394" s="283"/>
      <c r="N394" s="4"/>
      <c r="O394" s="75"/>
    </row>
    <row r="395" spans="2:45" x14ac:dyDescent="0.35">
      <c r="B395" s="37">
        <v>609.1</v>
      </c>
      <c r="C395" s="13"/>
      <c r="D395" s="13"/>
      <c r="E395" s="13"/>
      <c r="F395" s="13"/>
      <c r="G395" s="13"/>
      <c r="H395" s="453"/>
      <c r="I395" s="30"/>
      <c r="J395" s="4"/>
      <c r="K395" s="43"/>
      <c r="L395" s="895"/>
      <c r="M395" s="283"/>
      <c r="N395" s="4"/>
      <c r="O395" s="75"/>
    </row>
    <row r="396" spans="2:45" x14ac:dyDescent="0.35">
      <c r="B396" s="37">
        <v>609.1</v>
      </c>
      <c r="C396" s="13"/>
      <c r="D396" s="13"/>
      <c r="E396" s="13"/>
      <c r="F396" s="13"/>
      <c r="G396" s="13"/>
      <c r="H396" s="453"/>
      <c r="I396" s="30"/>
      <c r="J396" s="4"/>
      <c r="K396" s="43"/>
      <c r="L396" s="904"/>
      <c r="M396" s="283"/>
      <c r="N396" s="4"/>
      <c r="O396" s="75"/>
    </row>
    <row r="397" spans="2:45" ht="15" customHeight="1" x14ac:dyDescent="0.35">
      <c r="B397" s="37">
        <v>609.1</v>
      </c>
      <c r="C397" s="13"/>
      <c r="D397" s="13"/>
      <c r="E397" s="13"/>
      <c r="F397" s="13"/>
      <c r="G397" s="13"/>
      <c r="H397" s="453"/>
      <c r="I397" s="30"/>
      <c r="J397" s="4"/>
      <c r="K397" s="43"/>
      <c r="L397" s="893" t="s">
        <v>3103</v>
      </c>
      <c r="M397" s="283"/>
      <c r="N397" s="4"/>
      <c r="O397" s="75"/>
    </row>
    <row r="398" spans="2:45" ht="15" customHeight="1" x14ac:dyDescent="0.35">
      <c r="B398" s="37">
        <v>609.1</v>
      </c>
      <c r="C398" s="13"/>
      <c r="D398" s="13"/>
      <c r="E398" s="13"/>
      <c r="F398" s="13"/>
      <c r="G398" s="13"/>
      <c r="H398" s="453"/>
      <c r="I398" s="30"/>
      <c r="J398" s="4"/>
      <c r="K398" s="43"/>
      <c r="L398" s="902"/>
      <c r="M398" s="283"/>
      <c r="N398" s="4"/>
      <c r="O398" s="75"/>
    </row>
    <row r="399" spans="2:45" ht="18.5" x14ac:dyDescent="0.45">
      <c r="B399" s="37">
        <v>610</v>
      </c>
      <c r="C399" s="13"/>
      <c r="D399" s="13"/>
      <c r="E399" s="13"/>
      <c r="F399" s="13"/>
      <c r="G399" s="13"/>
      <c r="H399" s="453"/>
      <c r="I399" s="10" t="s">
        <v>700</v>
      </c>
      <c r="J399" s="15"/>
      <c r="K399" s="42"/>
      <c r="L399" s="151"/>
      <c r="M399" s="243"/>
      <c r="N399" s="311"/>
      <c r="O399" s="307"/>
      <c r="P399" s="15"/>
      <c r="Q399" s="15"/>
      <c r="R399" s="15"/>
      <c r="S399" s="15"/>
      <c r="T399" s="15"/>
      <c r="U399" s="15"/>
      <c r="V399" s="15"/>
      <c r="W399" s="15"/>
      <c r="X399" s="15"/>
    </row>
    <row r="400" spans="2:45" ht="15" customHeight="1" x14ac:dyDescent="0.35">
      <c r="B400" s="37">
        <v>610.1</v>
      </c>
      <c r="C400" s="13"/>
      <c r="D400" s="13"/>
      <c r="E400" s="13"/>
      <c r="F400" s="13"/>
      <c r="G400" s="13"/>
      <c r="H400" s="453"/>
      <c r="I400" s="30">
        <v>610.1</v>
      </c>
      <c r="J400" s="4"/>
      <c r="K400" s="43"/>
      <c r="L400" s="838" t="s">
        <v>701</v>
      </c>
      <c r="M400" s="32"/>
      <c r="N400" s="4"/>
      <c r="O400" s="75"/>
      <c r="R400" t="b">
        <f ca="1">SUM(O409:O431)&gt;0</f>
        <v>0</v>
      </c>
      <c r="X400" s="817"/>
      <c r="AC400" t="b">
        <f ca="1">OR(AD400:AE400)</f>
        <v>0</v>
      </c>
      <c r="AE400" t="b">
        <f ca="1">AND(R400,LEN(X400)=0)</f>
        <v>0</v>
      </c>
      <c r="AR400" t="str">
        <f>SUBSTITUTE(SUBSTITUTE(SUBSTITUTE("dnt"&amp;$B400&amp;$C400&amp;$D400&amp;$E400,".","_"),"(","_"),")","")</f>
        <v>dnt610_1</v>
      </c>
      <c r="AS400" t="str">
        <f>IF(LEN(X400)=0,"",X400)</f>
        <v/>
      </c>
    </row>
    <row r="401" spans="2:45" x14ac:dyDescent="0.35">
      <c r="B401" s="37">
        <v>610.1</v>
      </c>
      <c r="C401" s="13"/>
      <c r="D401" s="13"/>
      <c r="E401" s="13"/>
      <c r="F401" s="13"/>
      <c r="G401" s="13"/>
      <c r="H401" s="453"/>
      <c r="I401" s="30"/>
      <c r="J401" s="4"/>
      <c r="K401" s="43"/>
      <c r="L401" s="838"/>
      <c r="M401" s="32"/>
      <c r="N401" s="4"/>
      <c r="O401" s="75"/>
      <c r="X401" s="817"/>
    </row>
    <row r="402" spans="2:45" x14ac:dyDescent="0.35">
      <c r="B402" s="37">
        <v>610.1</v>
      </c>
      <c r="C402" s="13"/>
      <c r="D402" s="13"/>
      <c r="E402" s="13"/>
      <c r="F402" s="13"/>
      <c r="G402" s="13"/>
      <c r="H402" s="453"/>
      <c r="I402" s="30"/>
      <c r="J402" s="4"/>
      <c r="K402" s="43"/>
      <c r="L402" s="838"/>
      <c r="M402" s="32"/>
      <c r="N402" s="4"/>
      <c r="O402" s="75"/>
      <c r="X402" s="817"/>
    </row>
    <row r="403" spans="2:45" x14ac:dyDescent="0.35">
      <c r="B403" s="37">
        <v>610.1</v>
      </c>
      <c r="C403" s="13"/>
      <c r="D403" s="13"/>
      <c r="E403" s="13"/>
      <c r="F403" s="13"/>
      <c r="G403" s="13"/>
      <c r="H403" s="453"/>
      <c r="I403" s="30"/>
      <c r="J403" s="4"/>
      <c r="K403" s="43"/>
      <c r="L403" s="838"/>
      <c r="M403" s="32"/>
      <c r="N403" s="4"/>
      <c r="O403" s="75"/>
      <c r="X403" s="817"/>
    </row>
    <row r="404" spans="2:45" x14ac:dyDescent="0.35">
      <c r="B404" s="37">
        <v>610.1</v>
      </c>
      <c r="C404" s="13"/>
      <c r="D404" s="13"/>
      <c r="E404" s="13"/>
      <c r="F404" s="13"/>
      <c r="G404" s="13"/>
      <c r="H404" s="453"/>
      <c r="I404" s="30"/>
      <c r="J404" s="4"/>
      <c r="K404" s="43"/>
      <c r="L404" s="838"/>
      <c r="M404" s="32"/>
      <c r="N404" s="4"/>
      <c r="O404" s="75"/>
      <c r="X404" s="817"/>
    </row>
    <row r="405" spans="2:45" x14ac:dyDescent="0.35">
      <c r="B405" s="37">
        <v>610.1</v>
      </c>
      <c r="C405" s="13"/>
      <c r="D405" s="13"/>
      <c r="E405" s="13"/>
      <c r="F405" s="13"/>
      <c r="G405" s="13"/>
      <c r="H405" s="453"/>
      <c r="I405" s="30"/>
      <c r="J405" s="4"/>
      <c r="K405" s="43"/>
      <c r="L405" s="838"/>
      <c r="M405" s="32"/>
      <c r="N405" s="4"/>
      <c r="O405" s="75"/>
      <c r="X405" s="817"/>
    </row>
    <row r="406" spans="2:45" ht="15" thickBot="1" x14ac:dyDescent="0.4">
      <c r="B406" s="37">
        <v>610.1</v>
      </c>
      <c r="C406" s="13"/>
      <c r="D406" s="13"/>
      <c r="E406" s="13"/>
      <c r="F406" s="13"/>
      <c r="G406" s="13"/>
      <c r="H406" s="453"/>
      <c r="I406" s="30"/>
      <c r="J406" s="4"/>
      <c r="K406" s="43"/>
      <c r="L406" s="284" t="s">
        <v>4890</v>
      </c>
      <c r="M406" s="32"/>
      <c r="N406" s="4"/>
      <c r="O406" s="75"/>
      <c r="X406" s="817"/>
    </row>
    <row r="407" spans="2:45" ht="15" thickTop="1" x14ac:dyDescent="0.35">
      <c r="B407" s="37" t="s">
        <v>702</v>
      </c>
      <c r="C407" s="13"/>
      <c r="D407" s="13"/>
      <c r="E407" s="13"/>
      <c r="F407" s="13"/>
      <c r="G407" s="13"/>
      <c r="H407" s="453"/>
      <c r="I407" s="106" t="s">
        <v>702</v>
      </c>
      <c r="J407" s="107"/>
      <c r="K407" s="108"/>
      <c r="L407" s="837" t="s">
        <v>703</v>
      </c>
      <c r="M407" s="312"/>
      <c r="N407" s="107"/>
      <c r="O407" s="308"/>
      <c r="P407" s="59"/>
      <c r="Q407" s="59"/>
      <c r="R407" s="59"/>
      <c r="S407" s="59"/>
      <c r="T407" s="59"/>
      <c r="U407" s="59"/>
      <c r="V407" s="59"/>
      <c r="W407" s="59"/>
      <c r="X407" s="59"/>
    </row>
    <row r="408" spans="2:45" x14ac:dyDescent="0.35">
      <c r="B408" s="37" t="s">
        <v>702</v>
      </c>
      <c r="C408" s="13"/>
      <c r="D408" s="13"/>
      <c r="E408" s="13"/>
      <c r="F408" s="13"/>
      <c r="G408" s="13"/>
      <c r="H408" s="453"/>
      <c r="I408" s="30"/>
      <c r="J408" s="4"/>
      <c r="K408" s="43"/>
      <c r="L408" s="838"/>
      <c r="M408" s="32"/>
      <c r="N408" s="4"/>
      <c r="O408" s="75"/>
    </row>
    <row r="409" spans="2:45" x14ac:dyDescent="0.35">
      <c r="B409" s="37" t="s">
        <v>702</v>
      </c>
      <c r="C409" s="13" t="s">
        <v>256</v>
      </c>
      <c r="D409" s="38"/>
      <c r="E409" s="13"/>
      <c r="F409" s="38"/>
      <c r="G409" s="38"/>
      <c r="H409" s="457"/>
      <c r="I409" s="30"/>
      <c r="J409" s="19" t="s">
        <v>256</v>
      </c>
      <c r="K409" s="43"/>
      <c r="L409" s="814" t="s">
        <v>704</v>
      </c>
      <c r="M409" s="818">
        <v>8</v>
      </c>
      <c r="N409" s="4"/>
      <c r="O409" s="832">
        <f>M409*S409*W409</f>
        <v>0</v>
      </c>
      <c r="P409" t="b">
        <v>1</v>
      </c>
      <c r="Q409" t="b">
        <v>0</v>
      </c>
      <c r="R409" t="b">
        <v>0</v>
      </c>
      <c r="S409" t="b">
        <f>NOT(OR(NOT(ISBLANK(W434)),NOT(ISBLANK(W441)),NOT(ISBLANK(W447)),NOT(ISBLANK(W454)),NOT(ISBLANK(W460)),NOT(ISBLANK(W466))))</f>
        <v>1</v>
      </c>
      <c r="T409" t="b">
        <f>AND(NOT(S409),W409=TRUE)</f>
        <v>0</v>
      </c>
      <c r="W409" s="17"/>
      <c r="X409" s="817"/>
      <c r="AC409" t="b">
        <f>OR(AD409:AE409)</f>
        <v>0</v>
      </c>
      <c r="AD409" t="b">
        <f>T409</f>
        <v>0</v>
      </c>
      <c r="AL409" t="str">
        <f>SUBSTITUTE(SUBSTITUTE(SUBSTITUTE("dpa"&amp;$B409&amp;$C409&amp;$D409&amp;$E409,".","_"),"(","_"),")","")</f>
        <v>dpa610_1_1_1</v>
      </c>
      <c r="AM409">
        <f>M409</f>
        <v>8</v>
      </c>
      <c r="AN409" t="str">
        <f>SUBSTITUTE(SUBSTITUTE(SUBSTITUTE("dpc"&amp;$B409&amp;$C409&amp;$D409&amp;$E409,".","_"),"(","_"),")","")</f>
        <v>dpc610_1_1_1</v>
      </c>
      <c r="AO409">
        <f>O409</f>
        <v>0</v>
      </c>
      <c r="AP409" t="str">
        <f>SUBSTITUTE(SUBSTITUTE(SUBSTITUTE("dch"&amp;$B409&amp;$C409&amp;$D409&amp;$E409,".","_"),"(","_"),")","")</f>
        <v>dch610_1_1_1</v>
      </c>
      <c r="AQ409" t="str">
        <f>IF(LEN(W409)=0,"",W409)</f>
        <v/>
      </c>
      <c r="AR409" t="str">
        <f>SUBSTITUTE(SUBSTITUTE(SUBSTITUTE("dnt"&amp;$B409&amp;$C409&amp;$D409&amp;$E409,".","_"),"(","_"),")","")</f>
        <v>dnt610_1_1_1</v>
      </c>
      <c r="AS409" t="str">
        <f>IF(LEN(X409)=0,"",X409)</f>
        <v/>
      </c>
    </row>
    <row r="410" spans="2:45" x14ac:dyDescent="0.35">
      <c r="B410" s="37" t="s">
        <v>702</v>
      </c>
      <c r="C410" s="13" t="s">
        <v>256</v>
      </c>
      <c r="D410" s="38"/>
      <c r="E410" s="13"/>
      <c r="F410" s="38"/>
      <c r="G410" s="38"/>
      <c r="H410" s="457"/>
      <c r="I410" s="30"/>
      <c r="J410" s="4"/>
      <c r="K410" s="43"/>
      <c r="L410" s="814"/>
      <c r="M410" s="818"/>
      <c r="N410" s="4"/>
      <c r="O410" s="832"/>
      <c r="X410" s="817"/>
    </row>
    <row r="411" spans="2:45" x14ac:dyDescent="0.35">
      <c r="B411" s="37" t="s">
        <v>702</v>
      </c>
      <c r="C411" s="13" t="s">
        <v>256</v>
      </c>
      <c r="D411" s="38"/>
      <c r="E411" s="13"/>
      <c r="F411" s="38"/>
      <c r="G411" s="38"/>
      <c r="H411" s="457"/>
      <c r="I411" s="30"/>
      <c r="J411" s="4"/>
      <c r="K411" s="43"/>
      <c r="L411" s="814"/>
      <c r="M411" s="818"/>
      <c r="N411" s="4"/>
      <c r="O411" s="832"/>
      <c r="X411" s="817"/>
    </row>
    <row r="412" spans="2:45" x14ac:dyDescent="0.35">
      <c r="B412" s="37" t="s">
        <v>702</v>
      </c>
      <c r="C412" s="13" t="s">
        <v>256</v>
      </c>
      <c r="D412" s="13" t="s">
        <v>121</v>
      </c>
      <c r="E412" s="13"/>
      <c r="F412" s="13"/>
      <c r="G412" s="13"/>
      <c r="H412" s="453"/>
      <c r="I412" s="30"/>
      <c r="J412" s="4"/>
      <c r="K412" s="47" t="s">
        <v>121</v>
      </c>
      <c r="L412" s="90" t="s">
        <v>705</v>
      </c>
      <c r="M412" s="818"/>
      <c r="N412" s="4"/>
      <c r="O412" s="832"/>
      <c r="X412" s="817"/>
    </row>
    <row r="413" spans="2:45" x14ac:dyDescent="0.35">
      <c r="B413" s="37" t="s">
        <v>702</v>
      </c>
      <c r="C413" s="13" t="s">
        <v>256</v>
      </c>
      <c r="D413" s="13" t="s">
        <v>122</v>
      </c>
      <c r="E413" s="13"/>
      <c r="F413" s="13"/>
      <c r="G413" s="13"/>
      <c r="H413" s="453"/>
      <c r="I413" s="30"/>
      <c r="J413" s="4"/>
      <c r="K413" s="47" t="s">
        <v>122</v>
      </c>
      <c r="L413" s="90" t="s">
        <v>706</v>
      </c>
      <c r="M413" s="818"/>
      <c r="N413" s="4"/>
      <c r="O413" s="832"/>
      <c r="X413" s="817"/>
    </row>
    <row r="414" spans="2:45" x14ac:dyDescent="0.35">
      <c r="B414" s="37" t="s">
        <v>702</v>
      </c>
      <c r="C414" s="13" t="s">
        <v>256</v>
      </c>
      <c r="D414" s="13" t="s">
        <v>123</v>
      </c>
      <c r="E414" s="13"/>
      <c r="F414" s="13"/>
      <c r="G414" s="13"/>
      <c r="H414" s="453"/>
      <c r="I414" s="30"/>
      <c r="J414" s="4"/>
      <c r="K414" s="47" t="s">
        <v>123</v>
      </c>
      <c r="L414" s="90" t="s">
        <v>707</v>
      </c>
      <c r="M414" s="818"/>
      <c r="N414" s="4"/>
      <c r="O414" s="832"/>
      <c r="X414" s="817"/>
    </row>
    <row r="415" spans="2:45" x14ac:dyDescent="0.35">
      <c r="B415" s="37" t="s">
        <v>702</v>
      </c>
      <c r="C415" s="13" t="s">
        <v>256</v>
      </c>
      <c r="D415" s="18" t="s">
        <v>401</v>
      </c>
      <c r="E415" s="13"/>
      <c r="F415" s="18"/>
      <c r="G415" s="18"/>
      <c r="H415" s="454"/>
      <c r="I415" s="30"/>
      <c r="J415" s="4"/>
      <c r="K415" s="49" t="s">
        <v>401</v>
      </c>
      <c r="L415" s="90" t="s">
        <v>708</v>
      </c>
      <c r="M415" s="818"/>
      <c r="N415" s="4"/>
      <c r="O415" s="832"/>
      <c r="X415" s="817"/>
    </row>
    <row r="416" spans="2:45" x14ac:dyDescent="0.35">
      <c r="B416" s="37" t="s">
        <v>702</v>
      </c>
      <c r="C416" s="13" t="s">
        <v>256</v>
      </c>
      <c r="D416" s="13" t="s">
        <v>539</v>
      </c>
      <c r="E416" s="13"/>
      <c r="F416" s="13"/>
      <c r="G416" s="13"/>
      <c r="H416" s="453"/>
      <c r="I416" s="30"/>
      <c r="J416" s="4"/>
      <c r="K416" s="45" t="s">
        <v>539</v>
      </c>
      <c r="L416" s="90" t="s">
        <v>709</v>
      </c>
      <c r="M416" s="818"/>
      <c r="N416" s="4"/>
      <c r="O416" s="832"/>
      <c r="X416" s="817"/>
    </row>
    <row r="417" spans="2:45" x14ac:dyDescent="0.35">
      <c r="B417" s="37" t="s">
        <v>702</v>
      </c>
      <c r="C417" s="13" t="s">
        <v>256</v>
      </c>
      <c r="D417" s="13" t="s">
        <v>604</v>
      </c>
      <c r="E417" s="13"/>
      <c r="F417" s="13"/>
      <c r="G417" s="13"/>
      <c r="H417" s="453"/>
      <c r="I417" s="30"/>
      <c r="J417" s="133"/>
      <c r="K417" s="100" t="s">
        <v>604</v>
      </c>
      <c r="L417" s="228" t="s">
        <v>710</v>
      </c>
      <c r="M417" s="819"/>
      <c r="N417" s="133"/>
      <c r="O417" s="824"/>
      <c r="X417" s="817"/>
    </row>
    <row r="418" spans="2:45" x14ac:dyDescent="0.35">
      <c r="B418" s="37" t="s">
        <v>702</v>
      </c>
      <c r="C418" s="13" t="s">
        <v>258</v>
      </c>
      <c r="D418" s="38"/>
      <c r="E418" s="13"/>
      <c r="F418" s="38"/>
      <c r="G418" s="38"/>
      <c r="H418" s="457"/>
      <c r="I418" s="30"/>
      <c r="J418" s="132" t="s">
        <v>258</v>
      </c>
      <c r="K418" s="119"/>
      <c r="L418" s="836" t="s">
        <v>711</v>
      </c>
      <c r="M418" s="822">
        <v>5</v>
      </c>
      <c r="N418" s="118"/>
      <c r="O418" s="823">
        <f>M418*S418*W418</f>
        <v>0</v>
      </c>
      <c r="P418" t="b">
        <v>1</v>
      </c>
      <c r="Q418" t="b">
        <v>0</v>
      </c>
      <c r="R418" t="b">
        <v>0</v>
      </c>
      <c r="S418" t="b">
        <f>NOT(OR(NOT(ISBLANK(W434)),NOT(ISBLANK(W441)),NOT(ISBLANK(W447)),NOT(ISBLANK(W454)),NOT(ISBLANK(W460)),NOT(ISBLANK(W466))))</f>
        <v>1</v>
      </c>
      <c r="T418" t="b">
        <f>AND(NOT(S418),W418=TRUE)</f>
        <v>0</v>
      </c>
      <c r="W418" s="17"/>
      <c r="X418" s="817"/>
      <c r="AC418" t="b">
        <f>OR(AD418:AE418)</f>
        <v>0</v>
      </c>
      <c r="AD418" t="b">
        <f>T418</f>
        <v>0</v>
      </c>
      <c r="AL418" t="str">
        <f>SUBSTITUTE(SUBSTITUTE(SUBSTITUTE("dpa"&amp;$B418&amp;$C418&amp;$D418&amp;$E418,".","_"),"(","_"),")","")</f>
        <v>dpa610_1_1_2</v>
      </c>
      <c r="AM418">
        <f>M418</f>
        <v>5</v>
      </c>
      <c r="AN418" t="str">
        <f>SUBSTITUTE(SUBSTITUTE(SUBSTITUTE("dpc"&amp;$B418&amp;$C418&amp;$D418&amp;$E418,".","_"),"(","_"),")","")</f>
        <v>dpc610_1_1_2</v>
      </c>
      <c r="AO418">
        <f>O418</f>
        <v>0</v>
      </c>
      <c r="AP418" t="str">
        <f>SUBSTITUTE(SUBSTITUTE(SUBSTITUTE("dch"&amp;$B418&amp;$C418&amp;$D418&amp;$E418,".","_"),"(","_"),")","")</f>
        <v>dch610_1_1_2</v>
      </c>
      <c r="AQ418" t="str">
        <f>IF(LEN(W418)=0,"",W418)</f>
        <v/>
      </c>
      <c r="AR418" t="str">
        <f>SUBSTITUTE(SUBSTITUTE(SUBSTITUTE("dnt"&amp;$B418&amp;$C418&amp;$D418&amp;$E418,".","_"),"(","_"),")","")</f>
        <v>dnt610_1_1_2</v>
      </c>
      <c r="AS418" t="str">
        <f>IF(LEN(X418)=0,"",X418)</f>
        <v/>
      </c>
    </row>
    <row r="419" spans="2:45" x14ac:dyDescent="0.35">
      <c r="B419" s="37" t="s">
        <v>702</v>
      </c>
      <c r="C419" s="13" t="s">
        <v>258</v>
      </c>
      <c r="D419" s="38"/>
      <c r="E419" s="13"/>
      <c r="F419" s="38"/>
      <c r="G419" s="38"/>
      <c r="H419" s="457"/>
      <c r="I419" s="30"/>
      <c r="J419" s="4"/>
      <c r="K419" s="43"/>
      <c r="L419" s="814"/>
      <c r="M419" s="818"/>
      <c r="N419" s="4"/>
      <c r="O419" s="832"/>
      <c r="X419" s="817"/>
    </row>
    <row r="420" spans="2:45" x14ac:dyDescent="0.35">
      <c r="B420" s="37" t="s">
        <v>702</v>
      </c>
      <c r="C420" s="13" t="s">
        <v>258</v>
      </c>
      <c r="D420" s="38"/>
      <c r="E420" s="13"/>
      <c r="F420" s="38"/>
      <c r="G420" s="38"/>
      <c r="H420" s="457"/>
      <c r="I420" s="30"/>
      <c r="J420" s="4"/>
      <c r="K420" s="43"/>
      <c r="L420" s="814"/>
      <c r="M420" s="818"/>
      <c r="N420" s="4"/>
      <c r="O420" s="832"/>
      <c r="X420" s="817"/>
    </row>
    <row r="421" spans="2:45" x14ac:dyDescent="0.35">
      <c r="B421" s="37" t="s">
        <v>702</v>
      </c>
      <c r="C421" s="13" t="s">
        <v>258</v>
      </c>
      <c r="D421" s="38"/>
      <c r="E421" s="13"/>
      <c r="F421" s="38"/>
      <c r="G421" s="38"/>
      <c r="H421" s="457"/>
      <c r="I421" s="30"/>
      <c r="J421" s="4"/>
      <c r="K421" s="43"/>
      <c r="L421" s="814"/>
      <c r="M421" s="818"/>
      <c r="N421" s="4"/>
      <c r="O421" s="832"/>
      <c r="X421" s="817"/>
    </row>
    <row r="422" spans="2:45" x14ac:dyDescent="0.35">
      <c r="B422" s="37" t="s">
        <v>702</v>
      </c>
      <c r="C422" s="13" t="s">
        <v>258</v>
      </c>
      <c r="D422" s="38"/>
      <c r="E422" s="13"/>
      <c r="F422" s="38"/>
      <c r="G422" s="38"/>
      <c r="H422" s="457"/>
      <c r="I422" s="30"/>
      <c r="J422" s="4"/>
      <c r="K422" s="43"/>
      <c r="L422" s="814"/>
      <c r="M422" s="818"/>
      <c r="N422" s="4"/>
      <c r="O422" s="832"/>
      <c r="X422" s="817"/>
    </row>
    <row r="423" spans="2:45" x14ac:dyDescent="0.35">
      <c r="B423" s="37" t="s">
        <v>702</v>
      </c>
      <c r="C423" s="13" t="s">
        <v>258</v>
      </c>
      <c r="D423" s="38"/>
      <c r="E423" s="13"/>
      <c r="F423" s="38"/>
      <c r="G423" s="38"/>
      <c r="H423" s="457"/>
      <c r="I423" s="30"/>
      <c r="J423" s="4"/>
      <c r="K423" s="43"/>
      <c r="L423" s="814"/>
      <c r="M423" s="818"/>
      <c r="N423" s="4"/>
      <c r="O423" s="832"/>
      <c r="X423" s="817"/>
    </row>
    <row r="424" spans="2:45" x14ac:dyDescent="0.35">
      <c r="B424" s="37" t="s">
        <v>702</v>
      </c>
      <c r="C424" s="13" t="s">
        <v>258</v>
      </c>
      <c r="D424" s="38"/>
      <c r="E424" s="13"/>
      <c r="F424" s="38"/>
      <c r="G424" s="38"/>
      <c r="H424" s="457"/>
      <c r="I424" s="30"/>
      <c r="J424" s="4"/>
      <c r="K424" s="43"/>
      <c r="L424" s="814"/>
      <c r="M424" s="818"/>
      <c r="N424" s="4"/>
      <c r="O424" s="832"/>
      <c r="X424" s="817"/>
    </row>
    <row r="425" spans="2:45" x14ac:dyDescent="0.35">
      <c r="B425" s="37" t="s">
        <v>702</v>
      </c>
      <c r="C425" s="13" t="s">
        <v>258</v>
      </c>
      <c r="D425" s="38"/>
      <c r="E425" s="13"/>
      <c r="F425" s="38"/>
      <c r="G425" s="38"/>
      <c r="H425" s="457"/>
      <c r="I425" s="30"/>
      <c r="J425" s="133"/>
      <c r="K425" s="101"/>
      <c r="L425" s="815"/>
      <c r="M425" s="819"/>
      <c r="N425" s="133"/>
      <c r="O425" s="824"/>
      <c r="X425" s="817"/>
    </row>
    <row r="426" spans="2:45" x14ac:dyDescent="0.35">
      <c r="B426" s="37" t="s">
        <v>702</v>
      </c>
      <c r="C426" s="13" t="s">
        <v>260</v>
      </c>
      <c r="D426" s="38"/>
      <c r="E426" s="13"/>
      <c r="F426" s="38"/>
      <c r="G426" s="38"/>
      <c r="H426" s="457"/>
      <c r="I426" s="30"/>
      <c r="J426" s="19" t="s">
        <v>260</v>
      </c>
      <c r="K426" s="43"/>
      <c r="L426" s="814" t="s">
        <v>712</v>
      </c>
      <c r="M426" s="818">
        <v>2</v>
      </c>
      <c r="N426" s="4"/>
      <c r="O426" s="832">
        <f>M426*S426*W426</f>
        <v>0</v>
      </c>
      <c r="P426" t="b">
        <v>1</v>
      </c>
      <c r="Q426" t="b">
        <v>0</v>
      </c>
      <c r="R426" t="b">
        <v>0</v>
      </c>
      <c r="S426" t="b">
        <f>NOT(OR(NOT(ISBLANK(W434)),NOT(ISBLANK(W441)),NOT(ISBLANK(W447)),NOT(ISBLANK(W454)),NOT(ISBLANK(W460)),NOT(ISBLANK(W466))))</f>
        <v>1</v>
      </c>
      <c r="T426" t="b">
        <f>AND(NOT(S426),W426=TRUE)</f>
        <v>0</v>
      </c>
      <c r="W426" s="17"/>
      <c r="X426" s="850"/>
      <c r="AC426" t="b">
        <f>OR(AD426:AE426)</f>
        <v>0</v>
      </c>
      <c r="AD426" t="b">
        <f>T426</f>
        <v>0</v>
      </c>
      <c r="AL426" t="str">
        <f>SUBSTITUTE(SUBSTITUTE(SUBSTITUTE("dpa"&amp;$B426&amp;$C426&amp;$D426&amp;$E426,".","_"),"(","_"),")","")</f>
        <v>dpa610_1_1_3</v>
      </c>
      <c r="AM426">
        <f>M426</f>
        <v>2</v>
      </c>
      <c r="AN426" t="str">
        <f>SUBSTITUTE(SUBSTITUTE(SUBSTITUTE("dpc"&amp;$B426&amp;$C426&amp;$D426&amp;$E426,".","_"),"(","_"),")","")</f>
        <v>dpc610_1_1_3</v>
      </c>
      <c r="AO426">
        <f>O426</f>
        <v>0</v>
      </c>
      <c r="AP426" t="str">
        <f>SUBSTITUTE(SUBSTITUTE(SUBSTITUTE("dch"&amp;$B426&amp;$C426&amp;$D426&amp;$E426,".","_"),"(","_"),")","")</f>
        <v>dch610_1_1_3</v>
      </c>
      <c r="AQ426" t="str">
        <f>IF(LEN(W426)=0,"",W426)</f>
        <v/>
      </c>
      <c r="AR426" t="str">
        <f>SUBSTITUTE(SUBSTITUTE(SUBSTITUTE("dnt"&amp;$B426&amp;$C426&amp;$D426&amp;$E426,".","_"),"(","_"),")","")</f>
        <v>dnt610_1_1_3</v>
      </c>
      <c r="AS426" t="str">
        <f>IF(LEN(X426)=0,"",X426)</f>
        <v/>
      </c>
    </row>
    <row r="427" spans="2:45" ht="15" thickBot="1" x14ac:dyDescent="0.4">
      <c r="B427" s="37" t="s">
        <v>702</v>
      </c>
      <c r="C427" s="13" t="s">
        <v>260</v>
      </c>
      <c r="D427" s="38"/>
      <c r="E427" s="13"/>
      <c r="F427" s="38"/>
      <c r="G427" s="38"/>
      <c r="H427" s="457"/>
      <c r="I427" s="30"/>
      <c r="J427" s="4"/>
      <c r="K427" s="43"/>
      <c r="L427" s="814"/>
      <c r="M427" s="818"/>
      <c r="N427" s="4"/>
      <c r="O427" s="832"/>
      <c r="X427" s="851"/>
    </row>
    <row r="428" spans="2:45" ht="15" thickTop="1" x14ac:dyDescent="0.35">
      <c r="B428" s="37" t="s">
        <v>713</v>
      </c>
      <c r="C428" s="13"/>
      <c r="D428" s="13"/>
      <c r="E428" s="13"/>
      <c r="F428" s="13"/>
      <c r="G428" s="13"/>
      <c r="H428" s="453"/>
      <c r="I428" s="106" t="s">
        <v>713</v>
      </c>
      <c r="J428" s="107"/>
      <c r="K428" s="108"/>
      <c r="L428" s="837" t="s">
        <v>714</v>
      </c>
      <c r="M428" s="830" t="s">
        <v>715</v>
      </c>
      <c r="N428" s="107"/>
      <c r="O428" s="831">
        <f ca="1">MIN(10,(R435+R442)+IFERROR((INDEX({3,3,6,4,4,6,8,5,5,9,9,10},MATCH(R446*4+S446*5,{8,9,10,12,13,14,15,16,17,18,19,20},0))),0))</f>
        <v>0</v>
      </c>
      <c r="P428" s="59"/>
      <c r="Q428" s="59"/>
      <c r="R428" s="59"/>
      <c r="S428" s="59"/>
      <c r="T428" s="59"/>
      <c r="U428" s="59"/>
      <c r="V428" s="59"/>
      <c r="W428" s="59"/>
      <c r="X428" s="59"/>
      <c r="AL428" t="str">
        <f>SUBSTITUTE(SUBSTITUTE(SUBSTITUTE("dpa"&amp;$B428&amp;$C428&amp;$D428&amp;$E428,".","_"),"(","_"),")","")</f>
        <v>dpa610_1_2</v>
      </c>
      <c r="AM428" t="str">
        <f>M428</f>
        <v xml:space="preserve">10 Max </v>
      </c>
      <c r="AN428" t="str">
        <f>SUBSTITUTE(SUBSTITUTE(SUBSTITUTE("dpc"&amp;$B428&amp;$C428&amp;$D428&amp;$E428,".","_"),"(","_"),")","")</f>
        <v>dpc610_1_2</v>
      </c>
      <c r="AO428">
        <f ca="1">O428</f>
        <v>0</v>
      </c>
    </row>
    <row r="429" spans="2:45" x14ac:dyDescent="0.35">
      <c r="B429" s="37" t="s">
        <v>713</v>
      </c>
      <c r="C429" s="13"/>
      <c r="D429" s="13"/>
      <c r="E429" s="13"/>
      <c r="F429" s="13"/>
      <c r="G429" s="13"/>
      <c r="H429" s="453"/>
      <c r="I429" s="30"/>
      <c r="J429" s="4"/>
      <c r="K429" s="43"/>
      <c r="L429" s="838"/>
      <c r="M429" s="818"/>
      <c r="N429" s="4"/>
      <c r="O429" s="832"/>
    </row>
    <row r="430" spans="2:45" x14ac:dyDescent="0.35">
      <c r="B430" s="37" t="s">
        <v>713</v>
      </c>
      <c r="C430" s="13"/>
      <c r="D430" s="13"/>
      <c r="E430" s="13"/>
      <c r="F430" s="13"/>
      <c r="G430" s="13"/>
      <c r="H430" s="453"/>
      <c r="I430" s="30"/>
      <c r="J430" s="4"/>
      <c r="K430" s="43"/>
      <c r="L430" s="838"/>
      <c r="M430" s="818"/>
      <c r="N430" s="4"/>
      <c r="O430" s="832"/>
    </row>
    <row r="431" spans="2:45" x14ac:dyDescent="0.35">
      <c r="B431" s="37" t="s">
        <v>713</v>
      </c>
      <c r="C431" s="13"/>
      <c r="D431" s="13"/>
      <c r="E431" s="13"/>
      <c r="F431" s="13"/>
      <c r="G431" s="13"/>
      <c r="H431" s="453"/>
      <c r="I431" s="138"/>
      <c r="J431" s="133"/>
      <c r="K431" s="101"/>
      <c r="L431" s="889"/>
      <c r="M431" s="819"/>
      <c r="N431" s="133"/>
      <c r="O431" s="824"/>
    </row>
    <row r="432" spans="2:45" x14ac:dyDescent="0.35">
      <c r="B432" s="37" t="s">
        <v>716</v>
      </c>
      <c r="C432" s="13"/>
      <c r="D432" s="13"/>
      <c r="E432" s="13"/>
      <c r="F432" s="13"/>
      <c r="G432" s="13"/>
      <c r="H432" s="453"/>
      <c r="I432" s="117" t="s">
        <v>716</v>
      </c>
      <c r="J432" s="118"/>
      <c r="K432" s="119"/>
      <c r="L432" s="905" t="s">
        <v>717</v>
      </c>
      <c r="M432" s="908" t="s">
        <v>3120</v>
      </c>
      <c r="N432" s="4"/>
      <c r="O432" s="75"/>
      <c r="W432" s="760" t="s">
        <v>3107</v>
      </c>
      <c r="X432" s="817"/>
      <c r="AL432" t="str">
        <f>SUBSTITUTE(SUBSTITUTE(SUBSTITUTE("dpa"&amp;$B432&amp;$C432&amp;$D432&amp;$E432,".","_"),"(","_"),")","")</f>
        <v>dpa610_1_2_1</v>
      </c>
      <c r="AM432" t="str">
        <f>M432</f>
        <v>per Table 610.1.2.1
10 Max</v>
      </c>
      <c r="AR432" t="str">
        <f>SUBSTITUTE(SUBSTITUTE(SUBSTITUTE("dnt"&amp;$B432&amp;$C432&amp;$D432&amp;$E432,".","_"),"(","_"),")","")</f>
        <v>dnt610_1_2_1</v>
      </c>
      <c r="AS432" t="str">
        <f>IF(LEN(X432)=0,"",X432)</f>
        <v/>
      </c>
    </row>
    <row r="433" spans="2:45" x14ac:dyDescent="0.35">
      <c r="B433" s="37" t="s">
        <v>716</v>
      </c>
      <c r="C433" s="13"/>
      <c r="D433" s="13"/>
      <c r="E433" s="13"/>
      <c r="F433" s="13"/>
      <c r="G433" s="13"/>
      <c r="H433" s="453"/>
      <c r="I433" s="30"/>
      <c r="J433" s="4"/>
      <c r="K433" s="43"/>
      <c r="L433" s="838"/>
      <c r="M433" s="909"/>
      <c r="N433" s="4"/>
      <c r="O433" s="75"/>
      <c r="W433" s="760"/>
      <c r="X433" s="817"/>
    </row>
    <row r="434" spans="2:45" x14ac:dyDescent="0.35">
      <c r="B434" s="37" t="s">
        <v>716</v>
      </c>
      <c r="C434" s="13"/>
      <c r="D434" s="13"/>
      <c r="E434" s="13" t="s">
        <v>2970</v>
      </c>
      <c r="F434" s="13"/>
      <c r="G434" s="13"/>
      <c r="H434" s="453"/>
      <c r="I434" s="30"/>
      <c r="J434" s="4"/>
      <c r="K434" s="43"/>
      <c r="L434" s="838"/>
      <c r="M434" s="909"/>
      <c r="N434" s="4"/>
      <c r="O434" s="75"/>
      <c r="P434" t="b">
        <v>1</v>
      </c>
      <c r="Q434" t="b">
        <v>0</v>
      </c>
      <c r="R434" t="b">
        <v>0</v>
      </c>
      <c r="S434" t="b">
        <f>COUNTIF(W409:W426,TRUE)&lt;1</f>
        <v>1</v>
      </c>
      <c r="T434" t="b">
        <f>AND(NOT(S434),LEN(W434)&gt;0)</f>
        <v>0</v>
      </c>
      <c r="U434" t="str">
        <f>SUBSTITUTE(SUBSTITUTE(SUBSTITUTE("dd"&amp;B434&amp;C434&amp;D434&amp;E434&amp;F434,".","_"),"(","_"),")","")</f>
        <v>dd610_1_2_1a</v>
      </c>
      <c r="W434" s="9"/>
      <c r="X434" s="817"/>
      <c r="AC434" t="b">
        <f>OR(AD434:AE434)</f>
        <v>0</v>
      </c>
      <c r="AD434" t="b">
        <f>T434</f>
        <v>0</v>
      </c>
      <c r="AE434" t="b">
        <f>AND(NOT(ISBLANK(W434)),LEN(X432)=0)</f>
        <v>0</v>
      </c>
      <c r="AP434" t="str">
        <f>SUBSTITUTE(SUBSTITUTE(SUBSTITUTE("dch"&amp;$B434&amp;$C434&amp;$D434&amp;$E434,".","_"),"(","_"),")","")</f>
        <v>dch610_1_2_1a</v>
      </c>
      <c r="AQ434" t="str">
        <f>IF(LEN(W434)=0,"",W434)</f>
        <v/>
      </c>
    </row>
    <row r="435" spans="2:45" x14ac:dyDescent="0.35">
      <c r="B435" s="37" t="s">
        <v>716</v>
      </c>
      <c r="C435" s="13" t="s">
        <v>121</v>
      </c>
      <c r="D435" s="13"/>
      <c r="E435" s="13"/>
      <c r="F435" s="13"/>
      <c r="G435" s="13"/>
      <c r="H435" s="453"/>
      <c r="I435" s="30"/>
      <c r="J435" s="4"/>
      <c r="K435" s="47" t="s">
        <v>121</v>
      </c>
      <c r="L435" s="90" t="s">
        <v>705</v>
      </c>
      <c r="M435" s="909"/>
      <c r="N435" s="4"/>
      <c r="O435" s="75"/>
      <c r="R435" s="1">
        <f ca="1">2*IFERROR(MATCH(W434,INDIRECT(U434),0),0)*S434</f>
        <v>0</v>
      </c>
      <c r="X435" s="817"/>
    </row>
    <row r="436" spans="2:45" x14ac:dyDescent="0.35">
      <c r="B436" s="37" t="s">
        <v>716</v>
      </c>
      <c r="C436" s="13" t="s">
        <v>122</v>
      </c>
      <c r="D436" s="13"/>
      <c r="E436" s="13"/>
      <c r="F436" s="13"/>
      <c r="G436" s="13"/>
      <c r="H436" s="453"/>
      <c r="I436" s="30"/>
      <c r="J436" s="4"/>
      <c r="K436" s="47" t="s">
        <v>122</v>
      </c>
      <c r="L436" s="90" t="s">
        <v>706</v>
      </c>
      <c r="M436" s="909"/>
      <c r="N436" s="4"/>
      <c r="O436" s="75"/>
      <c r="X436" s="817"/>
    </row>
    <row r="437" spans="2:45" x14ac:dyDescent="0.35">
      <c r="B437" s="37" t="s">
        <v>716</v>
      </c>
      <c r="C437" s="13" t="s">
        <v>123</v>
      </c>
      <c r="D437" s="13"/>
      <c r="E437" s="13"/>
      <c r="F437" s="13"/>
      <c r="G437" s="13"/>
      <c r="H437" s="453"/>
      <c r="I437" s="30"/>
      <c r="J437" s="4"/>
      <c r="K437" s="47" t="s">
        <v>123</v>
      </c>
      <c r="L437" s="90" t="s">
        <v>707</v>
      </c>
      <c r="M437" s="909"/>
      <c r="N437" s="4"/>
      <c r="O437" s="75"/>
      <c r="X437" s="817"/>
    </row>
    <row r="438" spans="2:45" x14ac:dyDescent="0.35">
      <c r="B438" s="37" t="s">
        <v>716</v>
      </c>
      <c r="C438" s="18" t="s">
        <v>401</v>
      </c>
      <c r="D438" s="13"/>
      <c r="E438" s="13"/>
      <c r="F438" s="18"/>
      <c r="G438" s="18"/>
      <c r="H438" s="454"/>
      <c r="I438" s="30"/>
      <c r="J438" s="4"/>
      <c r="K438" s="49" t="s">
        <v>401</v>
      </c>
      <c r="L438" s="90" t="s">
        <v>708</v>
      </c>
      <c r="M438" s="909"/>
      <c r="N438" s="4"/>
      <c r="O438" s="75"/>
      <c r="X438" s="817"/>
    </row>
    <row r="439" spans="2:45" ht="15" customHeight="1" x14ac:dyDescent="0.35">
      <c r="B439" s="37" t="s">
        <v>716</v>
      </c>
      <c r="C439" s="13" t="s">
        <v>539</v>
      </c>
      <c r="D439" s="13"/>
      <c r="E439" s="13"/>
      <c r="F439" s="13"/>
      <c r="G439" s="13"/>
      <c r="H439" s="453"/>
      <c r="I439" s="30"/>
      <c r="J439" s="4"/>
      <c r="K439" s="45" t="s">
        <v>539</v>
      </c>
      <c r="L439" s="90" t="s">
        <v>709</v>
      </c>
      <c r="M439" s="909"/>
      <c r="N439" s="4"/>
      <c r="O439" s="75"/>
      <c r="W439" s="760" t="s">
        <v>3106</v>
      </c>
      <c r="X439" s="817"/>
      <c r="AR439" t="str">
        <f>SUBSTITUTE(SUBSTITUTE(SUBSTITUTE("dnt"&amp;$B439&amp;$C439&amp;$D439&amp;$E439,".","_"),"(","_"),")","")</f>
        <v>dnt610_1_2_1_e</v>
      </c>
      <c r="AS439" t="str">
        <f>IF(LEN(X439)=0,"",X439)</f>
        <v/>
      </c>
    </row>
    <row r="440" spans="2:45" x14ac:dyDescent="0.35">
      <c r="B440" s="37" t="s">
        <v>716</v>
      </c>
      <c r="C440" s="13" t="s">
        <v>604</v>
      </c>
      <c r="D440" s="13"/>
      <c r="E440" s="13"/>
      <c r="F440" s="13"/>
      <c r="G440" s="13"/>
      <c r="H440" s="453"/>
      <c r="I440" s="30"/>
      <c r="J440" s="4"/>
      <c r="K440" s="47" t="s">
        <v>604</v>
      </c>
      <c r="L440" s="90" t="s">
        <v>710</v>
      </c>
      <c r="M440" s="909"/>
      <c r="N440" s="4"/>
      <c r="O440" s="75"/>
      <c r="W440" s="760"/>
      <c r="X440" s="817"/>
    </row>
    <row r="441" spans="2:45" ht="15" customHeight="1" x14ac:dyDescent="0.35">
      <c r="B441" s="37" t="s">
        <v>716</v>
      </c>
      <c r="C441" s="13"/>
      <c r="D441" s="13"/>
      <c r="E441" s="13" t="s">
        <v>2971</v>
      </c>
      <c r="F441" s="13"/>
      <c r="G441" s="13"/>
      <c r="H441" s="453"/>
      <c r="I441" s="30"/>
      <c r="J441" s="4"/>
      <c r="L441" s="895" t="s">
        <v>718</v>
      </c>
      <c r="M441" s="909"/>
      <c r="N441" s="4"/>
      <c r="O441" s="75"/>
      <c r="P441" t="b">
        <v>1</v>
      </c>
      <c r="Q441" t="b">
        <v>0</v>
      </c>
      <c r="R441" t="b">
        <v>0</v>
      </c>
      <c r="S441" t="b">
        <f>COUNTIF(W409:W426,TRUE)&lt;1</f>
        <v>1</v>
      </c>
      <c r="T441" t="b">
        <f>AND(NOT(S441),LEN(W441)&gt;0)</f>
        <v>0</v>
      </c>
      <c r="U441" t="str">
        <f>SUBSTITUTE(SUBSTITUTE(SUBSTITUTE("dd"&amp;B441&amp;C441&amp;D441&amp;E441&amp;F441,".","_"),"(","_"),")","")</f>
        <v>dd610_1_2_1b</v>
      </c>
      <c r="W441" s="9"/>
      <c r="X441" s="817"/>
      <c r="AC441" t="b">
        <f>OR(AD441:AE441)</f>
        <v>0</v>
      </c>
      <c r="AD441" t="b">
        <f>T441</f>
        <v>0</v>
      </c>
      <c r="AE441" t="b">
        <f>AND(NOT(ISBLANK(W441)),LEN(X439)=0)</f>
        <v>0</v>
      </c>
      <c r="AP441" t="str">
        <f>SUBSTITUTE(SUBSTITUTE(SUBSTITUTE("dch"&amp;$B441&amp;$C441&amp;$D441&amp;$E441,".","_"),"(","_"),")","")</f>
        <v>dch610_1_2_1b</v>
      </c>
      <c r="AQ441" t="str">
        <f>IF(LEN(W441)=0,"",W441)</f>
        <v/>
      </c>
    </row>
    <row r="442" spans="2:45" x14ac:dyDescent="0.35">
      <c r="B442" s="37" t="s">
        <v>716</v>
      </c>
      <c r="C442" s="13"/>
      <c r="D442" s="13"/>
      <c r="E442" s="13"/>
      <c r="F442" s="13"/>
      <c r="G442" s="13"/>
      <c r="H442" s="453"/>
      <c r="I442" s="30"/>
      <c r="J442" s="4"/>
      <c r="K442" s="92"/>
      <c r="L442" s="895"/>
      <c r="M442" s="909"/>
      <c r="N442" s="4"/>
      <c r="O442" s="75"/>
      <c r="R442" s="1">
        <f ca="1">3*IFERROR(MATCH(W441,INDIRECT(U441),0),0)*S441</f>
        <v>0</v>
      </c>
      <c r="X442" s="817"/>
    </row>
    <row r="443" spans="2:45" x14ac:dyDescent="0.35">
      <c r="B443" s="37" t="s">
        <v>716</v>
      </c>
      <c r="C443" s="13"/>
      <c r="D443" s="13"/>
      <c r="E443" s="13"/>
      <c r="F443" s="13"/>
      <c r="G443" s="13"/>
      <c r="H443" s="453"/>
      <c r="I443" s="30"/>
      <c r="J443" s="4"/>
      <c r="K443" s="92"/>
      <c r="L443" s="895"/>
      <c r="M443" s="909"/>
      <c r="N443" s="4"/>
      <c r="O443" s="75"/>
      <c r="X443" s="817"/>
    </row>
    <row r="444" spans="2:45" x14ac:dyDescent="0.35">
      <c r="B444" s="37" t="s">
        <v>716</v>
      </c>
      <c r="C444" s="13"/>
      <c r="D444" s="13"/>
      <c r="E444" s="13"/>
      <c r="F444" s="13"/>
      <c r="G444" s="13"/>
      <c r="H444" s="453"/>
      <c r="I444" s="30"/>
      <c r="J444" s="4"/>
      <c r="K444" s="92"/>
      <c r="L444" s="855" t="s">
        <v>3105</v>
      </c>
      <c r="M444" s="909"/>
      <c r="N444" s="4"/>
      <c r="O444" s="75"/>
      <c r="X444" s="817"/>
    </row>
    <row r="445" spans="2:45" x14ac:dyDescent="0.35">
      <c r="B445" s="37" t="s">
        <v>716</v>
      </c>
      <c r="C445" s="13"/>
      <c r="D445" s="13"/>
      <c r="E445" s="13"/>
      <c r="F445" s="13"/>
      <c r="G445" s="13"/>
      <c r="H445" s="453"/>
      <c r="I445" s="138"/>
      <c r="J445" s="133"/>
      <c r="K445" s="142"/>
      <c r="L445" s="903"/>
      <c r="M445" s="910"/>
      <c r="N445" s="4"/>
      <c r="O445" s="75"/>
      <c r="X445" s="817"/>
    </row>
    <row r="446" spans="2:45" ht="15" customHeight="1" x14ac:dyDescent="0.35">
      <c r="B446" s="37" t="s">
        <v>719</v>
      </c>
      <c r="C446" s="13"/>
      <c r="D446" s="13"/>
      <c r="E446" s="13" t="s">
        <v>2970</v>
      </c>
      <c r="F446" s="13"/>
      <c r="G446" s="13"/>
      <c r="H446" s="453"/>
      <c r="I446" s="30" t="s">
        <v>719</v>
      </c>
      <c r="J446" s="4"/>
      <c r="K446" s="43"/>
      <c r="L446" s="838" t="s">
        <v>720</v>
      </c>
      <c r="M446" s="911" t="s">
        <v>3121</v>
      </c>
      <c r="N446" s="4"/>
      <c r="O446" s="75"/>
      <c r="R446">
        <f ca="1">COUNTIF(W447:W466,INDEX(INDIRECT(U447),1))*S447</f>
        <v>0</v>
      </c>
      <c r="S446">
        <f ca="1">COUNTIF(W447:W466,INDEX(INDIRECT(U447),2))*S447</f>
        <v>0</v>
      </c>
      <c r="W446" t="s">
        <v>3116</v>
      </c>
      <c r="X446" s="817"/>
      <c r="AL446" t="str">
        <f>SUBSTITUTE(SUBSTITUTE(SUBSTITUTE("dpa"&amp;$B446&amp;$C446&amp;$D446&amp;$E446,".","_"),"(","_"),")","")</f>
        <v>dpa610_1_2_2a</v>
      </c>
      <c r="AM446" t="str">
        <f>M446</f>
        <v>per Table 610.1.2.2
10 Max</v>
      </c>
      <c r="AR446" t="str">
        <f>SUBSTITUTE(SUBSTITUTE(SUBSTITUTE("dnt"&amp;$B446&amp;$C446&amp;$D446&amp;$E446,".","_"),"(","_"),")","")</f>
        <v>dnt610_1_2_2a</v>
      </c>
      <c r="AS446" t="str">
        <f>IF(LEN(X446)=0,"",X446)</f>
        <v/>
      </c>
    </row>
    <row r="447" spans="2:45" x14ac:dyDescent="0.35">
      <c r="B447" s="37" t="s">
        <v>719</v>
      </c>
      <c r="C447" s="13"/>
      <c r="D447" s="13"/>
      <c r="E447" s="13" t="s">
        <v>2970</v>
      </c>
      <c r="F447" s="13"/>
      <c r="G447" s="13"/>
      <c r="H447" s="453"/>
      <c r="I447" s="30"/>
      <c r="J447" s="4"/>
      <c r="K447" s="43"/>
      <c r="L447" s="838"/>
      <c r="M447" s="911"/>
      <c r="N447" s="4"/>
      <c r="O447" s="75"/>
      <c r="P447" t="b">
        <v>1</v>
      </c>
      <c r="Q447" t="b">
        <v>0</v>
      </c>
      <c r="R447" t="b">
        <v>0</v>
      </c>
      <c r="S447" t="b">
        <f>COUNTIF(W409:W426,TRUE)&lt;1</f>
        <v>1</v>
      </c>
      <c r="T447" t="b">
        <f>AND(NOT(S447),LEN(W447)&gt;0)</f>
        <v>0</v>
      </c>
      <c r="U447" t="str">
        <f>SUBSTITUTE(SUBSTITUTE(SUBSTITUTE("dd"&amp;B447&amp;C447&amp;D447&amp;E447&amp;F447,".","_"),"(","_"),")","")</f>
        <v>dd610_1_2_2a</v>
      </c>
      <c r="W447" s="9"/>
      <c r="X447" s="817"/>
      <c r="AC447" t="b">
        <f>OR(AD447:AE447)</f>
        <v>0</v>
      </c>
      <c r="AD447" t="b">
        <f>T447</f>
        <v>0</v>
      </c>
      <c r="AE447" t="b">
        <f>AND(NOT(ISBLANK(W447)),LEN(X446)=0)</f>
        <v>0</v>
      </c>
      <c r="AP447" t="str">
        <f>SUBSTITUTE(SUBSTITUTE(SUBSTITUTE("dch"&amp;$B447&amp;$C447&amp;$D447&amp;$E447,".","_"),"(","_"),")","")</f>
        <v>dch610_1_2_2a</v>
      </c>
      <c r="AQ447" t="str">
        <f>IF(LEN(W447)=0,"",W447)</f>
        <v/>
      </c>
    </row>
    <row r="448" spans="2:45" x14ac:dyDescent="0.35">
      <c r="B448" s="37" t="s">
        <v>719</v>
      </c>
      <c r="C448" s="13"/>
      <c r="D448" s="13"/>
      <c r="E448" s="13"/>
      <c r="F448" s="13"/>
      <c r="G448" s="13"/>
      <c r="H448" s="453"/>
      <c r="I448" s="30"/>
      <c r="J448" s="4"/>
      <c r="K448" s="43"/>
      <c r="L448" s="838"/>
      <c r="M448" s="911"/>
      <c r="N448" s="4"/>
      <c r="O448" s="75"/>
      <c r="X448" s="817"/>
    </row>
    <row r="449" spans="2:45" x14ac:dyDescent="0.35">
      <c r="B449" s="37" t="s">
        <v>719</v>
      </c>
      <c r="C449" s="13"/>
      <c r="D449" s="13"/>
      <c r="E449" s="13"/>
      <c r="F449" s="13"/>
      <c r="G449" s="13"/>
      <c r="H449" s="453"/>
      <c r="I449" s="30"/>
      <c r="J449" s="4"/>
      <c r="K449" s="43"/>
      <c r="L449" s="838"/>
      <c r="M449" s="911"/>
      <c r="N449" s="4"/>
      <c r="O449" s="75"/>
      <c r="X449" s="817"/>
    </row>
    <row r="450" spans="2:45" x14ac:dyDescent="0.35">
      <c r="B450" s="37" t="s">
        <v>719</v>
      </c>
      <c r="C450" s="13"/>
      <c r="D450" s="13"/>
      <c r="E450" s="13"/>
      <c r="F450" s="13"/>
      <c r="G450" s="13"/>
      <c r="H450" s="453"/>
      <c r="I450" s="30"/>
      <c r="J450" s="4"/>
      <c r="K450" s="43"/>
      <c r="L450" s="838"/>
      <c r="M450" s="911"/>
      <c r="N450" s="4"/>
      <c r="O450" s="75"/>
      <c r="X450" s="817"/>
    </row>
    <row r="451" spans="2:45" x14ac:dyDescent="0.35">
      <c r="B451" s="37" t="s">
        <v>719</v>
      </c>
      <c r="C451" s="13"/>
      <c r="D451" s="13"/>
      <c r="E451" s="13"/>
      <c r="F451" s="13"/>
      <c r="G451" s="13"/>
      <c r="H451" s="453"/>
      <c r="I451" s="30"/>
      <c r="J451" s="4"/>
      <c r="K451" s="43"/>
      <c r="L451" s="838"/>
      <c r="M451" s="911"/>
      <c r="N451" s="4"/>
      <c r="O451" s="75"/>
      <c r="X451" s="817"/>
    </row>
    <row r="452" spans="2:45" x14ac:dyDescent="0.35">
      <c r="B452" s="37" t="s">
        <v>719</v>
      </c>
      <c r="C452" s="13"/>
      <c r="D452" s="13"/>
      <c r="E452" s="13"/>
      <c r="F452" s="13"/>
      <c r="G452" s="13"/>
      <c r="H452" s="453"/>
      <c r="I452" s="30"/>
      <c r="J452" s="4"/>
      <c r="K452" s="43"/>
      <c r="L452" s="838"/>
      <c r="M452" s="911"/>
      <c r="N452" s="4"/>
      <c r="O452" s="75"/>
      <c r="X452" s="817"/>
    </row>
    <row r="453" spans="2:45" x14ac:dyDescent="0.35">
      <c r="B453" s="37" t="s">
        <v>719</v>
      </c>
      <c r="C453" s="13"/>
      <c r="D453" s="13"/>
      <c r="E453" s="13" t="s">
        <v>2971</v>
      </c>
      <c r="F453" s="13"/>
      <c r="G453" s="13"/>
      <c r="H453" s="453"/>
      <c r="I453" s="30"/>
      <c r="J453" s="4"/>
      <c r="K453" s="43"/>
      <c r="L453" s="838"/>
      <c r="M453" s="911"/>
      <c r="N453" s="4"/>
      <c r="O453" s="75"/>
      <c r="W453" t="s">
        <v>3117</v>
      </c>
      <c r="X453" s="817"/>
      <c r="AR453" t="str">
        <f>SUBSTITUTE(SUBSTITUTE(SUBSTITUTE("dnt"&amp;$B453&amp;$C453&amp;$D453&amp;$E453,".","_"),"(","_"),")","")</f>
        <v>dnt610_1_2_2b</v>
      </c>
      <c r="AS453" t="str">
        <f>IF(LEN(X453)=0,"",X453)</f>
        <v/>
      </c>
    </row>
    <row r="454" spans="2:45" x14ac:dyDescent="0.35">
      <c r="B454" s="37" t="s">
        <v>719</v>
      </c>
      <c r="C454" s="13"/>
      <c r="D454" s="13"/>
      <c r="E454" s="13" t="s">
        <v>2971</v>
      </c>
      <c r="F454" s="13"/>
      <c r="G454" s="13"/>
      <c r="H454" s="453"/>
      <c r="I454" s="30"/>
      <c r="J454" s="4"/>
      <c r="K454" s="43"/>
      <c r="L454" s="838"/>
      <c r="M454" s="911"/>
      <c r="N454" s="4"/>
      <c r="O454" s="75"/>
      <c r="P454" t="b">
        <v>1</v>
      </c>
      <c r="Q454" t="b">
        <v>0</v>
      </c>
      <c r="R454" t="b">
        <v>0</v>
      </c>
      <c r="S454" t="b">
        <f>COUNTIF(W409:W426,TRUE)&lt;1</f>
        <v>1</v>
      </c>
      <c r="T454" t="b">
        <f>AND(NOT(S454),LEN(W454)&gt;0)</f>
        <v>0</v>
      </c>
      <c r="U454" t="str">
        <f>SUBSTITUTE(SUBSTITUTE(SUBSTITUTE("dd"&amp;B454&amp;C454&amp;D454&amp;E454&amp;F454,".","_"),"(","_"),")","")</f>
        <v>dd610_1_2_2b</v>
      </c>
      <c r="W454" s="9"/>
      <c r="X454" s="817"/>
      <c r="AC454" t="b">
        <f>OR(AD454:AE454)</f>
        <v>0</v>
      </c>
      <c r="AD454" t="b">
        <f>T454</f>
        <v>0</v>
      </c>
      <c r="AE454" t="b">
        <f>AND(NOT(ISBLANK(W454)),LEN(X453)=0)</f>
        <v>0</v>
      </c>
      <c r="AP454" t="str">
        <f>SUBSTITUTE(SUBSTITUTE(SUBSTITUTE("dch"&amp;$B454&amp;$C454&amp;$D454&amp;$E454,".","_"),"(","_"),")","")</f>
        <v>dch610_1_2_2b</v>
      </c>
      <c r="AQ454" t="str">
        <f>IF(LEN(W454)=0,"",W454)</f>
        <v/>
      </c>
    </row>
    <row r="455" spans="2:45" x14ac:dyDescent="0.35">
      <c r="B455" s="37" t="s">
        <v>719</v>
      </c>
      <c r="C455" s="13" t="s">
        <v>121</v>
      </c>
      <c r="D455" s="13"/>
      <c r="E455" s="13"/>
      <c r="F455" s="13"/>
      <c r="G455" s="13"/>
      <c r="H455" s="453"/>
      <c r="I455" s="30"/>
      <c r="J455" s="4"/>
      <c r="K455" s="47" t="s">
        <v>121</v>
      </c>
      <c r="L455" s="90" t="s">
        <v>721</v>
      </c>
      <c r="M455" s="911"/>
      <c r="N455" s="4"/>
      <c r="O455" s="75"/>
      <c r="X455" s="817"/>
    </row>
    <row r="456" spans="2:45" x14ac:dyDescent="0.35">
      <c r="B456" s="37" t="s">
        <v>719</v>
      </c>
      <c r="C456" s="13" t="s">
        <v>122</v>
      </c>
      <c r="D456" s="13"/>
      <c r="E456" s="13"/>
      <c r="F456" s="13"/>
      <c r="G456" s="13"/>
      <c r="H456" s="453"/>
      <c r="I456" s="30"/>
      <c r="J456" s="4"/>
      <c r="K456" s="47" t="s">
        <v>122</v>
      </c>
      <c r="L456" s="90" t="s">
        <v>722</v>
      </c>
      <c r="M456" s="911"/>
      <c r="N456" s="4"/>
      <c r="O456" s="75"/>
      <c r="X456" s="817"/>
    </row>
    <row r="457" spans="2:45" x14ac:dyDescent="0.35">
      <c r="B457" s="37" t="s">
        <v>719</v>
      </c>
      <c r="C457" s="13" t="s">
        <v>123</v>
      </c>
      <c r="D457" s="13"/>
      <c r="E457" s="13"/>
      <c r="F457" s="13"/>
      <c r="G457" s="13"/>
      <c r="H457" s="453"/>
      <c r="I457" s="30"/>
      <c r="J457" s="4"/>
      <c r="K457" s="47" t="s">
        <v>123</v>
      </c>
      <c r="L457" s="90" t="s">
        <v>723</v>
      </c>
      <c r="M457" s="911"/>
      <c r="N457" s="4"/>
      <c r="O457" s="75"/>
      <c r="X457" s="817"/>
    </row>
    <row r="458" spans="2:45" x14ac:dyDescent="0.35">
      <c r="B458" s="37" t="s">
        <v>719</v>
      </c>
      <c r="C458" s="18" t="s">
        <v>401</v>
      </c>
      <c r="D458" s="13"/>
      <c r="E458" s="13"/>
      <c r="F458" s="18"/>
      <c r="G458" s="18"/>
      <c r="H458" s="454"/>
      <c r="I458" s="30"/>
      <c r="J458" s="4"/>
      <c r="K458" s="49" t="s">
        <v>401</v>
      </c>
      <c r="L458" s="90" t="s">
        <v>724</v>
      </c>
      <c r="M458" s="911"/>
      <c r="N458" s="4"/>
      <c r="O458" s="75"/>
      <c r="X458" s="817"/>
    </row>
    <row r="459" spans="2:45" x14ac:dyDescent="0.35">
      <c r="B459" s="37" t="s">
        <v>719</v>
      </c>
      <c r="C459" s="13"/>
      <c r="D459" s="13"/>
      <c r="E459" s="13" t="s">
        <v>2972</v>
      </c>
      <c r="F459" s="13"/>
      <c r="G459" s="13"/>
      <c r="H459" s="453"/>
      <c r="I459" s="30"/>
      <c r="J459" s="4"/>
      <c r="K459" s="43"/>
      <c r="L459" s="848" t="s">
        <v>725</v>
      </c>
      <c r="M459" s="911"/>
      <c r="N459" s="4"/>
      <c r="O459" s="75"/>
      <c r="W459" t="s">
        <v>3118</v>
      </c>
      <c r="X459" s="817"/>
      <c r="AR459" t="str">
        <f>SUBSTITUTE(SUBSTITUTE(SUBSTITUTE("dnt"&amp;$B459&amp;$C459&amp;$D459&amp;$E459,".","_"),"(","_"),")","")</f>
        <v>dnt610_1_2_2c</v>
      </c>
      <c r="AS459" t="str">
        <f>IF(LEN(X459)=0,"",X459)</f>
        <v/>
      </c>
    </row>
    <row r="460" spans="2:45" x14ac:dyDescent="0.35">
      <c r="B460" s="37" t="s">
        <v>719</v>
      </c>
      <c r="C460" s="13"/>
      <c r="D460" s="13"/>
      <c r="E460" s="13" t="s">
        <v>2972</v>
      </c>
      <c r="F460" s="13"/>
      <c r="G460" s="13"/>
      <c r="H460" s="453"/>
      <c r="I460" s="30"/>
      <c r="J460" s="4"/>
      <c r="K460" s="43"/>
      <c r="L460" s="848"/>
      <c r="M460" s="911"/>
      <c r="N460" s="4"/>
      <c r="O460" s="75"/>
      <c r="P460" t="b">
        <v>1</v>
      </c>
      <c r="Q460" t="b">
        <v>0</v>
      </c>
      <c r="R460" t="b">
        <v>0</v>
      </c>
      <c r="S460" t="b">
        <f>COUNTIF(W409:W426,TRUE)&lt;1</f>
        <v>1</v>
      </c>
      <c r="T460" t="b">
        <f>AND(NOT(S460),LEN(W460)&gt;0)</f>
        <v>0</v>
      </c>
      <c r="U460" t="str">
        <f>SUBSTITUTE(SUBSTITUTE(SUBSTITUTE("dd"&amp;B460&amp;C460&amp;D460&amp;E460&amp;F460,".","_"),"(","_"),")","")</f>
        <v>dd610_1_2_2c</v>
      </c>
      <c r="W460" s="9"/>
      <c r="X460" s="817"/>
      <c r="AC460" t="b">
        <f>OR(AD460:AE460)</f>
        <v>0</v>
      </c>
      <c r="AD460" t="b">
        <f>T460</f>
        <v>0</v>
      </c>
      <c r="AE460" t="b">
        <f>AND(NOT(ISBLANK(W460)),LEN(X459)=0)</f>
        <v>0</v>
      </c>
      <c r="AP460" t="str">
        <f>SUBSTITUTE(SUBSTITUTE(SUBSTITUTE("dch"&amp;$B460&amp;$C460&amp;$D460&amp;$E460,".","_"),"(","_"),")","")</f>
        <v>dch610_1_2_2c</v>
      </c>
      <c r="AQ460" t="str">
        <f>IF(LEN(W460)=0,"",W460)</f>
        <v/>
      </c>
    </row>
    <row r="461" spans="2:45" x14ac:dyDescent="0.35">
      <c r="B461" s="37" t="s">
        <v>719</v>
      </c>
      <c r="C461" s="13" t="s">
        <v>121</v>
      </c>
      <c r="D461" s="13"/>
      <c r="E461" s="13"/>
      <c r="F461" s="13"/>
      <c r="G461" s="13"/>
      <c r="H461" s="453"/>
      <c r="I461" s="30"/>
      <c r="J461" s="4"/>
      <c r="K461" s="47" t="s">
        <v>121</v>
      </c>
      <c r="L461" s="90" t="s">
        <v>705</v>
      </c>
      <c r="M461" s="911"/>
      <c r="N461" s="4"/>
      <c r="O461" s="75"/>
      <c r="X461" s="817"/>
    </row>
    <row r="462" spans="2:45" x14ac:dyDescent="0.35">
      <c r="B462" s="37" t="s">
        <v>719</v>
      </c>
      <c r="C462" s="13" t="s">
        <v>122</v>
      </c>
      <c r="D462" s="13"/>
      <c r="E462" s="13"/>
      <c r="F462" s="13"/>
      <c r="G462" s="13"/>
      <c r="H462" s="453"/>
      <c r="I462" s="30"/>
      <c r="J462" s="4"/>
      <c r="K462" s="47" t="s">
        <v>122</v>
      </c>
      <c r="L462" s="90" t="s">
        <v>706</v>
      </c>
      <c r="M462" s="911"/>
      <c r="N462" s="4"/>
      <c r="O462" s="75"/>
      <c r="X462" s="817"/>
    </row>
    <row r="463" spans="2:45" x14ac:dyDescent="0.35">
      <c r="B463" s="37" t="s">
        <v>719</v>
      </c>
      <c r="C463" s="13" t="s">
        <v>123</v>
      </c>
      <c r="D463" s="13"/>
      <c r="E463" s="13"/>
      <c r="F463" s="13"/>
      <c r="G463" s="13"/>
      <c r="H463" s="453"/>
      <c r="I463" s="30"/>
      <c r="J463" s="4"/>
      <c r="K463" s="47" t="s">
        <v>123</v>
      </c>
      <c r="L463" s="90" t="s">
        <v>707</v>
      </c>
      <c r="M463" s="911"/>
      <c r="N463" s="4"/>
      <c r="O463" s="75"/>
      <c r="X463" s="817"/>
    </row>
    <row r="464" spans="2:45" x14ac:dyDescent="0.35">
      <c r="B464" s="37" t="s">
        <v>719</v>
      </c>
      <c r="C464" s="18" t="s">
        <v>401</v>
      </c>
      <c r="D464" s="13"/>
      <c r="E464" s="13"/>
      <c r="F464" s="18"/>
      <c r="G464" s="18"/>
      <c r="H464" s="454"/>
      <c r="I464" s="30"/>
      <c r="J464" s="4"/>
      <c r="K464" s="49" t="s">
        <v>401</v>
      </c>
      <c r="L464" s="90" t="s">
        <v>708</v>
      </c>
      <c r="M464" s="911"/>
      <c r="N464" s="4"/>
      <c r="O464" s="75"/>
      <c r="X464" s="817"/>
    </row>
    <row r="465" spans="2:45" x14ac:dyDescent="0.35">
      <c r="B465" s="37" t="s">
        <v>719</v>
      </c>
      <c r="C465" s="13" t="s">
        <v>539</v>
      </c>
      <c r="D465" s="13"/>
      <c r="E465" s="13"/>
      <c r="F465" s="13"/>
      <c r="G465" s="13"/>
      <c r="H465" s="453"/>
      <c r="I465" s="30"/>
      <c r="J465" s="4"/>
      <c r="K465" s="45" t="s">
        <v>539</v>
      </c>
      <c r="L465" s="90" t="s">
        <v>709</v>
      </c>
      <c r="M465" s="911"/>
      <c r="N465" s="4"/>
      <c r="O465" s="75"/>
      <c r="W465" t="s">
        <v>3119</v>
      </c>
      <c r="X465" s="817"/>
      <c r="AR465" t="str">
        <f>SUBSTITUTE(SUBSTITUTE(SUBSTITUTE("dnt"&amp;$B465&amp;$C465&amp;$D465&amp;$E465,".","_"),"(","_"),")","")</f>
        <v>dnt610_1_2_2_e</v>
      </c>
      <c r="AS465" t="str">
        <f>IF(LEN(X465)=0,"",X465)</f>
        <v/>
      </c>
    </row>
    <row r="466" spans="2:45" x14ac:dyDescent="0.35">
      <c r="B466" s="37" t="s">
        <v>719</v>
      </c>
      <c r="C466" s="13" t="s">
        <v>604</v>
      </c>
      <c r="D466" s="13"/>
      <c r="E466" s="13"/>
      <c r="F466" s="13"/>
      <c r="G466" s="13"/>
      <c r="H466" s="453"/>
      <c r="I466" s="30"/>
      <c r="J466" s="4"/>
      <c r="K466" s="47" t="s">
        <v>604</v>
      </c>
      <c r="L466" s="90" t="s">
        <v>710</v>
      </c>
      <c r="M466" s="911"/>
      <c r="N466" s="4"/>
      <c r="O466" s="75"/>
      <c r="P466" t="b">
        <v>1</v>
      </c>
      <c r="Q466" t="b">
        <v>0</v>
      </c>
      <c r="R466" t="b">
        <v>0</v>
      </c>
      <c r="S466" t="b">
        <f>COUNTIF(W409:W426,TRUE)&lt;1</f>
        <v>1</v>
      </c>
      <c r="T466" t="b">
        <f>AND(NOT(S466),LEN(W466)&gt;0)</f>
        <v>0</v>
      </c>
      <c r="U466" t="str">
        <f>SUBSTITUTE(SUBSTITUTE(SUBSTITUTE("dd"&amp;B466&amp;C466&amp;D466&amp;E466&amp;F466,".","_"),"(","_"),")","")</f>
        <v>dd610_1_2_2_f</v>
      </c>
      <c r="W466" s="9"/>
      <c r="X466" s="817"/>
      <c r="AC466" t="b">
        <f>OR(AD466:AE466)</f>
        <v>0</v>
      </c>
      <c r="AD466" t="b">
        <f>T466</f>
        <v>0</v>
      </c>
      <c r="AE466" t="b">
        <f>AND(NOT(ISBLANK(W466)),LEN(X465)=0)</f>
        <v>0</v>
      </c>
      <c r="AP466" t="str">
        <f>SUBSTITUTE(SUBSTITUTE(SUBSTITUTE("dch"&amp;$B466&amp;$C466&amp;$D466&amp;$E466,".","_"),"(","_"),")","")</f>
        <v>dch610_1_2_2_f</v>
      </c>
      <c r="AQ466" t="str">
        <f>IF(LEN(W466)=0,"",W466)</f>
        <v/>
      </c>
    </row>
    <row r="467" spans="2:45" x14ac:dyDescent="0.35">
      <c r="B467" s="37" t="s">
        <v>719</v>
      </c>
      <c r="C467" s="13"/>
      <c r="D467" s="13"/>
      <c r="E467" s="13"/>
      <c r="F467" s="13"/>
      <c r="G467" s="13"/>
      <c r="H467" s="453"/>
      <c r="I467" s="30"/>
      <c r="J467" s="4"/>
      <c r="K467" s="43"/>
      <c r="L467" s="895" t="s">
        <v>726</v>
      </c>
      <c r="M467" s="911"/>
      <c r="N467" s="4"/>
      <c r="O467" s="75"/>
      <c r="X467" s="817"/>
    </row>
    <row r="468" spans="2:45" x14ac:dyDescent="0.35">
      <c r="B468" s="37" t="s">
        <v>719</v>
      </c>
      <c r="C468" s="13"/>
      <c r="D468" s="13"/>
      <c r="E468" s="13"/>
      <c r="F468" s="13"/>
      <c r="G468" s="13"/>
      <c r="H468" s="453"/>
      <c r="I468" s="30"/>
      <c r="J468" s="4"/>
      <c r="K468" s="43"/>
      <c r="L468" s="895"/>
      <c r="M468" s="911"/>
      <c r="N468" s="4"/>
      <c r="O468" s="75"/>
      <c r="X468" s="817"/>
    </row>
    <row r="469" spans="2:45" x14ac:dyDescent="0.35">
      <c r="B469" s="37" t="s">
        <v>719</v>
      </c>
      <c r="C469" s="13"/>
      <c r="D469" s="13"/>
      <c r="E469" s="13"/>
      <c r="F469" s="13"/>
      <c r="G469" s="13"/>
      <c r="H469" s="453"/>
      <c r="I469" s="30"/>
      <c r="J469" s="4"/>
      <c r="K469" s="43"/>
      <c r="L469" s="893" t="s">
        <v>3113</v>
      </c>
      <c r="M469" s="911"/>
      <c r="N469" s="4"/>
      <c r="O469" s="75"/>
      <c r="X469" s="817"/>
    </row>
    <row r="470" spans="2:45" x14ac:dyDescent="0.35">
      <c r="B470" s="37" t="s">
        <v>719</v>
      </c>
      <c r="C470" s="13"/>
      <c r="D470" s="13"/>
      <c r="E470" s="13"/>
      <c r="F470" s="13"/>
      <c r="G470" s="13"/>
      <c r="H470" s="453"/>
      <c r="I470" s="30"/>
      <c r="J470" s="4"/>
      <c r="K470" s="43"/>
      <c r="L470" s="902"/>
      <c r="M470" s="911"/>
      <c r="N470" s="4"/>
      <c r="O470" s="75"/>
      <c r="X470" s="817"/>
    </row>
    <row r="471" spans="2:45" ht="18.5" x14ac:dyDescent="0.45">
      <c r="B471" s="37">
        <v>611</v>
      </c>
      <c r="C471" s="13"/>
      <c r="D471" s="13"/>
      <c r="E471" s="13"/>
      <c r="F471" s="13"/>
      <c r="G471" s="13"/>
      <c r="H471" s="453"/>
      <c r="I471" s="529" t="s">
        <v>4867</v>
      </c>
      <c r="J471" s="521"/>
      <c r="K471" s="530"/>
      <c r="L471" s="537"/>
      <c r="M471" s="535"/>
      <c r="N471" s="538"/>
      <c r="O471" s="536"/>
      <c r="P471" s="521"/>
      <c r="Q471" s="521"/>
      <c r="R471" s="521"/>
      <c r="S471" s="521"/>
      <c r="T471" s="521"/>
      <c r="U471" s="521"/>
      <c r="V471" s="521"/>
      <c r="W471" s="521"/>
      <c r="X471" s="521"/>
    </row>
    <row r="472" spans="2:45" x14ac:dyDescent="0.35">
      <c r="B472" s="37" t="s">
        <v>4579</v>
      </c>
      <c r="C472" s="13"/>
      <c r="D472" s="13"/>
      <c r="E472" s="13"/>
      <c r="F472" s="13"/>
      <c r="G472" s="13"/>
      <c r="H472" s="453"/>
      <c r="I472" s="30">
        <v>611.1</v>
      </c>
      <c r="J472" s="4"/>
      <c r="K472" s="43"/>
      <c r="L472" s="838" t="s">
        <v>4187</v>
      </c>
      <c r="M472" s="818">
        <v>5</v>
      </c>
      <c r="N472" s="4"/>
      <c r="O472" s="832">
        <f>IF(W478+W489*2&gt;=10,5,0)</f>
        <v>0</v>
      </c>
      <c r="AL472" t="str">
        <f>SUBSTITUTE(SUBSTITUTE(SUBSTITUTE("dpa"&amp;$B472&amp;$C472&amp;$D472&amp;$E472,".","_"),"(","_"),")","")</f>
        <v>dpa611_1</v>
      </c>
      <c r="AM472">
        <f>M472</f>
        <v>5</v>
      </c>
      <c r="AN472" t="str">
        <f>SUBSTITUTE(SUBSTITUTE(SUBSTITUTE("dpc"&amp;$B472&amp;$C472&amp;$D472&amp;$E472,".","_"),"(","_"),")","")</f>
        <v>dpc611_1</v>
      </c>
      <c r="AO472">
        <f>O472</f>
        <v>0</v>
      </c>
    </row>
    <row r="473" spans="2:45" x14ac:dyDescent="0.35">
      <c r="B473" s="37" t="s">
        <v>4579</v>
      </c>
      <c r="C473" s="13"/>
      <c r="D473" s="13"/>
      <c r="E473" s="13"/>
      <c r="F473" s="13"/>
      <c r="G473" s="13"/>
      <c r="H473" s="453"/>
      <c r="I473" s="30"/>
      <c r="J473" s="4"/>
      <c r="K473" s="43"/>
      <c r="L473" s="838"/>
      <c r="M473" s="818"/>
      <c r="N473" s="4"/>
      <c r="O473" s="832"/>
    </row>
    <row r="474" spans="2:45" x14ac:dyDescent="0.35">
      <c r="B474" s="37" t="s">
        <v>4579</v>
      </c>
      <c r="C474" s="13"/>
      <c r="D474" s="13"/>
      <c r="E474" s="13"/>
      <c r="F474" s="13"/>
      <c r="G474" s="13"/>
      <c r="H474" s="453"/>
      <c r="I474" s="30"/>
      <c r="J474" s="4"/>
      <c r="K474" s="43"/>
      <c r="L474" s="838"/>
      <c r="M474" s="818"/>
      <c r="N474" s="4"/>
      <c r="O474" s="832"/>
    </row>
    <row r="475" spans="2:45" x14ac:dyDescent="0.35">
      <c r="B475" s="37" t="s">
        <v>4579</v>
      </c>
      <c r="C475" s="13"/>
      <c r="D475" s="13"/>
      <c r="E475" s="13"/>
      <c r="F475" s="13"/>
      <c r="G475" s="13"/>
      <c r="H475" s="453"/>
      <c r="I475" s="30"/>
      <c r="J475" s="4"/>
      <c r="K475" s="43"/>
      <c r="L475" s="838"/>
      <c r="M475" s="818"/>
      <c r="N475" s="4"/>
      <c r="O475" s="832"/>
    </row>
    <row r="476" spans="2:45" x14ac:dyDescent="0.35">
      <c r="B476" s="37" t="s">
        <v>4579</v>
      </c>
      <c r="C476" s="13"/>
      <c r="D476" s="13"/>
      <c r="E476" s="13"/>
      <c r="F476" s="13"/>
      <c r="G476" s="13"/>
      <c r="H476" s="453"/>
      <c r="I476" s="138"/>
      <c r="J476" s="133"/>
      <c r="K476" s="101"/>
      <c r="L476" s="889"/>
      <c r="M476" s="819"/>
      <c r="N476" s="133"/>
      <c r="O476" s="824"/>
    </row>
    <row r="477" spans="2:45" ht="15" customHeight="1" x14ac:dyDescent="0.35">
      <c r="B477" s="37" t="s">
        <v>4188</v>
      </c>
      <c r="C477" s="13"/>
      <c r="D477" s="13"/>
      <c r="E477" s="13"/>
      <c r="F477" s="13"/>
      <c r="G477" s="13"/>
      <c r="H477" s="453"/>
      <c r="I477" s="30" t="s">
        <v>4188</v>
      </c>
      <c r="J477" s="4"/>
      <c r="K477" s="43"/>
      <c r="L477" s="896" t="s">
        <v>4814</v>
      </c>
      <c r="M477" s="40"/>
      <c r="N477" s="4"/>
      <c r="O477" s="75"/>
      <c r="W477" t="s">
        <v>3135</v>
      </c>
      <c r="X477" s="817"/>
      <c r="AR477" t="str">
        <f>SUBSTITUTE(SUBSTITUTE(SUBSTITUTE("dnt"&amp;$B477&amp;$C477&amp;$D477&amp;$E477,".","_"),"(","_"),")","")</f>
        <v>dnt611_1_1</v>
      </c>
      <c r="AS477" t="str">
        <f>IF(LEN(X477)=0,"",X477)</f>
        <v/>
      </c>
    </row>
    <row r="478" spans="2:45" x14ac:dyDescent="0.35">
      <c r="B478" s="37" t="s">
        <v>4188</v>
      </c>
      <c r="C478" s="13"/>
      <c r="D478" s="13"/>
      <c r="E478" s="13"/>
      <c r="F478" s="13"/>
      <c r="G478" s="13"/>
      <c r="H478" s="453"/>
      <c r="I478" s="30"/>
      <c r="J478" s="4"/>
      <c r="K478" s="43"/>
      <c r="L478" s="896"/>
      <c r="M478" s="40"/>
      <c r="N478" s="4"/>
      <c r="O478" s="75"/>
      <c r="P478" t="b">
        <v>0</v>
      </c>
      <c r="Q478" t="b">
        <v>1</v>
      </c>
      <c r="R478" t="b">
        <v>0</v>
      </c>
      <c r="S478" t="b">
        <v>1</v>
      </c>
      <c r="T478" t="b">
        <v>0</v>
      </c>
      <c r="W478" s="99"/>
      <c r="X478" s="817"/>
      <c r="AC478" t="b">
        <f>OR(AD478:AE478)</f>
        <v>0</v>
      </c>
      <c r="AD478" t="b">
        <v>0</v>
      </c>
      <c r="AE478" t="b">
        <f>AND(W478&gt;0,LEN(X477)=0)</f>
        <v>0</v>
      </c>
      <c r="AP478" t="str">
        <f>SUBSTITUTE(SUBSTITUTE(SUBSTITUTE("dch"&amp;$B478&amp;$C478&amp;$D478&amp;$E478,".","_"),"(","_"),")","")</f>
        <v>dch611_1_1</v>
      </c>
      <c r="AQ478" t="str">
        <f>IF(LEN(W478)=0,"",W478)</f>
        <v/>
      </c>
    </row>
    <row r="479" spans="2:45" x14ac:dyDescent="0.35">
      <c r="B479" s="37" t="s">
        <v>4188</v>
      </c>
      <c r="C479" s="13"/>
      <c r="D479" s="13"/>
      <c r="E479" s="13"/>
      <c r="F479" s="13"/>
      <c r="G479" s="13"/>
      <c r="H479" s="453"/>
      <c r="I479" s="30"/>
      <c r="J479" s="4"/>
      <c r="K479" s="43"/>
      <c r="L479" s="896"/>
      <c r="M479" s="40"/>
      <c r="N479" s="4"/>
      <c r="O479" s="75"/>
      <c r="X479" s="817"/>
    </row>
    <row r="480" spans="2:45" x14ac:dyDescent="0.35">
      <c r="B480" s="37" t="s">
        <v>4188</v>
      </c>
      <c r="C480" s="13"/>
      <c r="D480" s="13"/>
      <c r="E480" s="13"/>
      <c r="F480" s="13"/>
      <c r="G480" s="13"/>
      <c r="H480" s="453"/>
      <c r="I480" s="30"/>
      <c r="J480" s="4"/>
      <c r="K480" s="43"/>
      <c r="L480" s="896"/>
      <c r="M480" s="40"/>
      <c r="N480" s="4"/>
      <c r="O480" s="75"/>
      <c r="X480" s="817"/>
    </row>
    <row r="481" spans="2:45" x14ac:dyDescent="0.35">
      <c r="B481" s="37" t="s">
        <v>4188</v>
      </c>
      <c r="C481" s="13"/>
      <c r="D481" s="13"/>
      <c r="E481" s="13"/>
      <c r="F481" s="13"/>
      <c r="G481" s="13"/>
      <c r="H481" s="453"/>
      <c r="I481" s="30"/>
      <c r="J481" s="4"/>
      <c r="K481" s="43"/>
      <c r="L481" s="896"/>
      <c r="M481" s="40"/>
      <c r="N481" s="4"/>
      <c r="O481" s="75"/>
      <c r="X481" s="817"/>
    </row>
    <row r="482" spans="2:45" x14ac:dyDescent="0.35">
      <c r="B482" s="37" t="s">
        <v>4188</v>
      </c>
      <c r="C482" s="13"/>
      <c r="D482" s="13"/>
      <c r="E482" s="13"/>
      <c r="F482" s="13"/>
      <c r="G482" s="13"/>
      <c r="H482" s="453"/>
      <c r="I482" s="30"/>
      <c r="J482" s="4"/>
      <c r="K482" s="43"/>
      <c r="L482" s="896"/>
      <c r="M482" s="40"/>
      <c r="N482" s="4"/>
      <c r="O482" s="75"/>
      <c r="X482" s="817"/>
    </row>
    <row r="483" spans="2:45" x14ac:dyDescent="0.35">
      <c r="B483" s="37" t="s">
        <v>4188</v>
      </c>
      <c r="C483" s="13"/>
      <c r="D483" s="13"/>
      <c r="E483" s="13"/>
      <c r="F483" s="13"/>
      <c r="G483" s="13"/>
      <c r="H483" s="453"/>
      <c r="I483" s="30"/>
      <c r="J483" s="4"/>
      <c r="K483" s="43"/>
      <c r="L483" s="896"/>
      <c r="M483" s="40"/>
      <c r="N483" s="4"/>
      <c r="O483" s="75"/>
      <c r="X483" s="817"/>
    </row>
    <row r="484" spans="2:45" x14ac:dyDescent="0.35">
      <c r="B484" s="37" t="s">
        <v>4188</v>
      </c>
      <c r="C484" s="13"/>
      <c r="D484" s="13"/>
      <c r="E484" s="13"/>
      <c r="F484" s="13"/>
      <c r="G484" s="13"/>
      <c r="H484" s="453"/>
      <c r="I484" s="30"/>
      <c r="J484" s="4"/>
      <c r="K484" s="43"/>
      <c r="L484" s="896"/>
      <c r="M484" s="40"/>
      <c r="N484" s="4"/>
      <c r="O484" s="75"/>
      <c r="X484" s="817"/>
    </row>
    <row r="485" spans="2:45" x14ac:dyDescent="0.35">
      <c r="B485" s="37" t="s">
        <v>4188</v>
      </c>
      <c r="C485" s="13"/>
      <c r="D485" s="13"/>
      <c r="E485" s="13"/>
      <c r="F485" s="13"/>
      <c r="G485" s="13"/>
      <c r="H485" s="453"/>
      <c r="I485" s="30"/>
      <c r="J485" s="4"/>
      <c r="K485" s="43"/>
      <c r="L485" s="896"/>
      <c r="M485" s="40"/>
      <c r="N485" s="4"/>
      <c r="O485" s="75"/>
      <c r="X485" s="817"/>
    </row>
    <row r="486" spans="2:45" x14ac:dyDescent="0.35">
      <c r="B486" s="37" t="s">
        <v>4188</v>
      </c>
      <c r="C486" s="13"/>
      <c r="D486" s="13"/>
      <c r="E486" s="13"/>
      <c r="F486" s="13"/>
      <c r="G486" s="13"/>
      <c r="H486" s="453"/>
      <c r="I486" s="138"/>
      <c r="J486" s="133"/>
      <c r="K486" s="101"/>
      <c r="L486" s="284" t="s">
        <v>3137</v>
      </c>
      <c r="M486" s="40"/>
      <c r="N486" s="4"/>
      <c r="O486" s="75"/>
      <c r="X486" s="817"/>
    </row>
    <row r="487" spans="2:45" x14ac:dyDescent="0.35">
      <c r="B487" s="37" t="s">
        <v>4189</v>
      </c>
      <c r="C487" s="13"/>
      <c r="D487" s="13"/>
      <c r="E487" s="13"/>
      <c r="F487" s="13"/>
      <c r="G487" s="13"/>
      <c r="H487" s="453"/>
      <c r="I487" s="30" t="s">
        <v>4189</v>
      </c>
      <c r="J487" s="4"/>
      <c r="K487" s="43"/>
      <c r="L487" s="896" t="s">
        <v>4815</v>
      </c>
      <c r="M487" s="40"/>
      <c r="N487" s="4"/>
      <c r="O487" s="75"/>
      <c r="W487" s="760" t="s">
        <v>3136</v>
      </c>
      <c r="X487" s="817"/>
      <c r="AR487" t="str">
        <f>SUBSTITUTE(SUBSTITUTE(SUBSTITUTE("dnt"&amp;$B487&amp;$C487&amp;$D487&amp;$E487,".","_"),"(","_"),")","")</f>
        <v>dnt611_1_2</v>
      </c>
      <c r="AS487" t="str">
        <f>IF(LEN(X487)=0,"",X487)</f>
        <v/>
      </c>
    </row>
    <row r="488" spans="2:45" x14ac:dyDescent="0.35">
      <c r="B488" s="37" t="s">
        <v>4189</v>
      </c>
      <c r="C488" s="13"/>
      <c r="D488" s="13"/>
      <c r="E488" s="13"/>
      <c r="F488" s="13"/>
      <c r="G488" s="13"/>
      <c r="H488" s="453"/>
      <c r="I488" s="30"/>
      <c r="J488" s="4"/>
      <c r="K488" s="43"/>
      <c r="L488" s="896"/>
      <c r="M488" s="40"/>
      <c r="N488" s="4"/>
      <c r="O488" s="75"/>
      <c r="W488" s="760"/>
      <c r="X488" s="817"/>
    </row>
    <row r="489" spans="2:45" x14ac:dyDescent="0.35">
      <c r="B489" s="37" t="s">
        <v>4189</v>
      </c>
      <c r="C489" s="13"/>
      <c r="D489" s="13"/>
      <c r="E489" s="13"/>
      <c r="F489" s="13"/>
      <c r="G489" s="13"/>
      <c r="H489" s="453"/>
      <c r="I489" s="30"/>
      <c r="J489" s="4"/>
      <c r="K489" s="43"/>
      <c r="L489" s="896"/>
      <c r="M489" s="40"/>
      <c r="N489" s="4"/>
      <c r="O489" s="75"/>
      <c r="P489" t="b">
        <v>0</v>
      </c>
      <c r="Q489" t="b">
        <v>1</v>
      </c>
      <c r="R489" t="b">
        <v>0</v>
      </c>
      <c r="S489" t="b">
        <v>1</v>
      </c>
      <c r="T489" t="b">
        <v>0</v>
      </c>
      <c r="W489" s="99"/>
      <c r="X489" s="817"/>
      <c r="AC489" t="b">
        <f>OR(AD489:AE489)</f>
        <v>0</v>
      </c>
      <c r="AD489" t="b">
        <v>0</v>
      </c>
      <c r="AE489" t="b">
        <f>AND(W489&gt;0,LEN(X487)=0)</f>
        <v>0</v>
      </c>
      <c r="AP489" t="str">
        <f>SUBSTITUTE(SUBSTITUTE(SUBSTITUTE("dch"&amp;$B489&amp;$C489&amp;$D489&amp;$E489,".","_"),"(","_"),")","")</f>
        <v>dch611_1_2</v>
      </c>
      <c r="AQ489" t="str">
        <f>IF(LEN(W489)=0,"",W489)</f>
        <v/>
      </c>
    </row>
    <row r="490" spans="2:45" x14ac:dyDescent="0.35">
      <c r="B490" s="37" t="s">
        <v>4189</v>
      </c>
      <c r="C490" s="13"/>
      <c r="D490" s="13"/>
      <c r="E490" s="13"/>
      <c r="F490" s="13"/>
      <c r="G490" s="13"/>
      <c r="H490" s="453"/>
      <c r="I490" s="30"/>
      <c r="J490" s="4"/>
      <c r="K490" s="43"/>
      <c r="L490" s="896"/>
      <c r="M490" s="40"/>
      <c r="N490" s="4"/>
      <c r="O490" s="75"/>
      <c r="X490" s="817"/>
    </row>
    <row r="491" spans="2:45" x14ac:dyDescent="0.35">
      <c r="B491" s="37" t="s">
        <v>4189</v>
      </c>
      <c r="C491" s="13"/>
      <c r="D491" s="13"/>
      <c r="E491" s="13"/>
      <c r="F491" s="13"/>
      <c r="G491" s="13"/>
      <c r="H491" s="453"/>
      <c r="I491" s="30"/>
      <c r="J491" s="4"/>
      <c r="K491" s="43"/>
      <c r="L491" s="896"/>
      <c r="M491" s="40"/>
      <c r="N491" s="4"/>
      <c r="O491" s="75"/>
      <c r="X491" s="817"/>
    </row>
    <row r="492" spans="2:45" x14ac:dyDescent="0.35">
      <c r="B492" s="37" t="s">
        <v>4189</v>
      </c>
      <c r="C492" s="13"/>
      <c r="D492" s="13"/>
      <c r="E492" s="13"/>
      <c r="F492" s="13"/>
      <c r="G492" s="13"/>
      <c r="H492" s="453"/>
      <c r="I492" s="30"/>
      <c r="J492" s="4"/>
      <c r="K492" s="43"/>
      <c r="L492" s="896"/>
      <c r="M492" s="40"/>
      <c r="N492" s="4"/>
      <c r="O492" s="75"/>
      <c r="X492" s="817"/>
    </row>
    <row r="493" spans="2:45" ht="15" thickBot="1" x14ac:dyDescent="0.4">
      <c r="B493" s="37" t="s">
        <v>4189</v>
      </c>
      <c r="H493" s="455"/>
      <c r="I493" s="55"/>
      <c r="J493" s="55"/>
      <c r="K493" s="55"/>
      <c r="L493" s="180" t="s">
        <v>3137</v>
      </c>
      <c r="M493" s="313"/>
      <c r="N493" s="160"/>
      <c r="O493" s="161"/>
      <c r="P493" s="55"/>
      <c r="Q493" s="55"/>
      <c r="R493" s="55"/>
      <c r="S493" s="55"/>
      <c r="T493" s="55"/>
      <c r="U493" s="55"/>
      <c r="V493" s="55"/>
      <c r="W493" s="55"/>
      <c r="X493" s="829"/>
    </row>
    <row r="494" spans="2:45" ht="19" thickTop="1" x14ac:dyDescent="0.45">
      <c r="B494" s="37" t="s">
        <v>4185</v>
      </c>
      <c r="C494" s="13"/>
      <c r="D494" s="13"/>
      <c r="E494" s="13"/>
      <c r="F494" s="13"/>
      <c r="G494" s="13"/>
      <c r="H494" s="453"/>
      <c r="I494" s="10" t="s">
        <v>4183</v>
      </c>
      <c r="J494" s="15"/>
      <c r="K494" s="42"/>
      <c r="L494" s="151"/>
      <c r="M494" s="243"/>
      <c r="N494" s="311"/>
      <c r="O494" s="307"/>
      <c r="P494" s="15"/>
      <c r="Q494" s="15"/>
      <c r="R494" s="15"/>
      <c r="S494" s="15"/>
      <c r="T494" s="15"/>
      <c r="U494" s="15"/>
      <c r="V494" s="15"/>
      <c r="W494" s="15"/>
      <c r="X494" s="15"/>
    </row>
    <row r="495" spans="2:45" x14ac:dyDescent="0.35">
      <c r="B495" s="37" t="s">
        <v>4186</v>
      </c>
      <c r="C495" s="13"/>
      <c r="D495" s="13"/>
      <c r="E495" s="13"/>
      <c r="F495" s="13"/>
      <c r="G495" s="13"/>
      <c r="H495" s="453"/>
      <c r="I495" s="30">
        <v>612.1</v>
      </c>
      <c r="J495" s="4"/>
      <c r="K495" s="43"/>
      <c r="L495" s="838" t="s">
        <v>4184</v>
      </c>
      <c r="M495" s="818" t="s">
        <v>699</v>
      </c>
      <c r="N495" s="4"/>
      <c r="O495" s="832">
        <f ca="1">IFERROR(MATCH(W495,INDIRECT(U495),0),0)</f>
        <v>0</v>
      </c>
      <c r="P495" t="b">
        <v>1</v>
      </c>
      <c r="Q495" t="b">
        <v>1</v>
      </c>
      <c r="R495" t="b">
        <v>0</v>
      </c>
      <c r="S495" t="b">
        <v>1</v>
      </c>
      <c r="T495" t="b">
        <v>0</v>
      </c>
      <c r="U495" t="str">
        <f>SUBSTITUTE(SUBSTITUTE(SUBSTITUTE("dd"&amp;B495&amp;C495&amp;D495&amp;E495&amp;F495,".","_"),"(","_"),")","")</f>
        <v>dd612_1</v>
      </c>
      <c r="W495" s="9"/>
      <c r="X495" s="817"/>
      <c r="AC495" t="b">
        <f>OR(AD495:AE495)</f>
        <v>0</v>
      </c>
      <c r="AD495" t="b">
        <v>0</v>
      </c>
      <c r="AE495" t="b">
        <f>AND(NOT(ISBLANK(W495)),LEN(X495)=0)</f>
        <v>0</v>
      </c>
      <c r="AL495" t="str">
        <f>SUBSTITUTE(SUBSTITUTE(SUBSTITUTE("dpa"&amp;$B495&amp;$C495&amp;$D495&amp;$E495,".","_"),"(","_"),")","")</f>
        <v>dpa612_1</v>
      </c>
      <c r="AM495" t="str">
        <f>M495</f>
        <v>10 Max</v>
      </c>
      <c r="AN495" t="str">
        <f>SUBSTITUTE(SUBSTITUTE(SUBSTITUTE("dpc"&amp;$B495&amp;$C495&amp;$D495&amp;$E495,".","_"),"(","_"),")","")</f>
        <v>dpc612_1</v>
      </c>
      <c r="AO495">
        <f ca="1">O495</f>
        <v>0</v>
      </c>
      <c r="AP495" t="str">
        <f>SUBSTITUTE(SUBSTITUTE(SUBSTITUTE("dch"&amp;$B495&amp;$C495&amp;$D495&amp;$E495,".","_"),"(","_"),")","")</f>
        <v>dch612_1</v>
      </c>
      <c r="AQ495" t="str">
        <f>IF(LEN(W495)=0,"",W495)</f>
        <v/>
      </c>
      <c r="AR495" t="str">
        <f>SUBSTITUTE(SUBSTITUTE(SUBSTITUTE("dnt"&amp;$B495&amp;$C495&amp;$D495&amp;$E495,".","_"),"(","_"),")","")</f>
        <v>dnt612_1</v>
      </c>
      <c r="AS495" t="str">
        <f>IF(LEN(X495)=0,"",X495)</f>
        <v/>
      </c>
    </row>
    <row r="496" spans="2:45" x14ac:dyDescent="0.35">
      <c r="B496" s="37" t="s">
        <v>4186</v>
      </c>
      <c r="C496" s="13"/>
      <c r="D496" s="13"/>
      <c r="E496" s="13"/>
      <c r="F496" s="13"/>
      <c r="G496" s="13"/>
      <c r="H496" s="453"/>
      <c r="I496" s="30"/>
      <c r="J496" s="4"/>
      <c r="K496" s="43"/>
      <c r="L496" s="838"/>
      <c r="M496" s="818"/>
      <c r="N496" s="4"/>
      <c r="O496" s="832"/>
      <c r="X496" s="817"/>
    </row>
    <row r="497" spans="1:45" x14ac:dyDescent="0.35">
      <c r="B497" s="37" t="s">
        <v>4186</v>
      </c>
      <c r="C497" s="13"/>
      <c r="D497" s="13"/>
      <c r="E497" s="13"/>
      <c r="F497" s="13"/>
      <c r="G497" s="13"/>
      <c r="H497" s="453"/>
      <c r="I497" s="30"/>
      <c r="J497" s="4"/>
      <c r="K497" s="43"/>
      <c r="L497" s="838"/>
      <c r="M497" s="818"/>
      <c r="N497" s="4"/>
      <c r="O497" s="832"/>
      <c r="X497" s="817"/>
    </row>
    <row r="498" spans="1:45" x14ac:dyDescent="0.35">
      <c r="B498" s="37" t="s">
        <v>4186</v>
      </c>
      <c r="C498" s="13"/>
      <c r="D498" s="13"/>
      <c r="E498" s="13"/>
      <c r="F498" s="13"/>
      <c r="G498" s="13"/>
      <c r="H498" s="453"/>
      <c r="I498" s="30"/>
      <c r="J498" s="4"/>
      <c r="K498" s="43"/>
      <c r="L498" s="838"/>
      <c r="M498" s="818"/>
      <c r="N498" s="4"/>
      <c r="O498" s="832"/>
      <c r="X498" s="817"/>
    </row>
    <row r="499" spans="1:45" x14ac:dyDescent="0.35">
      <c r="B499" s="37" t="s">
        <v>4186</v>
      </c>
      <c r="C499" s="13"/>
      <c r="D499" s="13"/>
      <c r="E499" s="13"/>
      <c r="F499" s="13"/>
      <c r="G499" s="13"/>
      <c r="H499" s="453"/>
      <c r="I499" s="30"/>
      <c r="J499" s="4"/>
      <c r="K499" s="43"/>
      <c r="L499" s="838"/>
      <c r="M499" s="818"/>
      <c r="N499" s="4"/>
      <c r="O499" s="832"/>
      <c r="X499" s="817"/>
    </row>
    <row r="500" spans="1:45" x14ac:dyDescent="0.35">
      <c r="B500" s="37" t="s">
        <v>4186</v>
      </c>
      <c r="C500" s="13"/>
      <c r="D500" s="13"/>
      <c r="E500" s="13"/>
      <c r="F500" s="13"/>
      <c r="G500" s="13"/>
      <c r="H500" s="453"/>
      <c r="I500" s="30"/>
      <c r="J500" s="4"/>
      <c r="K500" s="43"/>
      <c r="L500" s="158" t="s">
        <v>727</v>
      </c>
      <c r="M500" s="818"/>
      <c r="N500" s="4"/>
      <c r="O500" s="832"/>
      <c r="X500" s="817"/>
    </row>
    <row r="501" spans="1:45" x14ac:dyDescent="0.35">
      <c r="B501" s="37" t="s">
        <v>4186</v>
      </c>
      <c r="C501" s="13"/>
      <c r="D501" s="13"/>
      <c r="E501" s="13"/>
      <c r="F501" s="13"/>
      <c r="G501" s="13"/>
      <c r="H501" s="453"/>
      <c r="I501" s="30"/>
      <c r="J501" s="4"/>
      <c r="K501" s="43"/>
      <c r="L501" s="855" t="s">
        <v>4855</v>
      </c>
      <c r="M501" s="818"/>
      <c r="N501" s="4"/>
      <c r="O501" s="832"/>
      <c r="X501" s="817"/>
    </row>
    <row r="502" spans="1:45" ht="15" thickBot="1" x14ac:dyDescent="0.4">
      <c r="B502" s="37" t="s">
        <v>4186</v>
      </c>
      <c r="C502" s="13"/>
      <c r="D502" s="13"/>
      <c r="E502" s="13"/>
      <c r="F502" s="13"/>
      <c r="G502" s="13"/>
      <c r="H502" s="453"/>
      <c r="I502" s="30"/>
      <c r="J502" s="4"/>
      <c r="K502" s="43"/>
      <c r="L502" s="893"/>
      <c r="M502" s="818"/>
      <c r="N502" s="4"/>
      <c r="O502" s="832"/>
      <c r="X502" s="850"/>
    </row>
    <row r="503" spans="1:45" ht="15" thickTop="1" x14ac:dyDescent="0.35">
      <c r="B503" s="37" t="s">
        <v>4191</v>
      </c>
      <c r="C503" s="13"/>
      <c r="D503" s="13"/>
      <c r="E503" s="13"/>
      <c r="F503" s="13"/>
      <c r="G503" s="13"/>
      <c r="H503" s="453"/>
      <c r="I503" s="106">
        <v>612.20000000000005</v>
      </c>
      <c r="J503" s="107"/>
      <c r="K503" s="108"/>
      <c r="L503" s="837" t="s">
        <v>4193</v>
      </c>
      <c r="M503" s="830" t="s">
        <v>509</v>
      </c>
      <c r="N503" s="107"/>
      <c r="O503" s="831">
        <f>MIN(9,M506*S506*W506+M507*S507*W507+M509*S509*W509+M511*S511*W511+M513*S513*W513+M515*S515*W515+M517*S517*W517)</f>
        <v>0</v>
      </c>
      <c r="P503" s="59"/>
      <c r="Q503" s="59"/>
      <c r="R503" s="59"/>
      <c r="S503" s="59"/>
      <c r="T503" s="59"/>
      <c r="U503" s="59"/>
      <c r="V503" s="59"/>
      <c r="W503" s="59"/>
      <c r="X503" s="59"/>
      <c r="AL503" t="str">
        <f>SUBSTITUTE(SUBSTITUTE(SUBSTITUTE("dpa"&amp;$B503&amp;$C503&amp;$D503&amp;$E503,".","_"),"(","_"),")","")</f>
        <v>dpa612_2</v>
      </c>
      <c r="AM503" t="str">
        <f>M503</f>
        <v>9 Max</v>
      </c>
      <c r="AN503" t="str">
        <f>SUBSTITUTE(SUBSTITUTE(SUBSTITUTE("dpc"&amp;$B503&amp;$C503&amp;$D503&amp;$E503,".","_"),"(","_"),")","")</f>
        <v>dpc612_2</v>
      </c>
      <c r="AO503">
        <f>O503</f>
        <v>0</v>
      </c>
    </row>
    <row r="504" spans="1:45" x14ac:dyDescent="0.35">
      <c r="B504" s="37" t="s">
        <v>4191</v>
      </c>
      <c r="C504" s="13"/>
      <c r="D504" s="13"/>
      <c r="E504" s="13"/>
      <c r="F504" s="13"/>
      <c r="G504" s="13"/>
      <c r="H504" s="453"/>
      <c r="I504" s="30"/>
      <c r="J504" s="4"/>
      <c r="K504" s="43"/>
      <c r="L504" s="838"/>
      <c r="M504" s="818"/>
      <c r="N504" s="4"/>
      <c r="O504" s="832"/>
    </row>
    <row r="505" spans="1:45" x14ac:dyDescent="0.35">
      <c r="B505" s="37" t="s">
        <v>4191</v>
      </c>
      <c r="C505" s="13"/>
      <c r="D505" s="13"/>
      <c r="E505" s="13"/>
      <c r="F505" s="13"/>
      <c r="G505" s="13"/>
      <c r="H505" s="453"/>
      <c r="I505" s="30"/>
      <c r="J505" s="4"/>
      <c r="K505" s="43"/>
      <c r="L505" s="838"/>
      <c r="M505" s="818"/>
      <c r="N505" s="4"/>
      <c r="O505" s="832"/>
    </row>
    <row r="506" spans="1:45" x14ac:dyDescent="0.35">
      <c r="B506" s="37" t="s">
        <v>4191</v>
      </c>
      <c r="C506" s="13" t="s">
        <v>256</v>
      </c>
      <c r="D506" s="13"/>
      <c r="E506" s="13"/>
      <c r="F506" s="13"/>
      <c r="G506" s="13"/>
      <c r="H506" s="453"/>
      <c r="I506" s="30"/>
      <c r="J506" s="129" t="s">
        <v>256</v>
      </c>
      <c r="K506" s="101"/>
      <c r="L506" s="477" t="s">
        <v>4194</v>
      </c>
      <c r="M506" s="268">
        <v>3</v>
      </c>
      <c r="N506" s="4"/>
      <c r="O506" s="75"/>
      <c r="P506" t="b">
        <v>1</v>
      </c>
      <c r="Q506" t="b">
        <v>1</v>
      </c>
      <c r="R506" t="b">
        <v>0</v>
      </c>
      <c r="S506" t="b">
        <v>1</v>
      </c>
      <c r="T506" t="b">
        <v>0</v>
      </c>
      <c r="W506" s="17"/>
      <c r="X506" s="36"/>
      <c r="AL506" t="str">
        <f>SUBSTITUTE(SUBSTITUTE(SUBSTITUTE("dpa"&amp;$B506&amp;$C506&amp;$D506&amp;$E506,".","_"),"(","_"),")","")</f>
        <v>dpa612_2_1</v>
      </c>
      <c r="AM506">
        <f t="shared" ref="AM506:AM517" si="21">M506</f>
        <v>3</v>
      </c>
      <c r="AP506" t="str">
        <f>SUBSTITUTE(SUBSTITUTE(SUBSTITUTE("dch"&amp;$B506&amp;$C506&amp;$D506&amp;$E506,".","_"),"(","_"),")","")</f>
        <v>dch612_2_1</v>
      </c>
      <c r="AQ506" t="str">
        <f>IF(LEN(W506)=0,"",W506)</f>
        <v/>
      </c>
      <c r="AR506" t="str">
        <f>SUBSTITUTE(SUBSTITUTE(SUBSTITUTE("dnt"&amp;$B506&amp;$C506&amp;$D506&amp;$E506,".","_"),"(","_"),")","")</f>
        <v>dnt612_2_1</v>
      </c>
      <c r="AS506" t="str">
        <f>IF(LEN(X506)=0,"",X506)</f>
        <v/>
      </c>
    </row>
    <row r="507" spans="1:45" x14ac:dyDescent="0.35">
      <c r="B507" s="37" t="s">
        <v>4191</v>
      </c>
      <c r="C507" s="13" t="s">
        <v>258</v>
      </c>
      <c r="D507" s="13"/>
      <c r="E507" s="13"/>
      <c r="F507" s="13"/>
      <c r="G507" s="13"/>
      <c r="H507" s="453"/>
      <c r="I507" s="30"/>
      <c r="J507" s="132" t="s">
        <v>258</v>
      </c>
      <c r="K507" s="119"/>
      <c r="L507" s="828" t="s">
        <v>4195</v>
      </c>
      <c r="M507" s="822">
        <v>3</v>
      </c>
      <c r="N507" s="4"/>
      <c r="O507" s="75"/>
      <c r="P507" t="b">
        <v>1</v>
      </c>
      <c r="Q507" t="b">
        <v>1</v>
      </c>
      <c r="R507" t="b">
        <v>0</v>
      </c>
      <c r="S507" t="b">
        <v>1</v>
      </c>
      <c r="T507" t="b">
        <v>0</v>
      </c>
      <c r="W507" s="17"/>
      <c r="X507" s="817"/>
      <c r="AL507" t="str">
        <f>SUBSTITUTE(SUBSTITUTE(SUBSTITUTE("dpa"&amp;$B507&amp;$C507&amp;$D507&amp;$E507,".","_"),"(","_"),")","")</f>
        <v>dpa612_2_2</v>
      </c>
      <c r="AM507">
        <f t="shared" si="21"/>
        <v>3</v>
      </c>
      <c r="AP507" t="str">
        <f>SUBSTITUTE(SUBSTITUTE(SUBSTITUTE("dch"&amp;$B507&amp;$C507&amp;$D507&amp;$E507,".","_"),"(","_"),")","")</f>
        <v>dch612_2_2</v>
      </c>
      <c r="AQ507" t="str">
        <f>IF(LEN(W507)=0,"",W507)</f>
        <v/>
      </c>
      <c r="AR507" t="str">
        <f>SUBSTITUTE(SUBSTITUTE(SUBSTITUTE("dnt"&amp;$B507&amp;$C507&amp;$D507&amp;$E507,".","_"),"(","_"),")","")</f>
        <v>dnt612_2_2</v>
      </c>
      <c r="AS507" t="str">
        <f>IF(LEN(X507)=0,"",X507)</f>
        <v/>
      </c>
    </row>
    <row r="508" spans="1:45" x14ac:dyDescent="0.35">
      <c r="A508"/>
      <c r="B508" s="37" t="s">
        <v>4191</v>
      </c>
      <c r="C508" s="13" t="s">
        <v>258</v>
      </c>
      <c r="D508"/>
      <c r="E508" s="13"/>
      <c r="F508"/>
      <c r="G508"/>
      <c r="H508"/>
      <c r="J508" s="104"/>
      <c r="K508" s="104"/>
      <c r="L508" s="842"/>
      <c r="M508" s="819"/>
      <c r="O508"/>
      <c r="X508" s="817"/>
    </row>
    <row r="509" spans="1:45" x14ac:dyDescent="0.35">
      <c r="B509" s="37" t="s">
        <v>4191</v>
      </c>
      <c r="C509" s="13" t="s">
        <v>260</v>
      </c>
      <c r="D509" s="13"/>
      <c r="E509" s="13"/>
      <c r="F509" s="13"/>
      <c r="G509" s="13"/>
      <c r="H509" s="453"/>
      <c r="I509" s="30"/>
      <c r="J509" s="132" t="s">
        <v>260</v>
      </c>
      <c r="K509" s="119"/>
      <c r="L509" s="828" t="s">
        <v>4196</v>
      </c>
      <c r="M509" s="822">
        <v>3</v>
      </c>
      <c r="N509" s="4"/>
      <c r="O509" s="75"/>
      <c r="P509" t="b">
        <v>1</v>
      </c>
      <c r="Q509" t="b">
        <v>1</v>
      </c>
      <c r="R509" t="b">
        <v>0</v>
      </c>
      <c r="S509" t="b">
        <v>1</v>
      </c>
      <c r="T509" t="b">
        <v>0</v>
      </c>
      <c r="W509" s="17"/>
      <c r="X509" s="817"/>
      <c r="AL509" t="str">
        <f>SUBSTITUTE(SUBSTITUTE(SUBSTITUTE("dpa"&amp;$B509&amp;$C509&amp;$D509&amp;$E509,".","_"),"(","_"),")","")</f>
        <v>dpa612_2_3</v>
      </c>
      <c r="AM509">
        <f t="shared" si="21"/>
        <v>3</v>
      </c>
      <c r="AP509" t="str">
        <f>SUBSTITUTE(SUBSTITUTE(SUBSTITUTE("dch"&amp;$B509&amp;$C509&amp;$D509&amp;$E509,".","_"),"(","_"),")","")</f>
        <v>dch612_2_3</v>
      </c>
      <c r="AQ509" t="str">
        <f>IF(LEN(W509)=0,"",W509)</f>
        <v/>
      </c>
      <c r="AR509" t="str">
        <f>SUBSTITUTE(SUBSTITUTE(SUBSTITUTE("dnt"&amp;$B509&amp;$C509&amp;$D509&amp;$E509,".","_"),"(","_"),")","")</f>
        <v>dnt612_2_3</v>
      </c>
      <c r="AS509" t="str">
        <f>IF(LEN(X509)=0,"",X509)</f>
        <v/>
      </c>
    </row>
    <row r="510" spans="1:45" x14ac:dyDescent="0.35">
      <c r="A510"/>
      <c r="B510" s="37" t="s">
        <v>4191</v>
      </c>
      <c r="C510" s="13" t="s">
        <v>260</v>
      </c>
      <c r="D510"/>
      <c r="E510" s="13"/>
      <c r="F510"/>
      <c r="G510"/>
      <c r="H510"/>
      <c r="J510" s="104"/>
      <c r="K510" s="104"/>
      <c r="L510" s="842"/>
      <c r="M510" s="819"/>
      <c r="O510"/>
      <c r="X510" s="817"/>
    </row>
    <row r="511" spans="1:45" x14ac:dyDescent="0.35">
      <c r="B511" s="37" t="s">
        <v>4191</v>
      </c>
      <c r="C511" s="13" t="s">
        <v>269</v>
      </c>
      <c r="D511" s="13"/>
      <c r="E511" s="13"/>
      <c r="F511" s="13"/>
      <c r="G511" s="13"/>
      <c r="H511" s="453"/>
      <c r="I511" s="30"/>
      <c r="J511" s="132" t="s">
        <v>269</v>
      </c>
      <c r="K511" s="119"/>
      <c r="L511" s="828" t="s">
        <v>4197</v>
      </c>
      <c r="M511" s="822">
        <v>3</v>
      </c>
      <c r="N511" s="4"/>
      <c r="O511" s="75"/>
      <c r="P511" t="b">
        <v>1</v>
      </c>
      <c r="Q511" t="b">
        <v>1</v>
      </c>
      <c r="R511" t="b">
        <v>0</v>
      </c>
      <c r="S511" t="b">
        <v>1</v>
      </c>
      <c r="T511" t="b">
        <v>0</v>
      </c>
      <c r="W511" s="17"/>
      <c r="X511" s="817"/>
      <c r="AL511" t="str">
        <f>SUBSTITUTE(SUBSTITUTE(SUBSTITUTE("dpa"&amp;$B511&amp;$C511&amp;$D511&amp;$E511,".","_"),"(","_"),")","")</f>
        <v>dpa612_2_4</v>
      </c>
      <c r="AM511">
        <f t="shared" si="21"/>
        <v>3</v>
      </c>
      <c r="AP511" t="str">
        <f>SUBSTITUTE(SUBSTITUTE(SUBSTITUTE("dch"&amp;$B511&amp;$C511&amp;$D511&amp;$E511,".","_"),"(","_"),")","")</f>
        <v>dch612_2_4</v>
      </c>
      <c r="AQ511" t="str">
        <f>IF(LEN(W511)=0,"",W511)</f>
        <v/>
      </c>
      <c r="AR511" t="str">
        <f>SUBSTITUTE(SUBSTITUTE(SUBSTITUTE("dnt"&amp;$B511&amp;$C511&amp;$D511&amp;$E511,".","_"),"(","_"),")","")</f>
        <v>dnt612_2_4</v>
      </c>
      <c r="AS511" t="str">
        <f>IF(LEN(X511)=0,"",X511)</f>
        <v/>
      </c>
    </row>
    <row r="512" spans="1:45" x14ac:dyDescent="0.35">
      <c r="A512"/>
      <c r="B512" s="37" t="s">
        <v>4191</v>
      </c>
      <c r="C512" s="13" t="s">
        <v>269</v>
      </c>
      <c r="D512"/>
      <c r="E512" s="13"/>
      <c r="F512"/>
      <c r="G512"/>
      <c r="H512"/>
      <c r="J512" s="104"/>
      <c r="K512" s="104"/>
      <c r="L512" s="842"/>
      <c r="M512" s="819"/>
      <c r="O512"/>
      <c r="X512" s="817"/>
    </row>
    <row r="513" spans="1:45" x14ac:dyDescent="0.35">
      <c r="B513" s="37" t="s">
        <v>4191</v>
      </c>
      <c r="C513" s="13" t="s">
        <v>275</v>
      </c>
      <c r="D513" s="13"/>
      <c r="E513" s="13"/>
      <c r="F513" s="13"/>
      <c r="G513" s="13"/>
      <c r="H513" s="453"/>
      <c r="I513" s="30"/>
      <c r="J513" s="132" t="s">
        <v>275</v>
      </c>
      <c r="K513" s="119"/>
      <c r="L513" s="828" t="s">
        <v>4198</v>
      </c>
      <c r="M513" s="822">
        <v>3</v>
      </c>
      <c r="N513" s="4"/>
      <c r="O513" s="75"/>
      <c r="P513" t="b">
        <v>1</v>
      </c>
      <c r="Q513" t="b">
        <v>1</v>
      </c>
      <c r="R513" t="b">
        <v>0</v>
      </c>
      <c r="S513" t="b">
        <v>1</v>
      </c>
      <c r="T513" t="b">
        <v>0</v>
      </c>
      <c r="W513" s="17"/>
      <c r="X513" s="817"/>
      <c r="AL513" t="str">
        <f>SUBSTITUTE(SUBSTITUTE(SUBSTITUTE("dpa"&amp;$B513&amp;$C513&amp;$D513&amp;$E513,".","_"),"(","_"),")","")</f>
        <v>dpa612_2_5</v>
      </c>
      <c r="AM513">
        <f t="shared" si="21"/>
        <v>3</v>
      </c>
      <c r="AP513" t="str">
        <f>SUBSTITUTE(SUBSTITUTE(SUBSTITUTE("dch"&amp;$B513&amp;$C513&amp;$D513&amp;$E513,".","_"),"(","_"),")","")</f>
        <v>dch612_2_5</v>
      </c>
      <c r="AQ513" t="str">
        <f>IF(LEN(W513)=0,"",W513)</f>
        <v/>
      </c>
      <c r="AR513" t="str">
        <f>SUBSTITUTE(SUBSTITUTE(SUBSTITUTE("dnt"&amp;$B513&amp;$C513&amp;$D513&amp;$E513,".","_"),"(","_"),")","")</f>
        <v>dnt612_2_5</v>
      </c>
      <c r="AS513" t="str">
        <f>IF(LEN(X513)=0,"",X513)</f>
        <v/>
      </c>
    </row>
    <row r="514" spans="1:45" x14ac:dyDescent="0.35">
      <c r="A514"/>
      <c r="B514" s="37" t="s">
        <v>4191</v>
      </c>
      <c r="C514" s="13" t="s">
        <v>275</v>
      </c>
      <c r="D514"/>
      <c r="E514" s="13"/>
      <c r="F514"/>
      <c r="G514"/>
      <c r="H514"/>
      <c r="J514" s="104"/>
      <c r="K514" s="104"/>
      <c r="L514" s="842"/>
      <c r="M514" s="819"/>
      <c r="O514"/>
      <c r="X514" s="817"/>
    </row>
    <row r="515" spans="1:45" x14ac:dyDescent="0.35">
      <c r="B515" s="37" t="s">
        <v>4191</v>
      </c>
      <c r="C515" s="13" t="s">
        <v>277</v>
      </c>
      <c r="D515" s="13"/>
      <c r="E515" s="13"/>
      <c r="F515" s="13"/>
      <c r="G515" s="13"/>
      <c r="H515" s="453"/>
      <c r="I515" s="30"/>
      <c r="J515" s="132" t="s">
        <v>277</v>
      </c>
      <c r="K515" s="119"/>
      <c r="L515" s="828" t="s">
        <v>4199</v>
      </c>
      <c r="M515" s="822">
        <v>3</v>
      </c>
      <c r="N515" s="4"/>
      <c r="O515" s="75"/>
      <c r="P515" t="b">
        <v>1</v>
      </c>
      <c r="Q515" t="b">
        <v>1</v>
      </c>
      <c r="R515" t="b">
        <v>0</v>
      </c>
      <c r="S515" t="b">
        <v>1</v>
      </c>
      <c r="T515" t="b">
        <v>0</v>
      </c>
      <c r="W515" s="17"/>
      <c r="X515" s="817"/>
      <c r="AL515" t="str">
        <f>SUBSTITUTE(SUBSTITUTE(SUBSTITUTE("dpa"&amp;$B515&amp;$C515&amp;$D515&amp;$E515,".","_"),"(","_"),")","")</f>
        <v>dpa612_2_6</v>
      </c>
      <c r="AM515">
        <f t="shared" si="21"/>
        <v>3</v>
      </c>
      <c r="AP515" t="str">
        <f>SUBSTITUTE(SUBSTITUTE(SUBSTITUTE("dch"&amp;$B515&amp;$C515&amp;$D515&amp;$E515,".","_"),"(","_"),")","")</f>
        <v>dch612_2_6</v>
      </c>
      <c r="AQ515" t="str">
        <f>IF(LEN(W515)=0,"",W515)</f>
        <v/>
      </c>
      <c r="AR515" t="str">
        <f>SUBSTITUTE(SUBSTITUTE(SUBSTITUTE("dnt"&amp;$B515&amp;$C515&amp;$D515&amp;$E515,".","_"),"(","_"),")","")</f>
        <v>dnt612_2_6</v>
      </c>
      <c r="AS515" t="str">
        <f>IF(LEN(X515)=0,"",X515)</f>
        <v/>
      </c>
    </row>
    <row r="516" spans="1:45" x14ac:dyDescent="0.35">
      <c r="A516"/>
      <c r="B516" s="37" t="s">
        <v>4191</v>
      </c>
      <c r="C516" s="13" t="s">
        <v>277</v>
      </c>
      <c r="D516"/>
      <c r="E516" s="13"/>
      <c r="F516"/>
      <c r="G516"/>
      <c r="H516"/>
      <c r="J516" s="104"/>
      <c r="K516" s="104"/>
      <c r="L516" s="842"/>
      <c r="M516" s="819"/>
      <c r="O516"/>
      <c r="X516" s="817"/>
    </row>
    <row r="517" spans="1:45" ht="15" customHeight="1" x14ac:dyDescent="0.35">
      <c r="B517" s="37" t="s">
        <v>4191</v>
      </c>
      <c r="C517" s="13" t="s">
        <v>383</v>
      </c>
      <c r="D517" s="13"/>
      <c r="E517" s="13"/>
      <c r="F517" s="13"/>
      <c r="G517" s="13"/>
      <c r="H517" s="453"/>
      <c r="I517" s="30"/>
      <c r="J517" s="19" t="s">
        <v>383</v>
      </c>
      <c r="K517" s="43"/>
      <c r="L517" s="828" t="s">
        <v>4200</v>
      </c>
      <c r="M517" s="822">
        <v>3</v>
      </c>
      <c r="N517" s="4"/>
      <c r="O517" s="75"/>
      <c r="P517" t="b">
        <v>1</v>
      </c>
      <c r="Q517" t="b">
        <v>1</v>
      </c>
      <c r="R517" t="b">
        <v>0</v>
      </c>
      <c r="S517" t="b">
        <v>1</v>
      </c>
      <c r="T517" t="b">
        <v>0</v>
      </c>
      <c r="W517" s="17"/>
      <c r="X517" s="817"/>
      <c r="AL517" t="str">
        <f>SUBSTITUTE(SUBSTITUTE(SUBSTITUTE("dpa"&amp;$B517&amp;$C517&amp;$D517&amp;$E517,".","_"),"(","_"),")","")</f>
        <v>dpa612_2_7</v>
      </c>
      <c r="AM517">
        <f t="shared" si="21"/>
        <v>3</v>
      </c>
      <c r="AP517" t="str">
        <f>SUBSTITUTE(SUBSTITUTE(SUBSTITUTE("dch"&amp;$B517&amp;$C517&amp;$D517&amp;$E517,".","_"),"(","_"),")","")</f>
        <v>dch612_2_7</v>
      </c>
      <c r="AQ517" t="str">
        <f>IF(LEN(W517)=0,"",W517)</f>
        <v/>
      </c>
      <c r="AR517" t="str">
        <f>SUBSTITUTE(SUBSTITUTE(SUBSTITUTE("dnt"&amp;$B517&amp;$C517&amp;$D517&amp;$E517,".","_"),"(","_"),")","")</f>
        <v>dnt612_2_7</v>
      </c>
      <c r="AS517" t="str">
        <f>IF(LEN(X517)=0,"",X517)</f>
        <v/>
      </c>
    </row>
    <row r="518" spans="1:45" ht="15" thickBot="1" x14ac:dyDescent="0.4">
      <c r="B518" s="37" t="s">
        <v>4191</v>
      </c>
      <c r="C518" s="13" t="s">
        <v>383</v>
      </c>
      <c r="D518" s="13"/>
      <c r="E518" s="13"/>
      <c r="F518" s="13"/>
      <c r="G518" s="13"/>
      <c r="H518" s="453"/>
      <c r="I518" s="30"/>
      <c r="J518" s="19"/>
      <c r="K518" s="43"/>
      <c r="L518" s="826"/>
      <c r="M518" s="827"/>
      <c r="N518" s="4"/>
      <c r="O518" s="75"/>
      <c r="X518" s="850"/>
    </row>
    <row r="519" spans="1:45" ht="15" thickTop="1" x14ac:dyDescent="0.35">
      <c r="B519" s="37" t="s">
        <v>4192</v>
      </c>
      <c r="C519" s="13"/>
      <c r="D519" s="13"/>
      <c r="E519" s="13"/>
      <c r="F519" s="13"/>
      <c r="G519" s="13"/>
      <c r="H519" s="453"/>
      <c r="I519" s="106">
        <v>612.29999999999995</v>
      </c>
      <c r="J519" s="122"/>
      <c r="K519" s="108"/>
      <c r="L519" s="837" t="s">
        <v>4190</v>
      </c>
      <c r="M519" s="830" t="s">
        <v>532</v>
      </c>
      <c r="N519" s="107"/>
      <c r="O519" s="831">
        <f ca="1">MIN(12,M521*S521*W521+M526*S526*W526+M530*S530*W530+M532*S532*W532+M534*S534*W534+M535*S535*W535+M536*S536*W536+M540*S540*W540+IFERROR(INDEX({1,2,3,4,5},MATCH(W542,INDIRECT(U542),0)),0)*S542)</f>
        <v>2</v>
      </c>
      <c r="P519" s="59"/>
      <c r="Q519" s="59"/>
      <c r="R519" s="59"/>
      <c r="S519" s="59"/>
      <c r="T519" s="59"/>
      <c r="U519" s="59"/>
      <c r="V519" s="59"/>
      <c r="W519" s="59"/>
      <c r="X519" s="59"/>
      <c r="AL519" t="str">
        <f>SUBSTITUTE(SUBSTITUTE(SUBSTITUTE("dpa"&amp;$B519&amp;$C519&amp;$D519&amp;$E519,".","_"),"(","_"),")","")</f>
        <v>dpa612_3</v>
      </c>
      <c r="AM519" t="str">
        <f>M519</f>
        <v>12 Max</v>
      </c>
      <c r="AN519" t="str">
        <f>SUBSTITUTE(SUBSTITUTE(SUBSTITUTE("dpc"&amp;$B519&amp;$C519&amp;$D519&amp;$E519,".","_"),"(","_"),")","")</f>
        <v>dpc612_3</v>
      </c>
      <c r="AO519">
        <f ca="1">O519</f>
        <v>2</v>
      </c>
    </row>
    <row r="520" spans="1:45" x14ac:dyDescent="0.35">
      <c r="B520" s="37" t="s">
        <v>4192</v>
      </c>
      <c r="C520" s="13"/>
      <c r="D520" s="13"/>
      <c r="E520" s="13"/>
      <c r="F520" s="13"/>
      <c r="G520" s="13"/>
      <c r="H520" s="453"/>
      <c r="I520" s="30"/>
      <c r="J520" s="4"/>
      <c r="K520" s="43"/>
      <c r="L520" s="838"/>
      <c r="M520" s="818"/>
      <c r="N520" s="4"/>
      <c r="O520" s="832"/>
    </row>
    <row r="521" spans="1:45" x14ac:dyDescent="0.35">
      <c r="B521" s="37" t="s">
        <v>4192</v>
      </c>
      <c r="C521" s="13" t="s">
        <v>256</v>
      </c>
      <c r="D521" s="13"/>
      <c r="E521" s="13"/>
      <c r="F521" s="13"/>
      <c r="G521" s="13"/>
      <c r="H521" s="453"/>
      <c r="I521" s="30"/>
      <c r="J521" s="19" t="s">
        <v>256</v>
      </c>
      <c r="K521" s="43"/>
      <c r="L521" s="814" t="s">
        <v>728</v>
      </c>
      <c r="M521" s="818">
        <v>3</v>
      </c>
      <c r="N521" s="4"/>
      <c r="O521" s="75"/>
      <c r="P521" t="b">
        <v>1</v>
      </c>
      <c r="Q521" t="b">
        <v>1</v>
      </c>
      <c r="R521" t="b">
        <v>0</v>
      </c>
      <c r="S521" t="b">
        <v>1</v>
      </c>
      <c r="T521" t="b">
        <v>0</v>
      </c>
      <c r="W521" s="17"/>
      <c r="X521" s="817"/>
      <c r="AL521" t="str">
        <f>SUBSTITUTE(SUBSTITUTE(SUBSTITUTE("dpa"&amp;$B521&amp;$C521&amp;$D521&amp;$E521,".","_"),"(","_"),")","")</f>
        <v>dpa612_3_1</v>
      </c>
      <c r="AM521">
        <f>M521</f>
        <v>3</v>
      </c>
      <c r="AP521" t="str">
        <f>SUBSTITUTE(SUBSTITUTE(SUBSTITUTE("dch"&amp;$B521&amp;$C521&amp;$D521&amp;$E521,".","_"),"(","_"),")","")</f>
        <v>dch612_3_1</v>
      </c>
      <c r="AQ521" t="str">
        <f>IF(LEN(W521)=0,"",W521)</f>
        <v/>
      </c>
      <c r="AR521" t="str">
        <f>SUBSTITUTE(SUBSTITUTE(SUBSTITUTE("dnt"&amp;$B521&amp;$C521&amp;$D521&amp;$E521,".","_"),"(","_"),")","")</f>
        <v>dnt612_3_1</v>
      </c>
      <c r="AS521" t="str">
        <f>IF(LEN(X521)=0,"",X521)</f>
        <v/>
      </c>
    </row>
    <row r="522" spans="1:45" x14ac:dyDescent="0.35">
      <c r="B522" s="37" t="s">
        <v>4192</v>
      </c>
      <c r="C522" s="13" t="s">
        <v>256</v>
      </c>
      <c r="D522" s="13"/>
      <c r="E522" s="13"/>
      <c r="F522" s="13"/>
      <c r="G522" s="13"/>
      <c r="H522" s="453"/>
      <c r="I522" s="30"/>
      <c r="J522" s="4"/>
      <c r="K522" s="43"/>
      <c r="L522" s="814"/>
      <c r="M522" s="818"/>
      <c r="N522" s="4"/>
      <c r="O522" s="75"/>
      <c r="X522" s="817"/>
    </row>
    <row r="523" spans="1:45" x14ac:dyDescent="0.35">
      <c r="B523" s="37" t="s">
        <v>4192</v>
      </c>
      <c r="C523" s="13" t="s">
        <v>256</v>
      </c>
      <c r="D523" s="13"/>
      <c r="E523" s="13"/>
      <c r="F523" s="13"/>
      <c r="G523" s="13"/>
      <c r="H523" s="453"/>
      <c r="I523" s="30"/>
      <c r="J523" s="4"/>
      <c r="K523" s="43"/>
      <c r="L523" s="814"/>
      <c r="M523" s="818"/>
      <c r="N523" s="4"/>
      <c r="O523" s="75"/>
      <c r="X523" s="817"/>
    </row>
    <row r="524" spans="1:45" x14ac:dyDescent="0.35">
      <c r="B524" s="37" t="s">
        <v>4192</v>
      </c>
      <c r="C524" s="13" t="s">
        <v>256</v>
      </c>
      <c r="D524" s="13"/>
      <c r="E524" s="13"/>
      <c r="F524" s="13"/>
      <c r="G524" s="13"/>
      <c r="H524" s="453"/>
      <c r="I524" s="30"/>
      <c r="J524" s="4"/>
      <c r="K524" s="43"/>
      <c r="L524" s="814"/>
      <c r="M524" s="818"/>
      <c r="N524" s="4"/>
      <c r="O524" s="75"/>
      <c r="X524" s="817"/>
    </row>
    <row r="525" spans="1:45" x14ac:dyDescent="0.35">
      <c r="B525" s="37" t="s">
        <v>4192</v>
      </c>
      <c r="C525" s="13" t="s">
        <v>256</v>
      </c>
      <c r="D525" s="13"/>
      <c r="E525" s="13"/>
      <c r="F525" s="13"/>
      <c r="G525" s="13"/>
      <c r="H525" s="453"/>
      <c r="I525" s="30"/>
      <c r="J525" s="133"/>
      <c r="K525" s="101"/>
      <c r="L525" s="815"/>
      <c r="M525" s="819"/>
      <c r="N525" s="4"/>
      <c r="O525" s="75"/>
      <c r="X525" s="817"/>
    </row>
    <row r="526" spans="1:45" x14ac:dyDescent="0.35">
      <c r="B526" s="37" t="s">
        <v>4192</v>
      </c>
      <c r="C526" s="13" t="s">
        <v>258</v>
      </c>
      <c r="D526" s="13"/>
      <c r="E526" s="13"/>
      <c r="F526" s="13"/>
      <c r="G526" s="13"/>
      <c r="H526" s="453"/>
      <c r="I526" s="30"/>
      <c r="J526" s="132" t="s">
        <v>258</v>
      </c>
      <c r="K526" s="119"/>
      <c r="L526" s="836" t="s">
        <v>729</v>
      </c>
      <c r="M526" s="822">
        <v>3</v>
      </c>
      <c r="N526" s="4"/>
      <c r="O526" s="75"/>
      <c r="P526" t="b">
        <v>1</v>
      </c>
      <c r="Q526" t="b">
        <v>1</v>
      </c>
      <c r="R526" t="b">
        <v>0</v>
      </c>
      <c r="S526" t="b">
        <f>IF(W521=TRUE,TRUE,FALSE)</f>
        <v>0</v>
      </c>
      <c r="T526" t="b">
        <f>AND(NOT(S526),W526=TRUE)</f>
        <v>0</v>
      </c>
      <c r="W526" s="17"/>
      <c r="X526" s="817"/>
      <c r="AC526" t="b">
        <f>OR(AD526:AE526)</f>
        <v>0</v>
      </c>
      <c r="AD526" t="b">
        <f>T526</f>
        <v>0</v>
      </c>
      <c r="AL526" t="str">
        <f>SUBSTITUTE(SUBSTITUTE(SUBSTITUTE("dpa"&amp;$B526&amp;$C526&amp;$D526&amp;$E526,".","_"),"(","_"),")","")</f>
        <v>dpa612_3_2</v>
      </c>
      <c r="AM526">
        <f>M526</f>
        <v>3</v>
      </c>
      <c r="AP526" t="str">
        <f>SUBSTITUTE(SUBSTITUTE(SUBSTITUTE("dch"&amp;$B526&amp;$C526&amp;$D526&amp;$E526,".","_"),"(","_"),")","")</f>
        <v>dch612_3_2</v>
      </c>
      <c r="AQ526" t="str">
        <f>IF(LEN(W526)=0,"",W526)</f>
        <v/>
      </c>
      <c r="AR526" t="str">
        <f>SUBSTITUTE(SUBSTITUTE(SUBSTITUTE("dnt"&amp;$B526&amp;$C526&amp;$D526&amp;$E526,".","_"),"(","_"),")","")</f>
        <v>dnt612_3_2</v>
      </c>
      <c r="AS526" t="str">
        <f>IF(LEN(X526)=0,"",X526)</f>
        <v/>
      </c>
    </row>
    <row r="527" spans="1:45" x14ac:dyDescent="0.35">
      <c r="B527" s="37" t="s">
        <v>4192</v>
      </c>
      <c r="C527" s="13" t="s">
        <v>258</v>
      </c>
      <c r="D527" s="13"/>
      <c r="E527" s="13"/>
      <c r="F527" s="13"/>
      <c r="G527" s="13"/>
      <c r="H527" s="453"/>
      <c r="I527" s="30"/>
      <c r="J527" s="4"/>
      <c r="K527" s="43"/>
      <c r="L527" s="814"/>
      <c r="M527" s="818"/>
      <c r="N527" s="4"/>
      <c r="O527" s="75"/>
      <c r="X527" s="817"/>
    </row>
    <row r="528" spans="1:45" x14ac:dyDescent="0.35">
      <c r="B528" s="37" t="s">
        <v>4192</v>
      </c>
      <c r="C528" s="13" t="s">
        <v>258</v>
      </c>
      <c r="D528" s="13"/>
      <c r="E528" s="13"/>
      <c r="F528" s="13"/>
      <c r="G528" s="13"/>
      <c r="H528" s="453"/>
      <c r="I528" s="30"/>
      <c r="J528" s="4"/>
      <c r="K528" s="43"/>
      <c r="L528" s="814"/>
      <c r="M528" s="818"/>
      <c r="N528" s="4"/>
      <c r="O528" s="75"/>
      <c r="X528" s="817"/>
    </row>
    <row r="529" spans="2:45" x14ac:dyDescent="0.35">
      <c r="B529" s="37" t="s">
        <v>4192</v>
      </c>
      <c r="C529" s="13" t="s">
        <v>258</v>
      </c>
      <c r="D529" s="13"/>
      <c r="E529" s="13"/>
      <c r="F529" s="13"/>
      <c r="G529" s="13"/>
      <c r="H529" s="453"/>
      <c r="I529" s="30"/>
      <c r="J529" s="133"/>
      <c r="K529" s="101"/>
      <c r="L529" s="815"/>
      <c r="M529" s="819"/>
      <c r="N529" s="4"/>
      <c r="O529" s="75"/>
      <c r="X529" s="817"/>
    </row>
    <row r="530" spans="2:45" x14ac:dyDescent="0.35">
      <c r="B530" s="37" t="s">
        <v>4192</v>
      </c>
      <c r="C530" s="13" t="s">
        <v>260</v>
      </c>
      <c r="D530" s="13"/>
      <c r="E530" s="13"/>
      <c r="F530" s="13"/>
      <c r="G530" s="13"/>
      <c r="H530" s="453"/>
      <c r="I530" s="30"/>
      <c r="J530" s="132" t="s">
        <v>260</v>
      </c>
      <c r="K530" s="119"/>
      <c r="L530" s="836" t="s">
        <v>730</v>
      </c>
      <c r="M530" s="822">
        <v>3</v>
      </c>
      <c r="N530" s="4"/>
      <c r="O530" s="75"/>
      <c r="P530" t="b">
        <v>1</v>
      </c>
      <c r="Q530" t="b">
        <v>1</v>
      </c>
      <c r="R530" t="b">
        <v>0</v>
      </c>
      <c r="S530" t="b">
        <f>IF(W521=TRUE,TRUE,FALSE)</f>
        <v>0</v>
      </c>
      <c r="T530" t="b">
        <f>AND(NOT(S530),W530=TRUE)</f>
        <v>0</v>
      </c>
      <c r="W530" s="17"/>
      <c r="X530" s="817"/>
      <c r="AC530" t="b">
        <f>OR(AD530:AE530)</f>
        <v>0</v>
      </c>
      <c r="AD530" t="b">
        <f>T530</f>
        <v>0</v>
      </c>
      <c r="AL530" t="str">
        <f>SUBSTITUTE(SUBSTITUTE(SUBSTITUTE("dpa"&amp;$B530&amp;$C530&amp;$D530&amp;$E530,".","_"),"(","_"),")","")</f>
        <v>dpa612_3_3</v>
      </c>
      <c r="AM530">
        <f>M530</f>
        <v>3</v>
      </c>
      <c r="AP530" t="str">
        <f>SUBSTITUTE(SUBSTITUTE(SUBSTITUTE("dch"&amp;$B530&amp;$C530&amp;$D530&amp;$E530,".","_"),"(","_"),")","")</f>
        <v>dch612_3_3</v>
      </c>
      <c r="AQ530" t="str">
        <f>IF(LEN(W530)=0,"",W530)</f>
        <v/>
      </c>
      <c r="AR530" t="str">
        <f>SUBSTITUTE(SUBSTITUTE(SUBSTITUTE("dnt"&amp;$B530&amp;$C530&amp;$D530&amp;$E530,".","_"),"(","_"),")","")</f>
        <v>dnt612_3_3</v>
      </c>
      <c r="AS530" t="str">
        <f>IF(LEN(X530)=0,"",X530)</f>
        <v/>
      </c>
    </row>
    <row r="531" spans="2:45" x14ac:dyDescent="0.35">
      <c r="B531" s="37" t="s">
        <v>4192</v>
      </c>
      <c r="C531" s="13" t="s">
        <v>260</v>
      </c>
      <c r="D531" s="13"/>
      <c r="E531" s="13"/>
      <c r="F531" s="13"/>
      <c r="G531" s="13"/>
      <c r="H531" s="453"/>
      <c r="I531" s="30"/>
      <c r="J531" s="133"/>
      <c r="K531" s="101"/>
      <c r="L531" s="815"/>
      <c r="M531" s="819"/>
      <c r="N531" s="4"/>
      <c r="O531" s="75"/>
      <c r="X531" s="817"/>
    </row>
    <row r="532" spans="2:45" x14ac:dyDescent="0.35">
      <c r="B532" s="37" t="s">
        <v>4192</v>
      </c>
      <c r="C532" s="13" t="s">
        <v>269</v>
      </c>
      <c r="D532" s="13"/>
      <c r="E532" s="13"/>
      <c r="F532" s="13"/>
      <c r="G532" s="13"/>
      <c r="H532" s="453"/>
      <c r="I532" s="30"/>
      <c r="J532" s="132" t="s">
        <v>269</v>
      </c>
      <c r="K532" s="119"/>
      <c r="L532" s="836" t="s">
        <v>731</v>
      </c>
      <c r="M532" s="822">
        <v>1</v>
      </c>
      <c r="N532" s="4"/>
      <c r="O532" s="75"/>
      <c r="P532" t="b">
        <v>1</v>
      </c>
      <c r="Q532" t="b">
        <v>0</v>
      </c>
      <c r="R532" t="b">
        <v>0</v>
      </c>
      <c r="S532" t="b">
        <v>1</v>
      </c>
      <c r="T532" t="b">
        <v>0</v>
      </c>
      <c r="W532" s="17"/>
      <c r="X532" s="817"/>
      <c r="AL532" t="str">
        <f>SUBSTITUTE(SUBSTITUTE(SUBSTITUTE("dpa"&amp;$B532&amp;$C532&amp;$D532&amp;$E532,".","_"),"(","_"),")","")</f>
        <v>dpa612_3_4</v>
      </c>
      <c r="AM532">
        <f>M532</f>
        <v>1</v>
      </c>
      <c r="AP532" t="str">
        <f>SUBSTITUTE(SUBSTITUTE(SUBSTITUTE("dch"&amp;$B532&amp;$C532&amp;$D532&amp;$E532,".","_"),"(","_"),")","")</f>
        <v>dch612_3_4</v>
      </c>
      <c r="AQ532" t="str">
        <f>IF(LEN(W532)=0,"",W532)</f>
        <v/>
      </c>
      <c r="AR532" t="str">
        <f>SUBSTITUTE(SUBSTITUTE(SUBSTITUTE("dnt"&amp;$B532&amp;$C532&amp;$D532&amp;$E532,".","_"),"(","_"),")","")</f>
        <v>dnt612_3_4</v>
      </c>
      <c r="AS532" t="str">
        <f>IF(LEN(X532)=0,"",X532)</f>
        <v/>
      </c>
    </row>
    <row r="533" spans="2:45" x14ac:dyDescent="0.35">
      <c r="B533" s="37" t="s">
        <v>4192</v>
      </c>
      <c r="C533" s="13" t="s">
        <v>269</v>
      </c>
      <c r="D533" s="13"/>
      <c r="E533" s="13"/>
      <c r="F533" s="13"/>
      <c r="G533" s="13"/>
      <c r="H533" s="453"/>
      <c r="I533" s="30"/>
      <c r="J533" s="133"/>
      <c r="K533" s="101"/>
      <c r="L533" s="815"/>
      <c r="M533" s="819"/>
      <c r="N533" s="4"/>
      <c r="O533" s="75"/>
      <c r="X533" s="817"/>
    </row>
    <row r="534" spans="2:45" x14ac:dyDescent="0.35">
      <c r="B534" s="37" t="s">
        <v>4192</v>
      </c>
      <c r="C534" s="13" t="s">
        <v>275</v>
      </c>
      <c r="D534" s="13"/>
      <c r="E534" s="13"/>
      <c r="F534" s="13"/>
      <c r="G534" s="13"/>
      <c r="H534" s="453"/>
      <c r="I534" s="30"/>
      <c r="J534" s="130" t="s">
        <v>275</v>
      </c>
      <c r="K534" s="131"/>
      <c r="L534" s="178" t="s">
        <v>732</v>
      </c>
      <c r="M534" s="278">
        <v>1</v>
      </c>
      <c r="N534" s="4"/>
      <c r="O534" s="75"/>
      <c r="P534" t="b">
        <v>1</v>
      </c>
      <c r="Q534" t="b">
        <v>1</v>
      </c>
      <c r="R534" t="b">
        <v>0</v>
      </c>
      <c r="S534" t="b">
        <v>1</v>
      </c>
      <c r="T534" t="b">
        <v>0</v>
      </c>
      <c r="W534" s="17"/>
      <c r="X534" s="36"/>
      <c r="AL534" t="str">
        <f>SUBSTITUTE(SUBSTITUTE(SUBSTITUTE("dpa"&amp;$B534&amp;$C534&amp;$D534&amp;$E534,".","_"),"(","_"),")","")</f>
        <v>dpa612_3_5</v>
      </c>
      <c r="AM534">
        <f>M534</f>
        <v>1</v>
      </c>
      <c r="AP534" t="str">
        <f>SUBSTITUTE(SUBSTITUTE(SUBSTITUTE("dch"&amp;$B534&amp;$C534&amp;$D534&amp;$E534,".","_"),"(","_"),")","")</f>
        <v>dch612_3_5</v>
      </c>
      <c r="AQ534" t="str">
        <f>IF(LEN(W534)=0,"",W534)</f>
        <v/>
      </c>
      <c r="AR534" t="str">
        <f>SUBSTITUTE(SUBSTITUTE(SUBSTITUTE("dnt"&amp;$B534&amp;$C534&amp;$D534&amp;$E534,".","_"),"(","_"),")","")</f>
        <v>dnt612_3_5</v>
      </c>
      <c r="AS534" t="str">
        <f>IF(LEN(X534)=0,"",X534)</f>
        <v/>
      </c>
    </row>
    <row r="535" spans="2:45" x14ac:dyDescent="0.35">
      <c r="B535" s="37" t="s">
        <v>4192</v>
      </c>
      <c r="C535" s="13" t="s">
        <v>277</v>
      </c>
      <c r="D535" s="13"/>
      <c r="E535" s="13"/>
      <c r="F535" s="13"/>
      <c r="G535" s="13"/>
      <c r="H535" s="453"/>
      <c r="I535" s="30"/>
      <c r="J535" s="130" t="s">
        <v>277</v>
      </c>
      <c r="K535" s="131"/>
      <c r="L535" s="470" t="s">
        <v>4201</v>
      </c>
      <c r="M535" s="278">
        <v>1</v>
      </c>
      <c r="N535" s="4"/>
      <c r="O535" s="75"/>
      <c r="P535" t="b">
        <v>1</v>
      </c>
      <c r="Q535" t="b">
        <v>1</v>
      </c>
      <c r="R535" t="b">
        <v>0</v>
      </c>
      <c r="S535" t="b">
        <v>1</v>
      </c>
      <c r="T535" t="b">
        <v>0</v>
      </c>
      <c r="W535" s="17"/>
      <c r="X535" s="36"/>
      <c r="AL535" t="str">
        <f>SUBSTITUTE(SUBSTITUTE(SUBSTITUTE("dpa"&amp;$B535&amp;$C535&amp;$D535&amp;$E535,".","_"),"(","_"),")","")</f>
        <v>dpa612_3_6</v>
      </c>
      <c r="AM535">
        <f>M535</f>
        <v>1</v>
      </c>
      <c r="AP535" t="str">
        <f>SUBSTITUTE(SUBSTITUTE(SUBSTITUTE("dch"&amp;$B535&amp;$C535&amp;$D535&amp;$E535,".","_"),"(","_"),")","")</f>
        <v>dch612_3_6</v>
      </c>
      <c r="AQ535" t="str">
        <f>IF(LEN(W535)=0,"",W535)</f>
        <v/>
      </c>
      <c r="AR535" t="str">
        <f>SUBSTITUTE(SUBSTITUTE(SUBSTITUTE("dnt"&amp;$B535&amp;$C535&amp;$D535&amp;$E535,".","_"),"(","_"),")","")</f>
        <v>dnt612_3_6</v>
      </c>
      <c r="AS535" t="str">
        <f>IF(LEN(X535)=0,"",X535)</f>
        <v/>
      </c>
    </row>
    <row r="536" spans="2:45" x14ac:dyDescent="0.35">
      <c r="B536" s="37" t="s">
        <v>4192</v>
      </c>
      <c r="C536" s="13" t="s">
        <v>383</v>
      </c>
      <c r="D536" s="13"/>
      <c r="E536" s="13"/>
      <c r="F536" s="13"/>
      <c r="G536" s="13"/>
      <c r="H536" s="453"/>
      <c r="I536" s="30"/>
      <c r="J536" s="132" t="s">
        <v>383</v>
      </c>
      <c r="K536" s="119"/>
      <c r="L536" s="836" t="s">
        <v>733</v>
      </c>
      <c r="M536" s="822">
        <v>1</v>
      </c>
      <c r="N536" s="4"/>
      <c r="O536" s="75"/>
      <c r="P536" t="b">
        <v>1</v>
      </c>
      <c r="Q536" t="b">
        <v>1</v>
      </c>
      <c r="R536" t="b">
        <v>0</v>
      </c>
      <c r="S536" t="b">
        <v>1</v>
      </c>
      <c r="T536" t="b">
        <v>0</v>
      </c>
      <c r="W536" s="17"/>
      <c r="X536" s="817"/>
      <c r="AL536" t="str">
        <f>SUBSTITUTE(SUBSTITUTE(SUBSTITUTE("dpa"&amp;$B536&amp;$C536&amp;$D536&amp;$E536,".","_"),"(","_"),")","")</f>
        <v>dpa612_3_7</v>
      </c>
      <c r="AM536">
        <f>M536</f>
        <v>1</v>
      </c>
      <c r="AP536" t="str">
        <f>SUBSTITUTE(SUBSTITUTE(SUBSTITUTE("dch"&amp;$B536&amp;$C536&amp;$D536&amp;$E536,".","_"),"(","_"),")","")</f>
        <v>dch612_3_7</v>
      </c>
      <c r="AQ536" t="str">
        <f>IF(LEN(W536)=0,"",W536)</f>
        <v/>
      </c>
      <c r="AR536" t="str">
        <f>SUBSTITUTE(SUBSTITUTE(SUBSTITUTE("dnt"&amp;$B536&amp;$C536&amp;$D536&amp;$E536,".","_"),"(","_"),")","")</f>
        <v>dnt612_3_7</v>
      </c>
      <c r="AS536" t="str">
        <f>IF(LEN(X536)=0,"",X536)</f>
        <v/>
      </c>
    </row>
    <row r="537" spans="2:45" x14ac:dyDescent="0.35">
      <c r="B537" s="37" t="s">
        <v>4192</v>
      </c>
      <c r="C537" s="13" t="s">
        <v>383</v>
      </c>
      <c r="D537" s="13"/>
      <c r="E537" s="13"/>
      <c r="F537" s="13"/>
      <c r="G537" s="13"/>
      <c r="H537" s="453"/>
      <c r="I537" s="30"/>
      <c r="J537" s="4"/>
      <c r="K537" s="43"/>
      <c r="L537" s="814"/>
      <c r="M537" s="818"/>
      <c r="N537" s="4"/>
      <c r="O537" s="75"/>
      <c r="X537" s="817"/>
    </row>
    <row r="538" spans="2:45" x14ac:dyDescent="0.35">
      <c r="B538" s="37" t="s">
        <v>4192</v>
      </c>
      <c r="C538" s="13" t="s">
        <v>383</v>
      </c>
      <c r="D538" s="13"/>
      <c r="E538" s="13"/>
      <c r="F538" s="13"/>
      <c r="G538" s="13"/>
      <c r="H538" s="453"/>
      <c r="I538" s="30"/>
      <c r="J538" s="4"/>
      <c r="K538" s="43"/>
      <c r="L538" s="814"/>
      <c r="M538" s="818"/>
      <c r="N538" s="4"/>
      <c r="O538" s="75"/>
      <c r="X538" s="817"/>
    </row>
    <row r="539" spans="2:45" x14ac:dyDescent="0.35">
      <c r="B539" s="37" t="s">
        <v>4192</v>
      </c>
      <c r="C539" s="13" t="s">
        <v>383</v>
      </c>
      <c r="D539" s="13"/>
      <c r="E539" s="13"/>
      <c r="F539" s="13"/>
      <c r="G539" s="13"/>
      <c r="H539" s="453"/>
      <c r="I539" s="30"/>
      <c r="J539" s="133"/>
      <c r="K539" s="101"/>
      <c r="L539" s="815"/>
      <c r="M539" s="819"/>
      <c r="N539" s="4"/>
      <c r="O539" s="75"/>
      <c r="X539" s="817"/>
    </row>
    <row r="540" spans="2:45" x14ac:dyDescent="0.35">
      <c r="B540" s="37" t="s">
        <v>4192</v>
      </c>
      <c r="C540" s="13" t="s">
        <v>428</v>
      </c>
      <c r="D540" s="13"/>
      <c r="E540" s="13"/>
      <c r="F540" s="13"/>
      <c r="G540" s="13"/>
      <c r="H540" s="453"/>
      <c r="I540" s="30"/>
      <c r="J540" s="132" t="s">
        <v>428</v>
      </c>
      <c r="K540" s="119"/>
      <c r="L540" s="836" t="s">
        <v>734</v>
      </c>
      <c r="M540" s="822">
        <v>1</v>
      </c>
      <c r="N540" s="4"/>
      <c r="O540" s="75"/>
      <c r="P540" t="b">
        <v>1</v>
      </c>
      <c r="Q540" t="b">
        <v>1</v>
      </c>
      <c r="R540" t="b">
        <v>0</v>
      </c>
      <c r="S540" t="b">
        <v>1</v>
      </c>
      <c r="T540" t="b">
        <v>0</v>
      </c>
      <c r="W540" s="17" t="b">
        <v>1</v>
      </c>
      <c r="X540" s="817"/>
      <c r="AL540" t="str">
        <f>SUBSTITUTE(SUBSTITUTE(SUBSTITUTE("dpa"&amp;$B540&amp;$C540&amp;$D540&amp;$E540,".","_"),"(","_"),")","")</f>
        <v>dpa612_3_8</v>
      </c>
      <c r="AM540">
        <f>M540</f>
        <v>1</v>
      </c>
      <c r="AP540" t="str">
        <f>SUBSTITUTE(SUBSTITUTE(SUBSTITUTE("dch"&amp;$B540&amp;$C540&amp;$D540&amp;$E540,".","_"),"(","_"),")","")</f>
        <v>dch612_3_8</v>
      </c>
      <c r="AQ540" t="b">
        <f>IF(LEN(W540)=0,"",W540)</f>
        <v>1</v>
      </c>
      <c r="AR540" t="str">
        <f>SUBSTITUTE(SUBSTITUTE(SUBSTITUTE("dnt"&amp;$B540&amp;$C540&amp;$D540&amp;$E540,".","_"),"(","_"),")","")</f>
        <v>dnt612_3_8</v>
      </c>
      <c r="AS540" t="str">
        <f>IF(LEN(X540)=0,"",X540)</f>
        <v/>
      </c>
    </row>
    <row r="541" spans="2:45" x14ac:dyDescent="0.35">
      <c r="B541" s="37" t="s">
        <v>4192</v>
      </c>
      <c r="C541" s="13" t="s">
        <v>428</v>
      </c>
      <c r="D541" s="13"/>
      <c r="E541" s="13"/>
      <c r="F541" s="13"/>
      <c r="G541" s="13"/>
      <c r="H541" s="453"/>
      <c r="I541" s="30"/>
      <c r="J541" s="133"/>
      <c r="K541" s="101"/>
      <c r="L541" s="815"/>
      <c r="M541" s="819"/>
      <c r="N541" s="4"/>
      <c r="O541" s="75"/>
      <c r="X541" s="817"/>
    </row>
    <row r="542" spans="2:45" x14ac:dyDescent="0.35">
      <c r="B542" s="37" t="s">
        <v>4192</v>
      </c>
      <c r="C542" s="13" t="s">
        <v>430</v>
      </c>
      <c r="D542" s="13"/>
      <c r="E542" s="13"/>
      <c r="F542" s="13"/>
      <c r="G542" s="13"/>
      <c r="H542" s="453"/>
      <c r="I542" s="30"/>
      <c r="J542" s="19" t="s">
        <v>430</v>
      </c>
      <c r="K542" s="43"/>
      <c r="L542" s="814" t="s">
        <v>735</v>
      </c>
      <c r="M542" s="843" t="s">
        <v>4207</v>
      </c>
      <c r="N542" s="4"/>
      <c r="O542" s="75"/>
      <c r="P542" t="b">
        <v>1</v>
      </c>
      <c r="Q542" t="b">
        <v>1</v>
      </c>
      <c r="R542" t="b">
        <v>0</v>
      </c>
      <c r="S542" t="b">
        <v>1</v>
      </c>
      <c r="T542" t="b">
        <v>0</v>
      </c>
      <c r="U542" t="str">
        <f>SUBSTITUTE(SUBSTITUTE(SUBSTITUTE("dd"&amp;B542&amp;C542&amp;D542&amp;E542&amp;F542,".","_"),"(","_"),")","")</f>
        <v>dd612_3_9</v>
      </c>
      <c r="W542" s="9" t="s">
        <v>4202</v>
      </c>
      <c r="X542" s="817"/>
      <c r="AL542" t="str">
        <f>SUBSTITUTE(SUBSTITUTE(SUBSTITUTE("dpa"&amp;$B542&amp;$C542&amp;$D542&amp;$E542,".","_"),"(","_"),")","")</f>
        <v>dpa612_3_9</v>
      </c>
      <c r="AM542" t="str">
        <f>M542</f>
        <v>1 per system
[5 max]</v>
      </c>
      <c r="AP542" t="str">
        <f>SUBSTITUTE(SUBSTITUTE(SUBSTITUTE("dch"&amp;$B542&amp;$C542&amp;$D542&amp;$E542,".","_"),"(","_"),")","")</f>
        <v>dch612_3_9</v>
      </c>
      <c r="AQ542" t="str">
        <f>IF(LEN(W542)=0,"",W542)</f>
        <v>1 system</v>
      </c>
      <c r="AR542" t="str">
        <f>SUBSTITUTE(SUBSTITUTE(SUBSTITUTE("dnt"&amp;$B542&amp;$C542&amp;$D542&amp;$E542,".","_"),"(","_"),")","")</f>
        <v>dnt612_3_9</v>
      </c>
      <c r="AS542" t="str">
        <f>IF(LEN(X542)=0,"",X542)</f>
        <v/>
      </c>
    </row>
    <row r="543" spans="2:45" x14ac:dyDescent="0.35">
      <c r="B543" s="37" t="s">
        <v>4192</v>
      </c>
      <c r="C543" s="13" t="s">
        <v>430</v>
      </c>
      <c r="D543" s="13"/>
      <c r="E543" s="13"/>
      <c r="F543" s="13"/>
      <c r="G543" s="13"/>
      <c r="H543" s="453"/>
      <c r="I543" s="30"/>
      <c r="J543" s="19"/>
      <c r="K543" s="43"/>
      <c r="L543" s="814"/>
      <c r="M543" s="843"/>
      <c r="N543" s="4"/>
      <c r="O543" s="75"/>
      <c r="X543" s="817"/>
    </row>
    <row r="544" spans="2:45" x14ac:dyDescent="0.35">
      <c r="B544" s="37" t="s">
        <v>4192</v>
      </c>
      <c r="C544" s="13" t="s">
        <v>430</v>
      </c>
      <c r="D544" s="13"/>
      <c r="E544" s="13"/>
      <c r="F544" s="13"/>
      <c r="G544" s="13"/>
      <c r="H544" s="453"/>
      <c r="I544" s="30"/>
      <c r="J544" s="4"/>
      <c r="K544" s="43"/>
      <c r="L544" s="814"/>
      <c r="M544" s="843"/>
      <c r="N544" s="4"/>
      <c r="O544" s="75"/>
      <c r="X544" s="850"/>
    </row>
    <row r="545" spans="2:45" ht="18.5" x14ac:dyDescent="0.45">
      <c r="B545" s="37" t="s">
        <v>4899</v>
      </c>
      <c r="C545" s="13"/>
      <c r="D545" s="13"/>
      <c r="E545" s="13"/>
      <c r="F545" s="13"/>
      <c r="G545" s="13"/>
      <c r="H545" s="453"/>
      <c r="I545" s="566" t="s">
        <v>4900</v>
      </c>
      <c r="J545" s="567"/>
      <c r="K545" s="568"/>
      <c r="L545" s="569"/>
      <c r="M545" s="570"/>
      <c r="N545" s="571"/>
      <c r="O545" s="572"/>
      <c r="P545" s="567"/>
      <c r="Q545" s="567"/>
      <c r="R545" s="567"/>
      <c r="S545" s="567"/>
      <c r="T545" s="567"/>
      <c r="U545" s="567"/>
      <c r="V545" s="567"/>
      <c r="W545" s="567"/>
      <c r="X545" s="567"/>
    </row>
    <row r="546" spans="2:45" x14ac:dyDescent="0.35">
      <c r="B546" s="37" t="s">
        <v>4215</v>
      </c>
      <c r="C546" s="13"/>
      <c r="D546" s="13"/>
      <c r="E546" s="13"/>
      <c r="F546" s="13"/>
      <c r="G546" s="13"/>
      <c r="H546" s="453"/>
      <c r="I546" s="30">
        <v>613.1</v>
      </c>
      <c r="J546" s="4"/>
      <c r="K546" s="43"/>
      <c r="L546" s="838" t="s">
        <v>4213</v>
      </c>
      <c r="M546" s="818"/>
      <c r="N546" s="4"/>
      <c r="O546" s="832">
        <f ca="1">IFERROR(INDEX({2,3,5,10,12,15},MATCH(W546,INDIRECT(U546),0)),0)</f>
        <v>0</v>
      </c>
      <c r="P546" t="b">
        <v>1</v>
      </c>
      <c r="Q546" t="b">
        <v>1</v>
      </c>
      <c r="R546" t="b">
        <v>0</v>
      </c>
      <c r="S546" t="b">
        <v>1</v>
      </c>
      <c r="T546" t="b">
        <v>0</v>
      </c>
      <c r="U546" t="str">
        <f>SUBSTITUTE(SUBSTITUTE(SUBSTITUTE("dd"&amp;B546&amp;C546&amp;D546&amp;E546&amp;F546,".","_"),"(","_"),")","")</f>
        <v>dd613_1</v>
      </c>
      <c r="W546" s="167"/>
      <c r="X546" s="816"/>
      <c r="AN546" t="str">
        <f>SUBSTITUTE(SUBSTITUTE(SUBSTITUTE("dpc"&amp;$B546&amp;$C546&amp;$D546&amp;$E546,".","_"),"(","_"),")","")</f>
        <v>dpc613_1</v>
      </c>
      <c r="AO546">
        <f ca="1">O546</f>
        <v>0</v>
      </c>
      <c r="AP546" t="str">
        <f>SUBSTITUTE(SUBSTITUTE(SUBSTITUTE("dch"&amp;$B546&amp;$C546&amp;$D546&amp;$E546,".","_"),"(","_"),")","")</f>
        <v>dch613_1</v>
      </c>
      <c r="AQ546" t="str">
        <f>IF(LEN(W546)=0,"",W546)</f>
        <v/>
      </c>
      <c r="AR546" t="str">
        <f>SUBSTITUTE(SUBSTITUTE(SUBSTITUTE("dnt"&amp;$B546&amp;$C546&amp;$D546&amp;$E546,".","_"),"(","_"),")","")</f>
        <v>dnt613_1</v>
      </c>
      <c r="AS546" t="str">
        <f>IF(LEN(X546)=0,"",X546)</f>
        <v/>
      </c>
    </row>
    <row r="547" spans="2:45" x14ac:dyDescent="0.35">
      <c r="B547" s="37" t="s">
        <v>4215</v>
      </c>
      <c r="C547" s="13"/>
      <c r="D547" s="13"/>
      <c r="E547" s="13"/>
      <c r="F547" s="13"/>
      <c r="G547" s="13"/>
      <c r="H547" s="453"/>
      <c r="I547" s="30"/>
      <c r="J547" s="4"/>
      <c r="K547" s="43"/>
      <c r="L547" s="838"/>
      <c r="M547" s="818"/>
      <c r="N547" s="4"/>
      <c r="O547" s="832"/>
      <c r="X547" s="817"/>
    </row>
    <row r="548" spans="2:45" x14ac:dyDescent="0.35">
      <c r="B548" s="37" t="s">
        <v>4215</v>
      </c>
      <c r="C548" s="13"/>
      <c r="D548" s="13"/>
      <c r="E548" s="13"/>
      <c r="F548" s="13"/>
      <c r="G548" s="13"/>
      <c r="H548" s="453"/>
      <c r="I548" s="30"/>
      <c r="J548" s="4"/>
      <c r="K548" s="43"/>
      <c r="L548" s="838"/>
      <c r="M548" s="818"/>
      <c r="N548" s="4"/>
      <c r="O548" s="832"/>
      <c r="X548" s="817"/>
    </row>
    <row r="549" spans="2:45" x14ac:dyDescent="0.35">
      <c r="B549" s="37" t="s">
        <v>4215</v>
      </c>
      <c r="C549" s="13"/>
      <c r="D549" s="13"/>
      <c r="E549" s="13"/>
      <c r="F549" s="13"/>
      <c r="G549" s="13"/>
      <c r="H549" s="453"/>
      <c r="I549" s="30"/>
      <c r="J549" s="4"/>
      <c r="K549" s="43"/>
      <c r="L549" s="838"/>
      <c r="M549" s="40"/>
      <c r="N549" s="4"/>
      <c r="O549" s="832"/>
      <c r="X549" s="817"/>
    </row>
    <row r="550" spans="2:45" x14ac:dyDescent="0.35">
      <c r="B550" s="37" t="s">
        <v>4215</v>
      </c>
      <c r="C550" s="13"/>
      <c r="D550" s="13"/>
      <c r="E550" s="13"/>
      <c r="F550" s="13"/>
      <c r="G550" s="13"/>
      <c r="H550" s="453"/>
      <c r="I550" s="30"/>
      <c r="J550" s="4"/>
      <c r="K550" s="43"/>
      <c r="L550" s="838"/>
      <c r="M550" s="40"/>
      <c r="N550" s="4"/>
      <c r="O550" s="832"/>
      <c r="X550" s="817"/>
    </row>
    <row r="551" spans="2:45" x14ac:dyDescent="0.35">
      <c r="B551" s="37" t="s">
        <v>4215</v>
      </c>
      <c r="C551" s="13" t="s">
        <v>121</v>
      </c>
      <c r="D551" s="13"/>
      <c r="E551" s="13"/>
      <c r="F551" s="13"/>
      <c r="G551" s="13"/>
      <c r="H551" s="453"/>
      <c r="I551" s="402"/>
      <c r="J551" s="467"/>
      <c r="K551" s="47" t="s">
        <v>121</v>
      </c>
      <c r="L551" s="881" t="s">
        <v>4214</v>
      </c>
      <c r="M551" s="818">
        <v>2</v>
      </c>
      <c r="N551" s="4"/>
      <c r="O551" s="75"/>
      <c r="X551" s="817"/>
      <c r="AL551" t="str">
        <f>SUBSTITUTE(SUBSTITUTE(SUBSTITUTE("dpa"&amp;$B551&amp;$C551&amp;$D551&amp;$E551,".","_"),"(","_"),")","")</f>
        <v>dpa613_1_a</v>
      </c>
      <c r="AM551">
        <f>M551</f>
        <v>2</v>
      </c>
    </row>
    <row r="552" spans="2:45" x14ac:dyDescent="0.35">
      <c r="B552" s="37" t="s">
        <v>4215</v>
      </c>
      <c r="C552" s="13" t="s">
        <v>121</v>
      </c>
      <c r="D552" s="13"/>
      <c r="E552" s="13"/>
      <c r="F552" s="13"/>
      <c r="G552" s="13"/>
      <c r="H552" s="453"/>
      <c r="I552" s="412"/>
      <c r="J552" s="467"/>
      <c r="K552" s="104"/>
      <c r="L552" s="882"/>
      <c r="M552" s="819"/>
      <c r="N552" s="4"/>
      <c r="O552" s="75"/>
      <c r="X552" s="817"/>
    </row>
    <row r="553" spans="2:45" x14ac:dyDescent="0.35">
      <c r="B553" s="37" t="s">
        <v>4215</v>
      </c>
      <c r="C553" s="13" t="s">
        <v>122</v>
      </c>
      <c r="D553" s="13"/>
      <c r="E553" s="13"/>
      <c r="F553" s="13"/>
      <c r="G553" s="13"/>
      <c r="H553" s="453"/>
      <c r="I553" s="402"/>
      <c r="J553" s="467"/>
      <c r="K553" s="468" t="s">
        <v>122</v>
      </c>
      <c r="L553" s="883" t="s">
        <v>4208</v>
      </c>
      <c r="M553" s="822">
        <v>3</v>
      </c>
      <c r="N553" s="4"/>
      <c r="O553" s="75"/>
      <c r="X553" s="817"/>
      <c r="AL553" t="str">
        <f>SUBSTITUTE(SUBSTITUTE(SUBSTITUTE("dpa"&amp;$B553&amp;$C553&amp;$D553&amp;$E553,".","_"),"(","_"),")","")</f>
        <v>dpa613_1_b</v>
      </c>
      <c r="AM553">
        <f>M553</f>
        <v>3</v>
      </c>
    </row>
    <row r="554" spans="2:45" x14ac:dyDescent="0.35">
      <c r="B554" s="37" t="s">
        <v>4215</v>
      </c>
      <c r="C554" s="13" t="s">
        <v>122</v>
      </c>
      <c r="D554" s="13"/>
      <c r="E554" s="13"/>
      <c r="F554" s="13"/>
      <c r="G554" s="13"/>
      <c r="H554" s="453"/>
      <c r="I554" s="412"/>
      <c r="J554" s="467"/>
      <c r="L554" s="881"/>
      <c r="M554" s="818"/>
      <c r="N554" s="4"/>
      <c r="O554" s="75"/>
      <c r="X554" s="817"/>
    </row>
    <row r="555" spans="2:45" x14ac:dyDescent="0.35">
      <c r="B555" s="37" t="s">
        <v>4215</v>
      </c>
      <c r="C555" s="13" t="s">
        <v>122</v>
      </c>
      <c r="D555" s="13"/>
      <c r="E555" s="13"/>
      <c r="F555" s="13"/>
      <c r="G555" s="13"/>
      <c r="H555" s="453"/>
      <c r="I555" s="412"/>
      <c r="J555" s="467"/>
      <c r="L555" s="881"/>
      <c r="M555" s="818"/>
      <c r="N555" s="4"/>
      <c r="O555" s="75"/>
      <c r="X555" s="817"/>
    </row>
    <row r="556" spans="2:45" x14ac:dyDescent="0.35">
      <c r="B556" s="37" t="s">
        <v>4215</v>
      </c>
      <c r="C556" s="13" t="s">
        <v>122</v>
      </c>
      <c r="D556" s="13"/>
      <c r="E556" s="13"/>
      <c r="F556" s="13"/>
      <c r="G556" s="13"/>
      <c r="H556" s="453"/>
      <c r="I556" s="412"/>
      <c r="J556" s="467"/>
      <c r="K556" s="104"/>
      <c r="L556" s="882"/>
      <c r="M556" s="819"/>
      <c r="N556" s="4"/>
      <c r="O556" s="75"/>
      <c r="X556" s="817"/>
    </row>
    <row r="557" spans="2:45" x14ac:dyDescent="0.35">
      <c r="B557" s="37" t="s">
        <v>4215</v>
      </c>
      <c r="C557" s="13" t="s">
        <v>123</v>
      </c>
      <c r="D557" s="13"/>
      <c r="E557" s="13"/>
      <c r="F557" s="13"/>
      <c r="G557" s="13"/>
      <c r="H557" s="453"/>
      <c r="I557" s="402"/>
      <c r="J557" s="467"/>
      <c r="K557" s="135" t="s">
        <v>123</v>
      </c>
      <c r="L557" s="479" t="s">
        <v>4209</v>
      </c>
      <c r="M557" s="278">
        <v>5</v>
      </c>
      <c r="N557" s="4"/>
      <c r="O557" s="75"/>
      <c r="X557" s="817"/>
      <c r="AL557" t="str">
        <f>SUBSTITUTE(SUBSTITUTE(SUBSTITUTE("dpa"&amp;$B557&amp;$C557&amp;$D557&amp;$E557,".","_"),"(","_"),")","")</f>
        <v>dpa613_1_c</v>
      </c>
      <c r="AM557">
        <f>M557</f>
        <v>5</v>
      </c>
    </row>
    <row r="558" spans="2:45" x14ac:dyDescent="0.35">
      <c r="B558" s="37" t="s">
        <v>4215</v>
      </c>
      <c r="C558" s="18" t="s">
        <v>401</v>
      </c>
      <c r="D558" s="13"/>
      <c r="E558" s="13"/>
      <c r="F558" s="13"/>
      <c r="G558" s="18"/>
      <c r="H558" s="453"/>
      <c r="I558" s="402"/>
      <c r="J558" s="467"/>
      <c r="K558" s="140" t="s">
        <v>401</v>
      </c>
      <c r="L558" s="479" t="s">
        <v>4210</v>
      </c>
      <c r="M558" s="278">
        <v>10</v>
      </c>
      <c r="N558" s="4"/>
      <c r="O558" s="75"/>
      <c r="X558" s="817"/>
      <c r="AL558" t="str">
        <f>SUBSTITUTE(SUBSTITUTE(SUBSTITUTE("dpa"&amp;$B558&amp;$C558&amp;$D558&amp;$E558,".","_"),"(","_"),")","")</f>
        <v>dpa613_1_d</v>
      </c>
      <c r="AM558">
        <f>M558</f>
        <v>10</v>
      </c>
    </row>
    <row r="559" spans="2:45" x14ac:dyDescent="0.35">
      <c r="B559" s="37" t="s">
        <v>4215</v>
      </c>
      <c r="C559" s="13" t="s">
        <v>539</v>
      </c>
      <c r="D559" s="13"/>
      <c r="E559" s="13"/>
      <c r="F559" s="13"/>
      <c r="G559" s="13"/>
      <c r="H559" s="453"/>
      <c r="I559" s="402"/>
      <c r="J559" s="467"/>
      <c r="K559" s="141" t="s">
        <v>539</v>
      </c>
      <c r="L559" s="479" t="s">
        <v>4211</v>
      </c>
      <c r="M559" s="278">
        <v>12</v>
      </c>
      <c r="N559" s="4"/>
      <c r="O559" s="75"/>
      <c r="X559" s="817"/>
      <c r="AL559" t="str">
        <f>SUBSTITUTE(SUBSTITUTE(SUBSTITUTE("dpa"&amp;$B559&amp;$C559&amp;$D559&amp;$E559,".","_"),"(","_"),")","")</f>
        <v>dpa613_1_e</v>
      </c>
      <c r="AM559">
        <f>M559</f>
        <v>12</v>
      </c>
    </row>
    <row r="560" spans="2:45" ht="15" thickBot="1" x14ac:dyDescent="0.4">
      <c r="B560" s="37" t="s">
        <v>4215</v>
      </c>
      <c r="C560" s="13" t="s">
        <v>604</v>
      </c>
      <c r="D560" s="13"/>
      <c r="E560" s="13"/>
      <c r="F560" s="13"/>
      <c r="G560" s="13"/>
      <c r="H560" s="453"/>
      <c r="I560" s="402"/>
      <c r="J560" s="467"/>
      <c r="K560" s="47" t="s">
        <v>604</v>
      </c>
      <c r="L560" s="480" t="s">
        <v>4212</v>
      </c>
      <c r="M560" s="40">
        <v>15</v>
      </c>
      <c r="N560" s="4"/>
      <c r="O560" s="75"/>
      <c r="X560" s="817"/>
      <c r="AL560" t="str">
        <f>SUBSTITUTE(SUBSTITUTE(SUBSTITUTE("dpa"&amp;$B560&amp;$C560&amp;$D560&amp;$E560,".","_"),"(","_"),")","")</f>
        <v>dpa613_1_f</v>
      </c>
      <c r="AM560">
        <f>M560</f>
        <v>15</v>
      </c>
    </row>
    <row r="561" spans="9:24" ht="15.5" thickTop="1" thickBot="1" x14ac:dyDescent="0.4">
      <c r="I561" s="123" t="s">
        <v>3138</v>
      </c>
      <c r="J561" s="124"/>
      <c r="K561" s="124"/>
      <c r="L561" s="589"/>
      <c r="M561" s="125"/>
      <c r="N561" s="124"/>
      <c r="O561" s="126"/>
      <c r="P561" s="124"/>
      <c r="Q561" s="124"/>
      <c r="R561" s="124"/>
      <c r="S561" s="124"/>
      <c r="T561" s="124"/>
      <c r="U561" s="124"/>
      <c r="V561" s="124"/>
      <c r="W561" s="124"/>
      <c r="X561" s="169" t="s">
        <v>3139</v>
      </c>
    </row>
    <row r="562" spans="9:24" ht="15" thickTop="1" x14ac:dyDescent="0.35"/>
  </sheetData>
  <sheetProtection algorithmName="SHA-512" hashValue="XtrnL/6BE5+ALniEJXsENpeRBCwbCKpE6N9YMYPe1AlDdfcY2g2433mV+oFeuEhsqtSMu1wRCWeTPlBmvMFkuw==" saltValue="pCdKlKYQOj3cda1nVDIuAw==" spinCount="100000" sheet="1" objects="1" scenarios="1" selectLockedCells="1" autoFilter="0"/>
  <mergeCells count="393">
    <mergeCell ref="L184:L186"/>
    <mergeCell ref="M184:M186"/>
    <mergeCell ref="O175:O177"/>
    <mergeCell ref="O179:O182"/>
    <mergeCell ref="O98:O101"/>
    <mergeCell ref="H1:H7"/>
    <mergeCell ref="M432:M445"/>
    <mergeCell ref="X432:X438"/>
    <mergeCell ref="M446:M470"/>
    <mergeCell ref="W432:W433"/>
    <mergeCell ref="W439:W440"/>
    <mergeCell ref="M376:M377"/>
    <mergeCell ref="O365:O369"/>
    <mergeCell ref="O376:O377"/>
    <mergeCell ref="L78:L79"/>
    <mergeCell ref="X62:X79"/>
    <mergeCell ref="L265:L266"/>
    <mergeCell ref="L269:L270"/>
    <mergeCell ref="L261:L262"/>
    <mergeCell ref="X261:X263"/>
    <mergeCell ref="M278:M292"/>
    <mergeCell ref="O278:O292"/>
    <mergeCell ref="M261:M263"/>
    <mergeCell ref="L117:L118"/>
    <mergeCell ref="O96:O97"/>
    <mergeCell ref="O131:O134"/>
    <mergeCell ref="O135:O138"/>
    <mergeCell ref="M131:M134"/>
    <mergeCell ref="O139:O141"/>
    <mergeCell ref="L119:L120"/>
    <mergeCell ref="M151:M152"/>
    <mergeCell ref="L144:L145"/>
    <mergeCell ref="L146:L147"/>
    <mergeCell ref="L131:L134"/>
    <mergeCell ref="O125:O127"/>
    <mergeCell ref="M119:M120"/>
    <mergeCell ref="X80:X87"/>
    <mergeCell ref="M80:M87"/>
    <mergeCell ref="O123:O124"/>
    <mergeCell ref="O117:O118"/>
    <mergeCell ref="X146:X148"/>
    <mergeCell ref="X157:X159"/>
    <mergeCell ref="O189:O190"/>
    <mergeCell ref="M76:M77"/>
    <mergeCell ref="L135:L138"/>
    <mergeCell ref="L98:L99"/>
    <mergeCell ref="L108:L110"/>
    <mergeCell ref="L111:L112"/>
    <mergeCell ref="L123:L124"/>
    <mergeCell ref="L114:L116"/>
    <mergeCell ref="L128:L129"/>
    <mergeCell ref="M98:M101"/>
    <mergeCell ref="L103:L104"/>
    <mergeCell ref="L169:L170"/>
    <mergeCell ref="L175:L177"/>
    <mergeCell ref="M165:M174"/>
    <mergeCell ref="M175:M177"/>
    <mergeCell ref="L157:L158"/>
    <mergeCell ref="L160:L164"/>
    <mergeCell ref="M103:M104"/>
    <mergeCell ref="L246:L247"/>
    <mergeCell ref="L248:L249"/>
    <mergeCell ref="L242:L243"/>
    <mergeCell ref="M117:M118"/>
    <mergeCell ref="O105:O106"/>
    <mergeCell ref="O111:O112"/>
    <mergeCell ref="O153:O156"/>
    <mergeCell ref="M157:M159"/>
    <mergeCell ref="L149:L150"/>
    <mergeCell ref="M149:M150"/>
    <mergeCell ref="L151:L152"/>
    <mergeCell ref="L153:L156"/>
    <mergeCell ref="L105:L106"/>
    <mergeCell ref="L203:L204"/>
    <mergeCell ref="M192:M204"/>
    <mergeCell ref="L223:L226"/>
    <mergeCell ref="O192:O204"/>
    <mergeCell ref="O216:O217"/>
    <mergeCell ref="L227:L228"/>
    <mergeCell ref="L210:L213"/>
    <mergeCell ref="L214:L215"/>
    <mergeCell ref="L216:L217"/>
    <mergeCell ref="L125:L127"/>
    <mergeCell ref="M125:M127"/>
    <mergeCell ref="L400:L405"/>
    <mergeCell ref="L517:L518"/>
    <mergeCell ref="L530:L531"/>
    <mergeCell ref="L532:L533"/>
    <mergeCell ref="L536:L539"/>
    <mergeCell ref="L540:L541"/>
    <mergeCell ref="L542:L544"/>
    <mergeCell ref="M472:M476"/>
    <mergeCell ref="M517:M518"/>
    <mergeCell ref="M519:M520"/>
    <mergeCell ref="M521:M525"/>
    <mergeCell ref="M526:M529"/>
    <mergeCell ref="M530:M531"/>
    <mergeCell ref="M532:M533"/>
    <mergeCell ref="M536:M539"/>
    <mergeCell ref="M540:M541"/>
    <mergeCell ref="M542:M544"/>
    <mergeCell ref="L519:L520"/>
    <mergeCell ref="L521:L525"/>
    <mergeCell ref="L526:L529"/>
    <mergeCell ref="L472:L476"/>
    <mergeCell ref="L503:L505"/>
    <mergeCell ref="M495:M502"/>
    <mergeCell ref="M503:M505"/>
    <mergeCell ref="L446:L454"/>
    <mergeCell ref="L428:L431"/>
    <mergeCell ref="L432:L434"/>
    <mergeCell ref="L469:L470"/>
    <mergeCell ref="L459:L460"/>
    <mergeCell ref="L501:L502"/>
    <mergeCell ref="L407:L408"/>
    <mergeCell ref="L409:L411"/>
    <mergeCell ref="L418:L425"/>
    <mergeCell ref="L426:L427"/>
    <mergeCell ref="L397:L398"/>
    <mergeCell ref="L441:L443"/>
    <mergeCell ref="L444:L445"/>
    <mergeCell ref="L487:L492"/>
    <mergeCell ref="L394:L396"/>
    <mergeCell ref="X13:X28"/>
    <mergeCell ref="X31:X33"/>
    <mergeCell ref="M233:M235"/>
    <mergeCell ref="M205:M206"/>
    <mergeCell ref="M223:M226"/>
    <mergeCell ref="L179:L182"/>
    <mergeCell ref="L187:L188"/>
    <mergeCell ref="L189:L190"/>
    <mergeCell ref="M179:M182"/>
    <mergeCell ref="M187:M188"/>
    <mergeCell ref="M189:M190"/>
    <mergeCell ref="L230:L232"/>
    <mergeCell ref="L233:L235"/>
    <mergeCell ref="X34:X36"/>
    <mergeCell ref="X46:X48"/>
    <mergeCell ref="X57:X61"/>
    <mergeCell ref="X93:X95"/>
    <mergeCell ref="X96:X97"/>
    <mergeCell ref="M49:M51"/>
    <mergeCell ref="L46:L48"/>
    <mergeCell ref="O62:O63"/>
    <mergeCell ref="M210:M213"/>
    <mergeCell ref="M216:M217"/>
    <mergeCell ref="M46:M48"/>
    <mergeCell ref="O207:O209"/>
    <mergeCell ref="M153:M156"/>
    <mergeCell ref="L192:L197"/>
    <mergeCell ref="L205:L206"/>
    <mergeCell ref="L207:L208"/>
    <mergeCell ref="M207:M209"/>
    <mergeCell ref="O144:O145"/>
    <mergeCell ref="O149:O150"/>
    <mergeCell ref="O146:O148"/>
    <mergeCell ref="O151:O152"/>
    <mergeCell ref="L80:L84"/>
    <mergeCell ref="O57:O59"/>
    <mergeCell ref="O80:O87"/>
    <mergeCell ref="M135:M138"/>
    <mergeCell ref="M144:M145"/>
    <mergeCell ref="M139:M141"/>
    <mergeCell ref="L139:L141"/>
    <mergeCell ref="M146:M148"/>
    <mergeCell ref="L76:L77"/>
    <mergeCell ref="I1:L1"/>
    <mergeCell ref="M1:W5"/>
    <mergeCell ref="I2:L2"/>
    <mergeCell ref="I3:L3"/>
    <mergeCell ref="L85:L87"/>
    <mergeCell ref="L96:L97"/>
    <mergeCell ref="M34:M36"/>
    <mergeCell ref="M57:M59"/>
    <mergeCell ref="M62:M63"/>
    <mergeCell ref="M93:M95"/>
    <mergeCell ref="M96:M97"/>
    <mergeCell ref="L27:L28"/>
    <mergeCell ref="T6:T7"/>
    <mergeCell ref="U6:U7"/>
    <mergeCell ref="V6:V7"/>
    <mergeCell ref="W6:W7"/>
    <mergeCell ref="R6:R7"/>
    <mergeCell ref="O46:O48"/>
    <mergeCell ref="O34:O36"/>
    <mergeCell ref="L49:L51"/>
    <mergeCell ref="L73:L74"/>
    <mergeCell ref="M31:M33"/>
    <mergeCell ref="I4:L4"/>
    <mergeCell ref="I5:L5"/>
    <mergeCell ref="X4:X5"/>
    <mergeCell ref="I6:K7"/>
    <mergeCell ref="L6:L7"/>
    <mergeCell ref="M6:M7"/>
    <mergeCell ref="N6:N7"/>
    <mergeCell ref="P6:P7"/>
    <mergeCell ref="Q6:Q7"/>
    <mergeCell ref="L89:L90"/>
    <mergeCell ref="L93:L95"/>
    <mergeCell ref="L25:L26"/>
    <mergeCell ref="L71:L72"/>
    <mergeCell ref="L62:L63"/>
    <mergeCell ref="L57:L59"/>
    <mergeCell ref="L29:L30"/>
    <mergeCell ref="L34:L36"/>
    <mergeCell ref="L38:L40"/>
    <mergeCell ref="L67:L68"/>
    <mergeCell ref="X6:X7"/>
    <mergeCell ref="S6:S7"/>
    <mergeCell ref="O31:O33"/>
    <mergeCell ref="L10:L12"/>
    <mergeCell ref="L13:L18"/>
    <mergeCell ref="O13:O18"/>
    <mergeCell ref="L31:L33"/>
    <mergeCell ref="X542:X544"/>
    <mergeCell ref="X426:X427"/>
    <mergeCell ref="O503:O505"/>
    <mergeCell ref="O519:O520"/>
    <mergeCell ref="L477:L485"/>
    <mergeCell ref="L278:L283"/>
    <mergeCell ref="L284:L287"/>
    <mergeCell ref="L295:L297"/>
    <mergeCell ref="L299:L301"/>
    <mergeCell ref="L302:L303"/>
    <mergeCell ref="L326:L327"/>
    <mergeCell ref="L363:L364"/>
    <mergeCell ref="L365:L369"/>
    <mergeCell ref="L376:L377"/>
    <mergeCell ref="L289:L290"/>
    <mergeCell ref="L291:L292"/>
    <mergeCell ref="L293:L294"/>
    <mergeCell ref="L356:L359"/>
    <mergeCell ref="L329:L330"/>
    <mergeCell ref="L331:L332"/>
    <mergeCell ref="L333:L334"/>
    <mergeCell ref="L335:L336"/>
    <mergeCell ref="L338:L339"/>
    <mergeCell ref="L350:L351"/>
    <mergeCell ref="L379:L381"/>
    <mergeCell ref="L382:L383"/>
    <mergeCell ref="L388:L389"/>
    <mergeCell ref="M242:M243"/>
    <mergeCell ref="M293:M294"/>
    <mergeCell ref="M265:M272"/>
    <mergeCell ref="O495:O502"/>
    <mergeCell ref="X495:X502"/>
    <mergeCell ref="W487:W488"/>
    <mergeCell ref="O472:O476"/>
    <mergeCell ref="X477:X486"/>
    <mergeCell ref="X487:X493"/>
    <mergeCell ref="O242:O243"/>
    <mergeCell ref="O261:O263"/>
    <mergeCell ref="L353:L354"/>
    <mergeCell ref="M254:M260"/>
    <mergeCell ref="O254:O260"/>
    <mergeCell ref="L258:L260"/>
    <mergeCell ref="O265:O272"/>
    <mergeCell ref="L254:L256"/>
    <mergeCell ref="L467:L468"/>
    <mergeCell ref="L495:L499"/>
    <mergeCell ref="L251:L253"/>
    <mergeCell ref="M248:M253"/>
    <mergeCell ref="O302:O303"/>
    <mergeCell ref="O318:O327"/>
    <mergeCell ref="M333:M334"/>
    <mergeCell ref="M350:M352"/>
    <mergeCell ref="X98:X101"/>
    <mergeCell ref="X103:X104"/>
    <mergeCell ref="X105:X106"/>
    <mergeCell ref="X111:X112"/>
    <mergeCell ref="X117:X118"/>
    <mergeCell ref="X119:X120"/>
    <mergeCell ref="X165:X174"/>
    <mergeCell ref="X122:X127"/>
    <mergeCell ref="X131:X141"/>
    <mergeCell ref="X144:X145"/>
    <mergeCell ref="X149:X150"/>
    <mergeCell ref="X151:X152"/>
    <mergeCell ref="X153:X156"/>
    <mergeCell ref="M105:M106"/>
    <mergeCell ref="M111:M112"/>
    <mergeCell ref="M123:M124"/>
    <mergeCell ref="O350:O352"/>
    <mergeCell ref="O223:O226"/>
    <mergeCell ref="X175:X177"/>
    <mergeCell ref="X179:X182"/>
    <mergeCell ref="X356:X361"/>
    <mergeCell ref="X465:X470"/>
    <mergeCell ref="X183:X188"/>
    <mergeCell ref="X189:X190"/>
    <mergeCell ref="X418:X425"/>
    <mergeCell ref="X459:X464"/>
    <mergeCell ref="X453:X458"/>
    <mergeCell ref="X446:X452"/>
    <mergeCell ref="X216:X217"/>
    <mergeCell ref="X227:X228"/>
    <mergeCell ref="X193:X204"/>
    <mergeCell ref="X205:X206"/>
    <mergeCell ref="X207:X209"/>
    <mergeCell ref="X210:X213"/>
    <mergeCell ref="X230:X232"/>
    <mergeCell ref="X392:X393"/>
    <mergeCell ref="X390:X391"/>
    <mergeCell ref="X400:X406"/>
    <mergeCell ref="M418:M425"/>
    <mergeCell ref="M426:M427"/>
    <mergeCell ref="M428:M431"/>
    <mergeCell ref="M356:M361"/>
    <mergeCell ref="O356:O361"/>
    <mergeCell ref="M379:M386"/>
    <mergeCell ref="O379:O386"/>
    <mergeCell ref="M365:M369"/>
    <mergeCell ref="M409:M417"/>
    <mergeCell ref="O428:O431"/>
    <mergeCell ref="O409:O417"/>
    <mergeCell ref="O418:O425"/>
    <mergeCell ref="O426:O427"/>
    <mergeCell ref="M388:M389"/>
    <mergeCell ref="M390:M391"/>
    <mergeCell ref="M392:M393"/>
    <mergeCell ref="O388:O393"/>
    <mergeCell ref="X521:X525"/>
    <mergeCell ref="X526:X529"/>
    <mergeCell ref="X530:X531"/>
    <mergeCell ref="X532:X533"/>
    <mergeCell ref="X536:X539"/>
    <mergeCell ref="X540:X541"/>
    <mergeCell ref="X233:X235"/>
    <mergeCell ref="X237:X241"/>
    <mergeCell ref="X242:X243"/>
    <mergeCell ref="X278:X292"/>
    <mergeCell ref="X293:X301"/>
    <mergeCell ref="X306:X312"/>
    <mergeCell ref="X365:X369"/>
    <mergeCell ref="X376:X377"/>
    <mergeCell ref="X409:X417"/>
    <mergeCell ref="X319:X334"/>
    <mergeCell ref="X248:X253"/>
    <mergeCell ref="X254:X260"/>
    <mergeCell ref="X265:X266"/>
    <mergeCell ref="X267:X268"/>
    <mergeCell ref="X269:X270"/>
    <mergeCell ref="X271:X272"/>
    <mergeCell ref="X379:X386"/>
    <mergeCell ref="X439:X445"/>
    <mergeCell ref="L220:L221"/>
    <mergeCell ref="M220:M222"/>
    <mergeCell ref="O220:O222"/>
    <mergeCell ref="X220:X222"/>
    <mergeCell ref="L275:L277"/>
    <mergeCell ref="M275:M277"/>
    <mergeCell ref="X275:X277"/>
    <mergeCell ref="L345:L349"/>
    <mergeCell ref="X370:X375"/>
    <mergeCell ref="L370:L375"/>
    <mergeCell ref="M370:M375"/>
    <mergeCell ref="O370:O375"/>
    <mergeCell ref="M353:M355"/>
    <mergeCell ref="O353:O355"/>
    <mergeCell ref="M302:M303"/>
    <mergeCell ref="M329:M330"/>
    <mergeCell ref="M331:M332"/>
    <mergeCell ref="O293:O294"/>
    <mergeCell ref="X351:X352"/>
    <mergeCell ref="X354:X355"/>
    <mergeCell ref="L237:L241"/>
    <mergeCell ref="M237:M241"/>
    <mergeCell ref="O233:O235"/>
    <mergeCell ref="O248:O253"/>
    <mergeCell ref="L546:L550"/>
    <mergeCell ref="M546:M548"/>
    <mergeCell ref="O546:O550"/>
    <mergeCell ref="L551:L552"/>
    <mergeCell ref="M551:M552"/>
    <mergeCell ref="L553:L556"/>
    <mergeCell ref="M553:M556"/>
    <mergeCell ref="X546:X560"/>
    <mergeCell ref="X507:X508"/>
    <mergeCell ref="X509:X510"/>
    <mergeCell ref="X511:X512"/>
    <mergeCell ref="X513:X514"/>
    <mergeCell ref="X515:X516"/>
    <mergeCell ref="L507:L508"/>
    <mergeCell ref="L509:L510"/>
    <mergeCell ref="L511:L512"/>
    <mergeCell ref="L513:L514"/>
    <mergeCell ref="L515:L516"/>
    <mergeCell ref="M507:M508"/>
    <mergeCell ref="M509:M510"/>
    <mergeCell ref="M511:M512"/>
    <mergeCell ref="M513:M514"/>
    <mergeCell ref="M515:M516"/>
    <mergeCell ref="X517:X518"/>
  </mergeCells>
  <conditionalFormatting sqref="I1">
    <cfRule type="expression" dxfId="5354" priority="27">
      <formula>$AG$1="Bronze"</formula>
    </cfRule>
    <cfRule type="expression" dxfId="5353" priority="25">
      <formula>$AG$1="Gold"</formula>
    </cfRule>
    <cfRule type="expression" dxfId="5352" priority="26">
      <formula>$AG$1="Silver"</formula>
    </cfRule>
    <cfRule type="expression" dxfId="5351" priority="28">
      <formula>$AG$1="Emerald"</formula>
    </cfRule>
  </conditionalFormatting>
  <conditionalFormatting sqref="L25:L26">
    <cfRule type="expression" dxfId="5350" priority="11613">
      <formula>AY26&gt;4099</formula>
    </cfRule>
  </conditionalFormatting>
  <conditionalFormatting sqref="M25:M26">
    <cfRule type="expression" dxfId="5349" priority="11614">
      <formula>$AY$26&gt;4099</formula>
    </cfRule>
  </conditionalFormatting>
  <conditionalFormatting sqref="W31">
    <cfRule type="expression" dxfId="5348" priority="372">
      <formula>AND($R$31,$S$31)</formula>
    </cfRule>
    <cfRule type="expression" dxfId="5347" priority="371">
      <formula>AND(IF($R$31,$W$31,TRUE),LEN(TRIM($W$31))&gt;0)</formula>
    </cfRule>
    <cfRule type="expression" dxfId="5346" priority="370">
      <formula>$S$31 = FALSE</formula>
    </cfRule>
    <cfRule type="expression" dxfId="5345" priority="369">
      <formula>OR($T$31 = TRUE, AND($W$31 = TRUE, $S$31 = FALSE))</formula>
    </cfRule>
  </conditionalFormatting>
  <conditionalFormatting sqref="W34">
    <cfRule type="expression" dxfId="5344" priority="368">
      <formula>AND($R$34,$S$34)</formula>
    </cfRule>
    <cfRule type="expression" dxfId="5343" priority="366">
      <formula>$S$34 = FALSE</formula>
    </cfRule>
    <cfRule type="expression" dxfId="5342" priority="365">
      <formula>OR($T$34 = TRUE, AND($W$34 = TRUE, $S$34 = FALSE))</formula>
    </cfRule>
    <cfRule type="expression" dxfId="5341" priority="367">
      <formula>AND(IF($R$34,$W$34,TRUE),LEN(TRIM($W$34))&gt;0)</formula>
    </cfRule>
  </conditionalFormatting>
  <conditionalFormatting sqref="W37">
    <cfRule type="expression" dxfId="5340" priority="364">
      <formula>AND($R$37,$S$37)</formula>
    </cfRule>
    <cfRule type="expression" dxfId="5339" priority="363">
      <formula>AND(IF($R$37,$W$37,TRUE),LEN(TRIM($W$37))&gt;0)</formula>
    </cfRule>
    <cfRule type="expression" dxfId="5338" priority="362">
      <formula>$S$37 = FALSE</formula>
    </cfRule>
    <cfRule type="expression" dxfId="5337" priority="361">
      <formula>OR($T$37 = TRUE, AND($W$37 = TRUE, $S$37 = FALSE))</formula>
    </cfRule>
  </conditionalFormatting>
  <conditionalFormatting sqref="W41">
    <cfRule type="expression" dxfId="5336" priority="360">
      <formula>AND($R$41,$S$41)</formula>
    </cfRule>
    <cfRule type="expression" dxfId="5335" priority="359">
      <formula>AND(IF($R$41,$W$41,TRUE),LEN(TRIM($W$41))&gt;0)</formula>
    </cfRule>
    <cfRule type="expression" dxfId="5334" priority="358">
      <formula>$S$41 = FALSE</formula>
    </cfRule>
    <cfRule type="expression" dxfId="5333" priority="357">
      <formula>OR($T$41 = TRUE, AND($W$41 = TRUE, $S$41 = FALSE))</formula>
    </cfRule>
  </conditionalFormatting>
  <conditionalFormatting sqref="W42">
    <cfRule type="expression" dxfId="5332" priority="356">
      <formula>AND($R$42,$S$42)</formula>
    </cfRule>
    <cfRule type="expression" dxfId="5331" priority="355">
      <formula>AND(IF($R$42,$W$42,TRUE),LEN(TRIM($W$42))&gt;0)</formula>
    </cfRule>
    <cfRule type="expression" dxfId="5330" priority="354">
      <formula>$S$42 = FALSE</formula>
    </cfRule>
    <cfRule type="expression" dxfId="5329" priority="353">
      <formula>OR($T$42 = TRUE, AND($W$42 = TRUE, $S$42 = FALSE))</formula>
    </cfRule>
  </conditionalFormatting>
  <conditionalFormatting sqref="W43">
    <cfRule type="expression" dxfId="5328" priority="350">
      <formula>$S$43 = FALSE</formula>
    </cfRule>
    <cfRule type="expression" dxfId="5327" priority="349">
      <formula>OR($T$43 = TRUE, AND($W$43 = TRUE, $S$43 = FALSE))</formula>
    </cfRule>
    <cfRule type="expression" dxfId="5326" priority="352">
      <formula>AND($R$43,$S$43)</formula>
    </cfRule>
    <cfRule type="expression" dxfId="5325" priority="351">
      <formula>AND(IF($R$43,$W$43,TRUE),LEN(TRIM($W$43))&gt;0)</formula>
    </cfRule>
  </conditionalFormatting>
  <conditionalFormatting sqref="W44">
    <cfRule type="expression" dxfId="5324" priority="348">
      <formula>AND($R$44,$S$44)</formula>
    </cfRule>
    <cfRule type="expression" dxfId="5323" priority="345">
      <formula>OR($T$44 = TRUE, AND($W$44 = TRUE, $S$44 = FALSE))</formula>
    </cfRule>
    <cfRule type="expression" dxfId="5322" priority="346">
      <formula>$S$44 = FALSE</formula>
    </cfRule>
    <cfRule type="expression" dxfId="5321" priority="347">
      <formula>AND(IF($R$44,$W$44,TRUE),LEN(TRIM($W$44))&gt;0)</formula>
    </cfRule>
  </conditionalFormatting>
  <conditionalFormatting sqref="W45">
    <cfRule type="expression" dxfId="5320" priority="344">
      <formula>AND($R$45,$S$45)</formula>
    </cfRule>
    <cfRule type="expression" dxfId="5319" priority="341">
      <formula>OR($T$45 = TRUE, AND($W$45 = TRUE, $S$45 = FALSE))</formula>
    </cfRule>
    <cfRule type="expression" dxfId="5318" priority="342">
      <formula>$S$45 = FALSE</formula>
    </cfRule>
    <cfRule type="expression" dxfId="5317" priority="343">
      <formula>AND(IF($R$45,$W$45,TRUE),LEN(TRIM($W$45))&gt;0)</formula>
    </cfRule>
  </conditionalFormatting>
  <conditionalFormatting sqref="W46">
    <cfRule type="expression" dxfId="5316" priority="337">
      <formula>OR($T$46 = TRUE, AND($W$46 = TRUE, $S$46 = FALSE))</formula>
    </cfRule>
    <cfRule type="expression" dxfId="5315" priority="338">
      <formula>$S$46 = FALSE</formula>
    </cfRule>
    <cfRule type="expression" dxfId="5314" priority="339">
      <formula>AND(IF($R$46,$W$46,TRUE),LEN(TRIM($W$46))&gt;0)</formula>
    </cfRule>
    <cfRule type="expression" dxfId="5313" priority="340">
      <formula>AND($R$46,$S$46)</formula>
    </cfRule>
  </conditionalFormatting>
  <conditionalFormatting sqref="W52">
    <cfRule type="expression" dxfId="5312" priority="333">
      <formula>OR($T$52 = TRUE, AND($W$52 = TRUE, $S$52 = FALSE))</formula>
    </cfRule>
    <cfRule type="expression" dxfId="5311" priority="334">
      <formula>$S$52 = FALSE</formula>
    </cfRule>
    <cfRule type="expression" dxfId="5310" priority="335">
      <formula>AND(IF($R$52,$W$52,TRUE),LEN(TRIM($W$52))&gt;0)</formula>
    </cfRule>
    <cfRule type="expression" dxfId="5309" priority="336">
      <formula>AND($R$52,$S$52)</formula>
    </cfRule>
  </conditionalFormatting>
  <conditionalFormatting sqref="W53">
    <cfRule type="expression" dxfId="5308" priority="329">
      <formula>OR($T$53 = TRUE, AND($W$53 = TRUE, $S$53 = FALSE))</formula>
    </cfRule>
    <cfRule type="expression" dxfId="5307" priority="330">
      <formula>$S$53 = FALSE</formula>
    </cfRule>
    <cfRule type="expression" dxfId="5306" priority="332">
      <formula>AND($R$53,$S$53)</formula>
    </cfRule>
    <cfRule type="expression" dxfId="5305" priority="331">
      <formula>AND(IF($R$53,$W$53,TRUE),LEN(TRIM($W$53))&gt;0)</formula>
    </cfRule>
  </conditionalFormatting>
  <conditionalFormatting sqref="W54">
    <cfRule type="expression" dxfId="5304" priority="325">
      <formula>OR($T$54 = TRUE, AND($W$54 = TRUE, $S$54 = FALSE))</formula>
    </cfRule>
    <cfRule type="expression" dxfId="5303" priority="326">
      <formula>$S$54 = FALSE</formula>
    </cfRule>
    <cfRule type="expression" dxfId="5302" priority="327">
      <formula>AND(IF($R$54,$W$54,TRUE),LEN(TRIM($W$54))&gt;0)</formula>
    </cfRule>
    <cfRule type="expression" dxfId="5301" priority="328">
      <formula>AND($R$54,$S$54)</formula>
    </cfRule>
  </conditionalFormatting>
  <conditionalFormatting sqref="W55">
    <cfRule type="expression" dxfId="5300" priority="323">
      <formula>AND(IF($R$55,$W$55,TRUE),LEN(TRIM($W$55))&gt;0)</formula>
    </cfRule>
    <cfRule type="expression" dxfId="5299" priority="324">
      <formula>AND($R$55,$S$55)</formula>
    </cfRule>
    <cfRule type="expression" dxfId="5298" priority="322">
      <formula>$S$55 = FALSE</formula>
    </cfRule>
    <cfRule type="expression" dxfId="5297" priority="321">
      <formula>OR($T$55 = TRUE, AND($W$55 = TRUE, $S$55 = FALSE))</formula>
    </cfRule>
  </conditionalFormatting>
  <conditionalFormatting sqref="W56">
    <cfRule type="expression" dxfId="5296" priority="317">
      <formula>OR($T$56 = TRUE, AND($W$56 = TRUE, $S$56 = FALSE))</formula>
    </cfRule>
    <cfRule type="expression" dxfId="5295" priority="320">
      <formula>AND($R$56,$S$56)</formula>
    </cfRule>
    <cfRule type="expression" dxfId="5294" priority="319">
      <formula>AND(IF($R$56,$W$56,TRUE),LEN(TRIM($W$56))&gt;0)</formula>
    </cfRule>
    <cfRule type="expression" dxfId="5293" priority="318">
      <formula>$S$56 = FALSE</formula>
    </cfRule>
  </conditionalFormatting>
  <conditionalFormatting sqref="W65">
    <cfRule type="expression" dxfId="5292" priority="761">
      <formula>OR($T$65 = TRUE, AND(LEN(TRIM($W$65))&gt;0, $S$65 = FALSE))</formula>
    </cfRule>
    <cfRule type="expression" dxfId="5291" priority="762">
      <formula>$S$65 = FALSE</formula>
    </cfRule>
    <cfRule type="expression" dxfId="5290" priority="763">
      <formula>AND(IF($R$65,$W$65,TRUE),LEN(TRIM($W$65))&gt;0)</formula>
    </cfRule>
    <cfRule type="expression" dxfId="5289" priority="764">
      <formula>AND($R$65,$S$65)</formula>
    </cfRule>
  </conditionalFormatting>
  <conditionalFormatting sqref="W66">
    <cfRule type="expression" dxfId="5288" priority="760">
      <formula>AND($R$66,$S$66)</formula>
    </cfRule>
    <cfRule type="expression" dxfId="5287" priority="757">
      <formula>OR($T$66 = TRUE, AND(LEN(TRIM($W$66))&gt;0, $S$66 = FALSE))</formula>
    </cfRule>
    <cfRule type="expression" dxfId="5286" priority="758">
      <formula>$S$66 = FALSE</formula>
    </cfRule>
    <cfRule type="expression" dxfId="5285" priority="759">
      <formula>AND(IF($R$66,$W$66,TRUE),LEN(TRIM($W$66))&gt;0)</formula>
    </cfRule>
  </conditionalFormatting>
  <conditionalFormatting sqref="W67">
    <cfRule type="expression" dxfId="5284" priority="749">
      <formula>OR($T$67 = TRUE, AND(LEN(TRIM($W$67))&gt;0, $S$67 = FALSE))</formula>
    </cfRule>
    <cfRule type="expression" dxfId="5283" priority="750">
      <formula>$S$67 = FALSE</formula>
    </cfRule>
    <cfRule type="expression" dxfId="5282" priority="751">
      <formula>AND(IF($R$67,$W$67,TRUE),LEN(TRIM($W$67))&gt;0)</formula>
    </cfRule>
    <cfRule type="expression" dxfId="5281" priority="752">
      <formula>AND($R$67,$S$67)</formula>
    </cfRule>
  </conditionalFormatting>
  <conditionalFormatting sqref="W71">
    <cfRule type="expression" dxfId="5280" priority="748">
      <formula>AND($R$71,$S$71)</formula>
    </cfRule>
    <cfRule type="expression" dxfId="5279" priority="746">
      <formula>$S$71 = FALSE</formula>
    </cfRule>
    <cfRule type="expression" dxfId="5278" priority="747">
      <formula>AND(IF($R$71,$W$71,TRUE),LEN(TRIM($W$71))&gt;0)</formula>
    </cfRule>
    <cfRule type="expression" dxfId="5277" priority="745">
      <formula>OR($T$71 = TRUE, AND(LEN(TRIM($W$71))&gt;0, $S$71 = FALSE))</formula>
    </cfRule>
  </conditionalFormatting>
  <conditionalFormatting sqref="W73">
    <cfRule type="expression" dxfId="5276" priority="744">
      <formula>AND($R$73,$S$73)</formula>
    </cfRule>
    <cfRule type="expression" dxfId="5275" priority="743">
      <formula>AND(IF($R$73,$W$73,TRUE),LEN(TRIM($W$73))&gt;0)</formula>
    </cfRule>
    <cfRule type="expression" dxfId="5274" priority="742">
      <formula>$S$73 = FALSE</formula>
    </cfRule>
    <cfRule type="expression" dxfId="5273" priority="741">
      <formula>OR($T$73 = TRUE, AND(LEN(TRIM($W$73))&gt;0, $S$73 = FALSE))</formula>
    </cfRule>
  </conditionalFormatting>
  <conditionalFormatting sqref="W80">
    <cfRule type="expression" dxfId="5272" priority="316">
      <formula>AND($R$80,$S$80)</formula>
    </cfRule>
    <cfRule type="expression" dxfId="5271" priority="315">
      <formula>AND(IF($R$80,$W$80,TRUE),LEN(TRIM($W$80))&gt;0)</formula>
    </cfRule>
    <cfRule type="expression" dxfId="5270" priority="314">
      <formula>$S$80 = FALSE</formula>
    </cfRule>
    <cfRule type="expression" dxfId="5269" priority="313">
      <formula>OR($T$80 = TRUE, AND($W$80 = TRUE, $S$80 = FALSE))</formula>
    </cfRule>
  </conditionalFormatting>
  <conditionalFormatting sqref="W93">
    <cfRule type="expression" dxfId="5268" priority="2">
      <formula>OR($T$93 = TRUE, AND(LEN(TRIM($W$93))&gt;0, $S$93 = FALSE))</formula>
    </cfRule>
    <cfRule type="expression" dxfId="5267" priority="5">
      <formula>AND($R$93,$S$93)</formula>
    </cfRule>
    <cfRule type="expression" dxfId="5266" priority="4">
      <formula>AND($W$93&lt;&gt;"Not Met",LEN(TRIM($W$93))&gt;0)</formula>
    </cfRule>
    <cfRule type="expression" dxfId="5265" priority="3">
      <formula>$S$93 = FALSE</formula>
    </cfRule>
  </conditionalFormatting>
  <conditionalFormatting sqref="W96">
    <cfRule type="expression" dxfId="5264" priority="304">
      <formula>AND($R$96,$S$96)</formula>
    </cfRule>
    <cfRule type="expression" dxfId="5263" priority="303">
      <formula>AND(IF($R$96,$W$96,TRUE),LEN(TRIM($W$96))&gt;0)</formula>
    </cfRule>
    <cfRule type="expression" dxfId="5262" priority="302">
      <formula>$S$96 = FALSE</formula>
    </cfRule>
    <cfRule type="expression" dxfId="5261" priority="301">
      <formula>OR($T$96 = TRUE, AND($W$96 = TRUE, $S$96 = FALSE))</formula>
    </cfRule>
  </conditionalFormatting>
  <conditionalFormatting sqref="W100">
    <cfRule type="expression" dxfId="5260" priority="300">
      <formula>AND($R$100,$S$100)</formula>
    </cfRule>
    <cfRule type="expression" dxfId="5259" priority="299">
      <formula>AND(IF($R$100,$W$100,TRUE),LEN(TRIM($W$100))&gt;0)</formula>
    </cfRule>
    <cfRule type="expression" dxfId="5258" priority="298">
      <formula>$S$100 = FALSE</formula>
    </cfRule>
    <cfRule type="expression" dxfId="5257" priority="297">
      <formula>OR($T$100 = TRUE, AND($W$100 = TRUE, $S$100 = FALSE))</formula>
    </cfRule>
  </conditionalFormatting>
  <conditionalFormatting sqref="W101">
    <cfRule type="expression" dxfId="5256" priority="296">
      <formula>AND($R$101,$S$101)</formula>
    </cfRule>
    <cfRule type="expression" dxfId="5255" priority="295">
      <formula>AND(IF($R$101,$W$101,TRUE),LEN(TRIM($W$101))&gt;0)</formula>
    </cfRule>
    <cfRule type="expression" dxfId="5254" priority="294">
      <formula>$S$101 = FALSE</formula>
    </cfRule>
    <cfRule type="expression" dxfId="5253" priority="293">
      <formula>OR($T$101 = TRUE, AND($W$101 = TRUE, $S$101 = FALSE))</formula>
    </cfRule>
  </conditionalFormatting>
  <conditionalFormatting sqref="W103">
    <cfRule type="expression" dxfId="5252" priority="291">
      <formula>AND(IF($R$103,$W$103,TRUE),LEN(TRIM($W$103))&gt;0)</formula>
    </cfRule>
    <cfRule type="expression" dxfId="5251" priority="292">
      <formula>AND($R$103,$S$103)</formula>
    </cfRule>
    <cfRule type="expression" dxfId="5250" priority="290">
      <formula>$S$103 = FALSE</formula>
    </cfRule>
    <cfRule type="expression" dxfId="5249" priority="289">
      <formula>OR($T$103 = TRUE, AND($W$103 = TRUE, $S$103 = FALSE))</formula>
    </cfRule>
  </conditionalFormatting>
  <conditionalFormatting sqref="W105">
    <cfRule type="expression" dxfId="5248" priority="285">
      <formula>OR($T$105 = TRUE, AND($W$105 = TRUE, $S$105 = FALSE))</formula>
    </cfRule>
    <cfRule type="expression" dxfId="5247" priority="286">
      <formula>$S$105 = FALSE</formula>
    </cfRule>
    <cfRule type="expression" dxfId="5246" priority="287">
      <formula>AND(IF($R$105,$W$105,TRUE),LEN(TRIM($W$105))&gt;0)</formula>
    </cfRule>
    <cfRule type="expression" dxfId="5245" priority="288">
      <formula>AND($R$105,$S$105)</formula>
    </cfRule>
  </conditionalFormatting>
  <conditionalFormatting sqref="W111">
    <cfRule type="expression" dxfId="5244" priority="284">
      <formula>AND($R$111,$S$111)</formula>
    </cfRule>
    <cfRule type="expression" dxfId="5243" priority="283">
      <formula>AND(IF($R$111,$W$111,TRUE),LEN(TRIM($W$111))&gt;0)</formula>
    </cfRule>
    <cfRule type="expression" dxfId="5242" priority="282">
      <formula>$S$111 = FALSE</formula>
    </cfRule>
    <cfRule type="expression" dxfId="5241" priority="281">
      <formula>OR($T$111 = TRUE, AND($W$111 = TRUE, $S$111 = FALSE))</formula>
    </cfRule>
  </conditionalFormatting>
  <conditionalFormatting sqref="W113">
    <cfRule type="expression" dxfId="5240" priority="398">
      <formula>$S$113 = FALSE</formula>
    </cfRule>
    <cfRule type="expression" dxfId="5239" priority="400">
      <formula>AND($R$113,$S$113)</formula>
    </cfRule>
    <cfRule type="expression" dxfId="5238" priority="397">
      <formula>OR($T$113 = TRUE, AND(LEN(TRIM($W$113))&gt;0, $S$113 = FALSE))</formula>
    </cfRule>
    <cfRule type="expression" dxfId="5237" priority="399">
      <formula>AND($W$113&lt;&gt;"Not Met",LEN(TRIM($W$113))&gt;0)</formula>
    </cfRule>
  </conditionalFormatting>
  <conditionalFormatting sqref="W117">
    <cfRule type="expression" dxfId="5236" priority="277">
      <formula>OR($T$117 = TRUE, AND($W$117 = TRUE, $S$117 = FALSE))</formula>
    </cfRule>
    <cfRule type="expression" dxfId="5235" priority="279">
      <formula>AND(IF($R$117,$W$117,TRUE),LEN(TRIM($W$117))&gt;0)</formula>
    </cfRule>
    <cfRule type="expression" dxfId="5234" priority="278">
      <formula>$S$117 = FALSE</formula>
    </cfRule>
    <cfRule type="expression" dxfId="5233" priority="280">
      <formula>AND($R$117,$S$117)</formula>
    </cfRule>
  </conditionalFormatting>
  <conditionalFormatting sqref="W119">
    <cfRule type="expression" dxfId="5232" priority="393">
      <formula>OR($T$119 = TRUE, AND(LEN(TRIM($W$119))&gt;0, $S$119 = FALSE))</formula>
    </cfRule>
    <cfRule type="expression" dxfId="5231" priority="395">
      <formula>AND($W$119&lt;&gt;"Not Met",LEN(TRIM($W$119))&gt;0)</formula>
    </cfRule>
    <cfRule type="expression" dxfId="5230" priority="394">
      <formula>$S$119 = FALSE</formula>
    </cfRule>
    <cfRule type="expression" dxfId="5229" priority="396">
      <formula>AND($R$119,$S$119)</formula>
    </cfRule>
  </conditionalFormatting>
  <conditionalFormatting sqref="W122">
    <cfRule type="expression" dxfId="5228" priority="690">
      <formula>AND($R$122,$S$122)</formula>
    </cfRule>
    <cfRule type="expression" dxfId="5227" priority="689">
      <formula>AND(IF($R$122,$W$122,TRUE),LEN(TRIM($W$122))&gt;0)</formula>
    </cfRule>
    <cfRule type="expression" dxfId="5226" priority="688">
      <formula>$S$122 = FALSE</formula>
    </cfRule>
    <cfRule type="expression" dxfId="5225" priority="687">
      <formula>OR($T$122 = TRUE, AND(LEN(TRIM($W$122))&gt;0, $S$122 = FALSE))</formula>
    </cfRule>
  </conditionalFormatting>
  <conditionalFormatting sqref="W123">
    <cfRule type="expression" dxfId="5224" priority="273">
      <formula>OR($T$123 = TRUE, AND($W$123 = TRUE, $S$123 = FALSE))</formula>
    </cfRule>
    <cfRule type="expression" dxfId="5223" priority="274">
      <formula>$S$123 = FALSE</formula>
    </cfRule>
    <cfRule type="expression" dxfId="5222" priority="275">
      <formula>AND(IF($R$123,$W$123,TRUE),LEN(TRIM($W$123))&gt;0)</formula>
    </cfRule>
    <cfRule type="expression" dxfId="5221" priority="276">
      <formula>AND($R$123,$S$123)</formula>
    </cfRule>
  </conditionalFormatting>
  <conditionalFormatting sqref="W125">
    <cfRule type="expression" dxfId="5220" priority="271">
      <formula>AND(IF($R$125,$W$125,TRUE),LEN(TRIM($W$125))&gt;0)</formula>
    </cfRule>
    <cfRule type="expression" dxfId="5219" priority="269">
      <formula>OR($T$125 = TRUE, AND($W$125 = TRUE, $S$125 = FALSE))</formula>
    </cfRule>
    <cfRule type="expression" dxfId="5218" priority="270">
      <formula>$S$125 = FALSE</formula>
    </cfRule>
    <cfRule type="expression" dxfId="5217" priority="272">
      <formula>AND($R$125,$S$125)</formula>
    </cfRule>
  </conditionalFormatting>
  <conditionalFormatting sqref="W131">
    <cfRule type="expression" dxfId="5216" priority="268">
      <formula>AND($R$131,$S$131)</formula>
    </cfRule>
    <cfRule type="expression" dxfId="5215" priority="265">
      <formula>OR($T$131 = TRUE, AND($W$131 = TRUE, $S$131 = FALSE))</formula>
    </cfRule>
    <cfRule type="expression" dxfId="5214" priority="267">
      <formula>AND(IF($R$131,$W$131,TRUE),LEN(TRIM($W$131))&gt;0)</formula>
    </cfRule>
    <cfRule type="expression" dxfId="5213" priority="266">
      <formula>$S$131 = FALSE</formula>
    </cfRule>
  </conditionalFormatting>
  <conditionalFormatting sqref="W135">
    <cfRule type="expression" dxfId="5212" priority="263">
      <formula>AND(IF($R$135,$W$135,TRUE),LEN(TRIM($W$135))&gt;0)</formula>
    </cfRule>
    <cfRule type="expression" dxfId="5211" priority="262">
      <formula>$S$135 = FALSE</formula>
    </cfRule>
    <cfRule type="expression" dxfId="5210" priority="261">
      <formula>OR($T$135 = TRUE, AND($W$135 = TRUE, $S$135 = FALSE))</formula>
    </cfRule>
    <cfRule type="expression" dxfId="5209" priority="264">
      <formula>AND($R$135,$S$135)</formula>
    </cfRule>
  </conditionalFormatting>
  <conditionalFormatting sqref="W139">
    <cfRule type="expression" dxfId="5208" priority="260">
      <formula>AND($R$139,$S$139)</formula>
    </cfRule>
    <cfRule type="expression" dxfId="5207" priority="259">
      <formula>AND(IF($R$139,$W$139,TRUE),LEN(TRIM($W$139))&gt;0)</formula>
    </cfRule>
    <cfRule type="expression" dxfId="5206" priority="257">
      <formula>OR($T$139 = TRUE, AND($W$139 = TRUE, $S$139 = FALSE))</formula>
    </cfRule>
    <cfRule type="expression" dxfId="5205" priority="258">
      <formula>$S$139 = FALSE</formula>
    </cfRule>
  </conditionalFormatting>
  <conditionalFormatting sqref="W144">
    <cfRule type="expression" dxfId="5204" priority="254">
      <formula>$S$144 = FALSE</formula>
    </cfRule>
    <cfRule type="expression" dxfId="5203" priority="255">
      <formula>AND(IF($R$144,$W$144,TRUE),LEN(TRIM($W$144))&gt;0)</formula>
    </cfRule>
    <cfRule type="expression" dxfId="5202" priority="253">
      <formula>OR($T$144 = TRUE, AND($W$144 = TRUE, $S$144 = FALSE))</formula>
    </cfRule>
    <cfRule type="expression" dxfId="5201" priority="256">
      <formula>AND($R$144,$S$144)</formula>
    </cfRule>
  </conditionalFormatting>
  <conditionalFormatting sqref="W146">
    <cfRule type="expression" dxfId="5200" priority="389">
      <formula>OR($T$146 = TRUE, AND(LEN(TRIM($W$146))&gt;0, $S$146 = FALSE))</formula>
    </cfRule>
    <cfRule type="expression" dxfId="5199" priority="391">
      <formula>AND($W$146&lt;&gt;"Not Met",LEN(TRIM($W$146))&gt;0)</formula>
    </cfRule>
    <cfRule type="expression" dxfId="5198" priority="392">
      <formula>AND($R$146,$S$146)</formula>
    </cfRule>
    <cfRule type="expression" dxfId="5197" priority="390">
      <formula>$S$146 = FALSE</formula>
    </cfRule>
  </conditionalFormatting>
  <conditionalFormatting sqref="W149">
    <cfRule type="expression" dxfId="5196" priority="250">
      <formula>$S$149 = FALSE</formula>
    </cfRule>
    <cfRule type="expression" dxfId="5195" priority="252">
      <formula>AND($R$149,$S$149)</formula>
    </cfRule>
    <cfRule type="expression" dxfId="5194" priority="251">
      <formula>AND(IF($R$149,$W$149,TRUE),LEN(TRIM($W$149))&gt;0)</formula>
    </cfRule>
    <cfRule type="expression" dxfId="5193" priority="249">
      <formula>OR($T$149 = TRUE, AND($W$149 = TRUE, $S$149 = FALSE))</formula>
    </cfRule>
  </conditionalFormatting>
  <conditionalFormatting sqref="W151">
    <cfRule type="expression" dxfId="5192" priority="247">
      <formula>AND(IF($R$151,$W$151,TRUE),LEN(TRIM($W$151))&gt;0)</formula>
    </cfRule>
    <cfRule type="expression" dxfId="5191" priority="246">
      <formula>$S$151 = FALSE</formula>
    </cfRule>
    <cfRule type="expression" dxfId="5190" priority="245">
      <formula>OR($T$151 = TRUE, AND($W$151 = TRUE, $S$151 = FALSE))</formula>
    </cfRule>
    <cfRule type="expression" dxfId="5189" priority="248">
      <formula>AND($R$151,$S$151)</formula>
    </cfRule>
  </conditionalFormatting>
  <conditionalFormatting sqref="W153">
    <cfRule type="expression" dxfId="5188" priority="243">
      <formula>AND(IF($R$153,$W$153,TRUE),LEN(TRIM($W$153))&gt;0)</formula>
    </cfRule>
    <cfRule type="expression" dxfId="5187" priority="241">
      <formula>OR($T$153 = TRUE, AND($W$153 = TRUE, $S$153 = FALSE))</formula>
    </cfRule>
    <cfRule type="expression" dxfId="5186" priority="242">
      <formula>$S$153 = FALSE</formula>
    </cfRule>
    <cfRule type="expression" dxfId="5185" priority="244">
      <formula>AND($R$153,$S$153)</formula>
    </cfRule>
  </conditionalFormatting>
  <conditionalFormatting sqref="W157">
    <cfRule type="expression" dxfId="5184" priority="386">
      <formula>$S$157 = FALSE</formula>
    </cfRule>
    <cfRule type="expression" dxfId="5183" priority="385">
      <formula>OR($T$157 = TRUE, AND(LEN(TRIM($W$157))&gt;0, $S$157 = FALSE))</formula>
    </cfRule>
    <cfRule type="expression" dxfId="5182" priority="388">
      <formula>AND($R$157,$S$157)</formula>
    </cfRule>
    <cfRule type="expression" dxfId="5181" priority="387">
      <formula>AND($W$157&lt;&gt;"Not Met",LEN(TRIM($W$157))&gt;0)</formula>
    </cfRule>
  </conditionalFormatting>
  <conditionalFormatting sqref="W165">
    <cfRule type="expression" dxfId="5180" priority="239">
      <formula>AND(IF($R$165,$W$165,TRUE),LEN(TRIM($W$165))&gt;0)</formula>
    </cfRule>
    <cfRule type="expression" dxfId="5179" priority="237">
      <formula>OR($T$165 = TRUE, AND($W$165 = TRUE, $S$165 = FALSE))</formula>
    </cfRule>
    <cfRule type="expression" dxfId="5178" priority="238">
      <formula>$S$165 = FALSE</formula>
    </cfRule>
    <cfRule type="expression" dxfId="5177" priority="240">
      <formula>AND($R$165,$S$165)</formula>
    </cfRule>
  </conditionalFormatting>
  <conditionalFormatting sqref="W175">
    <cfRule type="expression" dxfId="5176" priority="233">
      <formula>OR($T$175 = TRUE, AND($W$175 = TRUE, $S$175 = FALSE))</formula>
    </cfRule>
    <cfRule type="expression" dxfId="5175" priority="234">
      <formula>$S$175 = FALSE</formula>
    </cfRule>
    <cfRule type="expression" dxfId="5174" priority="235">
      <formula>AND(IF($R$175,$W$175,TRUE),LEN(TRIM($W$175))&gt;0)</formula>
    </cfRule>
    <cfRule type="expression" dxfId="5173" priority="236">
      <formula>AND($R$175,$S$175)</formula>
    </cfRule>
  </conditionalFormatting>
  <conditionalFormatting sqref="W178">
    <cfRule type="expression" dxfId="5172" priority="231">
      <formula>AND(IF($R$178,$W$178,TRUE),LEN(TRIM($W$178))&gt;0)</formula>
    </cfRule>
    <cfRule type="expression" dxfId="5171" priority="232">
      <formula>AND($R$178,$S$178)</formula>
    </cfRule>
    <cfRule type="expression" dxfId="5170" priority="229">
      <formula>OR($T$178 = TRUE, AND($W$178 = TRUE, $S$178 = FALSE))</formula>
    </cfRule>
    <cfRule type="expression" dxfId="5169" priority="230">
      <formula>$S$178 = FALSE</formula>
    </cfRule>
  </conditionalFormatting>
  <conditionalFormatting sqref="W179">
    <cfRule type="expression" dxfId="5168" priority="227">
      <formula>AND(IF($R$179,$W$179,TRUE),LEN(TRIM($W$179))&gt;0)</formula>
    </cfRule>
    <cfRule type="expression" dxfId="5167" priority="225">
      <formula>OR($T$179 = TRUE, AND($W$179 = TRUE, $S$179 = FALSE))</formula>
    </cfRule>
    <cfRule type="expression" dxfId="5166" priority="226">
      <formula>$S$179 = FALSE</formula>
    </cfRule>
    <cfRule type="expression" dxfId="5165" priority="228">
      <formula>AND($R$179,$S$179)</formula>
    </cfRule>
  </conditionalFormatting>
  <conditionalFormatting sqref="W183">
    <cfRule type="expression" dxfId="5164" priority="651">
      <formula>AND(IF($R$183,$W$183,TRUE),LEN(TRIM($W$183))&gt;0)</formula>
    </cfRule>
    <cfRule type="expression" dxfId="5163" priority="649">
      <formula>OR($T$183 = TRUE, AND(LEN(TRIM($W$183))&gt;0, $S$183 = FALSE))</formula>
    </cfRule>
    <cfRule type="expression" dxfId="5162" priority="652">
      <formula>AND($R$183,$S$183)</formula>
    </cfRule>
    <cfRule type="expression" dxfId="5161" priority="650">
      <formula>$S$183 = FALSE</formula>
    </cfRule>
  </conditionalFormatting>
  <conditionalFormatting sqref="W189">
    <cfRule type="expression" dxfId="5160" priority="221">
      <formula>OR($T$189 = TRUE, AND($W$189 = TRUE, $S$189 = FALSE))</formula>
    </cfRule>
    <cfRule type="expression" dxfId="5159" priority="222">
      <formula>$S$189 = FALSE</formula>
    </cfRule>
    <cfRule type="expression" dxfId="5158" priority="224">
      <formula>AND($R$189,$S$189)</formula>
    </cfRule>
    <cfRule type="expression" dxfId="5157" priority="223">
      <formula>AND(IF($R$189,$W$189,TRUE),LEN(TRIM($W$189))&gt;0)</formula>
    </cfRule>
  </conditionalFormatting>
  <conditionalFormatting sqref="W191">
    <cfRule type="expression" dxfId="5156" priority="220">
      <formula>AND($R$191,$S$191)</formula>
    </cfRule>
    <cfRule type="expression" dxfId="5155" priority="219">
      <formula>AND(IF($R$191,$W$191,TRUE),LEN(TRIM($W$191))&gt;0)</formula>
    </cfRule>
    <cfRule type="expression" dxfId="5154" priority="218">
      <formula>$S$191 = FALSE</formula>
    </cfRule>
    <cfRule type="expression" dxfId="5153" priority="217">
      <formula>OR($T$191 = TRUE, AND($W$191 = TRUE, $S$191 = FALSE))</formula>
    </cfRule>
  </conditionalFormatting>
  <conditionalFormatting sqref="W193">
    <cfRule type="expression" dxfId="5152" priority="645">
      <formula>OR($T$193 = TRUE, AND(LEN(TRIM($W$193))&gt;0, $S$193 = FALSE))</formula>
    </cfRule>
    <cfRule type="expression" dxfId="5151" priority="646">
      <formula>$S$193 = FALSE</formula>
    </cfRule>
    <cfRule type="expression" dxfId="5150" priority="647">
      <formula>AND(IF($R$193,$W$193,TRUE),LEN(TRIM($W$193))&gt;0)</formula>
    </cfRule>
    <cfRule type="expression" dxfId="5149" priority="648">
      <formula>AND($R$193,$S$193)</formula>
    </cfRule>
  </conditionalFormatting>
  <conditionalFormatting sqref="W205">
    <cfRule type="expression" dxfId="5148" priority="384">
      <formula>AND($R$205,$S$205)</formula>
    </cfRule>
    <cfRule type="expression" dxfId="5147" priority="381">
      <formula>OR($T$205 = TRUE, AND(LEN(TRIM($W$205))&gt;0, $S$205 = FALSE))</formula>
    </cfRule>
    <cfRule type="expression" dxfId="5146" priority="382">
      <formula>$S$205 = FALSE</formula>
    </cfRule>
    <cfRule type="expression" dxfId="5145" priority="383">
      <formula>AND($W$205&lt;&gt;"Not Met",LEN(TRIM($W$205))&gt;0)</formula>
    </cfRule>
  </conditionalFormatting>
  <conditionalFormatting sqref="W207">
    <cfRule type="expression" dxfId="5144" priority="214">
      <formula>$S$207 = FALSE</formula>
    </cfRule>
    <cfRule type="expression" dxfId="5143" priority="213">
      <formula>OR($T$207 = TRUE, AND($W$207 = TRUE, $S$207 = FALSE))</formula>
    </cfRule>
    <cfRule type="expression" dxfId="5142" priority="215">
      <formula>AND(IF($R$207,$W$207,TRUE),LEN(TRIM($W$207))&gt;0)</formula>
    </cfRule>
    <cfRule type="expression" dxfId="5141" priority="216">
      <formula>AND($R$207,$S$207)</formula>
    </cfRule>
  </conditionalFormatting>
  <conditionalFormatting sqref="W210">
    <cfRule type="expression" dxfId="5140" priority="380">
      <formula>AND($R$210,$S$210)</formula>
    </cfRule>
    <cfRule type="expression" dxfId="5139" priority="379">
      <formula>AND($W$210&lt;&gt;"Not Met",LEN(TRIM($W$210))&gt;0)</formula>
    </cfRule>
    <cfRule type="expression" dxfId="5138" priority="378">
      <formula>$S$210 = FALSE</formula>
    </cfRule>
    <cfRule type="expression" dxfId="5137" priority="377">
      <formula>OR($T$210 = TRUE, AND(LEN(TRIM($W$210))&gt;0, $S$210 = FALSE))</formula>
    </cfRule>
  </conditionalFormatting>
  <conditionalFormatting sqref="W216">
    <cfRule type="expression" dxfId="5136" priority="376">
      <formula>AND($R$216,$S$216)</formula>
    </cfRule>
    <cfRule type="expression" dxfId="5135" priority="375">
      <formula>AND($W$216&lt;&gt;"Not Met",LEN(TRIM($W$216))&gt;0)</formula>
    </cfRule>
    <cfRule type="expression" dxfId="5134" priority="373">
      <formula>OR($T$216 = TRUE, AND(LEN(TRIM($W$216))&gt;0, $S$216 = FALSE))</formula>
    </cfRule>
    <cfRule type="expression" dxfId="5133" priority="374">
      <formula>$S$216 = FALSE</formula>
    </cfRule>
  </conditionalFormatting>
  <conditionalFormatting sqref="W218">
    <cfRule type="expression" dxfId="5132" priority="212">
      <formula>AND($R$218,$S$218)</formula>
    </cfRule>
    <cfRule type="expression" dxfId="5131" priority="211">
      <formula>AND(IF($R$218,$W$218,TRUE),LEN(TRIM($W$218))&gt;0)</formula>
    </cfRule>
    <cfRule type="expression" dxfId="5130" priority="210">
      <formula>$S$218 = FALSE</formula>
    </cfRule>
    <cfRule type="expression" dxfId="5129" priority="209">
      <formula>OR($T$218 = TRUE, AND($W$218 = TRUE, $S$218 = FALSE))</formula>
    </cfRule>
  </conditionalFormatting>
  <conditionalFormatting sqref="W219">
    <cfRule type="expression" dxfId="5128" priority="208">
      <formula>AND($R$219,$S$219)</formula>
    </cfRule>
    <cfRule type="expression" dxfId="5127" priority="207">
      <formula>AND(IF($R$219,$W$219,TRUE),LEN(TRIM($W$219))&gt;0)</formula>
    </cfRule>
    <cfRule type="expression" dxfId="5126" priority="206">
      <formula>$S$219 = FALSE</formula>
    </cfRule>
    <cfRule type="expression" dxfId="5125" priority="205">
      <formula>OR($T$219 = TRUE, AND($W$219 = TRUE, $S$219 = FALSE))</formula>
    </cfRule>
  </conditionalFormatting>
  <conditionalFormatting sqref="W220">
    <cfRule type="expression" dxfId="5124" priority="20">
      <formula>$S$220 = FALSE</formula>
    </cfRule>
    <cfRule type="expression" dxfId="5123" priority="21">
      <formula>AND(IF($R$220,$W$220,TRUE),LEN(TRIM($W$220))&gt;0)</formula>
    </cfRule>
    <cfRule type="expression" dxfId="5122" priority="22">
      <formula>AND($R$220,$S$220)</formula>
    </cfRule>
    <cfRule type="expression" dxfId="5121" priority="19">
      <formula>OR($T$220 = TRUE, AND($W$220 = TRUE, $S$220 = FALSE))</formula>
    </cfRule>
  </conditionalFormatting>
  <conditionalFormatting sqref="W227">
    <cfRule type="expression" dxfId="5120" priority="204">
      <formula>AND($R$227,$S$227)</formula>
    </cfRule>
    <cfRule type="expression" dxfId="5119" priority="203">
      <formula>AND(IF($R$227,$W$227,TRUE),LEN(TRIM($W$227))&gt;0)</formula>
    </cfRule>
    <cfRule type="expression" dxfId="5118" priority="202">
      <formula>$S$227 = FALSE</formula>
    </cfRule>
    <cfRule type="expression" dxfId="5117" priority="201">
      <formula>OR($T$227 = TRUE, AND($W$227 = TRUE, $S$227 = FALSE))</formula>
    </cfRule>
  </conditionalFormatting>
  <conditionalFormatting sqref="W229">
    <cfRule type="expression" dxfId="5116" priority="198">
      <formula>$S$229 = FALSE</formula>
    </cfRule>
    <cfRule type="expression" dxfId="5115" priority="199">
      <formula>AND(IF($R$229,$W$229,TRUE),LEN(TRIM($W$229))&gt;0)</formula>
    </cfRule>
    <cfRule type="expression" dxfId="5114" priority="197">
      <formula>OR($T$229 = TRUE, AND($W$229 = TRUE, $S$229 = FALSE))</formula>
    </cfRule>
    <cfRule type="expression" dxfId="5113" priority="200">
      <formula>AND($R$229,$S$229)</formula>
    </cfRule>
  </conditionalFormatting>
  <conditionalFormatting sqref="W230">
    <cfRule type="expression" dxfId="5112" priority="194">
      <formula>$S$230 = FALSE</formula>
    </cfRule>
    <cfRule type="expression" dxfId="5111" priority="193">
      <formula>OR($T$230 = TRUE, AND($W$230 = TRUE, $S$230 = FALSE))</formula>
    </cfRule>
    <cfRule type="expression" dxfId="5110" priority="196">
      <formula>AND($R$230,$S$230)</formula>
    </cfRule>
    <cfRule type="expression" dxfId="5109" priority="195">
      <formula>AND(IF($R$230,$W$230,TRUE),LEN(TRIM($W$230))&gt;0)</formula>
    </cfRule>
  </conditionalFormatting>
  <conditionalFormatting sqref="W233">
    <cfRule type="expression" dxfId="5108" priority="192">
      <formula>AND($R$233,$S$233)</formula>
    </cfRule>
    <cfRule type="expression" dxfId="5107" priority="191">
      <formula>AND(IF($R$233,$W$233,TRUE),LEN(TRIM($W$233))&gt;0)</formula>
    </cfRule>
    <cfRule type="expression" dxfId="5106" priority="190">
      <formula>$S$233 = FALSE</formula>
    </cfRule>
    <cfRule type="expression" dxfId="5105" priority="189">
      <formula>OR($T$233 = TRUE, AND($W$233 = TRUE, $S$233 = FALSE))</formula>
    </cfRule>
  </conditionalFormatting>
  <conditionalFormatting sqref="W237">
    <cfRule type="expression" dxfId="5104" priority="188">
      <formula>AND($R$237,$S$237)</formula>
    </cfRule>
    <cfRule type="expression" dxfId="5103" priority="187">
      <formula>AND(IF($R$237,$W$237,TRUE),LEN(TRIM($W$237))&gt;0)</formula>
    </cfRule>
    <cfRule type="expression" dxfId="5102" priority="186">
      <formula>$S$237 = FALSE</formula>
    </cfRule>
    <cfRule type="expression" dxfId="5101" priority="185">
      <formula>OR($T$237 = TRUE, AND($W$237 = TRUE, $S$237 = FALSE))</formula>
    </cfRule>
  </conditionalFormatting>
  <conditionalFormatting sqref="W242">
    <cfRule type="expression" dxfId="5100" priority="184">
      <formula>AND($R$242,$S$242)</formula>
    </cfRule>
    <cfRule type="expression" dxfId="5099" priority="183">
      <formula>AND(IF($R$242,$W$242,TRUE),LEN(TRIM($W$242))&gt;0)</formula>
    </cfRule>
    <cfRule type="expression" dxfId="5098" priority="182">
      <formula>$S$242 = FALSE</formula>
    </cfRule>
    <cfRule type="expression" dxfId="5097" priority="181">
      <formula>OR($T$242 = TRUE, AND($W$242 = TRUE, $S$242 = FALSE))</formula>
    </cfRule>
  </conditionalFormatting>
  <conditionalFormatting sqref="W244">
    <cfRule type="expression" dxfId="5096" priority="178">
      <formula>$S$244 = FALSE</formula>
    </cfRule>
    <cfRule type="expression" dxfId="5095" priority="177">
      <formula>OR($T$244 = TRUE, AND($W$244 = TRUE, $S$244 = FALSE))</formula>
    </cfRule>
    <cfRule type="expression" dxfId="5094" priority="180">
      <formula>AND($R$244,$S$244)</formula>
    </cfRule>
    <cfRule type="expression" dxfId="5093" priority="179">
      <formula>AND(IF($R$244,$W$244,TRUE),LEN(TRIM($W$244))&gt;0)</formula>
    </cfRule>
  </conditionalFormatting>
  <conditionalFormatting sqref="W248">
    <cfRule type="expression" dxfId="5092" priority="627">
      <formula>AND($R$248,$S$248)</formula>
    </cfRule>
    <cfRule type="expression" dxfId="5091" priority="626">
      <formula>AND(IF($R$248,$W$248,TRUE),LEN(TRIM($W$248))&gt;0)</formula>
    </cfRule>
    <cfRule type="expression" dxfId="5090" priority="624">
      <formula>OR($T$248 = TRUE, AND($W$248 = TRUE, $S$248 = FALSE))</formula>
    </cfRule>
    <cfRule type="expression" dxfId="5089" priority="625">
      <formula>$S$248 = FALSE</formula>
    </cfRule>
  </conditionalFormatting>
  <conditionalFormatting sqref="W254">
    <cfRule type="expression" dxfId="5088" priority="618">
      <formula>AND(R254,S254)</formula>
    </cfRule>
    <cfRule type="expression" dxfId="5087" priority="615">
      <formula>OR(T254 = TRUE, AND(W254 = TRUE, S254 = FALSE))</formula>
    </cfRule>
    <cfRule type="expression" dxfId="5086" priority="616">
      <formula>S254 = FALSE</formula>
    </cfRule>
    <cfRule type="expression" dxfId="5085" priority="617">
      <formula>AND(IF(R254,W254,TRUE),LEN(TRIM(W254))&gt;0)</formula>
    </cfRule>
  </conditionalFormatting>
  <conditionalFormatting sqref="W261">
    <cfRule type="expression" dxfId="5084" priority="173">
      <formula>OR($T$261 = TRUE, AND($W$261 = TRUE, $S$261 = FALSE))</formula>
    </cfRule>
    <cfRule type="expression" dxfId="5083" priority="176">
      <formula>AND($R$261,$S$261)</formula>
    </cfRule>
    <cfRule type="expression" dxfId="5082" priority="175">
      <formula>AND(IF($R$261,$W$261,TRUE),LEN(TRIM($W$261))&gt;0)</formula>
    </cfRule>
    <cfRule type="expression" dxfId="5081" priority="174">
      <formula>$S$261 = FALSE</formula>
    </cfRule>
  </conditionalFormatting>
  <conditionalFormatting sqref="W266">
    <cfRule type="expression" dxfId="5080" priority="612">
      <formula>AND(IF(R266,W266,TRUE),LEN(TRIM(W266))&gt;0)</formula>
    </cfRule>
    <cfRule type="expression" dxfId="5079" priority="613">
      <formula>AND(R266,S266)</formula>
    </cfRule>
    <cfRule type="expression" dxfId="5078" priority="610">
      <formula>OR(T266 = TRUE, AND(W266 = TRUE, S266 = FALSE))</formula>
    </cfRule>
    <cfRule type="expression" dxfId="5077" priority="611">
      <formula>S266 = FALSE</formula>
    </cfRule>
  </conditionalFormatting>
  <conditionalFormatting sqref="W268">
    <cfRule type="expression" dxfId="5076" priority="608">
      <formula>AND(IF(R268,W268,TRUE),LEN(TRIM(W268))&gt;0)</formula>
    </cfRule>
    <cfRule type="expression" dxfId="5075" priority="606">
      <formula>OR(T268 = TRUE, AND(W268 = TRUE, S268 = FALSE))</formula>
    </cfRule>
    <cfRule type="expression" dxfId="5074" priority="607">
      <formula>S268 = FALSE</formula>
    </cfRule>
    <cfRule type="expression" dxfId="5073" priority="609">
      <formula>AND(R268,S268)</formula>
    </cfRule>
  </conditionalFormatting>
  <conditionalFormatting sqref="W270">
    <cfRule type="expression" dxfId="5072" priority="605">
      <formula>AND(R270,S270)</formula>
    </cfRule>
    <cfRule type="expression" dxfId="5071" priority="603">
      <formula>S270 = FALSE</formula>
    </cfRule>
    <cfRule type="expression" dxfId="5070" priority="602">
      <formula>OR(T270 = TRUE, AND(W270 = TRUE, S270 = FALSE))</formula>
    </cfRule>
    <cfRule type="expression" dxfId="5069" priority="604">
      <formula>AND(IF(R270,W270,TRUE),LEN(TRIM(W270))&gt;0)</formula>
    </cfRule>
  </conditionalFormatting>
  <conditionalFormatting sqref="W272">
    <cfRule type="expression" dxfId="5068" priority="601">
      <formula>AND(R272,S272)</formula>
    </cfRule>
    <cfRule type="expression" dxfId="5067" priority="600">
      <formula>AND(IF(R272,W272,TRUE),LEN(TRIM(W272))&gt;0)</formula>
    </cfRule>
    <cfRule type="expression" dxfId="5066" priority="599">
      <formula>S272 = FALSE</formula>
    </cfRule>
    <cfRule type="expression" dxfId="5065" priority="598">
      <formula>OR(T272 = TRUE, AND(W272 = TRUE, S272 = FALSE))</formula>
    </cfRule>
  </conditionalFormatting>
  <conditionalFormatting sqref="W275">
    <cfRule type="expression" dxfId="5064" priority="18">
      <formula>AND($R$275,$S$275)</formula>
    </cfRule>
    <cfRule type="expression" dxfId="5063" priority="16">
      <formula>$S$275 = FALSE</formula>
    </cfRule>
    <cfRule type="expression" dxfId="5062" priority="17">
      <formula>AND(IF($R$275,$W$275,TRUE),LEN(TRIM($W$275))&gt;0)</formula>
    </cfRule>
    <cfRule type="expression" dxfId="5061" priority="15">
      <formula>OR($T$275 = TRUE, AND($W$275 = TRUE, $S$275 = FALSE))</formula>
    </cfRule>
  </conditionalFormatting>
  <conditionalFormatting sqref="W278">
    <cfRule type="expression" dxfId="5060" priority="172">
      <formula>AND($R$278,$S$278)</formula>
    </cfRule>
    <cfRule type="expression" dxfId="5059" priority="171">
      <formula>AND(IF($R$278,$W$278,TRUE),LEN(TRIM($W$278))&gt;0)</formula>
    </cfRule>
    <cfRule type="expression" dxfId="5058" priority="170">
      <formula>$S$278 = FALSE</formula>
    </cfRule>
    <cfRule type="expression" dxfId="5057" priority="169">
      <formula>OR($T$278 = TRUE, AND($W$278 = TRUE, $S$278 = FALSE))</formula>
    </cfRule>
  </conditionalFormatting>
  <conditionalFormatting sqref="W291">
    <cfRule type="expression" dxfId="5056" priority="165">
      <formula>OR($T$291 = TRUE, AND($W$291 = TRUE, $S$291 = FALSE))</formula>
    </cfRule>
    <cfRule type="expression" dxfId="5055" priority="168">
      <formula>AND($R$291,$S$291)</formula>
    </cfRule>
    <cfRule type="expression" dxfId="5054" priority="167">
      <formula>AND(IF($R$291,$W$291,TRUE),LEN(TRIM($W$291))&gt;0)</formula>
    </cfRule>
    <cfRule type="expression" dxfId="5053" priority="166">
      <formula>$S$291 = FALSE</formula>
    </cfRule>
  </conditionalFormatting>
  <conditionalFormatting sqref="W293">
    <cfRule type="expression" dxfId="5052" priority="163">
      <formula>AND(IF($R$293,$W$293,TRUE),LEN(TRIM($W$293))&gt;0)</formula>
    </cfRule>
    <cfRule type="expression" dxfId="5051" priority="162">
      <formula>$S$293 = FALSE</formula>
    </cfRule>
    <cfRule type="expression" dxfId="5050" priority="161">
      <formula>OR($T$293 = TRUE, AND($W$293 = TRUE, $S$293 = FALSE))</formula>
    </cfRule>
    <cfRule type="expression" dxfId="5049" priority="164">
      <formula>AND($R$293,$S$293)</formula>
    </cfRule>
  </conditionalFormatting>
  <conditionalFormatting sqref="W306">
    <cfRule type="expression" dxfId="5048" priority="157">
      <formula>OR($T$306 = TRUE, AND($W$306 = TRUE, $S$306 = FALSE))</formula>
    </cfRule>
    <cfRule type="expression" dxfId="5047" priority="159">
      <formula>AND(IF($R$306,$W$306,TRUE),LEN(TRIM($W$306))&gt;0)</formula>
    </cfRule>
    <cfRule type="expression" dxfId="5046" priority="160">
      <formula>AND($R$306,$S$306)</formula>
    </cfRule>
    <cfRule type="expression" dxfId="5045" priority="158">
      <formula>$S$306 = FALSE</formula>
    </cfRule>
  </conditionalFormatting>
  <conditionalFormatting sqref="W307">
    <cfRule type="expression" dxfId="5044" priority="155">
      <formula>AND(IF($R$307,$W$307,TRUE),LEN(TRIM($W$307))&gt;0)</formula>
    </cfRule>
    <cfRule type="expression" dxfId="5043" priority="154">
      <formula>$S$307 = FALSE</formula>
    </cfRule>
    <cfRule type="expression" dxfId="5042" priority="153">
      <formula>OR($T$307 = TRUE, AND($W$307 = TRUE, $S$307 = FALSE))</formula>
    </cfRule>
    <cfRule type="expression" dxfId="5041" priority="156">
      <formula>AND($R$307,$S$307)</formula>
    </cfRule>
  </conditionalFormatting>
  <conditionalFormatting sqref="W308">
    <cfRule type="expression" dxfId="5040" priority="152">
      <formula>AND($R$308,$S$308)</formula>
    </cfRule>
    <cfRule type="expression" dxfId="5039" priority="151">
      <formula>AND(IF($R$308,$W$308,TRUE),LEN(TRIM($W$308))&gt;0)</formula>
    </cfRule>
    <cfRule type="expression" dxfId="5038" priority="149">
      <formula>OR($T$308 = TRUE, AND($W$308 = TRUE, $S$308 = FALSE))</formula>
    </cfRule>
    <cfRule type="expression" dxfId="5037" priority="150">
      <formula>$S$308 = FALSE</formula>
    </cfRule>
  </conditionalFormatting>
  <conditionalFormatting sqref="W309">
    <cfRule type="expression" dxfId="5036" priority="145">
      <formula>OR($T$309 = TRUE, AND($W$309 = TRUE, $S$309 = FALSE))</formula>
    </cfRule>
    <cfRule type="expression" dxfId="5035" priority="146">
      <formula>$S$309 = FALSE</formula>
    </cfRule>
    <cfRule type="expression" dxfId="5034" priority="147">
      <formula>AND(IF($R$309,$W$309,TRUE),LEN(TRIM($W$309))&gt;0)</formula>
    </cfRule>
    <cfRule type="expression" dxfId="5033" priority="148">
      <formula>AND($R$309,$S$309)</formula>
    </cfRule>
  </conditionalFormatting>
  <conditionalFormatting sqref="W310">
    <cfRule type="expression" dxfId="5032" priority="144">
      <formula>AND($R$310,$S$310)</formula>
    </cfRule>
    <cfRule type="expression" dxfId="5031" priority="143">
      <formula>AND(IF($R$310,$W$310,TRUE),LEN(TRIM($W$310))&gt;0)</formula>
    </cfRule>
    <cfRule type="expression" dxfId="5030" priority="141">
      <formula>OR($T$310 = TRUE, AND($W$310 = TRUE, $S$310 = FALSE))</formula>
    </cfRule>
    <cfRule type="expression" dxfId="5029" priority="142">
      <formula>$S$310 = FALSE</formula>
    </cfRule>
  </conditionalFormatting>
  <conditionalFormatting sqref="W311">
    <cfRule type="expression" dxfId="5028" priority="139">
      <formula>AND(IF($R$311,$W$311,TRUE),LEN(TRIM($W$311))&gt;0)</formula>
    </cfRule>
    <cfRule type="expression" dxfId="5027" priority="137">
      <formula>OR($T$311 = TRUE, AND($W$311 = TRUE, $S$311 = FALSE))</formula>
    </cfRule>
    <cfRule type="expression" dxfId="5026" priority="138">
      <formula>$S$311 = FALSE</formula>
    </cfRule>
    <cfRule type="expression" dxfId="5025" priority="140">
      <formula>AND($R$311,$S$311)</formula>
    </cfRule>
  </conditionalFormatting>
  <conditionalFormatting sqref="W312">
    <cfRule type="expression" dxfId="5024" priority="133">
      <formula>OR($T$312 = TRUE, AND($W$312 = TRUE, $S$312 = FALSE))</formula>
    </cfRule>
    <cfRule type="expression" dxfId="5023" priority="134">
      <formula>$S$312 = FALSE</formula>
    </cfRule>
    <cfRule type="expression" dxfId="5022" priority="135">
      <formula>AND(IF($R$312,$W$312,TRUE),LEN(TRIM($W$312))&gt;0)</formula>
    </cfRule>
    <cfRule type="expression" dxfId="5021" priority="136">
      <formula>AND($R$312,$S$312)</formula>
    </cfRule>
  </conditionalFormatting>
  <conditionalFormatting sqref="W313">
    <cfRule type="expression" dxfId="5020" priority="131">
      <formula>AND(IF($R$313,$W$313,TRUE),LEN(TRIM($W$313))&gt;0)</formula>
    </cfRule>
    <cfRule type="expression" dxfId="5019" priority="132">
      <formula>AND($R$313,$S$313)</formula>
    </cfRule>
    <cfRule type="expression" dxfId="5018" priority="129">
      <formula>OR($T$313 = TRUE, AND($W$313 = TRUE, $S$313 = FALSE))</formula>
    </cfRule>
    <cfRule type="expression" dxfId="5017" priority="130">
      <formula>$S$313 = FALSE</formula>
    </cfRule>
  </conditionalFormatting>
  <conditionalFormatting sqref="W314">
    <cfRule type="expression" dxfId="5016" priority="126">
      <formula>$S$314 = FALSE</formula>
    </cfRule>
    <cfRule type="expression" dxfId="5015" priority="125">
      <formula>OR($T$314 = TRUE, AND($W$314 = TRUE, $S$314 = FALSE))</formula>
    </cfRule>
    <cfRule type="expression" dxfId="5014" priority="127">
      <formula>AND(IF($R$314,$W$314,TRUE),LEN(TRIM($W$314))&gt;0)</formula>
    </cfRule>
    <cfRule type="expression" dxfId="5013" priority="128">
      <formula>AND($R$314,$S$314)</formula>
    </cfRule>
  </conditionalFormatting>
  <conditionalFormatting sqref="W319">
    <cfRule type="expression" dxfId="5012" priority="543">
      <formula>OR($T$319 = TRUE, AND(LEN(TRIM($W$319))&gt;0, $S$319 = FALSE))</formula>
    </cfRule>
    <cfRule type="expression" dxfId="5011" priority="544">
      <formula>$S$319 = FALSE</formula>
    </cfRule>
    <cfRule type="expression" dxfId="5010" priority="546">
      <formula>AND($R$319,$S$319)</formula>
    </cfRule>
    <cfRule type="expression" dxfId="5009" priority="545">
      <formula>AND(IF($R$319,$W$319,TRUE),LEN(TRIM($W$319))&gt;0)</formula>
    </cfRule>
  </conditionalFormatting>
  <conditionalFormatting sqref="W320">
    <cfRule type="expression" dxfId="5008" priority="540">
      <formula>$S$320 = FALSE</formula>
    </cfRule>
    <cfRule type="expression" dxfId="5007" priority="541">
      <formula>AND(IF($R$320,$W$320,TRUE),LEN(TRIM($W$320))&gt;0)</formula>
    </cfRule>
    <cfRule type="expression" dxfId="5006" priority="542">
      <formula>AND($R$320,$S$320)</formula>
    </cfRule>
    <cfRule type="expression" dxfId="5005" priority="539">
      <formula>OR($T$320 = TRUE, AND(LEN(TRIM($W$320))&gt;0, $S$320 = FALSE))</formula>
    </cfRule>
  </conditionalFormatting>
  <conditionalFormatting sqref="W321">
    <cfRule type="expression" dxfId="5004" priority="536">
      <formula>$S$321 = FALSE</formula>
    </cfRule>
    <cfRule type="expression" dxfId="5003" priority="538">
      <formula>AND($R$321,$S$321)</formula>
    </cfRule>
    <cfRule type="expression" dxfId="5002" priority="535">
      <formula>OR($T$321 = TRUE, AND(LEN(TRIM($W$321))&gt;0, $S$321 = FALSE))</formula>
    </cfRule>
    <cfRule type="expression" dxfId="5001" priority="537">
      <formula>AND(IF($R$321,$W$321,TRUE),LEN(TRIM($W$321))&gt;0)</formula>
    </cfRule>
  </conditionalFormatting>
  <conditionalFormatting sqref="W322">
    <cfRule type="expression" dxfId="5000" priority="528">
      <formula>$S$322 = FALSE</formula>
    </cfRule>
    <cfRule type="expression" dxfId="4999" priority="527">
      <formula>OR($T$322 = TRUE, AND(LEN(TRIM($W$322))&gt;0, $S$322 = FALSE))</formula>
    </cfRule>
    <cfRule type="expression" dxfId="4998" priority="530">
      <formula>AND($R$322,$S$322)</formula>
    </cfRule>
    <cfRule type="expression" dxfId="4997" priority="529">
      <formula>AND(IF($R$322,$W$322,TRUE),LEN(TRIM($W$322))&gt;0)</formula>
    </cfRule>
  </conditionalFormatting>
  <conditionalFormatting sqref="W323">
    <cfRule type="expression" dxfId="4996" priority="523">
      <formula>OR($T$323 = TRUE, AND(LEN(TRIM($W$323))&gt;0, $S$323 = FALSE))</formula>
    </cfRule>
    <cfRule type="expression" dxfId="4995" priority="525">
      <formula>AND(IF($R$323,$W$323,TRUE),LEN(TRIM($W$323))&gt;0)</formula>
    </cfRule>
    <cfRule type="expression" dxfId="4994" priority="526">
      <formula>AND($R$323,$S$323)</formula>
    </cfRule>
    <cfRule type="expression" dxfId="4993" priority="524">
      <formula>$S$323 = FALSE</formula>
    </cfRule>
  </conditionalFormatting>
  <conditionalFormatting sqref="W324">
    <cfRule type="expression" dxfId="4992" priority="520">
      <formula>$S$324 = FALSE</formula>
    </cfRule>
    <cfRule type="expression" dxfId="4991" priority="519">
      <formula>OR($T$324 = TRUE, AND(LEN(TRIM($W$324))&gt;0, $S$324 = FALSE))</formula>
    </cfRule>
    <cfRule type="expression" dxfId="4990" priority="521">
      <formula>AND(IF($R$324,$W$324,TRUE),LEN(TRIM($W$324))&gt;0)</formula>
    </cfRule>
    <cfRule type="expression" dxfId="4989" priority="522">
      <formula>AND($R$324,$S$324)</formula>
    </cfRule>
  </conditionalFormatting>
  <conditionalFormatting sqref="W325">
    <cfRule type="expression" dxfId="4988" priority="518">
      <formula>AND($R$325,$S$325)</formula>
    </cfRule>
    <cfRule type="expression" dxfId="4987" priority="517">
      <formula>AND(IF($R$325,$W$325,TRUE),LEN(TRIM($W$325))&gt;0)</formula>
    </cfRule>
    <cfRule type="expression" dxfId="4986" priority="516">
      <formula>$S$325 = FALSE</formula>
    </cfRule>
    <cfRule type="expression" dxfId="4985" priority="515">
      <formula>OR($T$325 = TRUE, AND(LEN(TRIM($W$325))&gt;0, $S$325 = FALSE))</formula>
    </cfRule>
  </conditionalFormatting>
  <conditionalFormatting sqref="W326">
    <cfRule type="expression" dxfId="4984" priority="512">
      <formula>$S$326 = FALSE</formula>
    </cfRule>
    <cfRule type="expression" dxfId="4983" priority="511">
      <formula>OR($T$326 = TRUE, AND(LEN(TRIM($W$326))&gt;0, $S$326 = FALSE))</formula>
    </cfRule>
    <cfRule type="expression" dxfId="4982" priority="514">
      <formula>AND($R$326,$S$326)</formula>
    </cfRule>
    <cfRule type="expression" dxfId="4981" priority="513">
      <formula>AND(IF($R$326,$W$326,TRUE),LEN(TRIM($W$326))&gt;0)</formula>
    </cfRule>
  </conditionalFormatting>
  <conditionalFormatting sqref="W350">
    <cfRule type="expression" dxfId="4980" priority="509">
      <formula>AND(IF($R$350,$W$350,TRUE),LEN(TRIM($W$350))&gt;0)</formula>
    </cfRule>
    <cfRule type="expression" dxfId="4979" priority="508">
      <formula>$S$350 = FALSE</formula>
    </cfRule>
    <cfRule type="expression" dxfId="4978" priority="510">
      <formula>AND($R$350,$S$350)</formula>
    </cfRule>
    <cfRule type="expression" dxfId="4977" priority="507">
      <formula>OR($T$350 = TRUE, AND(LEN(TRIM($W$350))&gt;0, $S$350 = FALSE))</formula>
    </cfRule>
  </conditionalFormatting>
  <conditionalFormatting sqref="W351">
    <cfRule type="expression" dxfId="4976" priority="505">
      <formula>AND(IF($R$351,$W$351,TRUE),LEN(TRIM($W$351))&gt;0)</formula>
    </cfRule>
    <cfRule type="expression" dxfId="4975" priority="503">
      <formula>OR($T$351 = TRUE, AND(LEN(TRIM($W$351))&gt;0, $S$351 = FALSE))</formula>
    </cfRule>
    <cfRule type="expression" dxfId="4974" priority="504">
      <formula>$S$351 = FALSE</formula>
    </cfRule>
    <cfRule type="expression" dxfId="4973" priority="506">
      <formula>AND($R$351,$S$351)</formula>
    </cfRule>
  </conditionalFormatting>
  <conditionalFormatting sqref="W353">
    <cfRule type="expression" dxfId="4972" priority="501">
      <formula>AND(IF($R$353,$W$353,TRUE),LEN(TRIM($W$353))&gt;0)</formula>
    </cfRule>
    <cfRule type="expression" dxfId="4971" priority="499">
      <formula>OR($T$353 = TRUE, AND(LEN(TRIM($W$353))&gt;0, $S$353 = FALSE))</formula>
    </cfRule>
    <cfRule type="expression" dxfId="4970" priority="500">
      <formula>$S$353 = FALSE</formula>
    </cfRule>
    <cfRule type="expression" dxfId="4969" priority="502">
      <formula>AND($R$353,$S$353)</formula>
    </cfRule>
  </conditionalFormatting>
  <conditionalFormatting sqref="W354">
    <cfRule type="expression" dxfId="4968" priority="495">
      <formula>OR($T$354 = TRUE, AND(LEN(TRIM($W$354))&gt;0, $S$354 = FALSE))</formula>
    </cfRule>
    <cfRule type="expression" dxfId="4967" priority="496">
      <formula>$S$354 = FALSE</formula>
    </cfRule>
    <cfRule type="expression" dxfId="4966" priority="497">
      <formula>AND(IF($R$354,$W$354,TRUE),LEN(TRIM($W$354))&gt;0)</formula>
    </cfRule>
    <cfRule type="expression" dxfId="4965" priority="498">
      <formula>AND($R$354,$S$354)</formula>
    </cfRule>
  </conditionalFormatting>
  <conditionalFormatting sqref="W356">
    <cfRule type="expression" dxfId="4964" priority="492">
      <formula>AND(IF($R$356,$W$356,TRUE),LEN(TRIM($W$356))&gt;0)</formula>
    </cfRule>
    <cfRule type="expression" dxfId="4963" priority="491">
      <formula>$S$356 = FALSE</formula>
    </cfRule>
    <cfRule type="expression" dxfId="4962" priority="490">
      <formula>OR($T$356 = TRUE, AND(LEN(TRIM($W$356))&gt;0, $S$356 = FALSE))</formula>
    </cfRule>
    <cfRule type="expression" dxfId="4961" priority="493">
      <formula>AND($R$356,$S$356)</formula>
    </cfRule>
  </conditionalFormatting>
  <conditionalFormatting sqref="W365">
    <cfRule type="expression" dxfId="4960" priority="121">
      <formula>OR($T$365 = TRUE, AND($W$365 = TRUE, $S$365 = FALSE))</formula>
    </cfRule>
    <cfRule type="expression" dxfId="4959" priority="122">
      <formula>$S$365 = FALSE</formula>
    </cfRule>
    <cfRule type="expression" dxfId="4958" priority="123">
      <formula>AND(IF($R$365,$W$365,TRUE),LEN(TRIM($W$365))&gt;0)</formula>
    </cfRule>
    <cfRule type="expression" dxfId="4957" priority="124">
      <formula>AND($R$365,$S$365)</formula>
    </cfRule>
  </conditionalFormatting>
  <conditionalFormatting sqref="W370">
    <cfRule type="expression" dxfId="4956" priority="119">
      <formula>AND(IF($R$370,$W$370,TRUE),LEN(TRIM($W$370))&gt;0)</formula>
    </cfRule>
    <cfRule type="expression" dxfId="4955" priority="117">
      <formula>OR($T$370 = TRUE, AND($W$370 = TRUE, $S$370 = FALSE))</formula>
    </cfRule>
    <cfRule type="expression" dxfId="4954" priority="120">
      <formula>AND($R$370,$S$370)</formula>
    </cfRule>
    <cfRule type="expression" dxfId="4953" priority="118">
      <formula>$S$370 = FALSE</formula>
    </cfRule>
  </conditionalFormatting>
  <conditionalFormatting sqref="W376">
    <cfRule type="expression" dxfId="4952" priority="115">
      <formula>AND(IF($R$376,$W$376,TRUE),LEN(TRIM($W$376))&gt;0)</formula>
    </cfRule>
    <cfRule type="expression" dxfId="4951" priority="116">
      <formula>AND($R$376,$S$376)</formula>
    </cfRule>
    <cfRule type="expression" dxfId="4950" priority="113">
      <formula>OR($T$376 = TRUE, AND($W$376 = TRUE, $S$376 = FALSE))</formula>
    </cfRule>
    <cfRule type="expression" dxfId="4949" priority="114">
      <formula>$S$376 = FALSE</formula>
    </cfRule>
  </conditionalFormatting>
  <conditionalFormatting sqref="W379">
    <cfRule type="expression" dxfId="4948" priority="474">
      <formula>$S$379 = FALSE</formula>
    </cfRule>
    <cfRule type="expression" dxfId="4947" priority="475">
      <formula>AND(IF($R$379,$W$379,TRUE),LEN(TRIM($W$379))&gt;0)</formula>
    </cfRule>
    <cfRule type="expression" dxfId="4946" priority="476">
      <formula>AND($R$379,$S$379)</formula>
    </cfRule>
    <cfRule type="expression" dxfId="4945" priority="473">
      <formula>OR($T$379 = TRUE, AND(LEN(TRIM($W$379))&gt;0, $S$379 = FALSE))</formula>
    </cfRule>
  </conditionalFormatting>
  <conditionalFormatting sqref="W390">
    <cfRule type="expression" dxfId="4944" priority="11850">
      <formula>AND($R$390,$S$390)</formula>
    </cfRule>
    <cfRule type="expression" dxfId="4943" priority="11851">
      <formula>AND(IF($R$390,$W$390,TRUE),LEN(TRIM($W$390))&gt;0)</formula>
    </cfRule>
    <cfRule type="expression" dxfId="4942" priority="11852">
      <formula>$S$390 = FALSE</formula>
    </cfRule>
    <cfRule type="expression" dxfId="4941" priority="11853">
      <formula>OR($T$390 = TRUE, AND(LEN(TRIM($W$390))&gt;0, $S$390 = FALSE))</formula>
    </cfRule>
  </conditionalFormatting>
  <conditionalFormatting sqref="W392">
    <cfRule type="expression" dxfId="4940" priority="11857">
      <formula>OR($T$392 = TRUE, AND(LEN(TRIM($W$392))&gt;0, $S$392 = FALSE))</formula>
    </cfRule>
    <cfRule type="expression" dxfId="4939" priority="11854">
      <formula>AND($R$392,$S$392)</formula>
    </cfRule>
    <cfRule type="expression" dxfId="4938" priority="11855">
      <formula>AND(IF($R$392,$W$392,TRUE),LEN(TRIM($W$392))&gt;0)</formula>
    </cfRule>
    <cfRule type="expression" dxfId="4937" priority="11856">
      <formula>$S$392 = FALSE</formula>
    </cfRule>
  </conditionalFormatting>
  <conditionalFormatting sqref="W409">
    <cfRule type="expression" dxfId="4936" priority="111">
      <formula>AND(IF($R$409,$W$409,TRUE),LEN(TRIM($W$409))&gt;0)</formula>
    </cfRule>
    <cfRule type="expression" dxfId="4935" priority="110">
      <formula>$S$409 = FALSE</formula>
    </cfRule>
    <cfRule type="expression" dxfId="4934" priority="109">
      <formula>OR($T$409 = TRUE, AND($W$409 = TRUE, $S$409 = FALSE))</formula>
    </cfRule>
    <cfRule type="expression" dxfId="4933" priority="112">
      <formula>AND($R$409,$S$409)</formula>
    </cfRule>
  </conditionalFormatting>
  <conditionalFormatting sqref="W418">
    <cfRule type="expression" dxfId="4932" priority="108">
      <formula>AND($R$418,$S$418)</formula>
    </cfRule>
    <cfRule type="expression" dxfId="4931" priority="107">
      <formula>AND(IF($R$418,$W$418,TRUE),LEN(TRIM($W$418))&gt;0)</formula>
    </cfRule>
    <cfRule type="expression" dxfId="4930" priority="106">
      <formula>$S$418 = FALSE</formula>
    </cfRule>
    <cfRule type="expression" dxfId="4929" priority="105">
      <formula>OR($T$418 = TRUE, AND($W$418 = TRUE, $S$418 = FALSE))</formula>
    </cfRule>
  </conditionalFormatting>
  <conditionalFormatting sqref="W426">
    <cfRule type="expression" dxfId="4928" priority="101">
      <formula>OR($T$426 = TRUE, AND($W$426 = TRUE, $S$426 = FALSE))</formula>
    </cfRule>
    <cfRule type="expression" dxfId="4927" priority="104">
      <formula>AND($R$426,$S$426)</formula>
    </cfRule>
    <cfRule type="expression" dxfId="4926" priority="103">
      <formula>AND(IF($R$426,$W$426,TRUE),LEN(TRIM($W$426))&gt;0)</formula>
    </cfRule>
    <cfRule type="expression" dxfId="4925" priority="102">
      <formula>$S$426 = FALSE</formula>
    </cfRule>
  </conditionalFormatting>
  <conditionalFormatting sqref="W434">
    <cfRule type="expression" dxfId="4924" priority="461">
      <formula>AND($R$434,$S$434)</formula>
    </cfRule>
    <cfRule type="expression" dxfId="4923" priority="459">
      <formula>$S$434 = FALSE</formula>
    </cfRule>
    <cfRule type="expression" dxfId="4922" priority="458">
      <formula>OR($T$434 = TRUE, AND(LEN(TRIM($W$434))&gt;0, $S$434 = FALSE))</formula>
    </cfRule>
    <cfRule type="expression" dxfId="4921" priority="460">
      <formula>AND(IF($R$434,$W$434,TRUE),LEN(TRIM($W$434))&gt;0)</formula>
    </cfRule>
  </conditionalFormatting>
  <conditionalFormatting sqref="W441">
    <cfRule type="expression" dxfId="4920" priority="457">
      <formula>AND($R$441,$S$441)</formula>
    </cfRule>
    <cfRule type="expression" dxfId="4919" priority="456">
      <formula>AND(IF($R$441,$W$441,TRUE),LEN(TRIM($W$441))&gt;0)</formula>
    </cfRule>
    <cfRule type="expression" dxfId="4918" priority="455">
      <formula>$S$441 = FALSE</formula>
    </cfRule>
    <cfRule type="expression" dxfId="4917" priority="454">
      <formula>OR($T$441 = TRUE, AND(LEN(TRIM($W$441))&gt;0, $S$441 = FALSE))</formula>
    </cfRule>
  </conditionalFormatting>
  <conditionalFormatting sqref="W447">
    <cfRule type="expression" dxfId="4916" priority="451">
      <formula>AND($R$447,$S$447)</formula>
    </cfRule>
    <cfRule type="expression" dxfId="4915" priority="450">
      <formula>AND(IF($R$447,$W$447,TRUE),LEN(TRIM($W$447))&gt;0)</formula>
    </cfRule>
    <cfRule type="expression" dxfId="4914" priority="449">
      <formula>$S$447 = FALSE</formula>
    </cfRule>
    <cfRule type="expression" dxfId="4913" priority="448">
      <formula>OR($T$447 = TRUE, AND(LEN(TRIM($W$447))&gt;0, $S$447 = FALSE))</formula>
    </cfRule>
  </conditionalFormatting>
  <conditionalFormatting sqref="W454">
    <cfRule type="expression" dxfId="4912" priority="447">
      <formula>AND($R$454,$S$454)</formula>
    </cfRule>
    <cfRule type="expression" dxfId="4911" priority="446">
      <formula>AND(IF($R$454,$W$454,TRUE),LEN(TRIM($W$454))&gt;0)</formula>
    </cfRule>
    <cfRule type="expression" dxfId="4910" priority="444">
      <formula>OR($T$454 = TRUE, AND(LEN(TRIM($W$454))&gt;0, $S$454 = FALSE))</formula>
    </cfRule>
    <cfRule type="expression" dxfId="4909" priority="445">
      <formula>$S$454 = FALSE</formula>
    </cfRule>
  </conditionalFormatting>
  <conditionalFormatting sqref="W460">
    <cfRule type="expression" dxfId="4908" priority="443">
      <formula>AND($R$460,$S$460)</formula>
    </cfRule>
    <cfRule type="expression" dxfId="4907" priority="442">
      <formula>AND(IF($R$460,$W$460,TRUE),LEN(TRIM($W$460))&gt;0)</formula>
    </cfRule>
    <cfRule type="expression" dxfId="4906" priority="441">
      <formula>$S$460 = FALSE</formula>
    </cfRule>
    <cfRule type="expression" dxfId="4905" priority="440">
      <formula>OR($T$460 = TRUE, AND(LEN(TRIM($W$460))&gt;0, $S$460 = FALSE))</formula>
    </cfRule>
  </conditionalFormatting>
  <conditionalFormatting sqref="W466">
    <cfRule type="expression" dxfId="4904" priority="438">
      <formula>AND(IF($R$466,$W$466,TRUE),LEN(TRIM($W$466))&gt;0)</formula>
    </cfRule>
    <cfRule type="expression" dxfId="4903" priority="437">
      <formula>$S$466 = FALSE</formula>
    </cfRule>
    <cfRule type="expression" dxfId="4902" priority="439">
      <formula>AND($R$466,$S$466)</formula>
    </cfRule>
    <cfRule type="expression" dxfId="4901" priority="436">
      <formula>OR($T$466 = TRUE, AND(LEN(TRIM($W$466))&gt;0, $S$466 = FALSE))</formula>
    </cfRule>
  </conditionalFormatting>
  <conditionalFormatting sqref="W478">
    <cfRule type="expression" dxfId="4900" priority="420">
      <formula>S478 = FALSE</formula>
    </cfRule>
    <cfRule type="expression" dxfId="4899" priority="419">
      <formula>OR(T478 = TRUE, AND(W478 = TRUE, S478 = FALSE))</formula>
    </cfRule>
    <cfRule type="expression" dxfId="4898" priority="422">
      <formula>AND(R478,S478)</formula>
    </cfRule>
    <cfRule type="expression" dxfId="4897" priority="421">
      <formula>AND(IF(R478,W478,TRUE),LEN(TRIM(W478))&gt;0)</formula>
    </cfRule>
  </conditionalFormatting>
  <conditionalFormatting sqref="W489">
    <cfRule type="expression" dxfId="4896" priority="410">
      <formula>AND(R489,S489)</formula>
    </cfRule>
    <cfRule type="expression" dxfId="4895" priority="409">
      <formula>AND(IF(R489,W489,TRUE),LEN(TRIM(W489))&gt;0)</formula>
    </cfRule>
    <cfRule type="expression" dxfId="4894" priority="408">
      <formula>S489 = FALSE</formula>
    </cfRule>
    <cfRule type="expression" dxfId="4893" priority="407">
      <formula>OR(T489 = TRUE, AND(W489 = TRUE, S489 = FALSE))</formula>
    </cfRule>
  </conditionalFormatting>
  <conditionalFormatting sqref="W495">
    <cfRule type="expression" dxfId="4892" priority="424">
      <formula>OR($T$495 = TRUE, AND(LEN(TRIM($W$495))&gt;0, $S$495 = FALSE))</formula>
    </cfRule>
    <cfRule type="expression" dxfId="4891" priority="427">
      <formula>AND($R$495,$S$495)</formula>
    </cfRule>
    <cfRule type="expression" dxfId="4890" priority="426">
      <formula>AND(IF($R$495,$W$495,TRUE),LEN(TRIM($W$495))&gt;0)</formula>
    </cfRule>
    <cfRule type="expression" dxfId="4889" priority="425">
      <formula>$S$495 = FALSE</formula>
    </cfRule>
  </conditionalFormatting>
  <conditionalFormatting sqref="W506">
    <cfRule type="expression" dxfId="4888" priority="97">
      <formula>OR($T$506 = TRUE, AND($W$506 = TRUE, $S$506 = FALSE))</formula>
    </cfRule>
    <cfRule type="expression" dxfId="4887" priority="98">
      <formula>$S$506 = FALSE</formula>
    </cfRule>
    <cfRule type="expression" dxfId="4886" priority="99">
      <formula>AND(IF($R$506,$W$506,TRUE),LEN(TRIM($W$506))&gt;0)</formula>
    </cfRule>
    <cfRule type="expression" dxfId="4885" priority="100">
      <formula>AND($R$506,$S$506)</formula>
    </cfRule>
  </conditionalFormatting>
  <conditionalFormatting sqref="W507">
    <cfRule type="expression" dxfId="4884" priority="95">
      <formula>AND(IF($R$507,$W$507,TRUE),LEN(TRIM($W$507))&gt;0)</formula>
    </cfRule>
    <cfRule type="expression" dxfId="4883" priority="96">
      <formula>AND($R$507,$S$507)</formula>
    </cfRule>
    <cfRule type="expression" dxfId="4882" priority="93">
      <formula>OR($T$507 = TRUE, AND($W$507 = TRUE, $S$507 = FALSE))</formula>
    </cfRule>
    <cfRule type="expression" dxfId="4881" priority="94">
      <formula>$S$507 = FALSE</formula>
    </cfRule>
  </conditionalFormatting>
  <conditionalFormatting sqref="W509">
    <cfRule type="expression" dxfId="4880" priority="89">
      <formula>OR($T$509 = TRUE, AND($W$509 = TRUE, $S$509 = FALSE))</formula>
    </cfRule>
    <cfRule type="expression" dxfId="4879" priority="90">
      <formula>$S$509 = FALSE</formula>
    </cfRule>
    <cfRule type="expression" dxfId="4878" priority="91">
      <formula>AND(IF($R$509,$W$509,TRUE),LEN(TRIM($W$509))&gt;0)</formula>
    </cfRule>
    <cfRule type="expression" dxfId="4877" priority="92">
      <formula>AND($R$509,$S$509)</formula>
    </cfRule>
  </conditionalFormatting>
  <conditionalFormatting sqref="W511">
    <cfRule type="expression" dxfId="4876" priority="85">
      <formula>OR($T$511 = TRUE, AND($W$511 = TRUE, $S$511 = FALSE))</formula>
    </cfRule>
    <cfRule type="expression" dxfId="4875" priority="86">
      <formula>$S$511 = FALSE</formula>
    </cfRule>
    <cfRule type="expression" dxfId="4874" priority="87">
      <formula>AND(IF($R$511,$W$511,TRUE),LEN(TRIM($W$511))&gt;0)</formula>
    </cfRule>
    <cfRule type="expression" dxfId="4873" priority="88">
      <formula>AND($R$511,$S$511)</formula>
    </cfRule>
  </conditionalFormatting>
  <conditionalFormatting sqref="W513">
    <cfRule type="expression" dxfId="4872" priority="83">
      <formula>AND(IF($R$513,$W$513,TRUE),LEN(TRIM($W$513))&gt;0)</formula>
    </cfRule>
    <cfRule type="expression" dxfId="4871" priority="82">
      <formula>$S$513 = FALSE</formula>
    </cfRule>
    <cfRule type="expression" dxfId="4870" priority="81">
      <formula>OR($T$513 = TRUE, AND($W$513 = TRUE, $S$513 = FALSE))</formula>
    </cfRule>
    <cfRule type="expression" dxfId="4869" priority="84">
      <formula>AND($R$513,$S$513)</formula>
    </cfRule>
  </conditionalFormatting>
  <conditionalFormatting sqref="W515">
    <cfRule type="expression" dxfId="4868" priority="80">
      <formula>AND($R$515,$S$515)</formula>
    </cfRule>
    <cfRule type="expression" dxfId="4867" priority="79">
      <formula>AND(IF($R$515,$W$515,TRUE),LEN(TRIM($W$515))&gt;0)</formula>
    </cfRule>
    <cfRule type="expression" dxfId="4866" priority="78">
      <formula>$S$515 = FALSE</formula>
    </cfRule>
    <cfRule type="expression" dxfId="4865" priority="77">
      <formula>OR($T$515 = TRUE, AND($W$515 = TRUE, $S$515 = FALSE))</formula>
    </cfRule>
  </conditionalFormatting>
  <conditionalFormatting sqref="W517">
    <cfRule type="expression" dxfId="4864" priority="76">
      <formula>AND($R$517,$S$517)</formula>
    </cfRule>
    <cfRule type="expression" dxfId="4863" priority="74">
      <formula>$S$517 = FALSE</formula>
    </cfRule>
    <cfRule type="expression" dxfId="4862" priority="73">
      <formula>OR($T$517 = TRUE, AND($W$517 = TRUE, $S$517 = FALSE))</formula>
    </cfRule>
    <cfRule type="expression" dxfId="4861" priority="75">
      <formula>AND(IF($R$517,$W$517,TRUE),LEN(TRIM($W$517))&gt;0)</formula>
    </cfRule>
  </conditionalFormatting>
  <conditionalFormatting sqref="W521">
    <cfRule type="expression" dxfId="4860" priority="70">
      <formula>$S$521 = FALSE</formula>
    </cfRule>
    <cfRule type="expression" dxfId="4859" priority="72">
      <formula>AND($R$521,$S$521)</formula>
    </cfRule>
    <cfRule type="expression" dxfId="4858" priority="71">
      <formula>AND(IF($R$521,$W$521,TRUE),LEN(TRIM($W$521))&gt;0)</formula>
    </cfRule>
    <cfRule type="expression" dxfId="4857" priority="69">
      <formula>OR($T$521 = TRUE, AND($W$521 = TRUE, $S$521 = FALSE))</formula>
    </cfRule>
  </conditionalFormatting>
  <conditionalFormatting sqref="W526">
    <cfRule type="expression" dxfId="4856" priority="68">
      <formula>AND($R$526,$S$526)</formula>
    </cfRule>
    <cfRule type="expression" dxfId="4855" priority="67">
      <formula>AND(IF($R$526,$W$526,TRUE),LEN(TRIM($W$526))&gt;0)</formula>
    </cfRule>
    <cfRule type="expression" dxfId="4854" priority="66">
      <formula>$S$526 = FALSE</formula>
    </cfRule>
    <cfRule type="expression" dxfId="4853" priority="65">
      <formula>OR($T$526 = TRUE, AND($W$526 = TRUE, $S$526 = FALSE))</formula>
    </cfRule>
  </conditionalFormatting>
  <conditionalFormatting sqref="W530">
    <cfRule type="expression" dxfId="4852" priority="63">
      <formula>AND(IF($R$530,$W$530,TRUE),LEN(TRIM($W$530))&gt;0)</formula>
    </cfRule>
    <cfRule type="expression" dxfId="4851" priority="64">
      <formula>AND($R$530,$S$530)</formula>
    </cfRule>
    <cfRule type="expression" dxfId="4850" priority="62">
      <formula>$S$530 = FALSE</formula>
    </cfRule>
    <cfRule type="expression" dxfId="4849" priority="61">
      <formula>OR($T$530 = TRUE, AND($W$530 = TRUE, $S$530 = FALSE))</formula>
    </cfRule>
  </conditionalFormatting>
  <conditionalFormatting sqref="W532">
    <cfRule type="expression" dxfId="4848" priority="59">
      <formula>AND(IF($R$532,$W$532,TRUE),LEN(TRIM($W$532))&gt;0)</formula>
    </cfRule>
    <cfRule type="expression" dxfId="4847" priority="58">
      <formula>$S$532 = FALSE</formula>
    </cfRule>
    <cfRule type="expression" dxfId="4846" priority="60">
      <formula>AND($R$532,$S$532)</formula>
    </cfRule>
    <cfRule type="expression" dxfId="4845" priority="57">
      <formula>OR($T$532 = TRUE, AND($W$532 = TRUE, $S$532 = FALSE))</formula>
    </cfRule>
  </conditionalFormatting>
  <conditionalFormatting sqref="W534">
    <cfRule type="expression" dxfId="4844" priority="53">
      <formula>OR($T$534 = TRUE, AND($W$534 = TRUE, $S$534 = FALSE))</formula>
    </cfRule>
    <cfRule type="expression" dxfId="4843" priority="54">
      <formula>$S$534 = FALSE</formula>
    </cfRule>
    <cfRule type="expression" dxfId="4842" priority="55">
      <formula>AND(IF($R$534,$W$534,TRUE),LEN(TRIM($W$534))&gt;0)</formula>
    </cfRule>
    <cfRule type="expression" dxfId="4841" priority="56">
      <formula>AND($R$534,$S$534)</formula>
    </cfRule>
  </conditionalFormatting>
  <conditionalFormatting sqref="W535">
    <cfRule type="expression" dxfId="4840" priority="52">
      <formula>AND($R$535,$S$535)</formula>
    </cfRule>
    <cfRule type="expression" dxfId="4839" priority="49">
      <formula>OR($T$535 = TRUE, AND($W$535 = TRUE, $S$535 = FALSE))</formula>
    </cfRule>
    <cfRule type="expression" dxfId="4838" priority="50">
      <formula>$S$535 = FALSE</formula>
    </cfRule>
    <cfRule type="expression" dxfId="4837" priority="51">
      <formula>AND(IF($R$535,$W$535,TRUE),LEN(TRIM($W$535))&gt;0)</formula>
    </cfRule>
  </conditionalFormatting>
  <conditionalFormatting sqref="W536">
    <cfRule type="expression" dxfId="4836" priority="45">
      <formula>OR($T$536 = TRUE, AND($W$536 = TRUE, $S$536 = FALSE))</formula>
    </cfRule>
    <cfRule type="expression" dxfId="4835" priority="46">
      <formula>$S$536 = FALSE</formula>
    </cfRule>
    <cfRule type="expression" dxfId="4834" priority="48">
      <formula>AND($R$536,$S$536)</formula>
    </cfRule>
    <cfRule type="expression" dxfId="4833" priority="47">
      <formula>AND(IF($R$536,$W$536,TRUE),LEN(TRIM($W$536))&gt;0)</formula>
    </cfRule>
  </conditionalFormatting>
  <conditionalFormatting sqref="W540">
    <cfRule type="expression" dxfId="4832" priority="42">
      <formula>$S$540 = FALSE</formula>
    </cfRule>
    <cfRule type="expression" dxfId="4831" priority="41">
      <formula>OR($T$540 = TRUE, AND($W$540 = TRUE, $S$540 = FALSE))</formula>
    </cfRule>
    <cfRule type="expression" dxfId="4830" priority="44">
      <formula>AND($R$540,$S$540)</formula>
    </cfRule>
    <cfRule type="expression" dxfId="4829" priority="43">
      <formula>AND(IF($R$540,$W$540,TRUE),LEN(TRIM($W$540))&gt;0)</formula>
    </cfRule>
  </conditionalFormatting>
  <conditionalFormatting sqref="W542">
    <cfRule type="expression" dxfId="4828" priority="11">
      <formula>OR($T$542 = TRUE, AND(LEN(TRIM($W$542))&gt;0, $S$542 = FALSE))</formula>
    </cfRule>
    <cfRule type="expression" dxfId="4827" priority="12">
      <formula>$S$542 = FALSE</formula>
    </cfRule>
    <cfRule type="expression" dxfId="4826" priority="13">
      <formula>AND($W$542&lt;&gt;"Not Met",LEN(TRIM($W$542))&gt;0)</formula>
    </cfRule>
    <cfRule type="expression" dxfId="4825" priority="14">
      <formula>AND($R$542,$S$542)</formula>
    </cfRule>
  </conditionalFormatting>
  <conditionalFormatting sqref="W546">
    <cfRule type="expression" dxfId="4824" priority="10">
      <formula>AND($R$546,$S$546)</formula>
    </cfRule>
    <cfRule type="expression" dxfId="4823" priority="7">
      <formula>OR($T$546 = TRUE, AND(LEN(TRIM($W$546))&gt;0, $S$546 = FALSE))</formula>
    </cfRule>
    <cfRule type="expression" dxfId="4822" priority="8">
      <formula>$S$546 = FALSE</formula>
    </cfRule>
    <cfRule type="expression" dxfId="4821" priority="9">
      <formula>AND($W$546&lt;&gt;"Not Met",LEN(TRIM($W$546))&gt;0)</formula>
    </cfRule>
  </conditionalFormatting>
  <conditionalFormatting sqref="X1">
    <cfRule type="expression" dxfId="4820" priority="24">
      <formula>startError</formula>
    </cfRule>
  </conditionalFormatting>
  <conditionalFormatting sqref="X2">
    <cfRule type="expression" dxfId="4819" priority="1086">
      <formula>$AG$3</formula>
    </cfRule>
  </conditionalFormatting>
  <conditionalFormatting sqref="X3">
    <cfRule type="expression" dxfId="4818" priority="1091">
      <formula>$AI$3</formula>
    </cfRule>
  </conditionalFormatting>
  <conditionalFormatting sqref="X80">
    <cfRule type="expression" dxfId="4817" priority="736">
      <formula>W80=TRUE</formula>
    </cfRule>
  </conditionalFormatting>
  <conditionalFormatting sqref="X93:X95">
    <cfRule type="expression" dxfId="4816" priority="1">
      <formula>(W93="N/A")</formula>
    </cfRule>
  </conditionalFormatting>
  <conditionalFormatting sqref="X146:X148">
    <cfRule type="expression" dxfId="4815" priority="654">
      <formula>W146="N/A"</formula>
    </cfRule>
  </conditionalFormatting>
  <conditionalFormatting sqref="X157">
    <cfRule type="expression" dxfId="4814" priority="653">
      <formula>W157="N/A"</formula>
    </cfRule>
  </conditionalFormatting>
  <conditionalFormatting sqref="X220:X221">
    <cfRule type="expression" dxfId="4813" priority="23">
      <formula>W220</formula>
    </cfRule>
  </conditionalFormatting>
  <conditionalFormatting sqref="X248 X254:X260">
    <cfRule type="expression" dxfId="4812" priority="619">
      <formula>W248&gt;0</formula>
    </cfRule>
  </conditionalFormatting>
  <conditionalFormatting sqref="X261:X263">
    <cfRule type="expression" dxfId="4811" priority="628">
      <formula>W261</formula>
    </cfRule>
  </conditionalFormatting>
  <conditionalFormatting sqref="X265 X267 X269 X271 X477:X486">
    <cfRule type="expression" dxfId="4810" priority="597">
      <formula>W266&gt;0</formula>
    </cfRule>
  </conditionalFormatting>
  <conditionalFormatting sqref="X313:X314">
    <cfRule type="expression" dxfId="4809" priority="547">
      <formula>W313</formula>
    </cfRule>
  </conditionalFormatting>
  <conditionalFormatting sqref="X319:X334">
    <cfRule type="expression" dxfId="4808" priority="857">
      <formula>NOT(ISBLANK(W326))</formula>
    </cfRule>
  </conditionalFormatting>
  <conditionalFormatting sqref="X350:X351 X353:X354 X390 X392">
    <cfRule type="expression" dxfId="4807" priority="494">
      <formula>NOT(ISBLANK(W350))</formula>
    </cfRule>
  </conditionalFormatting>
  <conditionalFormatting sqref="X356:X361">
    <cfRule type="expression" dxfId="4806" priority="489">
      <formula>NOT(ISBLANK(W356))</formula>
    </cfRule>
  </conditionalFormatting>
  <conditionalFormatting sqref="X379:X386">
    <cfRule type="expression" dxfId="4805" priority="472">
      <formula>NOT(ISBLANK(W379))</formula>
    </cfRule>
  </conditionalFormatting>
  <conditionalFormatting sqref="X400:X406">
    <cfRule type="expression" dxfId="4804" priority="6">
      <formula>R400</formula>
    </cfRule>
  </conditionalFormatting>
  <conditionalFormatting sqref="X432:X445">
    <cfRule type="expression" dxfId="4803" priority="452">
      <formula>NOT(ISBLANK(W434))</formula>
    </cfRule>
  </conditionalFormatting>
  <conditionalFormatting sqref="X446:X470">
    <cfRule type="expression" dxfId="4802" priority="432">
      <formula>NOT(ISBLANK(W447))</formula>
    </cfRule>
  </conditionalFormatting>
  <conditionalFormatting sqref="X487:X493">
    <cfRule type="expression" dxfId="4801" priority="405">
      <formula>W489&gt;0</formula>
    </cfRule>
  </conditionalFormatting>
  <conditionalFormatting sqref="X495:X502">
    <cfRule type="expression" dxfId="4800" priority="423">
      <formula>NOT(ISBLANK(W495))</formula>
    </cfRule>
  </conditionalFormatting>
  <dataValidations count="45">
    <dataValidation type="list" allowBlank="1" showInputMessage="1" showErrorMessage="1" error="Please use the dropdown." sqref="W65" xr:uid="{00000000-0002-0000-0400-000001000000}">
      <formula1>INDIRECT($U$65)</formula1>
    </dataValidation>
    <dataValidation type="list" allowBlank="1" showInputMessage="1" showErrorMessage="1" error="Please use the dropdown." sqref="W66" xr:uid="{00000000-0002-0000-0400-000002000000}">
      <formula1>INDIRECT($U$66)</formula1>
    </dataValidation>
    <dataValidation type="list" allowBlank="1" showInputMessage="1" showErrorMessage="1" error="Please use the dropdown." sqref="W67" xr:uid="{00000000-0002-0000-0400-000003000000}">
      <formula1>INDIRECT($U$67)</formula1>
    </dataValidation>
    <dataValidation type="list" allowBlank="1" showInputMessage="1" showErrorMessage="1" error="Please use the dropdown." sqref="W71" xr:uid="{00000000-0002-0000-0400-000004000000}">
      <formula1>INDIRECT($U$71)</formula1>
    </dataValidation>
    <dataValidation type="list" allowBlank="1" showInputMessage="1" showErrorMessage="1" error="Please use the dropdown." sqref="W73" xr:uid="{00000000-0002-0000-0400-000005000000}">
      <formula1>INDIRECT($U$73)</formula1>
    </dataValidation>
    <dataValidation type="list" allowBlank="1" showInputMessage="1" showErrorMessage="1" error="Please use the dropdown." sqref="W122" xr:uid="{00000000-0002-0000-0400-000006000000}">
      <formula1>INDIRECT($U$122)</formula1>
    </dataValidation>
    <dataValidation type="list" allowBlank="1" showInputMessage="1" showErrorMessage="1" error="Please use the dropdown." sqref="W183" xr:uid="{00000000-0002-0000-0400-000007000000}">
      <formula1>INDIRECT($U$183)</formula1>
    </dataValidation>
    <dataValidation type="list" allowBlank="1" showInputMessage="1" showErrorMessage="1" error="Please use the dropdown." sqref="W193" xr:uid="{00000000-0002-0000-0400-000008000000}">
      <formula1>INDIRECT($U$193)</formula1>
    </dataValidation>
    <dataValidation type="whole" allowBlank="1" showDropDown="1" showInputMessage="1" showErrorMessage="1" error="Enter a number" prompt="Enter number of square feet" sqref="W248" xr:uid="{00000000-0002-0000-0400-000009000000}">
      <formula1>0</formula1>
      <formula2>10000</formula2>
    </dataValidation>
    <dataValidation type="decimal" allowBlank="1" showDropDown="1" showInputMessage="1" showErrorMessage="1" error="Enter a percentage" prompt="Enter a percentage" sqref="W254 W266 W268 W270 W272" xr:uid="{00000000-0002-0000-0400-00000A000000}">
      <formula1>0</formula1>
      <formula2>1</formula2>
    </dataValidation>
    <dataValidation type="list" allowBlank="1" showInputMessage="1" showErrorMessage="1" error="Please use the dropdown." sqref="W319" xr:uid="{00000000-0002-0000-0400-00000B000000}">
      <formula1>INDIRECT($U$319)</formula1>
    </dataValidation>
    <dataValidation type="list" allowBlank="1" showInputMessage="1" showErrorMessage="1" error="Please use the dropdown." sqref="W320" xr:uid="{00000000-0002-0000-0400-00000C000000}">
      <formula1>INDIRECT($U$320)</formula1>
    </dataValidation>
    <dataValidation type="list" allowBlank="1" showInputMessage="1" showErrorMessage="1" error="Please use the dropdown." sqref="W321" xr:uid="{00000000-0002-0000-0400-00000D000000}">
      <formula1>INDIRECT($U$321)</formula1>
    </dataValidation>
    <dataValidation type="list" allowBlank="1" showInputMessage="1" showErrorMessage="1" error="Please use the dropdown." sqref="W322" xr:uid="{00000000-0002-0000-0400-00000E000000}">
      <formula1>INDIRECT($U$322)</formula1>
    </dataValidation>
    <dataValidation type="list" allowBlank="1" showInputMessage="1" showErrorMessage="1" error="Please use the dropdown." sqref="W323" xr:uid="{00000000-0002-0000-0400-00000F000000}">
      <formula1>INDIRECT($U$323)</formula1>
    </dataValidation>
    <dataValidation type="list" allowBlank="1" showInputMessage="1" showErrorMessage="1" error="Please use the dropdown." sqref="W324" xr:uid="{00000000-0002-0000-0400-000010000000}">
      <formula1>INDIRECT($U$324)</formula1>
    </dataValidation>
    <dataValidation type="list" allowBlank="1" showInputMessage="1" showErrorMessage="1" error="Please use the dropdown." sqref="W325" xr:uid="{00000000-0002-0000-0400-000011000000}">
      <formula1>INDIRECT($U$325)</formula1>
    </dataValidation>
    <dataValidation type="list" allowBlank="1" showInputMessage="1" showErrorMessage="1" error="Please use the dropdown." sqref="W326" xr:uid="{00000000-0002-0000-0400-000012000000}">
      <formula1>INDIRECT($U$326)</formula1>
    </dataValidation>
    <dataValidation type="list" allowBlank="1" showInputMessage="1" showErrorMessage="1" error="Please use the dropdown." sqref="W350" xr:uid="{00000000-0002-0000-0400-000013000000}">
      <formula1>INDIRECT($U$350)</formula1>
    </dataValidation>
    <dataValidation type="list" allowBlank="1" showInputMessage="1" showErrorMessage="1" error="Please use the dropdown." sqref="W351" xr:uid="{00000000-0002-0000-0400-000014000000}">
      <formula1>INDIRECT($U$351)</formula1>
    </dataValidation>
    <dataValidation type="list" allowBlank="1" showInputMessage="1" showErrorMessage="1" error="Please use the dropdown." sqref="W353" xr:uid="{00000000-0002-0000-0400-000015000000}">
      <formula1>INDIRECT($U$353)</formula1>
    </dataValidation>
    <dataValidation type="list" allowBlank="1" showInputMessage="1" showErrorMessage="1" error="Please use the dropdown." sqref="W354" xr:uid="{00000000-0002-0000-0400-000016000000}">
      <formula1>INDIRECT($U$354)</formula1>
    </dataValidation>
    <dataValidation type="list" allowBlank="1" showInputMessage="1" showErrorMessage="1" error="Please use the dropdown." sqref="W356" xr:uid="{00000000-0002-0000-0400-000017000000}">
      <formula1>INDIRECT($U$356)</formula1>
    </dataValidation>
    <dataValidation type="list" allowBlank="1" showInputMessage="1" showErrorMessage="1" error="Please use the dropdown." sqref="W379" xr:uid="{00000000-0002-0000-0400-000018000000}">
      <formula1>INDIRECT($U$379)</formula1>
    </dataValidation>
    <dataValidation type="list" allowBlank="1" showInputMessage="1" showErrorMessage="1" error="Please use the dropdown." sqref="W390" xr:uid="{00000000-0002-0000-0400-000019000000}">
      <formula1>INDIRECT($U$390)</formula1>
    </dataValidation>
    <dataValidation type="list" allowBlank="1" showInputMessage="1" showErrorMessage="1" error="Please use the dropdown." sqref="W392" xr:uid="{00000000-0002-0000-0400-00001A000000}">
      <formula1>INDIRECT($U$392)</formula1>
    </dataValidation>
    <dataValidation type="list" allowBlank="1" showInputMessage="1" showErrorMessage="1" error="Please use the dropdown." sqref="W434" xr:uid="{00000000-0002-0000-0400-00001B000000}">
      <formula1>INDIRECT($U$434)</formula1>
    </dataValidation>
    <dataValidation type="list" allowBlank="1" showInputMessage="1" showErrorMessage="1" error="Please use the dropdown." sqref="W441" xr:uid="{00000000-0002-0000-0400-00001C000000}">
      <formula1>INDIRECT($U$441)</formula1>
    </dataValidation>
    <dataValidation type="list" allowBlank="1" showInputMessage="1" showErrorMessage="1" error="Please use the dropdown." sqref="W447" xr:uid="{00000000-0002-0000-0400-00001D000000}">
      <formula1>INDIRECT($U$447)</formula1>
    </dataValidation>
    <dataValidation type="list" allowBlank="1" showInputMessage="1" showErrorMessage="1" error="Please use the dropdown." sqref="W454" xr:uid="{00000000-0002-0000-0400-00001E000000}">
      <formula1>INDIRECT($U$454)</formula1>
    </dataValidation>
    <dataValidation type="list" allowBlank="1" showInputMessage="1" showErrorMessage="1" error="Please use the dropdown." sqref="W460" xr:uid="{00000000-0002-0000-0400-00001F000000}">
      <formula1>INDIRECT($U$460)</formula1>
    </dataValidation>
    <dataValidation type="list" allowBlank="1" showInputMessage="1" showErrorMessage="1" error="Please use the dropdown." sqref="W466" xr:uid="{00000000-0002-0000-0400-000020000000}">
      <formula1>INDIRECT($U$466)</formula1>
    </dataValidation>
    <dataValidation type="list" allowBlank="1" showInputMessage="1" showErrorMessage="1" error="Please use the dropdown." sqref="W495" xr:uid="{00000000-0002-0000-0400-000021000000}">
      <formula1>INDIRECT($U$495)</formula1>
    </dataValidation>
    <dataValidation type="whole" allowBlank="1" showDropDown="1" showInputMessage="1" showErrorMessage="1" error="Enter a whole number" prompt="Enter number of products" sqref="W489 W478" xr:uid="{00000000-0002-0000-0400-000022000000}">
      <formula1>0</formula1>
      <formula2>20</formula2>
    </dataValidation>
    <dataValidation type="list" allowBlank="1" showInputMessage="1" showErrorMessage="1" error="Please use the dropdown." sqref="W113" xr:uid="{00000000-0002-0000-0400-000023000000}">
      <formula1>INDIRECT($U$113)</formula1>
    </dataValidation>
    <dataValidation type="list" allowBlank="1" showInputMessage="1" showErrorMessage="1" error="Please use the dropdown." sqref="W119" xr:uid="{00000000-0002-0000-0400-000024000000}">
      <formula1>INDIRECT($U$119)</formula1>
    </dataValidation>
    <dataValidation type="list" allowBlank="1" showInputMessage="1" showErrorMessage="1" error="Please use the dropdown." sqref="W146" xr:uid="{00000000-0002-0000-0400-000025000000}">
      <formula1>INDIRECT($U$146)</formula1>
    </dataValidation>
    <dataValidation type="list" allowBlank="1" showInputMessage="1" showErrorMessage="1" error="Please use the dropdown." sqref="W157" xr:uid="{00000000-0002-0000-0400-000026000000}">
      <formula1>INDIRECT($U$157)</formula1>
    </dataValidation>
    <dataValidation type="list" allowBlank="1" showInputMessage="1" showErrorMessage="1" error="Please use the dropdown." sqref="W205" xr:uid="{00000000-0002-0000-0400-000027000000}">
      <formula1>INDIRECT($U$205)</formula1>
    </dataValidation>
    <dataValidation type="list" allowBlank="1" showInputMessage="1" showErrorMessage="1" error="Please use the dropdown." sqref="W210" xr:uid="{00000000-0002-0000-0400-000028000000}">
      <formula1>INDIRECT($U$210)</formula1>
    </dataValidation>
    <dataValidation type="list" allowBlank="1" showInputMessage="1" showErrorMessage="1" error="Please use the dropdown." sqref="W216" xr:uid="{00000000-0002-0000-0400-000029000000}">
      <formula1>INDIRECT($U$216)</formula1>
    </dataValidation>
    <dataValidation type="list" allowBlank="1" showDropDown="1" showInputMessage="1" showErrorMessage="1" error="Use Checkbox" prompt="Use Checkbox" sqref="W31 W517 W540 W534:W536 W532 W530 W526 W521 W376 W426 W418 W409 W365 W275 W306:W314 W293 W291 W278 W261 W244 W242 W237 W233 W229:W230 W227 W34 W207 W191 W189 W178:W179 W175 W165 W153 W151 W149 W144 W139 W135 W131 W125 W123 W117 W111 W105 W103 W100:W101 W96 W515 W80 W52:W56 W41:W46 W37 W218:W220 W370 W506:W507 W509 W511 W513" xr:uid="{00000000-0002-0000-0400-00002A000000}">
      <formula1>TorF</formula1>
    </dataValidation>
    <dataValidation type="list" allowBlank="1" showInputMessage="1" showErrorMessage="1" error="Please use the dropdown." sqref="W542" xr:uid="{9014BE07-DF4D-4DB8-8FCE-3E0A131CD13E}">
      <formula1>INDIRECT($U$542)</formula1>
    </dataValidation>
    <dataValidation type="list" allowBlank="1" showInputMessage="1" showErrorMessage="1" error="Please use the dropdown." sqref="W546" xr:uid="{227A8E32-A1C7-4E85-A51B-562F308899EC}">
      <formula1>INDIRECT($U$546)</formula1>
    </dataValidation>
    <dataValidation type="list" allowBlank="1" showInputMessage="1" showErrorMessage="1" error="Please use the dropdown." sqref="W93" xr:uid="{FF86BB94-4A3A-4A02-BCB2-69C094D1C7EA}">
      <formula1>INDIRECT($U$93)</formula1>
    </dataValidation>
  </dataValidations>
  <hyperlinks>
    <hyperlink ref="L130" location="'Figure 6(3)'!A1" display="See Figure 6(3)" xr:uid="{00000000-0004-0000-0400-000000000000}"/>
    <hyperlink ref="L122" location="'Figure 6(3)'!A1" display="See Figure 6(3)" xr:uid="{00000000-0004-0000-0400-000001000000}"/>
    <hyperlink ref="L209" location="'Table 602.1.12'!A1" display="See Table 602.1.12" xr:uid="{00000000-0004-0000-0400-000002000000}"/>
    <hyperlink ref="L268" location="'Table 604.1'!A1" display="See Table 604.1" xr:uid="{00000000-0004-0000-0400-000003000000}"/>
    <hyperlink ref="M432:M445" location="'Table 610.1.2.1'!A1" display="per Table 610.1.2.1           10 Max" xr:uid="{00000000-0004-0000-0400-000004000000}"/>
    <hyperlink ref="M446:M470" location="'Table 610.1.2.2'!A1" display="'Table 610.1.2.2'!A1" xr:uid="{00000000-0004-0000-0400-000005000000}"/>
    <hyperlink ref="X561" location="'Ch7'!A1" display="CLICK TO PROCEED TO CHAPTER 7 &gt;&gt;" xr:uid="{00000000-0004-0000-0400-000006000000}"/>
  </hyperlinks>
  <pageMargins left="0.7" right="0.7" top="0.75" bottom="0.75" header="0.3" footer="0.3"/>
  <pageSetup scale="44" fitToHeight="0" orientation="portrait" r:id="rId1"/>
  <rowBreaks count="5" manualBreakCount="5">
    <brk id="87" max="23" man="1"/>
    <brk id="191" max="23" man="1"/>
    <brk id="292" max="23" man="1"/>
    <brk id="386" max="23" man="1"/>
    <brk id="470" max="23" man="1"/>
  </rowBreaks>
  <ignoredErrors>
    <ignoredError sqref="AQ31 AQ34 AQ37 AQ41:AQ46 AQ52:AQ56 AQ65:AQ67 AQ71 AQ73 AQ80 AQ93 AQ96 AQ193 AQ205 AQ207 AQ210 AQ216 AQ218:AQ220 AQ100:AQ101 AQ103 AQ105 AQ111 AQ113 AQ117 AQ119 AQ122:AQ123 AQ125 AQ131 AQ135 AQ139 AQ144 AQ146 AQ149 AQ151 AQ153 AQ157 AQ165 AQ175 AQ178:AQ179 AQ183 AQ189 AQ191 AQ227 AQ229:AQ230 AQ233 AQ237 AQ242 AQ244 AQ248 AQ254 AQ261 AQ266 AQ268 AQ270 AQ272 AQ275 AQ278 AQ291 AQ293 AQ306:AQ314 AQ319:AQ326 AQ350:AQ351 AQ353:AQ354 AQ356 AQ365 AQ370 AQ376 AQ379 AQ390 AQ392 AQ409 AQ418 AQ426 AQ434 AQ441 AQ466 AQ447 AQ454 AQ460 AQ478 AQ489 AQ495 AQ506:AQ507 AQ509 AQ511 AQ513 AQ515 AQ517 AQ521 AQ526 AQ530 AQ532 AQ534:AQ536 AQ540 AQ542 AQ546 AS13 AS31 AS34 AS37 AS41:AS46 AS52:AS57 AS62 AS80 AS93 AS96 AS193 AS205 AS207 AS210 AS216 AS218:AS220 AS98 AS103 AS105 AS111 AS113 AS117 AS119 AS122 AS131 AS144 AS146 AS149 AS151 AS153 AS157 AS165 AS175 AS178:AS179 AS183 AS189 AS191 AS227 AS229:AS230 AS233 AS237 AS242 AS244 AS248 AS254 AS261 AS265 AS267 AS269 AS271 AS275 AS278 AS293 AS306 AS313:AS314 AS319 AS350:AS351 AS353:AS354 AS356 AS365 AS370 AS376 AS379 AS390 AS392 AS400 AS409 AS418 AS426 AS432 AS439 AS465 AS446 AS453 AS459 AS477 AS487 AS495 AS506:AS507 AS509 AS511 AS513 AS515 AS517 AS521 AS526 AS530 AS532 AS534:AS536 AS540 AS542 AS546"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4202" r:id="rId4" name="Check Box 106">
              <controlPr locked="0" defaultSize="0" autoFill="0" autoLine="0" autoPict="0">
                <anchor moveWithCells="1" sizeWithCells="1">
                  <from>
                    <xdr:col>22</xdr:col>
                    <xdr:colOff>0</xdr:colOff>
                    <xdr:row>30</xdr:row>
                    <xdr:rowOff>0</xdr:rowOff>
                  </from>
                  <to>
                    <xdr:col>22</xdr:col>
                    <xdr:colOff>184150</xdr:colOff>
                    <xdr:row>30</xdr:row>
                    <xdr:rowOff>184150</xdr:rowOff>
                  </to>
                </anchor>
              </controlPr>
            </control>
          </mc:Choice>
        </mc:AlternateContent>
        <mc:AlternateContent xmlns:mc="http://schemas.openxmlformats.org/markup-compatibility/2006">
          <mc:Choice Requires="x14">
            <control shapeId="4203" r:id="rId5" name="Check Box 107">
              <controlPr locked="0" defaultSize="0" autoFill="0" autoLine="0" autoPict="0">
                <anchor moveWithCells="1" sizeWithCells="1">
                  <from>
                    <xdr:col>22</xdr:col>
                    <xdr:colOff>0</xdr:colOff>
                    <xdr:row>33</xdr:row>
                    <xdr:rowOff>0</xdr:rowOff>
                  </from>
                  <to>
                    <xdr:col>22</xdr:col>
                    <xdr:colOff>184150</xdr:colOff>
                    <xdr:row>33</xdr:row>
                    <xdr:rowOff>184150</xdr:rowOff>
                  </to>
                </anchor>
              </controlPr>
            </control>
          </mc:Choice>
        </mc:AlternateContent>
        <mc:AlternateContent xmlns:mc="http://schemas.openxmlformats.org/markup-compatibility/2006">
          <mc:Choice Requires="x14">
            <control shapeId="4204" r:id="rId6" name="Check Box 108">
              <controlPr locked="0" defaultSize="0" autoFill="0" autoLine="0" autoPict="0">
                <anchor moveWithCells="1" sizeWithCells="1">
                  <from>
                    <xdr:col>22</xdr:col>
                    <xdr:colOff>0</xdr:colOff>
                    <xdr:row>36</xdr:row>
                    <xdr:rowOff>0</xdr:rowOff>
                  </from>
                  <to>
                    <xdr:col>22</xdr:col>
                    <xdr:colOff>184150</xdr:colOff>
                    <xdr:row>36</xdr:row>
                    <xdr:rowOff>184150</xdr:rowOff>
                  </to>
                </anchor>
              </controlPr>
            </control>
          </mc:Choice>
        </mc:AlternateContent>
        <mc:AlternateContent xmlns:mc="http://schemas.openxmlformats.org/markup-compatibility/2006">
          <mc:Choice Requires="x14">
            <control shapeId="4205" r:id="rId7" name="Check Box 109">
              <controlPr locked="0" defaultSize="0" autoFill="0" autoLine="0" autoPict="0">
                <anchor moveWithCells="1" sizeWithCells="1">
                  <from>
                    <xdr:col>22</xdr:col>
                    <xdr:colOff>0</xdr:colOff>
                    <xdr:row>40</xdr:row>
                    <xdr:rowOff>0</xdr:rowOff>
                  </from>
                  <to>
                    <xdr:col>22</xdr:col>
                    <xdr:colOff>184150</xdr:colOff>
                    <xdr:row>40</xdr:row>
                    <xdr:rowOff>184150</xdr:rowOff>
                  </to>
                </anchor>
              </controlPr>
            </control>
          </mc:Choice>
        </mc:AlternateContent>
        <mc:AlternateContent xmlns:mc="http://schemas.openxmlformats.org/markup-compatibility/2006">
          <mc:Choice Requires="x14">
            <control shapeId="4206" r:id="rId8" name="Check Box 110">
              <controlPr locked="0" defaultSize="0" autoFill="0" autoLine="0" autoPict="0">
                <anchor moveWithCells="1" sizeWithCells="1">
                  <from>
                    <xdr:col>22</xdr:col>
                    <xdr:colOff>0</xdr:colOff>
                    <xdr:row>41</xdr:row>
                    <xdr:rowOff>0</xdr:rowOff>
                  </from>
                  <to>
                    <xdr:col>22</xdr:col>
                    <xdr:colOff>184150</xdr:colOff>
                    <xdr:row>41</xdr:row>
                    <xdr:rowOff>184150</xdr:rowOff>
                  </to>
                </anchor>
              </controlPr>
            </control>
          </mc:Choice>
        </mc:AlternateContent>
        <mc:AlternateContent xmlns:mc="http://schemas.openxmlformats.org/markup-compatibility/2006">
          <mc:Choice Requires="x14">
            <control shapeId="4207" r:id="rId9" name="Check Box 111">
              <controlPr locked="0" defaultSize="0" autoFill="0" autoLine="0" autoPict="0">
                <anchor moveWithCells="1" sizeWithCells="1">
                  <from>
                    <xdr:col>22</xdr:col>
                    <xdr:colOff>0</xdr:colOff>
                    <xdr:row>42</xdr:row>
                    <xdr:rowOff>0</xdr:rowOff>
                  </from>
                  <to>
                    <xdr:col>22</xdr:col>
                    <xdr:colOff>184150</xdr:colOff>
                    <xdr:row>42</xdr:row>
                    <xdr:rowOff>184150</xdr:rowOff>
                  </to>
                </anchor>
              </controlPr>
            </control>
          </mc:Choice>
        </mc:AlternateContent>
        <mc:AlternateContent xmlns:mc="http://schemas.openxmlformats.org/markup-compatibility/2006">
          <mc:Choice Requires="x14">
            <control shapeId="4208" r:id="rId10" name="Check Box 112">
              <controlPr locked="0" defaultSize="0" autoFill="0" autoLine="0" autoPict="0">
                <anchor moveWithCells="1" sizeWithCells="1">
                  <from>
                    <xdr:col>22</xdr:col>
                    <xdr:colOff>0</xdr:colOff>
                    <xdr:row>43</xdr:row>
                    <xdr:rowOff>0</xdr:rowOff>
                  </from>
                  <to>
                    <xdr:col>22</xdr:col>
                    <xdr:colOff>184150</xdr:colOff>
                    <xdr:row>43</xdr:row>
                    <xdr:rowOff>184150</xdr:rowOff>
                  </to>
                </anchor>
              </controlPr>
            </control>
          </mc:Choice>
        </mc:AlternateContent>
        <mc:AlternateContent xmlns:mc="http://schemas.openxmlformats.org/markup-compatibility/2006">
          <mc:Choice Requires="x14">
            <control shapeId="4209" r:id="rId11" name="Check Box 113">
              <controlPr locked="0" defaultSize="0" autoFill="0" autoLine="0" autoPict="0">
                <anchor moveWithCells="1" sizeWithCells="1">
                  <from>
                    <xdr:col>22</xdr:col>
                    <xdr:colOff>0</xdr:colOff>
                    <xdr:row>44</xdr:row>
                    <xdr:rowOff>0</xdr:rowOff>
                  </from>
                  <to>
                    <xdr:col>22</xdr:col>
                    <xdr:colOff>184150</xdr:colOff>
                    <xdr:row>44</xdr:row>
                    <xdr:rowOff>184150</xdr:rowOff>
                  </to>
                </anchor>
              </controlPr>
            </control>
          </mc:Choice>
        </mc:AlternateContent>
        <mc:AlternateContent xmlns:mc="http://schemas.openxmlformats.org/markup-compatibility/2006">
          <mc:Choice Requires="x14">
            <control shapeId="4210" r:id="rId12" name="Check Box 114">
              <controlPr locked="0" defaultSize="0" autoFill="0" autoLine="0" autoPict="0">
                <anchor moveWithCells="1" sizeWithCells="1">
                  <from>
                    <xdr:col>22</xdr:col>
                    <xdr:colOff>0</xdr:colOff>
                    <xdr:row>45</xdr:row>
                    <xdr:rowOff>0</xdr:rowOff>
                  </from>
                  <to>
                    <xdr:col>22</xdr:col>
                    <xdr:colOff>184150</xdr:colOff>
                    <xdr:row>45</xdr:row>
                    <xdr:rowOff>184150</xdr:rowOff>
                  </to>
                </anchor>
              </controlPr>
            </control>
          </mc:Choice>
        </mc:AlternateContent>
        <mc:AlternateContent xmlns:mc="http://schemas.openxmlformats.org/markup-compatibility/2006">
          <mc:Choice Requires="x14">
            <control shapeId="4211" r:id="rId13" name="Check Box 115">
              <controlPr locked="0" defaultSize="0" autoFill="0" autoLine="0" autoPict="0">
                <anchor moveWithCells="1" sizeWithCells="1">
                  <from>
                    <xdr:col>22</xdr:col>
                    <xdr:colOff>0</xdr:colOff>
                    <xdr:row>51</xdr:row>
                    <xdr:rowOff>0</xdr:rowOff>
                  </from>
                  <to>
                    <xdr:col>22</xdr:col>
                    <xdr:colOff>184150</xdr:colOff>
                    <xdr:row>51</xdr:row>
                    <xdr:rowOff>184150</xdr:rowOff>
                  </to>
                </anchor>
              </controlPr>
            </control>
          </mc:Choice>
        </mc:AlternateContent>
        <mc:AlternateContent xmlns:mc="http://schemas.openxmlformats.org/markup-compatibility/2006">
          <mc:Choice Requires="x14">
            <control shapeId="4212" r:id="rId14" name="Check Box 116">
              <controlPr locked="0" defaultSize="0" autoFill="0" autoLine="0" autoPict="0">
                <anchor moveWithCells="1" sizeWithCells="1">
                  <from>
                    <xdr:col>22</xdr:col>
                    <xdr:colOff>0</xdr:colOff>
                    <xdr:row>52</xdr:row>
                    <xdr:rowOff>0</xdr:rowOff>
                  </from>
                  <to>
                    <xdr:col>22</xdr:col>
                    <xdr:colOff>184150</xdr:colOff>
                    <xdr:row>52</xdr:row>
                    <xdr:rowOff>184150</xdr:rowOff>
                  </to>
                </anchor>
              </controlPr>
            </control>
          </mc:Choice>
        </mc:AlternateContent>
        <mc:AlternateContent xmlns:mc="http://schemas.openxmlformats.org/markup-compatibility/2006">
          <mc:Choice Requires="x14">
            <control shapeId="4213" r:id="rId15" name="Check Box 117">
              <controlPr locked="0" defaultSize="0" autoFill="0" autoLine="0" autoPict="0">
                <anchor moveWithCells="1" sizeWithCells="1">
                  <from>
                    <xdr:col>22</xdr:col>
                    <xdr:colOff>0</xdr:colOff>
                    <xdr:row>53</xdr:row>
                    <xdr:rowOff>0</xdr:rowOff>
                  </from>
                  <to>
                    <xdr:col>22</xdr:col>
                    <xdr:colOff>184150</xdr:colOff>
                    <xdr:row>53</xdr:row>
                    <xdr:rowOff>184150</xdr:rowOff>
                  </to>
                </anchor>
              </controlPr>
            </control>
          </mc:Choice>
        </mc:AlternateContent>
        <mc:AlternateContent xmlns:mc="http://schemas.openxmlformats.org/markup-compatibility/2006">
          <mc:Choice Requires="x14">
            <control shapeId="4214" r:id="rId16" name="Check Box 118">
              <controlPr locked="0" defaultSize="0" autoFill="0" autoLine="0" autoPict="0">
                <anchor moveWithCells="1" sizeWithCells="1">
                  <from>
                    <xdr:col>22</xdr:col>
                    <xdr:colOff>0</xdr:colOff>
                    <xdr:row>54</xdr:row>
                    <xdr:rowOff>0</xdr:rowOff>
                  </from>
                  <to>
                    <xdr:col>22</xdr:col>
                    <xdr:colOff>184150</xdr:colOff>
                    <xdr:row>54</xdr:row>
                    <xdr:rowOff>184150</xdr:rowOff>
                  </to>
                </anchor>
              </controlPr>
            </control>
          </mc:Choice>
        </mc:AlternateContent>
        <mc:AlternateContent xmlns:mc="http://schemas.openxmlformats.org/markup-compatibility/2006">
          <mc:Choice Requires="x14">
            <control shapeId="4215" r:id="rId17" name="Check Box 119">
              <controlPr locked="0" defaultSize="0" autoFill="0" autoLine="0" autoPict="0">
                <anchor moveWithCells="1" sizeWithCells="1">
                  <from>
                    <xdr:col>22</xdr:col>
                    <xdr:colOff>0</xdr:colOff>
                    <xdr:row>55</xdr:row>
                    <xdr:rowOff>0</xdr:rowOff>
                  </from>
                  <to>
                    <xdr:col>22</xdr:col>
                    <xdr:colOff>184150</xdr:colOff>
                    <xdr:row>55</xdr:row>
                    <xdr:rowOff>184150</xdr:rowOff>
                  </to>
                </anchor>
              </controlPr>
            </control>
          </mc:Choice>
        </mc:AlternateContent>
        <mc:AlternateContent xmlns:mc="http://schemas.openxmlformats.org/markup-compatibility/2006">
          <mc:Choice Requires="x14">
            <control shapeId="4216" r:id="rId18" name="Check Box 120">
              <controlPr locked="0" defaultSize="0" autoFill="0" autoLine="0" autoPict="0">
                <anchor moveWithCells="1" sizeWithCells="1">
                  <from>
                    <xdr:col>22</xdr:col>
                    <xdr:colOff>0</xdr:colOff>
                    <xdr:row>79</xdr:row>
                    <xdr:rowOff>0</xdr:rowOff>
                  </from>
                  <to>
                    <xdr:col>22</xdr:col>
                    <xdr:colOff>184150</xdr:colOff>
                    <xdr:row>79</xdr:row>
                    <xdr:rowOff>184150</xdr:rowOff>
                  </to>
                </anchor>
              </controlPr>
            </control>
          </mc:Choice>
        </mc:AlternateContent>
        <mc:AlternateContent xmlns:mc="http://schemas.openxmlformats.org/markup-compatibility/2006">
          <mc:Choice Requires="x14">
            <control shapeId="4219" r:id="rId19" name="Check Box 123">
              <controlPr locked="0" defaultSize="0" autoFill="0" autoLine="0" autoPict="0">
                <anchor moveWithCells="1" sizeWithCells="1">
                  <from>
                    <xdr:col>22</xdr:col>
                    <xdr:colOff>0</xdr:colOff>
                    <xdr:row>95</xdr:row>
                    <xdr:rowOff>0</xdr:rowOff>
                  </from>
                  <to>
                    <xdr:col>22</xdr:col>
                    <xdr:colOff>184150</xdr:colOff>
                    <xdr:row>95</xdr:row>
                    <xdr:rowOff>184150</xdr:rowOff>
                  </to>
                </anchor>
              </controlPr>
            </control>
          </mc:Choice>
        </mc:AlternateContent>
        <mc:AlternateContent xmlns:mc="http://schemas.openxmlformats.org/markup-compatibility/2006">
          <mc:Choice Requires="x14">
            <control shapeId="4220" r:id="rId20" name="Check Box 124">
              <controlPr locked="0" defaultSize="0" autoFill="0" autoLine="0" autoPict="0">
                <anchor moveWithCells="1" sizeWithCells="1">
                  <from>
                    <xdr:col>22</xdr:col>
                    <xdr:colOff>0</xdr:colOff>
                    <xdr:row>99</xdr:row>
                    <xdr:rowOff>0</xdr:rowOff>
                  </from>
                  <to>
                    <xdr:col>22</xdr:col>
                    <xdr:colOff>184150</xdr:colOff>
                    <xdr:row>99</xdr:row>
                    <xdr:rowOff>184150</xdr:rowOff>
                  </to>
                </anchor>
              </controlPr>
            </control>
          </mc:Choice>
        </mc:AlternateContent>
        <mc:AlternateContent xmlns:mc="http://schemas.openxmlformats.org/markup-compatibility/2006">
          <mc:Choice Requires="x14">
            <control shapeId="4221" r:id="rId21" name="Check Box 125">
              <controlPr locked="0" defaultSize="0" autoFill="0" autoLine="0" autoPict="0">
                <anchor moveWithCells="1" sizeWithCells="1">
                  <from>
                    <xdr:col>22</xdr:col>
                    <xdr:colOff>0</xdr:colOff>
                    <xdr:row>100</xdr:row>
                    <xdr:rowOff>0</xdr:rowOff>
                  </from>
                  <to>
                    <xdr:col>22</xdr:col>
                    <xdr:colOff>184150</xdr:colOff>
                    <xdr:row>100</xdr:row>
                    <xdr:rowOff>184150</xdr:rowOff>
                  </to>
                </anchor>
              </controlPr>
            </control>
          </mc:Choice>
        </mc:AlternateContent>
        <mc:AlternateContent xmlns:mc="http://schemas.openxmlformats.org/markup-compatibility/2006">
          <mc:Choice Requires="x14">
            <control shapeId="4222" r:id="rId22" name="Check Box 126">
              <controlPr locked="0" defaultSize="0" autoFill="0" autoLine="0" autoPict="0">
                <anchor moveWithCells="1" sizeWithCells="1">
                  <from>
                    <xdr:col>22</xdr:col>
                    <xdr:colOff>0</xdr:colOff>
                    <xdr:row>102</xdr:row>
                    <xdr:rowOff>0</xdr:rowOff>
                  </from>
                  <to>
                    <xdr:col>22</xdr:col>
                    <xdr:colOff>184150</xdr:colOff>
                    <xdr:row>102</xdr:row>
                    <xdr:rowOff>184150</xdr:rowOff>
                  </to>
                </anchor>
              </controlPr>
            </control>
          </mc:Choice>
        </mc:AlternateContent>
        <mc:AlternateContent xmlns:mc="http://schemas.openxmlformats.org/markup-compatibility/2006">
          <mc:Choice Requires="x14">
            <control shapeId="4223" r:id="rId23" name="Check Box 127">
              <controlPr locked="0" defaultSize="0" autoFill="0" autoLine="0" autoPict="0">
                <anchor moveWithCells="1" sizeWithCells="1">
                  <from>
                    <xdr:col>22</xdr:col>
                    <xdr:colOff>0</xdr:colOff>
                    <xdr:row>104</xdr:row>
                    <xdr:rowOff>0</xdr:rowOff>
                  </from>
                  <to>
                    <xdr:col>22</xdr:col>
                    <xdr:colOff>184150</xdr:colOff>
                    <xdr:row>104</xdr:row>
                    <xdr:rowOff>184150</xdr:rowOff>
                  </to>
                </anchor>
              </controlPr>
            </control>
          </mc:Choice>
        </mc:AlternateContent>
        <mc:AlternateContent xmlns:mc="http://schemas.openxmlformats.org/markup-compatibility/2006">
          <mc:Choice Requires="x14">
            <control shapeId="4224" r:id="rId24" name="Check Box 128">
              <controlPr locked="0" defaultSize="0" autoFill="0" autoLine="0" autoPict="0">
                <anchor moveWithCells="1" sizeWithCells="1">
                  <from>
                    <xdr:col>22</xdr:col>
                    <xdr:colOff>0</xdr:colOff>
                    <xdr:row>110</xdr:row>
                    <xdr:rowOff>0</xdr:rowOff>
                  </from>
                  <to>
                    <xdr:col>22</xdr:col>
                    <xdr:colOff>184150</xdr:colOff>
                    <xdr:row>110</xdr:row>
                    <xdr:rowOff>184150</xdr:rowOff>
                  </to>
                </anchor>
              </controlPr>
            </control>
          </mc:Choice>
        </mc:AlternateContent>
        <mc:AlternateContent xmlns:mc="http://schemas.openxmlformats.org/markup-compatibility/2006">
          <mc:Choice Requires="x14">
            <control shapeId="4225" r:id="rId25" name="Check Box 129">
              <controlPr locked="0" defaultSize="0" autoFill="0" autoLine="0" autoPict="0">
                <anchor moveWithCells="1" sizeWithCells="1">
                  <from>
                    <xdr:col>22</xdr:col>
                    <xdr:colOff>0</xdr:colOff>
                    <xdr:row>116</xdr:row>
                    <xdr:rowOff>0</xdr:rowOff>
                  </from>
                  <to>
                    <xdr:col>22</xdr:col>
                    <xdr:colOff>184150</xdr:colOff>
                    <xdr:row>116</xdr:row>
                    <xdr:rowOff>184150</xdr:rowOff>
                  </to>
                </anchor>
              </controlPr>
            </control>
          </mc:Choice>
        </mc:AlternateContent>
        <mc:AlternateContent xmlns:mc="http://schemas.openxmlformats.org/markup-compatibility/2006">
          <mc:Choice Requires="x14">
            <control shapeId="4226" r:id="rId26" name="Check Box 130">
              <controlPr locked="0" defaultSize="0" autoFill="0" autoLine="0" autoPict="0">
                <anchor moveWithCells="1" sizeWithCells="1">
                  <from>
                    <xdr:col>22</xdr:col>
                    <xdr:colOff>0</xdr:colOff>
                    <xdr:row>122</xdr:row>
                    <xdr:rowOff>0</xdr:rowOff>
                  </from>
                  <to>
                    <xdr:col>22</xdr:col>
                    <xdr:colOff>184150</xdr:colOff>
                    <xdr:row>122</xdr:row>
                    <xdr:rowOff>184150</xdr:rowOff>
                  </to>
                </anchor>
              </controlPr>
            </control>
          </mc:Choice>
        </mc:AlternateContent>
        <mc:AlternateContent xmlns:mc="http://schemas.openxmlformats.org/markup-compatibility/2006">
          <mc:Choice Requires="x14">
            <control shapeId="4227" r:id="rId27" name="Check Box 131">
              <controlPr locked="0" defaultSize="0" autoFill="0" autoLine="0" autoPict="0">
                <anchor moveWithCells="1" sizeWithCells="1">
                  <from>
                    <xdr:col>22</xdr:col>
                    <xdr:colOff>0</xdr:colOff>
                    <xdr:row>124</xdr:row>
                    <xdr:rowOff>0</xdr:rowOff>
                  </from>
                  <to>
                    <xdr:col>22</xdr:col>
                    <xdr:colOff>184150</xdr:colOff>
                    <xdr:row>124</xdr:row>
                    <xdr:rowOff>184150</xdr:rowOff>
                  </to>
                </anchor>
              </controlPr>
            </control>
          </mc:Choice>
        </mc:AlternateContent>
        <mc:AlternateContent xmlns:mc="http://schemas.openxmlformats.org/markup-compatibility/2006">
          <mc:Choice Requires="x14">
            <control shapeId="4228" r:id="rId28" name="Check Box 132">
              <controlPr locked="0" defaultSize="0" autoFill="0" autoLine="0" autoPict="0">
                <anchor moveWithCells="1" sizeWithCells="1">
                  <from>
                    <xdr:col>22</xdr:col>
                    <xdr:colOff>0</xdr:colOff>
                    <xdr:row>130</xdr:row>
                    <xdr:rowOff>0</xdr:rowOff>
                  </from>
                  <to>
                    <xdr:col>22</xdr:col>
                    <xdr:colOff>184150</xdr:colOff>
                    <xdr:row>130</xdr:row>
                    <xdr:rowOff>184150</xdr:rowOff>
                  </to>
                </anchor>
              </controlPr>
            </control>
          </mc:Choice>
        </mc:AlternateContent>
        <mc:AlternateContent xmlns:mc="http://schemas.openxmlformats.org/markup-compatibility/2006">
          <mc:Choice Requires="x14">
            <control shapeId="4229" r:id="rId29" name="Check Box 133">
              <controlPr locked="0" defaultSize="0" autoFill="0" autoLine="0" autoPict="0">
                <anchor moveWithCells="1" sizeWithCells="1">
                  <from>
                    <xdr:col>22</xdr:col>
                    <xdr:colOff>0</xdr:colOff>
                    <xdr:row>134</xdr:row>
                    <xdr:rowOff>0</xdr:rowOff>
                  </from>
                  <to>
                    <xdr:col>22</xdr:col>
                    <xdr:colOff>184150</xdr:colOff>
                    <xdr:row>134</xdr:row>
                    <xdr:rowOff>184150</xdr:rowOff>
                  </to>
                </anchor>
              </controlPr>
            </control>
          </mc:Choice>
        </mc:AlternateContent>
        <mc:AlternateContent xmlns:mc="http://schemas.openxmlformats.org/markup-compatibility/2006">
          <mc:Choice Requires="x14">
            <control shapeId="4230" r:id="rId30" name="Check Box 134">
              <controlPr locked="0" defaultSize="0" autoFill="0" autoLine="0" autoPict="0">
                <anchor moveWithCells="1" sizeWithCells="1">
                  <from>
                    <xdr:col>22</xdr:col>
                    <xdr:colOff>0</xdr:colOff>
                    <xdr:row>138</xdr:row>
                    <xdr:rowOff>0</xdr:rowOff>
                  </from>
                  <to>
                    <xdr:col>22</xdr:col>
                    <xdr:colOff>184150</xdr:colOff>
                    <xdr:row>138</xdr:row>
                    <xdr:rowOff>184150</xdr:rowOff>
                  </to>
                </anchor>
              </controlPr>
            </control>
          </mc:Choice>
        </mc:AlternateContent>
        <mc:AlternateContent xmlns:mc="http://schemas.openxmlformats.org/markup-compatibility/2006">
          <mc:Choice Requires="x14">
            <control shapeId="4231" r:id="rId31" name="Check Box 135">
              <controlPr locked="0" defaultSize="0" autoFill="0" autoLine="0" autoPict="0">
                <anchor moveWithCells="1" sizeWithCells="1">
                  <from>
                    <xdr:col>22</xdr:col>
                    <xdr:colOff>0</xdr:colOff>
                    <xdr:row>143</xdr:row>
                    <xdr:rowOff>0</xdr:rowOff>
                  </from>
                  <to>
                    <xdr:col>22</xdr:col>
                    <xdr:colOff>184150</xdr:colOff>
                    <xdr:row>143</xdr:row>
                    <xdr:rowOff>184150</xdr:rowOff>
                  </to>
                </anchor>
              </controlPr>
            </control>
          </mc:Choice>
        </mc:AlternateContent>
        <mc:AlternateContent xmlns:mc="http://schemas.openxmlformats.org/markup-compatibility/2006">
          <mc:Choice Requires="x14">
            <control shapeId="4232" r:id="rId32" name="Check Box 136">
              <controlPr locked="0" defaultSize="0" autoFill="0" autoLine="0" autoPict="0">
                <anchor moveWithCells="1" sizeWithCells="1">
                  <from>
                    <xdr:col>22</xdr:col>
                    <xdr:colOff>0</xdr:colOff>
                    <xdr:row>148</xdr:row>
                    <xdr:rowOff>0</xdr:rowOff>
                  </from>
                  <to>
                    <xdr:col>22</xdr:col>
                    <xdr:colOff>184150</xdr:colOff>
                    <xdr:row>148</xdr:row>
                    <xdr:rowOff>184150</xdr:rowOff>
                  </to>
                </anchor>
              </controlPr>
            </control>
          </mc:Choice>
        </mc:AlternateContent>
        <mc:AlternateContent xmlns:mc="http://schemas.openxmlformats.org/markup-compatibility/2006">
          <mc:Choice Requires="x14">
            <control shapeId="4233" r:id="rId33" name="Check Box 137">
              <controlPr locked="0" defaultSize="0" autoFill="0" autoLine="0" autoPict="0">
                <anchor moveWithCells="1" sizeWithCells="1">
                  <from>
                    <xdr:col>22</xdr:col>
                    <xdr:colOff>0</xdr:colOff>
                    <xdr:row>150</xdr:row>
                    <xdr:rowOff>0</xdr:rowOff>
                  </from>
                  <to>
                    <xdr:col>22</xdr:col>
                    <xdr:colOff>184150</xdr:colOff>
                    <xdr:row>150</xdr:row>
                    <xdr:rowOff>184150</xdr:rowOff>
                  </to>
                </anchor>
              </controlPr>
            </control>
          </mc:Choice>
        </mc:AlternateContent>
        <mc:AlternateContent xmlns:mc="http://schemas.openxmlformats.org/markup-compatibility/2006">
          <mc:Choice Requires="x14">
            <control shapeId="4234" r:id="rId34" name="Check Box 138">
              <controlPr locked="0" defaultSize="0" autoFill="0" autoLine="0" autoPict="0">
                <anchor moveWithCells="1" sizeWithCells="1">
                  <from>
                    <xdr:col>22</xdr:col>
                    <xdr:colOff>0</xdr:colOff>
                    <xdr:row>152</xdr:row>
                    <xdr:rowOff>0</xdr:rowOff>
                  </from>
                  <to>
                    <xdr:col>22</xdr:col>
                    <xdr:colOff>184150</xdr:colOff>
                    <xdr:row>152</xdr:row>
                    <xdr:rowOff>184150</xdr:rowOff>
                  </to>
                </anchor>
              </controlPr>
            </control>
          </mc:Choice>
        </mc:AlternateContent>
        <mc:AlternateContent xmlns:mc="http://schemas.openxmlformats.org/markup-compatibility/2006">
          <mc:Choice Requires="x14">
            <control shapeId="4235" r:id="rId35" name="Check Box 139">
              <controlPr locked="0" defaultSize="0" autoFill="0" autoLine="0" autoPict="0">
                <anchor moveWithCells="1" sizeWithCells="1">
                  <from>
                    <xdr:col>22</xdr:col>
                    <xdr:colOff>0</xdr:colOff>
                    <xdr:row>164</xdr:row>
                    <xdr:rowOff>0</xdr:rowOff>
                  </from>
                  <to>
                    <xdr:col>22</xdr:col>
                    <xdr:colOff>184150</xdr:colOff>
                    <xdr:row>164</xdr:row>
                    <xdr:rowOff>184150</xdr:rowOff>
                  </to>
                </anchor>
              </controlPr>
            </control>
          </mc:Choice>
        </mc:AlternateContent>
        <mc:AlternateContent xmlns:mc="http://schemas.openxmlformats.org/markup-compatibility/2006">
          <mc:Choice Requires="x14">
            <control shapeId="4236" r:id="rId36" name="Check Box 140">
              <controlPr locked="0" defaultSize="0" autoFill="0" autoLine="0" autoPict="0">
                <anchor moveWithCells="1" sizeWithCells="1">
                  <from>
                    <xdr:col>22</xdr:col>
                    <xdr:colOff>0</xdr:colOff>
                    <xdr:row>174</xdr:row>
                    <xdr:rowOff>0</xdr:rowOff>
                  </from>
                  <to>
                    <xdr:col>22</xdr:col>
                    <xdr:colOff>184150</xdr:colOff>
                    <xdr:row>174</xdr:row>
                    <xdr:rowOff>184150</xdr:rowOff>
                  </to>
                </anchor>
              </controlPr>
            </control>
          </mc:Choice>
        </mc:AlternateContent>
        <mc:AlternateContent xmlns:mc="http://schemas.openxmlformats.org/markup-compatibility/2006">
          <mc:Choice Requires="x14">
            <control shapeId="4237" r:id="rId37" name="Check Box 141">
              <controlPr locked="0" defaultSize="0" autoFill="0" autoLine="0" autoPict="0">
                <anchor moveWithCells="1" sizeWithCells="1">
                  <from>
                    <xdr:col>22</xdr:col>
                    <xdr:colOff>0</xdr:colOff>
                    <xdr:row>177</xdr:row>
                    <xdr:rowOff>0</xdr:rowOff>
                  </from>
                  <to>
                    <xdr:col>22</xdr:col>
                    <xdr:colOff>184150</xdr:colOff>
                    <xdr:row>177</xdr:row>
                    <xdr:rowOff>184150</xdr:rowOff>
                  </to>
                </anchor>
              </controlPr>
            </control>
          </mc:Choice>
        </mc:AlternateContent>
        <mc:AlternateContent xmlns:mc="http://schemas.openxmlformats.org/markup-compatibility/2006">
          <mc:Choice Requires="x14">
            <control shapeId="4238" r:id="rId38" name="Check Box 142">
              <controlPr locked="0" defaultSize="0" autoFill="0" autoLine="0" autoPict="0">
                <anchor moveWithCells="1" sizeWithCells="1">
                  <from>
                    <xdr:col>22</xdr:col>
                    <xdr:colOff>0</xdr:colOff>
                    <xdr:row>178</xdr:row>
                    <xdr:rowOff>0</xdr:rowOff>
                  </from>
                  <to>
                    <xdr:col>22</xdr:col>
                    <xdr:colOff>184150</xdr:colOff>
                    <xdr:row>178</xdr:row>
                    <xdr:rowOff>184150</xdr:rowOff>
                  </to>
                </anchor>
              </controlPr>
            </control>
          </mc:Choice>
        </mc:AlternateContent>
        <mc:AlternateContent xmlns:mc="http://schemas.openxmlformats.org/markup-compatibility/2006">
          <mc:Choice Requires="x14">
            <control shapeId="4239" r:id="rId39" name="Check Box 143">
              <controlPr locked="0" defaultSize="0" autoFill="0" autoLine="0" autoPict="0">
                <anchor moveWithCells="1" sizeWithCells="1">
                  <from>
                    <xdr:col>22</xdr:col>
                    <xdr:colOff>0</xdr:colOff>
                    <xdr:row>188</xdr:row>
                    <xdr:rowOff>0</xdr:rowOff>
                  </from>
                  <to>
                    <xdr:col>22</xdr:col>
                    <xdr:colOff>184150</xdr:colOff>
                    <xdr:row>188</xdr:row>
                    <xdr:rowOff>184150</xdr:rowOff>
                  </to>
                </anchor>
              </controlPr>
            </control>
          </mc:Choice>
        </mc:AlternateContent>
        <mc:AlternateContent xmlns:mc="http://schemas.openxmlformats.org/markup-compatibility/2006">
          <mc:Choice Requires="x14">
            <control shapeId="4240" r:id="rId40" name="Check Box 144">
              <controlPr locked="0" defaultSize="0" autoFill="0" autoLine="0" autoPict="0">
                <anchor moveWithCells="1" sizeWithCells="1">
                  <from>
                    <xdr:col>22</xdr:col>
                    <xdr:colOff>0</xdr:colOff>
                    <xdr:row>190</xdr:row>
                    <xdr:rowOff>0</xdr:rowOff>
                  </from>
                  <to>
                    <xdr:col>22</xdr:col>
                    <xdr:colOff>184150</xdr:colOff>
                    <xdr:row>190</xdr:row>
                    <xdr:rowOff>184150</xdr:rowOff>
                  </to>
                </anchor>
              </controlPr>
            </control>
          </mc:Choice>
        </mc:AlternateContent>
        <mc:AlternateContent xmlns:mc="http://schemas.openxmlformats.org/markup-compatibility/2006">
          <mc:Choice Requires="x14">
            <control shapeId="4241" r:id="rId41" name="Check Box 145">
              <controlPr locked="0" defaultSize="0" autoFill="0" autoLine="0" autoPict="0">
                <anchor moveWithCells="1" sizeWithCells="1">
                  <from>
                    <xdr:col>22</xdr:col>
                    <xdr:colOff>0</xdr:colOff>
                    <xdr:row>206</xdr:row>
                    <xdr:rowOff>0</xdr:rowOff>
                  </from>
                  <to>
                    <xdr:col>22</xdr:col>
                    <xdr:colOff>184150</xdr:colOff>
                    <xdr:row>206</xdr:row>
                    <xdr:rowOff>184150</xdr:rowOff>
                  </to>
                </anchor>
              </controlPr>
            </control>
          </mc:Choice>
        </mc:AlternateContent>
        <mc:AlternateContent xmlns:mc="http://schemas.openxmlformats.org/markup-compatibility/2006">
          <mc:Choice Requires="x14">
            <control shapeId="4242" r:id="rId42" name="Check Box 146">
              <controlPr locked="0" defaultSize="0" autoFill="0" autoLine="0" autoPict="0">
                <anchor moveWithCells="1" sizeWithCells="1">
                  <from>
                    <xdr:col>22</xdr:col>
                    <xdr:colOff>0</xdr:colOff>
                    <xdr:row>217</xdr:row>
                    <xdr:rowOff>0</xdr:rowOff>
                  </from>
                  <to>
                    <xdr:col>22</xdr:col>
                    <xdr:colOff>184150</xdr:colOff>
                    <xdr:row>217</xdr:row>
                    <xdr:rowOff>184150</xdr:rowOff>
                  </to>
                </anchor>
              </controlPr>
            </control>
          </mc:Choice>
        </mc:AlternateContent>
        <mc:AlternateContent xmlns:mc="http://schemas.openxmlformats.org/markup-compatibility/2006">
          <mc:Choice Requires="x14">
            <control shapeId="4243" r:id="rId43" name="Check Box 147">
              <controlPr locked="0" defaultSize="0" autoFill="0" autoLine="0" autoPict="0">
                <anchor moveWithCells="1" sizeWithCells="1">
                  <from>
                    <xdr:col>22</xdr:col>
                    <xdr:colOff>0</xdr:colOff>
                    <xdr:row>218</xdr:row>
                    <xdr:rowOff>0</xdr:rowOff>
                  </from>
                  <to>
                    <xdr:col>22</xdr:col>
                    <xdr:colOff>184150</xdr:colOff>
                    <xdr:row>218</xdr:row>
                    <xdr:rowOff>184150</xdr:rowOff>
                  </to>
                </anchor>
              </controlPr>
            </control>
          </mc:Choice>
        </mc:AlternateContent>
        <mc:AlternateContent xmlns:mc="http://schemas.openxmlformats.org/markup-compatibility/2006">
          <mc:Choice Requires="x14">
            <control shapeId="4244" r:id="rId44" name="Check Box 148">
              <controlPr locked="0" defaultSize="0" autoFill="0" autoLine="0" autoPict="0">
                <anchor moveWithCells="1" sizeWithCells="1">
                  <from>
                    <xdr:col>22</xdr:col>
                    <xdr:colOff>0</xdr:colOff>
                    <xdr:row>226</xdr:row>
                    <xdr:rowOff>0</xdr:rowOff>
                  </from>
                  <to>
                    <xdr:col>22</xdr:col>
                    <xdr:colOff>184150</xdr:colOff>
                    <xdr:row>226</xdr:row>
                    <xdr:rowOff>184150</xdr:rowOff>
                  </to>
                </anchor>
              </controlPr>
            </control>
          </mc:Choice>
        </mc:AlternateContent>
        <mc:AlternateContent xmlns:mc="http://schemas.openxmlformats.org/markup-compatibility/2006">
          <mc:Choice Requires="x14">
            <control shapeId="4245" r:id="rId45" name="Check Box 149">
              <controlPr locked="0" defaultSize="0" autoFill="0" autoLine="0" autoPict="0">
                <anchor moveWithCells="1" sizeWithCells="1">
                  <from>
                    <xdr:col>22</xdr:col>
                    <xdr:colOff>0</xdr:colOff>
                    <xdr:row>228</xdr:row>
                    <xdr:rowOff>0</xdr:rowOff>
                  </from>
                  <to>
                    <xdr:col>22</xdr:col>
                    <xdr:colOff>184150</xdr:colOff>
                    <xdr:row>228</xdr:row>
                    <xdr:rowOff>184150</xdr:rowOff>
                  </to>
                </anchor>
              </controlPr>
            </control>
          </mc:Choice>
        </mc:AlternateContent>
        <mc:AlternateContent xmlns:mc="http://schemas.openxmlformats.org/markup-compatibility/2006">
          <mc:Choice Requires="x14">
            <control shapeId="4246" r:id="rId46" name="Check Box 150">
              <controlPr locked="0" defaultSize="0" autoFill="0" autoLine="0" autoPict="0">
                <anchor moveWithCells="1" sizeWithCells="1">
                  <from>
                    <xdr:col>22</xdr:col>
                    <xdr:colOff>0</xdr:colOff>
                    <xdr:row>229</xdr:row>
                    <xdr:rowOff>0</xdr:rowOff>
                  </from>
                  <to>
                    <xdr:col>22</xdr:col>
                    <xdr:colOff>184150</xdr:colOff>
                    <xdr:row>229</xdr:row>
                    <xdr:rowOff>184150</xdr:rowOff>
                  </to>
                </anchor>
              </controlPr>
            </control>
          </mc:Choice>
        </mc:AlternateContent>
        <mc:AlternateContent xmlns:mc="http://schemas.openxmlformats.org/markup-compatibility/2006">
          <mc:Choice Requires="x14">
            <control shapeId="4247" r:id="rId47" name="Check Box 151">
              <controlPr locked="0" defaultSize="0" autoFill="0" autoLine="0" autoPict="0">
                <anchor moveWithCells="1" sizeWithCells="1">
                  <from>
                    <xdr:col>22</xdr:col>
                    <xdr:colOff>0</xdr:colOff>
                    <xdr:row>232</xdr:row>
                    <xdr:rowOff>0</xdr:rowOff>
                  </from>
                  <to>
                    <xdr:col>22</xdr:col>
                    <xdr:colOff>184150</xdr:colOff>
                    <xdr:row>232</xdr:row>
                    <xdr:rowOff>184150</xdr:rowOff>
                  </to>
                </anchor>
              </controlPr>
            </control>
          </mc:Choice>
        </mc:AlternateContent>
        <mc:AlternateContent xmlns:mc="http://schemas.openxmlformats.org/markup-compatibility/2006">
          <mc:Choice Requires="x14">
            <control shapeId="4248" r:id="rId48" name="Check Box 152">
              <controlPr locked="0" defaultSize="0" autoFill="0" autoLine="0" autoPict="0">
                <anchor moveWithCells="1" sizeWithCells="1">
                  <from>
                    <xdr:col>22</xdr:col>
                    <xdr:colOff>0</xdr:colOff>
                    <xdr:row>236</xdr:row>
                    <xdr:rowOff>0</xdr:rowOff>
                  </from>
                  <to>
                    <xdr:col>22</xdr:col>
                    <xdr:colOff>184150</xdr:colOff>
                    <xdr:row>236</xdr:row>
                    <xdr:rowOff>184150</xdr:rowOff>
                  </to>
                </anchor>
              </controlPr>
            </control>
          </mc:Choice>
        </mc:AlternateContent>
        <mc:AlternateContent xmlns:mc="http://schemas.openxmlformats.org/markup-compatibility/2006">
          <mc:Choice Requires="x14">
            <control shapeId="4249" r:id="rId49" name="Check Box 153">
              <controlPr locked="0" defaultSize="0" autoFill="0" autoLine="0" autoPict="0">
                <anchor moveWithCells="1" sizeWithCells="1">
                  <from>
                    <xdr:col>22</xdr:col>
                    <xdr:colOff>0</xdr:colOff>
                    <xdr:row>241</xdr:row>
                    <xdr:rowOff>0</xdr:rowOff>
                  </from>
                  <to>
                    <xdr:col>22</xdr:col>
                    <xdr:colOff>184150</xdr:colOff>
                    <xdr:row>241</xdr:row>
                    <xdr:rowOff>184150</xdr:rowOff>
                  </to>
                </anchor>
              </controlPr>
            </control>
          </mc:Choice>
        </mc:AlternateContent>
        <mc:AlternateContent xmlns:mc="http://schemas.openxmlformats.org/markup-compatibility/2006">
          <mc:Choice Requires="x14">
            <control shapeId="4250" r:id="rId50" name="Check Box 154">
              <controlPr locked="0" defaultSize="0" autoFill="0" autoLine="0" autoPict="0">
                <anchor moveWithCells="1" sizeWithCells="1">
                  <from>
                    <xdr:col>22</xdr:col>
                    <xdr:colOff>0</xdr:colOff>
                    <xdr:row>243</xdr:row>
                    <xdr:rowOff>0</xdr:rowOff>
                  </from>
                  <to>
                    <xdr:col>22</xdr:col>
                    <xdr:colOff>184150</xdr:colOff>
                    <xdr:row>243</xdr:row>
                    <xdr:rowOff>184150</xdr:rowOff>
                  </to>
                </anchor>
              </controlPr>
            </control>
          </mc:Choice>
        </mc:AlternateContent>
        <mc:AlternateContent xmlns:mc="http://schemas.openxmlformats.org/markup-compatibility/2006">
          <mc:Choice Requires="x14">
            <control shapeId="4251" r:id="rId51" name="Check Box 155">
              <controlPr locked="0" defaultSize="0" autoFill="0" autoLine="0" autoPict="0">
                <anchor moveWithCells="1" sizeWithCells="1">
                  <from>
                    <xdr:col>22</xdr:col>
                    <xdr:colOff>0</xdr:colOff>
                    <xdr:row>260</xdr:row>
                    <xdr:rowOff>0</xdr:rowOff>
                  </from>
                  <to>
                    <xdr:col>22</xdr:col>
                    <xdr:colOff>184150</xdr:colOff>
                    <xdr:row>260</xdr:row>
                    <xdr:rowOff>184150</xdr:rowOff>
                  </to>
                </anchor>
              </controlPr>
            </control>
          </mc:Choice>
        </mc:AlternateContent>
        <mc:AlternateContent xmlns:mc="http://schemas.openxmlformats.org/markup-compatibility/2006">
          <mc:Choice Requires="x14">
            <control shapeId="4252" r:id="rId52" name="Check Box 156">
              <controlPr locked="0" defaultSize="0" autoFill="0" autoLine="0" autoPict="0">
                <anchor moveWithCells="1" sizeWithCells="1">
                  <from>
                    <xdr:col>22</xdr:col>
                    <xdr:colOff>0</xdr:colOff>
                    <xdr:row>277</xdr:row>
                    <xdr:rowOff>0</xdr:rowOff>
                  </from>
                  <to>
                    <xdr:col>22</xdr:col>
                    <xdr:colOff>184150</xdr:colOff>
                    <xdr:row>277</xdr:row>
                    <xdr:rowOff>184150</xdr:rowOff>
                  </to>
                </anchor>
              </controlPr>
            </control>
          </mc:Choice>
        </mc:AlternateContent>
        <mc:AlternateContent xmlns:mc="http://schemas.openxmlformats.org/markup-compatibility/2006">
          <mc:Choice Requires="x14">
            <control shapeId="4253" r:id="rId53" name="Check Box 157">
              <controlPr locked="0" defaultSize="0" autoFill="0" autoLine="0" autoPict="0">
                <anchor moveWithCells="1" sizeWithCells="1">
                  <from>
                    <xdr:col>22</xdr:col>
                    <xdr:colOff>0</xdr:colOff>
                    <xdr:row>290</xdr:row>
                    <xdr:rowOff>0</xdr:rowOff>
                  </from>
                  <to>
                    <xdr:col>22</xdr:col>
                    <xdr:colOff>184150</xdr:colOff>
                    <xdr:row>290</xdr:row>
                    <xdr:rowOff>184150</xdr:rowOff>
                  </to>
                </anchor>
              </controlPr>
            </control>
          </mc:Choice>
        </mc:AlternateContent>
        <mc:AlternateContent xmlns:mc="http://schemas.openxmlformats.org/markup-compatibility/2006">
          <mc:Choice Requires="x14">
            <control shapeId="4254" r:id="rId54" name="Check Box 158">
              <controlPr locked="0" defaultSize="0" autoFill="0" autoLine="0" autoPict="0">
                <anchor moveWithCells="1" sizeWithCells="1">
                  <from>
                    <xdr:col>22</xdr:col>
                    <xdr:colOff>0</xdr:colOff>
                    <xdr:row>292</xdr:row>
                    <xdr:rowOff>0</xdr:rowOff>
                  </from>
                  <to>
                    <xdr:col>22</xdr:col>
                    <xdr:colOff>184150</xdr:colOff>
                    <xdr:row>292</xdr:row>
                    <xdr:rowOff>184150</xdr:rowOff>
                  </to>
                </anchor>
              </controlPr>
            </control>
          </mc:Choice>
        </mc:AlternateContent>
        <mc:AlternateContent xmlns:mc="http://schemas.openxmlformats.org/markup-compatibility/2006">
          <mc:Choice Requires="x14">
            <control shapeId="4255" r:id="rId55" name="Check Box 159">
              <controlPr locked="0" defaultSize="0" autoFill="0" autoLine="0" autoPict="0">
                <anchor moveWithCells="1" sizeWithCells="1">
                  <from>
                    <xdr:col>22</xdr:col>
                    <xdr:colOff>0</xdr:colOff>
                    <xdr:row>305</xdr:row>
                    <xdr:rowOff>0</xdr:rowOff>
                  </from>
                  <to>
                    <xdr:col>22</xdr:col>
                    <xdr:colOff>184150</xdr:colOff>
                    <xdr:row>305</xdr:row>
                    <xdr:rowOff>184150</xdr:rowOff>
                  </to>
                </anchor>
              </controlPr>
            </control>
          </mc:Choice>
        </mc:AlternateContent>
        <mc:AlternateContent xmlns:mc="http://schemas.openxmlformats.org/markup-compatibility/2006">
          <mc:Choice Requires="x14">
            <control shapeId="4256" r:id="rId56" name="Check Box 160">
              <controlPr locked="0" defaultSize="0" autoFill="0" autoLine="0" autoPict="0">
                <anchor moveWithCells="1" sizeWithCells="1">
                  <from>
                    <xdr:col>22</xdr:col>
                    <xdr:colOff>0</xdr:colOff>
                    <xdr:row>306</xdr:row>
                    <xdr:rowOff>0</xdr:rowOff>
                  </from>
                  <to>
                    <xdr:col>22</xdr:col>
                    <xdr:colOff>184150</xdr:colOff>
                    <xdr:row>306</xdr:row>
                    <xdr:rowOff>184150</xdr:rowOff>
                  </to>
                </anchor>
              </controlPr>
            </control>
          </mc:Choice>
        </mc:AlternateContent>
        <mc:AlternateContent xmlns:mc="http://schemas.openxmlformats.org/markup-compatibility/2006">
          <mc:Choice Requires="x14">
            <control shapeId="4257" r:id="rId57" name="Check Box 161">
              <controlPr locked="0" defaultSize="0" autoFill="0" autoLine="0" autoPict="0">
                <anchor moveWithCells="1" sizeWithCells="1">
                  <from>
                    <xdr:col>22</xdr:col>
                    <xdr:colOff>0</xdr:colOff>
                    <xdr:row>307</xdr:row>
                    <xdr:rowOff>0</xdr:rowOff>
                  </from>
                  <to>
                    <xdr:col>22</xdr:col>
                    <xdr:colOff>184150</xdr:colOff>
                    <xdr:row>307</xdr:row>
                    <xdr:rowOff>184150</xdr:rowOff>
                  </to>
                </anchor>
              </controlPr>
            </control>
          </mc:Choice>
        </mc:AlternateContent>
        <mc:AlternateContent xmlns:mc="http://schemas.openxmlformats.org/markup-compatibility/2006">
          <mc:Choice Requires="x14">
            <control shapeId="4258" r:id="rId58" name="Check Box 162">
              <controlPr locked="0" defaultSize="0" autoFill="0" autoLine="0" autoPict="0">
                <anchor moveWithCells="1" sizeWithCells="1">
                  <from>
                    <xdr:col>22</xdr:col>
                    <xdr:colOff>0</xdr:colOff>
                    <xdr:row>308</xdr:row>
                    <xdr:rowOff>0</xdr:rowOff>
                  </from>
                  <to>
                    <xdr:col>22</xdr:col>
                    <xdr:colOff>184150</xdr:colOff>
                    <xdr:row>308</xdr:row>
                    <xdr:rowOff>184150</xdr:rowOff>
                  </to>
                </anchor>
              </controlPr>
            </control>
          </mc:Choice>
        </mc:AlternateContent>
        <mc:AlternateContent xmlns:mc="http://schemas.openxmlformats.org/markup-compatibility/2006">
          <mc:Choice Requires="x14">
            <control shapeId="4259" r:id="rId59" name="Check Box 163">
              <controlPr locked="0" defaultSize="0" autoFill="0" autoLine="0" autoPict="0">
                <anchor moveWithCells="1" sizeWithCells="1">
                  <from>
                    <xdr:col>22</xdr:col>
                    <xdr:colOff>0</xdr:colOff>
                    <xdr:row>309</xdr:row>
                    <xdr:rowOff>0</xdr:rowOff>
                  </from>
                  <to>
                    <xdr:col>22</xdr:col>
                    <xdr:colOff>184150</xdr:colOff>
                    <xdr:row>309</xdr:row>
                    <xdr:rowOff>184150</xdr:rowOff>
                  </to>
                </anchor>
              </controlPr>
            </control>
          </mc:Choice>
        </mc:AlternateContent>
        <mc:AlternateContent xmlns:mc="http://schemas.openxmlformats.org/markup-compatibility/2006">
          <mc:Choice Requires="x14">
            <control shapeId="4260" r:id="rId60" name="Check Box 164">
              <controlPr locked="0" defaultSize="0" autoFill="0" autoLine="0" autoPict="0">
                <anchor moveWithCells="1" sizeWithCells="1">
                  <from>
                    <xdr:col>22</xdr:col>
                    <xdr:colOff>0</xdr:colOff>
                    <xdr:row>310</xdr:row>
                    <xdr:rowOff>0</xdr:rowOff>
                  </from>
                  <to>
                    <xdr:col>22</xdr:col>
                    <xdr:colOff>184150</xdr:colOff>
                    <xdr:row>310</xdr:row>
                    <xdr:rowOff>184150</xdr:rowOff>
                  </to>
                </anchor>
              </controlPr>
            </control>
          </mc:Choice>
        </mc:AlternateContent>
        <mc:AlternateContent xmlns:mc="http://schemas.openxmlformats.org/markup-compatibility/2006">
          <mc:Choice Requires="x14">
            <control shapeId="4261" r:id="rId61" name="Check Box 165">
              <controlPr locked="0" defaultSize="0" autoFill="0" autoLine="0" autoPict="0">
                <anchor moveWithCells="1" sizeWithCells="1">
                  <from>
                    <xdr:col>22</xdr:col>
                    <xdr:colOff>0</xdr:colOff>
                    <xdr:row>311</xdr:row>
                    <xdr:rowOff>0</xdr:rowOff>
                  </from>
                  <to>
                    <xdr:col>22</xdr:col>
                    <xdr:colOff>184150</xdr:colOff>
                    <xdr:row>311</xdr:row>
                    <xdr:rowOff>184150</xdr:rowOff>
                  </to>
                </anchor>
              </controlPr>
            </control>
          </mc:Choice>
        </mc:AlternateContent>
        <mc:AlternateContent xmlns:mc="http://schemas.openxmlformats.org/markup-compatibility/2006">
          <mc:Choice Requires="x14">
            <control shapeId="4262" r:id="rId62" name="Check Box 166">
              <controlPr locked="0" defaultSize="0" autoFill="0" autoLine="0" autoPict="0">
                <anchor moveWithCells="1" sizeWithCells="1">
                  <from>
                    <xdr:col>22</xdr:col>
                    <xdr:colOff>0</xdr:colOff>
                    <xdr:row>312</xdr:row>
                    <xdr:rowOff>0</xdr:rowOff>
                  </from>
                  <to>
                    <xdr:col>22</xdr:col>
                    <xdr:colOff>184150</xdr:colOff>
                    <xdr:row>312</xdr:row>
                    <xdr:rowOff>184150</xdr:rowOff>
                  </to>
                </anchor>
              </controlPr>
            </control>
          </mc:Choice>
        </mc:AlternateContent>
        <mc:AlternateContent xmlns:mc="http://schemas.openxmlformats.org/markup-compatibility/2006">
          <mc:Choice Requires="x14">
            <control shapeId="4263" r:id="rId63" name="Check Box 167">
              <controlPr locked="0" defaultSize="0" autoFill="0" autoLine="0" autoPict="0">
                <anchor moveWithCells="1" sizeWithCells="1">
                  <from>
                    <xdr:col>22</xdr:col>
                    <xdr:colOff>0</xdr:colOff>
                    <xdr:row>313</xdr:row>
                    <xdr:rowOff>0</xdr:rowOff>
                  </from>
                  <to>
                    <xdr:col>22</xdr:col>
                    <xdr:colOff>184150</xdr:colOff>
                    <xdr:row>313</xdr:row>
                    <xdr:rowOff>184150</xdr:rowOff>
                  </to>
                </anchor>
              </controlPr>
            </control>
          </mc:Choice>
        </mc:AlternateContent>
        <mc:AlternateContent xmlns:mc="http://schemas.openxmlformats.org/markup-compatibility/2006">
          <mc:Choice Requires="x14">
            <control shapeId="4264" r:id="rId64" name="Check Box 168">
              <controlPr locked="0" defaultSize="0" autoFill="0" autoLine="0" autoPict="0">
                <anchor moveWithCells="1" sizeWithCells="1">
                  <from>
                    <xdr:col>22</xdr:col>
                    <xdr:colOff>0</xdr:colOff>
                    <xdr:row>364</xdr:row>
                    <xdr:rowOff>0</xdr:rowOff>
                  </from>
                  <to>
                    <xdr:col>22</xdr:col>
                    <xdr:colOff>184150</xdr:colOff>
                    <xdr:row>364</xdr:row>
                    <xdr:rowOff>184150</xdr:rowOff>
                  </to>
                </anchor>
              </controlPr>
            </control>
          </mc:Choice>
        </mc:AlternateContent>
        <mc:AlternateContent xmlns:mc="http://schemas.openxmlformats.org/markup-compatibility/2006">
          <mc:Choice Requires="x14">
            <control shapeId="4265" r:id="rId65" name="Check Box 169">
              <controlPr locked="0" defaultSize="0" autoFill="0" autoLine="0" autoPict="0">
                <anchor moveWithCells="1" sizeWithCells="1">
                  <from>
                    <xdr:col>22</xdr:col>
                    <xdr:colOff>0</xdr:colOff>
                    <xdr:row>369</xdr:row>
                    <xdr:rowOff>0</xdr:rowOff>
                  </from>
                  <to>
                    <xdr:col>22</xdr:col>
                    <xdr:colOff>184150</xdr:colOff>
                    <xdr:row>369</xdr:row>
                    <xdr:rowOff>184150</xdr:rowOff>
                  </to>
                </anchor>
              </controlPr>
            </control>
          </mc:Choice>
        </mc:AlternateContent>
        <mc:AlternateContent xmlns:mc="http://schemas.openxmlformats.org/markup-compatibility/2006">
          <mc:Choice Requires="x14">
            <control shapeId="4266" r:id="rId66" name="Check Box 170">
              <controlPr locked="0" defaultSize="0" autoFill="0" autoLine="0" autoPict="0">
                <anchor moveWithCells="1" sizeWithCells="1">
                  <from>
                    <xdr:col>22</xdr:col>
                    <xdr:colOff>0</xdr:colOff>
                    <xdr:row>375</xdr:row>
                    <xdr:rowOff>0</xdr:rowOff>
                  </from>
                  <to>
                    <xdr:col>22</xdr:col>
                    <xdr:colOff>184150</xdr:colOff>
                    <xdr:row>375</xdr:row>
                    <xdr:rowOff>184150</xdr:rowOff>
                  </to>
                </anchor>
              </controlPr>
            </control>
          </mc:Choice>
        </mc:AlternateContent>
        <mc:AlternateContent xmlns:mc="http://schemas.openxmlformats.org/markup-compatibility/2006">
          <mc:Choice Requires="x14">
            <control shapeId="4267" r:id="rId67" name="Check Box 171">
              <controlPr locked="0" defaultSize="0" autoFill="0" autoLine="0" autoPict="0">
                <anchor moveWithCells="1" sizeWithCells="1">
                  <from>
                    <xdr:col>22</xdr:col>
                    <xdr:colOff>0</xdr:colOff>
                    <xdr:row>408</xdr:row>
                    <xdr:rowOff>0</xdr:rowOff>
                  </from>
                  <to>
                    <xdr:col>22</xdr:col>
                    <xdr:colOff>184150</xdr:colOff>
                    <xdr:row>408</xdr:row>
                    <xdr:rowOff>184150</xdr:rowOff>
                  </to>
                </anchor>
              </controlPr>
            </control>
          </mc:Choice>
        </mc:AlternateContent>
        <mc:AlternateContent xmlns:mc="http://schemas.openxmlformats.org/markup-compatibility/2006">
          <mc:Choice Requires="x14">
            <control shapeId="4268" r:id="rId68" name="Check Box 172">
              <controlPr locked="0" defaultSize="0" autoFill="0" autoLine="0" autoPict="0">
                <anchor moveWithCells="1" sizeWithCells="1">
                  <from>
                    <xdr:col>22</xdr:col>
                    <xdr:colOff>0</xdr:colOff>
                    <xdr:row>417</xdr:row>
                    <xdr:rowOff>0</xdr:rowOff>
                  </from>
                  <to>
                    <xdr:col>22</xdr:col>
                    <xdr:colOff>184150</xdr:colOff>
                    <xdr:row>417</xdr:row>
                    <xdr:rowOff>184150</xdr:rowOff>
                  </to>
                </anchor>
              </controlPr>
            </control>
          </mc:Choice>
        </mc:AlternateContent>
        <mc:AlternateContent xmlns:mc="http://schemas.openxmlformats.org/markup-compatibility/2006">
          <mc:Choice Requires="x14">
            <control shapeId="4269" r:id="rId69" name="Check Box 173">
              <controlPr locked="0" defaultSize="0" autoFill="0" autoLine="0" autoPict="0">
                <anchor moveWithCells="1" sizeWithCells="1">
                  <from>
                    <xdr:col>22</xdr:col>
                    <xdr:colOff>0</xdr:colOff>
                    <xdr:row>425</xdr:row>
                    <xdr:rowOff>0</xdr:rowOff>
                  </from>
                  <to>
                    <xdr:col>22</xdr:col>
                    <xdr:colOff>184150</xdr:colOff>
                    <xdr:row>425</xdr:row>
                    <xdr:rowOff>184150</xdr:rowOff>
                  </to>
                </anchor>
              </controlPr>
            </control>
          </mc:Choice>
        </mc:AlternateContent>
        <mc:AlternateContent xmlns:mc="http://schemas.openxmlformats.org/markup-compatibility/2006">
          <mc:Choice Requires="x14">
            <control shapeId="4270" r:id="rId70" name="Check Box 174">
              <controlPr locked="0" defaultSize="0" autoFill="0" autoLine="0" autoPict="0">
                <anchor moveWithCells="1" sizeWithCells="1">
                  <from>
                    <xdr:col>22</xdr:col>
                    <xdr:colOff>0</xdr:colOff>
                    <xdr:row>505</xdr:row>
                    <xdr:rowOff>0</xdr:rowOff>
                  </from>
                  <to>
                    <xdr:col>22</xdr:col>
                    <xdr:colOff>184150</xdr:colOff>
                    <xdr:row>505</xdr:row>
                    <xdr:rowOff>184150</xdr:rowOff>
                  </to>
                </anchor>
              </controlPr>
            </control>
          </mc:Choice>
        </mc:AlternateContent>
        <mc:AlternateContent xmlns:mc="http://schemas.openxmlformats.org/markup-compatibility/2006">
          <mc:Choice Requires="x14">
            <control shapeId="4271" r:id="rId71" name="Check Box 175">
              <controlPr locked="0" defaultSize="0" autoFill="0" autoLine="0" autoPict="0">
                <anchor moveWithCells="1" sizeWithCells="1">
                  <from>
                    <xdr:col>22</xdr:col>
                    <xdr:colOff>0</xdr:colOff>
                    <xdr:row>506</xdr:row>
                    <xdr:rowOff>0</xdr:rowOff>
                  </from>
                  <to>
                    <xdr:col>22</xdr:col>
                    <xdr:colOff>184150</xdr:colOff>
                    <xdr:row>506</xdr:row>
                    <xdr:rowOff>184150</xdr:rowOff>
                  </to>
                </anchor>
              </controlPr>
            </control>
          </mc:Choice>
        </mc:AlternateContent>
        <mc:AlternateContent xmlns:mc="http://schemas.openxmlformats.org/markup-compatibility/2006">
          <mc:Choice Requires="x14">
            <control shapeId="4272" r:id="rId72" name="Check Box 176">
              <controlPr locked="0" defaultSize="0" autoFill="0" autoLine="0" autoPict="0">
                <anchor moveWithCells="1" sizeWithCells="1">
                  <from>
                    <xdr:col>22</xdr:col>
                    <xdr:colOff>0</xdr:colOff>
                    <xdr:row>508</xdr:row>
                    <xdr:rowOff>0</xdr:rowOff>
                  </from>
                  <to>
                    <xdr:col>22</xdr:col>
                    <xdr:colOff>184150</xdr:colOff>
                    <xdr:row>508</xdr:row>
                    <xdr:rowOff>184150</xdr:rowOff>
                  </to>
                </anchor>
              </controlPr>
            </control>
          </mc:Choice>
        </mc:AlternateContent>
        <mc:AlternateContent xmlns:mc="http://schemas.openxmlformats.org/markup-compatibility/2006">
          <mc:Choice Requires="x14">
            <control shapeId="4273" r:id="rId73" name="Check Box 177">
              <controlPr locked="0" defaultSize="0" autoFill="0" autoLine="0" autoPict="0">
                <anchor moveWithCells="1" sizeWithCells="1">
                  <from>
                    <xdr:col>22</xdr:col>
                    <xdr:colOff>0</xdr:colOff>
                    <xdr:row>510</xdr:row>
                    <xdr:rowOff>0</xdr:rowOff>
                  </from>
                  <to>
                    <xdr:col>22</xdr:col>
                    <xdr:colOff>184150</xdr:colOff>
                    <xdr:row>510</xdr:row>
                    <xdr:rowOff>184150</xdr:rowOff>
                  </to>
                </anchor>
              </controlPr>
            </control>
          </mc:Choice>
        </mc:AlternateContent>
        <mc:AlternateContent xmlns:mc="http://schemas.openxmlformats.org/markup-compatibility/2006">
          <mc:Choice Requires="x14">
            <control shapeId="4274" r:id="rId74" name="Check Box 178">
              <controlPr locked="0" defaultSize="0" autoFill="0" autoLine="0" autoPict="0">
                <anchor moveWithCells="1" sizeWithCells="1">
                  <from>
                    <xdr:col>22</xdr:col>
                    <xdr:colOff>0</xdr:colOff>
                    <xdr:row>512</xdr:row>
                    <xdr:rowOff>0</xdr:rowOff>
                  </from>
                  <to>
                    <xdr:col>22</xdr:col>
                    <xdr:colOff>184150</xdr:colOff>
                    <xdr:row>512</xdr:row>
                    <xdr:rowOff>184150</xdr:rowOff>
                  </to>
                </anchor>
              </controlPr>
            </control>
          </mc:Choice>
        </mc:AlternateContent>
        <mc:AlternateContent xmlns:mc="http://schemas.openxmlformats.org/markup-compatibility/2006">
          <mc:Choice Requires="x14">
            <control shapeId="4275" r:id="rId75" name="Check Box 179">
              <controlPr locked="0" defaultSize="0" autoFill="0" autoLine="0" autoPict="0">
                <anchor moveWithCells="1" sizeWithCells="1">
                  <from>
                    <xdr:col>22</xdr:col>
                    <xdr:colOff>0</xdr:colOff>
                    <xdr:row>514</xdr:row>
                    <xdr:rowOff>0</xdr:rowOff>
                  </from>
                  <to>
                    <xdr:col>22</xdr:col>
                    <xdr:colOff>184150</xdr:colOff>
                    <xdr:row>514</xdr:row>
                    <xdr:rowOff>184150</xdr:rowOff>
                  </to>
                </anchor>
              </controlPr>
            </control>
          </mc:Choice>
        </mc:AlternateContent>
        <mc:AlternateContent xmlns:mc="http://schemas.openxmlformats.org/markup-compatibility/2006">
          <mc:Choice Requires="x14">
            <control shapeId="4276" r:id="rId76" name="Check Box 180">
              <controlPr locked="0" defaultSize="0" autoFill="0" autoLine="0" autoPict="0">
                <anchor moveWithCells="1" sizeWithCells="1">
                  <from>
                    <xdr:col>22</xdr:col>
                    <xdr:colOff>0</xdr:colOff>
                    <xdr:row>516</xdr:row>
                    <xdr:rowOff>0</xdr:rowOff>
                  </from>
                  <to>
                    <xdr:col>22</xdr:col>
                    <xdr:colOff>184150</xdr:colOff>
                    <xdr:row>516</xdr:row>
                    <xdr:rowOff>184150</xdr:rowOff>
                  </to>
                </anchor>
              </controlPr>
            </control>
          </mc:Choice>
        </mc:AlternateContent>
        <mc:AlternateContent xmlns:mc="http://schemas.openxmlformats.org/markup-compatibility/2006">
          <mc:Choice Requires="x14">
            <control shapeId="4277" r:id="rId77" name="Check Box 181">
              <controlPr locked="0" defaultSize="0" autoFill="0" autoLine="0" autoPict="0">
                <anchor moveWithCells="1" sizeWithCells="1">
                  <from>
                    <xdr:col>22</xdr:col>
                    <xdr:colOff>0</xdr:colOff>
                    <xdr:row>520</xdr:row>
                    <xdr:rowOff>0</xdr:rowOff>
                  </from>
                  <to>
                    <xdr:col>22</xdr:col>
                    <xdr:colOff>184150</xdr:colOff>
                    <xdr:row>520</xdr:row>
                    <xdr:rowOff>184150</xdr:rowOff>
                  </to>
                </anchor>
              </controlPr>
            </control>
          </mc:Choice>
        </mc:AlternateContent>
        <mc:AlternateContent xmlns:mc="http://schemas.openxmlformats.org/markup-compatibility/2006">
          <mc:Choice Requires="x14">
            <control shapeId="4278" r:id="rId78" name="Check Box 182">
              <controlPr locked="0" defaultSize="0" autoFill="0" autoLine="0" autoPict="0">
                <anchor moveWithCells="1" sizeWithCells="1">
                  <from>
                    <xdr:col>22</xdr:col>
                    <xdr:colOff>0</xdr:colOff>
                    <xdr:row>525</xdr:row>
                    <xdr:rowOff>0</xdr:rowOff>
                  </from>
                  <to>
                    <xdr:col>22</xdr:col>
                    <xdr:colOff>184150</xdr:colOff>
                    <xdr:row>525</xdr:row>
                    <xdr:rowOff>184150</xdr:rowOff>
                  </to>
                </anchor>
              </controlPr>
            </control>
          </mc:Choice>
        </mc:AlternateContent>
        <mc:AlternateContent xmlns:mc="http://schemas.openxmlformats.org/markup-compatibility/2006">
          <mc:Choice Requires="x14">
            <control shapeId="4279" r:id="rId79" name="Check Box 183">
              <controlPr locked="0" defaultSize="0" autoFill="0" autoLine="0" autoPict="0">
                <anchor moveWithCells="1" sizeWithCells="1">
                  <from>
                    <xdr:col>22</xdr:col>
                    <xdr:colOff>0</xdr:colOff>
                    <xdr:row>529</xdr:row>
                    <xdr:rowOff>0</xdr:rowOff>
                  </from>
                  <to>
                    <xdr:col>22</xdr:col>
                    <xdr:colOff>184150</xdr:colOff>
                    <xdr:row>529</xdr:row>
                    <xdr:rowOff>184150</xdr:rowOff>
                  </to>
                </anchor>
              </controlPr>
            </control>
          </mc:Choice>
        </mc:AlternateContent>
        <mc:AlternateContent xmlns:mc="http://schemas.openxmlformats.org/markup-compatibility/2006">
          <mc:Choice Requires="x14">
            <control shapeId="4280" r:id="rId80" name="Check Box 184">
              <controlPr locked="0" defaultSize="0" autoFill="0" autoLine="0" autoPict="0">
                <anchor moveWithCells="1" sizeWithCells="1">
                  <from>
                    <xdr:col>22</xdr:col>
                    <xdr:colOff>0</xdr:colOff>
                    <xdr:row>531</xdr:row>
                    <xdr:rowOff>0</xdr:rowOff>
                  </from>
                  <to>
                    <xdr:col>22</xdr:col>
                    <xdr:colOff>184150</xdr:colOff>
                    <xdr:row>531</xdr:row>
                    <xdr:rowOff>184150</xdr:rowOff>
                  </to>
                </anchor>
              </controlPr>
            </control>
          </mc:Choice>
        </mc:AlternateContent>
        <mc:AlternateContent xmlns:mc="http://schemas.openxmlformats.org/markup-compatibility/2006">
          <mc:Choice Requires="x14">
            <control shapeId="4281" r:id="rId81" name="Check Box 185">
              <controlPr locked="0" defaultSize="0" autoFill="0" autoLine="0" autoPict="0">
                <anchor moveWithCells="1" sizeWithCells="1">
                  <from>
                    <xdr:col>22</xdr:col>
                    <xdr:colOff>0</xdr:colOff>
                    <xdr:row>533</xdr:row>
                    <xdr:rowOff>0</xdr:rowOff>
                  </from>
                  <to>
                    <xdr:col>22</xdr:col>
                    <xdr:colOff>184150</xdr:colOff>
                    <xdr:row>533</xdr:row>
                    <xdr:rowOff>184150</xdr:rowOff>
                  </to>
                </anchor>
              </controlPr>
            </control>
          </mc:Choice>
        </mc:AlternateContent>
        <mc:AlternateContent xmlns:mc="http://schemas.openxmlformats.org/markup-compatibility/2006">
          <mc:Choice Requires="x14">
            <control shapeId="4282" r:id="rId82" name="Check Box 186">
              <controlPr locked="0" defaultSize="0" autoFill="0" autoLine="0" autoPict="0">
                <anchor moveWithCells="1" sizeWithCells="1">
                  <from>
                    <xdr:col>22</xdr:col>
                    <xdr:colOff>0</xdr:colOff>
                    <xdr:row>534</xdr:row>
                    <xdr:rowOff>0</xdr:rowOff>
                  </from>
                  <to>
                    <xdr:col>22</xdr:col>
                    <xdr:colOff>184150</xdr:colOff>
                    <xdr:row>534</xdr:row>
                    <xdr:rowOff>184150</xdr:rowOff>
                  </to>
                </anchor>
              </controlPr>
            </control>
          </mc:Choice>
        </mc:AlternateContent>
        <mc:AlternateContent xmlns:mc="http://schemas.openxmlformats.org/markup-compatibility/2006">
          <mc:Choice Requires="x14">
            <control shapeId="4283" r:id="rId83" name="Check Box 187">
              <controlPr locked="0" defaultSize="0" autoFill="0" autoLine="0" autoPict="0">
                <anchor moveWithCells="1" sizeWithCells="1">
                  <from>
                    <xdr:col>22</xdr:col>
                    <xdr:colOff>0</xdr:colOff>
                    <xdr:row>535</xdr:row>
                    <xdr:rowOff>0</xdr:rowOff>
                  </from>
                  <to>
                    <xdr:col>22</xdr:col>
                    <xdr:colOff>184150</xdr:colOff>
                    <xdr:row>535</xdr:row>
                    <xdr:rowOff>184150</xdr:rowOff>
                  </to>
                </anchor>
              </controlPr>
            </control>
          </mc:Choice>
        </mc:AlternateContent>
        <mc:AlternateContent xmlns:mc="http://schemas.openxmlformats.org/markup-compatibility/2006">
          <mc:Choice Requires="x14">
            <control shapeId="4284" r:id="rId84" name="Check Box 188">
              <controlPr locked="0" defaultSize="0" autoFill="0" autoLine="0" autoPict="0">
                <anchor moveWithCells="1" sizeWithCells="1">
                  <from>
                    <xdr:col>22</xdr:col>
                    <xdr:colOff>0</xdr:colOff>
                    <xdr:row>539</xdr:row>
                    <xdr:rowOff>0</xdr:rowOff>
                  </from>
                  <to>
                    <xdr:col>22</xdr:col>
                    <xdr:colOff>184150</xdr:colOff>
                    <xdr:row>539</xdr:row>
                    <xdr:rowOff>184150</xdr:rowOff>
                  </to>
                </anchor>
              </controlPr>
            </control>
          </mc:Choice>
        </mc:AlternateContent>
        <mc:AlternateContent xmlns:mc="http://schemas.openxmlformats.org/markup-compatibility/2006">
          <mc:Choice Requires="x14">
            <control shapeId="4287" r:id="rId85" name="Check Box 191">
              <controlPr locked="0" defaultSize="0" autoFill="0" autoLine="0" autoPict="0">
                <anchor moveWithCells="1" sizeWithCells="1">
                  <from>
                    <xdr:col>22</xdr:col>
                    <xdr:colOff>0</xdr:colOff>
                    <xdr:row>219</xdr:row>
                    <xdr:rowOff>0</xdr:rowOff>
                  </from>
                  <to>
                    <xdr:col>22</xdr:col>
                    <xdr:colOff>184150</xdr:colOff>
                    <xdr:row>219</xdr:row>
                    <xdr:rowOff>184150</xdr:rowOff>
                  </to>
                </anchor>
              </controlPr>
            </control>
          </mc:Choice>
        </mc:AlternateContent>
        <mc:AlternateContent xmlns:mc="http://schemas.openxmlformats.org/markup-compatibility/2006">
          <mc:Choice Requires="x14">
            <control shapeId="4289" r:id="rId86" name="Check Box 193">
              <controlPr locked="0" defaultSize="0" autoFill="0" autoLine="0" autoPict="0">
                <anchor moveWithCells="1" sizeWithCells="1">
                  <from>
                    <xdr:col>22</xdr:col>
                    <xdr:colOff>0</xdr:colOff>
                    <xdr:row>274</xdr:row>
                    <xdr:rowOff>0</xdr:rowOff>
                  </from>
                  <to>
                    <xdr:col>22</xdr:col>
                    <xdr:colOff>184150</xdr:colOff>
                    <xdr:row>274</xdr:row>
                    <xdr:rowOff>184150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BI769"/>
  <sheetViews>
    <sheetView showGridLines="0" zoomScaleNormal="100" workbookViewId="0">
      <pane ySplit="7" topLeftCell="A9" activePane="bottomLeft" state="frozen"/>
      <selection activeCell="S48" sqref="S48"/>
      <selection pane="bottomLeft" activeCell="S48" sqref="S48"/>
    </sheetView>
  </sheetViews>
  <sheetFormatPr defaultColWidth="9.1796875" defaultRowHeight="14.5" x14ac:dyDescent="0.35"/>
  <cols>
    <col min="1" max="1" width="9.1796875" style="12" hidden="1" customWidth="1"/>
    <col min="2" max="2" width="7.26953125" style="12" hidden="1" customWidth="1"/>
    <col min="3" max="7" width="3.81640625" style="12" hidden="1" customWidth="1"/>
    <col min="8" max="8" width="3.81640625" style="12" customWidth="1"/>
    <col min="9" max="9" width="10.453125" customWidth="1"/>
    <col min="10" max="11" width="3.81640625" customWidth="1"/>
    <col min="12" max="12" width="71.7265625" customWidth="1"/>
    <col min="13" max="13" width="13.54296875" style="41" customWidth="1"/>
    <col min="14" max="14" width="7.7265625" hidden="1" customWidth="1"/>
    <col min="15" max="15" width="7.7265625" style="41" customWidth="1"/>
    <col min="16" max="21" width="8.81640625" hidden="1" customWidth="1"/>
    <col min="22" max="22" width="3" hidden="1" customWidth="1"/>
    <col min="23" max="23" width="21.453125" customWidth="1"/>
    <col min="24" max="24" width="69" customWidth="1"/>
    <col min="25" max="26" width="34.81640625" hidden="1" customWidth="1"/>
    <col min="27" max="28" width="9.1796875" hidden="1" customWidth="1"/>
    <col min="29" max="29" width="8.54296875" hidden="1" customWidth="1"/>
    <col min="30" max="30" width="6.1796875" hidden="1" customWidth="1"/>
    <col min="31" max="31" width="10.453125" hidden="1" customWidth="1"/>
    <col min="32" max="37" width="9.1796875" hidden="1" customWidth="1"/>
    <col min="38" max="38" width="19.1796875" hidden="1" customWidth="1"/>
    <col min="39" max="39" width="2.1796875" hidden="1" customWidth="1"/>
    <col min="40" max="40" width="16.26953125" hidden="1" customWidth="1"/>
    <col min="41" max="41" width="2.1796875" hidden="1" customWidth="1"/>
    <col min="42" max="42" width="16.54296875" hidden="1" customWidth="1"/>
    <col min="43" max="43" width="2.1796875" hidden="1" customWidth="1"/>
    <col min="44" max="44" width="18.7265625" hidden="1" customWidth="1"/>
    <col min="45" max="45" width="2.1796875" hidden="1" customWidth="1"/>
    <col min="46" max="61" width="9.1796875" hidden="1" customWidth="1"/>
  </cols>
  <sheetData>
    <row r="1" spans="1:61" x14ac:dyDescent="0.35">
      <c r="H1" s="856" t="s">
        <v>4088</v>
      </c>
      <c r="I1" s="867" t="str">
        <f ca="1">IF(OR(AG3,AI3),"Errors on page, no Level reached","Current Chapter level: "&amp;AG1&amp;"                                            Total Points: "&amp;AG2)</f>
        <v>Current Chapter level: Gold                                            Total Points: 60</v>
      </c>
      <c r="J1" s="867"/>
      <c r="K1" s="867"/>
      <c r="L1" s="867"/>
      <c r="M1" s="857"/>
      <c r="N1" s="857"/>
      <c r="O1" s="857"/>
      <c r="P1" s="857"/>
      <c r="Q1" s="857"/>
      <c r="R1" s="857"/>
      <c r="S1" s="857"/>
      <c r="T1" s="857"/>
      <c r="U1" s="857"/>
      <c r="V1" s="857"/>
      <c r="W1" s="857"/>
      <c r="X1" s="716" t="s">
        <v>4063</v>
      </c>
      <c r="AF1" s="6" t="s">
        <v>741</v>
      </c>
      <c r="AG1" t="str">
        <f ca="1">IF(OR(AG3,AI3),"None",Ch7Level)</f>
        <v>Gold</v>
      </c>
    </row>
    <row r="2" spans="1:61" x14ac:dyDescent="0.35">
      <c r="H2" s="856"/>
      <c r="I2" s="868" t="str">
        <f ca="1">"Points away from:  Bronze: "&amp;MAX(Points!C17-Ch7Points,0)&amp;",  Silver: "&amp;IF(Points!N10&lt;2,"N/A",MAX(Points!D17-Ch7Points,0))&amp;",  Gold: "&amp;IF(Points!N10&lt;3,"N/A",MAX(Points!E17-Ch7Points,0))&amp;",  Emerald: "&amp;IF(Points!N10&lt;4,"N/A",MAX(Points!F17-Ch7Points,0))</f>
        <v>Points away from:  Bronze: 0,  Silver: 0,  Gold: 0,  Emerald: N/A</v>
      </c>
      <c r="J2" s="868"/>
      <c r="K2" s="868"/>
      <c r="L2" s="868"/>
      <c r="M2" s="857"/>
      <c r="N2" s="857"/>
      <c r="O2" s="857"/>
      <c r="P2" s="857"/>
      <c r="Q2" s="857"/>
      <c r="R2" s="857"/>
      <c r="S2" s="857"/>
      <c r="T2" s="857"/>
      <c r="U2" s="857"/>
      <c r="V2" s="857"/>
      <c r="W2" s="857"/>
      <c r="X2" s="716" t="s">
        <v>3504</v>
      </c>
      <c r="AF2" s="6" t="s">
        <v>742</v>
      </c>
      <c r="AG2">
        <f ca="1">INDIRECT(AF2)</f>
        <v>60</v>
      </c>
      <c r="AH2" t="s">
        <v>744</v>
      </c>
      <c r="AI2">
        <f ca="1">INDIRECT(AH2)</f>
        <v>10</v>
      </c>
    </row>
    <row r="3" spans="1:61" x14ac:dyDescent="0.35">
      <c r="H3" s="856"/>
      <c r="I3" s="868" t="str">
        <f ca="1">"Add'l pts earned above:  Bronze: "&amp; MAX(0,Ch7Points-Points!C17) &amp;",  Silver: " &amp; IF(Points!N10&lt;2,"N/A",MAX(0,Ch7Points-Points!D17)) &amp;",  Gold: " &amp; IF(Points!N10&lt;3,"N/A",MAX(0,Ch7Points-Points!E17)) &amp;",  Emerald: " &amp; IF(Points!N10&lt;4,"N/A",MAX(0,Ch7Points-Points!F17))</f>
        <v>Add'l pts earned above:  Bronze: 30,  Silver: 15,  Gold: 0,  Emerald: N/A</v>
      </c>
      <c r="J3" s="868"/>
      <c r="K3" s="868"/>
      <c r="L3" s="868"/>
      <c r="M3" s="857"/>
      <c r="N3" s="857"/>
      <c r="O3" s="857"/>
      <c r="P3" s="857"/>
      <c r="Q3" s="857"/>
      <c r="R3" s="857"/>
      <c r="S3" s="857"/>
      <c r="T3" s="857"/>
      <c r="U3" s="857"/>
      <c r="V3" s="857"/>
      <c r="W3" s="857"/>
      <c r="X3" s="716" t="s">
        <v>3503</v>
      </c>
      <c r="AF3" s="6" t="s">
        <v>743</v>
      </c>
      <c r="AG3" t="b">
        <f ca="1">OR(AE:AE)</f>
        <v>0</v>
      </c>
      <c r="AH3" s="6" t="s">
        <v>750</v>
      </c>
      <c r="AI3" t="b">
        <f ca="1">OR(AD:AD)</f>
        <v>0</v>
      </c>
    </row>
    <row r="4" spans="1:61" x14ac:dyDescent="0.35">
      <c r="H4" s="856"/>
      <c r="I4" s="871" t="str">
        <f ca="1">"Total Chapter Points needed for:  Bronze: "&amp;Points!C17&amp;",  Silver: "&amp;IF(Points!N10&lt;2,"N/A",Points!D17)&amp;",  Gold: "&amp;IF(Points!N10&lt;3,"N/A",Points!E17)&amp;",  Emerald: "&amp;IF(Points!N10&lt;4,"N/A",Points!F17)</f>
        <v>Total Chapter Points needed for:  Bronze: 30,  Silver: 45,  Gold: 60,  Emerald: N/A</v>
      </c>
      <c r="J4" s="872"/>
      <c r="K4" s="872"/>
      <c r="L4" s="873"/>
      <c r="M4" s="857"/>
      <c r="N4" s="857"/>
      <c r="O4" s="857"/>
      <c r="P4" s="857"/>
      <c r="Q4" s="857"/>
      <c r="R4" s="857"/>
      <c r="S4" s="857"/>
      <c r="T4" s="857"/>
      <c r="U4" s="857"/>
      <c r="V4" s="857"/>
      <c r="W4" s="857"/>
      <c r="X4" s="762" t="s">
        <v>4873</v>
      </c>
      <c r="AF4" s="6"/>
      <c r="AH4" s="6"/>
    </row>
    <row r="5" spans="1:61" x14ac:dyDescent="0.35">
      <c r="H5" s="856"/>
      <c r="I5" s="874" t="str">
        <f>"Revision Date:  "&amp;TEXT('Info &amp; Intro'!E7,"m/d/yyyy")</f>
        <v>Revision Date:  5/25/2023</v>
      </c>
      <c r="J5" s="875"/>
      <c r="K5" s="875"/>
      <c r="L5" s="876"/>
      <c r="M5" s="857"/>
      <c r="N5" s="857"/>
      <c r="O5" s="857"/>
      <c r="P5" s="857"/>
      <c r="Q5" s="857"/>
      <c r="R5" s="857"/>
      <c r="S5" s="857"/>
      <c r="T5" s="857"/>
      <c r="U5" s="857"/>
      <c r="V5" s="857"/>
      <c r="W5" s="857"/>
      <c r="X5" s="762"/>
      <c r="AF5" s="6"/>
      <c r="AH5" s="6"/>
    </row>
    <row r="6" spans="1:61" x14ac:dyDescent="0.35">
      <c r="H6" s="856"/>
      <c r="I6" s="877" t="s">
        <v>248</v>
      </c>
      <c r="J6" s="878"/>
      <c r="K6" s="879"/>
      <c r="L6" s="860" t="s">
        <v>1109</v>
      </c>
      <c r="M6" s="928" t="s">
        <v>249</v>
      </c>
      <c r="N6" s="860"/>
      <c r="O6" s="23" t="s">
        <v>318</v>
      </c>
      <c r="P6" s="860" t="s">
        <v>4101</v>
      </c>
      <c r="Q6" s="860" t="s">
        <v>309</v>
      </c>
      <c r="R6" s="860" t="s">
        <v>250</v>
      </c>
      <c r="S6" s="860" t="s">
        <v>251</v>
      </c>
      <c r="T6" s="860" t="s">
        <v>0</v>
      </c>
      <c r="U6" s="860" t="s">
        <v>4102</v>
      </c>
      <c r="V6" s="860"/>
      <c r="W6" s="860" t="s">
        <v>252</v>
      </c>
      <c r="X6" s="869" t="s">
        <v>1</v>
      </c>
      <c r="AC6" s="2" t="s">
        <v>307</v>
      </c>
      <c r="AD6" s="2" t="s">
        <v>0</v>
      </c>
      <c r="AE6" s="2" t="s">
        <v>306</v>
      </c>
    </row>
    <row r="7" spans="1:61" x14ac:dyDescent="0.35">
      <c r="H7" s="856"/>
      <c r="I7" s="877"/>
      <c r="J7" s="878"/>
      <c r="K7" s="879"/>
      <c r="L7" s="860"/>
      <c r="M7" s="928"/>
      <c r="N7" s="860"/>
      <c r="O7" s="23" t="s">
        <v>319</v>
      </c>
      <c r="P7" s="860"/>
      <c r="Q7" s="860"/>
      <c r="R7" s="860"/>
      <c r="S7" s="860"/>
      <c r="T7" s="860"/>
      <c r="U7" s="860"/>
      <c r="V7" s="860"/>
      <c r="W7" s="860"/>
      <c r="X7" s="870"/>
      <c r="AC7" s="2" t="s">
        <v>307</v>
      </c>
      <c r="AD7" s="2" t="s">
        <v>0</v>
      </c>
      <c r="AE7" s="2" t="s">
        <v>306</v>
      </c>
    </row>
    <row r="8" spans="1:61" hidden="1" x14ac:dyDescent="0.35">
      <c r="I8" s="451"/>
      <c r="J8" s="451"/>
      <c r="K8" s="451"/>
      <c r="L8" s="22"/>
      <c r="M8" s="452"/>
      <c r="N8" s="22"/>
      <c r="O8" s="23"/>
      <c r="P8" s="22"/>
      <c r="Q8" s="22"/>
      <c r="R8" s="22"/>
      <c r="S8" s="22"/>
      <c r="T8" s="22"/>
      <c r="U8" s="22"/>
      <c r="V8" s="22"/>
      <c r="W8" s="22"/>
      <c r="X8" s="451"/>
      <c r="AC8" s="2"/>
      <c r="AD8" s="2"/>
      <c r="AE8" s="2"/>
    </row>
    <row r="9" spans="1:61" ht="18.5" x14ac:dyDescent="0.45">
      <c r="A9" s="12" t="s">
        <v>247</v>
      </c>
      <c r="B9" s="12" t="s">
        <v>247</v>
      </c>
      <c r="C9" s="12" t="s">
        <v>247</v>
      </c>
      <c r="D9" s="12" t="s">
        <v>247</v>
      </c>
      <c r="E9" s="12" t="s">
        <v>247</v>
      </c>
      <c r="F9" s="12" t="s">
        <v>247</v>
      </c>
      <c r="G9" s="12" t="s">
        <v>247</v>
      </c>
      <c r="H9" s="455"/>
      <c r="I9" s="14" t="s">
        <v>812</v>
      </c>
      <c r="J9" s="14"/>
      <c r="K9" s="14"/>
      <c r="L9" s="15"/>
      <c r="M9" s="16"/>
      <c r="N9" t="s">
        <v>247</v>
      </c>
      <c r="O9" s="16"/>
      <c r="P9" t="s">
        <v>247</v>
      </c>
      <c r="Q9" t="s">
        <v>247</v>
      </c>
      <c r="R9" t="s">
        <v>247</v>
      </c>
      <c r="S9" t="s">
        <v>247</v>
      </c>
      <c r="T9" t="s">
        <v>247</v>
      </c>
      <c r="U9" t="s">
        <v>247</v>
      </c>
      <c r="V9" t="s">
        <v>247</v>
      </c>
      <c r="W9" s="15"/>
      <c r="X9" s="15"/>
      <c r="Y9" s="21" t="s">
        <v>247</v>
      </c>
      <c r="Z9" s="21" t="s">
        <v>247</v>
      </c>
      <c r="AA9" s="21" t="s">
        <v>247</v>
      </c>
      <c r="AB9" s="21" t="s">
        <v>247</v>
      </c>
      <c r="AC9" s="21" t="s">
        <v>247</v>
      </c>
      <c r="AD9" s="21" t="s">
        <v>247</v>
      </c>
      <c r="AE9" s="21" t="s">
        <v>247</v>
      </c>
      <c r="AF9" s="21" t="s">
        <v>247</v>
      </c>
      <c r="AG9" s="21" t="s">
        <v>247</v>
      </c>
      <c r="AH9" s="21" t="s">
        <v>247</v>
      </c>
      <c r="AI9" s="21" t="s">
        <v>247</v>
      </c>
      <c r="AJ9" s="21" t="s">
        <v>247</v>
      </c>
      <c r="AK9" s="21" t="s">
        <v>247</v>
      </c>
      <c r="AL9" s="21" t="s">
        <v>247</v>
      </c>
      <c r="AM9" s="21" t="s">
        <v>247</v>
      </c>
      <c r="AN9" s="21" t="s">
        <v>247</v>
      </c>
      <c r="AO9" s="21" t="s">
        <v>247</v>
      </c>
      <c r="AP9" s="21" t="s">
        <v>247</v>
      </c>
      <c r="AQ9" s="21" t="s">
        <v>247</v>
      </c>
      <c r="AR9" s="21" t="s">
        <v>247</v>
      </c>
      <c r="AS9" s="21" t="s">
        <v>247</v>
      </c>
      <c r="AT9" s="21" t="s">
        <v>247</v>
      </c>
      <c r="AU9" s="21" t="s">
        <v>247</v>
      </c>
      <c r="AV9" s="21" t="s">
        <v>247</v>
      </c>
      <c r="AW9" s="21" t="s">
        <v>247</v>
      </c>
      <c r="AX9" s="21" t="s">
        <v>247</v>
      </c>
      <c r="AY9" s="21" t="s">
        <v>247</v>
      </c>
      <c r="AZ9" s="21" t="s">
        <v>247</v>
      </c>
      <c r="BA9" s="21" t="s">
        <v>247</v>
      </c>
      <c r="BB9" s="21" t="s">
        <v>247</v>
      </c>
      <c r="BC9" s="21" t="s">
        <v>247</v>
      </c>
      <c r="BD9" s="21" t="s">
        <v>247</v>
      </c>
      <c r="BE9" s="21" t="s">
        <v>247</v>
      </c>
      <c r="BF9" s="21" t="s">
        <v>247</v>
      </c>
      <c r="BG9" s="21" t="s">
        <v>247</v>
      </c>
      <c r="BH9" s="21" t="s">
        <v>247</v>
      </c>
      <c r="BI9" s="21" t="s">
        <v>247</v>
      </c>
    </row>
    <row r="10" spans="1:61" x14ac:dyDescent="0.35">
      <c r="B10" s="412" t="s">
        <v>4078</v>
      </c>
      <c r="C10" s="50"/>
      <c r="D10" s="13"/>
      <c r="E10" s="13"/>
      <c r="F10" s="13"/>
      <c r="G10" s="13"/>
      <c r="H10" s="453"/>
      <c r="I10" s="30">
        <v>701.1</v>
      </c>
      <c r="J10" s="152"/>
      <c r="K10" s="90"/>
      <c r="L10" s="838" t="s">
        <v>4851</v>
      </c>
      <c r="M10" s="40"/>
    </row>
    <row r="11" spans="1:61" x14ac:dyDescent="0.35">
      <c r="B11" s="412" t="s">
        <v>4078</v>
      </c>
      <c r="C11" s="50"/>
      <c r="D11" s="13"/>
      <c r="E11" s="13"/>
      <c r="F11" s="13"/>
      <c r="G11" s="13"/>
      <c r="H11" s="453"/>
      <c r="I11" s="30"/>
      <c r="J11" s="152"/>
      <c r="K11" s="90"/>
      <c r="L11" s="838"/>
      <c r="M11" s="40"/>
      <c r="W11" t="s">
        <v>1106</v>
      </c>
      <c r="AX11" s="6" t="str">
        <f>'Overview (Design)'!A10</f>
        <v>Builder Name:</v>
      </c>
      <c r="AY11" t="str">
        <f>'Overview (Design)'!G10</f>
        <v>ABC Builder</v>
      </c>
    </row>
    <row r="12" spans="1:61" x14ac:dyDescent="0.35">
      <c r="B12" s="412" t="s">
        <v>4078</v>
      </c>
      <c r="C12" s="50"/>
      <c r="D12" s="13"/>
      <c r="E12" s="13"/>
      <c r="F12" s="13"/>
      <c r="G12" s="13"/>
      <c r="H12" s="453"/>
      <c r="I12" s="30"/>
      <c r="J12" s="152"/>
      <c r="K12" s="90"/>
      <c r="L12" s="838"/>
      <c r="M12" s="40"/>
      <c r="P12" t="b">
        <v>1</v>
      </c>
      <c r="Q12" t="b">
        <v>0</v>
      </c>
      <c r="R12" t="b">
        <v>1</v>
      </c>
      <c r="S12" t="b">
        <v>1</v>
      </c>
      <c r="T12" t="b">
        <f ca="1">OR(AND(NOT(S12),LEN(W12)&gt;0),AND(S13=5,NOT(S19="Tropical")))</f>
        <v>0</v>
      </c>
      <c r="U12" t="str">
        <f>SUBSTITUTE(SUBSTITUTE(SUBSTITUTE("dd"&amp;B12&amp;C12&amp;D12&amp;E12&amp;F12,".","_"),"(","_"),")","")</f>
        <v>dd701_1</v>
      </c>
      <c r="W12" s="9" t="s">
        <v>2990</v>
      </c>
      <c r="AC12" t="b">
        <f ca="1">OR(AD12:AE12)</f>
        <v>0</v>
      </c>
      <c r="AD12" t="b">
        <f ca="1">T12</f>
        <v>0</v>
      </c>
      <c r="AE12" t="b">
        <f>AND(R12,ISBLANK(W12))</f>
        <v>0</v>
      </c>
      <c r="AP12" t="str">
        <f>SUBSTITUTE(SUBSTITUTE(SUBSTITUTE("dch"&amp;$B12&amp;$C12&amp;$D12&amp;$E12,".","_"),"(","_"),")","")</f>
        <v>dch701_1</v>
      </c>
      <c r="AQ12" t="str">
        <f>IF(LEN(W12)=0,"",W12)</f>
        <v>Prescriptive Path</v>
      </c>
      <c r="AX12" s="6" t="str">
        <f>'Overview (Design)'!A11</f>
        <v>Physical Address of Home:</v>
      </c>
      <c r="AY12" t="str">
        <f>'Overview (Design)'!G11</f>
        <v>123 Example Drive</v>
      </c>
    </row>
    <row r="13" spans="1:61" x14ac:dyDescent="0.35">
      <c r="B13" s="412" t="s">
        <v>4078</v>
      </c>
      <c r="C13" s="50"/>
      <c r="D13" s="13"/>
      <c r="E13" s="13"/>
      <c r="F13" s="13"/>
      <c r="G13" s="13"/>
      <c r="H13" s="453"/>
      <c r="I13" s="30"/>
      <c r="J13" s="152"/>
      <c r="K13" s="90"/>
      <c r="L13" s="838"/>
      <c r="M13" s="40"/>
      <c r="R13" s="1" t="s">
        <v>3380</v>
      </c>
      <c r="S13" s="1">
        <f ca="1">IFERROR(MATCH(W12,INDIRECT(U12),0),0)</f>
        <v>2</v>
      </c>
      <c r="W13" t="s">
        <v>5596</v>
      </c>
      <c r="AX13" s="6" t="str">
        <f>'Overview (Design)'!A12</f>
        <v>Community/Lot #:</v>
      </c>
      <c r="AY13" t="str">
        <f>'Overview (Design)'!G12</f>
        <v>Lot 1A</v>
      </c>
    </row>
    <row r="14" spans="1:61" x14ac:dyDescent="0.35">
      <c r="B14" s="412" t="s">
        <v>4078</v>
      </c>
      <c r="C14" s="50" t="s">
        <v>5101</v>
      </c>
      <c r="D14" s="13"/>
      <c r="E14" s="13"/>
      <c r="F14" s="13"/>
      <c r="G14" s="13"/>
      <c r="H14" s="453"/>
      <c r="I14" s="30"/>
      <c r="J14" s="152"/>
      <c r="K14" s="90"/>
      <c r="L14" s="855" t="s">
        <v>5624</v>
      </c>
      <c r="M14" s="40"/>
      <c r="P14" t="b">
        <v>1</v>
      </c>
      <c r="Q14" t="b">
        <v>0</v>
      </c>
      <c r="R14" t="b">
        <f ca="1">S14</f>
        <v>0</v>
      </c>
      <c r="S14" t="b">
        <f ca="1">OR(S13=1,S13=3,IFERROR(MATCH(W28,INDIRECT(U28))=1,FALSE),AND(IFERROR(MATCH(W28,INDIRECT(U28))=2,FALSE),NOT(BI16="Tropical")))</f>
        <v>0</v>
      </c>
      <c r="T14" t="b">
        <f ca="1">AND(NOT(S14),LEN(W14)&gt;0)</f>
        <v>0</v>
      </c>
      <c r="U14" t="str">
        <f>SUBSTITUTE(SUBSTITUTE(SUBSTITUTE("dd"&amp;B14&amp;C14&amp;D14&amp;E14&amp;F14,".","_"),"(","_"),")","")</f>
        <v>dd701_1_</v>
      </c>
      <c r="W14" s="9"/>
      <c r="X14" s="817"/>
      <c r="AC14" t="b">
        <f ca="1">OR(AD14:AE14)</f>
        <v>0</v>
      </c>
      <c r="AD14" t="b">
        <f ca="1">T14</f>
        <v>0</v>
      </c>
      <c r="AE14" t="b">
        <f ca="1">AND(R14,OR(LEN(W14)=0,LEN(X14)=0))</f>
        <v>0</v>
      </c>
      <c r="AP14" t="str">
        <f>SUBSTITUTE(SUBSTITUTE(SUBSTITUTE("dch"&amp;$B14&amp;$C14&amp;$D14&amp;$E14,".","_"),"(","_"),")","")</f>
        <v>dch701_1_</v>
      </c>
      <c r="AQ14" t="str">
        <f>IF(LEN(W14)=0,"",W14)</f>
        <v/>
      </c>
      <c r="AR14" t="str">
        <f>SUBSTITUTE(SUBSTITUTE(SUBSTITUTE("dnt"&amp;$B14&amp;$C14&amp;$D14&amp;$E14,".","_"),"(","_"),")","")</f>
        <v>dnt701_1_</v>
      </c>
      <c r="AS14" t="str">
        <f>IF(LEN(X14)=0,"",X14)</f>
        <v/>
      </c>
      <c r="AX14" s="6" t="str">
        <f>'Overview (Design)'!A13</f>
        <v>City:</v>
      </c>
      <c r="AY14" t="str">
        <f>'Overview (Design)'!G13</f>
        <v>Durham</v>
      </c>
    </row>
    <row r="15" spans="1:61" x14ac:dyDescent="0.35">
      <c r="B15" s="412" t="s">
        <v>4078</v>
      </c>
      <c r="C15" s="50"/>
      <c r="D15" s="13"/>
      <c r="E15" s="13"/>
      <c r="F15" s="13"/>
      <c r="G15" s="13"/>
      <c r="H15" s="453"/>
      <c r="I15" s="30"/>
      <c r="J15" s="152"/>
      <c r="K15" s="90"/>
      <c r="L15" s="855"/>
      <c r="M15" s="40"/>
      <c r="X15" s="817"/>
      <c r="AX15" s="6" t="str">
        <f>'Overview (Design)'!A14</f>
        <v>State:</v>
      </c>
      <c r="AY15" t="str">
        <f>'Overview (Design)'!G14</f>
        <v>North Carolina</v>
      </c>
      <c r="BC15" t="str">
        <f>'Overview (Design)'!K14</f>
        <v>State</v>
      </c>
      <c r="BD15" t="str">
        <f>'Overview (Design)'!L14</f>
        <v>County</v>
      </c>
      <c r="BE15" t="str">
        <f>'Overview (Design)'!M14</f>
        <v>Radon</v>
      </c>
      <c r="BF15" t="str">
        <f>'Overview (Design)'!N14</f>
        <v>Climate</v>
      </c>
      <c r="BG15" t="str">
        <f>'Overview (Design)'!O14</f>
        <v>Moist</v>
      </c>
      <c r="BH15" t="str">
        <f>'Overview (Design)'!P14</f>
        <v>WarmHumid</v>
      </c>
      <c r="BI15" t="str">
        <f>'Overview (Design)'!Q14</f>
        <v>Tropical</v>
      </c>
    </row>
    <row r="16" spans="1:61" x14ac:dyDescent="0.35">
      <c r="B16" s="412" t="s">
        <v>4078</v>
      </c>
      <c r="C16" s="50"/>
      <c r="D16" s="13"/>
      <c r="E16" s="13"/>
      <c r="F16" s="13"/>
      <c r="G16" s="13"/>
      <c r="H16" s="453"/>
      <c r="I16" s="30"/>
      <c r="J16" s="152"/>
      <c r="K16" s="90"/>
      <c r="L16" s="855"/>
      <c r="M16" s="40"/>
      <c r="X16" s="817"/>
      <c r="AX16" s="6" t="str">
        <f>'Overview (Design)'!A15</f>
        <v>County:</v>
      </c>
      <c r="AY16" t="str">
        <f>'Overview (Design)'!G15</f>
        <v xml:space="preserve">Chatham  </v>
      </c>
      <c r="BC16" t="str">
        <f>'Overview (Design)'!K15</f>
        <v>North Carolina</v>
      </c>
      <c r="BD16" t="str">
        <f>'Overview (Design)'!L15</f>
        <v xml:space="preserve">Chatham  </v>
      </c>
      <c r="BE16">
        <f>'Overview (Design)'!M15</f>
        <v>3</v>
      </c>
      <c r="BF16">
        <f>'Overview (Design)'!N15</f>
        <v>4</v>
      </c>
      <c r="BG16" t="str">
        <f>'Overview (Design)'!O15</f>
        <v>Moist</v>
      </c>
      <c r="BH16" t="str">
        <f>'Overview (Design)'!P15</f>
        <v xml:space="preserve"> </v>
      </c>
      <c r="BI16" t="str">
        <f>'Overview (Design)'!Q15</f>
        <v xml:space="preserve"> </v>
      </c>
    </row>
    <row r="17" spans="2:51" ht="15" customHeight="1" x14ac:dyDescent="0.35">
      <c r="B17" s="412" t="s">
        <v>813</v>
      </c>
      <c r="C17" s="50"/>
      <c r="D17" s="13"/>
      <c r="E17" s="13"/>
      <c r="F17" s="13"/>
      <c r="G17" s="13"/>
      <c r="H17" s="453"/>
      <c r="I17" s="117" t="s">
        <v>813</v>
      </c>
      <c r="J17" s="286"/>
      <c r="K17" s="286"/>
      <c r="L17" s="905" t="s">
        <v>5119</v>
      </c>
      <c r="M17" s="925" t="s">
        <v>4224</v>
      </c>
      <c r="N17" s="118"/>
      <c r="O17" s="165"/>
      <c r="P17" s="120" t="b">
        <v>0</v>
      </c>
      <c r="Q17" s="120" t="b">
        <v>1</v>
      </c>
      <c r="R17" s="328" t="s">
        <v>3381</v>
      </c>
      <c r="S17" s="328">
        <f ca="1">COUNTIF(O557:O615,"&gt;0")+MIN(1,O623+O626)+COUNTIF(O629:O662,"&gt;0")</f>
        <v>2</v>
      </c>
      <c r="T17" s="120"/>
      <c r="U17" s="120"/>
      <c r="V17" s="120"/>
      <c r="W17" s="120"/>
      <c r="X17" s="817"/>
      <c r="AC17" t="b">
        <f ca="1">OR(AD17:AE17)</f>
        <v>0</v>
      </c>
      <c r="AD17" t="b">
        <v>0</v>
      </c>
      <c r="AE17" t="b">
        <f ca="1">IF(AND(OR(S13=1,S13=2,S13=3),OR(S17&lt;1,(S17+S18)&lt;2)),TRUE,FALSE)</f>
        <v>0</v>
      </c>
      <c r="AR17" t="str">
        <f>SUBSTITUTE(SUBSTITUTE(SUBSTITUTE("dnt"&amp;$B17&amp;$C17&amp;$D17&amp;$E17,".","_"),"(","_"),")","")</f>
        <v>dnt701_1_1</v>
      </c>
      <c r="AS17" t="str">
        <f>IF(LEN(X17)=0,"",X17)</f>
        <v/>
      </c>
      <c r="AX17" s="6" t="str">
        <f>'Overview (Design)'!A16</f>
        <v>Zip:</v>
      </c>
      <c r="AY17" t="str">
        <f>'Overview (Design)'!G16</f>
        <v>27703</v>
      </c>
    </row>
    <row r="18" spans="2:51" x14ac:dyDescent="0.35">
      <c r="B18" s="412" t="s">
        <v>813</v>
      </c>
      <c r="C18" s="50"/>
      <c r="D18" s="13"/>
      <c r="E18" s="13"/>
      <c r="F18" s="13"/>
      <c r="G18" s="13"/>
      <c r="H18" s="453"/>
      <c r="I18" s="30"/>
      <c r="J18" s="90"/>
      <c r="K18" s="90"/>
      <c r="L18" s="838"/>
      <c r="M18" s="926"/>
      <c r="N18" s="4"/>
      <c r="O18" s="75"/>
      <c r="R18" s="328" t="s">
        <v>4223</v>
      </c>
      <c r="S18" s="1">
        <f ca="1">COUNTIF(O664:O743,"&gt;0")</f>
        <v>0</v>
      </c>
      <c r="X18" s="817"/>
      <c r="AX18" s="6"/>
    </row>
    <row r="19" spans="2:51" x14ac:dyDescent="0.35">
      <c r="B19" s="412" t="s">
        <v>813</v>
      </c>
      <c r="C19" s="50"/>
      <c r="D19" s="13"/>
      <c r="E19" s="13"/>
      <c r="F19" s="13"/>
      <c r="G19" s="13"/>
      <c r="H19" s="453"/>
      <c r="I19" s="133"/>
      <c r="J19" s="228"/>
      <c r="K19" s="228"/>
      <c r="L19" s="889"/>
      <c r="M19" s="926"/>
      <c r="N19" s="4"/>
      <c r="O19" s="75"/>
      <c r="R19" s="242" t="s">
        <v>4242</v>
      </c>
      <c r="S19" s="1" t="str">
        <f>BI16</f>
        <v xml:space="preserve"> </v>
      </c>
      <c r="X19" s="817"/>
      <c r="AX19" s="6" t="str">
        <f>'Overview (Design)'!A18</f>
        <v>Single-Family or Multifamily:</v>
      </c>
      <c r="AY19" t="str">
        <f>'Overview (Design)'!G18</f>
        <v>Single-Family</v>
      </c>
    </row>
    <row r="20" spans="2:51" ht="15" customHeight="1" x14ac:dyDescent="0.35">
      <c r="B20" s="412" t="s">
        <v>814</v>
      </c>
      <c r="C20" s="50"/>
      <c r="D20" s="13"/>
      <c r="E20" s="13"/>
      <c r="F20" s="13"/>
      <c r="G20" s="13"/>
      <c r="H20" s="453"/>
      <c r="I20" s="117" t="s">
        <v>814</v>
      </c>
      <c r="J20" s="286"/>
      <c r="K20" s="286"/>
      <c r="L20" s="905" t="s">
        <v>5120</v>
      </c>
      <c r="M20" s="926"/>
      <c r="N20" s="4"/>
      <c r="O20" s="75"/>
      <c r="X20" s="817"/>
      <c r="AR20" t="str">
        <f>SUBSTITUTE(SUBSTITUTE(SUBSTITUTE("dnt"&amp;$B20&amp;$C20&amp;$D20&amp;$E20,".","_"),"(","_"),")","")</f>
        <v>dnt701_1_2</v>
      </c>
      <c r="AS20" t="str">
        <f>IF(LEN(X20)=0,"",X20)</f>
        <v/>
      </c>
      <c r="AX20" s="6" t="str">
        <f>'Overview (Design)'!A19</f>
        <v>Number of Units:</v>
      </c>
      <c r="AY20">
        <f>'Overview (Design)'!G19</f>
        <v>0</v>
      </c>
    </row>
    <row r="21" spans="2:51" x14ac:dyDescent="0.35">
      <c r="B21" s="412" t="s">
        <v>814</v>
      </c>
      <c r="C21" s="50"/>
      <c r="D21" s="13"/>
      <c r="E21" s="13"/>
      <c r="F21" s="13"/>
      <c r="G21" s="13"/>
      <c r="H21" s="453"/>
      <c r="I21" s="4"/>
      <c r="J21" s="90"/>
      <c r="K21" s="90"/>
      <c r="L21" s="838"/>
      <c r="M21" s="926"/>
      <c r="N21" s="4"/>
      <c r="O21" s="75"/>
      <c r="X21" s="817"/>
      <c r="AX21" s="6" t="str">
        <f>'Overview (Design)'!A20</f>
        <v>Building includes commercial space pursuing Commercial Space certification?</v>
      </c>
      <c r="AY21">
        <f>'Overview (Design)'!G20</f>
        <v>0</v>
      </c>
    </row>
    <row r="22" spans="2:51" x14ac:dyDescent="0.35">
      <c r="B22" s="412" t="s">
        <v>814</v>
      </c>
      <c r="C22" s="50"/>
      <c r="D22" s="13"/>
      <c r="E22" s="13"/>
      <c r="F22" s="13"/>
      <c r="G22" s="13"/>
      <c r="H22" s="453"/>
      <c r="I22" s="4"/>
      <c r="J22" s="90"/>
      <c r="K22" s="90"/>
      <c r="L22" s="838"/>
      <c r="M22" s="926"/>
      <c r="N22" s="4"/>
      <c r="O22" s="75"/>
      <c r="X22" s="817"/>
    </row>
    <row r="23" spans="2:51" x14ac:dyDescent="0.35">
      <c r="B23" s="412" t="s">
        <v>814</v>
      </c>
      <c r="C23" s="50"/>
      <c r="D23" s="13"/>
      <c r="E23" s="13"/>
      <c r="F23" s="13"/>
      <c r="G23" s="13"/>
      <c r="H23" s="453"/>
      <c r="I23" s="133"/>
      <c r="J23" s="228"/>
      <c r="K23" s="228"/>
      <c r="L23" s="889"/>
      <c r="M23" s="926"/>
      <c r="N23" s="4"/>
      <c r="O23" s="75"/>
      <c r="X23" s="817"/>
    </row>
    <row r="24" spans="2:51" ht="15" customHeight="1" x14ac:dyDescent="0.35">
      <c r="B24" s="412" t="s">
        <v>815</v>
      </c>
      <c r="C24" s="50"/>
      <c r="D24" s="13"/>
      <c r="E24" s="13"/>
      <c r="F24" s="13"/>
      <c r="G24" s="13"/>
      <c r="H24" s="453"/>
      <c r="I24" s="30" t="s">
        <v>815</v>
      </c>
      <c r="J24" s="90"/>
      <c r="K24" s="90"/>
      <c r="L24" s="838" t="s">
        <v>5121</v>
      </c>
      <c r="M24" s="926"/>
      <c r="O24" s="75"/>
      <c r="X24" s="817"/>
      <c r="AR24" t="str">
        <f>SUBSTITUTE(SUBSTITUTE(SUBSTITUTE("dnt"&amp;$B24&amp;$C24&amp;$D24&amp;$E24,".","_"),"(","_"),")","")</f>
        <v>dnt701_1_3</v>
      </c>
      <c r="AS24" t="str">
        <f>IF(LEN(X24)=0,"",X24)</f>
        <v/>
      </c>
      <c r="AX24" s="6" t="str">
        <f>'Overview (Design)'!A23</f>
        <v>Project Name:</v>
      </c>
      <c r="AY24">
        <f>'Overview (Design)'!G23</f>
        <v>0</v>
      </c>
    </row>
    <row r="25" spans="2:51" x14ac:dyDescent="0.35">
      <c r="B25" s="412" t="s">
        <v>815</v>
      </c>
      <c r="C25" s="50"/>
      <c r="D25" s="13"/>
      <c r="E25" s="13"/>
      <c r="F25" s="13"/>
      <c r="G25" s="13"/>
      <c r="H25" s="453"/>
      <c r="I25" s="4"/>
      <c r="J25" s="90"/>
      <c r="K25" s="90"/>
      <c r="L25" s="838"/>
      <c r="M25" s="926"/>
      <c r="O25" s="75"/>
      <c r="X25" s="817"/>
      <c r="AX25" s="6"/>
    </row>
    <row r="26" spans="2:51" x14ac:dyDescent="0.35">
      <c r="B26" s="412" t="s">
        <v>815</v>
      </c>
      <c r="C26" s="50"/>
      <c r="D26" s="13"/>
      <c r="E26" s="13"/>
      <c r="F26" s="13"/>
      <c r="G26" s="13"/>
      <c r="H26" s="453"/>
      <c r="I26" s="133"/>
      <c r="J26" s="228"/>
      <c r="K26" s="228"/>
      <c r="L26" s="889"/>
      <c r="M26" s="927"/>
      <c r="N26" s="133"/>
      <c r="O26" s="309"/>
      <c r="P26" s="104"/>
      <c r="Q26" s="104"/>
      <c r="R26" s="104"/>
      <c r="S26" s="104"/>
      <c r="T26" s="104"/>
      <c r="U26" s="104"/>
      <c r="V26" s="104"/>
      <c r="W26" s="104"/>
      <c r="X26" s="817"/>
      <c r="AX26" s="6" t="str">
        <f>'Overview (Design)'!A25</f>
        <v>Above grade plane finished floor area:</v>
      </c>
      <c r="AY26">
        <f>'Overview (Design)'!G25</f>
        <v>2644</v>
      </c>
    </row>
    <row r="27" spans="2:51" x14ac:dyDescent="0.35">
      <c r="B27" s="412" t="s">
        <v>816</v>
      </c>
      <c r="C27" s="50"/>
      <c r="D27" s="13"/>
      <c r="E27" s="13"/>
      <c r="F27" s="13"/>
      <c r="G27" s="13"/>
      <c r="H27" s="453"/>
      <c r="I27" s="32" t="s">
        <v>816</v>
      </c>
      <c r="J27" s="90"/>
      <c r="K27" s="90"/>
      <c r="L27" s="838" t="s">
        <v>4888</v>
      </c>
      <c r="M27" s="40"/>
      <c r="N27" s="4"/>
      <c r="O27" s="832">
        <f ca="1">IFERROR(MATCH(W28,INDIRECT(U28),0)*15+15,0)*S28</f>
        <v>0</v>
      </c>
      <c r="W27" t="s">
        <v>2995</v>
      </c>
      <c r="X27" s="817"/>
      <c r="AN27" t="str">
        <f>SUBSTITUTE(SUBSTITUTE(SUBSTITUTE("dpc"&amp;$B27&amp;$C27&amp;$D27&amp;$E27,".","_"),"(","_"),")","")</f>
        <v>dpc701_1_4</v>
      </c>
      <c r="AO27">
        <f ca="1">O27</f>
        <v>0</v>
      </c>
      <c r="AR27" t="str">
        <f>SUBSTITUTE(SUBSTITUTE(SUBSTITUTE("dnt"&amp;$B27&amp;$C27&amp;$D27&amp;$E27,".","_"),"(","_"),")","")</f>
        <v>dnt701_1_4</v>
      </c>
      <c r="AS27" t="str">
        <f>IF(LEN(X27)=0,"",X27)</f>
        <v/>
      </c>
      <c r="AX27" s="6" t="str">
        <f>'Overview (Design)'!A26</f>
        <v>Total conditioned floor area:</v>
      </c>
      <c r="AY27">
        <f>'Overview (Design)'!G26</f>
        <v>2644</v>
      </c>
    </row>
    <row r="28" spans="2:51" x14ac:dyDescent="0.35">
      <c r="B28" s="412" t="s">
        <v>816</v>
      </c>
      <c r="C28" s="50"/>
      <c r="D28" s="13"/>
      <c r="E28" s="13"/>
      <c r="F28" s="13"/>
      <c r="G28" s="13"/>
      <c r="H28" s="453"/>
      <c r="I28" s="4"/>
      <c r="J28" s="90"/>
      <c r="K28" s="90"/>
      <c r="L28" s="838"/>
      <c r="M28" s="40"/>
      <c r="N28" s="4"/>
      <c r="O28" s="832"/>
      <c r="P28" t="b">
        <v>0</v>
      </c>
      <c r="Q28" t="b">
        <v>1</v>
      </c>
      <c r="R28" t="b">
        <f ca="1">S28</f>
        <v>0</v>
      </c>
      <c r="S28" t="b">
        <f ca="1">IFERROR(S13=4,FALSE)</f>
        <v>0</v>
      </c>
      <c r="T28" t="b">
        <f ca="1">AND(NOT(S28),LEN(W28)&gt;0)</f>
        <v>0</v>
      </c>
      <c r="U28" t="str">
        <f>SUBSTITUTE(SUBSTITUTE(SUBSTITUTE("dd"&amp;B27&amp;C27&amp;D27&amp;E27&amp;F27,".","_"),"(","_"),")","")</f>
        <v>dd701_1_4</v>
      </c>
      <c r="W28" s="9"/>
      <c r="X28" s="817"/>
      <c r="AC28" t="b">
        <f ca="1">OR(AD28:AE28)</f>
        <v>0</v>
      </c>
      <c r="AD28" t="b">
        <f ca="1">T28</f>
        <v>0</v>
      </c>
      <c r="AE28" t="b">
        <f ca="1">AND(R28,ISBLANK(W28))</f>
        <v>0</v>
      </c>
      <c r="AP28" t="str">
        <f>SUBSTITUTE(SUBSTITUTE(SUBSTITUTE("dch"&amp;$B28&amp;$C28&amp;$D28&amp;$E28,".","_"),"(","_"),")","")</f>
        <v>dch701_1_4</v>
      </c>
      <c r="AQ28" t="str">
        <f>IF(LEN(W28)=0,"",W28)</f>
        <v/>
      </c>
      <c r="AX28" s="6" t="str">
        <f>'Overview (Design)'!A27</f>
        <v>Stories above grade:</v>
      </c>
      <c r="AY28">
        <f>'Overview (Design)'!G27</f>
        <v>2</v>
      </c>
    </row>
    <row r="29" spans="2:51" x14ac:dyDescent="0.35">
      <c r="B29" s="412" t="s">
        <v>816</v>
      </c>
      <c r="C29" s="50"/>
      <c r="D29" s="13"/>
      <c r="E29" s="13"/>
      <c r="F29" s="13"/>
      <c r="G29" s="13"/>
      <c r="H29" s="453"/>
      <c r="I29" s="4"/>
      <c r="J29" s="90"/>
      <c r="K29" s="90"/>
      <c r="L29" s="838"/>
      <c r="M29" s="40"/>
      <c r="N29" s="4"/>
      <c r="O29" s="832"/>
      <c r="W29" t="s">
        <v>5672</v>
      </c>
      <c r="X29" s="817"/>
      <c r="AX29" s="6" t="str">
        <f>'Overview (Design)'!A28</f>
        <v>Project Elevation (ft. above sea level):</v>
      </c>
      <c r="AY29">
        <f>'Overview (Design)'!G28</f>
        <v>0</v>
      </c>
    </row>
    <row r="30" spans="2:51" x14ac:dyDescent="0.35">
      <c r="B30" s="412" t="s">
        <v>816</v>
      </c>
      <c r="C30" s="50" t="s">
        <v>5101</v>
      </c>
      <c r="D30" s="13"/>
      <c r="E30" s="13"/>
      <c r="F30" s="13"/>
      <c r="G30" s="13"/>
      <c r="H30" s="453"/>
      <c r="I30" s="4"/>
      <c r="J30" s="90"/>
      <c r="K30" s="90"/>
      <c r="L30" s="838"/>
      <c r="M30" s="40"/>
      <c r="N30" s="4"/>
      <c r="O30" s="832"/>
      <c r="P30" t="b">
        <v>0</v>
      </c>
      <c r="Q30" t="b">
        <v>1</v>
      </c>
      <c r="R30" t="b">
        <f>S30</f>
        <v>0</v>
      </c>
      <c r="S30" t="b">
        <f>LEN(W28)&gt;0</f>
        <v>0</v>
      </c>
      <c r="T30" t="b">
        <f ca="1">AND(LEN(W30)&gt;0,IFERROR(COUNTIF(INDIRECT(U30),W30)=0,TRUE))</f>
        <v>0</v>
      </c>
      <c r="U30" s="1" t="str" cm="1">
        <f t="array" aca="1" ref="U30" ca="1">IFERROR(INDEX({"ddAltBronze","ddAltSilver"},MATCH(W28,INDIRECT(U28),0)),"XXX")</f>
        <v>XXX</v>
      </c>
      <c r="W30" s="9"/>
      <c r="X30" s="817"/>
      <c r="AC30" t="b">
        <f ca="1">OR(AD30:AE30)</f>
        <v>0</v>
      </c>
      <c r="AD30" t="b">
        <f ca="1">T30</f>
        <v>0</v>
      </c>
      <c r="AE30" t="b">
        <f>AND(R30,ISBLANK(W30))</f>
        <v>0</v>
      </c>
      <c r="AP30" t="str">
        <f>SUBSTITUTE(SUBSTITUTE(SUBSTITUTE("dch"&amp;$B30&amp;$C30&amp;$D30&amp;$E30,".","_"),"(","_"),")","")</f>
        <v>dch701_1_4_</v>
      </c>
      <c r="AQ30" t="str">
        <f>IF(LEN(W30)=0,"",W30)</f>
        <v/>
      </c>
      <c r="AX30" s="6"/>
    </row>
    <row r="31" spans="2:51" x14ac:dyDescent="0.35">
      <c r="B31" s="412" t="s">
        <v>816</v>
      </c>
      <c r="C31" s="50"/>
      <c r="D31" s="13"/>
      <c r="E31" s="13"/>
      <c r="F31" s="13"/>
      <c r="G31" s="13"/>
      <c r="H31" s="453"/>
      <c r="I31" s="4"/>
      <c r="J31" s="90"/>
      <c r="K31" s="90"/>
      <c r="L31" s="838"/>
      <c r="M31" s="40"/>
      <c r="N31" s="4"/>
      <c r="O31" s="832"/>
      <c r="X31" s="817"/>
      <c r="AX31" s="6" t="str">
        <f>'Overview (Design)'!A30</f>
        <v xml:space="preserve">Project Description (optional): </v>
      </c>
      <c r="AY31">
        <f>'Overview (Design)'!G30</f>
        <v>0</v>
      </c>
    </row>
    <row r="32" spans="2:51" x14ac:dyDescent="0.35">
      <c r="B32" s="412" t="s">
        <v>816</v>
      </c>
      <c r="C32" s="50"/>
      <c r="D32" s="13"/>
      <c r="E32" s="13"/>
      <c r="F32" s="13"/>
      <c r="G32" s="13"/>
      <c r="H32" s="453"/>
      <c r="I32" s="4"/>
      <c r="J32" s="90"/>
      <c r="K32" s="90"/>
      <c r="L32" s="838"/>
      <c r="M32" s="40"/>
      <c r="N32" s="4"/>
      <c r="O32" s="832"/>
      <c r="X32" s="817"/>
      <c r="AX32" s="6"/>
    </row>
    <row r="33" spans="2:51" x14ac:dyDescent="0.35">
      <c r="B33" s="412" t="s">
        <v>816</v>
      </c>
      <c r="C33" s="50"/>
      <c r="D33" s="13"/>
      <c r="E33" s="13"/>
      <c r="F33" s="13"/>
      <c r="G33" s="13"/>
      <c r="H33" s="453"/>
      <c r="I33" s="4"/>
      <c r="J33" s="90"/>
      <c r="K33" s="90"/>
      <c r="L33" s="838"/>
      <c r="M33" s="40"/>
      <c r="N33" s="4"/>
      <c r="O33" s="832"/>
      <c r="X33" s="817"/>
      <c r="AX33" s="6" t="str">
        <f>'Overview (Design)'!A32</f>
        <v>Foundation Type:</v>
      </c>
      <c r="AY33" t="str">
        <f>'Overview (Design)'!G32</f>
        <v>Conditioned crawlspace</v>
      </c>
    </row>
    <row r="34" spans="2:51" x14ac:dyDescent="0.35">
      <c r="B34" s="412" t="s">
        <v>816</v>
      </c>
      <c r="C34" s="50"/>
      <c r="D34" s="13"/>
      <c r="E34" s="13"/>
      <c r="F34" s="13"/>
      <c r="G34" s="13"/>
      <c r="H34" s="453"/>
      <c r="I34" s="4"/>
      <c r="J34" s="90"/>
      <c r="K34" s="90"/>
      <c r="L34" s="838"/>
      <c r="M34" s="40"/>
      <c r="N34" s="4"/>
      <c r="O34" s="832"/>
      <c r="X34" s="817"/>
      <c r="AX34" s="6"/>
    </row>
    <row r="35" spans="2:51" x14ac:dyDescent="0.35">
      <c r="B35" s="412" t="s">
        <v>816</v>
      </c>
      <c r="C35" s="50"/>
      <c r="D35" s="13"/>
      <c r="E35" s="13"/>
      <c r="F35" s="13"/>
      <c r="G35" s="13"/>
      <c r="H35" s="453"/>
      <c r="I35" s="4"/>
      <c r="J35" s="90"/>
      <c r="K35" s="90"/>
      <c r="L35" s="838"/>
      <c r="M35" s="40"/>
      <c r="N35" s="4"/>
      <c r="O35" s="832"/>
      <c r="X35" s="817"/>
      <c r="AX35" s="6" t="str">
        <f>'Overview (Design)'!A34</f>
        <v>Type of Heating System (main system):</v>
      </c>
      <c r="AY35" t="str">
        <f>'Overview (Design)'!G34</f>
        <v>Furnace</v>
      </c>
    </row>
    <row r="36" spans="2:51" ht="15" thickBot="1" x14ac:dyDescent="0.4">
      <c r="B36" s="412" t="s">
        <v>816</v>
      </c>
      <c r="C36" s="50"/>
      <c r="D36" s="13"/>
      <c r="E36" s="13"/>
      <c r="F36" s="13"/>
      <c r="G36" s="13"/>
      <c r="H36" s="453"/>
      <c r="I36" s="160"/>
      <c r="J36" s="229"/>
      <c r="K36" s="229"/>
      <c r="L36" s="719" t="s">
        <v>5673</v>
      </c>
      <c r="M36" s="270"/>
      <c r="N36" s="160"/>
      <c r="O36" s="161"/>
      <c r="P36" s="55"/>
      <c r="Q36" s="55"/>
      <c r="R36" s="55"/>
      <c r="S36" s="55"/>
      <c r="T36" s="55"/>
      <c r="U36" s="55"/>
      <c r="V36" s="55"/>
      <c r="W36" s="55"/>
      <c r="X36" s="55"/>
      <c r="AX36" s="6" t="str">
        <f>'Overview (Design)'!A35</f>
        <v>Type of Heating System (system 2):</v>
      </c>
      <c r="AY36">
        <f>'Overview (Design)'!G35</f>
        <v>0</v>
      </c>
    </row>
    <row r="37" spans="2:51" ht="15" thickTop="1" x14ac:dyDescent="0.35">
      <c r="B37" s="412" t="s">
        <v>4225</v>
      </c>
      <c r="C37" s="50"/>
      <c r="D37" s="13"/>
      <c r="E37" s="13"/>
      <c r="F37" s="13"/>
      <c r="G37" s="13"/>
      <c r="H37" s="453"/>
      <c r="I37" s="47" t="s">
        <v>4225</v>
      </c>
      <c r="J37" s="467"/>
      <c r="K37" s="467"/>
      <c r="L37" s="884" t="s">
        <v>4226</v>
      </c>
      <c r="M37" s="40"/>
      <c r="N37" s="4"/>
      <c r="O37" s="832"/>
      <c r="AX37" s="6" t="str">
        <f>'Overview (Design)'!A36</f>
        <v>Type of Heating System (system 3):</v>
      </c>
      <c r="AY37">
        <f>'Overview (Design)'!G36</f>
        <v>0</v>
      </c>
    </row>
    <row r="38" spans="2:51" x14ac:dyDescent="0.35">
      <c r="B38" s="412" t="s">
        <v>4225</v>
      </c>
      <c r="C38" s="50"/>
      <c r="D38" s="13"/>
      <c r="E38" s="13"/>
      <c r="F38" s="13"/>
      <c r="G38" s="13"/>
      <c r="H38" s="453"/>
      <c r="I38" s="50"/>
      <c r="J38" s="467"/>
      <c r="K38" s="467"/>
      <c r="L38" s="884"/>
      <c r="M38" s="40"/>
      <c r="N38" s="4"/>
      <c r="O38" s="832"/>
      <c r="AX38" s="6" t="str">
        <f>'Overview (Design)'!A37</f>
        <v>Primary Heating Fuel:</v>
      </c>
      <c r="AY38">
        <f>'Overview (Design)'!G37</f>
        <v>0</v>
      </c>
    </row>
    <row r="39" spans="2:51" x14ac:dyDescent="0.35">
      <c r="B39" s="412" t="s">
        <v>4225</v>
      </c>
      <c r="C39" s="50"/>
      <c r="D39" s="13"/>
      <c r="E39" s="13"/>
      <c r="F39" s="13"/>
      <c r="G39" s="13"/>
      <c r="H39" s="453"/>
      <c r="I39" s="50"/>
      <c r="J39" s="467"/>
      <c r="K39" s="467"/>
      <c r="L39" s="884"/>
      <c r="M39" s="40"/>
      <c r="N39" s="4"/>
      <c r="O39" s="832"/>
      <c r="AX39" s="6" t="str">
        <f>'Overview (Design)'!A38</f>
        <v>Heating Ducts:</v>
      </c>
      <c r="AY39" t="str">
        <f>'Overview (Design)'!G38</f>
        <v>Ducted</v>
      </c>
    </row>
    <row r="40" spans="2:51" x14ac:dyDescent="0.35">
      <c r="B40" s="412" t="s">
        <v>4225</v>
      </c>
      <c r="C40" s="50"/>
      <c r="D40" s="13"/>
      <c r="E40" s="13"/>
      <c r="F40" s="13"/>
      <c r="G40" s="13"/>
      <c r="H40" s="453"/>
      <c r="I40" s="50"/>
      <c r="J40" s="467"/>
      <c r="K40" s="467"/>
      <c r="L40" s="720" t="s">
        <v>5673</v>
      </c>
      <c r="M40" s="40"/>
      <c r="N40" s="4"/>
      <c r="O40" s="75"/>
      <c r="AX40" s="6" t="str">
        <f>'Overview (Design)'!A39</f>
        <v>Type of Cooling System (main system):</v>
      </c>
      <c r="AY40" t="str">
        <f>'Overview (Design)'!G39</f>
        <v>Electric Air Conditiner</v>
      </c>
    </row>
    <row r="41" spans="2:51" x14ac:dyDescent="0.35">
      <c r="B41" s="412" t="s">
        <v>4225</v>
      </c>
      <c r="C41" s="467" t="s">
        <v>256</v>
      </c>
      <c r="D41" s="467"/>
      <c r="E41" s="13"/>
      <c r="F41" s="13"/>
      <c r="G41" s="13"/>
      <c r="H41" s="453"/>
      <c r="I41" s="50"/>
      <c r="J41" s="416" t="s">
        <v>256</v>
      </c>
      <c r="K41" s="482"/>
      <c r="L41" s="477" t="s">
        <v>4227</v>
      </c>
      <c r="M41" s="458" t="str">
        <f ca="1">IF(R41,"Mandatory","N/A")</f>
        <v>N/A</v>
      </c>
      <c r="N41" s="133"/>
      <c r="O41" s="309"/>
      <c r="P41" s="104" t="b">
        <v>1</v>
      </c>
      <c r="Q41" s="104" t="b">
        <v>1</v>
      </c>
      <c r="R41" s="104" t="b">
        <f ca="1">S41</f>
        <v>0</v>
      </c>
      <c r="S41" s="104" t="b">
        <f ca="1">IFERROR(S13=5,FALSE)</f>
        <v>0</v>
      </c>
      <c r="T41" s="104" t="b">
        <f ca="1">AND(NOT(S41),W41=TRUE)</f>
        <v>0</v>
      </c>
      <c r="U41" s="104"/>
      <c r="V41" s="335"/>
      <c r="W41" s="17"/>
      <c r="X41" s="36"/>
      <c r="AC41" t="b">
        <f ca="1">OR(AD41:AE41)</f>
        <v>0</v>
      </c>
      <c r="AD41" t="b">
        <f ca="1">T41</f>
        <v>0</v>
      </c>
      <c r="AE41" t="b">
        <f ca="1">AND(R41,NOT(W41))</f>
        <v>0</v>
      </c>
      <c r="AL41" t="str">
        <f>SUBSTITUTE(SUBSTITUTE(SUBSTITUTE("dpa"&amp;$B41&amp;$C41&amp;$D41&amp;$E41,".","_"),"(","_"),")","")</f>
        <v>dpa701_1_6_1</v>
      </c>
      <c r="AM41" t="str">
        <f ca="1">M41</f>
        <v>N/A</v>
      </c>
      <c r="AP41" t="str">
        <f>SUBSTITUTE(SUBSTITUTE(SUBSTITUTE("dch"&amp;$B41&amp;$C41&amp;$D41&amp;$E41,".","_"),"(","_"),")","")</f>
        <v>dch701_1_6_1</v>
      </c>
      <c r="AQ41" t="str">
        <f>IF(LEN(W41)=0,"",W41)</f>
        <v/>
      </c>
      <c r="AR41" t="str">
        <f>SUBSTITUTE(SUBSTITUTE(SUBSTITUTE("dnt"&amp;$B41&amp;$C41&amp;$D41&amp;$E41,".","_"),"(","_"),")","")</f>
        <v>dnt701_1_6_1</v>
      </c>
      <c r="AS41" t="str">
        <f>IF(LEN(X41)=0,"",X41)</f>
        <v/>
      </c>
      <c r="AX41" s="6" t="str">
        <f>'Overview (Design)'!A40</f>
        <v>Type of Cooling System (system 2):</v>
      </c>
      <c r="AY41">
        <f>'Overview (Design)'!G40</f>
        <v>0</v>
      </c>
    </row>
    <row r="42" spans="2:51" x14ac:dyDescent="0.35">
      <c r="B42" s="412" t="s">
        <v>4225</v>
      </c>
      <c r="C42" s="467" t="s">
        <v>258</v>
      </c>
      <c r="D42" s="467"/>
      <c r="E42" s="13"/>
      <c r="F42" s="13"/>
      <c r="G42" s="13"/>
      <c r="H42" s="453"/>
      <c r="I42" s="50"/>
      <c r="J42" s="424" t="s">
        <v>258</v>
      </c>
      <c r="K42" s="527"/>
      <c r="L42" s="828" t="s">
        <v>4228</v>
      </c>
      <c r="M42" s="912" t="str">
        <f ca="1">IF(R42,"Mandatory","N/A")</f>
        <v>N/A</v>
      </c>
      <c r="N42" s="118"/>
      <c r="O42" s="165"/>
      <c r="P42" s="120" t="b">
        <v>1</v>
      </c>
      <c r="Q42" s="120" t="b">
        <v>1</v>
      </c>
      <c r="R42" s="120" t="b">
        <f ca="1">S42</f>
        <v>0</v>
      </c>
      <c r="S42" s="120" t="b">
        <f ca="1">IFERROR(S13=5,FALSE)</f>
        <v>0</v>
      </c>
      <c r="T42" s="120" t="b">
        <f ca="1">AND(NOT(S42),W42=TRUE)</f>
        <v>0</v>
      </c>
      <c r="U42" s="120"/>
      <c r="V42" s="120"/>
      <c r="W42" s="17"/>
      <c r="X42" s="850"/>
      <c r="AC42" t="b">
        <f ca="1">OR(AD42:AE42)</f>
        <v>0</v>
      </c>
      <c r="AD42" t="b">
        <f ca="1">T42</f>
        <v>0</v>
      </c>
      <c r="AE42" t="b">
        <f ca="1">AND(R42,NOT(W42))</f>
        <v>0</v>
      </c>
      <c r="AL42" t="str">
        <f>SUBSTITUTE(SUBSTITUTE(SUBSTITUTE("dpa"&amp;$B42&amp;$C42&amp;$D42&amp;$E42,".","_"),"(","_"),")","")</f>
        <v>dpa701_1_6_2</v>
      </c>
      <c r="AM42" t="str">
        <f ca="1">M42</f>
        <v>N/A</v>
      </c>
      <c r="AP42" t="str">
        <f>SUBSTITUTE(SUBSTITUTE(SUBSTITUTE("dch"&amp;$B42&amp;$C42&amp;$D42&amp;$E42,".","_"),"(","_"),")","")</f>
        <v>dch701_1_6_2</v>
      </c>
      <c r="AQ42" t="str">
        <f>IF(LEN(W42)=0,"",W42)</f>
        <v/>
      </c>
      <c r="AR42" t="str">
        <f>SUBSTITUTE(SUBSTITUTE(SUBSTITUTE("dnt"&amp;$B42&amp;$C42&amp;$D42&amp;$E42,".","_"),"(","_"),")","")</f>
        <v>dnt701_1_6_2</v>
      </c>
      <c r="AS42" t="str">
        <f>IF(LEN(X42)=0,"",X42)</f>
        <v/>
      </c>
      <c r="AX42" s="6" t="str">
        <f>'Overview (Design)'!A41</f>
        <v>Type of Cooling System (system 3):</v>
      </c>
      <c r="AY42">
        <f>'Overview (Design)'!G41</f>
        <v>0</v>
      </c>
    </row>
    <row r="43" spans="2:51" x14ac:dyDescent="0.35">
      <c r="B43" s="412" t="s">
        <v>4225</v>
      </c>
      <c r="C43" s="467" t="s">
        <v>258</v>
      </c>
      <c r="D43" s="467"/>
      <c r="E43" s="13"/>
      <c r="F43" s="13"/>
      <c r="G43" s="13"/>
      <c r="H43" s="453"/>
      <c r="I43" s="50"/>
      <c r="J43" s="416"/>
      <c r="K43" s="482"/>
      <c r="L43" s="842"/>
      <c r="M43" s="890"/>
      <c r="N43" s="133"/>
      <c r="O43" s="309"/>
      <c r="P43" s="133"/>
      <c r="Q43" s="133"/>
      <c r="R43" s="104"/>
      <c r="S43" s="104"/>
      <c r="T43" s="104"/>
      <c r="U43" s="104"/>
      <c r="V43" s="104"/>
      <c r="X43" s="816"/>
      <c r="AX43" s="6" t="str">
        <f>'Overview (Design)'!A42</f>
        <v>Cooling Ducts:</v>
      </c>
      <c r="AY43" t="str">
        <f>'Overview (Design)'!G42</f>
        <v>Ducted</v>
      </c>
    </row>
    <row r="44" spans="2:51" x14ac:dyDescent="0.35">
      <c r="B44" s="412" t="s">
        <v>4225</v>
      </c>
      <c r="C44" s="467" t="s">
        <v>260</v>
      </c>
      <c r="D44" s="467"/>
      <c r="E44" s="13"/>
      <c r="F44" s="13"/>
      <c r="G44" s="13"/>
      <c r="H44" s="453"/>
      <c r="I44" s="50"/>
      <c r="J44" s="422" t="s">
        <v>260</v>
      </c>
      <c r="K44" s="528"/>
      <c r="L44" s="478" t="s">
        <v>4229</v>
      </c>
      <c r="M44" s="460" t="str">
        <f ca="1">IF(R44,"Mandatory","N/A")</f>
        <v>N/A</v>
      </c>
      <c r="N44" s="163"/>
      <c r="O44" s="277"/>
      <c r="P44" s="134" t="b">
        <v>1</v>
      </c>
      <c r="Q44" s="134" t="b">
        <v>1</v>
      </c>
      <c r="R44" s="134" t="b">
        <f ca="1">S44</f>
        <v>0</v>
      </c>
      <c r="S44" s="134" t="b">
        <f ca="1">IFERROR(S13=5,FALSE)</f>
        <v>0</v>
      </c>
      <c r="T44" s="134" t="b">
        <f ca="1">AND(NOT(S44),LEN(W44)&gt;0)</f>
        <v>0</v>
      </c>
      <c r="U44" s="134" t="str">
        <f>SUBSTITUTE(SUBSTITUTE(SUBSTITUTE("dd"&amp;B43&amp;C43&amp;D43&amp;E43&amp;F43,".","_"),"(","_"),")","")</f>
        <v>dd701_1_6_2</v>
      </c>
      <c r="V44" s="488"/>
      <c r="W44" s="9"/>
      <c r="X44" s="36"/>
      <c r="AC44" t="b">
        <f ca="1">OR(AD44:AE44)</f>
        <v>0</v>
      </c>
      <c r="AD44" t="b">
        <f ca="1">T44</f>
        <v>0</v>
      </c>
      <c r="AE44" t="b">
        <f ca="1">AND(R44,OR(W44="Not Met",W44=""))</f>
        <v>0</v>
      </c>
      <c r="AL44" t="str">
        <f>SUBSTITUTE(SUBSTITUTE(SUBSTITUTE("dpa"&amp;$B44&amp;$C44&amp;$D44&amp;$E44,".","_"),"(","_"),")","")</f>
        <v>dpa701_1_6_3</v>
      </c>
      <c r="AM44" t="str">
        <f ca="1">M44</f>
        <v>N/A</v>
      </c>
      <c r="AP44" t="str">
        <f>SUBSTITUTE(SUBSTITUTE(SUBSTITUTE("dch"&amp;$B44&amp;$C44&amp;$D44&amp;$E44,".","_"),"(","_"),")","")</f>
        <v>dch701_1_6_3</v>
      </c>
      <c r="AQ44" t="str">
        <f>IF(LEN(W44)=0,"",W44)</f>
        <v/>
      </c>
      <c r="AR44" t="str">
        <f>SUBSTITUTE(SUBSTITUTE(SUBSTITUTE("dnt"&amp;$B44&amp;$C44&amp;$D44&amp;$E44,".","_"),"(","_"),")","")</f>
        <v>dnt701_1_6_3</v>
      </c>
      <c r="AS44" t="str">
        <f>IF(LEN(X44)=0,"",X44)</f>
        <v/>
      </c>
      <c r="AX44" s="6"/>
    </row>
    <row r="45" spans="2:51" x14ac:dyDescent="0.35">
      <c r="B45" s="412" t="s">
        <v>4225</v>
      </c>
      <c r="C45" s="467" t="s">
        <v>269</v>
      </c>
      <c r="D45" s="467"/>
      <c r="E45" s="13"/>
      <c r="F45" s="13"/>
      <c r="G45" s="13"/>
      <c r="H45" s="453"/>
      <c r="I45" s="50"/>
      <c r="J45" s="424" t="s">
        <v>269</v>
      </c>
      <c r="K45" s="527"/>
      <c r="L45" s="828" t="s">
        <v>4230</v>
      </c>
      <c r="M45" s="885" t="str">
        <f ca="1">IF(R45,"Mandatory","N/A")</f>
        <v>N/A</v>
      </c>
      <c r="N45" s="4"/>
      <c r="O45" s="75"/>
      <c r="P45" t="b">
        <v>1</v>
      </c>
      <c r="Q45" t="b">
        <v>1</v>
      </c>
      <c r="R45" t="b">
        <f ca="1">S45</f>
        <v>0</v>
      </c>
      <c r="S45" t="b">
        <f ca="1">IFERROR(S13=5,FALSE)</f>
        <v>0</v>
      </c>
      <c r="T45" t="b">
        <f ca="1">AND(NOT(S45),W45=TRUE)</f>
        <v>0</v>
      </c>
      <c r="W45" s="17"/>
      <c r="X45" s="850"/>
      <c r="AC45" t="b">
        <f ca="1">OR(AD45:AE45)</f>
        <v>0</v>
      </c>
      <c r="AD45" t="b">
        <f ca="1">T45</f>
        <v>0</v>
      </c>
      <c r="AE45" t="b">
        <f ca="1">AND(R45,NOT(W45))</f>
        <v>0</v>
      </c>
      <c r="AL45" t="str">
        <f>SUBSTITUTE(SUBSTITUTE(SUBSTITUTE("dpa"&amp;$B45&amp;$C45&amp;$D45&amp;$E45,".","_"),"(","_"),")","")</f>
        <v>dpa701_1_6_4</v>
      </c>
      <c r="AM45" t="str">
        <f ca="1">M45</f>
        <v>N/A</v>
      </c>
      <c r="AP45" t="str">
        <f>SUBSTITUTE(SUBSTITUTE(SUBSTITUTE("dch"&amp;$B45&amp;$C45&amp;$D45&amp;$E45,".","_"),"(","_"),")","")</f>
        <v>dch701_1_6_4</v>
      </c>
      <c r="AQ45" t="str">
        <f>IF(LEN(W45)=0,"",W45)</f>
        <v/>
      </c>
      <c r="AR45" t="str">
        <f>SUBSTITUTE(SUBSTITUTE(SUBSTITUTE("dnt"&amp;$B45&amp;$C45&amp;$D45&amp;$E45,".","_"),"(","_"),")","")</f>
        <v>dnt701_1_6_4</v>
      </c>
      <c r="AS45" t="str">
        <f>IF(LEN(X45)=0,"",X45)</f>
        <v/>
      </c>
      <c r="AX45" s="6" t="str">
        <f>'Overview (Design)'!A44</f>
        <v>Maximum window and door SHGC:</v>
      </c>
      <c r="AY45">
        <f>'Overview (Design)'!G44</f>
        <v>0.22</v>
      </c>
    </row>
    <row r="46" spans="2:51" x14ac:dyDescent="0.35">
      <c r="B46" s="412" t="s">
        <v>4225</v>
      </c>
      <c r="C46" s="467" t="s">
        <v>269</v>
      </c>
      <c r="D46" s="467"/>
      <c r="E46" s="13"/>
      <c r="F46" s="13"/>
      <c r="G46" s="13"/>
      <c r="H46" s="453"/>
      <c r="I46" s="50"/>
      <c r="J46" s="416"/>
      <c r="K46" s="482"/>
      <c r="L46" s="842"/>
      <c r="M46" s="890"/>
      <c r="N46" s="133"/>
      <c r="O46" s="309"/>
      <c r="P46" s="133"/>
      <c r="Q46" s="133"/>
      <c r="R46" s="104"/>
      <c r="S46" s="104"/>
      <c r="T46" s="104"/>
      <c r="U46" s="104"/>
      <c r="V46" s="104"/>
      <c r="X46" s="816"/>
      <c r="AX46" s="6" t="str">
        <f>'Overview (Design)'!A45</f>
        <v>Maximum skylight SHGC:</v>
      </c>
      <c r="AY46">
        <f>'Overview (Design)'!G45</f>
        <v>0</v>
      </c>
    </row>
    <row r="47" spans="2:51" x14ac:dyDescent="0.35">
      <c r="B47" s="412" t="s">
        <v>4225</v>
      </c>
      <c r="C47" s="467" t="s">
        <v>275</v>
      </c>
      <c r="D47" s="467"/>
      <c r="E47" s="13"/>
      <c r="F47" s="13"/>
      <c r="G47" s="13"/>
      <c r="H47" s="453"/>
      <c r="I47" s="50"/>
      <c r="J47" s="424" t="s">
        <v>275</v>
      </c>
      <c r="K47" s="527"/>
      <c r="L47" s="828" t="s">
        <v>4231</v>
      </c>
      <c r="M47" s="912" t="str">
        <f ca="1">IF(R47,"Mandatory","N/A")</f>
        <v>N/A</v>
      </c>
      <c r="N47" s="4"/>
      <c r="O47" s="75"/>
      <c r="P47" t="b">
        <v>1</v>
      </c>
      <c r="Q47" t="b">
        <v>1</v>
      </c>
      <c r="R47" t="b">
        <f ca="1">S47</f>
        <v>0</v>
      </c>
      <c r="S47" t="b">
        <f ca="1">IFERROR(S13=5,FALSE)</f>
        <v>0</v>
      </c>
      <c r="T47" t="b">
        <f ca="1">AND(NOT(S47),LEN(W47)&gt;0)</f>
        <v>0</v>
      </c>
      <c r="U47" t="str">
        <f>SUBSTITUTE(SUBSTITUTE(SUBSTITUTE("dd"&amp;B46&amp;C46&amp;D46&amp;E46&amp;F46,".","_"),"(","_"),")","")</f>
        <v>dd701_1_6_4</v>
      </c>
      <c r="W47" s="9"/>
      <c r="X47" s="850"/>
      <c r="AC47" t="b">
        <f ca="1">OR(AD47:AE47)</f>
        <v>0</v>
      </c>
      <c r="AD47" t="b">
        <f ca="1">T47</f>
        <v>0</v>
      </c>
      <c r="AE47" t="b">
        <f ca="1">AND(R47,OR(W47="Not Met",W47=""))</f>
        <v>0</v>
      </c>
      <c r="AL47" t="str">
        <f>SUBSTITUTE(SUBSTITUTE(SUBSTITUTE("dpa"&amp;$B47&amp;$C47&amp;$D47&amp;$E47,".","_"),"(","_"),")","")</f>
        <v>dpa701_1_6_5</v>
      </c>
      <c r="AM47" t="str">
        <f ca="1">M47</f>
        <v>N/A</v>
      </c>
      <c r="AP47" t="str">
        <f>SUBSTITUTE(SUBSTITUTE(SUBSTITUTE("dch"&amp;$B47&amp;$C47&amp;$D47&amp;$E47,".","_"),"(","_"),")","")</f>
        <v>dch701_1_6_5</v>
      </c>
      <c r="AQ47" t="str">
        <f>IF(LEN(W47)=0,"",W47)</f>
        <v/>
      </c>
      <c r="AR47" t="str">
        <f>SUBSTITUTE(SUBSTITUTE(SUBSTITUTE("dnt"&amp;$B47&amp;$C47&amp;$D47&amp;$E47,".","_"),"(","_"),")","")</f>
        <v>dnt701_1_6_5</v>
      </c>
      <c r="AS47" t="str">
        <f>IF(LEN(X47)=0,"",X47)</f>
        <v/>
      </c>
      <c r="AX47" s="6" t="str">
        <f>'Overview (Design)'!A46</f>
        <v>Maximum window and door U-value:</v>
      </c>
      <c r="AY47">
        <f>'Overview (Design)'!G46</f>
        <v>0.32</v>
      </c>
    </row>
    <row r="48" spans="2:51" x14ac:dyDescent="0.35">
      <c r="B48" s="412" t="s">
        <v>4225</v>
      </c>
      <c r="C48" s="467" t="s">
        <v>275</v>
      </c>
      <c r="D48" s="467"/>
      <c r="E48" s="13"/>
      <c r="F48" s="13"/>
      <c r="G48" s="13"/>
      <c r="H48" s="453"/>
      <c r="I48" s="50"/>
      <c r="J48" s="416"/>
      <c r="K48" s="482"/>
      <c r="L48" s="842"/>
      <c r="M48" s="885"/>
      <c r="N48" s="4"/>
      <c r="O48" s="75"/>
      <c r="P48" s="4"/>
      <c r="Q48" s="4"/>
      <c r="X48" s="816"/>
      <c r="AX48" s="6" t="str">
        <f>'Overview (Design)'!A47</f>
        <v>Maximum skylight U-value:</v>
      </c>
      <c r="AY48">
        <f>'Overview (Design)'!G47</f>
        <v>0</v>
      </c>
    </row>
    <row r="49" spans="2:51" x14ac:dyDescent="0.35">
      <c r="B49" s="412" t="s">
        <v>4225</v>
      </c>
      <c r="C49" s="467" t="s">
        <v>277</v>
      </c>
      <c r="D49" s="467"/>
      <c r="E49" s="13"/>
      <c r="F49" s="13"/>
      <c r="G49" s="13"/>
      <c r="H49" s="453"/>
      <c r="I49" s="50"/>
      <c r="J49" s="402" t="s">
        <v>277</v>
      </c>
      <c r="K49" s="481"/>
      <c r="L49" s="470" t="s">
        <v>4232</v>
      </c>
      <c r="M49" s="40"/>
      <c r="N49" s="4"/>
      <c r="O49" s="75"/>
      <c r="P49" s="4"/>
      <c r="Q49" s="4"/>
      <c r="AX49" s="6" t="str">
        <f>'Overview (Design)'!A48</f>
        <v>Renewable Energy:</v>
      </c>
      <c r="AY49">
        <f>'Overview (Design)'!G48</f>
        <v>0</v>
      </c>
    </row>
    <row r="50" spans="2:51" x14ac:dyDescent="0.35">
      <c r="B50" s="412" t="s">
        <v>4225</v>
      </c>
      <c r="C50" s="467" t="s">
        <v>277</v>
      </c>
      <c r="D50" s="467" t="s">
        <v>121</v>
      </c>
      <c r="E50" s="13"/>
      <c r="F50" s="13"/>
      <c r="G50" s="13"/>
      <c r="H50" s="453"/>
      <c r="I50" s="50"/>
      <c r="J50" s="402"/>
      <c r="K50" s="482" t="s">
        <v>121</v>
      </c>
      <c r="L50" s="477" t="s">
        <v>4233</v>
      </c>
      <c r="M50" s="458" t="str">
        <f ca="1">IF(R50,"Mandatory","N/A")</f>
        <v>N/A</v>
      </c>
      <c r="N50" s="133"/>
      <c r="O50" s="309"/>
      <c r="P50" s="104" t="b">
        <v>1</v>
      </c>
      <c r="Q50" s="104" t="b">
        <v>0</v>
      </c>
      <c r="R50" s="104" t="b">
        <f ca="1">S50</f>
        <v>0</v>
      </c>
      <c r="S50" s="104" t="b">
        <f ca="1">IFERROR(S13=5,FALSE)</f>
        <v>0</v>
      </c>
      <c r="T50" s="104" t="b">
        <f ca="1">AND(NOT(S50),W50=TRUE)</f>
        <v>0</v>
      </c>
      <c r="U50" s="104"/>
      <c r="V50" s="335"/>
      <c r="W50" s="17"/>
      <c r="X50" s="36"/>
      <c r="AC50" t="b">
        <f ca="1">OR(AD50:AE50)</f>
        <v>0</v>
      </c>
      <c r="AD50" t="b">
        <f ca="1">T50</f>
        <v>0</v>
      </c>
      <c r="AE50" t="b">
        <f ca="1">AND(R50,NOT(W50))</f>
        <v>0</v>
      </c>
      <c r="AL50" t="str">
        <f>SUBSTITUTE(SUBSTITUTE(SUBSTITUTE("dpa"&amp;$B50&amp;$C50&amp;$D50&amp;$E50,".","_"),"(","_"),")","")</f>
        <v>dpa701_1_6_6_a</v>
      </c>
      <c r="AM50" t="str">
        <f ca="1">M50</f>
        <v>N/A</v>
      </c>
      <c r="AP50" t="str">
        <f>SUBSTITUTE(SUBSTITUTE(SUBSTITUTE("dch"&amp;$B50&amp;$C50&amp;$D50&amp;$E50,".","_"),"(","_"),")","")</f>
        <v>dch701_1_6_6_a</v>
      </c>
      <c r="AQ50" t="str">
        <f>IF(LEN(W50)=0,"",W50)</f>
        <v/>
      </c>
      <c r="AR50" t="str">
        <f>SUBSTITUTE(SUBSTITUTE(SUBSTITUTE("dnt"&amp;$B50&amp;$C50&amp;$D50&amp;$E50,".","_"),"(","_"),")","")</f>
        <v>dnt701_1_6_6_a</v>
      </c>
      <c r="AS50" t="str">
        <f>IF(LEN(X50)=0,"",X50)</f>
        <v/>
      </c>
      <c r="AX50" s="6" t="str">
        <f>'Overview (Design)'!A49</f>
        <v>Thermal Envelope Insulation:</v>
      </c>
      <c r="AY50">
        <f>'Overview (Design)'!G49</f>
        <v>0</v>
      </c>
    </row>
    <row r="51" spans="2:51" x14ac:dyDescent="0.35">
      <c r="B51" s="412" t="s">
        <v>4225</v>
      </c>
      <c r="C51" s="467" t="s">
        <v>277</v>
      </c>
      <c r="D51" s="467" t="s">
        <v>122</v>
      </c>
      <c r="E51" s="13"/>
      <c r="F51" s="13"/>
      <c r="G51" s="13"/>
      <c r="H51" s="453"/>
      <c r="I51" s="50"/>
      <c r="J51" s="402"/>
      <c r="K51" s="528" t="s">
        <v>122</v>
      </c>
      <c r="L51" s="478" t="s">
        <v>4234</v>
      </c>
      <c r="M51" s="460" t="str">
        <f ca="1">IF(R51,"Mandatory","N/A")</f>
        <v>N/A</v>
      </c>
      <c r="N51" s="163"/>
      <c r="O51" s="277"/>
      <c r="P51" s="134" t="b">
        <v>1</v>
      </c>
      <c r="Q51" s="134" t="b">
        <v>0</v>
      </c>
      <c r="R51" s="134" t="b">
        <f ca="1">S51</f>
        <v>0</v>
      </c>
      <c r="S51" s="134" t="b">
        <f ca="1">IFERROR(S13=5,FALSE)</f>
        <v>0</v>
      </c>
      <c r="T51" s="134" t="b">
        <f ca="1">AND(NOT(S51),W51=TRUE)</f>
        <v>0</v>
      </c>
      <c r="U51" s="134"/>
      <c r="V51" s="488"/>
      <c r="W51" s="17"/>
      <c r="X51" s="36"/>
      <c r="AC51" t="b">
        <f ca="1">OR(AD51:AE51)</f>
        <v>0</v>
      </c>
      <c r="AD51" t="b">
        <f ca="1">T51</f>
        <v>0</v>
      </c>
      <c r="AE51" t="b">
        <f ca="1">AND(R51,NOT(W51))</f>
        <v>0</v>
      </c>
      <c r="AL51" t="str">
        <f>SUBSTITUTE(SUBSTITUTE(SUBSTITUTE("dpa"&amp;$B51&amp;$C51&amp;$D51&amp;$E51,".","_"),"(","_"),")","")</f>
        <v>dpa701_1_6_6_b</v>
      </c>
      <c r="AM51" t="str">
        <f ca="1">M51</f>
        <v>N/A</v>
      </c>
      <c r="AP51" t="str">
        <f>SUBSTITUTE(SUBSTITUTE(SUBSTITUTE("dch"&amp;$B51&amp;$C51&amp;$D51&amp;$E51,".","_"),"(","_"),")","")</f>
        <v>dch701_1_6_6_b</v>
      </c>
      <c r="AQ51" t="str">
        <f>IF(LEN(W51)=0,"",W51)</f>
        <v/>
      </c>
      <c r="AR51" t="str">
        <f>SUBSTITUTE(SUBSTITUTE(SUBSTITUTE("dnt"&amp;$B51&amp;$C51&amp;$D51&amp;$E51,".","_"),"(","_"),")","")</f>
        <v>dnt701_1_6_6_b</v>
      </c>
      <c r="AS51" t="str">
        <f>IF(LEN(X51)=0,"",X51)</f>
        <v/>
      </c>
      <c r="AX51" s="6" t="str">
        <f>'Overview (Design)'!A50</f>
        <v>Attic Type:</v>
      </c>
      <c r="AY51" t="str">
        <f>'Overview (Design)'!G50</f>
        <v>Vented</v>
      </c>
    </row>
    <row r="52" spans="2:51" x14ac:dyDescent="0.35">
      <c r="B52" s="412" t="s">
        <v>4225</v>
      </c>
      <c r="C52" s="467" t="s">
        <v>277</v>
      </c>
      <c r="D52" s="467" t="s">
        <v>123</v>
      </c>
      <c r="E52" s="13"/>
      <c r="F52" s="13"/>
      <c r="G52" s="13"/>
      <c r="H52" s="453"/>
      <c r="I52" s="50"/>
      <c r="J52" s="416"/>
      <c r="K52" s="482" t="s">
        <v>123</v>
      </c>
      <c r="L52" s="477" t="s">
        <v>4235</v>
      </c>
      <c r="M52" s="522" t="str">
        <f ca="1">IF(R52,"Mandatory","N/A")</f>
        <v>N/A</v>
      </c>
      <c r="N52" s="4"/>
      <c r="O52" s="75"/>
      <c r="P52" t="b">
        <v>1</v>
      </c>
      <c r="Q52" t="b">
        <v>0</v>
      </c>
      <c r="R52" t="b">
        <f ca="1">S52</f>
        <v>0</v>
      </c>
      <c r="S52" t="b">
        <f ca="1">IFERROR(S13=5,FALSE)</f>
        <v>0</v>
      </c>
      <c r="T52" t="b">
        <f ca="1">AND(NOT(S52),W52=TRUE)</f>
        <v>0</v>
      </c>
      <c r="W52" s="17"/>
      <c r="X52" s="36"/>
      <c r="AC52" t="b">
        <f ca="1">OR(AD52:AE52)</f>
        <v>0</v>
      </c>
      <c r="AD52" t="b">
        <f ca="1">T52</f>
        <v>0</v>
      </c>
      <c r="AE52" t="b">
        <f ca="1">AND(R52,NOT(W52))</f>
        <v>0</v>
      </c>
      <c r="AL52" t="str">
        <f>SUBSTITUTE(SUBSTITUTE(SUBSTITUTE("dpa"&amp;$B52&amp;$C52&amp;$D52&amp;$E52,".","_"),"(","_"),")","")</f>
        <v>dpa701_1_6_6_c</v>
      </c>
      <c r="AM52" t="str">
        <f ca="1">M52</f>
        <v>N/A</v>
      </c>
      <c r="AP52" t="str">
        <f>SUBSTITUTE(SUBSTITUTE(SUBSTITUTE("dch"&amp;$B52&amp;$C52&amp;$D52&amp;$E52,".","_"),"(","_"),")","")</f>
        <v>dch701_1_6_6_c</v>
      </c>
      <c r="AQ52" t="str">
        <f>IF(LEN(W52)=0,"",W52)</f>
        <v/>
      </c>
      <c r="AR52" t="str">
        <f>SUBSTITUTE(SUBSTITUTE(SUBSTITUTE("dnt"&amp;$B52&amp;$C52&amp;$D52&amp;$E52,".","_"),"(","_"),")","")</f>
        <v>dnt701_1_6_6_c</v>
      </c>
      <c r="AS52" t="str">
        <f>IF(LEN(X52)=0,"",X52)</f>
        <v/>
      </c>
      <c r="AX52" s="6" t="str">
        <f>'Overview (Design)'!A51</f>
        <v>Attached Garage:</v>
      </c>
      <c r="AY52" t="str">
        <f>'Overview (Design)'!G51</f>
        <v>Yes</v>
      </c>
    </row>
    <row r="53" spans="2:51" x14ac:dyDescent="0.35">
      <c r="B53" s="412" t="s">
        <v>4225</v>
      </c>
      <c r="C53" s="467" t="s">
        <v>383</v>
      </c>
      <c r="D53" s="467"/>
      <c r="E53" s="13"/>
      <c r="F53" s="13"/>
      <c r="G53" s="13"/>
      <c r="H53" s="453"/>
      <c r="I53" s="50"/>
      <c r="J53" s="402" t="s">
        <v>383</v>
      </c>
      <c r="K53" s="481"/>
      <c r="L53" s="470" t="s">
        <v>4236</v>
      </c>
      <c r="M53" s="40"/>
      <c r="N53" s="4"/>
      <c r="O53" s="75"/>
      <c r="P53" s="4"/>
      <c r="Q53" s="4"/>
      <c r="AX53" s="6" t="str">
        <f>'Overview (Design)'!A52</f>
        <v>Recessed Lighting:</v>
      </c>
      <c r="AY53">
        <f>'Overview (Design)'!G52</f>
        <v>0</v>
      </c>
    </row>
    <row r="54" spans="2:51" x14ac:dyDescent="0.35">
      <c r="B54" s="412" t="s">
        <v>4225</v>
      </c>
      <c r="C54" s="467" t="s">
        <v>383</v>
      </c>
      <c r="D54" s="467" t="s">
        <v>121</v>
      </c>
      <c r="E54" s="13"/>
      <c r="F54" s="13"/>
      <c r="G54" s="13"/>
      <c r="H54" s="453"/>
      <c r="I54" s="50"/>
      <c r="J54" s="402"/>
      <c r="K54" s="482" t="s">
        <v>121</v>
      </c>
      <c r="L54" s="477" t="s">
        <v>4237</v>
      </c>
      <c r="M54" s="458" t="str">
        <f ca="1">IF(R54,"Mandatory","N/A")</f>
        <v>N/A</v>
      </c>
      <c r="N54" s="133"/>
      <c r="O54" s="309"/>
      <c r="P54" s="104" t="b">
        <v>1</v>
      </c>
      <c r="Q54" s="104" t="b">
        <v>1</v>
      </c>
      <c r="R54" s="104" t="b">
        <f ca="1">S54</f>
        <v>0</v>
      </c>
      <c r="S54" s="104" t="b">
        <f ca="1">IFERROR(S13=5,FALSE)</f>
        <v>0</v>
      </c>
      <c r="T54" s="104" t="b">
        <f ca="1">AND(NOT(S54),W54=TRUE)</f>
        <v>0</v>
      </c>
      <c r="U54" s="104"/>
      <c r="V54" s="335"/>
      <c r="W54" s="17"/>
      <c r="X54" s="36"/>
      <c r="AC54" t="b">
        <f ca="1">OR(AD54:AE54)</f>
        <v>0</v>
      </c>
      <c r="AD54" t="b">
        <f ca="1">T54</f>
        <v>0</v>
      </c>
      <c r="AE54" t="b">
        <f ca="1">AND(R54,NOT(W54))</f>
        <v>0</v>
      </c>
      <c r="AL54" t="str">
        <f>SUBSTITUTE(SUBSTITUTE(SUBSTITUTE("dpa"&amp;$B54&amp;$C54&amp;$D54&amp;$E54,".","_"),"(","_"),")","")</f>
        <v>dpa701_1_6_7_a</v>
      </c>
      <c r="AM54" t="str">
        <f ca="1">M54</f>
        <v>N/A</v>
      </c>
      <c r="AP54" t="str">
        <f>SUBSTITUTE(SUBSTITUTE(SUBSTITUTE("dch"&amp;$B54&amp;$C54&amp;$D54&amp;$E54,".","_"),"(","_"),")","")</f>
        <v>dch701_1_6_7_a</v>
      </c>
      <c r="AQ54" t="str">
        <f>IF(LEN(W54)=0,"",W54)</f>
        <v/>
      </c>
      <c r="AR54" t="str">
        <f>SUBSTITUTE(SUBSTITUTE(SUBSTITUTE("dnt"&amp;$B54&amp;$C54&amp;$D54&amp;$E54,".","_"),"(","_"),")","")</f>
        <v>dnt701_1_6_7_a</v>
      </c>
      <c r="AS54" t="str">
        <f>IF(LEN(X54)=0,"",X54)</f>
        <v/>
      </c>
      <c r="AX54" s="6"/>
    </row>
    <row r="55" spans="2:51" x14ac:dyDescent="0.35">
      <c r="B55" s="412" t="s">
        <v>4225</v>
      </c>
      <c r="C55" s="467" t="s">
        <v>383</v>
      </c>
      <c r="D55" s="467" t="s">
        <v>122</v>
      </c>
      <c r="E55" s="13"/>
      <c r="F55" s="13"/>
      <c r="G55" s="13"/>
      <c r="H55" s="453"/>
      <c r="I55" s="50"/>
      <c r="J55" s="402"/>
      <c r="K55" s="528" t="s">
        <v>122</v>
      </c>
      <c r="L55" s="478" t="s">
        <v>4238</v>
      </c>
      <c r="M55" s="460" t="str">
        <f ca="1">IF(R55,"Mandatory","N/A")</f>
        <v>N/A</v>
      </c>
      <c r="N55" s="133"/>
      <c r="O55" s="309"/>
      <c r="P55" s="104" t="b">
        <v>1</v>
      </c>
      <c r="Q55" s="104" t="b">
        <v>0</v>
      </c>
      <c r="R55" s="104" t="b">
        <f ca="1">S55</f>
        <v>0</v>
      </c>
      <c r="S55" s="104" t="b">
        <f ca="1">IFERROR(S13=5,FALSE)</f>
        <v>0</v>
      </c>
      <c r="T55" s="104" t="b">
        <f ca="1">AND(NOT(S55),W55=TRUE)</f>
        <v>0</v>
      </c>
      <c r="U55" s="104"/>
      <c r="V55" s="335"/>
      <c r="W55" s="17"/>
      <c r="X55" s="36"/>
      <c r="AC55" t="b">
        <f ca="1">OR(AD55:AE55)</f>
        <v>0</v>
      </c>
      <c r="AD55" t="b">
        <f ca="1">T55</f>
        <v>0</v>
      </c>
      <c r="AE55" t="b">
        <f ca="1">AND(R55,NOT(W55))</f>
        <v>0</v>
      </c>
      <c r="AL55" t="str">
        <f>SUBSTITUTE(SUBSTITUTE(SUBSTITUTE("dpa"&amp;$B55&amp;$C55&amp;$D55&amp;$E55,".","_"),"(","_"),")","")</f>
        <v>dpa701_1_6_7_b</v>
      </c>
      <c r="AM55" t="str">
        <f ca="1">M55</f>
        <v>N/A</v>
      </c>
      <c r="AP55" t="str">
        <f>SUBSTITUTE(SUBSTITUTE(SUBSTITUTE("dch"&amp;$B55&amp;$C55&amp;$D55&amp;$E55,".","_"),"(","_"),")","")</f>
        <v>dch701_1_6_7_b</v>
      </c>
      <c r="AQ55" t="str">
        <f>IF(LEN(W55)=0,"",W55)</f>
        <v/>
      </c>
      <c r="AR55" t="str">
        <f>SUBSTITUTE(SUBSTITUTE(SUBSTITUTE("dnt"&amp;$B55&amp;$C55&amp;$D55&amp;$E55,".","_"),"(","_"),")","")</f>
        <v>dnt701_1_6_7_b</v>
      </c>
      <c r="AS55" t="str">
        <f>IF(LEN(X55)=0,"",X55)</f>
        <v/>
      </c>
      <c r="AX55" s="6" t="str">
        <f>'Overview (Design)'!A54</f>
        <v>Special Design Features:</v>
      </c>
      <c r="AY55">
        <f>'Overview (Design)'!G54</f>
        <v>0</v>
      </c>
    </row>
    <row r="56" spans="2:51" x14ac:dyDescent="0.35">
      <c r="B56" s="412" t="s">
        <v>4225</v>
      </c>
      <c r="C56" s="467" t="s">
        <v>383</v>
      </c>
      <c r="D56" s="467" t="s">
        <v>123</v>
      </c>
      <c r="E56" s="13"/>
      <c r="F56" s="13"/>
      <c r="G56" s="13"/>
      <c r="H56" s="453"/>
      <c r="I56" s="50"/>
      <c r="J56" s="416"/>
      <c r="K56" s="482" t="s">
        <v>123</v>
      </c>
      <c r="L56" s="477" t="s">
        <v>4239</v>
      </c>
      <c r="M56" s="460" t="str">
        <f ca="1">IF(R56,"Mandatory","N/A")</f>
        <v>N/A</v>
      </c>
      <c r="N56" s="133"/>
      <c r="O56" s="309"/>
      <c r="P56" s="104" t="b">
        <v>1</v>
      </c>
      <c r="Q56" s="104" t="b">
        <v>0</v>
      </c>
      <c r="R56" s="104" t="b">
        <f ca="1">S56</f>
        <v>0</v>
      </c>
      <c r="S56" s="104" t="b">
        <f ca="1">IFERROR(S13=5,FALSE)</f>
        <v>0</v>
      </c>
      <c r="T56" s="104" t="b">
        <f ca="1">AND(NOT(S56),W56=TRUE)</f>
        <v>0</v>
      </c>
      <c r="U56" s="104"/>
      <c r="V56" s="335"/>
      <c r="W56" s="17"/>
      <c r="X56" s="36"/>
      <c r="AC56" t="b">
        <f ca="1">OR(AD56:AE56)</f>
        <v>0</v>
      </c>
      <c r="AD56" t="b">
        <f ca="1">T56</f>
        <v>0</v>
      </c>
      <c r="AE56" t="b">
        <f ca="1">AND(R56,NOT(W56))</f>
        <v>0</v>
      </c>
      <c r="AL56" t="str">
        <f>SUBSTITUTE(SUBSTITUTE(SUBSTITUTE("dpa"&amp;$B56&amp;$C56&amp;$D56&amp;$E56,".","_"),"(","_"),")","")</f>
        <v>dpa701_1_6_7_c</v>
      </c>
      <c r="AM56" t="str">
        <f ca="1">M56</f>
        <v>N/A</v>
      </c>
      <c r="AP56" t="str">
        <f>SUBSTITUTE(SUBSTITUTE(SUBSTITUTE("dch"&amp;$B56&amp;$C56&amp;$D56&amp;$E56,".","_"),"(","_"),")","")</f>
        <v>dch701_1_6_7_c</v>
      </c>
      <c r="AQ56" t="str">
        <f>IF(LEN(W56)=0,"",W56)</f>
        <v/>
      </c>
      <c r="AR56" t="str">
        <f>SUBSTITUTE(SUBSTITUTE(SUBSTITUTE("dnt"&amp;$B56&amp;$C56&amp;$D56&amp;$E56,".","_"),"(","_"),")","")</f>
        <v>dnt701_1_6_7_c</v>
      </c>
      <c r="AS56" t="str">
        <f>IF(LEN(X56)=0,"",X56)</f>
        <v/>
      </c>
      <c r="AX56" s="6" t="str">
        <f>'Overview (Design)'!A55</f>
        <v>Passive Solar:</v>
      </c>
      <c r="AY56">
        <f>'Overview (Design)'!G55</f>
        <v>0</v>
      </c>
    </row>
    <row r="57" spans="2:51" x14ac:dyDescent="0.35">
      <c r="B57" s="412" t="s">
        <v>4225</v>
      </c>
      <c r="C57" s="467" t="s">
        <v>428</v>
      </c>
      <c r="D57" s="467"/>
      <c r="E57" s="13"/>
      <c r="F57" s="13"/>
      <c r="G57" s="13"/>
      <c r="H57" s="453"/>
      <c r="I57" s="50"/>
      <c r="J57" s="424" t="s">
        <v>428</v>
      </c>
      <c r="K57" s="527"/>
      <c r="L57" s="828" t="s">
        <v>4240</v>
      </c>
      <c r="M57" s="912" t="str">
        <f ca="1">IF(R57,"Mandatory","N/A")</f>
        <v>N/A</v>
      </c>
      <c r="N57" s="4"/>
      <c r="O57" s="75"/>
      <c r="P57" t="b">
        <v>0</v>
      </c>
      <c r="Q57" t="b">
        <v>1</v>
      </c>
      <c r="R57" t="b">
        <f ca="1">S57</f>
        <v>0</v>
      </c>
      <c r="S57" t="b">
        <f ca="1">IFERROR(S13=5,FALSE)</f>
        <v>0</v>
      </c>
      <c r="T57" t="b">
        <f ca="1">AND(NOT(S57),W57=TRUE)</f>
        <v>0</v>
      </c>
      <c r="W57" s="17"/>
      <c r="X57" s="850"/>
      <c r="AC57" t="b">
        <f ca="1">OR(AD57:AE57)</f>
        <v>0</v>
      </c>
      <c r="AD57" t="b">
        <f ca="1">T57</f>
        <v>0</v>
      </c>
      <c r="AE57" t="b">
        <f ca="1">AND(R57,NOT(W57))</f>
        <v>0</v>
      </c>
      <c r="AL57" t="str">
        <f>SUBSTITUTE(SUBSTITUTE(SUBSTITUTE("dpa"&amp;$B57&amp;$C57&amp;$D57&amp;$E57,".","_"),"(","_"),")","")</f>
        <v>dpa701_1_6_8</v>
      </c>
      <c r="AM57" t="str">
        <f ca="1">M57</f>
        <v>N/A</v>
      </c>
      <c r="AP57" t="str">
        <f>SUBSTITUTE(SUBSTITUTE(SUBSTITUTE("dch"&amp;$B57&amp;$C57&amp;$D57&amp;$E57,".","_"),"(","_"),")","")</f>
        <v>dch701_1_6_8</v>
      </c>
      <c r="AQ57" t="str">
        <f>IF(LEN(W57)=0,"",W57)</f>
        <v/>
      </c>
      <c r="AR57" t="str">
        <f>SUBSTITUTE(SUBSTITUTE(SUBSTITUTE("dnt"&amp;$B57&amp;$C57&amp;$D57&amp;$E57,".","_"),"(","_"),")","")</f>
        <v>dnt701_1_6_8</v>
      </c>
      <c r="AS57" t="str">
        <f>IF(LEN(X57)=0,"",X57)</f>
        <v/>
      </c>
      <c r="AX57" s="6" t="str">
        <f>'Overview (Design)'!A56</f>
        <v>Mass Walls:</v>
      </c>
      <c r="AY57">
        <f>'Overview (Design)'!G56</f>
        <v>0</v>
      </c>
    </row>
    <row r="58" spans="2:51" x14ac:dyDescent="0.35">
      <c r="B58" s="412" t="s">
        <v>4225</v>
      </c>
      <c r="C58" s="467" t="s">
        <v>428</v>
      </c>
      <c r="D58" s="467"/>
      <c r="E58" s="13"/>
      <c r="F58" s="13"/>
      <c r="G58" s="13"/>
      <c r="H58" s="453"/>
      <c r="I58" s="50"/>
      <c r="J58" s="416"/>
      <c r="K58" s="482"/>
      <c r="L58" s="842"/>
      <c r="M58" s="890"/>
      <c r="N58" s="133"/>
      <c r="O58" s="309"/>
      <c r="P58" s="133"/>
      <c r="Q58" s="133"/>
      <c r="R58" s="104"/>
      <c r="S58" s="104"/>
      <c r="T58" s="104"/>
      <c r="U58" s="104"/>
      <c r="V58" s="104"/>
      <c r="X58" s="816"/>
      <c r="AX58" s="6" t="str">
        <f>'Overview (Design)'!A57</f>
        <v>Radiant/Hydronic:</v>
      </c>
      <c r="AY58">
        <f>'Overview (Design)'!G57</f>
        <v>0</v>
      </c>
    </row>
    <row r="59" spans="2:51" x14ac:dyDescent="0.35">
      <c r="B59" s="412" t="s">
        <v>4225</v>
      </c>
      <c r="C59" s="467" t="s">
        <v>430</v>
      </c>
      <c r="D59" s="467"/>
      <c r="E59" s="13"/>
      <c r="F59" s="13"/>
      <c r="G59" s="13"/>
      <c r="H59" s="453"/>
      <c r="I59" s="50"/>
      <c r="J59" s="402" t="s">
        <v>430</v>
      </c>
      <c r="K59" s="481"/>
      <c r="L59" s="825" t="s">
        <v>4241</v>
      </c>
      <c r="M59" s="912" t="str">
        <f ca="1">IF(R59,"Mandatory","N/A")</f>
        <v>N/A</v>
      </c>
      <c r="N59" s="4"/>
      <c r="O59" s="75"/>
      <c r="P59" t="b">
        <v>0</v>
      </c>
      <c r="Q59" t="b">
        <v>1</v>
      </c>
      <c r="R59" t="b">
        <f ca="1">S59</f>
        <v>0</v>
      </c>
      <c r="S59" t="b">
        <f ca="1">IFERROR(S13=5,FALSE)</f>
        <v>0</v>
      </c>
      <c r="T59" t="b">
        <f ca="1">AND(NOT(S59),W59=TRUE)</f>
        <v>0</v>
      </c>
      <c r="W59" s="17"/>
      <c r="X59" s="850"/>
      <c r="AC59" t="b">
        <f ca="1">OR(AD59:AE59)</f>
        <v>0</v>
      </c>
      <c r="AD59" t="b">
        <f ca="1">T59</f>
        <v>0</v>
      </c>
      <c r="AE59" t="b">
        <f ca="1">AND(R59,NOT(W59))</f>
        <v>0</v>
      </c>
      <c r="AL59" t="str">
        <f>SUBSTITUTE(SUBSTITUTE(SUBSTITUTE("dpa"&amp;$B59&amp;$C59&amp;$D59&amp;$E59,".","_"),"(","_"),")","")</f>
        <v>dpa701_1_6_9</v>
      </c>
      <c r="AM59" t="str">
        <f ca="1">M59</f>
        <v>N/A</v>
      </c>
      <c r="AP59" t="str">
        <f>SUBSTITUTE(SUBSTITUTE(SUBSTITUTE("dch"&amp;$B59&amp;$C59&amp;$D59&amp;$E59,".","_"),"(","_"),")","")</f>
        <v>dch701_1_6_9</v>
      </c>
      <c r="AQ59" t="str">
        <f>IF(LEN(W59)=0,"",W59)</f>
        <v/>
      </c>
      <c r="AR59" t="str">
        <f>SUBSTITUTE(SUBSTITUTE(SUBSTITUTE("dnt"&amp;$B59&amp;$C59&amp;$D59&amp;$E59,".","_"),"(","_"),")","")</f>
        <v>dnt701_1_6_9</v>
      </c>
      <c r="AS59" t="str">
        <f>IF(LEN(X59)=0,"",X59)</f>
        <v/>
      </c>
      <c r="AX59" s="6" t="str">
        <f>'Overview (Design)'!A58</f>
        <v>Tankless Water Heater:</v>
      </c>
      <c r="AY59">
        <f>'Overview (Design)'!G58</f>
        <v>0</v>
      </c>
    </row>
    <row r="60" spans="2:51" ht="15" thickBot="1" x14ac:dyDescent="0.4">
      <c r="B60" s="412" t="s">
        <v>4225</v>
      </c>
      <c r="C60" s="467" t="s">
        <v>430</v>
      </c>
      <c r="D60" s="467"/>
      <c r="E60" s="13"/>
      <c r="F60" s="13"/>
      <c r="G60" s="13"/>
      <c r="H60" s="453"/>
      <c r="I60" s="50"/>
      <c r="J60" s="467"/>
      <c r="K60" s="467"/>
      <c r="L60" s="826"/>
      <c r="M60" s="886"/>
      <c r="N60" s="4"/>
      <c r="O60" s="75"/>
      <c r="X60" s="852"/>
      <c r="AX60" s="6" t="str">
        <f>'Overview (Design)'!A59</f>
        <v>Composting Toilet:</v>
      </c>
      <c r="AY60">
        <f>'Overview (Design)'!G59</f>
        <v>0</v>
      </c>
    </row>
    <row r="61" spans="2:51" ht="15" thickTop="1" x14ac:dyDescent="0.35">
      <c r="B61" s="412">
        <v>701.2</v>
      </c>
      <c r="C61" s="50"/>
      <c r="D61" s="13"/>
      <c r="E61" s="13"/>
      <c r="F61" s="13"/>
      <c r="G61" s="13"/>
      <c r="H61" s="453"/>
      <c r="I61" s="106">
        <v>701.2</v>
      </c>
      <c r="J61" s="316"/>
      <c r="K61" s="316"/>
      <c r="L61" s="837" t="s">
        <v>4852</v>
      </c>
      <c r="M61" s="923" t="s">
        <v>2992</v>
      </c>
      <c r="N61" s="107"/>
      <c r="O61" s="308"/>
      <c r="P61" s="59"/>
      <c r="Q61" s="59"/>
      <c r="R61" s="59"/>
      <c r="S61" s="59"/>
      <c r="T61" s="59"/>
      <c r="U61" s="59"/>
      <c r="V61" s="59"/>
      <c r="W61" s="59"/>
      <c r="X61" s="59"/>
      <c r="AX61" s="6"/>
    </row>
    <row r="62" spans="2:51" ht="15" thickBot="1" x14ac:dyDescent="0.4">
      <c r="B62" s="412">
        <v>701.2</v>
      </c>
      <c r="C62" s="50"/>
      <c r="D62" s="13"/>
      <c r="E62" s="13"/>
      <c r="F62" s="13"/>
      <c r="G62" s="13"/>
      <c r="H62" s="453"/>
      <c r="I62" s="160"/>
      <c r="J62" s="229"/>
      <c r="K62" s="229"/>
      <c r="L62" s="849"/>
      <c r="M62" s="924"/>
      <c r="N62" s="160"/>
      <c r="O62" s="161"/>
      <c r="P62" s="55"/>
      <c r="Q62" s="55"/>
      <c r="R62" s="55"/>
      <c r="S62" s="55"/>
      <c r="T62" s="55"/>
      <c r="U62" s="55"/>
      <c r="V62" s="55"/>
      <c r="W62" s="55"/>
      <c r="X62" s="55"/>
      <c r="AX62" s="6" t="str">
        <f>'Overview (Design)'!A61</f>
        <v>Local Energy Code:</v>
      </c>
      <c r="AY62">
        <f>'Overview (Design)'!G61</f>
        <v>0</v>
      </c>
    </row>
    <row r="63" spans="2:51" ht="15" thickTop="1" x14ac:dyDescent="0.35">
      <c r="B63" s="412">
        <v>701.3</v>
      </c>
      <c r="C63" s="50"/>
      <c r="D63" s="13"/>
      <c r="E63" s="13"/>
      <c r="F63" s="13"/>
      <c r="G63" s="13"/>
      <c r="H63" s="453"/>
      <c r="I63" s="106">
        <v>701.3</v>
      </c>
      <c r="J63" s="316"/>
      <c r="K63" s="316"/>
      <c r="L63" s="837" t="s">
        <v>817</v>
      </c>
      <c r="M63" s="267"/>
      <c r="N63" s="107"/>
      <c r="O63" s="308"/>
      <c r="P63" t="b">
        <v>0</v>
      </c>
      <c r="Q63" t="b">
        <v>1</v>
      </c>
      <c r="R63" s="59" t="b">
        <f ca="1">IF(S13=4,FALSE,TRUE)</f>
        <v>1</v>
      </c>
      <c r="S63" s="59" t="b">
        <f ca="1">NOT(OR(S13=4,S13=5))</f>
        <v>1</v>
      </c>
      <c r="T63" s="59" t="b">
        <f ca="1">AND(NOT(S63),W63=TRUE)</f>
        <v>0</v>
      </c>
      <c r="U63" s="59"/>
      <c r="V63" s="59"/>
      <c r="W63" s="236" t="b">
        <v>1</v>
      </c>
      <c r="X63" s="840" t="s">
        <v>6098</v>
      </c>
      <c r="AC63" t="b">
        <f ca="1">OR(AD63:AE63)</f>
        <v>0</v>
      </c>
      <c r="AD63" t="b">
        <f ca="1">T63</f>
        <v>0</v>
      </c>
      <c r="AE63" t="b">
        <f ca="1">OR(AND(R63,NOT(W63)),AND(W63=TRUE,LEN(X63)=0))</f>
        <v>0</v>
      </c>
      <c r="AP63" t="str">
        <f>SUBSTITUTE(SUBSTITUTE(SUBSTITUTE("dch"&amp;$B63&amp;$C63&amp;$D63&amp;$E63,".","_"),"(","_"),")","")</f>
        <v>dch701_3</v>
      </c>
      <c r="AQ63" t="b">
        <f>IF(LEN(W63)=0,"",W63)</f>
        <v>1</v>
      </c>
      <c r="AR63" t="str">
        <f>SUBSTITUTE(SUBSTITUTE(SUBSTITUTE("dnt"&amp;$B63&amp;$C63&amp;$D63&amp;$E63,".","_"),"(","_"),")","")</f>
        <v>dnt701_3</v>
      </c>
      <c r="AS63" t="str">
        <f>IF(LEN(X63)=0,"",X63)</f>
        <v>NGBS Green Verifier</v>
      </c>
      <c r="AX63" s="6" t="str">
        <f>'Overview (Design)'!A62</f>
        <v>Local Building Code:</v>
      </c>
      <c r="AY63">
        <f>'Overview (Design)'!G62</f>
        <v>0</v>
      </c>
    </row>
    <row r="64" spans="2:51" x14ac:dyDescent="0.35">
      <c r="B64" s="412">
        <v>701.3</v>
      </c>
      <c r="C64" s="50"/>
      <c r="D64" s="13"/>
      <c r="E64" s="13"/>
      <c r="F64" s="13"/>
      <c r="G64" s="13"/>
      <c r="H64" s="453"/>
      <c r="I64" s="4"/>
      <c r="J64" s="90"/>
      <c r="K64" s="90"/>
      <c r="L64" s="838"/>
      <c r="M64" s="40"/>
      <c r="N64" s="4"/>
      <c r="O64" s="75"/>
      <c r="X64" s="817"/>
    </row>
    <row r="65" spans="2:45" ht="15" thickBot="1" x14ac:dyDescent="0.4">
      <c r="B65" s="412">
        <v>701.3</v>
      </c>
      <c r="C65" s="50"/>
      <c r="D65" s="13"/>
      <c r="E65" s="13"/>
      <c r="F65" s="13"/>
      <c r="G65" s="13"/>
      <c r="H65" s="453"/>
      <c r="I65" s="160"/>
      <c r="J65" s="229"/>
      <c r="K65" s="229"/>
      <c r="L65" s="180" t="s">
        <v>3382</v>
      </c>
      <c r="M65" s="270"/>
      <c r="N65" s="160"/>
      <c r="O65" s="161"/>
      <c r="P65" s="55"/>
      <c r="Q65" s="55"/>
      <c r="R65" s="55"/>
      <c r="S65" s="55"/>
      <c r="T65" s="55"/>
      <c r="U65" s="55"/>
      <c r="V65" s="55"/>
      <c r="W65" s="55"/>
      <c r="X65" s="829"/>
    </row>
    <row r="66" spans="2:45" ht="15" thickTop="1" x14ac:dyDescent="0.35">
      <c r="B66" s="412">
        <v>701.4</v>
      </c>
      <c r="C66" s="50"/>
      <c r="D66" s="13"/>
      <c r="E66" s="13"/>
      <c r="F66" s="13"/>
      <c r="G66" s="13"/>
      <c r="H66" s="453"/>
      <c r="I66" s="106">
        <v>701.4</v>
      </c>
      <c r="J66" s="316"/>
      <c r="K66" s="316"/>
      <c r="L66" s="274" t="s">
        <v>818</v>
      </c>
      <c r="M66" s="267"/>
      <c r="N66" s="107"/>
      <c r="O66" s="308"/>
      <c r="P66" s="59"/>
      <c r="Q66" s="59"/>
      <c r="R66" s="59"/>
      <c r="S66" s="59"/>
      <c r="T66" s="59"/>
      <c r="U66" s="59"/>
      <c r="V66" s="59"/>
      <c r="W66" s="59"/>
      <c r="X66" s="59"/>
    </row>
    <row r="67" spans="2:45" x14ac:dyDescent="0.35">
      <c r="B67" s="412" t="s">
        <v>819</v>
      </c>
      <c r="C67" s="50"/>
      <c r="D67" s="13"/>
      <c r="E67" s="13"/>
      <c r="F67" s="13"/>
      <c r="G67" s="13"/>
      <c r="H67" s="453"/>
      <c r="I67" s="138" t="s">
        <v>819</v>
      </c>
      <c r="J67" s="228"/>
      <c r="K67" s="228"/>
      <c r="L67" s="329" t="s">
        <v>820</v>
      </c>
      <c r="M67" s="268"/>
      <c r="N67" s="133"/>
      <c r="O67" s="309"/>
      <c r="P67" s="104"/>
      <c r="Q67" s="104"/>
      <c r="R67" s="104"/>
      <c r="S67" s="104"/>
      <c r="T67" s="104"/>
      <c r="U67" s="104"/>
      <c r="V67" s="104"/>
      <c r="W67" s="104"/>
      <c r="X67" s="104"/>
    </row>
    <row r="68" spans="2:45" x14ac:dyDescent="0.35">
      <c r="B68" s="412" t="s">
        <v>821</v>
      </c>
      <c r="C68" s="412"/>
      <c r="D68" s="13"/>
      <c r="E68" s="13"/>
      <c r="F68" s="13"/>
      <c r="G68" s="13"/>
      <c r="H68" s="453"/>
      <c r="I68" s="117" t="s">
        <v>821</v>
      </c>
      <c r="J68" s="286"/>
      <c r="K68" s="286"/>
      <c r="L68" s="905" t="s">
        <v>822</v>
      </c>
      <c r="M68" s="912" t="str">
        <f ca="1">IF(R68,"Mandatory","N/A")</f>
        <v>Mandatory</v>
      </c>
      <c r="N68" s="118"/>
      <c r="O68" s="165"/>
      <c r="P68" t="b">
        <v>1</v>
      </c>
      <c r="Q68" t="b">
        <v>0</v>
      </c>
      <c r="R68" s="120" t="b">
        <f ca="1">S68</f>
        <v>1</v>
      </c>
      <c r="S68" s="120" t="b">
        <f ca="1">NOT(OR(S13=4,S13=5))</f>
        <v>1</v>
      </c>
      <c r="T68" s="120" t="b">
        <f ca="1">AND(NOT(S68),W68=TRUE)</f>
        <v>0</v>
      </c>
      <c r="U68" s="120"/>
      <c r="V68" s="120"/>
      <c r="W68" s="17" t="b">
        <v>1</v>
      </c>
      <c r="X68" s="817"/>
      <c r="AC68" t="b">
        <f ca="1">OR(AD68:AE68)</f>
        <v>0</v>
      </c>
      <c r="AD68" t="b">
        <f ca="1">T68</f>
        <v>0</v>
      </c>
      <c r="AE68" t="b">
        <f ca="1">AND(R68,NOT(W68))</f>
        <v>0</v>
      </c>
      <c r="AL68" t="str">
        <f>SUBSTITUTE(SUBSTITUTE(SUBSTITUTE("dpa"&amp;$B68&amp;$C68&amp;$D68&amp;$E68,".","_"),"(","_"),")","")</f>
        <v>dpa701_4_1_1</v>
      </c>
      <c r="AM68" t="str">
        <f ca="1">M68</f>
        <v>Mandatory</v>
      </c>
      <c r="AP68" t="str">
        <f>SUBSTITUTE(SUBSTITUTE(SUBSTITUTE("dch"&amp;$B68&amp;$C68&amp;$D68&amp;$E68,".","_"),"(","_"),")","")</f>
        <v>dch701_4_1_1</v>
      </c>
      <c r="AQ68" t="b">
        <f>IF(LEN(W68)=0,"",W68)</f>
        <v>1</v>
      </c>
      <c r="AR68" t="str">
        <f>SUBSTITUTE(SUBSTITUTE(SUBSTITUTE("dnt"&amp;$B68&amp;$C68&amp;$D68&amp;$E68,".","_"),"(","_"),")","")</f>
        <v>dnt701_4_1_1</v>
      </c>
      <c r="AS68" t="str">
        <f>IF(LEN(X68)=0,"",X68)</f>
        <v/>
      </c>
    </row>
    <row r="69" spans="2:45" x14ac:dyDescent="0.35">
      <c r="B69" s="412" t="s">
        <v>821</v>
      </c>
      <c r="C69" s="412"/>
      <c r="D69" s="13"/>
      <c r="E69" s="13"/>
      <c r="F69" s="13"/>
      <c r="G69" s="13"/>
      <c r="H69" s="453"/>
      <c r="I69" s="4"/>
      <c r="J69" s="90"/>
      <c r="K69" s="90"/>
      <c r="L69" s="838"/>
      <c r="M69" s="885"/>
      <c r="N69" s="4"/>
      <c r="O69" s="75"/>
      <c r="X69" s="817"/>
    </row>
    <row r="70" spans="2:45" x14ac:dyDescent="0.35">
      <c r="B70" s="412" t="s">
        <v>821</v>
      </c>
      <c r="C70" s="412"/>
      <c r="D70" s="13"/>
      <c r="E70" s="13"/>
      <c r="F70" s="13"/>
      <c r="G70" s="13"/>
      <c r="H70" s="453"/>
      <c r="I70" s="133"/>
      <c r="J70" s="228"/>
      <c r="K70" s="228"/>
      <c r="L70" s="889"/>
      <c r="M70" s="890"/>
      <c r="N70" s="133"/>
      <c r="O70" s="309"/>
      <c r="P70" s="104"/>
      <c r="Q70" s="104"/>
      <c r="R70" s="104"/>
      <c r="S70" s="104"/>
      <c r="T70" s="104"/>
      <c r="U70" s="104"/>
      <c r="V70" s="104"/>
      <c r="W70" s="104"/>
      <c r="X70" s="817"/>
    </row>
    <row r="71" spans="2:45" x14ac:dyDescent="0.35">
      <c r="B71" s="412" t="s">
        <v>823</v>
      </c>
      <c r="C71" s="412"/>
      <c r="D71" s="13"/>
      <c r="E71" s="13"/>
      <c r="F71" s="13"/>
      <c r="G71" s="13"/>
      <c r="H71" s="453"/>
      <c r="I71" s="330" t="s">
        <v>823</v>
      </c>
      <c r="J71" s="286"/>
      <c r="K71" s="286"/>
      <c r="L71" s="905" t="s">
        <v>824</v>
      </c>
      <c r="M71" s="912" t="str">
        <f ca="1">IF(R71,"Mandatory","N/A")</f>
        <v>Mandatory</v>
      </c>
      <c r="N71" s="118"/>
      <c r="O71" s="165"/>
      <c r="P71" t="b">
        <v>1</v>
      </c>
      <c r="Q71" t="b">
        <v>0</v>
      </c>
      <c r="R71" s="120" t="b">
        <f ca="1">S71</f>
        <v>1</v>
      </c>
      <c r="S71" s="120" t="b">
        <f ca="1">NOT(OR(S13=4,S13=5))</f>
        <v>1</v>
      </c>
      <c r="T71" s="120" t="b">
        <f ca="1">AND(NOT(S71),LEN(W71)&gt;0)</f>
        <v>0</v>
      </c>
      <c r="U71" s="120" t="str">
        <f>SUBSTITUTE(SUBSTITUTE(SUBSTITUTE("dd"&amp;B71&amp;C71&amp;D71&amp;E71&amp;F71,".","_"),"(","_"),")","")</f>
        <v>dd701_4_1_2</v>
      </c>
      <c r="V71" s="120"/>
      <c r="W71" s="9" t="s">
        <v>3384</v>
      </c>
      <c r="X71" s="817"/>
      <c r="AC71" t="b">
        <f ca="1">OR(AD71:AE71)</f>
        <v>0</v>
      </c>
      <c r="AD71" t="b">
        <f ca="1">T71</f>
        <v>0</v>
      </c>
      <c r="AE71" t="b">
        <f ca="1">AND(R71,OR(W71="Not Met",W71=""))</f>
        <v>0</v>
      </c>
      <c r="AL71" t="str">
        <f>SUBSTITUTE(SUBSTITUTE(SUBSTITUTE("dpa"&amp;$B71&amp;$C71&amp;$D71&amp;$E71,".","_"),"(","_"),")","")</f>
        <v>dpa701_4_1_2</v>
      </c>
      <c r="AM71" t="str">
        <f ca="1">M71</f>
        <v>Mandatory</v>
      </c>
      <c r="AP71" t="str">
        <f>SUBSTITUTE(SUBSTITUTE(SUBSTITUTE("dch"&amp;$B71&amp;$C71&amp;$D71&amp;$E71,".","_"),"(","_"),")","")</f>
        <v>dch701_4_1_2</v>
      </c>
      <c r="AQ71" t="str">
        <f>IF(LEN(W71)=0,"",W71)</f>
        <v>No Radiant or Hydronic</v>
      </c>
      <c r="AR71" t="str">
        <f>SUBSTITUTE(SUBSTITUTE(SUBSTITUTE("dnt"&amp;$B71&amp;$C71&amp;$D71&amp;$E71,".","_"),"(","_"),")","")</f>
        <v>dnt701_4_1_2</v>
      </c>
      <c r="AS71" t="str">
        <f>IF(LEN(X71)=0,"",X71)</f>
        <v/>
      </c>
    </row>
    <row r="72" spans="2:45" x14ac:dyDescent="0.35">
      <c r="B72" s="412" t="s">
        <v>823</v>
      </c>
      <c r="C72" s="412"/>
      <c r="D72" s="13"/>
      <c r="E72" s="13"/>
      <c r="F72" s="13"/>
      <c r="G72" s="13"/>
      <c r="H72" s="453"/>
      <c r="I72" s="4"/>
      <c r="J72" s="90"/>
      <c r="K72" s="90"/>
      <c r="L72" s="838"/>
      <c r="M72" s="885"/>
      <c r="N72" s="4"/>
      <c r="O72" s="75"/>
      <c r="X72" s="817"/>
    </row>
    <row r="73" spans="2:45" x14ac:dyDescent="0.35">
      <c r="B73" s="412" t="s">
        <v>823</v>
      </c>
      <c r="C73" s="412"/>
      <c r="D73" s="13"/>
      <c r="E73" s="13"/>
      <c r="F73" s="13"/>
      <c r="G73" s="13"/>
      <c r="H73" s="453"/>
      <c r="I73" s="4"/>
      <c r="J73" s="90"/>
      <c r="K73" s="90"/>
      <c r="L73" s="838"/>
      <c r="M73" s="885"/>
      <c r="N73" s="4"/>
      <c r="O73" s="75"/>
      <c r="X73" s="817"/>
    </row>
    <row r="74" spans="2:45" x14ac:dyDescent="0.35">
      <c r="B74" s="412" t="s">
        <v>823</v>
      </c>
      <c r="C74" s="412"/>
      <c r="D74" s="13"/>
      <c r="E74" s="13"/>
      <c r="F74" s="13"/>
      <c r="G74" s="13"/>
      <c r="H74" s="453"/>
      <c r="I74" s="4"/>
      <c r="J74" s="90"/>
      <c r="K74" s="90"/>
      <c r="L74" s="838"/>
      <c r="M74" s="885"/>
      <c r="N74" s="4"/>
      <c r="O74" s="75"/>
      <c r="X74" s="817"/>
    </row>
    <row r="75" spans="2:45" x14ac:dyDescent="0.35">
      <c r="B75" s="412" t="s">
        <v>823</v>
      </c>
      <c r="C75" s="412"/>
      <c r="D75" s="13"/>
      <c r="E75" s="13"/>
      <c r="F75" s="13"/>
      <c r="G75" s="13"/>
      <c r="H75" s="453"/>
      <c r="I75" s="133"/>
      <c r="J75" s="228"/>
      <c r="K75" s="228"/>
      <c r="L75" s="889"/>
      <c r="M75" s="890"/>
      <c r="N75" s="133"/>
      <c r="O75" s="309"/>
      <c r="P75" s="104"/>
      <c r="Q75" s="104"/>
      <c r="R75" s="104"/>
      <c r="S75" s="104"/>
      <c r="T75" s="104"/>
      <c r="U75" s="104"/>
      <c r="V75" s="104"/>
      <c r="W75" s="104"/>
      <c r="X75" s="817"/>
    </row>
    <row r="76" spans="2:45" x14ac:dyDescent="0.35">
      <c r="B76" s="412" t="s">
        <v>825</v>
      </c>
      <c r="C76" s="412"/>
      <c r="D76" s="13"/>
      <c r="E76" s="13"/>
      <c r="F76" s="13"/>
      <c r="G76" s="13"/>
      <c r="H76" s="453"/>
      <c r="I76" s="330" t="s">
        <v>825</v>
      </c>
      <c r="J76" s="286"/>
      <c r="K76" s="286"/>
      <c r="L76" s="325" t="s">
        <v>826</v>
      </c>
      <c r="M76" s="282"/>
      <c r="N76" s="118"/>
      <c r="O76" s="165"/>
      <c r="P76" s="120"/>
      <c r="Q76" s="120"/>
      <c r="R76" s="120"/>
      <c r="S76" s="120"/>
      <c r="T76" s="120"/>
      <c r="U76" s="120"/>
      <c r="V76" s="120"/>
      <c r="W76" s="120"/>
      <c r="X76" s="120"/>
    </row>
    <row r="77" spans="2:45" x14ac:dyDescent="0.35">
      <c r="B77" s="412" t="s">
        <v>819</v>
      </c>
      <c r="C77" s="412"/>
      <c r="D77" s="13"/>
      <c r="E77" s="13"/>
      <c r="F77" s="13"/>
      <c r="G77" s="13"/>
      <c r="H77" s="453"/>
      <c r="I77" s="32" t="s">
        <v>3808</v>
      </c>
      <c r="J77" s="90"/>
      <c r="K77" s="90"/>
      <c r="L77" s="838" t="s">
        <v>827</v>
      </c>
      <c r="M77" s="885" t="str">
        <f ca="1">IF(R77,"Mandatory","N/A")</f>
        <v>Mandatory</v>
      </c>
      <c r="N77" s="4"/>
      <c r="O77" s="75"/>
      <c r="P77" t="b">
        <v>1</v>
      </c>
      <c r="Q77" t="b">
        <v>0</v>
      </c>
      <c r="R77" t="b">
        <f ca="1">S77</f>
        <v>1</v>
      </c>
      <c r="S77" t="b">
        <f ca="1">AND(NOT(OR(S13=4,S13=5)),NOT(AND(OR(AY39=INDEX(INDIRECT('Overview (Design)'!$E$38),2),AY39=INDEX(INDIRECT('Overview (Design)'!$E$38),3)),OR(AY43=INDEX(INDIRECT('Overview (Design)'!$E$42),2),AY43=INDEX(INDIRECT('Overview (Design)'!$E$42),3)))))</f>
        <v>1</v>
      </c>
      <c r="T77" t="b">
        <f ca="1">AND(NOT(S77),W77=TRUE)</f>
        <v>0</v>
      </c>
      <c r="W77" s="17" t="b">
        <v>1</v>
      </c>
      <c r="X77" s="817" t="s">
        <v>6112</v>
      </c>
      <c r="AC77" t="b">
        <f ca="1">OR(AD77:AE77)</f>
        <v>0</v>
      </c>
      <c r="AD77" t="b">
        <f ca="1">T77</f>
        <v>0</v>
      </c>
      <c r="AE77" t="b">
        <f ca="1">AND(R77,NOT(W77))</f>
        <v>0</v>
      </c>
      <c r="AL77" t="str">
        <f>SUBSTITUTE(SUBSTITUTE(SUBSTITUTE("dpa"&amp;$B77&amp;$C77&amp;$D77&amp;$E77,".","_"),"(","_"),")","")</f>
        <v>dpa701_4_1</v>
      </c>
      <c r="AM77" t="str">
        <f ca="1">M77</f>
        <v>Mandatory</v>
      </c>
      <c r="AP77" t="str">
        <f>SUBSTITUTE(SUBSTITUTE(SUBSTITUTE("dch"&amp;$B77&amp;$C77&amp;$D77&amp;$E77,".","_"),"(","_"),")","")</f>
        <v>dch701_4_1</v>
      </c>
      <c r="AQ77" t="b">
        <f>IF(LEN(W77)=0,"",W77)</f>
        <v>1</v>
      </c>
      <c r="AR77" t="str">
        <f>SUBSTITUTE(SUBSTITUTE(SUBSTITUTE("dnt"&amp;$B77&amp;$C77&amp;$D77&amp;$E77,".","_"),"(","_"),")","")</f>
        <v>dnt701_4_1</v>
      </c>
      <c r="AS77" t="str">
        <f>IF(LEN(X77)=0,"",X77)</f>
        <v>Aeroseal Aerosol Air Duct Sealing</v>
      </c>
    </row>
    <row r="78" spans="2:45" x14ac:dyDescent="0.35">
      <c r="B78" s="412" t="s">
        <v>819</v>
      </c>
      <c r="C78" s="412"/>
      <c r="D78" s="13"/>
      <c r="E78" s="13"/>
      <c r="F78" s="13"/>
      <c r="G78" s="13"/>
      <c r="H78" s="453"/>
      <c r="I78" s="32"/>
      <c r="J78" s="90"/>
      <c r="K78" s="90"/>
      <c r="L78" s="838"/>
      <c r="M78" s="885"/>
      <c r="N78" s="4"/>
      <c r="O78" s="75"/>
      <c r="X78" s="817"/>
    </row>
    <row r="79" spans="2:45" ht="15" customHeight="1" x14ac:dyDescent="0.35">
      <c r="B79" s="412" t="s">
        <v>819</v>
      </c>
      <c r="C79" s="412"/>
      <c r="D79" s="13"/>
      <c r="E79" s="13"/>
      <c r="F79" s="13"/>
      <c r="G79" s="13"/>
      <c r="H79" s="453"/>
      <c r="I79" s="331"/>
      <c r="J79" s="228"/>
      <c r="K79" s="228"/>
      <c r="L79" s="889"/>
      <c r="M79" s="890"/>
      <c r="N79" s="133"/>
      <c r="O79" s="309"/>
      <c r="P79" s="104"/>
      <c r="Q79" s="104"/>
      <c r="R79" s="104"/>
      <c r="S79" s="104"/>
      <c r="T79" s="104"/>
      <c r="U79" s="104"/>
      <c r="V79" s="104"/>
      <c r="W79" s="104"/>
      <c r="X79" s="817"/>
    </row>
    <row r="80" spans="2:45" ht="15" customHeight="1" x14ac:dyDescent="0.35">
      <c r="B80" s="412" t="s">
        <v>828</v>
      </c>
      <c r="C80" s="412"/>
      <c r="D80" s="13"/>
      <c r="E80" s="13"/>
      <c r="F80" s="13"/>
      <c r="G80" s="13"/>
      <c r="H80" s="453"/>
      <c r="I80" s="332" t="s">
        <v>828</v>
      </c>
      <c r="J80" s="178"/>
      <c r="K80" s="178"/>
      <c r="L80" s="333" t="s">
        <v>829</v>
      </c>
      <c r="M80" s="460" t="str">
        <f ca="1">IF(R80,"Mandatory","N/A")</f>
        <v>Mandatory</v>
      </c>
      <c r="N80" s="163"/>
      <c r="O80" s="277"/>
      <c r="P80" t="b">
        <v>1</v>
      </c>
      <c r="Q80" t="b">
        <v>0</v>
      </c>
      <c r="R80" s="134" t="b">
        <f ca="1">S80</f>
        <v>1</v>
      </c>
      <c r="S80" s="134" t="b">
        <f ca="1">AND(NOT(OR(S13=4,S13=5)),NOT(AND(OR(AY39=INDEX(INDIRECT('Overview (Design)'!$E$38),2),AY39=INDEX(INDIRECT('Overview (Design)'!$E$38),3)),OR(AY43=INDEX(INDIRECT('Overview (Design)'!$E$42),2),AY43=INDEX(INDIRECT('Overview (Design)'!$E$42),3)))))</f>
        <v>1</v>
      </c>
      <c r="T80" s="134" t="b">
        <f ca="1">AND(NOT(S80),W80=TRUE)</f>
        <v>0</v>
      </c>
      <c r="U80" s="134"/>
      <c r="V80" s="134"/>
      <c r="W80" s="17" t="b">
        <v>1</v>
      </c>
      <c r="X80" s="36"/>
      <c r="AC80" t="b">
        <f ca="1">OR(AD80:AE80)</f>
        <v>0</v>
      </c>
      <c r="AD80" t="b">
        <f ca="1">T80</f>
        <v>0</v>
      </c>
      <c r="AE80" t="b">
        <f ca="1">AND(R80,NOT(W80))</f>
        <v>0</v>
      </c>
      <c r="AL80" t="str">
        <f>SUBSTITUTE(SUBSTITUTE(SUBSTITUTE("dpa"&amp;$B80&amp;$C80&amp;$D80&amp;$E80,".","_"),"(","_"),")","")</f>
        <v>dpa701_4_2_2</v>
      </c>
      <c r="AM80" t="str">
        <f ca="1">M80</f>
        <v>Mandatory</v>
      </c>
      <c r="AP80" t="str">
        <f>SUBSTITUTE(SUBSTITUTE(SUBSTITUTE("dch"&amp;$B80&amp;$C80&amp;$D80&amp;$E80,".","_"),"(","_"),")","")</f>
        <v>dch701_4_2_2</v>
      </c>
      <c r="AQ80" t="b">
        <f>IF(LEN(W80)=0,"",W80)</f>
        <v>1</v>
      </c>
      <c r="AR80" t="str">
        <f>SUBSTITUTE(SUBSTITUTE(SUBSTITUTE("dnt"&amp;$B80&amp;$C80&amp;$D80&amp;$E80,".","_"),"(","_"),")","")</f>
        <v>dnt701_4_2_2</v>
      </c>
      <c r="AS80" t="str">
        <f>IF(LEN(X80)=0,"",X80)</f>
        <v/>
      </c>
    </row>
    <row r="81" spans="2:45" x14ac:dyDescent="0.35">
      <c r="B81" s="412" t="s">
        <v>830</v>
      </c>
      <c r="C81" s="412"/>
      <c r="D81" s="13"/>
      <c r="E81" s="13"/>
      <c r="F81" s="13"/>
      <c r="G81" s="13"/>
      <c r="H81" s="453"/>
      <c r="I81" s="330" t="s">
        <v>830</v>
      </c>
      <c r="J81" s="286"/>
      <c r="K81" s="286"/>
      <c r="L81" s="905" t="s">
        <v>831</v>
      </c>
      <c r="M81" s="912" t="str">
        <f ca="1">IF(R81,"Mandatory","N/A")</f>
        <v>Mandatory</v>
      </c>
      <c r="N81" s="118"/>
      <c r="O81" s="165"/>
      <c r="P81" t="b">
        <v>1</v>
      </c>
      <c r="Q81" t="b">
        <v>0</v>
      </c>
      <c r="R81" s="120" t="b">
        <f ca="1">S81</f>
        <v>1</v>
      </c>
      <c r="S81" s="120" t="b">
        <f ca="1">AND(NOT(OR(S13=4,S13=5)),NOT(AND(OR(AY39=INDEX(INDIRECT('Overview (Design)'!$E$38),2),AY39=INDEX(INDIRECT('Overview (Design)'!$E$38),3)),OR(AY43=INDEX(INDIRECT('Overview (Design)'!$E$42),2),AY43=INDEX(INDIRECT('Overview (Design)'!$E$42),3)))))</f>
        <v>1</v>
      </c>
      <c r="T81" s="120" t="b">
        <f ca="1">AND(NOT(S81),W81=TRUE)</f>
        <v>0</v>
      </c>
      <c r="U81" s="120"/>
      <c r="V81" s="120"/>
      <c r="W81" s="17" t="b">
        <v>1</v>
      </c>
      <c r="X81" s="817"/>
      <c r="AC81" t="b">
        <f ca="1">OR(AD81:AE81)</f>
        <v>0</v>
      </c>
      <c r="AD81" t="b">
        <f ca="1">T81</f>
        <v>0</v>
      </c>
      <c r="AE81" t="b">
        <f ca="1">AND(R81,NOT(W81))</f>
        <v>0</v>
      </c>
      <c r="AL81" t="str">
        <f>SUBSTITUTE(SUBSTITUTE(SUBSTITUTE("dpa"&amp;$B81&amp;$C81&amp;$D81&amp;$E81,".","_"),"(","_"),")","")</f>
        <v>dpa701_4_2_3</v>
      </c>
      <c r="AM81" t="str">
        <f ca="1">M81</f>
        <v>Mandatory</v>
      </c>
      <c r="AP81" t="str">
        <f>SUBSTITUTE(SUBSTITUTE(SUBSTITUTE("dch"&amp;$B81&amp;$C81&amp;$D81&amp;$E81,".","_"),"(","_"),")","")</f>
        <v>dch701_4_2_3</v>
      </c>
      <c r="AQ81" t="b">
        <f>IF(LEN(W81)=0,"",W81)</f>
        <v>1</v>
      </c>
      <c r="AR81" t="str">
        <f>SUBSTITUTE(SUBSTITUTE(SUBSTITUTE("dnt"&amp;$B81&amp;$C81&amp;$D81&amp;$E81,".","_"),"(","_"),")","")</f>
        <v>dnt701_4_2_3</v>
      </c>
      <c r="AS81" t="str">
        <f>IF(LEN(X81)=0,"",X81)</f>
        <v/>
      </c>
    </row>
    <row r="82" spans="2:45" x14ac:dyDescent="0.35">
      <c r="B82" s="412" t="s">
        <v>830</v>
      </c>
      <c r="C82" s="412"/>
      <c r="D82" s="13"/>
      <c r="E82" s="13"/>
      <c r="F82" s="13"/>
      <c r="G82" s="13"/>
      <c r="H82" s="453"/>
      <c r="I82" s="331"/>
      <c r="J82" s="228"/>
      <c r="K82" s="228"/>
      <c r="L82" s="889"/>
      <c r="M82" s="890"/>
      <c r="N82" s="133"/>
      <c r="O82" s="309"/>
      <c r="P82" s="104"/>
      <c r="Q82" s="104"/>
      <c r="R82" s="104"/>
      <c r="S82" s="104"/>
      <c r="T82" s="104"/>
      <c r="U82" s="104"/>
      <c r="V82" s="104"/>
      <c r="W82" s="104"/>
      <c r="X82" s="817"/>
    </row>
    <row r="83" spans="2:45" x14ac:dyDescent="0.35">
      <c r="B83" s="412" t="s">
        <v>832</v>
      </c>
      <c r="C83" s="412"/>
      <c r="D83" s="13"/>
      <c r="E83" s="13"/>
      <c r="F83" s="13"/>
      <c r="G83" s="13"/>
      <c r="H83" s="453"/>
      <c r="I83" s="330" t="s">
        <v>832</v>
      </c>
      <c r="J83" s="286"/>
      <c r="K83" s="286"/>
      <c r="L83" s="325" t="s">
        <v>833</v>
      </c>
      <c r="M83" s="282"/>
      <c r="N83" s="118"/>
      <c r="O83" s="165"/>
      <c r="P83" s="120"/>
      <c r="Q83" s="120"/>
      <c r="R83" s="120"/>
      <c r="S83" s="120"/>
      <c r="T83" s="120"/>
      <c r="U83" s="120"/>
      <c r="V83" s="120"/>
      <c r="W83" s="120"/>
      <c r="X83" s="120"/>
    </row>
    <row r="84" spans="2:45" x14ac:dyDescent="0.35">
      <c r="B84" s="412" t="s">
        <v>834</v>
      </c>
      <c r="C84" s="412"/>
      <c r="D84" s="13"/>
      <c r="E84" s="13"/>
      <c r="F84" s="13"/>
      <c r="G84" s="13"/>
      <c r="H84" s="453"/>
      <c r="I84" s="32" t="s">
        <v>834</v>
      </c>
      <c r="J84" s="90"/>
      <c r="K84" s="90"/>
      <c r="L84" s="838" t="s">
        <v>835</v>
      </c>
      <c r="N84" s="4"/>
      <c r="O84" s="75"/>
      <c r="W84" t="s">
        <v>3413</v>
      </c>
      <c r="X84" s="817"/>
      <c r="AL84" t="str">
        <f>SUBSTITUTE(SUBSTITUTE(SUBSTITUTE("dpa"&amp;$B84&amp;$C84&amp;$D84&amp;$E84,".","_"),"(","_"),")","")</f>
        <v>dpa701_4_3_1</v>
      </c>
      <c r="AM84" t="str">
        <f ca="1">M88</f>
        <v>Mandatory</v>
      </c>
      <c r="AR84" t="str">
        <f>SUBSTITUTE(SUBSTITUTE(SUBSTITUTE("dnt"&amp;$B84&amp;$C84&amp;$D84&amp;$E84,".","_"),"(","_"),")","")</f>
        <v>dnt701_4_3_1</v>
      </c>
      <c r="AS84" t="str">
        <f>IF(LEN(X84)=0,"",X84)</f>
        <v/>
      </c>
    </row>
    <row r="85" spans="2:45" x14ac:dyDescent="0.35">
      <c r="B85" s="412" t="s">
        <v>834</v>
      </c>
      <c r="C85" s="412"/>
      <c r="D85" s="13"/>
      <c r="E85" s="13"/>
      <c r="F85" s="13"/>
      <c r="G85" s="13"/>
      <c r="H85" s="453"/>
      <c r="I85" s="4"/>
      <c r="J85" s="90"/>
      <c r="K85" s="90"/>
      <c r="L85" s="838"/>
      <c r="N85" s="4"/>
      <c r="O85" s="75"/>
      <c r="P85" t="b">
        <v>1</v>
      </c>
      <c r="Q85" t="b">
        <v>1</v>
      </c>
      <c r="R85" t="b">
        <v>0</v>
      </c>
      <c r="S85" t="b">
        <f ca="1">AND(NOT(OR(S13=4,S13=5)),AY28&gt;3,AY19=INDEX(INDIRECT('Overview (Design)'!$E$18),2))</f>
        <v>0</v>
      </c>
      <c r="T85" t="b">
        <f ca="1">AND(NOT(S85),W85=TRUE)</f>
        <v>0</v>
      </c>
      <c r="W85" s="17"/>
      <c r="X85" s="817"/>
      <c r="AC85" t="b">
        <f ca="1">OR(AD85:AE85)</f>
        <v>0</v>
      </c>
      <c r="AD85" t="b">
        <f ca="1">T85</f>
        <v>0</v>
      </c>
      <c r="AP85" t="str">
        <f>SUBSTITUTE(SUBSTITUTE(SUBSTITUTE("dch"&amp;$B85&amp;$C85&amp;$D85&amp;$E85,".","_"),"(","_"),")","")</f>
        <v>dch701_4_3_1</v>
      </c>
      <c r="AQ85" t="str">
        <f>IF(LEN(W85)=0,"",W85)</f>
        <v/>
      </c>
    </row>
    <row r="86" spans="2:45" x14ac:dyDescent="0.35">
      <c r="B86" s="412" t="s">
        <v>834</v>
      </c>
      <c r="C86" s="412"/>
      <c r="D86" s="13"/>
      <c r="E86" s="13"/>
      <c r="F86" s="13"/>
      <c r="G86" s="13"/>
      <c r="H86" s="453"/>
      <c r="I86" s="4"/>
      <c r="J86" s="90"/>
      <c r="K86" s="90"/>
      <c r="L86" s="838"/>
      <c r="N86" s="4"/>
      <c r="O86" s="75"/>
      <c r="X86" s="817"/>
    </row>
    <row r="87" spans="2:45" x14ac:dyDescent="0.35">
      <c r="B87" s="412" t="s">
        <v>834</v>
      </c>
      <c r="C87" s="412"/>
      <c r="D87" s="13"/>
      <c r="E87" s="13"/>
      <c r="F87" s="13"/>
      <c r="G87" s="13"/>
      <c r="H87" s="453"/>
      <c r="I87" s="4"/>
      <c r="J87" s="90"/>
      <c r="K87" s="90"/>
      <c r="L87" s="838"/>
      <c r="N87" s="4"/>
      <c r="O87" s="75"/>
      <c r="X87" s="817"/>
    </row>
    <row r="88" spans="2:45" x14ac:dyDescent="0.35">
      <c r="B88" s="412" t="s">
        <v>834</v>
      </c>
      <c r="C88" s="412"/>
      <c r="D88" s="13" t="s">
        <v>121</v>
      </c>
      <c r="E88" s="13"/>
      <c r="F88" s="13"/>
      <c r="G88" s="13"/>
      <c r="H88" s="453"/>
      <c r="I88" s="4"/>
      <c r="J88" s="90"/>
      <c r="K88" s="152" t="s">
        <v>121</v>
      </c>
      <c r="L88" s="90" t="s">
        <v>836</v>
      </c>
      <c r="M88" s="885" t="str">
        <f ca="1">IF(R88,"Mandatory","N/A")</f>
        <v>Mandatory</v>
      </c>
      <c r="N88" s="4"/>
      <c r="O88" s="75"/>
      <c r="P88" t="b">
        <v>1</v>
      </c>
      <c r="Q88" t="b">
        <v>1</v>
      </c>
      <c r="R88" t="b">
        <f t="shared" ref="R88:R100" ca="1" si="0">S88</f>
        <v>1</v>
      </c>
      <c r="S88" t="b">
        <f ca="1">AND(NOT(OR(S13=4,S13=5)),NOT(W85))</f>
        <v>1</v>
      </c>
      <c r="T88" t="b">
        <f t="shared" ref="T88:T100" ca="1" si="1">IF(AND(NOT(S88),LEN(W88)&gt;0),TRUE,FALSE)</f>
        <v>0</v>
      </c>
      <c r="U88" t="str">
        <f t="shared" ref="U88:U100" si="2">SUBSTITUTE(SUBSTITUTE(SUBSTITUTE("dd"&amp;B88&amp;C88&amp;D88&amp;E88&amp;F88,".","_"),"(","_"),")","")</f>
        <v>dd701_4_3_1_a</v>
      </c>
      <c r="W88" s="9" t="s">
        <v>3038</v>
      </c>
      <c r="X88" s="36"/>
      <c r="AC88" t="b">
        <f t="shared" ref="AC88:AC100" ca="1" si="3">OR(AD88:AE88)</f>
        <v>0</v>
      </c>
      <c r="AD88" t="b">
        <f t="shared" ref="AD88:AD100" ca="1" si="4">T88</f>
        <v>0</v>
      </c>
      <c r="AE88" t="b">
        <f t="shared" ref="AE88:AE100" ca="1" si="5">AND(R88,OR(W88="Not Met",W88=""))</f>
        <v>0</v>
      </c>
      <c r="AP88" t="str">
        <f t="shared" ref="AP88:AP100" si="6">SUBSTITUTE(SUBSTITUTE(SUBSTITUTE("dch"&amp;$B88&amp;$C88&amp;$D88&amp;$E88,".","_"),"(","_"),")","")</f>
        <v>dch701_4_3_1_a</v>
      </c>
      <c r="AQ88" t="str">
        <f t="shared" ref="AQ88:AQ100" si="7">IF(LEN(W88)=0,"",W88)</f>
        <v>Met</v>
      </c>
      <c r="AR88" t="str">
        <f t="shared" ref="AR88:AR100" si="8">SUBSTITUTE(SUBSTITUTE(SUBSTITUTE("dnt"&amp;$B88&amp;$C88&amp;$D88&amp;$E88,".","_"),"(","_"),")","")</f>
        <v>dnt701_4_3_1_a</v>
      </c>
      <c r="AS88" t="str">
        <f t="shared" ref="AS88:AS100" si="9">IF(LEN(X88)=0,"",X88)</f>
        <v/>
      </c>
    </row>
    <row r="89" spans="2:45" ht="15" customHeight="1" x14ac:dyDescent="0.35">
      <c r="B89" s="412" t="s">
        <v>834</v>
      </c>
      <c r="C89" s="412"/>
      <c r="D89" s="13" t="s">
        <v>122</v>
      </c>
      <c r="E89" s="13"/>
      <c r="F89" s="13"/>
      <c r="G89" s="13"/>
      <c r="H89" s="453"/>
      <c r="I89" s="4"/>
      <c r="J89" s="90"/>
      <c r="K89" s="152" t="s">
        <v>122</v>
      </c>
      <c r="L89" s="90" t="s">
        <v>837</v>
      </c>
      <c r="M89" s="885"/>
      <c r="N89" s="4"/>
      <c r="O89" s="75"/>
      <c r="P89" t="b">
        <v>1</v>
      </c>
      <c r="Q89" t="b">
        <v>1</v>
      </c>
      <c r="R89" t="b">
        <f t="shared" ca="1" si="0"/>
        <v>1</v>
      </c>
      <c r="S89" t="b">
        <f ca="1">AND(NOT(OR(S13=4,S13=5)),NOT(W85))</f>
        <v>1</v>
      </c>
      <c r="T89" t="b">
        <f t="shared" ca="1" si="1"/>
        <v>0</v>
      </c>
      <c r="U89" t="str">
        <f t="shared" si="2"/>
        <v>dd701_4_3_1_b</v>
      </c>
      <c r="W89" s="9" t="s">
        <v>3038</v>
      </c>
      <c r="X89" s="36"/>
      <c r="AC89" t="b">
        <f t="shared" ca="1" si="3"/>
        <v>0</v>
      </c>
      <c r="AD89" t="b">
        <f t="shared" ca="1" si="4"/>
        <v>0</v>
      </c>
      <c r="AE89" t="b">
        <f t="shared" ca="1" si="5"/>
        <v>0</v>
      </c>
      <c r="AP89" t="str">
        <f t="shared" si="6"/>
        <v>dch701_4_3_1_b</v>
      </c>
      <c r="AQ89" t="str">
        <f t="shared" si="7"/>
        <v>Met</v>
      </c>
      <c r="AR89" t="str">
        <f t="shared" si="8"/>
        <v>dnt701_4_3_1_b</v>
      </c>
      <c r="AS89" t="str">
        <f t="shared" si="9"/>
        <v/>
      </c>
    </row>
    <row r="90" spans="2:45" ht="15" customHeight="1" x14ac:dyDescent="0.35">
      <c r="B90" s="412" t="s">
        <v>834</v>
      </c>
      <c r="C90" s="412"/>
      <c r="D90" s="18" t="s">
        <v>123</v>
      </c>
      <c r="E90" s="18"/>
      <c r="F90" s="18"/>
      <c r="G90" s="18"/>
      <c r="H90" s="454"/>
      <c r="I90" s="4"/>
      <c r="J90" s="90"/>
      <c r="K90" s="153" t="s">
        <v>123</v>
      </c>
      <c r="L90" s="90" t="s">
        <v>838</v>
      </c>
      <c r="M90" s="885"/>
      <c r="N90" s="4"/>
      <c r="O90" s="75"/>
      <c r="P90" t="b">
        <v>1</v>
      </c>
      <c r="Q90" t="b">
        <v>1</v>
      </c>
      <c r="R90" t="b">
        <f t="shared" ca="1" si="0"/>
        <v>1</v>
      </c>
      <c r="S90" t="b">
        <f ca="1">AND(NOT(OR(S13=4,S13=5)),NOT(W85))</f>
        <v>1</v>
      </c>
      <c r="T90" t="b">
        <f t="shared" ca="1" si="1"/>
        <v>0</v>
      </c>
      <c r="U90" t="str">
        <f t="shared" si="2"/>
        <v>dd701_4_3_1_c</v>
      </c>
      <c r="W90" s="9" t="s">
        <v>3038</v>
      </c>
      <c r="X90" s="36"/>
      <c r="AC90" t="b">
        <f t="shared" ca="1" si="3"/>
        <v>0</v>
      </c>
      <c r="AD90" t="b">
        <f t="shared" ca="1" si="4"/>
        <v>0</v>
      </c>
      <c r="AE90" t="b">
        <f t="shared" ca="1" si="5"/>
        <v>0</v>
      </c>
      <c r="AP90" t="str">
        <f t="shared" si="6"/>
        <v>dch701_4_3_1_c</v>
      </c>
      <c r="AQ90" t="str">
        <f t="shared" si="7"/>
        <v>Met</v>
      </c>
      <c r="AR90" t="str">
        <f t="shared" si="8"/>
        <v>dnt701_4_3_1_c</v>
      </c>
      <c r="AS90" t="str">
        <f t="shared" si="9"/>
        <v/>
      </c>
    </row>
    <row r="91" spans="2:45" x14ac:dyDescent="0.35">
      <c r="B91" s="412" t="s">
        <v>834</v>
      </c>
      <c r="C91" s="412"/>
      <c r="D91" s="13" t="s">
        <v>401</v>
      </c>
      <c r="E91" s="13"/>
      <c r="F91" s="13"/>
      <c r="G91" s="13"/>
      <c r="H91" s="453"/>
      <c r="I91" s="4"/>
      <c r="J91" s="90"/>
      <c r="K91" s="95" t="s">
        <v>401</v>
      </c>
      <c r="L91" s="90" t="s">
        <v>839</v>
      </c>
      <c r="M91" s="885"/>
      <c r="N91" s="4"/>
      <c r="O91" s="75"/>
      <c r="P91" t="b">
        <v>1</v>
      </c>
      <c r="Q91" t="b">
        <v>1</v>
      </c>
      <c r="R91" t="b">
        <f t="shared" ca="1" si="0"/>
        <v>1</v>
      </c>
      <c r="S91" t="b">
        <f ca="1">AND(NOT(OR(S13=4,S13=5)),NOT(W85))</f>
        <v>1</v>
      </c>
      <c r="T91" t="b">
        <f t="shared" ca="1" si="1"/>
        <v>0</v>
      </c>
      <c r="U91" t="str">
        <f t="shared" si="2"/>
        <v>dd701_4_3_1_d</v>
      </c>
      <c r="W91" s="9" t="s">
        <v>3038</v>
      </c>
      <c r="X91" s="36"/>
      <c r="AC91" t="b">
        <f t="shared" ca="1" si="3"/>
        <v>0</v>
      </c>
      <c r="AD91" t="b">
        <f t="shared" ca="1" si="4"/>
        <v>0</v>
      </c>
      <c r="AE91" t="b">
        <f t="shared" ca="1" si="5"/>
        <v>0</v>
      </c>
      <c r="AP91" t="str">
        <f t="shared" si="6"/>
        <v>dch701_4_3_1_d</v>
      </c>
      <c r="AQ91" t="str">
        <f t="shared" si="7"/>
        <v>Met</v>
      </c>
      <c r="AR91" t="str">
        <f t="shared" si="8"/>
        <v>dnt701_4_3_1_d</v>
      </c>
      <c r="AS91" t="str">
        <f t="shared" si="9"/>
        <v/>
      </c>
    </row>
    <row r="92" spans="2:45" x14ac:dyDescent="0.35">
      <c r="B92" s="412" t="s">
        <v>834</v>
      </c>
      <c r="C92" s="412"/>
      <c r="D92" s="13" t="s">
        <v>539</v>
      </c>
      <c r="E92" s="13"/>
      <c r="F92" s="13"/>
      <c r="G92" s="13"/>
      <c r="H92" s="453"/>
      <c r="I92" s="4"/>
      <c r="J92" s="90"/>
      <c r="K92" s="95" t="s">
        <v>539</v>
      </c>
      <c r="L92" s="90" t="s">
        <v>840</v>
      </c>
      <c r="M92" s="885"/>
      <c r="N92" s="4"/>
      <c r="O92" s="75"/>
      <c r="P92" t="b">
        <v>1</v>
      </c>
      <c r="Q92" t="b">
        <v>1</v>
      </c>
      <c r="R92" t="b">
        <f t="shared" ca="1" si="0"/>
        <v>1</v>
      </c>
      <c r="S92" t="b">
        <f ca="1">AND(NOT(OR(S13=4,S13=5)),NOT(W85))</f>
        <v>1</v>
      </c>
      <c r="T92" t="b">
        <f t="shared" ca="1" si="1"/>
        <v>0</v>
      </c>
      <c r="U92" t="str">
        <f t="shared" si="2"/>
        <v>dd701_4_3_1_e</v>
      </c>
      <c r="W92" s="9" t="s">
        <v>3038</v>
      </c>
      <c r="X92" s="36"/>
      <c r="AC92" t="b">
        <f t="shared" ca="1" si="3"/>
        <v>0</v>
      </c>
      <c r="AD92" t="b">
        <f t="shared" ca="1" si="4"/>
        <v>0</v>
      </c>
      <c r="AE92" t="b">
        <f t="shared" ca="1" si="5"/>
        <v>0</v>
      </c>
      <c r="AP92" t="str">
        <f t="shared" si="6"/>
        <v>dch701_4_3_1_e</v>
      </c>
      <c r="AQ92" t="str">
        <f t="shared" si="7"/>
        <v>Met</v>
      </c>
      <c r="AR92" t="str">
        <f t="shared" si="8"/>
        <v>dnt701_4_3_1_e</v>
      </c>
      <c r="AS92" t="str">
        <f t="shared" si="9"/>
        <v/>
      </c>
    </row>
    <row r="93" spans="2:45" x14ac:dyDescent="0.35">
      <c r="B93" s="412" t="s">
        <v>834</v>
      </c>
      <c r="C93" s="412"/>
      <c r="D93" s="18" t="s">
        <v>604</v>
      </c>
      <c r="E93" s="18"/>
      <c r="F93" s="18"/>
      <c r="G93" s="18"/>
      <c r="H93" s="454"/>
      <c r="I93" s="4"/>
      <c r="J93" s="90"/>
      <c r="K93" s="153" t="s">
        <v>604</v>
      </c>
      <c r="L93" s="90" t="s">
        <v>841</v>
      </c>
      <c r="M93" s="885"/>
      <c r="N93" s="4"/>
      <c r="O93" s="75"/>
      <c r="P93" t="b">
        <v>1</v>
      </c>
      <c r="Q93" t="b">
        <v>1</v>
      </c>
      <c r="R93" t="b">
        <f t="shared" ca="1" si="0"/>
        <v>1</v>
      </c>
      <c r="S93" t="b">
        <f ca="1">AND(NOT(OR(S13=4,S13=5)),NOT(W85))</f>
        <v>1</v>
      </c>
      <c r="T93" t="b">
        <f t="shared" ca="1" si="1"/>
        <v>0</v>
      </c>
      <c r="U93" t="str">
        <f t="shared" si="2"/>
        <v>dd701_4_3_1_f</v>
      </c>
      <c r="W93" s="9" t="s">
        <v>3038</v>
      </c>
      <c r="X93" s="36"/>
      <c r="AC93" t="b">
        <f t="shared" ca="1" si="3"/>
        <v>0</v>
      </c>
      <c r="AD93" t="b">
        <f t="shared" ca="1" si="4"/>
        <v>0</v>
      </c>
      <c r="AE93" t="b">
        <f t="shared" ca="1" si="5"/>
        <v>0</v>
      </c>
      <c r="AP93" t="str">
        <f t="shared" si="6"/>
        <v>dch701_4_3_1_f</v>
      </c>
      <c r="AQ93" t="str">
        <f t="shared" si="7"/>
        <v>Met</v>
      </c>
      <c r="AR93" t="str">
        <f t="shared" si="8"/>
        <v>dnt701_4_3_1_f</v>
      </c>
      <c r="AS93" t="str">
        <f t="shared" si="9"/>
        <v/>
      </c>
    </row>
    <row r="94" spans="2:45" x14ac:dyDescent="0.35">
      <c r="B94" s="412" t="s">
        <v>834</v>
      </c>
      <c r="C94" s="412"/>
      <c r="D94" s="13" t="s">
        <v>606</v>
      </c>
      <c r="E94" s="13"/>
      <c r="F94" s="13"/>
      <c r="G94" s="13"/>
      <c r="H94" s="453"/>
      <c r="I94" s="4"/>
      <c r="J94" s="90"/>
      <c r="K94" s="95" t="s">
        <v>606</v>
      </c>
      <c r="L94" s="470" t="s">
        <v>4244</v>
      </c>
      <c r="M94" s="885"/>
      <c r="N94" s="4"/>
      <c r="O94" s="75"/>
      <c r="P94" t="b">
        <v>1</v>
      </c>
      <c r="Q94" t="b">
        <v>1</v>
      </c>
      <c r="R94" t="b">
        <f t="shared" ca="1" si="0"/>
        <v>1</v>
      </c>
      <c r="S94" t="b">
        <f ca="1">AND(NOT(OR(S13=4,S13=5)),NOT(W85))</f>
        <v>1</v>
      </c>
      <c r="T94" t="b">
        <f t="shared" ca="1" si="1"/>
        <v>0</v>
      </c>
      <c r="U94" t="str">
        <f t="shared" si="2"/>
        <v>dd701_4_3_1_g</v>
      </c>
      <c r="W94" s="9" t="s">
        <v>3038</v>
      </c>
      <c r="X94" s="36"/>
      <c r="AC94" t="b">
        <f t="shared" ca="1" si="3"/>
        <v>0</v>
      </c>
      <c r="AD94" t="b">
        <f t="shared" ca="1" si="4"/>
        <v>0</v>
      </c>
      <c r="AE94" t="b">
        <f t="shared" ca="1" si="5"/>
        <v>0</v>
      </c>
      <c r="AP94" t="str">
        <f t="shared" si="6"/>
        <v>dch701_4_3_1_g</v>
      </c>
      <c r="AQ94" t="str">
        <f t="shared" si="7"/>
        <v>Met</v>
      </c>
      <c r="AR94" t="str">
        <f t="shared" si="8"/>
        <v>dnt701_4_3_1_g</v>
      </c>
      <c r="AS94" t="str">
        <f t="shared" si="9"/>
        <v/>
      </c>
    </row>
    <row r="95" spans="2:45" x14ac:dyDescent="0.35">
      <c r="B95" s="412" t="s">
        <v>834</v>
      </c>
      <c r="C95" s="412"/>
      <c r="D95" s="13" t="s">
        <v>608</v>
      </c>
      <c r="E95" s="13"/>
      <c r="F95" s="13"/>
      <c r="G95" s="13"/>
      <c r="H95" s="453"/>
      <c r="I95" s="4"/>
      <c r="J95" s="90"/>
      <c r="K95" s="95" t="s">
        <v>608</v>
      </c>
      <c r="L95" s="90" t="s">
        <v>842</v>
      </c>
      <c r="M95" s="885"/>
      <c r="N95" s="4"/>
      <c r="O95" s="75"/>
      <c r="P95" t="b">
        <v>1</v>
      </c>
      <c r="Q95" t="b">
        <v>1</v>
      </c>
      <c r="R95" t="b">
        <f t="shared" ca="1" si="0"/>
        <v>1</v>
      </c>
      <c r="S95" t="b">
        <f ca="1">AND(NOT(OR(S13=4,S13=5)),NOT(W85))</f>
        <v>1</v>
      </c>
      <c r="T95" t="b">
        <f t="shared" ca="1" si="1"/>
        <v>0</v>
      </c>
      <c r="U95" t="str">
        <f t="shared" si="2"/>
        <v>dd701_4_3_1_h</v>
      </c>
      <c r="W95" s="9" t="s">
        <v>3038</v>
      </c>
      <c r="X95" s="36"/>
      <c r="AC95" t="b">
        <f t="shared" ca="1" si="3"/>
        <v>0</v>
      </c>
      <c r="AD95" t="b">
        <f t="shared" ca="1" si="4"/>
        <v>0</v>
      </c>
      <c r="AE95" t="b">
        <f t="shared" ca="1" si="5"/>
        <v>0</v>
      </c>
      <c r="AP95" t="str">
        <f t="shared" si="6"/>
        <v>dch701_4_3_1_h</v>
      </c>
      <c r="AQ95" t="str">
        <f t="shared" si="7"/>
        <v>Met</v>
      </c>
      <c r="AR95" t="str">
        <f t="shared" si="8"/>
        <v>dnt701_4_3_1_h</v>
      </c>
      <c r="AS95" t="str">
        <f t="shared" si="9"/>
        <v/>
      </c>
    </row>
    <row r="96" spans="2:45" x14ac:dyDescent="0.35">
      <c r="B96" s="412" t="s">
        <v>834</v>
      </c>
      <c r="C96" s="412"/>
      <c r="D96" s="13" t="s">
        <v>843</v>
      </c>
      <c r="E96" s="13"/>
      <c r="F96" s="13"/>
      <c r="G96" s="13"/>
      <c r="H96" s="453"/>
      <c r="I96" s="4"/>
      <c r="J96" s="90"/>
      <c r="K96" s="95" t="s">
        <v>843</v>
      </c>
      <c r="L96" s="470" t="s">
        <v>4245</v>
      </c>
      <c r="M96" s="885"/>
      <c r="N96" s="4"/>
      <c r="O96" s="75"/>
      <c r="P96" t="b">
        <v>1</v>
      </c>
      <c r="Q96" t="b">
        <v>1</v>
      </c>
      <c r="R96" t="b">
        <f t="shared" ca="1" si="0"/>
        <v>1</v>
      </c>
      <c r="S96" t="b">
        <f ca="1">AND(NOT(OR(S13=4,S13=5)),NOT(W85))</f>
        <v>1</v>
      </c>
      <c r="T96" t="b">
        <f t="shared" ca="1" si="1"/>
        <v>0</v>
      </c>
      <c r="U96" t="str">
        <f t="shared" si="2"/>
        <v>dd701_4_3_1_i</v>
      </c>
      <c r="W96" s="9" t="s">
        <v>3038</v>
      </c>
      <c r="X96" s="36"/>
      <c r="AC96" t="b">
        <f t="shared" ca="1" si="3"/>
        <v>0</v>
      </c>
      <c r="AD96" t="b">
        <f t="shared" ca="1" si="4"/>
        <v>0</v>
      </c>
      <c r="AE96" t="b">
        <f t="shared" ca="1" si="5"/>
        <v>0</v>
      </c>
      <c r="AP96" t="str">
        <f t="shared" si="6"/>
        <v>dch701_4_3_1_i</v>
      </c>
      <c r="AQ96" t="str">
        <f t="shared" si="7"/>
        <v>Met</v>
      </c>
      <c r="AR96" t="str">
        <f t="shared" si="8"/>
        <v>dnt701_4_3_1_i</v>
      </c>
      <c r="AS96" t="str">
        <f t="shared" si="9"/>
        <v/>
      </c>
    </row>
    <row r="97" spans="2:45" x14ac:dyDescent="0.35">
      <c r="B97" s="412" t="s">
        <v>834</v>
      </c>
      <c r="C97" s="412"/>
      <c r="D97" s="13" t="s">
        <v>844</v>
      </c>
      <c r="E97" s="13"/>
      <c r="F97" s="13"/>
      <c r="G97" s="13"/>
      <c r="H97" s="453"/>
      <c r="I97" s="4"/>
      <c r="J97" s="90"/>
      <c r="K97" s="95" t="s">
        <v>844</v>
      </c>
      <c r="L97" s="90" t="s">
        <v>845</v>
      </c>
      <c r="M97" s="885"/>
      <c r="N97" s="4"/>
      <c r="O97" s="75"/>
      <c r="P97" t="b">
        <v>1</v>
      </c>
      <c r="Q97" t="b">
        <v>1</v>
      </c>
      <c r="R97" t="b">
        <f t="shared" ca="1" si="0"/>
        <v>1</v>
      </c>
      <c r="S97" t="b">
        <f ca="1">AND(NOT(OR(S13=4,S13=5)),NOT(W85))</f>
        <v>1</v>
      </c>
      <c r="T97" t="b">
        <f t="shared" ca="1" si="1"/>
        <v>0</v>
      </c>
      <c r="U97" t="str">
        <f t="shared" si="2"/>
        <v>dd701_4_3_1_j</v>
      </c>
      <c r="W97" s="9" t="s">
        <v>3038</v>
      </c>
      <c r="X97" s="36"/>
      <c r="AC97" t="b">
        <f t="shared" ca="1" si="3"/>
        <v>0</v>
      </c>
      <c r="AD97" t="b">
        <f t="shared" ca="1" si="4"/>
        <v>0</v>
      </c>
      <c r="AE97" t="b">
        <f t="shared" ca="1" si="5"/>
        <v>0</v>
      </c>
      <c r="AP97" t="str">
        <f t="shared" si="6"/>
        <v>dch701_4_3_1_j</v>
      </c>
      <c r="AQ97" t="str">
        <f t="shared" si="7"/>
        <v>Met</v>
      </c>
      <c r="AR97" t="str">
        <f t="shared" si="8"/>
        <v>dnt701_4_3_1_j</v>
      </c>
      <c r="AS97" t="str">
        <f t="shared" si="9"/>
        <v/>
      </c>
    </row>
    <row r="98" spans="2:45" x14ac:dyDescent="0.35">
      <c r="B98" s="412" t="s">
        <v>834</v>
      </c>
      <c r="C98" s="412"/>
      <c r="D98" s="13" t="s">
        <v>846</v>
      </c>
      <c r="E98" s="13"/>
      <c r="F98" s="13"/>
      <c r="G98" s="13"/>
      <c r="H98" s="453"/>
      <c r="I98" s="4"/>
      <c r="J98" s="90"/>
      <c r="K98" s="95" t="s">
        <v>846</v>
      </c>
      <c r="L98" s="470" t="s">
        <v>4246</v>
      </c>
      <c r="M98" s="885"/>
      <c r="N98" s="4"/>
      <c r="O98" s="75"/>
      <c r="P98" t="b">
        <v>1</v>
      </c>
      <c r="Q98" t="b">
        <v>1</v>
      </c>
      <c r="R98" t="b">
        <f t="shared" ca="1" si="0"/>
        <v>1</v>
      </c>
      <c r="S98" t="b">
        <f ca="1">AND(NOT(OR(S13=4,S13=5)),NOT(W85))</f>
        <v>1</v>
      </c>
      <c r="T98" t="b">
        <f t="shared" ca="1" si="1"/>
        <v>0</v>
      </c>
      <c r="U98" t="str">
        <f t="shared" si="2"/>
        <v>dd701_4_3_1_k</v>
      </c>
      <c r="W98" s="9" t="s">
        <v>3038</v>
      </c>
      <c r="X98" s="36"/>
      <c r="AC98" t="b">
        <f t="shared" ca="1" si="3"/>
        <v>0</v>
      </c>
      <c r="AD98" t="b">
        <f t="shared" ca="1" si="4"/>
        <v>0</v>
      </c>
      <c r="AE98" t="b">
        <f t="shared" ca="1" si="5"/>
        <v>0</v>
      </c>
      <c r="AP98" t="str">
        <f t="shared" si="6"/>
        <v>dch701_4_3_1_k</v>
      </c>
      <c r="AQ98" t="str">
        <f t="shared" si="7"/>
        <v>Met</v>
      </c>
      <c r="AR98" t="str">
        <f t="shared" si="8"/>
        <v>dnt701_4_3_1_k</v>
      </c>
      <c r="AS98" t="str">
        <f t="shared" si="9"/>
        <v/>
      </c>
    </row>
    <row r="99" spans="2:45" x14ac:dyDescent="0.35">
      <c r="B99" s="412" t="s">
        <v>834</v>
      </c>
      <c r="C99" s="412"/>
      <c r="D99" s="13" t="s">
        <v>847</v>
      </c>
      <c r="E99" s="13"/>
      <c r="F99" s="13"/>
      <c r="G99" s="13"/>
      <c r="H99" s="453"/>
      <c r="I99" s="4"/>
      <c r="J99" s="90"/>
      <c r="K99" s="95" t="s">
        <v>847</v>
      </c>
      <c r="L99" s="470" t="s">
        <v>4247</v>
      </c>
      <c r="M99" s="885"/>
      <c r="N99" s="4"/>
      <c r="O99" s="75"/>
      <c r="P99" t="b">
        <v>1</v>
      </c>
      <c r="Q99" t="b">
        <v>1</v>
      </c>
      <c r="R99" t="b">
        <f t="shared" ca="1" si="0"/>
        <v>1</v>
      </c>
      <c r="S99" t="b">
        <f ca="1">AND(NOT(OR(S13=4,S13=5)),NOT(W85))</f>
        <v>1</v>
      </c>
      <c r="T99" t="b">
        <f t="shared" ca="1" si="1"/>
        <v>0</v>
      </c>
      <c r="U99" t="str">
        <f t="shared" si="2"/>
        <v>dd701_4_3_1_l</v>
      </c>
      <c r="W99" s="9" t="s">
        <v>3038</v>
      </c>
      <c r="X99" s="36"/>
      <c r="AC99" t="b">
        <f t="shared" ca="1" si="3"/>
        <v>0</v>
      </c>
      <c r="AD99" t="b">
        <f t="shared" ca="1" si="4"/>
        <v>0</v>
      </c>
      <c r="AE99" t="b">
        <f t="shared" ca="1" si="5"/>
        <v>0</v>
      </c>
      <c r="AP99" t="str">
        <f t="shared" si="6"/>
        <v>dch701_4_3_1_l</v>
      </c>
      <c r="AQ99" t="str">
        <f t="shared" si="7"/>
        <v>Met</v>
      </c>
      <c r="AR99" t="str">
        <f t="shared" si="8"/>
        <v>dnt701_4_3_1_l</v>
      </c>
      <c r="AS99" t="str">
        <f t="shared" si="9"/>
        <v/>
      </c>
    </row>
    <row r="100" spans="2:45" x14ac:dyDescent="0.35">
      <c r="B100" s="412" t="s">
        <v>834</v>
      </c>
      <c r="C100" s="412"/>
      <c r="D100" s="13" t="s">
        <v>3968</v>
      </c>
      <c r="E100" s="13"/>
      <c r="F100" s="13"/>
      <c r="G100" s="13"/>
      <c r="H100" s="453"/>
      <c r="I100" s="133"/>
      <c r="J100" s="228"/>
      <c r="K100" s="329" t="s">
        <v>3968</v>
      </c>
      <c r="L100" s="228" t="s">
        <v>848</v>
      </c>
      <c r="M100" s="890"/>
      <c r="N100" s="133"/>
      <c r="O100" s="309"/>
      <c r="P100" t="b">
        <v>1</v>
      </c>
      <c r="Q100" t="b">
        <v>1</v>
      </c>
      <c r="R100" t="b">
        <f t="shared" ca="1" si="0"/>
        <v>1</v>
      </c>
      <c r="S100" s="104" t="b">
        <f ca="1">AND(NOT(OR(S13=4,S13=5)),NOT(W85))</f>
        <v>1</v>
      </c>
      <c r="T100" t="b">
        <f t="shared" ca="1" si="1"/>
        <v>0</v>
      </c>
      <c r="U100" s="104" t="str">
        <f t="shared" si="2"/>
        <v>dd701_4_3_1_m</v>
      </c>
      <c r="V100" s="104"/>
      <c r="W100" s="9" t="s">
        <v>3038</v>
      </c>
      <c r="X100" s="36" t="s">
        <v>6109</v>
      </c>
      <c r="AC100" t="b">
        <f t="shared" ca="1" si="3"/>
        <v>0</v>
      </c>
      <c r="AD100" t="b">
        <f t="shared" ca="1" si="4"/>
        <v>0</v>
      </c>
      <c r="AE100" t="b">
        <f t="shared" ca="1" si="5"/>
        <v>0</v>
      </c>
      <c r="AP100" t="str">
        <f t="shared" si="6"/>
        <v>dch701_4_3_1_m</v>
      </c>
      <c r="AQ100" t="str">
        <f t="shared" si="7"/>
        <v>Met</v>
      </c>
      <c r="AR100" t="str">
        <f t="shared" si="8"/>
        <v>dnt701_4_3_1_m</v>
      </c>
      <c r="AS100" t="str">
        <f t="shared" si="9"/>
        <v>Hardie™ Weather Barrier</v>
      </c>
    </row>
    <row r="101" spans="2:45" ht="15" customHeight="1" x14ac:dyDescent="0.35">
      <c r="B101" s="412" t="s">
        <v>849</v>
      </c>
      <c r="C101" s="412"/>
      <c r="D101" s="13"/>
      <c r="E101" s="13"/>
      <c r="F101" s="13"/>
      <c r="G101" s="13"/>
      <c r="H101" s="453"/>
      <c r="I101" s="32" t="s">
        <v>849</v>
      </c>
      <c r="J101" s="90"/>
      <c r="K101" s="90"/>
      <c r="L101" s="883" t="s">
        <v>4248</v>
      </c>
      <c r="M101" s="912" t="str">
        <f ca="1">IF(OR(R105,R108),"Mandatory","N/A")</f>
        <v>Mandatory</v>
      </c>
      <c r="N101" s="4"/>
      <c r="O101" s="75"/>
      <c r="AL101" t="str">
        <f>SUBSTITUTE(SUBSTITUTE(SUBSTITUTE("dpa"&amp;$B101&amp;$C101&amp;$D101&amp;$E101,".","_"),"(","_"),")","")</f>
        <v>dpa701_4_3_2</v>
      </c>
      <c r="AM101" t="str">
        <f ca="1">M101</f>
        <v>Mandatory</v>
      </c>
    </row>
    <row r="102" spans="2:45" x14ac:dyDescent="0.35">
      <c r="B102" s="412" t="s">
        <v>849</v>
      </c>
      <c r="C102" s="412"/>
      <c r="D102" s="13"/>
      <c r="E102" s="13"/>
      <c r="F102" s="13"/>
      <c r="G102" s="13"/>
      <c r="H102" s="453"/>
      <c r="I102" s="4"/>
      <c r="J102" s="90"/>
      <c r="K102" s="90"/>
      <c r="L102" s="881"/>
      <c r="M102" s="885"/>
      <c r="N102" s="4"/>
      <c r="O102" s="75"/>
    </row>
    <row r="103" spans="2:45" x14ac:dyDescent="0.35">
      <c r="B103" s="412" t="s">
        <v>849</v>
      </c>
      <c r="C103" s="412"/>
      <c r="D103" s="13"/>
      <c r="E103" s="13"/>
      <c r="F103" s="13"/>
      <c r="G103" s="13"/>
      <c r="H103" s="453"/>
      <c r="I103" s="4"/>
      <c r="J103" s="90"/>
      <c r="K103" s="90"/>
      <c r="L103" s="881"/>
      <c r="M103" s="885"/>
      <c r="N103" s="4"/>
      <c r="O103" s="75"/>
    </row>
    <row r="104" spans="2:45" x14ac:dyDescent="0.35">
      <c r="B104" s="412" t="s">
        <v>849</v>
      </c>
      <c r="C104" s="412"/>
      <c r="D104" s="13"/>
      <c r="E104" s="13"/>
      <c r="F104" s="13"/>
      <c r="G104" s="13"/>
      <c r="H104" s="453"/>
      <c r="I104" s="4"/>
      <c r="J104" s="90"/>
      <c r="K104" s="90"/>
      <c r="L104" s="881"/>
      <c r="M104" s="885"/>
      <c r="N104" s="4"/>
      <c r="O104" s="75"/>
      <c r="W104" t="s">
        <v>3762</v>
      </c>
    </row>
    <row r="105" spans="2:45" x14ac:dyDescent="0.35">
      <c r="B105" s="412" t="s">
        <v>849</v>
      </c>
      <c r="C105" s="13" t="s">
        <v>4082</v>
      </c>
      <c r="D105" s="13"/>
      <c r="E105" s="13"/>
      <c r="F105" s="13"/>
      <c r="G105" s="13"/>
      <c r="H105" s="453"/>
      <c r="I105" s="4"/>
      <c r="J105" s="152" t="s">
        <v>256</v>
      </c>
      <c r="K105" s="90"/>
      <c r="L105" s="838" t="s">
        <v>850</v>
      </c>
      <c r="M105" s="40"/>
      <c r="N105" s="4"/>
      <c r="O105" s="75"/>
      <c r="P105" t="b">
        <v>1</v>
      </c>
      <c r="Q105" t="b">
        <v>1</v>
      </c>
      <c r="R105" t="b">
        <f ca="1">AND(S105,NOT(OR(AND(BF16=2,BG16="Dry"),BI16="Tropical")))</f>
        <v>1</v>
      </c>
      <c r="S105" t="b">
        <f ca="1">AND(NOT(OR(S13=4,S13=5)),NOT(W85),NOT(LEN(W108)&gt;0))</f>
        <v>1</v>
      </c>
      <c r="T105" t="b">
        <f ca="1">AND(OR(NOT(S105),AND(W211=TRUE,BF16&lt;=2,W105&gt;5),AND(W211=TRUE,BF16&gt;=3,W105&gt;3)),LEN(W105)&gt;0)</f>
        <v>0</v>
      </c>
      <c r="W105" s="241">
        <v>3</v>
      </c>
      <c r="X105" s="850"/>
      <c r="AC105" t="b">
        <f ca="1">OR(AD105:AE105)</f>
        <v>0</v>
      </c>
      <c r="AD105" t="b">
        <f ca="1">T105</f>
        <v>0</v>
      </c>
      <c r="AE105" t="b">
        <f ca="1">AND(R105,LEN(W105)=0)</f>
        <v>0</v>
      </c>
      <c r="AP105" t="str">
        <f>SUBSTITUTE(SUBSTITUTE(SUBSTITUTE("dch"&amp;$B105&amp;$C105&amp;$D105&amp;$E105,".","_"),"(","_"),")","")</f>
        <v>dch701_4_3_2_1_</v>
      </c>
      <c r="AQ105">
        <f>IF(LEN(W105)=0,"",W105)</f>
        <v>3</v>
      </c>
      <c r="AR105" t="str">
        <f>SUBSTITUTE(SUBSTITUTE(SUBSTITUTE("dnt"&amp;$B105&amp;$C105&amp;$D105&amp;$E105,".","_"),"(","_"),")","")</f>
        <v>dnt701_4_3_2_1_</v>
      </c>
      <c r="AS105" t="str">
        <f>IF(LEN(X105)=0,"",X105)</f>
        <v/>
      </c>
    </row>
    <row r="106" spans="2:45" x14ac:dyDescent="0.35">
      <c r="B106" s="412" t="s">
        <v>849</v>
      </c>
      <c r="C106" s="13" t="s">
        <v>256</v>
      </c>
      <c r="D106" s="13"/>
      <c r="E106" s="13"/>
      <c r="F106" s="13"/>
      <c r="G106" s="13"/>
      <c r="H106" s="453"/>
      <c r="I106" s="4"/>
      <c r="J106" s="90"/>
      <c r="K106" s="90"/>
      <c r="L106" s="838"/>
      <c r="M106" s="40"/>
      <c r="N106" s="4"/>
      <c r="O106" s="75"/>
      <c r="X106" s="851"/>
    </row>
    <row r="107" spans="2:45" x14ac:dyDescent="0.35">
      <c r="B107" s="412" t="s">
        <v>849</v>
      </c>
      <c r="C107" s="13" t="s">
        <v>256</v>
      </c>
      <c r="D107" s="13"/>
      <c r="E107" s="13"/>
      <c r="F107" s="13"/>
      <c r="G107" s="13"/>
      <c r="H107" s="453"/>
      <c r="I107" s="4"/>
      <c r="J107" s="90"/>
      <c r="K107" s="90"/>
      <c r="L107" s="838"/>
      <c r="M107" s="40"/>
      <c r="N107" s="4"/>
      <c r="O107" s="75"/>
      <c r="W107" t="s">
        <v>4589</v>
      </c>
      <c r="X107" s="816"/>
    </row>
    <row r="108" spans="2:45" x14ac:dyDescent="0.35">
      <c r="B108" s="412" t="s">
        <v>849</v>
      </c>
      <c r="C108" s="13" t="s">
        <v>2974</v>
      </c>
      <c r="D108" s="13"/>
      <c r="E108" s="13"/>
      <c r="F108" s="13"/>
      <c r="G108" s="13"/>
      <c r="H108" s="453"/>
      <c r="I108" s="4"/>
      <c r="J108" s="90"/>
      <c r="K108" s="90"/>
      <c r="L108" s="838"/>
      <c r="M108" s="40"/>
      <c r="N108" s="4"/>
      <c r="O108" s="75"/>
      <c r="P108" t="b">
        <v>1</v>
      </c>
      <c r="Q108" t="b">
        <v>1</v>
      </c>
      <c r="R108" t="b">
        <f ca="1">AND(S108,NOT(OR(AND(BF16=2,BG16="Dry"),BI16="Tropical")))</f>
        <v>0</v>
      </c>
      <c r="S108" t="b">
        <f ca="1">AND(NOT(OR(S13=4,S13=5)),NOT(W85),NOT(LEN(W105)&gt;0))</f>
        <v>0</v>
      </c>
      <c r="T108" t="b">
        <f ca="1">AND(OR(NOT(S108),AND(W211=TRUE,BF16&lt;=2,W108&gt;0.33),AND(W211=TRUE,BF16&gt;=3,W108&gt;0.23)),LEN(W108)&gt;0)</f>
        <v>0</v>
      </c>
      <c r="W108" s="241"/>
      <c r="X108" s="850"/>
      <c r="AC108" t="b">
        <f ca="1">OR(AD108:AE108)</f>
        <v>0</v>
      </c>
      <c r="AD108" t="b">
        <f ca="1">T108</f>
        <v>0</v>
      </c>
      <c r="AP108" t="str">
        <f>SUBSTITUTE(SUBSTITUTE(SUBSTITUTE("dch"&amp;$B108&amp;$C108&amp;$D108&amp;$E108,".","_"),"(","_"),")","")</f>
        <v>dch701_4_3_2e</v>
      </c>
      <c r="AQ108" t="str">
        <f>IF(LEN(W108)=0,"",W108)</f>
        <v/>
      </c>
      <c r="AR108" t="str">
        <f>SUBSTITUTE(SUBSTITUTE(SUBSTITUTE("dnt"&amp;$B108&amp;$C108&amp;$D108&amp;$E108,".","_"),"(","_"),")","")</f>
        <v>dnt701_4_3_2e</v>
      </c>
      <c r="AS108" t="str">
        <f>IF(LEN(X108)=0,"",X108)</f>
        <v/>
      </c>
    </row>
    <row r="109" spans="2:45" x14ac:dyDescent="0.35">
      <c r="B109" s="412" t="s">
        <v>849</v>
      </c>
      <c r="C109" s="13" t="s">
        <v>256</v>
      </c>
      <c r="D109" s="13"/>
      <c r="E109" s="13"/>
      <c r="F109" s="13"/>
      <c r="G109" s="13"/>
      <c r="H109" s="453"/>
      <c r="I109" s="4"/>
      <c r="J109" s="90"/>
      <c r="K109" s="90"/>
      <c r="L109" s="838"/>
      <c r="M109" s="40"/>
      <c r="N109" s="4"/>
      <c r="O109" s="75"/>
      <c r="X109" s="816"/>
    </row>
    <row r="110" spans="2:45" x14ac:dyDescent="0.35">
      <c r="B110" s="412" t="s">
        <v>849</v>
      </c>
      <c r="C110" s="13" t="s">
        <v>256</v>
      </c>
      <c r="D110" s="13" t="s">
        <v>121</v>
      </c>
      <c r="E110" s="13"/>
      <c r="F110" s="13"/>
      <c r="G110" s="13"/>
      <c r="H110" s="453"/>
      <c r="I110" s="4"/>
      <c r="J110" s="90"/>
      <c r="K110" s="152" t="s">
        <v>121</v>
      </c>
      <c r="L110" s="90" t="s">
        <v>851</v>
      </c>
      <c r="M110" s="40"/>
      <c r="N110" s="4"/>
      <c r="O110" s="75"/>
      <c r="X110" s="36"/>
      <c r="AR110" t="str">
        <f>SUBSTITUTE(SUBSTITUTE(SUBSTITUTE("dnt"&amp;$B110&amp;$C110&amp;$D110&amp;$E110,".","_"),"(","_"),")","")</f>
        <v>dnt701_4_3_2_1_a</v>
      </c>
      <c r="AS110" t="str">
        <f>IF(LEN(X110)=0,"",X110)</f>
        <v/>
      </c>
    </row>
    <row r="111" spans="2:45" x14ac:dyDescent="0.35">
      <c r="B111" s="412" t="s">
        <v>849</v>
      </c>
      <c r="C111" s="13" t="s">
        <v>256</v>
      </c>
      <c r="D111" s="13" t="s">
        <v>122</v>
      </c>
      <c r="E111" s="13"/>
      <c r="F111" s="13"/>
      <c r="G111" s="13"/>
      <c r="H111" s="453"/>
      <c r="I111" s="4"/>
      <c r="J111" s="90"/>
      <c r="K111" s="152" t="s">
        <v>122</v>
      </c>
      <c r="L111" s="814" t="s">
        <v>852</v>
      </c>
      <c r="M111" s="40"/>
      <c r="N111" s="4"/>
      <c r="O111" s="75"/>
      <c r="X111" s="817"/>
      <c r="AR111" t="str">
        <f>SUBSTITUTE(SUBSTITUTE(SUBSTITUTE("dnt"&amp;$B111&amp;$C111&amp;$D111&amp;$E111,".","_"),"(","_"),")","")</f>
        <v>dnt701_4_3_2_1_b</v>
      </c>
      <c r="AS111" t="str">
        <f>IF(LEN(X111)=0,"",X111)</f>
        <v/>
      </c>
    </row>
    <row r="112" spans="2:45" x14ac:dyDescent="0.35">
      <c r="B112" s="412" t="s">
        <v>849</v>
      </c>
      <c r="C112" s="13" t="s">
        <v>256</v>
      </c>
      <c r="D112" s="13" t="s">
        <v>122</v>
      </c>
      <c r="E112" s="13"/>
      <c r="F112" s="13"/>
      <c r="G112" s="13"/>
      <c r="H112" s="453"/>
      <c r="I112" s="4"/>
      <c r="J112" s="90"/>
      <c r="K112" s="152"/>
      <c r="L112" s="814"/>
      <c r="M112" s="40"/>
      <c r="N112" s="4"/>
      <c r="O112" s="75"/>
      <c r="X112" s="817"/>
    </row>
    <row r="113" spans="1:45" x14ac:dyDescent="0.35">
      <c r="B113" s="412" t="s">
        <v>849</v>
      </c>
      <c r="C113" s="13" t="s">
        <v>256</v>
      </c>
      <c r="D113" s="18" t="s">
        <v>123</v>
      </c>
      <c r="E113" s="18"/>
      <c r="F113" s="18"/>
      <c r="G113" s="18"/>
      <c r="H113" s="454"/>
      <c r="I113" s="4"/>
      <c r="J113" s="90"/>
      <c r="K113" s="153" t="s">
        <v>123</v>
      </c>
      <c r="L113" s="90" t="s">
        <v>853</v>
      </c>
      <c r="M113" s="40"/>
      <c r="N113" s="4"/>
      <c r="O113" s="75"/>
      <c r="X113" s="36"/>
      <c r="AR113" t="str">
        <f>SUBSTITUTE(SUBSTITUTE(SUBSTITUTE("dnt"&amp;$B113&amp;$C113&amp;$D113&amp;$E113,".","_"),"(","_"),")","")</f>
        <v>dnt701_4_3_2_1_c</v>
      </c>
      <c r="AS113" t="str">
        <f>IF(LEN(X113)=0,"",X113)</f>
        <v/>
      </c>
    </row>
    <row r="114" spans="1:45" x14ac:dyDescent="0.35">
      <c r="B114" s="412" t="s">
        <v>849</v>
      </c>
      <c r="C114" s="13" t="s">
        <v>256</v>
      </c>
      <c r="D114" s="13" t="s">
        <v>401</v>
      </c>
      <c r="E114" s="13"/>
      <c r="F114" s="13"/>
      <c r="G114" s="13"/>
      <c r="H114" s="453"/>
      <c r="I114" s="4"/>
      <c r="J114" s="90"/>
      <c r="K114" s="95" t="s">
        <v>401</v>
      </c>
      <c r="L114" s="814" t="s">
        <v>854</v>
      </c>
      <c r="M114" s="40"/>
      <c r="N114" s="4"/>
      <c r="O114" s="75"/>
      <c r="X114" s="817"/>
      <c r="AR114" t="str">
        <f>SUBSTITUTE(SUBSTITUTE(SUBSTITUTE("dnt"&amp;$B114&amp;$C114&amp;$D114&amp;$E114,".","_"),"(","_"),")","")</f>
        <v>dnt701_4_3_2_1_d</v>
      </c>
      <c r="AS114" t="str">
        <f>IF(LEN(X114)=0,"",X114)</f>
        <v/>
      </c>
    </row>
    <row r="115" spans="1:45" x14ac:dyDescent="0.35">
      <c r="B115" s="412" t="s">
        <v>849</v>
      </c>
      <c r="C115" s="13" t="s">
        <v>256</v>
      </c>
      <c r="D115" s="13" t="s">
        <v>401</v>
      </c>
      <c r="E115" s="13"/>
      <c r="F115" s="13"/>
      <c r="G115" s="13"/>
      <c r="H115" s="453"/>
      <c r="I115" s="4"/>
      <c r="J115" s="90"/>
      <c r="K115" s="95"/>
      <c r="L115" s="814"/>
      <c r="M115" s="40"/>
      <c r="N115" s="4"/>
      <c r="O115" s="75"/>
      <c r="X115" s="817"/>
    </row>
    <row r="116" spans="1:45" x14ac:dyDescent="0.35">
      <c r="B116" s="412" t="s">
        <v>849</v>
      </c>
      <c r="C116" s="13" t="s">
        <v>256</v>
      </c>
      <c r="D116" s="13" t="s">
        <v>539</v>
      </c>
      <c r="E116" s="13"/>
      <c r="F116" s="13"/>
      <c r="G116" s="13"/>
      <c r="H116" s="453"/>
      <c r="I116" s="4"/>
      <c r="J116" s="90"/>
      <c r="K116" s="95" t="s">
        <v>539</v>
      </c>
      <c r="L116" s="90" t="s">
        <v>855</v>
      </c>
      <c r="M116" s="40"/>
      <c r="N116" s="4"/>
      <c r="O116" s="75"/>
      <c r="X116" s="36"/>
      <c r="AR116" t="str">
        <f>SUBSTITUTE(SUBSTITUTE(SUBSTITUTE("dnt"&amp;$B116&amp;$C116&amp;$D116&amp;$E116,".","_"),"(","_"),")","")</f>
        <v>dnt701_4_3_2_1_e</v>
      </c>
      <c r="AS116" t="str">
        <f>IF(LEN(X116)=0,"",X116)</f>
        <v/>
      </c>
    </row>
    <row r="117" spans="1:45" x14ac:dyDescent="0.35">
      <c r="B117" s="412" t="s">
        <v>849</v>
      </c>
      <c r="C117" s="13" t="s">
        <v>256</v>
      </c>
      <c r="D117" s="18" t="s">
        <v>604</v>
      </c>
      <c r="E117" s="18"/>
      <c r="F117" s="18"/>
      <c r="G117" s="18"/>
      <c r="H117" s="454"/>
      <c r="I117" s="4"/>
      <c r="J117" s="90"/>
      <c r="K117" s="153" t="s">
        <v>604</v>
      </c>
      <c r="L117" s="90" t="s">
        <v>856</v>
      </c>
      <c r="M117" s="40"/>
      <c r="N117" s="4"/>
      <c r="O117" s="75"/>
      <c r="X117" s="36"/>
      <c r="AR117" t="str">
        <f>SUBSTITUTE(SUBSTITUTE(SUBSTITUTE("dnt"&amp;$B117&amp;$C117&amp;$D117&amp;$E117,".","_"),"(","_"),")","")</f>
        <v>dnt701_4_3_2_1_f</v>
      </c>
      <c r="AS117" t="str">
        <f>IF(LEN(X117)=0,"",X117)</f>
        <v/>
      </c>
    </row>
    <row r="118" spans="1:45" ht="15" customHeight="1" x14ac:dyDescent="0.35">
      <c r="B118" s="412" t="s">
        <v>849</v>
      </c>
      <c r="C118" s="13" t="s">
        <v>256</v>
      </c>
      <c r="D118" s="13" t="s">
        <v>606</v>
      </c>
      <c r="E118" s="13"/>
      <c r="F118" s="13"/>
      <c r="G118" s="13"/>
      <c r="H118" s="453"/>
      <c r="I118" s="4"/>
      <c r="J118" s="90"/>
      <c r="K118" s="95" t="s">
        <v>606</v>
      </c>
      <c r="L118" s="90" t="s">
        <v>857</v>
      </c>
      <c r="M118" s="40"/>
      <c r="N118" s="4"/>
      <c r="O118" s="75"/>
      <c r="X118" s="36"/>
      <c r="AR118" t="str">
        <f>SUBSTITUTE(SUBSTITUTE(SUBSTITUTE("dnt"&amp;$B118&amp;$C118&amp;$D118&amp;$E118,".","_"),"(","_"),")","")</f>
        <v>dnt701_4_3_2_1_g</v>
      </c>
      <c r="AS118" t="str">
        <f>IF(LEN(X118)=0,"",X118)</f>
        <v/>
      </c>
    </row>
    <row r="119" spans="1:45" x14ac:dyDescent="0.35">
      <c r="B119" s="412" t="s">
        <v>849</v>
      </c>
      <c r="C119" s="13" t="s">
        <v>256</v>
      </c>
      <c r="D119" s="13" t="s">
        <v>608</v>
      </c>
      <c r="E119" s="13"/>
      <c r="F119" s="13"/>
      <c r="G119" s="13"/>
      <c r="H119" s="453"/>
      <c r="I119" s="4"/>
      <c r="J119" s="90"/>
      <c r="K119" s="341"/>
      <c r="L119" s="855" t="s">
        <v>4249</v>
      </c>
      <c r="M119" s="40"/>
      <c r="N119" s="4"/>
      <c r="O119" s="75"/>
      <c r="X119" s="817"/>
      <c r="AR119" t="str">
        <f>SUBSTITUTE(SUBSTITUTE(SUBSTITUTE("dnt"&amp;$B119&amp;$C119&amp;$D119&amp;$E119,".","_"),"(","_"),")","")</f>
        <v>dnt701_4_3_2_1_h</v>
      </c>
      <c r="AS119" t="str">
        <f>IF(LEN(X119)=0,"",X119)</f>
        <v/>
      </c>
    </row>
    <row r="120" spans="1:45" x14ac:dyDescent="0.35">
      <c r="B120" s="412" t="s">
        <v>849</v>
      </c>
      <c r="C120" s="13" t="s">
        <v>256</v>
      </c>
      <c r="D120" s="13"/>
      <c r="E120" s="13"/>
      <c r="F120" s="13"/>
      <c r="G120" s="13"/>
      <c r="H120" s="453"/>
      <c r="I120" s="4"/>
      <c r="J120" s="228"/>
      <c r="K120" s="342"/>
      <c r="L120" s="903"/>
      <c r="M120" s="40"/>
      <c r="N120" s="4"/>
      <c r="O120" s="75"/>
      <c r="X120" s="817"/>
    </row>
    <row r="121" spans="1:45" x14ac:dyDescent="0.35">
      <c r="B121" s="412" t="s">
        <v>849</v>
      </c>
      <c r="C121" s="13" t="s">
        <v>258</v>
      </c>
      <c r="D121" s="13"/>
      <c r="E121" s="13"/>
      <c r="F121" s="13"/>
      <c r="G121" s="13"/>
      <c r="H121" s="453"/>
      <c r="I121" s="4"/>
      <c r="J121" s="152" t="s">
        <v>258</v>
      </c>
      <c r="K121" s="90"/>
      <c r="L121" s="838" t="s">
        <v>858</v>
      </c>
      <c r="M121" s="40"/>
      <c r="N121" s="4"/>
      <c r="O121" s="75"/>
      <c r="P121" t="b">
        <v>1</v>
      </c>
      <c r="Q121" t="b">
        <v>0</v>
      </c>
      <c r="R121" t="b">
        <f ca="1">S121</f>
        <v>1</v>
      </c>
      <c r="S121" t="b">
        <f ca="1">AND(NOT(OR(S13=4,S13=5)),NOT(W85))</f>
        <v>1</v>
      </c>
      <c r="T121" t="b">
        <f ca="1">AND(NOT(S121),W121=TRUE)</f>
        <v>0</v>
      </c>
      <c r="W121" s="17" t="b">
        <v>1</v>
      </c>
      <c r="X121" s="817"/>
      <c r="AC121" t="b">
        <f ca="1">OR(AD121:AE121)</f>
        <v>0</v>
      </c>
      <c r="AD121" t="b">
        <f ca="1">T121</f>
        <v>0</v>
      </c>
      <c r="AE121" t="b">
        <f ca="1">AND(R121,NOT(W121))</f>
        <v>0</v>
      </c>
      <c r="AP121" t="str">
        <f>SUBSTITUTE(SUBSTITUTE(SUBSTITUTE("dch"&amp;$B121&amp;$C121&amp;$D121&amp;$E121,".","_"),"(","_"),")","")</f>
        <v>dch701_4_3_2_2</v>
      </c>
      <c r="AQ121" t="b">
        <f>IF(LEN(W121)=0,"",W121)</f>
        <v>1</v>
      </c>
      <c r="AR121" t="str">
        <f>SUBSTITUTE(SUBSTITUTE(SUBSTITUTE("dnt"&amp;$B121&amp;$C121&amp;$D121&amp;$E121,".","_"),"(","_"),")","")</f>
        <v>dnt701_4_3_2_2</v>
      </c>
      <c r="AS121" t="str">
        <f>IF(LEN(X121)=0,"",X121)</f>
        <v/>
      </c>
    </row>
    <row r="122" spans="1:45" x14ac:dyDescent="0.35">
      <c r="B122" s="412" t="s">
        <v>849</v>
      </c>
      <c r="C122" s="13" t="s">
        <v>258</v>
      </c>
      <c r="D122" s="13"/>
      <c r="E122" s="13"/>
      <c r="F122" s="13"/>
      <c r="G122" s="13"/>
      <c r="H122" s="453"/>
      <c r="I122" s="4"/>
      <c r="J122" s="90"/>
      <c r="K122" s="90"/>
      <c r="L122" s="838"/>
      <c r="M122" s="40"/>
      <c r="N122" s="4"/>
      <c r="O122" s="75"/>
      <c r="X122" s="817"/>
    </row>
    <row r="123" spans="1:45" x14ac:dyDescent="0.35">
      <c r="B123" s="412" t="s">
        <v>849</v>
      </c>
      <c r="C123" s="13" t="s">
        <v>258</v>
      </c>
      <c r="D123" s="13"/>
      <c r="E123" s="13"/>
      <c r="F123" s="13"/>
      <c r="G123" s="13"/>
      <c r="H123" s="453"/>
      <c r="I123" s="133"/>
      <c r="J123" s="228"/>
      <c r="K123" s="228"/>
      <c r="L123" s="323" t="s">
        <v>3414</v>
      </c>
      <c r="M123" s="268"/>
      <c r="N123" s="133"/>
      <c r="O123" s="309"/>
      <c r="P123" s="104"/>
      <c r="Q123" s="104"/>
      <c r="R123" s="104"/>
      <c r="S123" s="104"/>
      <c r="T123" s="104"/>
      <c r="U123" s="104"/>
      <c r="V123" s="104"/>
      <c r="W123" s="104"/>
      <c r="X123" s="817"/>
    </row>
    <row r="124" spans="1:45" x14ac:dyDescent="0.35">
      <c r="B124" s="412" t="s">
        <v>859</v>
      </c>
      <c r="C124" s="412"/>
      <c r="D124" s="13"/>
      <c r="E124" s="13"/>
      <c r="F124" s="13"/>
      <c r="G124" s="13"/>
      <c r="H124" s="453"/>
      <c r="I124" s="32" t="s">
        <v>859</v>
      </c>
      <c r="J124" s="90"/>
      <c r="K124" s="286"/>
      <c r="L124" s="883" t="s">
        <v>4250</v>
      </c>
      <c r="M124" s="912" t="str">
        <f ca="1">IF(R124,"Mandatory","N/A")</f>
        <v>Mandatory</v>
      </c>
      <c r="N124" s="4"/>
      <c r="O124" s="75"/>
      <c r="P124" t="b">
        <v>1</v>
      </c>
      <c r="Q124" t="b">
        <v>0</v>
      </c>
      <c r="R124" t="b">
        <f ca="1">S124</f>
        <v>1</v>
      </c>
      <c r="S124" t="b">
        <f ca="1">AND(NOT(OR(S13=4,S13=5)),NOT(W85))</f>
        <v>1</v>
      </c>
      <c r="T124" t="b">
        <f ca="1">AND(NOT(S124),W124=TRUE)</f>
        <v>0</v>
      </c>
      <c r="W124" s="69" t="b">
        <v>1</v>
      </c>
      <c r="AC124" t="b">
        <f ca="1">OR(AD124:AE124)</f>
        <v>0</v>
      </c>
      <c r="AD124" t="b">
        <f ca="1">T124</f>
        <v>0</v>
      </c>
      <c r="AE124" t="b">
        <f ca="1">AND(R124,NOT(W124))</f>
        <v>0</v>
      </c>
      <c r="AL124" t="str">
        <f>SUBSTITUTE(SUBSTITUTE(SUBSTITUTE("dpa"&amp;$B124&amp;$C124&amp;$D124&amp;$E124,".","_"),"(","_"),")","")</f>
        <v>dpa701_4_3_2_1</v>
      </c>
      <c r="AM124" t="str">
        <f ca="1">M124</f>
        <v>Mandatory</v>
      </c>
      <c r="AP124" t="str">
        <f>SUBSTITUTE(SUBSTITUTE(SUBSTITUTE("dch"&amp;$B124&amp;$C124&amp;$D124&amp;$E124,".","_"),"(","_"),")","")</f>
        <v>dch701_4_3_2_1</v>
      </c>
      <c r="AQ124" t="b">
        <f>IF(LEN(W124)=0,"",W124)</f>
        <v>1</v>
      </c>
    </row>
    <row r="125" spans="1:45" x14ac:dyDescent="0.35">
      <c r="A125"/>
      <c r="B125" s="412" t="s">
        <v>859</v>
      </c>
      <c r="C125"/>
      <c r="D125"/>
      <c r="E125"/>
      <c r="F125"/>
      <c r="G125"/>
      <c r="H125"/>
      <c r="L125" s="881"/>
      <c r="M125" s="885"/>
      <c r="O125"/>
    </row>
    <row r="126" spans="1:45" x14ac:dyDescent="0.35">
      <c r="A126"/>
      <c r="B126" s="412" t="s">
        <v>859</v>
      </c>
      <c r="C126"/>
      <c r="D126"/>
      <c r="E126"/>
      <c r="F126"/>
      <c r="G126"/>
      <c r="H126"/>
      <c r="L126" s="881"/>
      <c r="M126" s="885"/>
      <c r="O126"/>
    </row>
    <row r="127" spans="1:45" x14ac:dyDescent="0.35">
      <c r="A127"/>
      <c r="B127" s="412" t="s">
        <v>859</v>
      </c>
      <c r="C127"/>
      <c r="D127"/>
      <c r="E127"/>
      <c r="F127"/>
      <c r="G127"/>
      <c r="H127"/>
      <c r="J127" s="104"/>
      <c r="K127" s="104"/>
      <c r="L127" s="882"/>
      <c r="M127" s="885"/>
      <c r="O127"/>
    </row>
    <row r="128" spans="1:45" x14ac:dyDescent="0.35">
      <c r="B128" s="412" t="s">
        <v>859</v>
      </c>
      <c r="C128" s="467" t="s">
        <v>256</v>
      </c>
      <c r="D128" s="467"/>
      <c r="E128" s="13"/>
      <c r="F128" s="13"/>
      <c r="G128" s="13"/>
      <c r="H128" s="453"/>
      <c r="I128" s="4"/>
      <c r="J128" s="482" t="s">
        <v>256</v>
      </c>
      <c r="K128" s="228"/>
      <c r="L128" s="228" t="s">
        <v>860</v>
      </c>
      <c r="M128" s="40"/>
      <c r="N128" s="4"/>
      <c r="O128" s="75"/>
      <c r="X128" s="36"/>
      <c r="AR128" t="str">
        <f>SUBSTITUTE(SUBSTITUTE(SUBSTITUTE("dnt"&amp;$B128&amp;$C128&amp;$D128&amp;$E128,".","_"),"(","_"),")","")</f>
        <v>dnt701_4_3_2_1_1</v>
      </c>
      <c r="AS128" t="str">
        <f>IF(LEN(X128)=0,"",X128)</f>
        <v/>
      </c>
    </row>
    <row r="129" spans="2:45" ht="15" customHeight="1" x14ac:dyDescent="0.35">
      <c r="B129" s="412" t="s">
        <v>859</v>
      </c>
      <c r="C129" s="467" t="s">
        <v>258</v>
      </c>
      <c r="D129" s="467"/>
      <c r="E129" s="13"/>
      <c r="F129" s="13"/>
      <c r="G129" s="13"/>
      <c r="H129" s="453"/>
      <c r="I129" s="4"/>
      <c r="J129" s="481" t="s">
        <v>258</v>
      </c>
      <c r="K129" s="90"/>
      <c r="L129" s="814" t="s">
        <v>861</v>
      </c>
      <c r="M129" s="40"/>
      <c r="N129" s="4"/>
      <c r="O129" s="75"/>
      <c r="X129" s="817"/>
      <c r="AR129" t="str">
        <f>SUBSTITUTE(SUBSTITUTE(SUBSTITUTE("dnt"&amp;$B129&amp;$C129&amp;$D129&amp;$E129,".","_"),"(","_"),")","")</f>
        <v>dnt701_4_3_2_1_2</v>
      </c>
      <c r="AS129" t="str">
        <f>IF(LEN(X129)=0,"",X129)</f>
        <v/>
      </c>
    </row>
    <row r="130" spans="2:45" x14ac:dyDescent="0.35">
      <c r="B130" s="412" t="s">
        <v>859</v>
      </c>
      <c r="C130" s="467" t="s">
        <v>258</v>
      </c>
      <c r="D130" s="467"/>
      <c r="E130" s="13"/>
      <c r="F130" s="13"/>
      <c r="G130" s="13"/>
      <c r="H130" s="453"/>
      <c r="I130" s="4"/>
      <c r="J130" s="481"/>
      <c r="K130" s="90"/>
      <c r="L130" s="814"/>
      <c r="M130" s="40"/>
      <c r="N130" s="4"/>
      <c r="O130" s="75"/>
      <c r="X130" s="817"/>
    </row>
    <row r="131" spans="2:45" x14ac:dyDescent="0.35">
      <c r="B131" s="412" t="s">
        <v>859</v>
      </c>
      <c r="C131" s="467" t="s">
        <v>258</v>
      </c>
      <c r="D131" s="467"/>
      <c r="E131" s="13"/>
      <c r="F131" s="13"/>
      <c r="G131" s="13"/>
      <c r="H131" s="453"/>
      <c r="I131" s="4"/>
      <c r="J131" s="481"/>
      <c r="K131" s="90"/>
      <c r="L131" s="814"/>
      <c r="M131" s="40"/>
      <c r="N131" s="4"/>
      <c r="O131" s="75"/>
      <c r="X131" s="817"/>
    </row>
    <row r="132" spans="2:45" x14ac:dyDescent="0.35">
      <c r="B132" s="412" t="s">
        <v>859</v>
      </c>
      <c r="C132" s="467" t="s">
        <v>258</v>
      </c>
      <c r="D132" s="467"/>
      <c r="E132" s="13"/>
      <c r="F132" s="13"/>
      <c r="G132" s="13"/>
      <c r="H132" s="453"/>
      <c r="I132" s="4"/>
      <c r="J132" s="482"/>
      <c r="K132" s="228"/>
      <c r="L132" s="815"/>
      <c r="M132" s="40"/>
      <c r="N132" s="4"/>
      <c r="O132" s="75"/>
      <c r="X132" s="817"/>
    </row>
    <row r="133" spans="2:45" ht="15" customHeight="1" x14ac:dyDescent="0.35">
      <c r="B133" s="412" t="s">
        <v>859</v>
      </c>
      <c r="C133" s="467" t="s">
        <v>260</v>
      </c>
      <c r="D133" s="467"/>
      <c r="E133" s="13"/>
      <c r="F133" s="13"/>
      <c r="G133" s="13"/>
      <c r="H133" s="453"/>
      <c r="I133" s="4"/>
      <c r="J133" s="481" t="s">
        <v>260</v>
      </c>
      <c r="K133" s="90"/>
      <c r="L133" s="814" t="s">
        <v>862</v>
      </c>
      <c r="M133" s="40"/>
      <c r="N133" s="4"/>
      <c r="O133" s="75"/>
      <c r="X133" s="817"/>
      <c r="AR133" t="str">
        <f>SUBSTITUTE(SUBSTITUTE(SUBSTITUTE("dnt"&amp;$B133&amp;$C133&amp;$D133&amp;$E133,".","_"),"(","_"),")","")</f>
        <v>dnt701_4_3_2_1_3</v>
      </c>
      <c r="AS133" t="str">
        <f>IF(LEN(X133)=0,"",X133)</f>
        <v/>
      </c>
    </row>
    <row r="134" spans="2:45" x14ac:dyDescent="0.35">
      <c r="B134" s="412" t="s">
        <v>859</v>
      </c>
      <c r="C134" s="467" t="s">
        <v>260</v>
      </c>
      <c r="D134" s="467"/>
      <c r="E134" s="13"/>
      <c r="F134" s="13"/>
      <c r="G134" s="13"/>
      <c r="H134" s="453"/>
      <c r="I134" s="4"/>
      <c r="J134" s="482"/>
      <c r="K134" s="228"/>
      <c r="L134" s="815"/>
      <c r="M134" s="40"/>
      <c r="N134" s="4"/>
      <c r="O134" s="75"/>
      <c r="X134" s="817"/>
    </row>
    <row r="135" spans="2:45" ht="15" customHeight="1" x14ac:dyDescent="0.35">
      <c r="B135" s="412" t="s">
        <v>859</v>
      </c>
      <c r="C135" s="467" t="s">
        <v>269</v>
      </c>
      <c r="D135" s="467"/>
      <c r="E135" s="13"/>
      <c r="F135" s="13"/>
      <c r="G135" s="13"/>
      <c r="H135" s="453"/>
      <c r="I135" s="4"/>
      <c r="J135" s="481" t="s">
        <v>269</v>
      </c>
      <c r="K135" s="286"/>
      <c r="L135" s="836" t="s">
        <v>863</v>
      </c>
      <c r="M135" s="40"/>
      <c r="N135" s="4"/>
      <c r="O135" s="75"/>
      <c r="X135" s="817"/>
      <c r="AR135" t="str">
        <f>SUBSTITUTE(SUBSTITUTE(SUBSTITUTE("dnt"&amp;$B135&amp;$C135&amp;$D135&amp;$E135,".","_"),"(","_"),")","")</f>
        <v>dnt701_4_3_2_1_4</v>
      </c>
      <c r="AS135" t="str">
        <f>IF(LEN(X135)=0,"",X135)</f>
        <v/>
      </c>
    </row>
    <row r="136" spans="2:45" x14ac:dyDescent="0.35">
      <c r="B136" s="412" t="s">
        <v>859</v>
      </c>
      <c r="C136" s="467" t="s">
        <v>269</v>
      </c>
      <c r="D136" s="467"/>
      <c r="E136" s="13"/>
      <c r="F136" s="13"/>
      <c r="G136" s="13"/>
      <c r="H136" s="453"/>
      <c r="I136" s="4"/>
      <c r="J136" s="481"/>
      <c r="K136" s="90"/>
      <c r="L136" s="814"/>
      <c r="M136" s="40"/>
      <c r="N136" s="4"/>
      <c r="O136" s="75"/>
      <c r="X136" s="817"/>
    </row>
    <row r="137" spans="2:45" x14ac:dyDescent="0.35">
      <c r="B137" s="412" t="s">
        <v>859</v>
      </c>
      <c r="C137" s="467" t="s">
        <v>269</v>
      </c>
      <c r="D137" s="467"/>
      <c r="E137" s="13"/>
      <c r="F137" s="13"/>
      <c r="G137" s="13"/>
      <c r="H137" s="453"/>
      <c r="I137" s="4"/>
      <c r="J137" s="482"/>
      <c r="K137" s="228"/>
      <c r="L137" s="815"/>
      <c r="M137" s="40"/>
      <c r="N137" s="4"/>
      <c r="O137" s="75"/>
      <c r="X137" s="817"/>
    </row>
    <row r="138" spans="2:45" ht="15" customHeight="1" x14ac:dyDescent="0.35">
      <c r="B138" s="412" t="s">
        <v>859</v>
      </c>
      <c r="C138" s="467" t="s">
        <v>275</v>
      </c>
      <c r="D138" s="467"/>
      <c r="E138" s="13"/>
      <c r="F138" s="13"/>
      <c r="G138" s="13"/>
      <c r="H138" s="453"/>
      <c r="I138" s="4"/>
      <c r="J138" s="481" t="s">
        <v>275</v>
      </c>
      <c r="K138" s="286"/>
      <c r="L138" s="836" t="s">
        <v>864</v>
      </c>
      <c r="M138" s="40"/>
      <c r="N138" s="4"/>
      <c r="O138" s="75"/>
      <c r="X138" s="817"/>
      <c r="AR138" t="str">
        <f>SUBSTITUTE(SUBSTITUTE(SUBSTITUTE("dnt"&amp;$B138&amp;$C138&amp;$D138&amp;$E138,".","_"),"(","_"),")","")</f>
        <v>dnt701_4_3_2_1_5</v>
      </c>
      <c r="AS138" t="str">
        <f>IF(LEN(X138)=0,"",X138)</f>
        <v/>
      </c>
    </row>
    <row r="139" spans="2:45" ht="15" customHeight="1" x14ac:dyDescent="0.35">
      <c r="B139" s="412" t="s">
        <v>859</v>
      </c>
      <c r="C139" s="467" t="s">
        <v>275</v>
      </c>
      <c r="D139" s="467"/>
      <c r="E139" s="13"/>
      <c r="F139" s="13"/>
      <c r="G139" s="13"/>
      <c r="H139" s="453"/>
      <c r="I139" s="4"/>
      <c r="J139" s="482"/>
      <c r="K139" s="228"/>
      <c r="L139" s="815"/>
      <c r="M139" s="40"/>
      <c r="N139" s="4"/>
      <c r="O139" s="75"/>
      <c r="X139" s="817"/>
    </row>
    <row r="140" spans="2:45" ht="15" customHeight="1" x14ac:dyDescent="0.35">
      <c r="B140" s="412" t="s">
        <v>859</v>
      </c>
      <c r="C140" s="467" t="s">
        <v>277</v>
      </c>
      <c r="D140" s="467"/>
      <c r="E140" s="13"/>
      <c r="F140" s="13"/>
      <c r="G140" s="13"/>
      <c r="H140" s="453"/>
      <c r="I140" s="4"/>
      <c r="J140" s="482" t="s">
        <v>277</v>
      </c>
      <c r="K140" s="178"/>
      <c r="L140" s="178" t="s">
        <v>865</v>
      </c>
      <c r="M140" s="40"/>
      <c r="N140" s="4"/>
      <c r="O140" s="75"/>
      <c r="X140" s="36"/>
      <c r="AR140" t="str">
        <f>SUBSTITUTE(SUBSTITUTE(SUBSTITUTE("dnt"&amp;$B140&amp;$C140&amp;$D140&amp;$E140,".","_"),"(","_"),")","")</f>
        <v>dnt701_4_3_2_1_6</v>
      </c>
      <c r="AS140" t="str">
        <f>IF(LEN(X140)=0,"",X140)</f>
        <v/>
      </c>
    </row>
    <row r="141" spans="2:45" ht="15" customHeight="1" x14ac:dyDescent="0.35">
      <c r="B141" s="412" t="s">
        <v>859</v>
      </c>
      <c r="C141" s="467" t="s">
        <v>383</v>
      </c>
      <c r="D141" s="467"/>
      <c r="E141" s="13"/>
      <c r="F141" s="13"/>
      <c r="G141" s="13"/>
      <c r="H141" s="453"/>
      <c r="I141" s="4"/>
      <c r="J141" s="482" t="s">
        <v>383</v>
      </c>
      <c r="K141" s="178"/>
      <c r="L141" s="178" t="s">
        <v>866</v>
      </c>
      <c r="M141" s="40"/>
      <c r="N141" s="4"/>
      <c r="O141" s="75"/>
      <c r="X141" s="36"/>
      <c r="AR141" t="str">
        <f>SUBSTITUTE(SUBSTITUTE(SUBSTITUTE("dnt"&amp;$B141&amp;$C141&amp;$D141&amp;$E141,".","_"),"(","_"),")","")</f>
        <v>dnt701_4_3_2_1_7</v>
      </c>
      <c r="AS141" t="str">
        <f>IF(LEN(X141)=0,"",X141)</f>
        <v/>
      </c>
    </row>
    <row r="142" spans="2:45" ht="15" customHeight="1" x14ac:dyDescent="0.35">
      <c r="B142" s="412" t="s">
        <v>859</v>
      </c>
      <c r="C142" s="467" t="s">
        <v>428</v>
      </c>
      <c r="D142" s="467"/>
      <c r="E142" s="13"/>
      <c r="F142" s="13"/>
      <c r="G142" s="13"/>
      <c r="H142" s="453"/>
      <c r="I142" s="4"/>
      <c r="J142" s="481" t="s">
        <v>428</v>
      </c>
      <c r="K142" s="286"/>
      <c r="L142" s="836" t="s">
        <v>867</v>
      </c>
      <c r="M142" s="40"/>
      <c r="N142" s="4"/>
      <c r="O142" s="75"/>
      <c r="X142" s="817"/>
      <c r="AR142" t="str">
        <f>SUBSTITUTE(SUBSTITUTE(SUBSTITUTE("dnt"&amp;$B142&amp;$C142&amp;$D142&amp;$E142,".","_"),"(","_"),")","")</f>
        <v>dnt701_4_3_2_1_8</v>
      </c>
      <c r="AS142" t="str">
        <f>IF(LEN(X142)=0,"",X142)</f>
        <v/>
      </c>
    </row>
    <row r="143" spans="2:45" x14ac:dyDescent="0.35">
      <c r="B143" s="412" t="s">
        <v>859</v>
      </c>
      <c r="C143" s="467" t="s">
        <v>428</v>
      </c>
      <c r="D143" s="467"/>
      <c r="E143" s="13"/>
      <c r="F143" s="13"/>
      <c r="G143" s="13"/>
      <c r="H143" s="453"/>
      <c r="I143" s="4"/>
      <c r="J143" s="481"/>
      <c r="K143" s="90"/>
      <c r="L143" s="814"/>
      <c r="M143" s="40"/>
      <c r="N143" s="4"/>
      <c r="O143" s="75"/>
      <c r="X143" s="817"/>
    </row>
    <row r="144" spans="2:45" ht="15" customHeight="1" x14ac:dyDescent="0.35">
      <c r="B144" s="412" t="s">
        <v>859</v>
      </c>
      <c r="C144" s="467" t="s">
        <v>428</v>
      </c>
      <c r="D144" s="467"/>
      <c r="E144" s="13"/>
      <c r="F144" s="13"/>
      <c r="G144" s="13"/>
      <c r="H144" s="453"/>
      <c r="I144" s="4"/>
      <c r="J144" s="482"/>
      <c r="K144" s="228"/>
      <c r="L144" s="815"/>
      <c r="M144" s="40"/>
      <c r="N144" s="4"/>
      <c r="O144" s="75"/>
      <c r="X144" s="817"/>
    </row>
    <row r="145" spans="2:45" ht="15" customHeight="1" x14ac:dyDescent="0.35">
      <c r="B145" s="412" t="s">
        <v>859</v>
      </c>
      <c r="C145" s="467" t="s">
        <v>430</v>
      </c>
      <c r="D145" s="467"/>
      <c r="E145" s="13"/>
      <c r="F145" s="13"/>
      <c r="G145" s="13"/>
      <c r="H145" s="453"/>
      <c r="I145" s="4"/>
      <c r="J145" s="481" t="s">
        <v>430</v>
      </c>
      <c r="K145" s="90"/>
      <c r="L145" s="825" t="s">
        <v>4251</v>
      </c>
      <c r="M145" s="40"/>
      <c r="N145" s="4"/>
      <c r="O145" s="75"/>
      <c r="X145" s="817"/>
      <c r="AR145" t="str">
        <f>SUBSTITUTE(SUBSTITUTE(SUBSTITUTE("dnt"&amp;$B145&amp;$C145&amp;$D145&amp;$E145,".","_"),"(","_"),")","")</f>
        <v>dnt701_4_3_2_1_9</v>
      </c>
      <c r="AS145" t="str">
        <f>IF(LEN(X145)=0,"",X145)</f>
        <v/>
      </c>
    </row>
    <row r="146" spans="2:45" x14ac:dyDescent="0.35">
      <c r="B146" s="412" t="s">
        <v>859</v>
      </c>
      <c r="C146" s="467" t="s">
        <v>430</v>
      </c>
      <c r="D146" s="467"/>
      <c r="E146" s="13"/>
      <c r="F146" s="13"/>
      <c r="G146" s="13"/>
      <c r="H146" s="453"/>
      <c r="I146" s="4"/>
      <c r="J146" s="152"/>
      <c r="K146" s="90"/>
      <c r="L146" s="825"/>
      <c r="M146" s="40"/>
      <c r="N146" s="4"/>
      <c r="O146" s="75"/>
      <c r="X146" s="817"/>
    </row>
    <row r="147" spans="2:45" x14ac:dyDescent="0.35">
      <c r="B147" s="412" t="s">
        <v>868</v>
      </c>
      <c r="C147" s="412"/>
      <c r="D147" s="13"/>
      <c r="E147" s="13"/>
      <c r="F147" s="13"/>
      <c r="G147" s="13"/>
      <c r="H147" s="453"/>
      <c r="I147" s="117" t="s">
        <v>868</v>
      </c>
      <c r="J147" s="286"/>
      <c r="K147" s="286"/>
      <c r="L147" s="905" t="s">
        <v>4371</v>
      </c>
      <c r="M147" s="282"/>
      <c r="N147" s="118"/>
      <c r="O147" s="165"/>
      <c r="P147" s="120"/>
      <c r="Q147" s="120"/>
      <c r="R147" s="120"/>
      <c r="S147" s="120"/>
      <c r="T147" s="120"/>
      <c r="U147" s="120"/>
      <c r="V147" s="120"/>
      <c r="W147" s="120" t="s">
        <v>5814</v>
      </c>
      <c r="X147" s="817"/>
      <c r="AR147" t="str">
        <f>SUBSTITUTE(SUBSTITUTE(SUBSTITUTE("dnt"&amp;$B147&amp;$C147&amp;$D147&amp;$E147,".","_"),"(","_"),")","")</f>
        <v>dnt701_4_3_3</v>
      </c>
      <c r="AS147" t="str">
        <f>IF(LEN(X147)=0,"",X147)</f>
        <v/>
      </c>
    </row>
    <row r="148" spans="2:45" x14ac:dyDescent="0.35">
      <c r="B148" s="412" t="s">
        <v>868</v>
      </c>
      <c r="C148" s="412"/>
      <c r="D148" s="13"/>
      <c r="E148" s="13"/>
      <c r="F148" s="13"/>
      <c r="G148" s="13"/>
      <c r="H148" s="453"/>
      <c r="I148" s="30"/>
      <c r="J148" s="90"/>
      <c r="K148" s="90"/>
      <c r="L148" s="838"/>
      <c r="M148" s="40"/>
      <c r="N148" s="4"/>
      <c r="O148" s="75"/>
      <c r="X148" s="817"/>
    </row>
    <row r="149" spans="2:45" x14ac:dyDescent="0.35">
      <c r="B149" s="412" t="s">
        <v>868</v>
      </c>
      <c r="C149" s="412"/>
      <c r="D149" s="13"/>
      <c r="E149" s="13"/>
      <c r="F149" s="13"/>
      <c r="G149" s="13"/>
      <c r="H149" s="453"/>
      <c r="I149" s="138"/>
      <c r="J149" s="228"/>
      <c r="K149" s="228"/>
      <c r="L149" s="889"/>
      <c r="M149" s="268"/>
      <c r="N149" s="133"/>
      <c r="O149" s="309"/>
      <c r="P149" s="104"/>
      <c r="Q149" s="104"/>
      <c r="R149" s="104"/>
      <c r="S149" s="104"/>
      <c r="T149" s="104"/>
      <c r="U149" s="104"/>
      <c r="V149" s="104"/>
      <c r="W149" s="104"/>
      <c r="X149" s="817"/>
    </row>
    <row r="150" spans="2:45" ht="15" customHeight="1" x14ac:dyDescent="0.35">
      <c r="B150" s="412" t="s">
        <v>869</v>
      </c>
      <c r="C150" s="412"/>
      <c r="D150" s="13"/>
      <c r="E150" s="13"/>
      <c r="F150" s="13"/>
      <c r="G150" s="13"/>
      <c r="H150" s="453"/>
      <c r="I150" s="117" t="s">
        <v>869</v>
      </c>
      <c r="J150" s="286"/>
      <c r="K150" s="286"/>
      <c r="L150" s="905" t="s">
        <v>4252</v>
      </c>
      <c r="M150" s="912" t="str">
        <f ca="1">IF(R150,"Mandatory","N/A")</f>
        <v>Mandatory</v>
      </c>
      <c r="N150" s="118"/>
      <c r="O150" s="165"/>
      <c r="P150" t="b">
        <v>1</v>
      </c>
      <c r="Q150" t="b">
        <v>1</v>
      </c>
      <c r="R150" s="120" t="b">
        <f ca="1">S150</f>
        <v>1</v>
      </c>
      <c r="S150" s="120" t="b">
        <f ca="1">NOT(OR(S13=4,S13=5))</f>
        <v>1</v>
      </c>
      <c r="T150" s="120" t="b">
        <f ca="1">AND(NOT(S150),W150=TRUE)</f>
        <v>0</v>
      </c>
      <c r="U150" s="120"/>
      <c r="V150" s="120"/>
      <c r="W150" s="17" t="b">
        <v>1</v>
      </c>
      <c r="X150" s="817"/>
      <c r="AC150" t="b">
        <f ca="1">OR(AD150:AE150)</f>
        <v>0</v>
      </c>
      <c r="AD150" t="b">
        <f ca="1">T150</f>
        <v>0</v>
      </c>
      <c r="AE150" t="b">
        <f ca="1">AND(R150,NOT(W150))</f>
        <v>0</v>
      </c>
      <c r="AL150" t="str">
        <f>SUBSTITUTE(SUBSTITUTE(SUBSTITUTE("dpa"&amp;$B150&amp;$C150&amp;$D150&amp;$E150,".","_"),"(","_"),")","")</f>
        <v>dpa701_4_3_4</v>
      </c>
      <c r="AM150" t="str">
        <f ca="1">M150</f>
        <v>Mandatory</v>
      </c>
      <c r="AP150" t="str">
        <f>SUBSTITUTE(SUBSTITUTE(SUBSTITUTE("dch"&amp;$B150&amp;$C150&amp;$D150&amp;$E150,".","_"),"(","_"),")","")</f>
        <v>dch701_4_3_4</v>
      </c>
      <c r="AQ150" t="b">
        <f>IF(LEN(W150)=0,"",W150)</f>
        <v>1</v>
      </c>
      <c r="AR150" t="str">
        <f>SUBSTITUTE(SUBSTITUTE(SUBSTITUTE("dnt"&amp;$B150&amp;$C150&amp;$D150&amp;$E150,".","_"),"(","_"),")","")</f>
        <v>dnt701_4_3_4</v>
      </c>
      <c r="AS150" t="str">
        <f>IF(LEN(X150)=0,"",X150)</f>
        <v/>
      </c>
    </row>
    <row r="151" spans="2:45" x14ac:dyDescent="0.35">
      <c r="B151" s="412" t="s">
        <v>869</v>
      </c>
      <c r="C151" s="412"/>
      <c r="D151" s="13"/>
      <c r="E151" s="13"/>
      <c r="F151" s="13"/>
      <c r="G151" s="13"/>
      <c r="H151" s="453"/>
      <c r="I151" s="4"/>
      <c r="J151" s="90"/>
      <c r="K151" s="90"/>
      <c r="L151" s="838"/>
      <c r="M151" s="885"/>
      <c r="N151" s="4"/>
      <c r="O151" s="75"/>
      <c r="X151" s="817"/>
    </row>
    <row r="152" spans="2:45" x14ac:dyDescent="0.35">
      <c r="B152" s="412" t="s">
        <v>869</v>
      </c>
      <c r="C152" s="412"/>
      <c r="D152" s="13"/>
      <c r="E152" s="13"/>
      <c r="F152" s="13"/>
      <c r="G152" s="13"/>
      <c r="H152" s="453"/>
      <c r="I152" s="4"/>
      <c r="J152" s="90"/>
      <c r="K152" s="90"/>
      <c r="L152" s="838"/>
      <c r="M152" s="885"/>
      <c r="N152" s="4"/>
      <c r="O152" s="75"/>
      <c r="X152" s="817"/>
    </row>
    <row r="153" spans="2:45" x14ac:dyDescent="0.35">
      <c r="B153" s="412" t="s">
        <v>869</v>
      </c>
      <c r="C153" s="412"/>
      <c r="D153" s="13"/>
      <c r="E153" s="13"/>
      <c r="F153" s="13"/>
      <c r="G153" s="13"/>
      <c r="H153" s="453"/>
      <c r="I153" s="4"/>
      <c r="J153" s="90"/>
      <c r="K153" s="90"/>
      <c r="L153" s="838"/>
      <c r="M153" s="885"/>
      <c r="N153" s="4"/>
      <c r="O153" s="75"/>
      <c r="X153" s="817"/>
    </row>
    <row r="154" spans="2:45" x14ac:dyDescent="0.35">
      <c r="B154" s="412" t="s">
        <v>869</v>
      </c>
      <c r="C154" s="412"/>
      <c r="D154" s="13"/>
      <c r="E154" s="13"/>
      <c r="F154" s="13"/>
      <c r="G154" s="13"/>
      <c r="H154" s="453"/>
      <c r="I154" s="4"/>
      <c r="J154" s="90"/>
      <c r="K154" s="90"/>
      <c r="L154" s="838"/>
      <c r="M154" s="885"/>
      <c r="N154" s="4"/>
      <c r="O154" s="75"/>
      <c r="X154" s="817"/>
    </row>
    <row r="155" spans="2:45" x14ac:dyDescent="0.35">
      <c r="B155" s="412" t="s">
        <v>869</v>
      </c>
      <c r="C155" s="412"/>
      <c r="D155" s="13"/>
      <c r="E155" s="13"/>
      <c r="F155" s="13"/>
      <c r="G155" s="13"/>
      <c r="H155" s="453"/>
      <c r="I155" s="4"/>
      <c r="J155" s="90"/>
      <c r="K155" s="90"/>
      <c r="L155" s="838"/>
      <c r="M155" s="885"/>
      <c r="N155" s="4"/>
      <c r="O155" s="75"/>
      <c r="X155" s="817"/>
    </row>
    <row r="156" spans="2:45" x14ac:dyDescent="0.35">
      <c r="B156" s="412" t="s">
        <v>869</v>
      </c>
      <c r="C156" s="412"/>
      <c r="D156" s="13"/>
      <c r="E156" s="13"/>
      <c r="F156" s="13"/>
      <c r="G156" s="13"/>
      <c r="H156" s="453"/>
      <c r="I156" s="4"/>
      <c r="J156" s="90"/>
      <c r="K156" s="90"/>
      <c r="L156" s="838"/>
      <c r="M156" s="885"/>
      <c r="N156" s="4"/>
      <c r="O156" s="75"/>
      <c r="X156" s="817"/>
    </row>
    <row r="157" spans="2:45" x14ac:dyDescent="0.35">
      <c r="B157" s="412" t="s">
        <v>869</v>
      </c>
      <c r="C157" s="412"/>
      <c r="D157" s="13"/>
      <c r="E157" s="13"/>
      <c r="F157" s="13"/>
      <c r="G157" s="13"/>
      <c r="H157" s="453"/>
      <c r="I157" s="4"/>
      <c r="J157" s="90"/>
      <c r="K157" s="90"/>
      <c r="L157" s="838" t="s">
        <v>4253</v>
      </c>
      <c r="M157" s="885"/>
      <c r="N157" s="4"/>
      <c r="O157" s="75"/>
      <c r="X157" s="817"/>
    </row>
    <row r="158" spans="2:45" x14ac:dyDescent="0.35">
      <c r="B158" s="412" t="s">
        <v>869</v>
      </c>
      <c r="C158" s="412"/>
      <c r="D158" s="13"/>
      <c r="E158" s="13"/>
      <c r="F158" s="13"/>
      <c r="G158" s="13"/>
      <c r="H158" s="453"/>
      <c r="I158" s="4"/>
      <c r="J158" s="90"/>
      <c r="K158" s="90"/>
      <c r="L158" s="838"/>
      <c r="M158" s="885"/>
      <c r="N158" s="4"/>
      <c r="O158" s="75"/>
      <c r="X158" s="817"/>
    </row>
    <row r="159" spans="2:45" x14ac:dyDescent="0.35">
      <c r="B159" s="412" t="s">
        <v>869</v>
      </c>
      <c r="C159" s="412"/>
      <c r="D159" s="13"/>
      <c r="E159" s="13"/>
      <c r="F159" s="13"/>
      <c r="G159" s="13"/>
      <c r="H159" s="453"/>
      <c r="I159" s="133"/>
      <c r="J159" s="228"/>
      <c r="K159" s="228"/>
      <c r="L159" s="889"/>
      <c r="M159" s="890"/>
      <c r="N159" s="133"/>
      <c r="O159" s="309"/>
      <c r="P159" s="104"/>
      <c r="Q159" s="104"/>
      <c r="R159" s="104"/>
      <c r="S159" s="104"/>
      <c r="T159" s="104"/>
      <c r="U159" s="104"/>
      <c r="V159" s="104"/>
      <c r="W159" s="104"/>
      <c r="X159" s="817"/>
    </row>
    <row r="160" spans="2:45" ht="15" customHeight="1" x14ac:dyDescent="0.35">
      <c r="B160" s="412" t="s">
        <v>870</v>
      </c>
      <c r="C160" s="412"/>
      <c r="D160" s="13"/>
      <c r="E160" s="13"/>
      <c r="F160" s="13"/>
      <c r="G160" s="13"/>
      <c r="H160" s="453"/>
      <c r="I160" s="117" t="s">
        <v>870</v>
      </c>
      <c r="J160" s="286"/>
      <c r="K160" s="286"/>
      <c r="L160" s="883" t="s">
        <v>4254</v>
      </c>
      <c r="M160" s="912" t="str">
        <f ca="1">IF(R160,"Mandatory","N/A")</f>
        <v>Mandatory</v>
      </c>
      <c r="N160" s="118"/>
      <c r="O160" s="165"/>
      <c r="P160" t="b">
        <v>1</v>
      </c>
      <c r="Q160" t="b">
        <v>1</v>
      </c>
      <c r="R160" s="120" t="b">
        <f ca="1">S160</f>
        <v>1</v>
      </c>
      <c r="S160" s="120" t="b">
        <f ca="1">NOT(OR(S13=4,S13=5))</f>
        <v>1</v>
      </c>
      <c r="T160" s="120" t="b">
        <f ca="1">AND(NOT(S160),LEN(W160)&gt;0)</f>
        <v>0</v>
      </c>
      <c r="U160" s="120" t="str">
        <f>SUBSTITUTE(SUBSTITUTE(SUBSTITUTE("dd"&amp;B160&amp;C160&amp;D160&amp;E160&amp;F160,".","_"),"(","_"),")","")</f>
        <v>dd701_4_3_5</v>
      </c>
      <c r="V160" s="120"/>
      <c r="W160" s="9" t="s">
        <v>3038</v>
      </c>
      <c r="X160" s="817"/>
      <c r="AC160" t="b">
        <f ca="1">OR(AD160:AE160)</f>
        <v>0</v>
      </c>
      <c r="AD160" t="b">
        <f ca="1">T160</f>
        <v>0</v>
      </c>
      <c r="AE160" t="b">
        <f ca="1">AND(R160,OR(W160="Not Met",W160=""))</f>
        <v>0</v>
      </c>
      <c r="AL160" t="str">
        <f>SUBSTITUTE(SUBSTITUTE(SUBSTITUTE("dpa"&amp;$B160&amp;$C160&amp;$D160&amp;$E160,".","_"),"(","_"),")","")</f>
        <v>dpa701_4_3_5</v>
      </c>
      <c r="AM160" t="str">
        <f ca="1">M160</f>
        <v>Mandatory</v>
      </c>
      <c r="AP160" t="str">
        <f>SUBSTITUTE(SUBSTITUTE(SUBSTITUTE("dch"&amp;$B160&amp;$C160&amp;$D160&amp;$E160,".","_"),"(","_"),")","")</f>
        <v>dch701_4_3_5</v>
      </c>
      <c r="AQ160" t="str">
        <f>IF(LEN(W160)=0,"",W160)</f>
        <v>Met</v>
      </c>
      <c r="AR160" t="str">
        <f>SUBSTITUTE(SUBSTITUTE(SUBSTITUTE("dnt"&amp;$B160&amp;$C160&amp;$D160&amp;$E160,".","_"),"(","_"),")","")</f>
        <v>dnt701_4_3_5</v>
      </c>
      <c r="AS160" t="str">
        <f>IF(LEN(X160)=0,"",X160)</f>
        <v/>
      </c>
    </row>
    <row r="161" spans="1:45" x14ac:dyDescent="0.35">
      <c r="B161" s="412" t="s">
        <v>870</v>
      </c>
      <c r="C161" s="412"/>
      <c r="D161" s="13"/>
      <c r="E161" s="13"/>
      <c r="F161" s="13"/>
      <c r="G161" s="13"/>
      <c r="H161" s="453"/>
      <c r="I161" s="4"/>
      <c r="J161" s="90"/>
      <c r="K161" s="90"/>
      <c r="L161" s="881"/>
      <c r="M161" s="885"/>
      <c r="N161" s="4"/>
      <c r="O161" s="75"/>
      <c r="X161" s="817"/>
    </row>
    <row r="162" spans="1:45" x14ac:dyDescent="0.35">
      <c r="B162" s="412" t="s">
        <v>870</v>
      </c>
      <c r="C162" s="412"/>
      <c r="D162" s="13"/>
      <c r="E162" s="13"/>
      <c r="F162" s="13"/>
      <c r="G162" s="13"/>
      <c r="H162" s="453"/>
      <c r="I162" s="4"/>
      <c r="J162" s="90"/>
      <c r="K162" s="90"/>
      <c r="L162" s="881"/>
      <c r="M162" s="885"/>
      <c r="N162" s="4"/>
      <c r="O162" s="75"/>
      <c r="X162" s="817"/>
    </row>
    <row r="163" spans="1:45" x14ac:dyDescent="0.35">
      <c r="B163" s="412" t="s">
        <v>870</v>
      </c>
      <c r="C163" s="412"/>
      <c r="D163" s="13"/>
      <c r="E163" s="13"/>
      <c r="F163" s="13"/>
      <c r="G163" s="13"/>
      <c r="H163" s="453"/>
      <c r="I163" s="4"/>
      <c r="J163" s="90"/>
      <c r="K163" s="90"/>
      <c r="L163" s="881"/>
      <c r="M163" s="885"/>
      <c r="N163" s="4"/>
      <c r="O163" s="75"/>
      <c r="X163" s="817"/>
    </row>
    <row r="164" spans="1:45" x14ac:dyDescent="0.35">
      <c r="B164" s="412" t="s">
        <v>870</v>
      </c>
      <c r="C164" s="412"/>
      <c r="D164" s="13"/>
      <c r="E164" s="13"/>
      <c r="F164" s="13"/>
      <c r="G164" s="13"/>
      <c r="H164" s="453"/>
      <c r="I164" s="4"/>
      <c r="J164" s="90"/>
      <c r="K164" s="90"/>
      <c r="L164" s="881"/>
      <c r="M164" s="885"/>
      <c r="N164" s="4"/>
      <c r="O164" s="75"/>
      <c r="X164" s="817"/>
    </row>
    <row r="165" spans="1:45" x14ac:dyDescent="0.35">
      <c r="B165" s="412" t="s">
        <v>870</v>
      </c>
      <c r="C165" s="412"/>
      <c r="D165" s="13"/>
      <c r="E165" s="13"/>
      <c r="F165" s="13"/>
      <c r="G165" s="13"/>
      <c r="H165" s="453"/>
      <c r="I165" s="4"/>
      <c r="J165" s="90"/>
      <c r="K165" s="90"/>
      <c r="L165" s="881"/>
      <c r="M165" s="885"/>
      <c r="N165" s="4"/>
      <c r="O165" s="75"/>
      <c r="X165" s="817"/>
    </row>
    <row r="166" spans="1:45" x14ac:dyDescent="0.35">
      <c r="B166" s="412" t="s">
        <v>870</v>
      </c>
      <c r="C166" s="412"/>
      <c r="D166" s="13"/>
      <c r="E166" s="13"/>
      <c r="F166" s="13"/>
      <c r="G166" s="13"/>
      <c r="H166" s="453"/>
      <c r="I166" s="4"/>
      <c r="J166" s="90"/>
      <c r="K166" s="90"/>
      <c r="L166" s="881"/>
      <c r="M166" s="885"/>
      <c r="N166" s="4"/>
      <c r="O166" s="75"/>
      <c r="X166" s="817"/>
    </row>
    <row r="167" spans="1:45" x14ac:dyDescent="0.35">
      <c r="B167" s="412" t="s">
        <v>870</v>
      </c>
      <c r="C167" s="412"/>
      <c r="D167" s="13"/>
      <c r="E167" s="13"/>
      <c r="F167" s="13"/>
      <c r="G167" s="13"/>
      <c r="H167" s="453"/>
      <c r="I167" s="133"/>
      <c r="J167" s="228"/>
      <c r="K167" s="228"/>
      <c r="L167" s="882"/>
      <c r="M167" s="890"/>
      <c r="N167" s="133"/>
      <c r="O167" s="309"/>
      <c r="P167" s="104"/>
      <c r="Q167" s="104"/>
      <c r="R167" s="104"/>
      <c r="S167" s="104"/>
      <c r="T167" s="104"/>
      <c r="U167" s="104"/>
      <c r="V167" s="104"/>
      <c r="W167" s="104"/>
      <c r="X167" s="817"/>
    </row>
    <row r="168" spans="1:45" ht="15" customHeight="1" x14ac:dyDescent="0.35">
      <c r="B168" s="412" t="s">
        <v>871</v>
      </c>
      <c r="C168" s="50"/>
      <c r="D168" s="13"/>
      <c r="E168" s="13"/>
      <c r="F168" s="13"/>
      <c r="G168" s="13"/>
      <c r="H168" s="453"/>
      <c r="I168" s="30" t="s">
        <v>871</v>
      </c>
      <c r="J168" s="90"/>
      <c r="K168" s="90"/>
      <c r="L168" s="881" t="s">
        <v>4255</v>
      </c>
      <c r="M168" s="885" t="str">
        <f ca="1">IF(S170,"Mandatory","N/A")</f>
        <v>Mandatory</v>
      </c>
      <c r="N168" s="4"/>
      <c r="O168" s="75"/>
      <c r="AL168" t="str">
        <f>SUBSTITUTE(SUBSTITUTE(SUBSTITUTE("dpa"&amp;$B168&amp;$C168&amp;$D168&amp;$E168,".","_"),"(","_"),")","")</f>
        <v>dpa701_4_4</v>
      </c>
      <c r="AM168" t="str">
        <f ca="1">M168</f>
        <v>Mandatory</v>
      </c>
    </row>
    <row r="169" spans="1:45" x14ac:dyDescent="0.35">
      <c r="B169" s="412" t="s">
        <v>871</v>
      </c>
      <c r="C169" s="50"/>
      <c r="D169" s="13"/>
      <c r="E169" s="13"/>
      <c r="F169" s="13"/>
      <c r="G169" s="13"/>
      <c r="H169" s="453"/>
      <c r="I169" s="4"/>
      <c r="J169" s="90"/>
      <c r="K169" s="90"/>
      <c r="L169" s="881"/>
      <c r="M169" s="885"/>
      <c r="N169" s="4"/>
      <c r="O169" s="75"/>
    </row>
    <row r="170" spans="1:45" x14ac:dyDescent="0.35">
      <c r="B170" s="412" t="s">
        <v>871</v>
      </c>
      <c r="C170" s="13" t="s">
        <v>256</v>
      </c>
      <c r="D170" s="19"/>
      <c r="E170" s="13"/>
      <c r="F170" s="13"/>
      <c r="G170" s="13"/>
      <c r="H170" s="453"/>
      <c r="I170" s="4"/>
      <c r="J170" s="152" t="s">
        <v>256</v>
      </c>
      <c r="K170" s="90"/>
      <c r="L170" s="814" t="s">
        <v>872</v>
      </c>
      <c r="M170" s="40"/>
      <c r="N170" s="4"/>
      <c r="O170" s="75"/>
      <c r="P170" t="b">
        <v>1</v>
      </c>
      <c r="Q170" t="b">
        <v>1</v>
      </c>
      <c r="R170" t="b">
        <f ca="1">AND(S170,NOT(W172))</f>
        <v>0</v>
      </c>
      <c r="S170" t="b">
        <f ca="1">NOT(OR(S13=4,S13=5))</f>
        <v>1</v>
      </c>
      <c r="T170" t="b">
        <f ca="1">AND(NOT(S170),W170=TRUE)</f>
        <v>0</v>
      </c>
      <c r="W170" s="17" t="b">
        <v>1</v>
      </c>
      <c r="X170" s="817"/>
      <c r="AC170" t="b">
        <f ca="1">OR(AD170:AE170)</f>
        <v>0</v>
      </c>
      <c r="AD170" t="b">
        <f ca="1">T170</f>
        <v>0</v>
      </c>
      <c r="AE170" t="b">
        <f ca="1">AND(R170,NOT(W170))</f>
        <v>0</v>
      </c>
      <c r="AP170" t="str">
        <f>SUBSTITUTE(SUBSTITUTE(SUBSTITUTE("dch"&amp;$B170&amp;$C170&amp;$D170&amp;$E170,".","_"),"(","_"),")","")</f>
        <v>dch701_4_4_1</v>
      </c>
      <c r="AQ170" t="b">
        <f>IF(LEN(W170)=0,"",W170)</f>
        <v>1</v>
      </c>
      <c r="AR170" t="str">
        <f>SUBSTITUTE(SUBSTITUTE(SUBSTITUTE("dnt"&amp;$B170&amp;$C170&amp;$D170&amp;$E170,".","_"),"(","_"),")","")</f>
        <v>dnt701_4_4_1</v>
      </c>
      <c r="AS170" t="str">
        <f>IF(LEN(X170)=0,"",X170)</f>
        <v/>
      </c>
    </row>
    <row r="171" spans="1:45" x14ac:dyDescent="0.35">
      <c r="B171" s="412" t="s">
        <v>871</v>
      </c>
      <c r="C171" s="13" t="s">
        <v>256</v>
      </c>
      <c r="D171" s="19"/>
      <c r="E171" s="13"/>
      <c r="F171" s="13"/>
      <c r="G171" s="13"/>
      <c r="H171" s="453"/>
      <c r="I171" s="4"/>
      <c r="J171" s="326"/>
      <c r="K171" s="228"/>
      <c r="L171" s="815"/>
      <c r="M171" s="40"/>
      <c r="N171" s="4"/>
      <c r="O171" s="75"/>
      <c r="X171" s="817"/>
    </row>
    <row r="172" spans="1:45" x14ac:dyDescent="0.35">
      <c r="B172" s="412" t="s">
        <v>871</v>
      </c>
      <c r="C172" s="13" t="s">
        <v>258</v>
      </c>
      <c r="D172" s="19"/>
      <c r="E172" s="13"/>
      <c r="F172" s="13"/>
      <c r="G172" s="13"/>
      <c r="H172" s="453"/>
      <c r="I172" s="133"/>
      <c r="J172" s="326" t="s">
        <v>258</v>
      </c>
      <c r="K172" s="228"/>
      <c r="L172" s="228" t="s">
        <v>873</v>
      </c>
      <c r="M172" s="268"/>
      <c r="N172" s="133"/>
      <c r="O172" s="309"/>
      <c r="P172" t="b">
        <v>1</v>
      </c>
      <c r="Q172" t="b">
        <v>1</v>
      </c>
      <c r="R172" s="104" t="b">
        <f ca="1">AND(S172,NOT(W170))</f>
        <v>0</v>
      </c>
      <c r="S172" s="104" t="b">
        <f ca="1">NOT(OR(S13=4,S13=5))</f>
        <v>1</v>
      </c>
      <c r="T172" s="104" t="b">
        <f ca="1">AND(NOT(S172),W172=TRUE)</f>
        <v>0</v>
      </c>
      <c r="U172" s="104"/>
      <c r="V172" s="104"/>
      <c r="W172" s="17" t="b">
        <v>1</v>
      </c>
      <c r="X172" s="36"/>
      <c r="AC172" t="b">
        <f ca="1">OR(AD172:AE172)</f>
        <v>0</v>
      </c>
      <c r="AD172" t="b">
        <f ca="1">T172</f>
        <v>0</v>
      </c>
      <c r="AE172" t="b">
        <f ca="1">AND(R172,NOT(W172))</f>
        <v>0</v>
      </c>
      <c r="AP172" t="str">
        <f>SUBSTITUTE(SUBSTITUTE(SUBSTITUTE("dch"&amp;$B172&amp;$C172&amp;$D172&amp;$E172,".","_"),"(","_"),")","")</f>
        <v>dch701_4_4_2</v>
      </c>
      <c r="AQ172" t="b">
        <f>IF(LEN(W172)=0,"",W172)</f>
        <v>1</v>
      </c>
      <c r="AR172" t="str">
        <f>SUBSTITUTE(SUBSTITUTE(SUBSTITUTE("dnt"&amp;$B172&amp;$C172&amp;$D172&amp;$E172,".","_"),"(","_"),")","")</f>
        <v>dnt701_4_4_2</v>
      </c>
      <c r="AS172" t="str">
        <f>IF(LEN(X172)=0,"",X172)</f>
        <v/>
      </c>
    </row>
    <row r="173" spans="1:45" x14ac:dyDescent="0.35">
      <c r="B173" s="412" t="s">
        <v>874</v>
      </c>
      <c r="C173" s="50"/>
      <c r="D173" s="13"/>
      <c r="E173" s="13"/>
      <c r="F173" s="13"/>
      <c r="G173" s="13"/>
      <c r="H173" s="453"/>
      <c r="I173" s="30" t="s">
        <v>874</v>
      </c>
      <c r="J173" s="90"/>
      <c r="K173" s="90"/>
      <c r="L173" s="881" t="s">
        <v>4256</v>
      </c>
      <c r="M173" s="912" t="str">
        <f ca="1">IF(R173,"Mandatory","N/A")</f>
        <v>N/A</v>
      </c>
      <c r="N173" s="4"/>
      <c r="O173" s="75"/>
      <c r="P173" t="b">
        <v>1</v>
      </c>
      <c r="Q173" t="b">
        <v>0</v>
      </c>
      <c r="R173" t="b">
        <f ca="1">S173</f>
        <v>0</v>
      </c>
      <c r="S173" t="b">
        <f ca="1">AND(NOT(OR(S13=4,S13=5)),OR(AY35=INDEX(INDIRECT('Overview (Design)'!$E$34),2),AY36=INDEX(INDIRECT('Overview (Design)'!$E$34),2),AY37=INDEX(INDIRECT('Overview (Design)'!$E$34),2)))</f>
        <v>0</v>
      </c>
      <c r="T173" t="b">
        <f ca="1">AND(NOT(S173),W173=TRUE)</f>
        <v>0</v>
      </c>
      <c r="W173" s="69"/>
      <c r="X173" s="817"/>
      <c r="AC173" t="b">
        <f ca="1">OR(AD173:AE173)</f>
        <v>0</v>
      </c>
      <c r="AD173" t="b">
        <f ca="1">T173</f>
        <v>0</v>
      </c>
      <c r="AE173" t="b">
        <f ca="1">AND(R173,NOT(W173))</f>
        <v>0</v>
      </c>
      <c r="AL173" t="str">
        <f>SUBSTITUTE(SUBSTITUTE(SUBSTITUTE("dpa"&amp;$B173&amp;$C173&amp;$D173&amp;$E173,".","_"),"(","_"),")","")</f>
        <v>dpa701_4_5</v>
      </c>
      <c r="AM173" t="str">
        <f ca="1">M173</f>
        <v>N/A</v>
      </c>
      <c r="AP173" t="str">
        <f>SUBSTITUTE(SUBSTITUTE(SUBSTITUTE("dch"&amp;$B173&amp;$C173&amp;$D173&amp;$E173,".","_"),"(","_"),")","")</f>
        <v>dch701_4_5</v>
      </c>
      <c r="AQ173" t="str">
        <f>IF(LEN(W173)=0,"",W173)</f>
        <v/>
      </c>
      <c r="AR173" t="str">
        <f>SUBSTITUTE(SUBSTITUTE(SUBSTITUTE("dnt"&amp;$B173&amp;$C173&amp;$D173&amp;$E173,".","_"),"(","_"),")","")</f>
        <v>dnt701_4_5</v>
      </c>
      <c r="AS173" t="str">
        <f>IF(LEN(X173)=0,"",X173)</f>
        <v/>
      </c>
    </row>
    <row r="174" spans="1:45" x14ac:dyDescent="0.35">
      <c r="A174"/>
      <c r="B174" s="412" t="s">
        <v>874</v>
      </c>
      <c r="C174"/>
      <c r="D174"/>
      <c r="E174"/>
      <c r="F174"/>
      <c r="G174"/>
      <c r="H174"/>
      <c r="L174" s="881"/>
      <c r="M174" s="885"/>
      <c r="O174"/>
      <c r="X174" s="817"/>
    </row>
    <row r="175" spans="1:45" ht="18.75" customHeight="1" x14ac:dyDescent="0.45">
      <c r="B175" s="412">
        <v>702</v>
      </c>
      <c r="C175" s="50"/>
      <c r="D175" s="13"/>
      <c r="E175" s="13"/>
      <c r="F175" s="13"/>
      <c r="G175" s="13"/>
      <c r="H175" s="453"/>
      <c r="I175" s="10" t="s">
        <v>875</v>
      </c>
      <c r="J175" s="44"/>
      <c r="K175" s="44"/>
      <c r="L175" s="44"/>
      <c r="M175" s="243"/>
      <c r="N175" s="311"/>
      <c r="O175" s="307"/>
      <c r="P175" s="15"/>
      <c r="Q175" s="15"/>
      <c r="R175" s="15"/>
      <c r="S175" s="15"/>
      <c r="T175" s="15"/>
      <c r="U175" s="15"/>
      <c r="V175" s="15"/>
      <c r="W175" s="15"/>
      <c r="X175" s="15"/>
    </row>
    <row r="176" spans="1:45" ht="15" customHeight="1" x14ac:dyDescent="0.35">
      <c r="B176" s="412">
        <v>702.1</v>
      </c>
      <c r="C176" s="50"/>
      <c r="D176" s="13"/>
      <c r="E176" s="13"/>
      <c r="F176" s="13"/>
      <c r="G176" s="13"/>
      <c r="H176" s="453"/>
      <c r="I176" s="30">
        <v>702.1</v>
      </c>
      <c r="J176" s="90"/>
      <c r="K176" s="90"/>
      <c r="L176" s="838" t="s">
        <v>4853</v>
      </c>
      <c r="M176" s="269"/>
      <c r="N176" s="4"/>
      <c r="O176" s="75"/>
    </row>
    <row r="177" spans="2:45" ht="15" thickBot="1" x14ac:dyDescent="0.4">
      <c r="B177" s="412">
        <v>702.1</v>
      </c>
      <c r="C177" s="50"/>
      <c r="D177" s="13"/>
      <c r="E177" s="13"/>
      <c r="F177" s="13"/>
      <c r="G177" s="13"/>
      <c r="H177" s="453"/>
      <c r="I177" s="160"/>
      <c r="J177" s="229"/>
      <c r="K177" s="229"/>
      <c r="L177" s="849"/>
      <c r="M177" s="318"/>
      <c r="N177" s="160"/>
      <c r="O177" s="161"/>
      <c r="P177" s="55"/>
      <c r="Q177" s="55"/>
      <c r="R177" s="55"/>
      <c r="S177" s="55"/>
      <c r="T177" s="55"/>
      <c r="U177" s="55"/>
      <c r="V177" s="55"/>
      <c r="W177" s="55"/>
      <c r="X177" s="55"/>
    </row>
    <row r="178" spans="2:45" ht="15" thickTop="1" x14ac:dyDescent="0.35">
      <c r="B178" s="412">
        <v>702.2</v>
      </c>
      <c r="C178" s="50"/>
      <c r="D178" s="13"/>
      <c r="E178" s="13"/>
      <c r="F178" s="13"/>
      <c r="G178" s="13"/>
      <c r="H178" s="453"/>
      <c r="I178" s="106">
        <v>702.2</v>
      </c>
      <c r="J178" s="316"/>
      <c r="K178" s="316"/>
      <c r="L178" s="274" t="s">
        <v>876</v>
      </c>
      <c r="M178" s="267"/>
      <c r="N178" s="107"/>
      <c r="O178" s="308"/>
      <c r="P178" s="59"/>
      <c r="Q178" s="59"/>
      <c r="R178" s="59"/>
      <c r="S178" s="59"/>
      <c r="T178" s="59"/>
      <c r="U178" s="59"/>
      <c r="V178" s="59"/>
      <c r="W178" s="59"/>
      <c r="X178" s="59"/>
    </row>
    <row r="179" spans="2:45" ht="15" customHeight="1" x14ac:dyDescent="0.35">
      <c r="B179" s="412" t="s">
        <v>877</v>
      </c>
      <c r="C179" s="50"/>
      <c r="D179" s="13"/>
      <c r="E179" s="13"/>
      <c r="F179" s="13"/>
      <c r="G179" s="13"/>
      <c r="H179" s="453"/>
      <c r="I179" s="32" t="s">
        <v>877</v>
      </c>
      <c r="J179" s="90"/>
      <c r="K179" s="90"/>
      <c r="L179" s="838" t="s">
        <v>878</v>
      </c>
      <c r="M179" s="885" t="str">
        <f ca="1">IF(R179,"Mandatory","N/A")</f>
        <v>N/A</v>
      </c>
      <c r="N179" s="4"/>
      <c r="O179" s="75"/>
      <c r="P179" t="b">
        <v>0</v>
      </c>
      <c r="Q179" t="b">
        <v>1</v>
      </c>
      <c r="R179" t="b">
        <f ca="1">S179</f>
        <v>0</v>
      </c>
      <c r="S179" t="b">
        <f ca="1">(S13=1)</f>
        <v>0</v>
      </c>
      <c r="T179" t="b">
        <f ca="1">AND(NOT(S179),W179=TRUE)</f>
        <v>0</v>
      </c>
      <c r="W179" s="17"/>
      <c r="X179" s="817"/>
      <c r="AC179" t="b">
        <f ca="1">OR(AD179:AE179)</f>
        <v>0</v>
      </c>
      <c r="AD179" t="b">
        <f ca="1">T179</f>
        <v>0</v>
      </c>
      <c r="AE179" t="b">
        <f ca="1">AND(R179,NOT(W179))</f>
        <v>0</v>
      </c>
      <c r="AL179" t="str">
        <f>SUBSTITUTE(SUBSTITUTE(SUBSTITUTE("dpa"&amp;$B179&amp;$C179&amp;$D179&amp;$E179,".","_"),"(","_"),")","")</f>
        <v>dpa702_2_1</v>
      </c>
      <c r="AM179" t="str">
        <f ca="1">M179</f>
        <v>N/A</v>
      </c>
      <c r="AP179" t="str">
        <f>SUBSTITUTE(SUBSTITUTE(SUBSTITUTE("dch"&amp;$B179&amp;$C179&amp;$D179&amp;$E179,".","_"),"(","_"),")","")</f>
        <v>dch702_2_1</v>
      </c>
      <c r="AQ179" t="str">
        <f>IF(LEN(W179)=0,"",W179)</f>
        <v/>
      </c>
      <c r="AR179" t="str">
        <f>SUBSTITUTE(SUBSTITUTE(SUBSTITUTE("dnt"&amp;$B179&amp;$C179&amp;$D179&amp;$E179,".","_"),"(","_"),")","")</f>
        <v>dnt702_2_1</v>
      </c>
      <c r="AS179" t="str">
        <f>IF(LEN(X179)=0,"",X179)</f>
        <v/>
      </c>
    </row>
    <row r="180" spans="2:45" x14ac:dyDescent="0.35">
      <c r="B180" s="412" t="s">
        <v>877</v>
      </c>
      <c r="C180" s="50"/>
      <c r="D180" s="13"/>
      <c r="E180" s="13"/>
      <c r="F180" s="13"/>
      <c r="G180" s="13"/>
      <c r="H180" s="453"/>
      <c r="I180" s="4"/>
      <c r="J180" s="90"/>
      <c r="K180" s="90"/>
      <c r="L180" s="838"/>
      <c r="M180" s="885"/>
      <c r="N180" s="4"/>
      <c r="O180" s="75"/>
      <c r="X180" s="817"/>
    </row>
    <row r="181" spans="2:45" x14ac:dyDescent="0.35">
      <c r="B181" s="412" t="s">
        <v>877</v>
      </c>
      <c r="C181" s="50"/>
      <c r="D181" s="13"/>
      <c r="E181" s="13"/>
      <c r="F181" s="13"/>
      <c r="G181" s="13"/>
      <c r="H181" s="453"/>
      <c r="I181" s="4"/>
      <c r="J181" s="90"/>
      <c r="K181" s="90"/>
      <c r="L181" s="838"/>
      <c r="M181" s="885"/>
      <c r="N181" s="4"/>
      <c r="O181" s="75"/>
      <c r="X181" s="817"/>
    </row>
    <row r="182" spans="2:45" x14ac:dyDescent="0.35">
      <c r="B182" s="412" t="s">
        <v>877</v>
      </c>
      <c r="C182" s="50"/>
      <c r="D182" s="13"/>
      <c r="E182" s="13"/>
      <c r="F182" s="13"/>
      <c r="G182" s="13"/>
      <c r="H182" s="453"/>
      <c r="I182" s="133"/>
      <c r="J182" s="228"/>
      <c r="K182" s="228"/>
      <c r="L182" s="889"/>
      <c r="M182" s="890"/>
      <c r="N182" s="133"/>
      <c r="O182" s="309"/>
      <c r="P182" s="104"/>
      <c r="Q182" s="104"/>
      <c r="R182" s="104"/>
      <c r="S182" s="104"/>
      <c r="T182" s="104"/>
      <c r="U182" s="104"/>
      <c r="V182" s="104"/>
      <c r="W182" s="104"/>
      <c r="X182" s="817"/>
    </row>
    <row r="183" spans="2:45" x14ac:dyDescent="0.35">
      <c r="B183" s="412" t="s">
        <v>879</v>
      </c>
      <c r="C183" s="50"/>
      <c r="D183" s="13"/>
      <c r="E183" s="13"/>
      <c r="F183" s="13"/>
      <c r="G183" s="13"/>
      <c r="H183" s="453"/>
      <c r="I183" s="32" t="s">
        <v>879</v>
      </c>
      <c r="J183" s="90"/>
      <c r="K183" s="90"/>
      <c r="L183" s="838" t="s">
        <v>4257</v>
      </c>
      <c r="M183" s="843" t="s">
        <v>3499</v>
      </c>
      <c r="N183" s="4"/>
      <c r="O183" s="832">
        <f ca="1">ROUNDDOWN(S185*IF(NOT(W185=""),30+(W185*200),0),0)</f>
        <v>0</v>
      </c>
      <c r="W183" s="760" t="s">
        <v>5115</v>
      </c>
      <c r="X183" s="816"/>
      <c r="AL183" t="str">
        <f>SUBSTITUTE(SUBSTITUTE(SUBSTITUTE("dpa"&amp;$B183&amp;$C183&amp;$D183&amp;$E183,".","_"),"(","_"),")","")</f>
        <v>dpa702_2_2</v>
      </c>
      <c r="AM183" t="str">
        <f>M183</f>
        <v>Points per formula</v>
      </c>
      <c r="AN183" t="str">
        <f>SUBSTITUTE(SUBSTITUTE(SUBSTITUTE("dpc"&amp;$B183&amp;$C183&amp;$D183&amp;$E183,".","_"),"(","_"),")","")</f>
        <v>dpc702_2_2</v>
      </c>
      <c r="AO183">
        <f ca="1">O183</f>
        <v>0</v>
      </c>
      <c r="AR183" t="str">
        <f>SUBSTITUTE(SUBSTITUTE(SUBSTITUTE("dnt"&amp;$B183&amp;$C183&amp;$D183&amp;$E183,".","_"),"(","_"),")","")</f>
        <v>dnt702_2_2</v>
      </c>
      <c r="AS183" t="str">
        <f>IF(LEN(X183)=0,"",X183)</f>
        <v/>
      </c>
    </row>
    <row r="184" spans="2:45" x14ac:dyDescent="0.35">
      <c r="B184" s="412" t="s">
        <v>879</v>
      </c>
      <c r="C184" s="50"/>
      <c r="D184" s="13"/>
      <c r="E184" s="13"/>
      <c r="F184" s="13"/>
      <c r="G184" s="13"/>
      <c r="H184" s="453"/>
      <c r="I184" s="4"/>
      <c r="J184" s="90"/>
      <c r="K184" s="90"/>
      <c r="L184" s="838"/>
      <c r="M184" s="843"/>
      <c r="N184" s="4"/>
      <c r="O184" s="832"/>
      <c r="W184" s="760"/>
      <c r="X184" s="817"/>
    </row>
    <row r="185" spans="2:45" x14ac:dyDescent="0.35">
      <c r="B185" s="412" t="s">
        <v>879</v>
      </c>
      <c r="C185" s="50"/>
      <c r="D185" s="13"/>
      <c r="E185" s="13"/>
      <c r="F185" s="13"/>
      <c r="G185" s="13"/>
      <c r="H185" s="453"/>
      <c r="I185" s="4"/>
      <c r="J185" s="90"/>
      <c r="K185" s="90"/>
      <c r="L185" s="838"/>
      <c r="M185" s="843"/>
      <c r="N185" s="4"/>
      <c r="O185" s="832"/>
      <c r="P185" t="b">
        <v>0</v>
      </c>
      <c r="Q185" t="b">
        <v>1</v>
      </c>
      <c r="R185" t="b">
        <f ca="1">S185</f>
        <v>0</v>
      </c>
      <c r="S185" t="b">
        <f ca="1">(S13=1)</f>
        <v>0</v>
      </c>
      <c r="T185" t="b">
        <f ca="1">AND(NOT(S185),LEN(W185)&gt;0)</f>
        <v>0</v>
      </c>
      <c r="W185" s="97"/>
      <c r="X185" s="817"/>
      <c r="AC185" t="b">
        <f ca="1">OR(AD185:AE185)</f>
        <v>0</v>
      </c>
      <c r="AD185" t="b">
        <f ca="1">T185</f>
        <v>0</v>
      </c>
      <c r="AE185" t="b">
        <f ca="1">AND(R185,ISBLANK(W185))</f>
        <v>0</v>
      </c>
      <c r="AP185" t="str">
        <f>SUBSTITUTE(SUBSTITUTE(SUBSTITUTE("dch"&amp;$B185&amp;$C185&amp;$D185&amp;$E185,".","_"),"(","_"),")","")</f>
        <v>dch702_2_2</v>
      </c>
      <c r="AQ185" t="str">
        <f>IF(LEN(W185)=0,"",W185)</f>
        <v/>
      </c>
    </row>
    <row r="186" spans="2:45" x14ac:dyDescent="0.35">
      <c r="B186" s="412" t="s">
        <v>879</v>
      </c>
      <c r="C186" s="50"/>
      <c r="D186" s="13"/>
      <c r="E186" s="13"/>
      <c r="F186" s="13"/>
      <c r="G186" s="13"/>
      <c r="H186" s="453"/>
      <c r="I186" s="4"/>
      <c r="J186" s="90"/>
      <c r="K186" s="90"/>
      <c r="L186" s="838"/>
      <c r="M186" s="843"/>
      <c r="N186" s="4"/>
      <c r="O186" s="832"/>
      <c r="X186" s="817"/>
    </row>
    <row r="187" spans="2:45" x14ac:dyDescent="0.35">
      <c r="B187" s="412" t="s">
        <v>879</v>
      </c>
      <c r="C187" s="50"/>
      <c r="D187" s="13"/>
      <c r="E187" s="13"/>
      <c r="F187" s="13"/>
      <c r="G187" s="13"/>
      <c r="H187" s="453"/>
      <c r="I187" s="4"/>
      <c r="J187" s="90"/>
      <c r="K187" s="90"/>
      <c r="L187" s="838"/>
      <c r="M187" s="843"/>
      <c r="N187" s="4"/>
      <c r="O187" s="832"/>
      <c r="X187" s="817"/>
    </row>
    <row r="188" spans="2:45" x14ac:dyDescent="0.35">
      <c r="B188" s="412" t="s">
        <v>879</v>
      </c>
      <c r="C188" s="50"/>
      <c r="D188" s="13"/>
      <c r="E188" s="13"/>
      <c r="F188" s="13"/>
      <c r="G188" s="13"/>
      <c r="H188" s="453"/>
      <c r="I188" s="4"/>
      <c r="J188" s="90"/>
      <c r="K188" s="90"/>
      <c r="L188" s="95" t="s">
        <v>5116</v>
      </c>
      <c r="M188" s="40"/>
      <c r="N188" s="4"/>
      <c r="O188" s="75"/>
      <c r="X188" s="817"/>
    </row>
    <row r="189" spans="2:45" x14ac:dyDescent="0.35">
      <c r="B189" s="412" t="s">
        <v>879</v>
      </c>
      <c r="C189" s="50"/>
      <c r="D189" s="13" t="s">
        <v>3968</v>
      </c>
      <c r="E189" s="13"/>
      <c r="F189" s="13"/>
      <c r="G189" s="13"/>
      <c r="H189" s="453"/>
      <c r="I189" s="4"/>
      <c r="J189" s="90"/>
      <c r="K189" s="90"/>
      <c r="L189" s="855" t="s">
        <v>2997</v>
      </c>
      <c r="M189" s="40"/>
      <c r="N189" s="4"/>
      <c r="O189" s="75"/>
      <c r="X189" s="817"/>
      <c r="AR189" t="str">
        <f>SUBSTITUTE(SUBSTITUTE(SUBSTITUTE("dnt"&amp;$B189&amp;$C189&amp;$D189&amp;$E189,".","_"),"(","_"),")","")</f>
        <v>dnt702_2_2_m</v>
      </c>
      <c r="AS189" t="str">
        <f>IF(LEN(X189)=0,"",X189)</f>
        <v/>
      </c>
    </row>
    <row r="190" spans="2:45" x14ac:dyDescent="0.35">
      <c r="B190" s="412" t="s">
        <v>879</v>
      </c>
      <c r="C190" s="50"/>
      <c r="D190" s="13"/>
      <c r="E190" s="13"/>
      <c r="F190" s="13"/>
      <c r="G190" s="13"/>
      <c r="H190" s="453"/>
      <c r="I190" s="4"/>
      <c r="J190" s="90"/>
      <c r="K190" s="90"/>
      <c r="L190" s="855"/>
      <c r="M190" s="40"/>
      <c r="N190" s="4"/>
      <c r="O190" s="75"/>
      <c r="X190" s="817"/>
    </row>
    <row r="191" spans="2:45" x14ac:dyDescent="0.35">
      <c r="B191" s="412" t="s">
        <v>879</v>
      </c>
      <c r="C191" s="50"/>
      <c r="D191" s="13"/>
      <c r="E191" s="13"/>
      <c r="F191" s="13"/>
      <c r="G191" s="13"/>
      <c r="H191" s="453"/>
      <c r="I191" s="133"/>
      <c r="J191" s="228"/>
      <c r="K191" s="228"/>
      <c r="L191" s="903"/>
      <c r="M191" s="334"/>
      <c r="N191" s="4"/>
      <c r="O191" s="75"/>
      <c r="W191" s="65"/>
      <c r="X191" s="817"/>
    </row>
    <row r="192" spans="2:45" x14ac:dyDescent="0.35">
      <c r="B192" s="412" t="s">
        <v>880</v>
      </c>
      <c r="C192" s="50"/>
      <c r="D192" s="13"/>
      <c r="E192" s="13"/>
      <c r="F192" s="13"/>
      <c r="G192" s="13"/>
      <c r="H192" s="453"/>
      <c r="I192" s="32" t="s">
        <v>880</v>
      </c>
      <c r="J192" s="90"/>
      <c r="K192" s="90"/>
      <c r="L192" s="838" t="s">
        <v>881</v>
      </c>
      <c r="M192" s="40"/>
      <c r="N192" s="4"/>
      <c r="O192" s="75"/>
      <c r="X192" s="816"/>
      <c r="AR192" t="str">
        <f>SUBSTITUTE(SUBSTITUTE(SUBSTITUTE("dnt"&amp;$B192&amp;$C192&amp;$D192&amp;$E192,".","_"),"(","_"),")","")</f>
        <v>dnt702_2_3</v>
      </c>
      <c r="AS192" t="str">
        <f>IF(LEN(X192)=0,"",X192)</f>
        <v/>
      </c>
    </row>
    <row r="193" spans="2:45" x14ac:dyDescent="0.35">
      <c r="B193" s="412" t="s">
        <v>880</v>
      </c>
      <c r="C193" s="50"/>
      <c r="D193" s="13"/>
      <c r="E193" s="13"/>
      <c r="F193" s="13"/>
      <c r="G193" s="13"/>
      <c r="H193" s="453"/>
      <c r="I193" s="4"/>
      <c r="J193" s="90"/>
      <c r="K193" s="90"/>
      <c r="L193" s="838"/>
      <c r="M193" s="40"/>
      <c r="N193" s="4"/>
      <c r="O193" s="75"/>
      <c r="X193" s="817"/>
    </row>
    <row r="194" spans="2:45" ht="18.5" x14ac:dyDescent="0.45">
      <c r="B194" s="412">
        <v>703</v>
      </c>
      <c r="C194" s="50"/>
      <c r="D194" s="13"/>
      <c r="E194" s="13"/>
      <c r="F194" s="13"/>
      <c r="G194" s="13"/>
      <c r="H194" s="453"/>
      <c r="I194" s="10" t="s">
        <v>882</v>
      </c>
      <c r="J194" s="44"/>
      <c r="K194" s="44"/>
      <c r="L194" s="44"/>
      <c r="M194" s="243"/>
      <c r="N194" s="311"/>
      <c r="O194" s="307"/>
      <c r="P194" s="15"/>
      <c r="Q194" s="15"/>
      <c r="R194" s="15"/>
      <c r="S194" s="15"/>
      <c r="T194" s="15"/>
      <c r="U194" s="15"/>
      <c r="V194" s="15"/>
      <c r="W194" s="15"/>
      <c r="X194" s="15"/>
    </row>
    <row r="195" spans="2:45" ht="15" customHeight="1" x14ac:dyDescent="0.35">
      <c r="B195" s="412">
        <v>703.1</v>
      </c>
      <c r="C195" s="50"/>
      <c r="D195" s="13"/>
      <c r="E195" s="13"/>
      <c r="F195" s="13"/>
      <c r="G195" s="13"/>
      <c r="H195" s="453"/>
      <c r="I195" s="30">
        <v>703.1</v>
      </c>
      <c r="J195" s="90"/>
      <c r="K195" s="90"/>
      <c r="L195" s="95" t="s">
        <v>883</v>
      </c>
      <c r="M195" s="40">
        <v>30</v>
      </c>
      <c r="N195" s="4"/>
      <c r="O195" s="40">
        <f ca="1">30*AND((W211=TRUE),(W196=TRUE),LEN(W214)&gt;0)*S196</f>
        <v>30</v>
      </c>
      <c r="AL195" t="str">
        <f>SUBSTITUTE(SUBSTITUTE(SUBSTITUTE("dpa"&amp;$B195&amp;$C195&amp;$D195&amp;$E195,".","_"),"(","_"),")","")</f>
        <v>dpa703_1</v>
      </c>
      <c r="AM195">
        <f>M195</f>
        <v>30</v>
      </c>
      <c r="AN195" t="str">
        <f>SUBSTITUTE(SUBSTITUTE(SUBSTITUTE("dpc"&amp;$B195&amp;$C195&amp;$D195&amp;$E195,".","_"),"(","_"),")","")</f>
        <v>dpc703_1</v>
      </c>
      <c r="AO195">
        <f ca="1">O195</f>
        <v>30</v>
      </c>
    </row>
    <row r="196" spans="2:45" ht="15" customHeight="1" x14ac:dyDescent="0.35">
      <c r="B196" s="412" t="s">
        <v>884</v>
      </c>
      <c r="C196" s="50"/>
      <c r="D196" s="13"/>
      <c r="E196" s="13"/>
      <c r="F196" s="13"/>
      <c r="G196" s="13"/>
      <c r="H196" s="453"/>
      <c r="I196" s="32" t="s">
        <v>884</v>
      </c>
      <c r="J196" s="90"/>
      <c r="K196" s="90"/>
      <c r="L196" s="881" t="s">
        <v>4258</v>
      </c>
      <c r="M196" s="885" t="str">
        <f ca="1">IF(R196,"Mandatory","N/A")</f>
        <v>Mandatory</v>
      </c>
      <c r="N196" s="4"/>
      <c r="O196" s="75"/>
      <c r="P196" t="b">
        <v>0</v>
      </c>
      <c r="Q196" t="b">
        <v>1</v>
      </c>
      <c r="R196" t="b">
        <f ca="1">AND(S196,NOT(BI16="Tropical"))</f>
        <v>1</v>
      </c>
      <c r="S196" t="b">
        <f ca="1">(S13=2)</f>
        <v>1</v>
      </c>
      <c r="T196" t="b">
        <f ca="1">AND(NOT(S196),W196=TRUE)</f>
        <v>0</v>
      </c>
      <c r="W196" s="17" t="b">
        <v>1</v>
      </c>
      <c r="X196" s="817"/>
      <c r="AC196" t="b">
        <f ca="1">OR(AD196:AE196)</f>
        <v>0</v>
      </c>
      <c r="AD196" t="b">
        <f ca="1">T196</f>
        <v>0</v>
      </c>
      <c r="AE196" t="b">
        <f ca="1">AND(R196,NOT(W196))</f>
        <v>0</v>
      </c>
      <c r="AL196" t="str">
        <f>SUBSTITUTE(SUBSTITUTE(SUBSTITUTE("dpa"&amp;$B196&amp;$C196&amp;$D196&amp;$E196,".","_"),"(","_"),")","")</f>
        <v>dpa703_1_1</v>
      </c>
      <c r="AM196" t="str">
        <f ca="1">M196</f>
        <v>Mandatory</v>
      </c>
      <c r="AP196" t="str">
        <f>SUBSTITUTE(SUBSTITUTE(SUBSTITUTE("dch"&amp;$B196&amp;$C196&amp;$D196&amp;$E196,".","_"),"(","_"),")","")</f>
        <v>dch703_1_1</v>
      </c>
      <c r="AQ196" t="b">
        <f>IF(LEN(W196)=0,"",W196)</f>
        <v>1</v>
      </c>
      <c r="AR196" t="str">
        <f>SUBSTITUTE(SUBSTITUTE(SUBSTITUTE("dnt"&amp;$B196&amp;$C196&amp;$D196&amp;$E196,".","_"),"(","_"),")","")</f>
        <v>dnt703_1_1</v>
      </c>
      <c r="AS196" t="str">
        <f>IF(LEN(X196)=0,"",X196)</f>
        <v/>
      </c>
    </row>
    <row r="197" spans="2:45" x14ac:dyDescent="0.35">
      <c r="B197" s="412" t="s">
        <v>884</v>
      </c>
      <c r="C197" s="50"/>
      <c r="D197" s="13"/>
      <c r="E197" s="13"/>
      <c r="F197" s="13"/>
      <c r="G197" s="13"/>
      <c r="H197" s="453"/>
      <c r="I197" s="4"/>
      <c r="J197" s="90"/>
      <c r="K197" s="90"/>
      <c r="L197" s="881"/>
      <c r="M197" s="885"/>
      <c r="N197" s="4"/>
      <c r="O197" s="75"/>
      <c r="X197" s="817"/>
    </row>
    <row r="198" spans="2:45" x14ac:dyDescent="0.35">
      <c r="B198" s="412" t="s">
        <v>884</v>
      </c>
      <c r="C198" s="50"/>
      <c r="D198" s="13"/>
      <c r="E198" s="13"/>
      <c r="F198" s="13"/>
      <c r="G198" s="13"/>
      <c r="H198" s="453"/>
      <c r="I198" s="133"/>
      <c r="J198" s="228"/>
      <c r="K198" s="228"/>
      <c r="L198" s="284" t="s">
        <v>2998</v>
      </c>
      <c r="M198" s="40"/>
      <c r="N198" s="4"/>
      <c r="O198" s="75"/>
      <c r="X198" s="817"/>
    </row>
    <row r="199" spans="2:45" ht="15" customHeight="1" x14ac:dyDescent="0.35">
      <c r="B199" s="412" t="s">
        <v>885</v>
      </c>
      <c r="C199" s="412"/>
      <c r="D199" s="13"/>
      <c r="E199" s="13"/>
      <c r="F199" s="13"/>
      <c r="G199" s="13"/>
      <c r="H199" s="453"/>
      <c r="I199" s="330" t="s">
        <v>885</v>
      </c>
      <c r="J199" s="286"/>
      <c r="K199" s="286"/>
      <c r="L199" s="883" t="s">
        <v>4259</v>
      </c>
      <c r="M199" s="40"/>
      <c r="N199" s="4"/>
      <c r="O199" s="75"/>
      <c r="X199" s="817"/>
    </row>
    <row r="200" spans="2:45" x14ac:dyDescent="0.35">
      <c r="B200" s="412" t="s">
        <v>885</v>
      </c>
      <c r="C200" s="412"/>
      <c r="D200" s="13"/>
      <c r="E200" s="13"/>
      <c r="F200" s="13"/>
      <c r="G200" s="13"/>
      <c r="H200" s="453"/>
      <c r="I200" s="4"/>
      <c r="J200" s="90"/>
      <c r="K200" s="90"/>
      <c r="L200" s="881"/>
      <c r="M200" s="40"/>
      <c r="N200" s="4"/>
      <c r="O200" s="75"/>
      <c r="X200" s="817"/>
    </row>
    <row r="201" spans="2:45" x14ac:dyDescent="0.35">
      <c r="B201" s="412" t="s">
        <v>885</v>
      </c>
      <c r="C201" s="412"/>
      <c r="D201" s="13"/>
      <c r="E201" s="13"/>
      <c r="F201" s="13"/>
      <c r="G201" s="13"/>
      <c r="H201" s="453"/>
      <c r="I201" s="4"/>
      <c r="J201" s="90"/>
      <c r="K201" s="90"/>
      <c r="L201" s="881"/>
      <c r="M201" s="40"/>
      <c r="N201" s="4"/>
      <c r="O201" s="75"/>
      <c r="X201" s="817"/>
    </row>
    <row r="202" spans="2:45" x14ac:dyDescent="0.35">
      <c r="B202" s="412" t="s">
        <v>885</v>
      </c>
      <c r="C202" s="412"/>
      <c r="D202" s="13"/>
      <c r="E202" s="13"/>
      <c r="F202" s="13"/>
      <c r="G202" s="13"/>
      <c r="H202" s="453"/>
      <c r="I202" s="4"/>
      <c r="J202" s="90"/>
      <c r="K202" s="90"/>
      <c r="L202" s="881"/>
      <c r="M202" s="40"/>
      <c r="N202" s="4"/>
      <c r="O202" s="75"/>
      <c r="X202" s="817"/>
    </row>
    <row r="203" spans="2:45" x14ac:dyDescent="0.35">
      <c r="B203" s="412" t="s">
        <v>885</v>
      </c>
      <c r="C203" s="412"/>
      <c r="D203" s="13"/>
      <c r="E203" s="13"/>
      <c r="F203" s="13"/>
      <c r="G203" s="13"/>
      <c r="H203" s="453"/>
      <c r="I203" s="4"/>
      <c r="J203" s="90"/>
      <c r="K203" s="90"/>
      <c r="L203" s="881"/>
      <c r="M203" s="40"/>
      <c r="N203" s="4"/>
      <c r="O203" s="75"/>
      <c r="X203" s="817"/>
    </row>
    <row r="204" spans="2:45" x14ac:dyDescent="0.35">
      <c r="B204" s="412" t="s">
        <v>885</v>
      </c>
      <c r="C204" s="412"/>
      <c r="D204" s="13"/>
      <c r="E204" s="13"/>
      <c r="F204" s="13"/>
      <c r="G204" s="13"/>
      <c r="H204" s="453"/>
      <c r="I204" s="4"/>
      <c r="J204" s="90"/>
      <c r="K204" s="90"/>
      <c r="L204" s="881"/>
      <c r="M204" s="40"/>
      <c r="N204" s="4"/>
      <c r="O204" s="75"/>
      <c r="X204" s="817"/>
    </row>
    <row r="205" spans="2:45" x14ac:dyDescent="0.35">
      <c r="B205" s="412" t="s">
        <v>885</v>
      </c>
      <c r="C205" s="412"/>
      <c r="D205" s="13"/>
      <c r="E205" s="13"/>
      <c r="F205" s="13"/>
      <c r="G205" s="13"/>
      <c r="H205" s="453"/>
      <c r="I205" s="4"/>
      <c r="J205" s="90"/>
      <c r="K205" s="90"/>
      <c r="L205" s="881"/>
      <c r="M205" s="40"/>
      <c r="N205" s="4"/>
      <c r="O205" s="75"/>
      <c r="X205" s="817"/>
    </row>
    <row r="206" spans="2:45" x14ac:dyDescent="0.35">
      <c r="B206" s="412" t="s">
        <v>885</v>
      </c>
      <c r="C206" s="412"/>
      <c r="D206" s="13"/>
      <c r="E206" s="13"/>
      <c r="F206" s="13"/>
      <c r="G206" s="13"/>
      <c r="H206" s="453"/>
      <c r="I206" s="133"/>
      <c r="J206" s="228"/>
      <c r="K206" s="228"/>
      <c r="L206" s="882"/>
      <c r="M206" s="40"/>
      <c r="N206" s="4"/>
      <c r="O206" s="75"/>
      <c r="X206" s="817"/>
    </row>
    <row r="207" spans="2:45" ht="15" customHeight="1" x14ac:dyDescent="0.35">
      <c r="B207" s="412" t="s">
        <v>886</v>
      </c>
      <c r="C207" s="412"/>
      <c r="D207" s="13"/>
      <c r="E207" s="13"/>
      <c r="F207" s="13"/>
      <c r="G207" s="13"/>
      <c r="H207" s="453"/>
      <c r="I207" s="330" t="s">
        <v>886</v>
      </c>
      <c r="J207" s="286"/>
      <c r="K207" s="286"/>
      <c r="L207" s="883" t="s">
        <v>4260</v>
      </c>
      <c r="M207" s="40"/>
      <c r="N207" s="4"/>
      <c r="O207" s="75"/>
      <c r="X207" s="817"/>
    </row>
    <row r="208" spans="2:45" x14ac:dyDescent="0.35">
      <c r="B208" s="412" t="s">
        <v>886</v>
      </c>
      <c r="C208" s="412"/>
      <c r="D208" s="13"/>
      <c r="E208" s="13"/>
      <c r="F208" s="13"/>
      <c r="G208" s="13"/>
      <c r="H208" s="453"/>
      <c r="I208" s="4"/>
      <c r="J208" s="90"/>
      <c r="K208" s="90"/>
      <c r="L208" s="881"/>
      <c r="M208" s="40"/>
      <c r="N208" s="4"/>
      <c r="O208" s="75"/>
      <c r="X208" s="817"/>
    </row>
    <row r="209" spans="2:45" x14ac:dyDescent="0.35">
      <c r="B209" s="412" t="s">
        <v>886</v>
      </c>
      <c r="C209" s="412"/>
      <c r="D209" s="13"/>
      <c r="E209" s="13"/>
      <c r="F209" s="13"/>
      <c r="G209" s="13"/>
      <c r="H209" s="453"/>
      <c r="I209" s="4"/>
      <c r="J209" s="90"/>
      <c r="K209" s="90"/>
      <c r="L209" s="881"/>
      <c r="M209" s="40"/>
      <c r="N209" s="4"/>
      <c r="O209" s="75"/>
      <c r="X209" s="817"/>
    </row>
    <row r="210" spans="2:45" x14ac:dyDescent="0.35">
      <c r="B210" s="412" t="s">
        <v>886</v>
      </c>
      <c r="C210" s="412"/>
      <c r="D210" s="13"/>
      <c r="E210" s="13"/>
      <c r="F210" s="13"/>
      <c r="G210" s="13"/>
      <c r="H210" s="453"/>
      <c r="I210" s="133"/>
      <c r="J210" s="228"/>
      <c r="K210" s="228"/>
      <c r="L210" s="882"/>
      <c r="M210" s="268"/>
      <c r="N210" s="133"/>
      <c r="O210" s="309"/>
      <c r="P210" s="104"/>
      <c r="Q210" s="104"/>
      <c r="R210" s="104"/>
      <c r="S210" s="104"/>
      <c r="T210" s="104"/>
      <c r="U210" s="104"/>
      <c r="V210" s="104"/>
      <c r="X210" s="817"/>
    </row>
    <row r="211" spans="2:45" ht="15" customHeight="1" x14ac:dyDescent="0.35">
      <c r="B211" s="412" t="s">
        <v>887</v>
      </c>
      <c r="C211" s="50"/>
      <c r="D211" s="13"/>
      <c r="E211" s="13"/>
      <c r="F211" s="13"/>
      <c r="G211" s="13"/>
      <c r="H211" s="453"/>
      <c r="I211" s="32" t="s">
        <v>887</v>
      </c>
      <c r="J211" s="90"/>
      <c r="K211" s="90"/>
      <c r="L211" s="881" t="s">
        <v>4261</v>
      </c>
      <c r="M211" s="885" t="str">
        <f ca="1">IF(R211,"Mandatory","N/A")</f>
        <v>Mandatory</v>
      </c>
      <c r="N211" s="4"/>
      <c r="O211" s="75"/>
      <c r="P211" t="b">
        <v>0</v>
      </c>
      <c r="Q211" t="b">
        <v>1</v>
      </c>
      <c r="R211" t="b">
        <f ca="1">AND(S211,NOT(BI16="Tropical"))</f>
        <v>1</v>
      </c>
      <c r="S211" t="b">
        <f ca="1">(S13=2)</f>
        <v>1</v>
      </c>
      <c r="T211" t="b">
        <f ca="1">AND(W211=TRUE, OR(NOT(S211), MAX(W105,W623)&gt;T212, MAX(W108,W625)&gt;T213))</f>
        <v>0</v>
      </c>
      <c r="W211" s="17" t="b">
        <v>1</v>
      </c>
      <c r="X211" s="817"/>
      <c r="AC211" t="b">
        <f ca="1">OR(AD211:AE211)</f>
        <v>0</v>
      </c>
      <c r="AD211" t="b">
        <f ca="1">T211</f>
        <v>0</v>
      </c>
      <c r="AL211" t="str">
        <f>SUBSTITUTE(SUBSTITUTE(SUBSTITUTE("dpa"&amp;$B211&amp;$C211&amp;$D211&amp;$E211,".","_"),"(","_"),")","")</f>
        <v>dpa703_1_2</v>
      </c>
      <c r="AM211" t="str">
        <f ca="1">M211</f>
        <v>Mandatory</v>
      </c>
      <c r="AP211" t="str">
        <f>SUBSTITUTE(SUBSTITUTE(SUBSTITUTE("dch"&amp;$B211&amp;$C211&amp;$D211&amp;$E211,".","_"),"(","_"),")","")</f>
        <v>dch703_1_2</v>
      </c>
      <c r="AQ211" t="b">
        <f>IF(LEN(W211)=0,"",W211)</f>
        <v>1</v>
      </c>
      <c r="AR211" t="str">
        <f>SUBSTITUTE(SUBSTITUTE(SUBSTITUTE("dnt"&amp;$B211&amp;$C211&amp;$D211&amp;$E211,".","_"),"(","_"),")","")</f>
        <v>dnt703_1_2</v>
      </c>
      <c r="AS211" t="str">
        <f>IF(LEN(X211)=0,"",X211)</f>
        <v/>
      </c>
    </row>
    <row r="212" spans="2:45" x14ac:dyDescent="0.35">
      <c r="B212" s="412" t="s">
        <v>887</v>
      </c>
      <c r="C212" s="50"/>
      <c r="D212" s="13"/>
      <c r="E212" s="13"/>
      <c r="F212" s="13"/>
      <c r="G212" s="13"/>
      <c r="H212" s="453"/>
      <c r="I212" s="4"/>
      <c r="J212" s="90"/>
      <c r="K212" s="90"/>
      <c r="L212" s="881"/>
      <c r="M212" s="885"/>
      <c r="N212" s="4"/>
      <c r="O212" s="75"/>
      <c r="S212" s="242" t="s">
        <v>6089</v>
      </c>
      <c r="T212" s="1">
        <f>IF(BF16&lt;=2, 3, 5)</f>
        <v>5</v>
      </c>
      <c r="X212" s="817"/>
    </row>
    <row r="213" spans="2:45" x14ac:dyDescent="0.35">
      <c r="B213" s="412" t="s">
        <v>887</v>
      </c>
      <c r="C213" s="50"/>
      <c r="D213" s="13"/>
      <c r="E213" s="13"/>
      <c r="F213" s="13"/>
      <c r="G213" s="13"/>
      <c r="H213" s="453"/>
      <c r="I213" s="133"/>
      <c r="J213" s="228"/>
      <c r="K213" s="228"/>
      <c r="L213" s="284" t="s">
        <v>3530</v>
      </c>
      <c r="M213" s="268"/>
      <c r="N213" s="133"/>
      <c r="O213" s="309"/>
      <c r="P213" s="104"/>
      <c r="Q213" s="104"/>
      <c r="R213" s="104"/>
      <c r="S213" s="541" t="s">
        <v>6090</v>
      </c>
      <c r="T213" s="327">
        <f>IF(AY28&gt;=5, 0.4, IF(BF16&lt;=2, 0.33, 0.23))</f>
        <v>0.23</v>
      </c>
      <c r="U213" s="104"/>
      <c r="V213" s="104"/>
      <c r="X213" s="817"/>
    </row>
    <row r="214" spans="2:45" ht="15" customHeight="1" x14ac:dyDescent="0.35">
      <c r="B214" s="412" t="s">
        <v>888</v>
      </c>
      <c r="C214" s="50"/>
      <c r="D214" s="13"/>
      <c r="E214" s="13"/>
      <c r="F214" s="13"/>
      <c r="G214" s="13"/>
      <c r="H214" s="453"/>
      <c r="I214" s="32" t="s">
        <v>888</v>
      </c>
      <c r="J214" s="90"/>
      <c r="K214" s="90"/>
      <c r="L214" s="838" t="s">
        <v>5118</v>
      </c>
      <c r="M214" s="885" t="str">
        <f ca="1">IF(R214,"Mandatory","N/A")</f>
        <v>Mandatory</v>
      </c>
      <c r="N214" s="4"/>
      <c r="O214" s="75"/>
      <c r="P214" t="b">
        <v>1</v>
      </c>
      <c r="Q214" t="b">
        <v>1</v>
      </c>
      <c r="R214" t="b">
        <f ca="1">AND(S214,NOT(AND(AY19="Multifamily",AY28&gt;3)),NOT(BI16="Tropical"))</f>
        <v>1</v>
      </c>
      <c r="S214" t="b">
        <f ca="1">AND(S13=2,NOT(AND(AY39=INDEX(INDIRECT('Overview (Design)'!$E$38),3),AY43=INDEX(INDIRECT('Overview (Design)'!$E$42),3))))</f>
        <v>1</v>
      </c>
      <c r="T214" t="b">
        <f ca="1">AND(NOT(S214),LEN(W214)&gt;0)</f>
        <v>0</v>
      </c>
      <c r="U214" s="120" t="str">
        <f>SUBSTITUTE(SUBSTITUTE(SUBSTITUTE("dd"&amp;B214&amp;C214&amp;D214&amp;E214&amp;F214,".","_"),"(","_"),")","")</f>
        <v>dd703_1_3</v>
      </c>
      <c r="W214" s="9" t="s">
        <v>5795</v>
      </c>
      <c r="X214" s="817"/>
      <c r="AC214" t="b">
        <f ca="1">OR(AD214:AE214)</f>
        <v>0</v>
      </c>
      <c r="AD214" t="b">
        <f ca="1">T214</f>
        <v>0</v>
      </c>
      <c r="AL214" t="str">
        <f>SUBSTITUTE(SUBSTITUTE(SUBSTITUTE("dpa"&amp;$B214&amp;$C214&amp;$D214&amp;$E214,".","_"),"(","_"),")","")</f>
        <v>dpa703_1_3</v>
      </c>
      <c r="AM214" t="str">
        <f ca="1">M214</f>
        <v>Mandatory</v>
      </c>
      <c r="AP214" t="str">
        <f>SUBSTITUTE(SUBSTITUTE(SUBSTITUTE("dch"&amp;$B214&amp;$C214&amp;$D214&amp;$E214,".","_"),"(","_"),")","")</f>
        <v>dch703_1_3</v>
      </c>
      <c r="AQ214" t="str">
        <f>IF(LEN(W214)=0,"",W214)</f>
        <v>Met; Not Tested</v>
      </c>
      <c r="AR214" t="str">
        <f>SUBSTITUTE(SUBSTITUTE(SUBSTITUTE("dnt"&amp;$B214&amp;$C214&amp;$D214&amp;$E214,".","_"),"(","_"),")","")</f>
        <v>dnt703_1_3</v>
      </c>
      <c r="AS214" t="str">
        <f>IF(LEN(X214)=0,"",X214)</f>
        <v/>
      </c>
    </row>
    <row r="215" spans="2:45" ht="15" customHeight="1" x14ac:dyDescent="0.35">
      <c r="B215" s="412" t="s">
        <v>888</v>
      </c>
      <c r="C215" s="50"/>
      <c r="D215" s="13"/>
      <c r="E215" s="13"/>
      <c r="F215" s="13"/>
      <c r="G215" s="13"/>
      <c r="H215" s="453"/>
      <c r="I215" s="32"/>
      <c r="J215" s="90"/>
      <c r="K215" s="90"/>
      <c r="L215" s="838"/>
      <c r="M215" s="885"/>
      <c r="N215" s="4"/>
      <c r="O215" s="75"/>
      <c r="W215" t="s">
        <v>5738</v>
      </c>
      <c r="X215" s="850"/>
    </row>
    <row r="216" spans="2:45" ht="15" customHeight="1" x14ac:dyDescent="0.35">
      <c r="B216" s="412" t="s">
        <v>888</v>
      </c>
      <c r="C216" s="50" t="s">
        <v>4856</v>
      </c>
      <c r="D216" s="13"/>
      <c r="E216" s="13"/>
      <c r="F216" s="13"/>
      <c r="G216" s="13"/>
      <c r="H216" s="453"/>
      <c r="I216" s="32"/>
      <c r="J216" s="90"/>
      <c r="K216" s="90"/>
      <c r="L216" s="838"/>
      <c r="M216" s="885"/>
      <c r="N216" s="4"/>
      <c r="O216" s="75"/>
      <c r="P216" t="b">
        <v>1</v>
      </c>
      <c r="Q216" t="b">
        <v>0</v>
      </c>
      <c r="R216" t="b">
        <f ca="1">W214=INDEX(INDIRECT(U214),1)</f>
        <v>0</v>
      </c>
      <c r="S216" t="b">
        <f ca="1">S214</f>
        <v>1</v>
      </c>
      <c r="T216" t="b">
        <f ca="1">AND(NOT(S216),LEN(W216)&gt;0)</f>
        <v>0</v>
      </c>
      <c r="W216" s="299"/>
      <c r="X216" s="850"/>
      <c r="AC216" t="b">
        <f ca="1">OR(AD216:AE216)</f>
        <v>0</v>
      </c>
      <c r="AD216" t="b">
        <f ca="1">T216</f>
        <v>0</v>
      </c>
      <c r="AP216" t="str">
        <f>SUBSTITUTE(SUBSTITUTE(SUBSTITUTE("dch"&amp;$B216&amp;$C216&amp;$D216&amp;$E216,".","_"),"(","_"),")","")</f>
        <v>dch703_1_3_1</v>
      </c>
      <c r="AQ216" t="str">
        <f>IF(LEN(W216)=0,"",W216)</f>
        <v/>
      </c>
    </row>
    <row r="217" spans="2:45" ht="15" customHeight="1" x14ac:dyDescent="0.35">
      <c r="B217" s="412" t="s">
        <v>888</v>
      </c>
      <c r="C217" s="50"/>
      <c r="D217" s="13"/>
      <c r="E217" s="13"/>
      <c r="F217" s="13"/>
      <c r="G217" s="13"/>
      <c r="H217" s="453"/>
      <c r="I217" s="32"/>
      <c r="J217" s="90"/>
      <c r="K217" s="90"/>
      <c r="L217" s="838"/>
      <c r="M217" s="885"/>
      <c r="N217" s="4"/>
      <c r="O217" s="75"/>
      <c r="W217" t="s">
        <v>5739</v>
      </c>
      <c r="X217" s="850"/>
    </row>
    <row r="218" spans="2:45" ht="15" thickBot="1" x14ac:dyDescent="0.4">
      <c r="B218" s="412" t="s">
        <v>888</v>
      </c>
      <c r="C218" s="50" t="s">
        <v>4857</v>
      </c>
      <c r="D218" s="13"/>
      <c r="E218" s="13"/>
      <c r="F218" s="13"/>
      <c r="G218" s="13"/>
      <c r="H218" s="453"/>
      <c r="I218" s="160"/>
      <c r="J218" s="229"/>
      <c r="K218" s="229"/>
      <c r="L218" s="849"/>
      <c r="M218" s="886"/>
      <c r="N218" s="160"/>
      <c r="O218" s="161"/>
      <c r="P218" s="55" t="b">
        <v>0</v>
      </c>
      <c r="Q218" s="55" t="b">
        <v>1</v>
      </c>
      <c r="R218" s="55" t="b">
        <f ca="1">W214=INDEX(INDIRECT(U214),1)</f>
        <v>0</v>
      </c>
      <c r="S218" s="55" t="b">
        <f ca="1">S214</f>
        <v>1</v>
      </c>
      <c r="T218" t="b">
        <f ca="1">AND(NOT(S218),LEN(W218)&gt;0)</f>
        <v>0</v>
      </c>
      <c r="U218" s="55"/>
      <c r="V218" s="55"/>
      <c r="W218" s="668"/>
      <c r="X218" s="829"/>
      <c r="AC218" t="b">
        <f ca="1">OR(AD218:AE218)</f>
        <v>0</v>
      </c>
      <c r="AD218" t="b">
        <f ca="1">T218</f>
        <v>0</v>
      </c>
      <c r="AP218" t="str">
        <f>SUBSTITUTE(SUBSTITUTE(SUBSTITUTE("dch"&amp;$B218&amp;$C218&amp;$D218&amp;$E218,".","_"),"(","_"),")","")</f>
        <v>dch703_1_3_2</v>
      </c>
      <c r="AQ218" t="str">
        <f>IF(LEN(W218)=0,"",W218)</f>
        <v/>
      </c>
    </row>
    <row r="219" spans="2:45" ht="15" thickTop="1" x14ac:dyDescent="0.35">
      <c r="B219" s="412">
        <v>703.2</v>
      </c>
      <c r="C219" s="50"/>
      <c r="D219" s="13"/>
      <c r="E219" s="13"/>
      <c r="F219" s="13"/>
      <c r="G219" s="13"/>
      <c r="H219" s="453"/>
      <c r="I219" s="30">
        <v>703.2</v>
      </c>
      <c r="J219" s="90"/>
      <c r="K219" s="90"/>
      <c r="L219" s="95" t="s">
        <v>889</v>
      </c>
      <c r="M219" s="40"/>
      <c r="N219" s="4"/>
      <c r="O219" s="75"/>
    </row>
    <row r="220" spans="2:45" ht="15" customHeight="1" x14ac:dyDescent="0.35">
      <c r="B220" s="412" t="s">
        <v>890</v>
      </c>
      <c r="C220" s="50"/>
      <c r="D220" s="13"/>
      <c r="E220" s="13"/>
      <c r="F220" s="13"/>
      <c r="G220" s="13"/>
      <c r="H220" s="453"/>
      <c r="I220" s="30" t="s">
        <v>890</v>
      </c>
      <c r="J220" s="90"/>
      <c r="K220" s="90"/>
      <c r="L220" s="881" t="s">
        <v>4262</v>
      </c>
      <c r="M220" s="780" t="s">
        <v>891</v>
      </c>
      <c r="N220" s="4"/>
      <c r="O220" s="832">
        <f>W220*IFERROR(Formulas!$C$19,0)</f>
        <v>0</v>
      </c>
      <c r="P220" t="b">
        <v>0</v>
      </c>
      <c r="Q220" t="b">
        <v>1</v>
      </c>
      <c r="R220" t="b">
        <v>0</v>
      </c>
      <c r="S220" t="b">
        <f ca="1">(S13=2)</f>
        <v>1</v>
      </c>
      <c r="T220" t="b">
        <f ca="1">AND(NOT(S220),W220=TRUE)</f>
        <v>0</v>
      </c>
      <c r="W220" s="17"/>
      <c r="X220" s="817"/>
      <c r="AC220" t="b">
        <f ca="1">OR(AD220:AE220)</f>
        <v>0</v>
      </c>
      <c r="AD220" t="b">
        <f ca="1">T220</f>
        <v>0</v>
      </c>
      <c r="AL220" t="str">
        <f>SUBSTITUTE(SUBSTITUTE(SUBSTITUTE("dpa"&amp;$B220&amp;$C220&amp;$D220&amp;$E220,".","_"),"(","_"),")","")</f>
        <v>dpa703_2_1</v>
      </c>
      <c r="AM220" t="str">
        <f>M220</f>
        <v>Per Table 703.2.1(b)</v>
      </c>
      <c r="AN220" t="str">
        <f>SUBSTITUTE(SUBSTITUTE(SUBSTITUTE("dpc"&amp;$B220&amp;$C220&amp;$D220&amp;$E220,".","_"),"(","_"),")","")</f>
        <v>dpc703_2_1</v>
      </c>
      <c r="AO220">
        <f>O220</f>
        <v>0</v>
      </c>
      <c r="AP220" t="str">
        <f>SUBSTITUTE(SUBSTITUTE(SUBSTITUTE("dch"&amp;$B220&amp;$C220&amp;$D220&amp;$E220,".","_"),"(","_"),")","")</f>
        <v>dch703_2_1</v>
      </c>
      <c r="AQ220" t="str">
        <f>IF(LEN(W220)=0,"",W220)</f>
        <v/>
      </c>
      <c r="AR220" t="str">
        <f>SUBSTITUTE(SUBSTITUTE(SUBSTITUTE("dnt"&amp;$B220&amp;$C220&amp;$D220&amp;$E220,".","_"),"(","_"),")","")</f>
        <v>dnt703_2_1</v>
      </c>
      <c r="AS220" t="str">
        <f>IF(LEN(X220)=0,"",X220)</f>
        <v/>
      </c>
    </row>
    <row r="221" spans="2:45" x14ac:dyDescent="0.35">
      <c r="B221" s="412" t="s">
        <v>890</v>
      </c>
      <c r="C221" s="50"/>
      <c r="D221" s="13"/>
      <c r="E221" s="13"/>
      <c r="F221" s="13"/>
      <c r="G221" s="13"/>
      <c r="H221" s="453"/>
      <c r="I221" s="4"/>
      <c r="J221" s="90"/>
      <c r="K221" s="90"/>
      <c r="L221" s="881"/>
      <c r="M221" s="780"/>
      <c r="N221" s="4"/>
      <c r="O221" s="832"/>
      <c r="W221" t="s">
        <v>3533</v>
      </c>
      <c r="X221" s="817"/>
    </row>
    <row r="222" spans="2:45" x14ac:dyDescent="0.35">
      <c r="B222" s="412" t="s">
        <v>890</v>
      </c>
      <c r="C222" s="13" t="s">
        <v>258</v>
      </c>
      <c r="D222" s="19"/>
      <c r="E222" s="13"/>
      <c r="F222" s="13"/>
      <c r="G222" s="13"/>
      <c r="H222" s="453"/>
      <c r="I222" s="4"/>
      <c r="J222" s="90"/>
      <c r="K222" s="90"/>
      <c r="L222" s="881"/>
      <c r="M222" s="780"/>
      <c r="N222" s="4"/>
      <c r="O222" s="832"/>
      <c r="P222" t="b">
        <v>0</v>
      </c>
      <c r="Q222" t="b">
        <v>1</v>
      </c>
      <c r="R222" t="b">
        <v>0</v>
      </c>
      <c r="S222" t="b">
        <f ca="1">(S13=2)</f>
        <v>1</v>
      </c>
      <c r="T222" t="b">
        <f ca="1">AND(NOT(S222),LEN(W222)&gt;0)</f>
        <v>0</v>
      </c>
      <c r="W222" s="97"/>
      <c r="X222" s="817"/>
      <c r="AC222" t="b">
        <f ca="1">OR(AD222:AE222)</f>
        <v>0</v>
      </c>
      <c r="AD222" t="b">
        <f ca="1">T222</f>
        <v>0</v>
      </c>
      <c r="AP222" t="str">
        <f>SUBSTITUTE(SUBSTITUTE(SUBSTITUTE("dch"&amp;$B222&amp;$C222&amp;$D222&amp;$E222,".","_"),"(","_"),")","")</f>
        <v>dch703_2_1_2</v>
      </c>
      <c r="AQ222" t="str">
        <f>IF(LEN(W222)=0,"",W222)</f>
        <v/>
      </c>
    </row>
    <row r="223" spans="2:45" x14ac:dyDescent="0.35">
      <c r="B223" s="412" t="s">
        <v>890</v>
      </c>
      <c r="C223" s="50"/>
      <c r="D223" s="13"/>
      <c r="E223" s="13"/>
      <c r="F223" s="13"/>
      <c r="G223" s="13"/>
      <c r="H223" s="453"/>
      <c r="I223" s="4"/>
      <c r="J223" s="90"/>
      <c r="K223" s="90"/>
      <c r="L223" s="881"/>
      <c r="M223" s="780"/>
      <c r="N223" s="4"/>
      <c r="O223" s="832"/>
      <c r="X223" s="817"/>
    </row>
    <row r="224" spans="2:45" x14ac:dyDescent="0.35">
      <c r="B224" s="412" t="s">
        <v>890</v>
      </c>
      <c r="C224" s="50"/>
      <c r="D224" s="13"/>
      <c r="E224" s="13"/>
      <c r="F224" s="13"/>
      <c r="G224" s="13"/>
      <c r="H224" s="453"/>
      <c r="I224" s="4"/>
      <c r="J224" s="90"/>
      <c r="K224" s="90"/>
      <c r="L224" s="881"/>
      <c r="M224" s="780"/>
      <c r="N224" s="4"/>
      <c r="O224" s="832"/>
      <c r="X224" s="817"/>
    </row>
    <row r="225" spans="2:45" x14ac:dyDescent="0.35">
      <c r="B225" s="412" t="s">
        <v>890</v>
      </c>
      <c r="C225" s="50"/>
      <c r="D225" s="13"/>
      <c r="E225" s="13"/>
      <c r="F225" s="13"/>
      <c r="G225" s="13"/>
      <c r="H225" s="453"/>
      <c r="I225" s="4"/>
      <c r="J225" s="90"/>
      <c r="K225" s="90"/>
      <c r="L225" s="881"/>
      <c r="M225" s="780"/>
      <c r="N225" s="4"/>
      <c r="O225" s="832"/>
      <c r="X225" s="817"/>
    </row>
    <row r="226" spans="2:45" x14ac:dyDescent="0.35">
      <c r="B226" s="412" t="s">
        <v>890</v>
      </c>
      <c r="C226" s="50"/>
      <c r="D226" s="13"/>
      <c r="E226" s="13"/>
      <c r="F226" s="13"/>
      <c r="G226" s="13"/>
      <c r="H226" s="453"/>
      <c r="I226" s="133"/>
      <c r="J226" s="228"/>
      <c r="K226" s="228"/>
      <c r="L226" s="323" t="s">
        <v>3531</v>
      </c>
      <c r="M226" s="285"/>
      <c r="N226" s="133"/>
      <c r="O226" s="309"/>
      <c r="P226" s="104"/>
      <c r="Q226" s="104"/>
      <c r="R226" s="104"/>
      <c r="S226" s="104"/>
      <c r="T226" s="104"/>
      <c r="U226" s="104"/>
      <c r="V226" s="104"/>
      <c r="W226" s="335"/>
      <c r="X226" s="817"/>
    </row>
    <row r="227" spans="2:45" x14ac:dyDescent="0.35">
      <c r="B227" s="412" t="s">
        <v>892</v>
      </c>
      <c r="C227" s="50"/>
      <c r="D227" s="13"/>
      <c r="E227" s="13"/>
      <c r="F227" s="13"/>
      <c r="G227" s="13"/>
      <c r="H227" s="453"/>
      <c r="I227" s="117" t="s">
        <v>892</v>
      </c>
      <c r="J227" s="286"/>
      <c r="K227" s="286"/>
      <c r="L227" s="905" t="s">
        <v>893</v>
      </c>
      <c r="M227" s="915" t="s">
        <v>894</v>
      </c>
      <c r="N227" s="118"/>
      <c r="O227" s="823">
        <f>IF(ROUND(W228,0)&gt;=6,INDEX({3,3,3,3,2,2,0,0},BF16),IF(ROUND(W228,0)&gt;=3,INDEX({1,1,1,1,0,0,0,0},BF16),0))</f>
        <v>0</v>
      </c>
      <c r="P227" s="120"/>
      <c r="Q227" s="120"/>
      <c r="R227" s="120"/>
      <c r="S227" s="120"/>
      <c r="T227" s="120"/>
      <c r="U227" s="120"/>
      <c r="V227" s="120"/>
      <c r="W227" s="336" t="s">
        <v>3540</v>
      </c>
      <c r="X227" s="817"/>
      <c r="AL227" t="str">
        <f>SUBSTITUTE(SUBSTITUTE(SUBSTITUTE("dpa"&amp;$B227&amp;$C227&amp;$D227&amp;$E227,".","_"),"(","_"),")","")</f>
        <v>dpa703_2_2</v>
      </c>
      <c r="AM227" t="str">
        <f>M227</f>
        <v>Per Table 703.2.2</v>
      </c>
      <c r="AN227" t="str">
        <f>SUBSTITUTE(SUBSTITUTE(SUBSTITUTE("dpc"&amp;$B227&amp;$C227&amp;$D227&amp;$E227,".","_"),"(","_"),")","")</f>
        <v>dpc703_2_2</v>
      </c>
      <c r="AO227">
        <f>O227</f>
        <v>0</v>
      </c>
      <c r="AR227" t="str">
        <f>SUBSTITUTE(SUBSTITUTE(SUBSTITUTE("dnt"&amp;$B227&amp;$C227&amp;$D227&amp;$E227,".","_"),"(","_"),")","")</f>
        <v>dnt703_2_2</v>
      </c>
      <c r="AS227" t="str">
        <f>IF(LEN(X227)=0,"",X227)</f>
        <v/>
      </c>
    </row>
    <row r="228" spans="2:45" x14ac:dyDescent="0.35">
      <c r="B228" s="412" t="s">
        <v>892</v>
      </c>
      <c r="C228" s="50"/>
      <c r="D228" s="13"/>
      <c r="E228" s="13"/>
      <c r="F228" s="13"/>
      <c r="G228" s="13"/>
      <c r="H228" s="453"/>
      <c r="I228" s="133"/>
      <c r="J228" s="228"/>
      <c r="K228" s="228"/>
      <c r="L228" s="889"/>
      <c r="M228" s="916"/>
      <c r="N228" s="133"/>
      <c r="O228" s="824"/>
      <c r="P228" t="b">
        <v>1</v>
      </c>
      <c r="Q228" t="b">
        <v>1</v>
      </c>
      <c r="R228" s="104" t="b">
        <v>0</v>
      </c>
      <c r="S228" s="104" t="b">
        <f ca="1">AND(S13=2,NOT(AY57="No"))</f>
        <v>1</v>
      </c>
      <c r="T228" s="104" t="b">
        <f ca="1">AND(NOT(S228),LEN(W228)&gt;0)</f>
        <v>0</v>
      </c>
      <c r="U228" s="104"/>
      <c r="V228" s="104"/>
      <c r="W228" s="217"/>
      <c r="X228" s="817"/>
      <c r="AC228" t="b">
        <f ca="1">OR(AD228:AE228)</f>
        <v>0</v>
      </c>
      <c r="AD228" t="b">
        <f ca="1">T228</f>
        <v>0</v>
      </c>
      <c r="AP228" t="str">
        <f>SUBSTITUTE(SUBSTITUTE(SUBSTITUTE("dch"&amp;$B228&amp;$C228&amp;$D228&amp;$E228,".","_"),"(","_"),")","")</f>
        <v>dch703_2_2</v>
      </c>
      <c r="AQ228" t="str">
        <f>IF(LEN(W228)=0,"",W228)</f>
        <v/>
      </c>
    </row>
    <row r="229" spans="2:45" x14ac:dyDescent="0.35">
      <c r="B229" s="412" t="s">
        <v>895</v>
      </c>
      <c r="C229" s="50"/>
      <c r="D229" s="13"/>
      <c r="E229" s="13"/>
      <c r="F229" s="13"/>
      <c r="G229" s="13"/>
      <c r="H229" s="453"/>
      <c r="I229" s="117" t="s">
        <v>895</v>
      </c>
      <c r="J229" s="286"/>
      <c r="K229" s="286"/>
      <c r="L229" s="905" t="s">
        <v>896</v>
      </c>
      <c r="M229" s="917">
        <f>IFERROR(MIN(IF(AND(AY19=INDEX(ddSingleOrMulti,2),AY28&gt;3,BF16&lt;4),1,3),IF(BI16="Tropical",3,INDEX({2,3,3,1,1,0,0},BF16))),0)</f>
        <v>1</v>
      </c>
      <c r="N229" s="118"/>
      <c r="O229" s="823">
        <f ca="1">M229*S229*W229</f>
        <v>0</v>
      </c>
      <c r="P229" t="b">
        <v>1</v>
      </c>
      <c r="Q229" t="b">
        <v>1</v>
      </c>
      <c r="R229" s="120" t="b">
        <v>0</v>
      </c>
      <c r="S229" s="120" t="b">
        <f ca="1">(S13=2)</f>
        <v>1</v>
      </c>
      <c r="T229" s="120" t="b">
        <f ca="1">AND(NOT(S229),W229=TRUE)</f>
        <v>0</v>
      </c>
      <c r="U229" s="120"/>
      <c r="V229" s="120"/>
      <c r="W229" s="17"/>
      <c r="X229" s="817"/>
      <c r="AC229" t="b">
        <f ca="1">OR(AD229:AE229)</f>
        <v>0</v>
      </c>
      <c r="AD229" t="b">
        <f ca="1">T229</f>
        <v>0</v>
      </c>
      <c r="AL229" t="str">
        <f>SUBSTITUTE(SUBSTITUTE(SUBSTITUTE("dpa"&amp;$B229&amp;$C229&amp;$D229&amp;$E229,".","_"),"(","_"),")","")</f>
        <v>dpa703_2_3</v>
      </c>
      <c r="AM229">
        <f>M229</f>
        <v>1</v>
      </c>
      <c r="AN229" t="str">
        <f>SUBSTITUTE(SUBSTITUTE(SUBSTITUTE("dpc"&amp;$B229&amp;$C229&amp;$D229&amp;$E229,".","_"),"(","_"),")","")</f>
        <v>dpc703_2_3</v>
      </c>
      <c r="AO229">
        <f ca="1">O229</f>
        <v>0</v>
      </c>
      <c r="AP229" t="str">
        <f>SUBSTITUTE(SUBSTITUTE(SUBSTITUTE("dch"&amp;$B229&amp;$C229&amp;$D229&amp;$E229,".","_"),"(","_"),")","")</f>
        <v>dch703_2_3</v>
      </c>
      <c r="AQ229" t="str">
        <f>IF(LEN(W229)=0,"",W229)</f>
        <v/>
      </c>
      <c r="AR229" t="str">
        <f>SUBSTITUTE(SUBSTITUTE(SUBSTITUTE("dnt"&amp;$B229&amp;$C229&amp;$D229&amp;$E229,".","_"),"(","_"),")","")</f>
        <v>dnt703_2_3</v>
      </c>
      <c r="AS229" t="str">
        <f>IF(LEN(X229)=0,"",X229)</f>
        <v/>
      </c>
    </row>
    <row r="230" spans="2:45" x14ac:dyDescent="0.35">
      <c r="B230" s="412" t="s">
        <v>895</v>
      </c>
      <c r="C230" s="50"/>
      <c r="D230" s="13"/>
      <c r="E230" s="13"/>
      <c r="F230" s="13"/>
      <c r="G230" s="13"/>
      <c r="H230" s="453"/>
      <c r="I230" s="4"/>
      <c r="J230" s="90"/>
      <c r="K230" s="90"/>
      <c r="L230" s="838"/>
      <c r="M230" s="843"/>
      <c r="N230" s="4"/>
      <c r="O230" s="832"/>
      <c r="W230" s="65"/>
      <c r="X230" s="817"/>
    </row>
    <row r="231" spans="2:45" x14ac:dyDescent="0.35">
      <c r="B231" s="412" t="s">
        <v>895</v>
      </c>
      <c r="C231" s="50"/>
      <c r="D231" s="13"/>
      <c r="E231" s="13"/>
      <c r="F231" s="13"/>
      <c r="G231" s="13"/>
      <c r="H231" s="453"/>
      <c r="I231" s="133"/>
      <c r="J231" s="228"/>
      <c r="K231" s="228"/>
      <c r="L231" s="889"/>
      <c r="M231" s="906"/>
      <c r="N231" s="133"/>
      <c r="O231" s="824"/>
      <c r="P231" s="104"/>
      <c r="Q231" s="104"/>
      <c r="R231" s="104"/>
      <c r="S231" s="104"/>
      <c r="T231" s="104"/>
      <c r="U231" s="104"/>
      <c r="V231" s="104"/>
      <c r="W231" s="335"/>
      <c r="X231" s="817"/>
    </row>
    <row r="232" spans="2:45" ht="15" customHeight="1" x14ac:dyDescent="0.35">
      <c r="B232" s="412" t="s">
        <v>897</v>
      </c>
      <c r="C232" s="50"/>
      <c r="D232" s="13"/>
      <c r="E232" s="13"/>
      <c r="F232" s="13"/>
      <c r="G232" s="13"/>
      <c r="H232" s="453"/>
      <c r="I232" s="117" t="s">
        <v>897</v>
      </c>
      <c r="J232" s="286"/>
      <c r="K232" s="286"/>
      <c r="L232" s="905" t="s">
        <v>4270</v>
      </c>
      <c r="M232" s="915" t="s">
        <v>4271</v>
      </c>
      <c r="N232" s="118"/>
      <c r="O232" s="823">
        <f ca="1">MAX(S232:T232)*S233</f>
        <v>0</v>
      </c>
      <c r="R232" s="1" t="s">
        <v>4090</v>
      </c>
      <c r="S232" s="1">
        <f>Formulas!N$19</f>
        <v>0</v>
      </c>
      <c r="T232" s="1">
        <f>Formulas!O$19</f>
        <v>0</v>
      </c>
      <c r="W232" s="786" t="s">
        <v>4863</v>
      </c>
      <c r="X232" s="817"/>
      <c r="AL232" t="str">
        <f>SUBSTITUTE(SUBSTITUTE(SUBSTITUTE("dpa"&amp;$B232&amp;$C232&amp;$D232&amp;$E232,".","_"),"(","_"),")","")</f>
        <v>dpa703_2_4</v>
      </c>
      <c r="AM232" t="str">
        <f>M232</f>
        <v>Per Table 703.2.4a or 703.2.4b</v>
      </c>
      <c r="AN232" t="str">
        <f>SUBSTITUTE(SUBSTITUTE(SUBSTITUTE("dpc"&amp;$B232&amp;$C232&amp;$D232&amp;$E232,".","_"),"(","_"),")","")</f>
        <v>dpc703_2_4</v>
      </c>
      <c r="AO232">
        <f ca="1">O232</f>
        <v>0</v>
      </c>
      <c r="AR232" t="str">
        <f>SUBSTITUTE(SUBSTITUTE(SUBSTITUTE("dnt"&amp;$B232&amp;$C232&amp;$D232&amp;$E232,".","_"),"(","_"),")","")</f>
        <v>dnt703_2_4</v>
      </c>
      <c r="AS232" t="str">
        <f>IF(LEN(X232)=0,"",X232)</f>
        <v/>
      </c>
    </row>
    <row r="233" spans="2:45" x14ac:dyDescent="0.35">
      <c r="B233" s="412" t="s">
        <v>897</v>
      </c>
      <c r="C233" s="50"/>
      <c r="D233" s="13"/>
      <c r="E233" s="13"/>
      <c r="F233" s="13"/>
      <c r="G233" s="13"/>
      <c r="H233" s="453"/>
      <c r="I233" s="4"/>
      <c r="J233" s="90"/>
      <c r="K233" s="90"/>
      <c r="L233" s="838"/>
      <c r="M233" s="918"/>
      <c r="N233" s="4"/>
      <c r="O233" s="832"/>
      <c r="R233" t="b">
        <v>0</v>
      </c>
      <c r="S233" t="b">
        <f ca="1">(S13=2)</f>
        <v>1</v>
      </c>
      <c r="T233" t="b">
        <v>0</v>
      </c>
      <c r="W233" s="788"/>
      <c r="X233" s="817"/>
    </row>
    <row r="234" spans="2:45" x14ac:dyDescent="0.35">
      <c r="B234" s="412" t="s">
        <v>897</v>
      </c>
      <c r="C234" s="50"/>
      <c r="D234" s="13"/>
      <c r="E234" s="13"/>
      <c r="F234" s="13"/>
      <c r="G234" s="13"/>
      <c r="H234" s="453"/>
      <c r="I234" s="133"/>
      <c r="J234" s="228"/>
      <c r="K234" s="228"/>
      <c r="L234" s="889"/>
      <c r="M234" s="916"/>
      <c r="N234" s="133"/>
      <c r="O234" s="824"/>
      <c r="R234" s="1" t="s">
        <v>4858</v>
      </c>
      <c r="S234" s="298">
        <f>Formulas!N6</f>
        <v>3</v>
      </c>
      <c r="T234" s="298">
        <f>Formulas!O6</f>
        <v>0</v>
      </c>
      <c r="W234" s="564">
        <f>IF(S232&gt;=T232,S234,T234)</f>
        <v>3</v>
      </c>
      <c r="X234" s="817"/>
    </row>
    <row r="235" spans="2:45" x14ac:dyDescent="0.35">
      <c r="B235" s="50" t="s">
        <v>898</v>
      </c>
      <c r="C235" s="50"/>
      <c r="D235" s="13"/>
      <c r="E235" s="13"/>
      <c r="F235" s="13"/>
      <c r="G235" s="13"/>
      <c r="H235" s="453"/>
      <c r="I235" s="32" t="s">
        <v>898</v>
      </c>
      <c r="J235" s="90"/>
      <c r="K235" s="90"/>
      <c r="L235" s="95" t="s">
        <v>899</v>
      </c>
      <c r="M235" s="40"/>
      <c r="N235" s="4"/>
      <c r="O235" s="75"/>
    </row>
    <row r="236" spans="2:45" ht="15" customHeight="1" x14ac:dyDescent="0.35">
      <c r="B236" s="412" t="s">
        <v>900</v>
      </c>
      <c r="C236" s="50"/>
      <c r="D236" s="13"/>
      <c r="E236" s="13"/>
      <c r="F236" s="13"/>
      <c r="G236" s="13"/>
      <c r="H236" s="453"/>
      <c r="I236" s="32" t="s">
        <v>900</v>
      </c>
      <c r="J236" s="90"/>
      <c r="K236" s="90"/>
      <c r="L236" s="814" t="s">
        <v>901</v>
      </c>
      <c r="M236" s="885" t="str">
        <f ca="1">IF(R236,"Mandatory","N/A")</f>
        <v>Mandatory</v>
      </c>
      <c r="N236" s="4"/>
      <c r="O236" s="75"/>
      <c r="P236" t="b">
        <v>1</v>
      </c>
      <c r="Q236" t="b">
        <v>1</v>
      </c>
      <c r="R236" t="b">
        <f ca="1">AND(S236,NOT(BI16="Tropical"))</f>
        <v>1</v>
      </c>
      <c r="S236" t="b">
        <f ca="1">(S13=2)</f>
        <v>1</v>
      </c>
      <c r="T236" t="b">
        <f ca="1">AND(NOT(S236),LEN(W236)&gt;0)</f>
        <v>0</v>
      </c>
      <c r="U236" t="str">
        <f>SUBSTITUTE(SUBSTITUTE(SUBSTITUTE("dd"&amp;B236&amp;C236&amp;D236&amp;E236&amp;F236,".","_"),"(","_"),")","")</f>
        <v>dd703_2_5_1</v>
      </c>
      <c r="W236" s="9" t="s">
        <v>3038</v>
      </c>
      <c r="X236" s="817"/>
      <c r="AC236" t="b">
        <f ca="1">OR(AD236:AE236)</f>
        <v>0</v>
      </c>
      <c r="AD236" t="b">
        <f ca="1">T236</f>
        <v>0</v>
      </c>
      <c r="AE236" t="b">
        <f ca="1">AND(R236,OR(W236="Not Met",W236=""))</f>
        <v>0</v>
      </c>
      <c r="AL236" t="str">
        <f>SUBSTITUTE(SUBSTITUTE(SUBSTITUTE("dpa"&amp;$B236&amp;$C236&amp;$D236&amp;$E236,".","_"),"(","_"),")","")</f>
        <v>dpa703_2_5_1</v>
      </c>
      <c r="AM236" t="str">
        <f ca="1">M236</f>
        <v>Mandatory</v>
      </c>
      <c r="AP236" t="str">
        <f>SUBSTITUTE(SUBSTITUTE(SUBSTITUTE("dch"&amp;$B236&amp;$C236&amp;$D236&amp;$E236,".","_"),"(","_"),")","")</f>
        <v>dch703_2_5_1</v>
      </c>
      <c r="AQ236" t="str">
        <f>IF(LEN(W236)=0,"",W236)</f>
        <v>Met</v>
      </c>
      <c r="AR236" t="str">
        <f>SUBSTITUTE(SUBSTITUTE(SUBSTITUTE("dnt"&amp;$B236&amp;$C236&amp;$D236&amp;$E236,".","_"),"(","_"),")","")</f>
        <v>dnt703_2_5_1</v>
      </c>
      <c r="AS236" t="str">
        <f>IF(LEN(X236)=0,"",X236)</f>
        <v/>
      </c>
    </row>
    <row r="237" spans="2:45" x14ac:dyDescent="0.35">
      <c r="B237" s="412" t="s">
        <v>900</v>
      </c>
      <c r="C237" s="50"/>
      <c r="D237" s="13"/>
      <c r="E237" s="13"/>
      <c r="F237" s="13"/>
      <c r="G237" s="13"/>
      <c r="H237" s="453"/>
      <c r="I237" s="4"/>
      <c r="J237" s="90"/>
      <c r="K237" s="90"/>
      <c r="L237" s="814"/>
      <c r="M237" s="885"/>
      <c r="N237" s="4"/>
      <c r="O237" s="75"/>
      <c r="X237" s="817"/>
    </row>
    <row r="238" spans="2:45" x14ac:dyDescent="0.35">
      <c r="B238" s="412" t="s">
        <v>900</v>
      </c>
      <c r="C238" s="50"/>
      <c r="D238" s="13"/>
      <c r="E238" s="13"/>
      <c r="F238" s="13"/>
      <c r="G238" s="13"/>
      <c r="H238" s="453"/>
      <c r="I238" s="4"/>
      <c r="J238" s="90"/>
      <c r="K238" s="90"/>
      <c r="L238" s="814"/>
      <c r="M238" s="885"/>
      <c r="N238" s="4"/>
      <c r="O238" s="75"/>
      <c r="X238" s="817"/>
    </row>
    <row r="239" spans="2:45" x14ac:dyDescent="0.35">
      <c r="B239" s="412" t="s">
        <v>900</v>
      </c>
      <c r="C239" s="50"/>
      <c r="D239" s="13"/>
      <c r="E239" s="13"/>
      <c r="F239" s="13"/>
      <c r="G239" s="13"/>
      <c r="H239" s="453"/>
      <c r="I239" s="4"/>
      <c r="J239" s="90"/>
      <c r="K239" s="90"/>
      <c r="L239" s="814"/>
      <c r="M239" s="885"/>
      <c r="N239" s="4"/>
      <c r="O239" s="75"/>
      <c r="X239" s="817"/>
    </row>
    <row r="240" spans="2:45" x14ac:dyDescent="0.35">
      <c r="B240" s="412" t="s">
        <v>900</v>
      </c>
      <c r="C240" s="50"/>
      <c r="D240" s="13"/>
      <c r="E240" s="13"/>
      <c r="F240" s="13"/>
      <c r="G240" s="13"/>
      <c r="H240" s="453"/>
      <c r="I240" s="4"/>
      <c r="J240" s="90"/>
      <c r="K240" s="90"/>
      <c r="L240" s="814"/>
      <c r="M240" s="885"/>
      <c r="N240" s="4"/>
      <c r="O240" s="75"/>
      <c r="X240" s="817"/>
    </row>
    <row r="241" spans="2:45" x14ac:dyDescent="0.35">
      <c r="B241" s="412" t="s">
        <v>900</v>
      </c>
      <c r="C241" s="50"/>
      <c r="D241" s="13"/>
      <c r="E241" s="13"/>
      <c r="F241" s="13"/>
      <c r="G241" s="13"/>
      <c r="H241" s="453"/>
      <c r="I241" s="4"/>
      <c r="J241" s="90"/>
      <c r="K241" s="90"/>
      <c r="L241" s="814"/>
      <c r="M241" s="885"/>
      <c r="N241" s="4"/>
      <c r="O241" s="75"/>
      <c r="X241" s="817"/>
    </row>
    <row r="242" spans="2:45" x14ac:dyDescent="0.35">
      <c r="B242" s="412" t="s">
        <v>900</v>
      </c>
      <c r="C242" s="50"/>
      <c r="D242" s="13"/>
      <c r="E242" s="13"/>
      <c r="F242" s="13"/>
      <c r="G242" s="13"/>
      <c r="H242" s="453"/>
      <c r="I242" s="4"/>
      <c r="J242" s="90"/>
      <c r="K242" s="90"/>
      <c r="L242" s="814"/>
      <c r="M242" s="885"/>
      <c r="N242" s="4"/>
      <c r="O242" s="75"/>
      <c r="X242" s="817"/>
    </row>
    <row r="243" spans="2:45" x14ac:dyDescent="0.35">
      <c r="B243" s="412" t="s">
        <v>900</v>
      </c>
      <c r="C243" s="50"/>
      <c r="D243" s="13"/>
      <c r="E243" s="13"/>
      <c r="F243" s="13"/>
      <c r="G243" s="13"/>
      <c r="H243" s="453"/>
      <c r="I243" s="133"/>
      <c r="J243" s="228"/>
      <c r="K243" s="228"/>
      <c r="L243" s="323" t="s">
        <v>3778</v>
      </c>
      <c r="M243" s="269"/>
      <c r="N243" s="4"/>
      <c r="O243" s="75"/>
      <c r="X243" s="817"/>
    </row>
    <row r="244" spans="2:45" x14ac:dyDescent="0.35">
      <c r="B244" s="412" t="s">
        <v>902</v>
      </c>
      <c r="C244" s="50"/>
      <c r="D244" s="13"/>
      <c r="E244" s="13"/>
      <c r="F244" s="13"/>
      <c r="G244" s="13"/>
      <c r="H244" s="453"/>
      <c r="I244" s="330" t="s">
        <v>902</v>
      </c>
      <c r="J244" s="286"/>
      <c r="K244" s="286"/>
      <c r="L244" s="905" t="s">
        <v>903</v>
      </c>
      <c r="M244" s="40"/>
      <c r="N244" s="4"/>
      <c r="O244" s="75"/>
      <c r="P244" t="b">
        <v>1</v>
      </c>
      <c r="Q244" t="b">
        <v>1</v>
      </c>
      <c r="R244" t="b">
        <f ca="1">AND(S244,NOT(BI16="Tropical"))</f>
        <v>1</v>
      </c>
      <c r="S244" t="b">
        <f ca="1">(S13=2)</f>
        <v>1</v>
      </c>
      <c r="T244" t="b">
        <f ca="1">AND(NOT(S244),LEN(W244)&gt;0)</f>
        <v>0</v>
      </c>
      <c r="U244" t="str">
        <f>SUBSTITUTE(SUBSTITUTE(SUBSTITUTE("dd"&amp;B244&amp;C244&amp;D244&amp;E244&amp;F244,".","_"),"(","_"),")","")</f>
        <v>dd703_2_5_1_1</v>
      </c>
      <c r="W244" s="9" t="s">
        <v>3040</v>
      </c>
      <c r="X244" s="817"/>
      <c r="AC244" t="b">
        <f ca="1">OR(AD244:AE244)</f>
        <v>0</v>
      </c>
      <c r="AD244" t="b">
        <f ca="1">T244</f>
        <v>0</v>
      </c>
      <c r="AE244" t="b">
        <f ca="1">AND(R244,OR(W244="Not Met",W244=""))</f>
        <v>0</v>
      </c>
      <c r="AP244" t="str">
        <f>SUBSTITUTE(SUBSTITUTE(SUBSTITUTE("dch"&amp;$B244&amp;$C244&amp;$D244&amp;$E244,".","_"),"(","_"),")","")</f>
        <v>dch703_2_5_1_1</v>
      </c>
      <c r="AQ244" t="str">
        <f>IF(LEN(W244)=0,"",W244)</f>
        <v>N/A</v>
      </c>
      <c r="AR244" t="str">
        <f>SUBSTITUTE(SUBSTITUTE(SUBSTITUTE("dnt"&amp;$B244&amp;$C244&amp;$D244&amp;$E244,".","_"),"(","_"),")","")</f>
        <v>dnt703_2_5_1_1</v>
      </c>
      <c r="AS244" t="str">
        <f>IF(LEN(X244)=0,"",X244)</f>
        <v/>
      </c>
    </row>
    <row r="245" spans="2:45" x14ac:dyDescent="0.35">
      <c r="B245" s="412" t="s">
        <v>902</v>
      </c>
      <c r="C245" s="50"/>
      <c r="D245" s="13"/>
      <c r="E245" s="13"/>
      <c r="F245" s="13"/>
      <c r="G245" s="13"/>
      <c r="H245" s="453"/>
      <c r="I245" s="4"/>
      <c r="J245" s="90"/>
      <c r="K245" s="90"/>
      <c r="L245" s="838"/>
      <c r="M245" s="40"/>
      <c r="N245" s="4"/>
      <c r="O245" s="75"/>
      <c r="X245" s="817"/>
    </row>
    <row r="246" spans="2:45" x14ac:dyDescent="0.35">
      <c r="B246" s="412" t="s">
        <v>902</v>
      </c>
      <c r="C246" s="50"/>
      <c r="D246" s="13"/>
      <c r="E246" s="13"/>
      <c r="F246" s="13"/>
      <c r="G246" s="13"/>
      <c r="H246" s="453"/>
      <c r="I246" s="4"/>
      <c r="J246" s="90"/>
      <c r="K246" s="90"/>
      <c r="L246" s="838"/>
      <c r="M246" s="40"/>
      <c r="N246" s="4"/>
      <c r="O246" s="75"/>
      <c r="X246" s="817"/>
    </row>
    <row r="247" spans="2:45" x14ac:dyDescent="0.35">
      <c r="B247" s="412" t="s">
        <v>902</v>
      </c>
      <c r="C247" s="50"/>
      <c r="D247" s="13"/>
      <c r="E247" s="13"/>
      <c r="F247" s="13"/>
      <c r="G247" s="13"/>
      <c r="H247" s="453"/>
      <c r="I247" s="4"/>
      <c r="J247" s="90"/>
      <c r="K247" s="90"/>
      <c r="L247" s="838"/>
      <c r="M247" s="40"/>
      <c r="N247" s="4"/>
      <c r="O247" s="75"/>
      <c r="X247" s="817"/>
    </row>
    <row r="248" spans="2:45" x14ac:dyDescent="0.35">
      <c r="B248" s="412" t="s">
        <v>902</v>
      </c>
      <c r="C248" s="50"/>
      <c r="D248" s="13"/>
      <c r="E248" s="13"/>
      <c r="F248" s="13"/>
      <c r="G248" s="13"/>
      <c r="H248" s="453"/>
      <c r="I248" s="4"/>
      <c r="J248" s="90"/>
      <c r="K248" s="90"/>
      <c r="L248" s="838"/>
      <c r="M248" s="40"/>
      <c r="N248" s="4"/>
      <c r="O248" s="75"/>
      <c r="X248" s="817"/>
    </row>
    <row r="249" spans="2:45" x14ac:dyDescent="0.35">
      <c r="B249" s="412" t="s">
        <v>902</v>
      </c>
      <c r="C249" s="50"/>
      <c r="D249" s="13"/>
      <c r="E249" s="13"/>
      <c r="F249" s="13"/>
      <c r="G249" s="13"/>
      <c r="H249" s="453"/>
      <c r="I249" s="4"/>
      <c r="J249" s="90"/>
      <c r="K249" s="90"/>
      <c r="L249" s="838"/>
      <c r="M249" s="40"/>
      <c r="N249" s="4"/>
      <c r="O249" s="75"/>
      <c r="X249" s="817"/>
    </row>
    <row r="250" spans="2:45" x14ac:dyDescent="0.35">
      <c r="B250" s="412" t="s">
        <v>902</v>
      </c>
      <c r="C250" s="50"/>
      <c r="D250" s="13"/>
      <c r="E250" s="13"/>
      <c r="F250" s="13"/>
      <c r="G250" s="13"/>
      <c r="H250" s="453"/>
      <c r="I250" s="4"/>
      <c r="J250" s="90"/>
      <c r="K250" s="90"/>
      <c r="L250" s="838"/>
      <c r="M250" s="40"/>
      <c r="N250" s="4"/>
      <c r="O250" s="75"/>
      <c r="X250" s="817"/>
    </row>
    <row r="251" spans="2:45" x14ac:dyDescent="0.35">
      <c r="B251" s="412" t="s">
        <v>902</v>
      </c>
      <c r="C251" s="50"/>
      <c r="D251" s="13"/>
      <c r="E251" s="13"/>
      <c r="F251" s="13"/>
      <c r="G251" s="13"/>
      <c r="H251" s="453"/>
      <c r="I251" s="133"/>
      <c r="J251" s="228"/>
      <c r="K251" s="228"/>
      <c r="L251" s="889"/>
      <c r="M251" s="268"/>
      <c r="N251" s="4"/>
      <c r="O251" s="75"/>
      <c r="X251" s="817"/>
    </row>
    <row r="252" spans="2:45" ht="15" customHeight="1" x14ac:dyDescent="0.35">
      <c r="B252" s="412" t="s">
        <v>904</v>
      </c>
      <c r="C252" s="50"/>
      <c r="D252" s="13"/>
      <c r="E252" s="13"/>
      <c r="F252" s="13"/>
      <c r="G252" s="13"/>
      <c r="H252" s="453"/>
      <c r="I252" s="32" t="s">
        <v>904</v>
      </c>
      <c r="J252" s="90"/>
      <c r="K252" s="90"/>
      <c r="L252" s="838" t="s">
        <v>905</v>
      </c>
      <c r="M252" s="780" t="s">
        <v>3780</v>
      </c>
      <c r="N252" s="4"/>
      <c r="O252" s="832">
        <f ca="1">IFERROR(INDEX(M257:M259,MATCH(W252,INDIRECT(U252),0)),0)*S252</f>
        <v>0</v>
      </c>
      <c r="P252" t="b">
        <v>1</v>
      </c>
      <c r="Q252" t="b">
        <v>1</v>
      </c>
      <c r="R252" t="b">
        <v>0</v>
      </c>
      <c r="S252" t="b">
        <f ca="1">AND(S13=2,OR(W260="Met",W260="N/A"))</f>
        <v>0</v>
      </c>
      <c r="T252" t="b">
        <f ca="1">AND(NOT(S252),LEN(W252)&gt;0)</f>
        <v>0</v>
      </c>
      <c r="U252" t="str">
        <f>SUBSTITUTE(SUBSTITUTE(SUBSTITUTE("dd"&amp;B252&amp;C252&amp;D252&amp;E252&amp;F252,".","_"),"(","_"),")","")</f>
        <v>dd703_2_5_2</v>
      </c>
      <c r="W252" s="9"/>
      <c r="X252" s="817"/>
      <c r="AC252" t="b">
        <f ca="1">OR(AD252:AE252)</f>
        <v>0</v>
      </c>
      <c r="AD252" t="b">
        <f ca="1">T252</f>
        <v>0</v>
      </c>
      <c r="AL252" t="str">
        <f>SUBSTITUTE(SUBSTITUTE(SUBSTITUTE("dpa"&amp;$B252&amp;$C252&amp;$D252&amp;$E252,".","_"),"(","_"),")","")</f>
        <v>dpa703_2_5_2</v>
      </c>
      <c r="AM252" t="str">
        <f>M252</f>
        <v>Per Table 703.2.5.2(a) or
703.2.5.2(b) or 
703.2.5.2(c)</v>
      </c>
      <c r="AN252" t="str">
        <f>SUBSTITUTE(SUBSTITUTE(SUBSTITUTE("dpc"&amp;$B252&amp;$C252&amp;$D252&amp;$E252,".","_"),"(","_"),")","")</f>
        <v>dpc703_2_5_2</v>
      </c>
      <c r="AO252">
        <f ca="1">O252</f>
        <v>0</v>
      </c>
      <c r="AP252" t="str">
        <f>SUBSTITUTE(SUBSTITUTE(SUBSTITUTE("dch"&amp;$B252&amp;$C252&amp;$D252&amp;$E252,".","_"),"(","_"),")","")</f>
        <v>dch703_2_5_2</v>
      </c>
      <c r="AQ252" t="str">
        <f>IF(LEN(W252)=0,"",W252)</f>
        <v/>
      </c>
      <c r="AR252" t="str">
        <f>SUBSTITUTE(SUBSTITUTE(SUBSTITUTE("dnt"&amp;$B252&amp;$C252&amp;$D252&amp;$E252,".","_"),"(","_"),")","")</f>
        <v>dnt703_2_5_2</v>
      </c>
      <c r="AS252" t="str">
        <f>IF(LEN(X252)=0,"",X252)</f>
        <v/>
      </c>
    </row>
    <row r="253" spans="2:45" x14ac:dyDescent="0.35">
      <c r="B253" s="412" t="s">
        <v>904</v>
      </c>
      <c r="C253" s="50"/>
      <c r="D253" s="13"/>
      <c r="E253" s="13"/>
      <c r="F253" s="13"/>
      <c r="G253" s="13"/>
      <c r="H253" s="453"/>
      <c r="I253" s="4"/>
      <c r="J253" s="90"/>
      <c r="K253" s="90"/>
      <c r="L253" s="838"/>
      <c r="M253" s="780"/>
      <c r="N253" s="4"/>
      <c r="O253" s="832"/>
      <c r="X253" s="817"/>
    </row>
    <row r="254" spans="2:45" x14ac:dyDescent="0.35">
      <c r="B254" s="412" t="s">
        <v>904</v>
      </c>
      <c r="C254" s="50"/>
      <c r="D254" s="13"/>
      <c r="E254" s="13"/>
      <c r="F254" s="13"/>
      <c r="G254" s="13"/>
      <c r="H254" s="453"/>
      <c r="I254" s="4"/>
      <c r="J254" s="90"/>
      <c r="K254" s="90"/>
      <c r="L254" s="838"/>
      <c r="M254" s="780"/>
      <c r="N254" s="4"/>
      <c r="O254" s="832"/>
      <c r="X254" s="817"/>
    </row>
    <row r="255" spans="2:45" x14ac:dyDescent="0.35">
      <c r="B255" s="412" t="s">
        <v>904</v>
      </c>
      <c r="C255" s="50"/>
      <c r="D255" s="13"/>
      <c r="E255" s="13"/>
      <c r="F255" s="13"/>
      <c r="G255" s="13"/>
      <c r="H255" s="453"/>
      <c r="I255" s="4"/>
      <c r="J255" s="90"/>
      <c r="K255" s="90"/>
      <c r="L255" s="838"/>
      <c r="M255" s="780"/>
      <c r="N255" s="4"/>
      <c r="O255" s="832"/>
      <c r="X255" s="817"/>
    </row>
    <row r="256" spans="2:45" ht="15" customHeight="1" x14ac:dyDescent="0.35">
      <c r="B256" s="412" t="s">
        <v>904</v>
      </c>
      <c r="C256" s="50"/>
      <c r="D256" s="13"/>
      <c r="E256" s="13"/>
      <c r="F256" s="13"/>
      <c r="G256" s="13"/>
      <c r="H256" s="453"/>
      <c r="I256" s="4"/>
      <c r="J256" s="90"/>
      <c r="K256" s="90"/>
      <c r="L256" s="838"/>
      <c r="M256" s="780"/>
      <c r="N256" s="4"/>
      <c r="O256" s="832"/>
      <c r="X256" s="817"/>
    </row>
    <row r="257" spans="2:45" ht="15" customHeight="1" x14ac:dyDescent="0.35">
      <c r="B257" s="412" t="s">
        <v>904</v>
      </c>
      <c r="C257" s="50"/>
      <c r="D257" s="13" t="s">
        <v>121</v>
      </c>
      <c r="E257" s="13"/>
      <c r="F257" s="13"/>
      <c r="G257" s="13"/>
      <c r="H257" s="453"/>
      <c r="I257" s="4"/>
      <c r="J257" s="90"/>
      <c r="K257" s="326" t="s">
        <v>121</v>
      </c>
      <c r="L257" s="281" t="s">
        <v>3479</v>
      </c>
      <c r="M257" s="290">
        <f>IFERROR(INDEX({1,1,2,3,3,4,4,4},T286),0)</f>
        <v>3</v>
      </c>
      <c r="N257" s="4"/>
      <c r="O257" s="75"/>
      <c r="X257" s="817"/>
      <c r="AL257" t="str">
        <f>SUBSTITUTE(SUBSTITUTE(SUBSTITUTE("dpa"&amp;$B257&amp;$C257&amp;$D257&amp;$E257,".","_"),"(","_"),")","")</f>
        <v>dpa703_2_5_2_a</v>
      </c>
      <c r="AM257">
        <f>M257</f>
        <v>3</v>
      </c>
    </row>
    <row r="258" spans="2:45" ht="15" customHeight="1" x14ac:dyDescent="0.35">
      <c r="B258" s="412" t="s">
        <v>904</v>
      </c>
      <c r="C258" s="50"/>
      <c r="D258" s="13" t="s">
        <v>122</v>
      </c>
      <c r="E258" s="13"/>
      <c r="F258" s="13"/>
      <c r="G258" s="13"/>
      <c r="H258" s="453"/>
      <c r="I258" s="4"/>
      <c r="J258" s="90"/>
      <c r="K258" s="326" t="s">
        <v>122</v>
      </c>
      <c r="L258" s="281" t="s">
        <v>3478</v>
      </c>
      <c r="M258" s="290">
        <f>IFERROR(INDEX({2,3,4,4,4,5,5,4},T286),0)</f>
        <v>4</v>
      </c>
      <c r="N258" s="4"/>
      <c r="O258" s="75"/>
      <c r="X258" s="817"/>
      <c r="AL258" t="str">
        <f>SUBSTITUTE(SUBSTITUTE(SUBSTITUTE("dpa"&amp;$B258&amp;$C258&amp;$D258&amp;$E258,".","_"),"(","_"),")","")</f>
        <v>dpa703_2_5_2_b</v>
      </c>
      <c r="AM258">
        <f>M258</f>
        <v>4</v>
      </c>
    </row>
    <row r="259" spans="2:45" ht="15" customHeight="1" x14ac:dyDescent="0.35">
      <c r="B259" s="412" t="s">
        <v>904</v>
      </c>
      <c r="C259" s="50"/>
      <c r="D259" s="13" t="s">
        <v>123</v>
      </c>
      <c r="E259" s="13"/>
      <c r="F259" s="13"/>
      <c r="G259" s="13"/>
      <c r="H259" s="453"/>
      <c r="I259" s="133"/>
      <c r="J259" s="228"/>
      <c r="K259" s="345" t="s">
        <v>123</v>
      </c>
      <c r="L259" s="177" t="s">
        <v>3477</v>
      </c>
      <c r="M259" s="78">
        <f>IF(T287,3,1)*IFERROR(INDEX({0,0,0,6,6,6,6,6},T286),0)</f>
        <v>6</v>
      </c>
      <c r="N259" s="4"/>
      <c r="O259" s="75"/>
      <c r="X259" s="817"/>
      <c r="AL259" t="str">
        <f>SUBSTITUTE(SUBSTITUTE(SUBSTITUTE("dpa"&amp;$B259&amp;$C259&amp;$D259&amp;$E259,".","_"),"(","_"),")","")</f>
        <v>dpa703_2_5_2_c</v>
      </c>
      <c r="AM259">
        <f>M259</f>
        <v>6</v>
      </c>
    </row>
    <row r="260" spans="2:45" x14ac:dyDescent="0.35">
      <c r="B260" s="412" t="s">
        <v>906</v>
      </c>
      <c r="C260" s="50"/>
      <c r="D260" s="13"/>
      <c r="E260" s="13"/>
      <c r="F260" s="13"/>
      <c r="G260" s="13"/>
      <c r="H260" s="453"/>
      <c r="I260" s="32" t="s">
        <v>906</v>
      </c>
      <c r="J260" s="90"/>
      <c r="L260" s="838" t="s">
        <v>907</v>
      </c>
      <c r="M260" s="283"/>
      <c r="N260" s="4"/>
      <c r="O260" s="75"/>
      <c r="P260" t="b">
        <v>1</v>
      </c>
      <c r="Q260" t="b">
        <v>1</v>
      </c>
      <c r="R260" t="b">
        <v>0</v>
      </c>
      <c r="S260" t="b">
        <f ca="1">(S13=2)</f>
        <v>1</v>
      </c>
      <c r="T260" t="b">
        <f ca="1">AND(NOT(S260),LEN(W260)&gt;0)</f>
        <v>0</v>
      </c>
      <c r="U260" t="str">
        <f>SUBSTITUTE(SUBSTITUTE(SUBSTITUTE("dd"&amp;B260&amp;C260&amp;D260&amp;E260&amp;F260,".","_"),"(","_"),")","")</f>
        <v>dd703_2_5_2_1</v>
      </c>
      <c r="W260" s="9"/>
      <c r="X260" s="817"/>
      <c r="AC260" t="b">
        <f ca="1">OR(AD260:AE260)</f>
        <v>0</v>
      </c>
      <c r="AD260" t="b">
        <f ca="1">T260</f>
        <v>0</v>
      </c>
      <c r="AP260" t="str">
        <f>SUBSTITUTE(SUBSTITUTE(SUBSTITUTE("dch"&amp;$B260&amp;$C260&amp;$D260&amp;$E260,".","_"),"(","_"),")","")</f>
        <v>dch703_2_5_2_1</v>
      </c>
      <c r="AQ260" t="str">
        <f>IF(LEN(W260)=0,"",W260)</f>
        <v/>
      </c>
      <c r="AR260" t="str">
        <f>SUBSTITUTE(SUBSTITUTE(SUBSTITUTE("dnt"&amp;$B260&amp;$C260&amp;$D260&amp;$E260,".","_"),"(","_"),")","")</f>
        <v>dnt703_2_5_2_1</v>
      </c>
      <c r="AS260" t="str">
        <f>IF(LEN(X260)=0,"",X260)</f>
        <v/>
      </c>
    </row>
    <row r="261" spans="2:45" x14ac:dyDescent="0.35">
      <c r="B261" s="412" t="s">
        <v>906</v>
      </c>
      <c r="C261" s="50"/>
      <c r="D261" s="13"/>
      <c r="E261" s="13"/>
      <c r="F261" s="13"/>
      <c r="G261" s="13"/>
      <c r="H261" s="453"/>
      <c r="I261" s="4"/>
      <c r="J261" s="90"/>
      <c r="K261" s="90"/>
      <c r="L261" s="838"/>
      <c r="M261" s="283"/>
      <c r="N261" s="4"/>
      <c r="O261" s="75"/>
      <c r="X261" s="817"/>
    </row>
    <row r="262" spans="2:45" x14ac:dyDescent="0.35">
      <c r="B262" s="412" t="s">
        <v>906</v>
      </c>
      <c r="C262" s="50"/>
      <c r="D262" s="13"/>
      <c r="E262" s="13"/>
      <c r="F262" s="13"/>
      <c r="G262" s="13"/>
      <c r="H262" s="453"/>
      <c r="I262" s="4"/>
      <c r="J262" s="90"/>
      <c r="K262" s="90"/>
      <c r="L262" s="838"/>
      <c r="M262" s="283"/>
      <c r="N262" s="4"/>
      <c r="O262" s="75"/>
      <c r="X262" s="817"/>
    </row>
    <row r="263" spans="2:45" x14ac:dyDescent="0.35">
      <c r="B263" s="412" t="s">
        <v>906</v>
      </c>
      <c r="C263" s="50"/>
      <c r="D263" s="13"/>
      <c r="E263" s="13"/>
      <c r="F263" s="13"/>
      <c r="G263" s="13"/>
      <c r="H263" s="453"/>
      <c r="I263" s="4"/>
      <c r="J263" s="90"/>
      <c r="K263" s="90"/>
      <c r="L263" s="838"/>
      <c r="M263" s="283"/>
      <c r="N263" s="4"/>
      <c r="O263" s="75"/>
      <c r="X263" s="817"/>
    </row>
    <row r="264" spans="2:45" x14ac:dyDescent="0.35">
      <c r="B264" s="412" t="s">
        <v>906</v>
      </c>
      <c r="C264" s="50"/>
      <c r="D264" s="13"/>
      <c r="E264" s="13"/>
      <c r="F264" s="13"/>
      <c r="G264" s="13"/>
      <c r="H264" s="453"/>
      <c r="I264" s="4"/>
      <c r="J264" s="90"/>
      <c r="K264" s="90"/>
      <c r="L264" s="838"/>
      <c r="M264" s="283"/>
      <c r="N264" s="4"/>
      <c r="O264" s="75"/>
      <c r="X264" s="817"/>
    </row>
    <row r="265" spans="2:45" x14ac:dyDescent="0.35">
      <c r="B265" s="412" t="s">
        <v>906</v>
      </c>
      <c r="C265" s="50"/>
      <c r="D265" s="13"/>
      <c r="E265" s="13"/>
      <c r="F265" s="13"/>
      <c r="G265" s="13"/>
      <c r="H265" s="453"/>
      <c r="I265" s="4"/>
      <c r="J265" s="90"/>
      <c r="K265" s="90"/>
      <c r="L265" s="838"/>
      <c r="M265" s="283"/>
      <c r="N265" s="4"/>
      <c r="O265" s="75"/>
      <c r="X265" s="817"/>
    </row>
    <row r="266" spans="2:45" x14ac:dyDescent="0.35">
      <c r="B266" s="412" t="s">
        <v>906</v>
      </c>
      <c r="C266" s="50"/>
      <c r="D266" s="13"/>
      <c r="E266" s="13"/>
      <c r="F266" s="13"/>
      <c r="G266" s="13"/>
      <c r="H266" s="453"/>
      <c r="I266" s="4"/>
      <c r="J266" s="90"/>
      <c r="K266" s="90"/>
      <c r="L266" s="838"/>
      <c r="M266" s="283"/>
      <c r="N266" s="4"/>
      <c r="O266" s="75"/>
      <c r="X266" s="817"/>
    </row>
    <row r="267" spans="2:45" x14ac:dyDescent="0.35">
      <c r="B267" s="412" t="s">
        <v>906</v>
      </c>
      <c r="C267" s="50"/>
      <c r="D267" s="13"/>
      <c r="E267" s="13"/>
      <c r="F267" s="13"/>
      <c r="G267" s="13"/>
      <c r="H267" s="453"/>
      <c r="I267" s="4"/>
      <c r="J267" s="90"/>
      <c r="K267" s="90"/>
      <c r="L267" s="838"/>
      <c r="M267" s="283"/>
      <c r="N267" s="4"/>
      <c r="O267" s="75"/>
      <c r="X267" s="817"/>
    </row>
    <row r="268" spans="2:45" ht="15" thickBot="1" x14ac:dyDescent="0.4">
      <c r="B268" s="412" t="s">
        <v>906</v>
      </c>
      <c r="C268" s="50"/>
      <c r="D268" s="13"/>
      <c r="E268" s="13"/>
      <c r="F268" s="13"/>
      <c r="G268" s="13"/>
      <c r="H268" s="453"/>
      <c r="I268" s="160"/>
      <c r="J268" s="229"/>
      <c r="K268" s="229"/>
      <c r="L268" s="849"/>
      <c r="M268" s="318"/>
      <c r="N268" s="160"/>
      <c r="O268" s="161"/>
      <c r="P268" s="55"/>
      <c r="Q268" s="55"/>
      <c r="R268" s="55"/>
      <c r="S268" s="55"/>
      <c r="T268" s="55"/>
      <c r="U268" s="55"/>
      <c r="V268" s="55"/>
      <c r="W268" s="55"/>
      <c r="X268" s="829"/>
    </row>
    <row r="269" spans="2:45" ht="15" thickTop="1" x14ac:dyDescent="0.35">
      <c r="B269" s="412" t="s">
        <v>4578</v>
      </c>
      <c r="C269" s="50"/>
      <c r="D269" s="13"/>
      <c r="E269" s="13"/>
      <c r="F269" s="13"/>
      <c r="G269" s="13"/>
      <c r="H269" s="453"/>
      <c r="I269" s="19">
        <v>703.3</v>
      </c>
      <c r="J269" s="90"/>
      <c r="K269" s="90"/>
      <c r="L269" s="95" t="s">
        <v>909</v>
      </c>
      <c r="M269" s="40"/>
      <c r="N269" s="4"/>
      <c r="O269" s="75"/>
    </row>
    <row r="270" spans="2:45" x14ac:dyDescent="0.35">
      <c r="B270" s="412" t="s">
        <v>908</v>
      </c>
      <c r="C270" s="13" t="s">
        <v>256</v>
      </c>
      <c r="D270" s="13"/>
      <c r="E270" s="13"/>
      <c r="F270" s="13"/>
      <c r="G270" s="13"/>
      <c r="H270" s="453"/>
      <c r="I270" s="32" t="s">
        <v>908</v>
      </c>
      <c r="J270" s="90"/>
      <c r="K270" s="90"/>
      <c r="L270" s="838" t="s">
        <v>910</v>
      </c>
      <c r="M270" s="40"/>
      <c r="N270" s="4"/>
      <c r="O270" s="75"/>
      <c r="W270" t="s">
        <v>3767</v>
      </c>
      <c r="X270" s="817"/>
      <c r="AR270" t="str">
        <f>SUBSTITUTE(SUBSTITUTE(SUBSTITUTE("dnt"&amp;$B270&amp;$C270&amp;$D270&amp;$E270,".","_"),"(","_"),")","")</f>
        <v>dnt703_3_0_1</v>
      </c>
      <c r="AS270" t="str">
        <f>IF(LEN(X270)=0,"",X270)</f>
        <v/>
      </c>
    </row>
    <row r="271" spans="2:45" x14ac:dyDescent="0.35">
      <c r="B271" s="412" t="s">
        <v>908</v>
      </c>
      <c r="C271" s="13" t="s">
        <v>256</v>
      </c>
      <c r="D271" s="13"/>
      <c r="E271" s="13"/>
      <c r="F271" s="13"/>
      <c r="G271" s="13"/>
      <c r="H271" s="453"/>
      <c r="I271" s="4"/>
      <c r="J271" s="90"/>
      <c r="K271" s="90"/>
      <c r="L271" s="838"/>
      <c r="M271" s="40"/>
      <c r="N271" s="4"/>
      <c r="O271" s="75"/>
      <c r="P271" t="b">
        <v>1</v>
      </c>
      <c r="Q271" t="b">
        <v>1</v>
      </c>
      <c r="R271" t="b">
        <v>0</v>
      </c>
      <c r="S271" t="b">
        <f ca="1">(S13=2)</f>
        <v>1</v>
      </c>
      <c r="T271" t="b">
        <f ca="1">AND(NOT(S271),LEN(W271)&gt;0)</f>
        <v>0</v>
      </c>
      <c r="U271" t="str">
        <f>SUBSTITUTE(SUBSTITUTE(SUBSTITUTE("dd"&amp;B271&amp;C271&amp;D271&amp;E271&amp;F271,".","_"),"(","_"),")","")</f>
        <v>dd703_3_0_1</v>
      </c>
      <c r="W271" s="9" t="s">
        <v>226</v>
      </c>
      <c r="X271" s="817"/>
      <c r="AC271" t="b">
        <f ca="1">OR(AD271:AE271)</f>
        <v>0</v>
      </c>
      <c r="AD271" t="b">
        <f ca="1">T271</f>
        <v>0</v>
      </c>
      <c r="AE271" t="b">
        <f ca="1">AND(W271=INDEX(INDIRECT(U271),1),LEN(X270)=0)</f>
        <v>0</v>
      </c>
      <c r="AP271" t="str">
        <f>SUBSTITUTE(SUBSTITUTE(SUBSTITUTE("dch"&amp;$B271&amp;$C271&amp;$D271&amp;$E271,".","_"),"(","_"),")","")</f>
        <v>dch703_3_0_1</v>
      </c>
      <c r="AQ271" t="str">
        <f>IF(LEN(W271)=0,"",W271)</f>
        <v>No</v>
      </c>
    </row>
    <row r="272" spans="2:45" x14ac:dyDescent="0.35">
      <c r="B272" s="412" t="s">
        <v>908</v>
      </c>
      <c r="C272" s="13"/>
      <c r="D272" s="13"/>
      <c r="E272" s="13"/>
      <c r="F272" s="13"/>
      <c r="G272" s="13"/>
      <c r="H272" s="453"/>
      <c r="I272" s="4"/>
      <c r="J272" s="90"/>
      <c r="K272" s="90"/>
      <c r="L272" s="838"/>
      <c r="M272" s="40"/>
      <c r="N272" s="4"/>
      <c r="O272" s="75"/>
      <c r="X272" s="817"/>
    </row>
    <row r="273" spans="2:45" x14ac:dyDescent="0.35">
      <c r="B273" s="412" t="s">
        <v>908</v>
      </c>
      <c r="C273" s="13"/>
      <c r="D273" s="13"/>
      <c r="E273" s="13"/>
      <c r="F273" s="13"/>
      <c r="G273" s="13"/>
      <c r="H273" s="453"/>
      <c r="I273" s="4"/>
      <c r="J273" s="90"/>
      <c r="K273" s="90"/>
      <c r="L273" s="838"/>
      <c r="M273" s="40"/>
      <c r="N273" s="4"/>
      <c r="O273" s="75"/>
      <c r="X273" s="817"/>
    </row>
    <row r="274" spans="2:45" x14ac:dyDescent="0.35">
      <c r="B274" s="412" t="s">
        <v>908</v>
      </c>
      <c r="C274" s="13"/>
      <c r="D274" s="13"/>
      <c r="E274" s="13"/>
      <c r="F274" s="13"/>
      <c r="G274" s="13"/>
      <c r="H274" s="453"/>
      <c r="I274" s="4"/>
      <c r="J274" s="90"/>
      <c r="K274" s="90"/>
      <c r="L274" s="838"/>
      <c r="M274" s="40"/>
      <c r="N274" s="4"/>
      <c r="O274" s="75"/>
      <c r="X274" s="817"/>
    </row>
    <row r="275" spans="2:45" x14ac:dyDescent="0.35">
      <c r="B275" s="412" t="s">
        <v>908</v>
      </c>
      <c r="C275" s="13"/>
      <c r="D275" s="13"/>
      <c r="E275" s="13"/>
      <c r="F275" s="13"/>
      <c r="G275" s="13"/>
      <c r="H275" s="453"/>
      <c r="I275" s="4"/>
      <c r="J275" s="90"/>
      <c r="K275" s="90"/>
      <c r="L275" s="838"/>
      <c r="M275" s="40"/>
      <c r="N275" s="4"/>
      <c r="O275" s="75"/>
      <c r="X275" s="817"/>
    </row>
    <row r="276" spans="2:45" x14ac:dyDescent="0.35">
      <c r="B276" s="412" t="s">
        <v>908</v>
      </c>
      <c r="C276" s="13"/>
      <c r="D276" s="13"/>
      <c r="E276" s="13"/>
      <c r="F276" s="13"/>
      <c r="G276" s="13"/>
      <c r="H276" s="453"/>
      <c r="I276" s="4"/>
      <c r="J276" s="90"/>
      <c r="K276" s="90"/>
      <c r="L276" s="838"/>
      <c r="M276" s="40"/>
      <c r="N276" s="4"/>
      <c r="O276" s="75"/>
      <c r="X276" s="817"/>
    </row>
    <row r="277" spans="2:45" x14ac:dyDescent="0.35">
      <c r="B277" s="412" t="s">
        <v>908</v>
      </c>
      <c r="C277" s="13" t="s">
        <v>258</v>
      </c>
      <c r="D277" s="13"/>
      <c r="E277" s="13"/>
      <c r="F277" s="13"/>
      <c r="G277" s="13"/>
      <c r="H277" s="453"/>
      <c r="I277" s="4"/>
      <c r="J277" s="90"/>
      <c r="K277" s="90"/>
      <c r="L277" s="838"/>
      <c r="M277" s="40"/>
      <c r="N277" s="4"/>
      <c r="O277" s="75"/>
      <c r="W277" t="s">
        <v>3768</v>
      </c>
      <c r="X277" s="817"/>
      <c r="AR277" t="str">
        <f>SUBSTITUTE(SUBSTITUTE(SUBSTITUTE("dnt"&amp;$B277&amp;$C277&amp;$D277&amp;$E277,".","_"),"(","_"),")","")</f>
        <v>dnt703_3_0_2</v>
      </c>
      <c r="AS277" t="str">
        <f>IF(LEN(X277)=0,"",X277)</f>
        <v/>
      </c>
    </row>
    <row r="278" spans="2:45" x14ac:dyDescent="0.35">
      <c r="B278" s="412" t="s">
        <v>908</v>
      </c>
      <c r="C278" s="13" t="s">
        <v>258</v>
      </c>
      <c r="D278" s="13"/>
      <c r="E278" s="13"/>
      <c r="F278" s="13"/>
      <c r="G278" s="13"/>
      <c r="H278" s="453"/>
      <c r="I278" s="4"/>
      <c r="J278" s="90"/>
      <c r="K278" s="90"/>
      <c r="L278" s="838"/>
      <c r="M278" s="40"/>
      <c r="N278" s="4"/>
      <c r="O278" s="75"/>
      <c r="P278" t="b">
        <v>1</v>
      </c>
      <c r="Q278" t="b">
        <v>1</v>
      </c>
      <c r="R278" t="b">
        <v>0</v>
      </c>
      <c r="S278" t="b">
        <f ca="1">(S13=2)</f>
        <v>1</v>
      </c>
      <c r="T278" t="b">
        <f ca="1">AND(NOT(S278),LEN(W278)&gt;0)</f>
        <v>0</v>
      </c>
      <c r="U278" t="str">
        <f>SUBSTITUTE(SUBSTITUTE(SUBSTITUTE("dd"&amp;B278&amp;C278&amp;D278&amp;E278&amp;F278,".","_"),"(","_"),")","")</f>
        <v>dd703_3_0_2</v>
      </c>
      <c r="W278" s="9" t="s">
        <v>226</v>
      </c>
      <c r="X278" s="817"/>
      <c r="AC278" t="b">
        <f ca="1">OR(AD278:AE278)</f>
        <v>0</v>
      </c>
      <c r="AD278" t="b">
        <f ca="1">T278</f>
        <v>0</v>
      </c>
      <c r="AE278" t="b">
        <f ca="1">AND(W278=INDEX(INDIRECT(U278),1),LEN(X277)=0)</f>
        <v>0</v>
      </c>
      <c r="AP278" t="str">
        <f>SUBSTITUTE(SUBSTITUTE(SUBSTITUTE("dch"&amp;$B278&amp;$C278&amp;$D278&amp;$E278,".","_"),"(","_"),")","")</f>
        <v>dch703_3_0_2</v>
      </c>
      <c r="AQ278" t="str">
        <f>IF(LEN(W278)=0,"",W278)</f>
        <v>No</v>
      </c>
    </row>
    <row r="279" spans="2:45" x14ac:dyDescent="0.35">
      <c r="B279" s="412" t="s">
        <v>908</v>
      </c>
      <c r="C279" s="50"/>
      <c r="D279" s="13"/>
      <c r="E279" s="13"/>
      <c r="F279" s="13"/>
      <c r="G279" s="13"/>
      <c r="H279" s="453"/>
      <c r="I279" s="4"/>
      <c r="J279" s="90"/>
      <c r="K279" s="90"/>
      <c r="L279" s="929" t="s">
        <v>1100</v>
      </c>
      <c r="M279" s="40"/>
      <c r="N279" s="4"/>
      <c r="O279" s="75"/>
      <c r="X279" s="817"/>
    </row>
    <row r="280" spans="2:45" x14ac:dyDescent="0.35">
      <c r="B280" s="412" t="s">
        <v>908</v>
      </c>
      <c r="C280" s="50"/>
      <c r="D280" s="13"/>
      <c r="E280" s="13"/>
      <c r="F280" s="13"/>
      <c r="G280" s="13"/>
      <c r="H280" s="453"/>
      <c r="I280" s="4"/>
      <c r="J280" s="90"/>
      <c r="K280" s="90"/>
      <c r="L280" s="929"/>
      <c r="M280" s="40"/>
      <c r="N280" s="4"/>
      <c r="O280" s="75"/>
      <c r="X280" s="817"/>
    </row>
    <row r="281" spans="2:45" x14ac:dyDescent="0.35">
      <c r="B281" s="412" t="s">
        <v>908</v>
      </c>
      <c r="C281" s="50"/>
      <c r="D281" s="13"/>
      <c r="E281" s="13"/>
      <c r="F281" s="13"/>
      <c r="G281" s="13"/>
      <c r="H281" s="453"/>
      <c r="I281" s="4"/>
      <c r="J281" s="90"/>
      <c r="K281" s="90"/>
      <c r="L281" s="154" t="s">
        <v>911</v>
      </c>
      <c r="M281" s="40"/>
      <c r="N281" s="4"/>
      <c r="O281" s="75"/>
      <c r="X281" s="817"/>
    </row>
    <row r="282" spans="2:45" x14ac:dyDescent="0.35">
      <c r="B282" s="412" t="s">
        <v>908</v>
      </c>
      <c r="C282" s="50"/>
      <c r="D282" s="13"/>
      <c r="E282" s="13"/>
      <c r="F282" s="13"/>
      <c r="G282" s="13"/>
      <c r="H282" s="453"/>
      <c r="I282" s="4"/>
      <c r="J282" s="90"/>
      <c r="K282" s="90"/>
      <c r="L282" s="154" t="s">
        <v>912</v>
      </c>
      <c r="M282" s="40"/>
      <c r="N282" s="4"/>
      <c r="O282" s="75"/>
      <c r="X282" s="817"/>
    </row>
    <row r="283" spans="2:45" x14ac:dyDescent="0.35">
      <c r="B283" s="412" t="s">
        <v>908</v>
      </c>
      <c r="C283" s="50"/>
      <c r="D283" s="13"/>
      <c r="E283" s="13"/>
      <c r="F283" s="13"/>
      <c r="G283" s="13"/>
      <c r="H283" s="453"/>
      <c r="I283" s="133"/>
      <c r="J283" s="228"/>
      <c r="K283" s="228"/>
      <c r="L283" s="337" t="s">
        <v>913</v>
      </c>
      <c r="M283" s="40"/>
      <c r="N283" s="4"/>
      <c r="O283" s="75"/>
      <c r="X283" s="817"/>
    </row>
    <row r="284" spans="2:45" ht="15" customHeight="1" x14ac:dyDescent="0.35">
      <c r="B284" s="412" t="s">
        <v>914</v>
      </c>
      <c r="C284" s="50"/>
      <c r="D284" s="13"/>
      <c r="E284" s="13"/>
      <c r="F284" s="13"/>
      <c r="G284" s="13"/>
      <c r="H284" s="453"/>
      <c r="I284" s="32" t="s">
        <v>914</v>
      </c>
      <c r="J284" s="90"/>
      <c r="K284" s="90"/>
      <c r="L284" s="883" t="s">
        <v>4275</v>
      </c>
      <c r="M284" s="843">
        <v>4</v>
      </c>
      <c r="N284" s="4"/>
      <c r="O284" s="832">
        <f ca="1">M284*S284*W284</f>
        <v>0</v>
      </c>
      <c r="P284" t="b">
        <v>1</v>
      </c>
      <c r="Q284" t="b">
        <v>1</v>
      </c>
      <c r="R284" t="b">
        <v>0</v>
      </c>
      <c r="S284" t="b">
        <f ca="1">(S13=2)</f>
        <v>1</v>
      </c>
      <c r="T284" t="b">
        <f ca="1">AND(NOT(S284),W284=TRUE)</f>
        <v>0</v>
      </c>
      <c r="W284" s="17"/>
      <c r="X284" s="817"/>
      <c r="AC284" t="b">
        <f ca="1">OR(AD284:AE284)</f>
        <v>0</v>
      </c>
      <c r="AD284" t="b">
        <f ca="1">T284</f>
        <v>0</v>
      </c>
      <c r="AL284" t="str">
        <f>SUBSTITUTE(SUBSTITUTE(SUBSTITUTE("dpa"&amp;$B284&amp;$C284&amp;$D284&amp;$E284,".","_"),"(","_"),")","")</f>
        <v>dpa703_3_1</v>
      </c>
      <c r="AM284">
        <f>M284</f>
        <v>4</v>
      </c>
      <c r="AN284" t="str">
        <f>SUBSTITUTE(SUBSTITUTE(SUBSTITUTE("dpc"&amp;$B284&amp;$C284&amp;$D284&amp;$E284,".","_"),"(","_"),")","")</f>
        <v>dpc703_3_1</v>
      </c>
      <c r="AO284">
        <f ca="1">O284</f>
        <v>0</v>
      </c>
      <c r="AP284" t="str">
        <f>SUBSTITUTE(SUBSTITUTE(SUBSTITUTE("dch"&amp;$B284&amp;$C284&amp;$D284&amp;$E284,".","_"),"(","_"),")","")</f>
        <v>dch703_3_1</v>
      </c>
      <c r="AQ284" t="str">
        <f>IF(LEN(W284)=0,"",W284)</f>
        <v/>
      </c>
      <c r="AR284" t="str">
        <f>SUBSTITUTE(SUBSTITUTE(SUBSTITUTE("dnt"&amp;$B284&amp;$C284&amp;$D284&amp;$E284,".","_"),"(","_"),")","")</f>
        <v>dnt703_3_1</v>
      </c>
      <c r="AS284" t="str">
        <f>IF(LEN(X284)=0,"",X284)</f>
        <v/>
      </c>
    </row>
    <row r="285" spans="2:45" x14ac:dyDescent="0.35">
      <c r="B285" s="412" t="s">
        <v>914</v>
      </c>
      <c r="C285" s="50"/>
      <c r="D285" s="13"/>
      <c r="E285" s="13"/>
      <c r="F285" s="13"/>
      <c r="G285" s="13"/>
      <c r="H285" s="453"/>
      <c r="I285" s="4"/>
      <c r="J285" s="90"/>
      <c r="K285" s="90"/>
      <c r="L285" s="881"/>
      <c r="M285" s="843"/>
      <c r="N285" s="4"/>
      <c r="O285" s="832"/>
      <c r="X285" s="817"/>
    </row>
    <row r="286" spans="2:45" x14ac:dyDescent="0.35">
      <c r="B286" s="412" t="s">
        <v>914</v>
      </c>
      <c r="C286" s="50"/>
      <c r="D286" s="13"/>
      <c r="E286" s="13"/>
      <c r="F286" s="13"/>
      <c r="G286" s="13"/>
      <c r="H286" s="453"/>
      <c r="I286" s="4"/>
      <c r="J286" s="90"/>
      <c r="K286" s="90"/>
      <c r="L286" s="881"/>
      <c r="M286" s="843"/>
      <c r="N286" s="4"/>
      <c r="O286" s="832"/>
      <c r="S286" s="242" t="s">
        <v>3775</v>
      </c>
      <c r="T286" s="1">
        <f>BF16</f>
        <v>4</v>
      </c>
      <c r="X286" s="817"/>
    </row>
    <row r="287" spans="2:45" x14ac:dyDescent="0.35">
      <c r="B287" s="412" t="s">
        <v>914</v>
      </c>
      <c r="C287" s="50"/>
      <c r="D287" s="13"/>
      <c r="E287" s="13"/>
      <c r="F287" s="13"/>
      <c r="G287" s="13"/>
      <c r="H287" s="453"/>
      <c r="I287" s="4"/>
      <c r="J287" s="90"/>
      <c r="K287" s="90"/>
      <c r="L287" s="881"/>
      <c r="M287" s="843"/>
      <c r="N287" s="4"/>
      <c r="O287" s="832"/>
      <c r="R287" s="1"/>
      <c r="S287" s="242" t="s">
        <v>5793</v>
      </c>
      <c r="T287" s="1" t="b">
        <f>AND(AY28&gt;3,AY19=INDEX(ddSingleOrMulti,2))</f>
        <v>0</v>
      </c>
      <c r="X287" s="817"/>
    </row>
    <row r="288" spans="2:45" x14ac:dyDescent="0.35">
      <c r="B288" s="412" t="s">
        <v>914</v>
      </c>
      <c r="C288" s="50"/>
      <c r="D288" s="13"/>
      <c r="E288" s="13"/>
      <c r="F288" s="13"/>
      <c r="G288" s="13"/>
      <c r="H288" s="453"/>
      <c r="I288" s="133"/>
      <c r="J288" s="228"/>
      <c r="K288" s="228"/>
      <c r="L288" s="882"/>
      <c r="M288" s="906"/>
      <c r="N288" s="133"/>
      <c r="O288" s="824"/>
      <c r="X288" s="817"/>
    </row>
    <row r="289" spans="2:45" x14ac:dyDescent="0.35">
      <c r="B289" s="412" t="s">
        <v>915</v>
      </c>
      <c r="C289" s="50"/>
      <c r="D289" s="13"/>
      <c r="E289" s="13"/>
      <c r="F289" s="13"/>
      <c r="G289" s="13"/>
      <c r="H289" s="453"/>
      <c r="I289" s="32" t="s">
        <v>915</v>
      </c>
      <c r="J289" s="90"/>
      <c r="K289" s="90"/>
      <c r="L289" s="95" t="s">
        <v>916</v>
      </c>
      <c r="M289" s="271"/>
      <c r="N289" s="4"/>
      <c r="O289" s="75"/>
    </row>
    <row r="290" spans="2:45" x14ac:dyDescent="0.35">
      <c r="B290" s="412" t="s">
        <v>915</v>
      </c>
      <c r="C290" s="13" t="s">
        <v>256</v>
      </c>
      <c r="D290" s="13"/>
      <c r="E290" s="13"/>
      <c r="F290" s="13"/>
      <c r="G290" s="13"/>
      <c r="H290" s="453"/>
      <c r="I290" s="4"/>
      <c r="J290" s="152" t="s">
        <v>256</v>
      </c>
      <c r="K290" s="90"/>
      <c r="L290" s="90" t="s">
        <v>917</v>
      </c>
      <c r="M290" s="40"/>
      <c r="N290" s="4"/>
      <c r="O290" s="75">
        <f ca="1">IFERROR(INDEX(M291:M295,MATCH(W291,{0.9,0.92,0.94,0.96,0.98},1)),0)*S291</f>
        <v>9</v>
      </c>
      <c r="W290" t="s">
        <v>3784</v>
      </c>
      <c r="X290" s="817"/>
      <c r="AN290" t="str">
        <f>SUBSTITUTE(SUBSTITUTE(SUBSTITUTE("dpc"&amp;$B290&amp;$C290&amp;$D290&amp;$E290,".","_"),"(","_"),")","")</f>
        <v>dpc703_3_2 _1</v>
      </c>
      <c r="AO290">
        <f ca="1">O290</f>
        <v>9</v>
      </c>
      <c r="AR290" t="str">
        <f>SUBSTITUTE(SUBSTITUTE(SUBSTITUTE("dnt"&amp;$B290&amp;$C290&amp;$D290&amp;$E290,".","_"),"(","_"),")","")</f>
        <v>dnt703_3_2 _1</v>
      </c>
      <c r="AS290" t="str">
        <f>IF(LEN(X290)=0,"",X290)</f>
        <v/>
      </c>
    </row>
    <row r="291" spans="2:45" x14ac:dyDescent="0.35">
      <c r="B291" s="412" t="s">
        <v>915</v>
      </c>
      <c r="C291" s="13" t="s">
        <v>256</v>
      </c>
      <c r="D291" s="13" t="s">
        <v>256</v>
      </c>
      <c r="E291" s="13"/>
      <c r="F291" s="13"/>
      <c r="G291" s="13"/>
      <c r="H291" s="453"/>
      <c r="I291" s="4"/>
      <c r="J291" s="152"/>
      <c r="K291" s="90"/>
      <c r="L291" s="90" t="s">
        <v>3769</v>
      </c>
      <c r="M291" s="40">
        <f>IF(T287,IFERROR(INDEX({0,4,4,8,8,10,11,13},T286),0),IFERROR(INDEX({0,2,3,6,6,9,10,12},T286),0))</f>
        <v>6</v>
      </c>
      <c r="N291" s="4"/>
      <c r="O291" s="75"/>
      <c r="P291" t="b">
        <v>1</v>
      </c>
      <c r="Q291" t="b">
        <v>1</v>
      </c>
      <c r="R291" t="b">
        <v>0</v>
      </c>
      <c r="S291" t="b">
        <f ca="1">AND(S13=2,LEN(W297)=0,LEN(W300)=0,LEN(W305)=0,LEN(W311)=0,LEN(W318)=0,NOT(W331=TRUE),LEN(W336)=0)</f>
        <v>1</v>
      </c>
      <c r="T291" t="b">
        <f ca="1">AND(NOT(S291),LEN(W291)&gt;0)</f>
        <v>0</v>
      </c>
      <c r="W291" s="299">
        <v>0.95</v>
      </c>
      <c r="X291" s="817"/>
      <c r="AC291" t="b">
        <f ca="1">OR(AD291:AE291)</f>
        <v>0</v>
      </c>
      <c r="AD291" t="b">
        <f ca="1">T291</f>
        <v>0</v>
      </c>
      <c r="AL291" t="str">
        <f>SUBSTITUTE(SUBSTITUTE(SUBSTITUTE("dpa"&amp;$B291&amp;$C291&amp;$D291&amp;$E291,".","_"),"(","_"),")","")</f>
        <v>dpa703_3_2 _1_1</v>
      </c>
      <c r="AM291">
        <f>M291</f>
        <v>6</v>
      </c>
      <c r="AP291" t="str">
        <f>SUBSTITUTE(SUBSTITUTE(SUBSTITUTE("dch"&amp;$B291&amp;$C291&amp;$D291&amp;$E291,".","_"),"(","_"),")","")</f>
        <v>dch703_3_2 _1_1</v>
      </c>
      <c r="AQ291">
        <f>IF(LEN(W291)=0,"",W291)</f>
        <v>0.95</v>
      </c>
    </row>
    <row r="292" spans="2:45" x14ac:dyDescent="0.35">
      <c r="B292" s="412" t="s">
        <v>915</v>
      </c>
      <c r="C292" s="13" t="s">
        <v>256</v>
      </c>
      <c r="D292" s="13" t="s">
        <v>258</v>
      </c>
      <c r="E292" s="13"/>
      <c r="F292" s="13"/>
      <c r="G292" s="13"/>
      <c r="H292" s="453"/>
      <c r="I292" s="4"/>
      <c r="J292" s="152"/>
      <c r="K292" s="90"/>
      <c r="L292" s="90" t="s">
        <v>3770</v>
      </c>
      <c r="M292" s="40">
        <f>IF(T287,IFERROR(INDEX({0,4,4,9,10,11,12,14},T286),0),IFERROR(INDEX({0,2,4,7,8,10,12,14},T286),0))</f>
        <v>7</v>
      </c>
      <c r="N292" s="4"/>
      <c r="O292" s="75"/>
      <c r="X292" s="817"/>
      <c r="AL292" t="str">
        <f>SUBSTITUTE(SUBSTITUTE(SUBSTITUTE("dpa"&amp;$B292&amp;$C292&amp;$D292&amp;$E292,".","_"),"(","_"),")","")</f>
        <v>dpa703_3_2 _1_2</v>
      </c>
      <c r="AM292">
        <f>M292</f>
        <v>7</v>
      </c>
    </row>
    <row r="293" spans="2:45" x14ac:dyDescent="0.35">
      <c r="B293" s="412" t="s">
        <v>915</v>
      </c>
      <c r="C293" s="13" t="s">
        <v>256</v>
      </c>
      <c r="D293" s="13" t="s">
        <v>260</v>
      </c>
      <c r="E293" s="13"/>
      <c r="F293" s="13"/>
      <c r="G293" s="13"/>
      <c r="H293" s="453"/>
      <c r="I293" s="4"/>
      <c r="J293" s="152"/>
      <c r="K293" s="90"/>
      <c r="L293" s="90" t="s">
        <v>3771</v>
      </c>
      <c r="M293" s="40">
        <f>IF(T287,IFERROR(INDEX({0,5,5,10,11,12,14,16},T286),0),IFERROR(INDEX({0,3,4,9,9,12,14,16},T286),0))</f>
        <v>9</v>
      </c>
      <c r="N293" s="4"/>
      <c r="O293" s="75"/>
      <c r="X293" s="817"/>
      <c r="AL293" t="str">
        <f>SUBSTITUTE(SUBSTITUTE(SUBSTITUTE("dpa"&amp;$B293&amp;$C293&amp;$D293&amp;$E293,".","_"),"(","_"),")","")</f>
        <v>dpa703_3_2 _1_3</v>
      </c>
      <c r="AM293">
        <f>M293</f>
        <v>9</v>
      </c>
    </row>
    <row r="294" spans="2:45" x14ac:dyDescent="0.35">
      <c r="B294" s="412" t="s">
        <v>915</v>
      </c>
      <c r="C294" s="13" t="s">
        <v>256</v>
      </c>
      <c r="D294" s="13" t="s">
        <v>269</v>
      </c>
      <c r="E294" s="13"/>
      <c r="F294" s="13"/>
      <c r="G294" s="13"/>
      <c r="H294" s="453"/>
      <c r="I294" s="4"/>
      <c r="J294" s="152"/>
      <c r="K294" s="90"/>
      <c r="L294" s="90" t="s">
        <v>3772</v>
      </c>
      <c r="M294" s="40">
        <f>IF(T287,IFERROR(INDEX({0,5,5,12,12,13,15,17},T286),0),IFERROR(INDEX({1,3,5,10,10,14,16,19},T286),0))</f>
        <v>10</v>
      </c>
      <c r="N294" s="4"/>
      <c r="O294" s="75"/>
      <c r="X294" s="817"/>
      <c r="AL294" t="str">
        <f>SUBSTITUTE(SUBSTITUTE(SUBSTITUTE("dpa"&amp;$B294&amp;$C294&amp;$D294&amp;$E294,".","_"),"(","_"),")","")</f>
        <v>dpa703_3_2 _1_4</v>
      </c>
      <c r="AM294">
        <f>M294</f>
        <v>10</v>
      </c>
    </row>
    <row r="295" spans="2:45" x14ac:dyDescent="0.35">
      <c r="B295" s="412" t="s">
        <v>915</v>
      </c>
      <c r="C295" s="13" t="s">
        <v>256</v>
      </c>
      <c r="D295" s="13" t="s">
        <v>275</v>
      </c>
      <c r="E295" s="13"/>
      <c r="F295" s="13"/>
      <c r="G295" s="13"/>
      <c r="H295" s="453"/>
      <c r="I295" s="4"/>
      <c r="J295" s="228"/>
      <c r="K295" s="228"/>
      <c r="L295" s="228" t="s">
        <v>3773</v>
      </c>
      <c r="M295" s="268">
        <f>IF(T287,IFERROR(INDEX({0,6,6,13,13,14,16,18},T286),0),IFERROR(INDEX({1,3,6,11,12,16,18,21},T286),0))</f>
        <v>11</v>
      </c>
      <c r="N295" s="133"/>
      <c r="O295" s="309"/>
      <c r="X295" s="817"/>
      <c r="AL295" t="str">
        <f>SUBSTITUTE(SUBSTITUTE(SUBSTITUTE("dpa"&amp;$B295&amp;$C295&amp;$D295&amp;$E295,".","_"),"(","_"),")","")</f>
        <v>dpa703_3_2 _1_5</v>
      </c>
      <c r="AM295">
        <f>M295</f>
        <v>11</v>
      </c>
    </row>
    <row r="296" spans="2:45" x14ac:dyDescent="0.35">
      <c r="B296" s="412" t="s">
        <v>915</v>
      </c>
      <c r="C296" s="13" t="s">
        <v>258</v>
      </c>
      <c r="D296" s="13"/>
      <c r="E296" s="13"/>
      <c r="F296" s="13"/>
      <c r="G296" s="13"/>
      <c r="H296" s="453"/>
      <c r="I296" s="4"/>
      <c r="J296" s="152" t="s">
        <v>258</v>
      </c>
      <c r="K296" s="90"/>
      <c r="L296" s="90" t="s">
        <v>918</v>
      </c>
      <c r="M296" s="40"/>
      <c r="N296" s="4"/>
      <c r="O296" s="75">
        <f ca="1">IFERROR(INDEX(M297:M298,MATCH(W297,{0.85,0.9},1)),0)*S297</f>
        <v>0</v>
      </c>
      <c r="W296" t="s">
        <v>3784</v>
      </c>
      <c r="X296" s="817"/>
      <c r="AN296" t="str">
        <f>SUBSTITUTE(SUBSTITUTE(SUBSTITUTE("dpc"&amp;$B296&amp;$C296&amp;$D296&amp;$E296,".","_"),"(","_"),")","")</f>
        <v>dpc703_3_2 _2</v>
      </c>
      <c r="AO296">
        <f ca="1">O296</f>
        <v>0</v>
      </c>
      <c r="AR296" t="str">
        <f>SUBSTITUTE(SUBSTITUTE(SUBSTITUTE("dnt"&amp;$B296&amp;$C296&amp;$D296&amp;$E296,".","_"),"(","_"),")","")</f>
        <v>dnt703_3_2 _2</v>
      </c>
      <c r="AS296" t="str">
        <f>IF(LEN(X296)=0,"",X296)</f>
        <v/>
      </c>
    </row>
    <row r="297" spans="2:45" x14ac:dyDescent="0.35">
      <c r="B297" s="412" t="s">
        <v>915</v>
      </c>
      <c r="C297" s="13" t="s">
        <v>258</v>
      </c>
      <c r="D297" s="13" t="s">
        <v>256</v>
      </c>
      <c r="E297" s="13"/>
      <c r="F297" s="13"/>
      <c r="G297" s="13"/>
      <c r="H297" s="453"/>
      <c r="I297" s="4"/>
      <c r="J297" s="152"/>
      <c r="K297" s="90"/>
      <c r="L297" s="90" t="s">
        <v>3774</v>
      </c>
      <c r="M297" s="40">
        <f>IFERROR(INDEX({0,1,2,3,3,4,5,6},T286),0)</f>
        <v>3</v>
      </c>
      <c r="N297" s="4"/>
      <c r="O297" s="75"/>
      <c r="P297" t="b">
        <v>1</v>
      </c>
      <c r="Q297" t="b">
        <v>1</v>
      </c>
      <c r="R297" t="b">
        <v>0</v>
      </c>
      <c r="S297" t="b">
        <f ca="1">AND(S13=2,LEN(W291)=0,LEN(W300)=0,LEN(W305)=0,LEN(W311)=0,LEN(W316)=0,LEN(W318)=0,NOT(W331=TRUE),LEN(W336)=0)</f>
        <v>0</v>
      </c>
      <c r="T297" t="b">
        <f ca="1">AND(NOT(S297),LEN(W297)&gt;0)</f>
        <v>0</v>
      </c>
      <c r="W297" s="299"/>
      <c r="X297" s="817"/>
      <c r="AC297" t="b">
        <f ca="1">OR(AD297:AE297)</f>
        <v>0</v>
      </c>
      <c r="AD297" t="b">
        <f ca="1">T297</f>
        <v>0</v>
      </c>
      <c r="AL297" t="str">
        <f>SUBSTITUTE(SUBSTITUTE(SUBSTITUTE("dpa"&amp;$B297&amp;$C297&amp;$D297&amp;$E297,".","_"),"(","_"),")","")</f>
        <v>dpa703_3_2 _2_1</v>
      </c>
      <c r="AM297">
        <f>M297</f>
        <v>3</v>
      </c>
      <c r="AP297" t="str">
        <f>SUBSTITUTE(SUBSTITUTE(SUBSTITUTE("dch"&amp;$B297&amp;$C297&amp;$D297&amp;$E297,".","_"),"(","_"),")","")</f>
        <v>dch703_3_2 _2_1</v>
      </c>
      <c r="AQ297" t="str">
        <f>IF(LEN(W297)=0,"",W297)</f>
        <v/>
      </c>
    </row>
    <row r="298" spans="2:45" x14ac:dyDescent="0.35">
      <c r="B298" s="412" t="s">
        <v>915</v>
      </c>
      <c r="C298" s="13" t="s">
        <v>258</v>
      </c>
      <c r="D298" s="13" t="s">
        <v>258</v>
      </c>
      <c r="E298" s="13"/>
      <c r="F298" s="13"/>
      <c r="G298" s="13"/>
      <c r="H298" s="453"/>
      <c r="I298" s="4"/>
      <c r="J298" s="228"/>
      <c r="K298" s="228"/>
      <c r="L298" s="228" t="s">
        <v>3769</v>
      </c>
      <c r="M298" s="268">
        <f>IFERROR(INDEX({0,2,3,6,6,9,10,12},T286),0)</f>
        <v>6</v>
      </c>
      <c r="N298" s="133"/>
      <c r="O298" s="309"/>
      <c r="X298" s="817"/>
      <c r="AL298" t="str">
        <f>SUBSTITUTE(SUBSTITUTE(SUBSTITUTE("dpa"&amp;$B298&amp;$C298&amp;$D298&amp;$E298,".","_"),"(","_"),")","")</f>
        <v>dpa703_3_2 _2_2</v>
      </c>
      <c r="AM298">
        <f>M298</f>
        <v>6</v>
      </c>
    </row>
    <row r="299" spans="2:45" x14ac:dyDescent="0.35">
      <c r="B299" s="412" t="s">
        <v>915</v>
      </c>
      <c r="C299" s="13" t="s">
        <v>260</v>
      </c>
      <c r="D299" s="13"/>
      <c r="E299" s="13"/>
      <c r="F299" s="13"/>
      <c r="G299" s="13"/>
      <c r="H299" s="453"/>
      <c r="I299" s="4"/>
      <c r="J299" s="152" t="s">
        <v>260</v>
      </c>
      <c r="K299" s="90"/>
      <c r="L299" s="90" t="s">
        <v>919</v>
      </c>
      <c r="M299" s="40"/>
      <c r="N299" s="4"/>
      <c r="O299" s="75">
        <f ca="1">IFERROR(INDEX(M300:M303,MATCH(W300,{0.85,0.9,0.94,0.96},1)),0)*S300</f>
        <v>0</v>
      </c>
      <c r="W299" t="s">
        <v>3784</v>
      </c>
      <c r="X299" s="817"/>
      <c r="AN299" t="str">
        <f>SUBSTITUTE(SUBSTITUTE(SUBSTITUTE("dpc"&amp;$B299&amp;$C299&amp;$D299&amp;$E299,".","_"),"(","_"),")","")</f>
        <v>dpc703_3_2 _3</v>
      </c>
      <c r="AO299">
        <f ca="1">O299</f>
        <v>0</v>
      </c>
      <c r="AR299" t="str">
        <f>SUBSTITUTE(SUBSTITUTE(SUBSTITUTE("dnt"&amp;$B299&amp;$C299&amp;$D299&amp;$E299,".","_"),"(","_"),")","")</f>
        <v>dnt703_3_2 _3</v>
      </c>
      <c r="AS299" t="str">
        <f>IF(LEN(X299)=0,"",X299)</f>
        <v/>
      </c>
    </row>
    <row r="300" spans="2:45" x14ac:dyDescent="0.35">
      <c r="B300" s="412" t="s">
        <v>915</v>
      </c>
      <c r="C300" s="13" t="s">
        <v>260</v>
      </c>
      <c r="D300" s="13" t="s">
        <v>256</v>
      </c>
      <c r="E300" s="13"/>
      <c r="F300" s="13"/>
      <c r="G300" s="13"/>
      <c r="H300" s="453"/>
      <c r="I300" s="4"/>
      <c r="J300" s="152"/>
      <c r="K300" s="90"/>
      <c r="L300" s="90" t="s">
        <v>3774</v>
      </c>
      <c r="M300" s="40">
        <f>IFERROR(INDEX({0,1,1,2,3,4,4,4},T286),0)</f>
        <v>2</v>
      </c>
      <c r="N300" s="4"/>
      <c r="O300" s="75"/>
      <c r="P300" t="b">
        <v>1</v>
      </c>
      <c r="Q300" t="b">
        <v>1</v>
      </c>
      <c r="R300" t="b">
        <v>0</v>
      </c>
      <c r="S300" t="b">
        <f ca="1">AND(S13=2,LEN(W291)=0,LEN(W297)=0,LEN(W305)=0,LEN(W311)=0,LEN(W316)=0,LEN(W318)=0,NOT(W331=TRUE),LEN(W336)=0)</f>
        <v>0</v>
      </c>
      <c r="T300" t="b">
        <f ca="1">AND(NOT(S300),LEN(W300)&gt;0)</f>
        <v>0</v>
      </c>
      <c r="W300" s="299"/>
      <c r="X300" s="817"/>
      <c r="AC300" t="b">
        <f ca="1">OR(AD300:AE300)</f>
        <v>0</v>
      </c>
      <c r="AD300" t="b">
        <f ca="1">T300</f>
        <v>0</v>
      </c>
      <c r="AL300" t="str">
        <f>SUBSTITUTE(SUBSTITUTE(SUBSTITUTE("dpa"&amp;$B300&amp;$C300&amp;$D300&amp;$E300,".","_"),"(","_"),")","")</f>
        <v>dpa703_3_2 _3_1</v>
      </c>
      <c r="AM300">
        <f>M300</f>
        <v>2</v>
      </c>
      <c r="AP300" t="str">
        <f>SUBSTITUTE(SUBSTITUTE(SUBSTITUTE("dch"&amp;$B300&amp;$C300&amp;$D300&amp;$E300,".","_"),"(","_"),")","")</f>
        <v>dch703_3_2 _3_1</v>
      </c>
      <c r="AQ300" t="str">
        <f>IF(LEN(W300)=0,"",W300)</f>
        <v/>
      </c>
    </row>
    <row r="301" spans="2:45" x14ac:dyDescent="0.35">
      <c r="B301" s="412" t="s">
        <v>915</v>
      </c>
      <c r="C301" s="13" t="s">
        <v>260</v>
      </c>
      <c r="D301" s="13" t="s">
        <v>258</v>
      </c>
      <c r="E301" s="13"/>
      <c r="F301" s="13"/>
      <c r="G301" s="13"/>
      <c r="H301" s="453"/>
      <c r="I301" s="4"/>
      <c r="J301" s="152"/>
      <c r="K301" s="90"/>
      <c r="L301" s="90" t="s">
        <v>3769</v>
      </c>
      <c r="M301" s="40">
        <f>IFERROR(INDEX({0,1,2,4,6,7,8,6},T286),0)</f>
        <v>4</v>
      </c>
      <c r="N301" s="4"/>
      <c r="O301" s="75"/>
      <c r="X301" s="817"/>
      <c r="AL301" t="str">
        <f>SUBSTITUTE(SUBSTITUTE(SUBSTITUTE("dpa"&amp;$B301&amp;$C301&amp;$D301&amp;$E301,".","_"),"(","_"),")","")</f>
        <v>dpa703_3_2 _3_2</v>
      </c>
      <c r="AM301">
        <f>M301</f>
        <v>4</v>
      </c>
    </row>
    <row r="302" spans="2:45" x14ac:dyDescent="0.35">
      <c r="B302" s="412" t="s">
        <v>915</v>
      </c>
      <c r="C302" s="13" t="s">
        <v>260</v>
      </c>
      <c r="D302" s="13" t="s">
        <v>260</v>
      </c>
      <c r="E302" s="13"/>
      <c r="F302" s="13"/>
      <c r="G302" s="13"/>
      <c r="H302" s="453"/>
      <c r="I302" s="4"/>
      <c r="J302" s="152"/>
      <c r="K302" s="90"/>
      <c r="L302" s="90" t="s">
        <v>3771</v>
      </c>
      <c r="M302" s="40">
        <f>IFERROR(INDEX({0,2,3,5,8,9,10,8},T286),0)</f>
        <v>5</v>
      </c>
      <c r="N302" s="4"/>
      <c r="O302" s="75"/>
      <c r="X302" s="817"/>
      <c r="AL302" t="str">
        <f>SUBSTITUTE(SUBSTITUTE(SUBSTITUTE("dpa"&amp;$B302&amp;$C302&amp;$D302&amp;$E302,".","_"),"(","_"),")","")</f>
        <v>dpa703_3_2 _3_3</v>
      </c>
      <c r="AM302">
        <f>M302</f>
        <v>5</v>
      </c>
    </row>
    <row r="303" spans="2:45" x14ac:dyDescent="0.35">
      <c r="B303" s="412" t="s">
        <v>915</v>
      </c>
      <c r="C303" s="13" t="s">
        <v>260</v>
      </c>
      <c r="D303" s="13" t="s">
        <v>269</v>
      </c>
      <c r="E303" s="13"/>
      <c r="F303" s="13"/>
      <c r="G303" s="13"/>
      <c r="H303" s="453"/>
      <c r="I303" s="4"/>
      <c r="J303" s="228"/>
      <c r="K303" s="228"/>
      <c r="L303" s="228" t="s">
        <v>3772</v>
      </c>
      <c r="M303" s="268">
        <f>IFERROR(INDEX({0,2,4,6,9,11,12,10},T286),0)</f>
        <v>6</v>
      </c>
      <c r="N303" s="133"/>
      <c r="O303" s="309"/>
      <c r="X303" s="817"/>
      <c r="AL303" t="str">
        <f>SUBSTITUTE(SUBSTITUTE(SUBSTITUTE("dpa"&amp;$B303&amp;$C303&amp;$D303&amp;$E303,".","_"),"(","_"),")","")</f>
        <v>dpa703_3_2 _3_4</v>
      </c>
      <c r="AM303">
        <f>M303</f>
        <v>6</v>
      </c>
    </row>
    <row r="304" spans="2:45" x14ac:dyDescent="0.35">
      <c r="B304" s="412" t="s">
        <v>915</v>
      </c>
      <c r="C304" s="13" t="s">
        <v>269</v>
      </c>
      <c r="D304" s="13"/>
      <c r="E304" s="13"/>
      <c r="F304" s="13"/>
      <c r="G304" s="13"/>
      <c r="H304" s="453"/>
      <c r="I304" s="4"/>
      <c r="J304" s="152" t="s">
        <v>269</v>
      </c>
      <c r="K304" s="90"/>
      <c r="L304" s="90" t="s">
        <v>920</v>
      </c>
      <c r="M304" s="40"/>
      <c r="N304" s="4"/>
      <c r="O304" s="75">
        <f ca="1">IFERROR(INDEX(M305:M306,MATCH(W305,{0.85,0.9},1)),0)*S305</f>
        <v>0</v>
      </c>
      <c r="W304" t="s">
        <v>3784</v>
      </c>
      <c r="X304" s="817"/>
      <c r="AN304" t="str">
        <f>SUBSTITUTE(SUBSTITUTE(SUBSTITUTE("dpc"&amp;$B304&amp;$C304&amp;$D304&amp;$E304,".","_"),"(","_"),")","")</f>
        <v>dpc703_3_2 _4</v>
      </c>
      <c r="AO304">
        <f ca="1">O304</f>
        <v>0</v>
      </c>
      <c r="AR304" t="str">
        <f>SUBSTITUTE(SUBSTITUTE(SUBSTITUTE("dnt"&amp;$B304&amp;$C304&amp;$D304&amp;$E304,".","_"),"(","_"),")","")</f>
        <v>dnt703_3_2 _4</v>
      </c>
      <c r="AS304" t="str">
        <f>IF(LEN(X304)=0,"",X304)</f>
        <v/>
      </c>
    </row>
    <row r="305" spans="1:45" x14ac:dyDescent="0.35">
      <c r="B305" s="412" t="s">
        <v>915</v>
      </c>
      <c r="C305" s="13" t="s">
        <v>269</v>
      </c>
      <c r="D305" s="13" t="s">
        <v>256</v>
      </c>
      <c r="E305" s="13"/>
      <c r="F305" s="13"/>
      <c r="G305" s="13"/>
      <c r="H305" s="453"/>
      <c r="I305" s="4"/>
      <c r="J305" s="152"/>
      <c r="K305" s="90"/>
      <c r="L305" s="90" t="s">
        <v>3774</v>
      </c>
      <c r="M305" s="40">
        <f>IFERROR(INDEX({0,1,1,3,3,4,4,5},T286),0)</f>
        <v>3</v>
      </c>
      <c r="N305" s="4"/>
      <c r="O305" s="75"/>
      <c r="P305" t="b">
        <v>1</v>
      </c>
      <c r="Q305" t="b">
        <v>1</v>
      </c>
      <c r="R305" t="b">
        <v>0</v>
      </c>
      <c r="S305" t="b">
        <f ca="1">AND(S13=2,LEN(W291)=0,LEN(W297)=0,LEN(W300)=0,LEN(W311)=0,LEN(W316)=0,LEN(W318)=0,NOT(W331=TRUE),LEN(W336)=0)</f>
        <v>0</v>
      </c>
      <c r="T305" t="b">
        <f ca="1">AND(NOT(S305),LEN(W305)&gt;0)</f>
        <v>0</v>
      </c>
      <c r="W305" s="299"/>
      <c r="X305" s="817"/>
      <c r="AC305" t="b">
        <f ca="1">OR(AD305:AE305)</f>
        <v>0</v>
      </c>
      <c r="AD305" t="b">
        <f ca="1">T305</f>
        <v>0</v>
      </c>
      <c r="AL305" t="str">
        <f>SUBSTITUTE(SUBSTITUTE(SUBSTITUTE("dpa"&amp;$B305&amp;$C305&amp;$D305&amp;$E305,".","_"),"(","_"),")","")</f>
        <v>dpa703_3_2 _4_1</v>
      </c>
      <c r="AM305">
        <f>M305</f>
        <v>3</v>
      </c>
      <c r="AP305" t="str">
        <f>SUBSTITUTE(SUBSTITUTE(SUBSTITUTE("dch"&amp;$B305&amp;$C305&amp;$D305&amp;$E305,".","_"),"(","_"),")","")</f>
        <v>dch703_3_2 _4_1</v>
      </c>
      <c r="AQ305" t="str">
        <f>IF(LEN(W305)=0,"",W305)</f>
        <v/>
      </c>
    </row>
    <row r="306" spans="1:45" x14ac:dyDescent="0.35">
      <c r="B306" s="412" t="s">
        <v>915</v>
      </c>
      <c r="C306" s="13" t="s">
        <v>269</v>
      </c>
      <c r="D306" s="13" t="s">
        <v>258</v>
      </c>
      <c r="E306" s="13"/>
      <c r="F306" s="13"/>
      <c r="G306" s="13"/>
      <c r="H306" s="453"/>
      <c r="I306" s="133"/>
      <c r="J306" s="228"/>
      <c r="K306" s="228"/>
      <c r="L306" s="228" t="s">
        <v>3769</v>
      </c>
      <c r="M306" s="268">
        <f>IFERROR(INDEX({1,2,3,5,6,7,9,10},T286),0)</f>
        <v>5</v>
      </c>
      <c r="N306" s="4"/>
      <c r="O306" s="75"/>
      <c r="X306" s="817"/>
      <c r="AL306" t="str">
        <f>SUBSTITUTE(SUBSTITUTE(SUBSTITUTE("dpa"&amp;$B306&amp;$C306&amp;$D306&amp;$E306,".","_"),"(","_"),")","")</f>
        <v>dpa703_3_2 _4_2</v>
      </c>
      <c r="AM306">
        <f>M306</f>
        <v>5</v>
      </c>
    </row>
    <row r="307" spans="1:45" x14ac:dyDescent="0.35">
      <c r="B307" s="50" t="s">
        <v>921</v>
      </c>
      <c r="C307" s="50"/>
      <c r="D307" s="13"/>
      <c r="E307" s="13"/>
      <c r="F307" s="13"/>
      <c r="G307" s="13"/>
      <c r="H307" s="453"/>
      <c r="I307" s="32" t="s">
        <v>921</v>
      </c>
      <c r="J307" s="90"/>
      <c r="K307" s="90"/>
      <c r="L307" s="838" t="s">
        <v>922</v>
      </c>
      <c r="M307" s="40"/>
      <c r="N307" s="4"/>
      <c r="O307" s="75"/>
    </row>
    <row r="308" spans="1:45" x14ac:dyDescent="0.35">
      <c r="B308" s="50" t="s">
        <v>921</v>
      </c>
      <c r="C308" s="50"/>
      <c r="D308" s="13"/>
      <c r="E308" s="13"/>
      <c r="F308" s="13"/>
      <c r="G308" s="13"/>
      <c r="H308" s="453"/>
      <c r="I308" s="4"/>
      <c r="J308" s="90"/>
      <c r="K308" s="90"/>
      <c r="L308" s="838"/>
      <c r="M308" s="40"/>
      <c r="N308" s="4"/>
      <c r="O308" s="75"/>
    </row>
    <row r="309" spans="1:45" x14ac:dyDescent="0.35">
      <c r="B309" s="50" t="s">
        <v>921</v>
      </c>
      <c r="C309" s="50"/>
      <c r="D309" s="13"/>
      <c r="E309" s="13"/>
      <c r="F309" s="13"/>
      <c r="G309" s="13"/>
      <c r="H309" s="453"/>
      <c r="I309" s="4"/>
      <c r="J309" s="90"/>
      <c r="K309" s="90"/>
      <c r="L309" s="838"/>
      <c r="M309" s="40"/>
      <c r="N309" s="4"/>
      <c r="O309" s="75"/>
    </row>
    <row r="310" spans="1:45" x14ac:dyDescent="0.35">
      <c r="B310" s="50" t="s">
        <v>921</v>
      </c>
      <c r="C310" s="13" t="s">
        <v>256</v>
      </c>
      <c r="D310" s="13"/>
      <c r="E310" s="13"/>
      <c r="F310" s="13"/>
      <c r="G310" s="13"/>
      <c r="H310" s="453"/>
      <c r="I310" s="4"/>
      <c r="J310" s="152" t="s">
        <v>256</v>
      </c>
      <c r="K310" s="90"/>
      <c r="L310" s="266" t="s">
        <v>3480</v>
      </c>
      <c r="M310" s="40"/>
      <c r="N310" s="4"/>
      <c r="O310" s="75">
        <f ca="1">IFERROR(INDEX(M311:M315,MATCH(W311,{8.5,9,9.5,10,12},1)),0)*S311</f>
        <v>0</v>
      </c>
      <c r="W310" t="s">
        <v>3791</v>
      </c>
      <c r="X310" s="817"/>
      <c r="AN310" t="str">
        <f>SUBSTITUTE(SUBSTITUTE(SUBSTITUTE("dpc"&amp;$B310&amp;$C310&amp;$D310&amp;$E310,".","_"),"(","_"),")","")</f>
        <v>dpc703_3_3 _1</v>
      </c>
      <c r="AO310">
        <f ca="1">O310</f>
        <v>0</v>
      </c>
      <c r="AR310" t="str">
        <f>SUBSTITUTE(SUBSTITUTE(SUBSTITUTE("dnt"&amp;$B310&amp;$C310&amp;$D310&amp;$E310,".","_"),"(","_"),")","")</f>
        <v>dnt703_3_3 _1</v>
      </c>
      <c r="AS310" t="str">
        <f>IF(LEN(X310)=0,"",X310)</f>
        <v/>
      </c>
    </row>
    <row r="311" spans="1:45" x14ac:dyDescent="0.35">
      <c r="B311" s="50" t="s">
        <v>921</v>
      </c>
      <c r="C311" s="13" t="s">
        <v>256</v>
      </c>
      <c r="D311" s="13" t="s">
        <v>256</v>
      </c>
      <c r="E311" s="13"/>
      <c r="F311" s="13"/>
      <c r="G311" s="13"/>
      <c r="H311" s="453"/>
      <c r="I311" s="4"/>
      <c r="J311" s="152"/>
      <c r="K311" s="90"/>
      <c r="L311" s="90" t="s">
        <v>3785</v>
      </c>
      <c r="M311" s="40">
        <f>IF(T287,IFERROR(INDEX({0,3,4,8,11,13,13,13},T286),0),IFERROR(INDEX({0,1,1,2,2,2,2,2},T286),0))</f>
        <v>2</v>
      </c>
      <c r="N311" s="4"/>
      <c r="O311" s="75"/>
      <c r="P311" t="b">
        <v>1</v>
      </c>
      <c r="Q311" t="b">
        <v>1</v>
      </c>
      <c r="R311" t="b">
        <v>0</v>
      </c>
      <c r="S311" t="b">
        <f ca="1">AND(S13=2,LEN(W291)=0,LEN(W297)=0,LEN(W300)=0,LEN(W305)=0,LEN(W316)=0,LEN(W318)=0,NOT(W331=TRUE),LEN(W336)=0)</f>
        <v>0</v>
      </c>
      <c r="T311" t="b">
        <f ca="1">AND(NOT(S311),LEN(W311)&gt;0)</f>
        <v>0</v>
      </c>
      <c r="W311" s="300"/>
      <c r="X311" s="817"/>
      <c r="AC311" t="b">
        <f ca="1">OR(AD311:AE311)</f>
        <v>0</v>
      </c>
      <c r="AD311" t="b">
        <f ca="1">T311</f>
        <v>0</v>
      </c>
      <c r="AL311" t="str">
        <f t="shared" ref="AL311:AL316" si="10">SUBSTITUTE(SUBSTITUTE(SUBSTITUTE("dpa"&amp;$B311&amp;$C311&amp;$D311&amp;$E311,".","_"),"(","_"),")","")</f>
        <v>dpa703_3_3 _1_1</v>
      </c>
      <c r="AM311">
        <f t="shared" ref="AM311:AM316" si="11">M311</f>
        <v>2</v>
      </c>
      <c r="AP311" t="str">
        <f>SUBSTITUTE(SUBSTITUTE(SUBSTITUTE("dch"&amp;$B311&amp;$C311&amp;$D311&amp;$E311,".","_"),"(","_"),")","")</f>
        <v>dch703_3_3 _1_1</v>
      </c>
      <c r="AQ311" t="str">
        <f>IF(LEN(W311)=0,"",W311)</f>
        <v/>
      </c>
    </row>
    <row r="312" spans="1:45" x14ac:dyDescent="0.35">
      <c r="B312" s="50" t="s">
        <v>921</v>
      </c>
      <c r="C312" s="13" t="s">
        <v>256</v>
      </c>
      <c r="D312" s="13" t="s">
        <v>258</v>
      </c>
      <c r="E312" s="13"/>
      <c r="F312" s="13"/>
      <c r="G312" s="13"/>
      <c r="H312" s="453"/>
      <c r="I312" s="4"/>
      <c r="J312" s="152"/>
      <c r="K312" s="90"/>
      <c r="L312" s="90" t="s">
        <v>3786</v>
      </c>
      <c r="M312" s="40">
        <f>IF(T287,IFERROR(INDEX({0,3,4,8,11,13,13,13},T286),0),IFERROR(INDEX({0,2,4,5,6,10,10,10},T286),0))</f>
        <v>5</v>
      </c>
      <c r="N312" s="4"/>
      <c r="O312" s="75"/>
      <c r="X312" s="817"/>
      <c r="AL312" t="str">
        <f t="shared" si="10"/>
        <v>dpa703_3_3 _1_2</v>
      </c>
      <c r="AM312">
        <f t="shared" si="11"/>
        <v>5</v>
      </c>
    </row>
    <row r="313" spans="1:45" x14ac:dyDescent="0.35">
      <c r="B313" s="50" t="s">
        <v>921</v>
      </c>
      <c r="C313" s="13" t="s">
        <v>256</v>
      </c>
      <c r="D313" s="13" t="s">
        <v>260</v>
      </c>
      <c r="E313" s="13"/>
      <c r="F313" s="13"/>
      <c r="G313" s="13"/>
      <c r="H313" s="453"/>
      <c r="I313" s="4"/>
      <c r="J313" s="152"/>
      <c r="K313" s="90"/>
      <c r="L313" s="90" t="s">
        <v>3787</v>
      </c>
      <c r="M313" s="40">
        <f>IF(T287,IFERROR(INDEX({0,3,4,8,11,13,13,13},T286),0),IFERROR(INDEX({0,3,7,7,11,18,18,18},T286),0))</f>
        <v>7</v>
      </c>
      <c r="N313" s="4"/>
      <c r="O313" s="75"/>
      <c r="X313" s="817"/>
      <c r="AL313" t="str">
        <f t="shared" si="10"/>
        <v>dpa703_3_3 _1_3</v>
      </c>
      <c r="AM313">
        <f t="shared" si="11"/>
        <v>7</v>
      </c>
    </row>
    <row r="314" spans="1:45" x14ac:dyDescent="0.35">
      <c r="B314" s="50" t="s">
        <v>921</v>
      </c>
      <c r="C314" s="13" t="s">
        <v>256</v>
      </c>
      <c r="D314" s="13" t="s">
        <v>269</v>
      </c>
      <c r="E314" s="13"/>
      <c r="F314" s="13"/>
      <c r="G314" s="13"/>
      <c r="H314" s="453"/>
      <c r="I314" s="4"/>
      <c r="J314" s="152"/>
      <c r="K314" s="90"/>
      <c r="L314" s="90" t="s">
        <v>3788</v>
      </c>
      <c r="M314" s="40">
        <f>IF(T287,IFERROR(INDEX({0,3,4,8,11,13,13,13},T286),0),IFERROR(INDEX({1,5,10,10,15,26,26,26},T286),0))</f>
        <v>10</v>
      </c>
      <c r="N314" s="4"/>
      <c r="O314" s="75"/>
      <c r="X314" s="817"/>
      <c r="AL314" t="str">
        <f t="shared" si="10"/>
        <v>dpa703_3_3 _1_4</v>
      </c>
      <c r="AM314">
        <f t="shared" si="11"/>
        <v>10</v>
      </c>
    </row>
    <row r="315" spans="1:45" x14ac:dyDescent="0.35">
      <c r="B315" s="50" t="s">
        <v>921</v>
      </c>
      <c r="C315" s="13" t="s">
        <v>256</v>
      </c>
      <c r="D315" s="13" t="s">
        <v>275</v>
      </c>
      <c r="E315" s="13"/>
      <c r="F315" s="13"/>
      <c r="G315" s="13"/>
      <c r="H315" s="453"/>
      <c r="I315" s="4"/>
      <c r="J315" s="326"/>
      <c r="K315" s="228"/>
      <c r="L315" s="228" t="s">
        <v>4276</v>
      </c>
      <c r="M315" s="268">
        <f>IF(T287,IFERROR(INDEX({0,3,4,8,11,13,13,13},T286),0),IFERROR(INDEX({1,6,11,11,17,28,28,28},T286),0))</f>
        <v>11</v>
      </c>
      <c r="N315" s="133"/>
      <c r="O315" s="309"/>
      <c r="W315" t="s">
        <v>3791</v>
      </c>
      <c r="X315" s="817"/>
      <c r="AL315" t="str">
        <f t="shared" si="10"/>
        <v>dpa703_3_3 _1_5</v>
      </c>
      <c r="AM315">
        <f t="shared" si="11"/>
        <v>11</v>
      </c>
    </row>
    <row r="316" spans="1:45" x14ac:dyDescent="0.35">
      <c r="A316"/>
      <c r="B316" s="50" t="s">
        <v>921</v>
      </c>
      <c r="C316" s="13" t="s">
        <v>258</v>
      </c>
      <c r="D316"/>
      <c r="E316"/>
      <c r="F316"/>
      <c r="G316"/>
      <c r="H316"/>
      <c r="J316" s="402" t="s">
        <v>258</v>
      </c>
      <c r="K316" s="402"/>
      <c r="L316" s="470" t="s">
        <v>4864</v>
      </c>
      <c r="M316" s="818">
        <f>IFERROR(INDEX({0,3,4,8,11,13,13,13},T286),0)</f>
        <v>8</v>
      </c>
      <c r="N316" s="4"/>
      <c r="O316" s="832">
        <f ca="1">IF(AND(S316,W316&gt;=8.5),M316,0)</f>
        <v>0</v>
      </c>
      <c r="P316" t="b">
        <v>1</v>
      </c>
      <c r="Q316" t="b">
        <v>1</v>
      </c>
      <c r="R316" t="b">
        <v>0</v>
      </c>
      <c r="S316" t="b">
        <f ca="1">AND(S13=2,T287,LEN(W291)=0,LEN(W297)=0,LEN(W300)=0,LEN(W305)=0,LEN(W311)=0,LEN(W318)=0,NOT(W331=TRUE),LEN(W336)=0)</f>
        <v>0</v>
      </c>
      <c r="T316" t="b">
        <f ca="1">AND(NOT(S316),LEN(W316)&gt;0)</f>
        <v>0</v>
      </c>
      <c r="W316" s="300"/>
      <c r="X316" s="817"/>
      <c r="AC316" t="b">
        <f ca="1">OR(AD316:AE316)</f>
        <v>0</v>
      </c>
      <c r="AD316" t="b">
        <f ca="1">T316</f>
        <v>0</v>
      </c>
      <c r="AL316" t="str">
        <f t="shared" si="10"/>
        <v>dpa703_3_3 _2</v>
      </c>
      <c r="AM316">
        <f t="shared" si="11"/>
        <v>8</v>
      </c>
      <c r="AN316" t="str">
        <f>SUBSTITUTE(SUBSTITUTE(SUBSTITUTE("dpc"&amp;$B316&amp;$C316&amp;$D316&amp;$E316,".","_"),"(","_"),")","")</f>
        <v>dpc703_3_3 _2</v>
      </c>
      <c r="AO316">
        <f ca="1">O316</f>
        <v>0</v>
      </c>
      <c r="AP316" t="str">
        <f>SUBSTITUTE(SUBSTITUTE(SUBSTITUTE("dch"&amp;$B316&amp;$C316&amp;$D316&amp;$E316,".","_"),"(","_"),")","")</f>
        <v>dch703_3_3 _2</v>
      </c>
      <c r="AQ316" t="str">
        <f>IF(LEN(W316)=0,"",W316)</f>
        <v/>
      </c>
      <c r="AR316" t="str">
        <f>SUBSTITUTE(SUBSTITUTE(SUBSTITUTE("dnt"&amp;$B316&amp;$C316&amp;$D316&amp;$E316,".","_"),"(","_"),")","")</f>
        <v>dnt703_3_3 _2</v>
      </c>
      <c r="AS316" t="str">
        <f>IF(LEN(X316)=0,"",X316)</f>
        <v/>
      </c>
    </row>
    <row r="317" spans="1:45" x14ac:dyDescent="0.35">
      <c r="A317"/>
      <c r="B317" s="50" t="s">
        <v>921</v>
      </c>
      <c r="C317" s="13" t="s">
        <v>258</v>
      </c>
      <c r="D317"/>
      <c r="E317"/>
      <c r="F317"/>
      <c r="G317"/>
      <c r="H317"/>
      <c r="J317" s="416"/>
      <c r="K317" s="416"/>
      <c r="L317" s="477"/>
      <c r="M317" s="819"/>
      <c r="N317" s="104"/>
      <c r="O317" s="824"/>
      <c r="W317" t="s">
        <v>3790</v>
      </c>
      <c r="X317" s="817"/>
    </row>
    <row r="318" spans="1:45" x14ac:dyDescent="0.35">
      <c r="B318" s="50" t="s">
        <v>921</v>
      </c>
      <c r="C318" s="13" t="s">
        <v>260</v>
      </c>
      <c r="D318" s="13"/>
      <c r="E318" s="13"/>
      <c r="F318" s="13"/>
      <c r="G318" s="13"/>
      <c r="H318" s="453"/>
      <c r="I318" s="133"/>
      <c r="J318" s="326" t="s">
        <v>260</v>
      </c>
      <c r="K318" s="228"/>
      <c r="L318" s="281" t="s">
        <v>3789</v>
      </c>
      <c r="M318" s="268">
        <f>IFERROR(INDEX({2,7,11,14,16,18,18,18},T286),0)</f>
        <v>14</v>
      </c>
      <c r="N318" s="133"/>
      <c r="O318" s="309">
        <f ca="1">IF(AND(S318,W318&gt;=1.3),M318,0)</f>
        <v>0</v>
      </c>
      <c r="P318" t="b">
        <v>1</v>
      </c>
      <c r="Q318" t="b">
        <v>1</v>
      </c>
      <c r="R318" s="104" t="b">
        <v>0</v>
      </c>
      <c r="S318" s="104" t="b">
        <f ca="1">AND(S13=2,LEN(W291)=0,LEN(W297)=0,LEN(W300)=0,LEN(W305)=0,LEN(W311)=0,LEN(W316)=0,NOT(W331=TRUE),LEN(W336)=0)</f>
        <v>0</v>
      </c>
      <c r="T318" s="104" t="b">
        <f ca="1">AND(NOT(S318),LEN(W318)&gt;0)</f>
        <v>0</v>
      </c>
      <c r="U318" s="104"/>
      <c r="V318" s="104"/>
      <c r="W318" s="300"/>
      <c r="X318" s="36"/>
      <c r="AC318" t="b">
        <f ca="1">OR(AD318:AE318)</f>
        <v>0</v>
      </c>
      <c r="AD318" t="b">
        <f ca="1">T318</f>
        <v>0</v>
      </c>
      <c r="AL318" t="str">
        <f>SUBSTITUTE(SUBSTITUTE(SUBSTITUTE("dpa"&amp;$B318&amp;$C318&amp;$D318&amp;$E318,".","_"),"(","_"),")","")</f>
        <v>dpa703_3_3 _3</v>
      </c>
      <c r="AM318">
        <f>M318</f>
        <v>14</v>
      </c>
      <c r="AN318" t="str">
        <f>SUBSTITUTE(SUBSTITUTE(SUBSTITUTE("dpc"&amp;$B318&amp;$C318&amp;$D318&amp;$E318,".","_"),"(","_"),")","")</f>
        <v>dpc703_3_3 _3</v>
      </c>
      <c r="AO318">
        <f ca="1">O318</f>
        <v>0</v>
      </c>
      <c r="AP318" t="str">
        <f>SUBSTITUTE(SUBSTITUTE(SUBSTITUTE("dch"&amp;$B318&amp;$C318&amp;$D318&amp;$E318,".","_"),"(","_"),")","")</f>
        <v>dch703_3_3 _3</v>
      </c>
      <c r="AQ318" t="str">
        <f>IF(LEN(W318)=0,"",W318)</f>
        <v/>
      </c>
      <c r="AR318" t="str">
        <f>SUBSTITUTE(SUBSTITUTE(SUBSTITUTE("dnt"&amp;$B318&amp;$C318&amp;$D318&amp;$E318,".","_"),"(","_"),")","")</f>
        <v>dnt703_3_3 _3</v>
      </c>
      <c r="AS318" t="str">
        <f>IF(LEN(X318)=0,"",X318)</f>
        <v/>
      </c>
    </row>
    <row r="319" spans="1:45" x14ac:dyDescent="0.35">
      <c r="B319" s="50" t="s">
        <v>923</v>
      </c>
      <c r="C319" s="50"/>
      <c r="D319" s="13"/>
      <c r="E319" s="13"/>
      <c r="F319" s="13"/>
      <c r="G319" s="13"/>
      <c r="H319" s="453"/>
      <c r="I319" s="32" t="s">
        <v>923</v>
      </c>
      <c r="J319" s="90"/>
      <c r="K319" s="90"/>
      <c r="L319" s="919" t="s">
        <v>924</v>
      </c>
      <c r="M319" s="40"/>
      <c r="N319" s="4"/>
      <c r="O319" s="75"/>
    </row>
    <row r="320" spans="1:45" x14ac:dyDescent="0.35">
      <c r="B320" s="50" t="s">
        <v>923</v>
      </c>
      <c r="C320" s="50"/>
      <c r="D320" s="13"/>
      <c r="E320" s="13"/>
      <c r="F320" s="13"/>
      <c r="G320" s="13"/>
      <c r="H320" s="453"/>
      <c r="I320" s="4"/>
      <c r="J320" s="90"/>
      <c r="K320" s="90"/>
      <c r="L320" s="919"/>
      <c r="M320" s="40"/>
      <c r="N320" s="4"/>
      <c r="O320" s="75"/>
    </row>
    <row r="321" spans="2:45" x14ac:dyDescent="0.35">
      <c r="B321" s="50" t="s">
        <v>923</v>
      </c>
      <c r="C321" s="50"/>
      <c r="D321" s="13"/>
      <c r="E321" s="13"/>
      <c r="F321" s="13"/>
      <c r="G321" s="13"/>
      <c r="H321" s="453"/>
      <c r="I321" s="4"/>
      <c r="J321" s="90"/>
      <c r="K321" s="90"/>
      <c r="L321" s="919"/>
      <c r="M321" s="40"/>
      <c r="N321" s="4"/>
      <c r="O321" s="75"/>
    </row>
    <row r="322" spans="2:45" x14ac:dyDescent="0.35">
      <c r="B322" s="50" t="s">
        <v>923</v>
      </c>
      <c r="C322" s="13" t="s">
        <v>256</v>
      </c>
      <c r="D322" s="13"/>
      <c r="E322" s="13"/>
      <c r="F322" s="13"/>
      <c r="G322" s="13"/>
      <c r="H322" s="453"/>
      <c r="I322" s="4"/>
      <c r="J322" s="152" t="s">
        <v>256</v>
      </c>
      <c r="K322" s="90"/>
      <c r="L322" s="266" t="s">
        <v>3798</v>
      </c>
      <c r="M322" s="40"/>
      <c r="N322" s="4"/>
      <c r="O322" s="75">
        <f ca="1">IFERROR(INDEX(M323:M327,MATCH(W323,{15,17,19,21,25},1)),0)*S323</f>
        <v>1</v>
      </c>
      <c r="W322" t="s">
        <v>3800</v>
      </c>
      <c r="X322" s="817"/>
      <c r="AN322" t="str">
        <f>SUBSTITUTE(SUBSTITUTE(SUBSTITUTE("dpc"&amp;$B322&amp;$C322&amp;$D322&amp;$E322,".","_"),"(","_"),")","")</f>
        <v>dpc703_3_4_1</v>
      </c>
      <c r="AO322">
        <f ca="1">O322</f>
        <v>1</v>
      </c>
      <c r="AR322" t="str">
        <f>SUBSTITUTE(SUBSTITUTE(SUBSTITUTE("dnt"&amp;$B322&amp;$C322&amp;$D322&amp;$E322,".","_"),"(","_"),")","")</f>
        <v>dnt703_3_4_1</v>
      </c>
      <c r="AS322" t="str">
        <f>IF(LEN(X322)=0,"",X322)</f>
        <v/>
      </c>
    </row>
    <row r="323" spans="2:45" x14ac:dyDescent="0.35">
      <c r="B323" s="50" t="s">
        <v>923</v>
      </c>
      <c r="C323" s="13" t="s">
        <v>256</v>
      </c>
      <c r="D323" s="13" t="s">
        <v>256</v>
      </c>
      <c r="E323" s="13"/>
      <c r="F323" s="13"/>
      <c r="G323" s="13"/>
      <c r="H323" s="453"/>
      <c r="I323" s="4"/>
      <c r="J323" s="152"/>
      <c r="K323" s="90"/>
      <c r="L323" s="90" t="s">
        <v>3792</v>
      </c>
      <c r="M323" s="40">
        <f>IFERROR(INDEX({6,4,2,1,1,1,1,0},T286),0)</f>
        <v>1</v>
      </c>
      <c r="N323" s="4"/>
      <c r="O323" s="75"/>
      <c r="P323" t="b">
        <v>1</v>
      </c>
      <c r="Q323" t="b">
        <v>1</v>
      </c>
      <c r="R323" t="b">
        <v>0</v>
      </c>
      <c r="S323" t="b">
        <f ca="1">AND(S13=2,NOT(W328=TRUE),LEN(W330)=0,NOT(W331=TRUE),LEN(W336)=0)</f>
        <v>1</v>
      </c>
      <c r="T323" t="b">
        <f ca="1">AND(NOT(S323),LEN(W323)&gt;0)</f>
        <v>0</v>
      </c>
      <c r="W323" s="300">
        <v>15</v>
      </c>
      <c r="X323" s="817"/>
      <c r="AC323" t="b">
        <f ca="1">OR(AD323:AE323)</f>
        <v>0</v>
      </c>
      <c r="AD323" t="b">
        <f ca="1">T323</f>
        <v>0</v>
      </c>
      <c r="AL323" t="str">
        <f t="shared" ref="AL323:AL328" si="12">SUBSTITUTE(SUBSTITUTE(SUBSTITUTE("dpa"&amp;$B323&amp;$C323&amp;$D323&amp;$E323,".","_"),"(","_"),")","")</f>
        <v>dpa703_3_4_1_1</v>
      </c>
      <c r="AM323">
        <f t="shared" ref="AM323:AM330" si="13">M323</f>
        <v>1</v>
      </c>
      <c r="AP323" t="str">
        <f>SUBSTITUTE(SUBSTITUTE(SUBSTITUTE("dch"&amp;$B323&amp;$C323&amp;$D323&amp;$E323,".","_"),"(","_"),")","")</f>
        <v>dch703_3_4_1_1</v>
      </c>
      <c r="AQ323">
        <f>IF(LEN(W323)=0,"",W323)</f>
        <v>15</v>
      </c>
    </row>
    <row r="324" spans="2:45" x14ac:dyDescent="0.35">
      <c r="B324" s="50" t="s">
        <v>923</v>
      </c>
      <c r="C324" s="13" t="s">
        <v>256</v>
      </c>
      <c r="D324" s="13" t="s">
        <v>258</v>
      </c>
      <c r="E324" s="13"/>
      <c r="F324" s="13"/>
      <c r="G324" s="13"/>
      <c r="H324" s="453"/>
      <c r="I324" s="4"/>
      <c r="J324" s="152"/>
      <c r="K324" s="90"/>
      <c r="L324" s="90" t="s">
        <v>3793</v>
      </c>
      <c r="M324" s="40">
        <f>IFERROR(INDEX({11,9,7,3,3,2,2,0},T286),0)</f>
        <v>3</v>
      </c>
      <c r="N324" s="4"/>
      <c r="O324" s="75"/>
      <c r="X324" s="817"/>
      <c r="AL324" t="str">
        <f t="shared" si="12"/>
        <v>dpa703_3_4_1_2</v>
      </c>
      <c r="AM324">
        <f t="shared" si="13"/>
        <v>3</v>
      </c>
    </row>
    <row r="325" spans="2:45" x14ac:dyDescent="0.35">
      <c r="B325" s="50" t="s">
        <v>923</v>
      </c>
      <c r="C325" s="13" t="s">
        <v>256</v>
      </c>
      <c r="D325" s="13" t="s">
        <v>260</v>
      </c>
      <c r="E325" s="13"/>
      <c r="F325" s="13"/>
      <c r="G325" s="13"/>
      <c r="H325" s="453"/>
      <c r="I325" s="4"/>
      <c r="J325" s="152"/>
      <c r="K325" s="90"/>
      <c r="L325" s="90" t="s">
        <v>3794</v>
      </c>
      <c r="M325" s="40">
        <f>IFERROR(INDEX({19,12,10,6,4,4,4,0},T286),0)</f>
        <v>6</v>
      </c>
      <c r="N325" s="4"/>
      <c r="O325" s="75"/>
      <c r="X325" s="817"/>
      <c r="AL325" t="str">
        <f t="shared" si="12"/>
        <v>dpa703_3_4_1_3</v>
      </c>
      <c r="AM325">
        <f t="shared" si="13"/>
        <v>6</v>
      </c>
    </row>
    <row r="326" spans="2:45" x14ac:dyDescent="0.35">
      <c r="B326" s="50" t="s">
        <v>923</v>
      </c>
      <c r="C326" s="13" t="s">
        <v>256</v>
      </c>
      <c r="D326" s="13" t="s">
        <v>269</v>
      </c>
      <c r="E326" s="13"/>
      <c r="F326" s="13"/>
      <c r="G326" s="13"/>
      <c r="H326" s="453"/>
      <c r="I326" s="4"/>
      <c r="J326" s="152"/>
      <c r="K326" s="90"/>
      <c r="L326" s="90" t="s">
        <v>3795</v>
      </c>
      <c r="M326" s="40">
        <f>IFERROR(INDEX({26,15,14,8,6,6,5,0},T286),0)</f>
        <v>8</v>
      </c>
      <c r="N326" s="4"/>
      <c r="O326" s="75"/>
      <c r="X326" s="817"/>
      <c r="AL326" t="str">
        <f t="shared" si="12"/>
        <v>dpa703_3_4_1_4</v>
      </c>
      <c r="AM326">
        <f>M326</f>
        <v>8</v>
      </c>
    </row>
    <row r="327" spans="2:45" x14ac:dyDescent="0.35">
      <c r="B327" s="50" t="s">
        <v>923</v>
      </c>
      <c r="C327" s="13" t="s">
        <v>256</v>
      </c>
      <c r="D327" s="18" t="s">
        <v>275</v>
      </c>
      <c r="E327" s="13"/>
      <c r="F327" s="13"/>
      <c r="G327" s="13"/>
      <c r="H327" s="453"/>
      <c r="I327" s="4"/>
      <c r="J327" s="152"/>
      <c r="K327" s="90"/>
      <c r="L327" s="90" t="s">
        <v>4277</v>
      </c>
      <c r="M327" s="40">
        <f>IFERROR(INDEX({29,18,17,10,8,8,6,0},T286),0)</f>
        <v>10</v>
      </c>
      <c r="N327" s="4"/>
      <c r="O327" s="75"/>
      <c r="X327" s="817"/>
      <c r="AL327" t="str">
        <f t="shared" si="12"/>
        <v>dpa703_3_4_1_5</v>
      </c>
      <c r="AM327">
        <f t="shared" si="13"/>
        <v>10</v>
      </c>
    </row>
    <row r="328" spans="2:45" x14ac:dyDescent="0.35">
      <c r="B328" s="50" t="s">
        <v>923</v>
      </c>
      <c r="C328" s="13" t="s">
        <v>256</v>
      </c>
      <c r="D328" s="18" t="s">
        <v>277</v>
      </c>
      <c r="E328" s="13"/>
      <c r="F328" s="13"/>
      <c r="G328" s="13"/>
      <c r="H328" s="453"/>
      <c r="I328" s="4"/>
      <c r="K328" s="152" t="s">
        <v>3797</v>
      </c>
      <c r="L328" s="848" t="s">
        <v>3796</v>
      </c>
      <c r="M328" s="818">
        <v>20</v>
      </c>
      <c r="N328" s="4"/>
      <c r="O328" s="832">
        <f ca="1">M328*S328*W328</f>
        <v>0</v>
      </c>
      <c r="P328" t="b">
        <v>1</v>
      </c>
      <c r="Q328" t="b">
        <v>1</v>
      </c>
      <c r="R328" t="b">
        <v>0</v>
      </c>
      <c r="S328" t="b">
        <f ca="1">AND(S13=2,BI16="Tropical",LEN(W323)=0,LEN(W330)=0,NOT(W331=TRUE),LEN(W336)=0)</f>
        <v>0</v>
      </c>
      <c r="T328" t="b">
        <f ca="1">AND(NOT(S328),W328=TRUE)</f>
        <v>0</v>
      </c>
      <c r="W328" s="17"/>
      <c r="X328" s="817"/>
      <c r="AC328" t="b">
        <f ca="1">OR(AD328:AE328)</f>
        <v>0</v>
      </c>
      <c r="AD328" t="b">
        <f ca="1">T328</f>
        <v>0</v>
      </c>
      <c r="AL328" t="str">
        <f t="shared" si="12"/>
        <v>dpa703_3_4_1_6</v>
      </c>
      <c r="AM328">
        <f t="shared" si="13"/>
        <v>20</v>
      </c>
      <c r="AN328" t="str">
        <f>SUBSTITUTE(SUBSTITUTE(SUBSTITUTE("dpc"&amp;$B328&amp;$C328&amp;$D328&amp;$E328,".","_"),"(","_"),")","")</f>
        <v>dpc703_3_4_1_6</v>
      </c>
      <c r="AO328">
        <f ca="1">O328</f>
        <v>0</v>
      </c>
      <c r="AP328" t="str">
        <f>SUBSTITUTE(SUBSTITUTE(SUBSTITUTE("dch"&amp;$B328&amp;$C328&amp;$D328&amp;$E328,".","_"),"(","_"),")","")</f>
        <v>dch703_3_4_1_6</v>
      </c>
      <c r="AQ328" t="str">
        <f>IF(LEN(W328)=0,"",W328)</f>
        <v/>
      </c>
      <c r="AR328" t="str">
        <f>SUBSTITUTE(SUBSTITUTE(SUBSTITUTE("dnt"&amp;$B328&amp;$C328&amp;$D328&amp;$E328,".","_"),"(","_"),")","")</f>
        <v>dnt703_3_4_1_6</v>
      </c>
      <c r="AS328" t="str">
        <f>IF(LEN(X328)=0,"",X328)</f>
        <v/>
      </c>
    </row>
    <row r="329" spans="2:45" x14ac:dyDescent="0.35">
      <c r="B329" s="50" t="s">
        <v>923</v>
      </c>
      <c r="C329" s="13" t="s">
        <v>256</v>
      </c>
      <c r="D329" s="13"/>
      <c r="E329" s="13"/>
      <c r="F329" s="13"/>
      <c r="G329" s="13"/>
      <c r="H329" s="453"/>
      <c r="I329" s="4"/>
      <c r="J329" s="326"/>
      <c r="K329" s="228"/>
      <c r="L329" s="821"/>
      <c r="M329" s="819"/>
      <c r="N329" s="133"/>
      <c r="O329" s="824"/>
      <c r="W329" t="s">
        <v>3790</v>
      </c>
      <c r="X329" s="817"/>
    </row>
    <row r="330" spans="2:45" x14ac:dyDescent="0.35">
      <c r="B330" s="50" t="s">
        <v>923</v>
      </c>
      <c r="C330" s="13" t="s">
        <v>258</v>
      </c>
      <c r="D330" s="13"/>
      <c r="E330" s="13"/>
      <c r="F330" s="13"/>
      <c r="G330" s="13"/>
      <c r="H330" s="453"/>
      <c r="I330" s="133"/>
      <c r="J330" s="326" t="s">
        <v>258</v>
      </c>
      <c r="K330" s="228"/>
      <c r="L330" s="281" t="s">
        <v>3799</v>
      </c>
      <c r="M330" s="268">
        <f>IFERROR(INDEX({3,6,3,1,1,0,0,0},T286),0)</f>
        <v>1</v>
      </c>
      <c r="N330" s="133"/>
      <c r="O330" s="309">
        <f ca="1">IF(AND(S330,W330&gt;=1.2),M330,0)</f>
        <v>0</v>
      </c>
      <c r="P330" t="b">
        <v>1</v>
      </c>
      <c r="Q330" t="b">
        <v>1</v>
      </c>
      <c r="R330" t="b">
        <v>0</v>
      </c>
      <c r="S330" t="b">
        <f ca="1">AND(S13=2,LEN(W323)=0,NOT(W328=TRUE),NOT(W331=TRUE),LEN(W336)=0)</f>
        <v>0</v>
      </c>
      <c r="T330" t="b">
        <f ca="1">AND(NOT(S330),LEN(W330)&gt;0)</f>
        <v>0</v>
      </c>
      <c r="W330" s="300"/>
      <c r="X330" s="36"/>
      <c r="AC330" t="b">
        <f ca="1">OR(AD330:AE330)</f>
        <v>0</v>
      </c>
      <c r="AD330" t="b">
        <f ca="1">T330</f>
        <v>0</v>
      </c>
      <c r="AL330" t="str">
        <f>SUBSTITUTE(SUBSTITUTE(SUBSTITUTE("dpa"&amp;$B330&amp;$C330&amp;$D330&amp;$E330,".","_"),"(","_"),")","")</f>
        <v>dpa703_3_4_2</v>
      </c>
      <c r="AM330">
        <f t="shared" si="13"/>
        <v>1</v>
      </c>
      <c r="AN330" t="str">
        <f>SUBSTITUTE(SUBSTITUTE(SUBSTITUTE("dpc"&amp;$B330&amp;$C330&amp;$D330&amp;$E330,".","_"),"(","_"),")","")</f>
        <v>dpc703_3_4_2</v>
      </c>
      <c r="AO330">
        <f ca="1">O330</f>
        <v>0</v>
      </c>
      <c r="AP330" t="str">
        <f>SUBSTITUTE(SUBSTITUTE(SUBSTITUTE("dch"&amp;$B330&amp;$C330&amp;$D330&amp;$E330,".","_"),"(","_"),")","")</f>
        <v>dch703_3_4_2</v>
      </c>
      <c r="AQ330" t="str">
        <f>IF(LEN(W330)=0,"",W330)</f>
        <v/>
      </c>
      <c r="AR330" t="str">
        <f>SUBSTITUTE(SUBSTITUTE(SUBSTITUTE("dnt"&amp;$B330&amp;$C330&amp;$D330&amp;$E330,".","_"),"(","_"),")","")</f>
        <v>dnt703_3_4_2</v>
      </c>
      <c r="AS330" t="str">
        <f>IF(LEN(X330)=0,"",X330)</f>
        <v/>
      </c>
    </row>
    <row r="331" spans="2:45" x14ac:dyDescent="0.35">
      <c r="B331" s="50" t="s">
        <v>925</v>
      </c>
      <c r="C331" s="50"/>
      <c r="D331" s="13"/>
      <c r="E331" s="13"/>
      <c r="F331" s="13"/>
      <c r="G331" s="13"/>
      <c r="H331" s="453"/>
      <c r="I331" s="330" t="s">
        <v>925</v>
      </c>
      <c r="J331" s="286"/>
      <c r="K331" s="286"/>
      <c r="L331" s="905" t="s">
        <v>926</v>
      </c>
      <c r="M331" s="822">
        <f>IFERROR(INDEX({14,18,22,30,37,37,37,37},T286),0)</f>
        <v>30</v>
      </c>
      <c r="N331" s="118"/>
      <c r="O331" s="823">
        <f ca="1">M331*S331*W331</f>
        <v>0</v>
      </c>
      <c r="P331" t="b">
        <v>1</v>
      </c>
      <c r="Q331" t="b">
        <v>1</v>
      </c>
      <c r="R331" t="b">
        <v>0</v>
      </c>
      <c r="S331" t="b">
        <f ca="1">AND(S13=2,LEN(W291)=0,LEN(W297)=0,LEN(W300)=0,LEN(W305)=0,LEN(W311)=0,LEN(W316)=0,LEN(W318)=0,LEN(W323)=0,NOT(W328=TRUE),LEN(W330)=0,LEN(W336)=0)</f>
        <v>0</v>
      </c>
      <c r="T331" t="b">
        <f ca="1">AND(NOT(S331),W331=TRUE)</f>
        <v>0</v>
      </c>
      <c r="W331" s="17"/>
      <c r="X331" s="817"/>
      <c r="AC331" t="b">
        <f ca="1">OR(AD331:AE331)</f>
        <v>0</v>
      </c>
      <c r="AD331" t="b">
        <f ca="1">T331</f>
        <v>0</v>
      </c>
      <c r="AL331" t="str">
        <f>SUBSTITUTE(SUBSTITUTE(SUBSTITUTE("dpa"&amp;$B331&amp;$C331&amp;$D331&amp;$E331,".","_"),"(","_"),")","")</f>
        <v>dpa703_3_5</v>
      </c>
      <c r="AM331">
        <f>M331</f>
        <v>30</v>
      </c>
      <c r="AN331" t="str">
        <f>SUBSTITUTE(SUBSTITUTE(SUBSTITUTE("dpc"&amp;$B331&amp;$C331&amp;$D331&amp;$E331,".","_"),"(","_"),")","")</f>
        <v>dpc703_3_5</v>
      </c>
      <c r="AO331">
        <f ca="1">O331</f>
        <v>0</v>
      </c>
      <c r="AP331" t="str">
        <f>SUBSTITUTE(SUBSTITUTE(SUBSTITUTE("dch"&amp;$B331&amp;$C331&amp;$D331&amp;$E331,".","_"),"(","_"),")","")</f>
        <v>dch703_3_5</v>
      </c>
      <c r="AQ331" t="str">
        <f>IF(LEN(W331)=0,"",W331)</f>
        <v/>
      </c>
      <c r="AR331" t="str">
        <f>SUBSTITUTE(SUBSTITUTE(SUBSTITUTE("dnt"&amp;$B331&amp;$C331&amp;$D331&amp;$E331,".","_"),"(","_"),")","")</f>
        <v>dnt703_3_5</v>
      </c>
      <c r="AS331" t="str">
        <f>IF(LEN(X331)=0,"",X331)</f>
        <v/>
      </c>
    </row>
    <row r="332" spans="2:45" x14ac:dyDescent="0.35">
      <c r="B332" s="50" t="s">
        <v>925</v>
      </c>
      <c r="C332" s="50"/>
      <c r="D332" s="13"/>
      <c r="E332" s="13"/>
      <c r="F332" s="13"/>
      <c r="G332" s="13"/>
      <c r="H332" s="453"/>
      <c r="I332" s="4"/>
      <c r="J332" s="90"/>
      <c r="K332" s="90"/>
      <c r="L332" s="838"/>
      <c r="M332" s="818"/>
      <c r="N332" s="4"/>
      <c r="O332" s="832"/>
      <c r="X332" s="817"/>
    </row>
    <row r="333" spans="2:45" x14ac:dyDescent="0.35">
      <c r="B333" s="50" t="s">
        <v>925</v>
      </c>
      <c r="C333" s="50"/>
      <c r="D333" s="13"/>
      <c r="E333" s="13"/>
      <c r="F333" s="13"/>
      <c r="G333" s="13"/>
      <c r="H333" s="453"/>
      <c r="I333" s="4"/>
      <c r="J333" s="90"/>
      <c r="K333" s="90"/>
      <c r="L333" s="838"/>
      <c r="M333" s="818"/>
      <c r="N333" s="4"/>
      <c r="O333" s="832"/>
      <c r="X333" s="817"/>
    </row>
    <row r="334" spans="2:45" x14ac:dyDescent="0.35">
      <c r="B334" s="50" t="s">
        <v>925</v>
      </c>
      <c r="C334" s="50"/>
      <c r="D334" s="13"/>
      <c r="E334" s="13"/>
      <c r="F334" s="13"/>
      <c r="G334" s="13"/>
      <c r="H334" s="453"/>
      <c r="I334" s="133"/>
      <c r="J334" s="228"/>
      <c r="K334" s="228"/>
      <c r="L334" s="228" t="s">
        <v>3801</v>
      </c>
      <c r="M334" s="819"/>
      <c r="N334" s="133"/>
      <c r="O334" s="824"/>
      <c r="X334" s="817"/>
    </row>
    <row r="335" spans="2:45" x14ac:dyDescent="0.35">
      <c r="B335" s="50" t="s">
        <v>927</v>
      </c>
      <c r="C335" s="50"/>
      <c r="D335" s="13"/>
      <c r="E335" s="13"/>
      <c r="F335" s="13"/>
      <c r="G335" s="13"/>
      <c r="H335" s="453"/>
      <c r="I335" s="32" t="s">
        <v>927</v>
      </c>
      <c r="J335" s="90"/>
      <c r="K335" s="90"/>
      <c r="L335" s="919" t="s">
        <v>3835</v>
      </c>
      <c r="M335" s="40"/>
      <c r="N335" s="4"/>
      <c r="O335" s="832">
        <f ca="1">IFERROR(INDEX(M338:M340,MATCH(W336,{16,24,28},1)),0)*S336</f>
        <v>0</v>
      </c>
      <c r="W335" t="s">
        <v>3805</v>
      </c>
      <c r="X335" s="817"/>
      <c r="AN335" t="str">
        <f>SUBSTITUTE(SUBSTITUTE(SUBSTITUTE("dpc"&amp;$B335&amp;$C335&amp;$D335&amp;$E335,".","_"),"(","_"),")","")</f>
        <v>dpc703_3_6</v>
      </c>
      <c r="AO335">
        <f ca="1">O335</f>
        <v>0</v>
      </c>
      <c r="AR335" t="str">
        <f>SUBSTITUTE(SUBSTITUTE(SUBSTITUTE("dnt"&amp;$B335&amp;$C335&amp;$D335&amp;$E335,".","_"),"(","_"),")","")</f>
        <v>dnt703_3_6</v>
      </c>
      <c r="AS335" t="str">
        <f>IF(LEN(X335)=0,"",X335)</f>
        <v/>
      </c>
    </row>
    <row r="336" spans="2:45" x14ac:dyDescent="0.35">
      <c r="B336" s="50" t="s">
        <v>927</v>
      </c>
      <c r="C336" s="50"/>
      <c r="D336" s="13"/>
      <c r="E336" s="13"/>
      <c r="F336" s="13"/>
      <c r="G336" s="13"/>
      <c r="H336" s="453"/>
      <c r="I336" s="4"/>
      <c r="J336" s="90"/>
      <c r="K336" s="90"/>
      <c r="L336" s="919"/>
      <c r="M336" s="40"/>
      <c r="N336" s="4"/>
      <c r="O336" s="832"/>
      <c r="P336" t="b">
        <v>1</v>
      </c>
      <c r="Q336" t="b">
        <v>1</v>
      </c>
      <c r="R336" t="b">
        <v>0</v>
      </c>
      <c r="S336" t="b">
        <f ca="1">AND(S13=2,LEN(W291)=0,LEN(W297)=0,LEN(W300)=0,LEN(W305)=0,LEN(W311)=0,LEN(W316)=0,LEN(W318)=0,LEN(W323)=0,NOT(W328=TRUE),LEN(W330)=0,NOT(W331=TRUE))</f>
        <v>0</v>
      </c>
      <c r="T336" t="b">
        <f ca="1">AND(NOT(S336),LEN(W336)&gt;0)</f>
        <v>0</v>
      </c>
      <c r="W336" s="300"/>
      <c r="X336" s="817"/>
      <c r="AC336" t="b">
        <f ca="1">OR(AD336:AE336)</f>
        <v>0</v>
      </c>
      <c r="AD336" t="b">
        <f ca="1">T336</f>
        <v>0</v>
      </c>
      <c r="AP336" t="str">
        <f>SUBSTITUTE(SUBSTITUTE(SUBSTITUTE("dch"&amp;$B336&amp;$C336&amp;$D336&amp;$E336,".","_"),"(","_"),")","")</f>
        <v>dch703_3_6</v>
      </c>
      <c r="AQ336" t="str">
        <f>IF(LEN(W336)=0,"",W336)</f>
        <v/>
      </c>
    </row>
    <row r="337" spans="2:45" x14ac:dyDescent="0.35">
      <c r="B337" s="50" t="s">
        <v>927</v>
      </c>
      <c r="C337" s="50"/>
      <c r="D337" s="13"/>
      <c r="E337" s="13"/>
      <c r="F337" s="13"/>
      <c r="G337" s="13"/>
      <c r="H337" s="453"/>
      <c r="I337" s="4"/>
      <c r="J337" s="90"/>
      <c r="K337" s="90"/>
      <c r="L337" s="919"/>
      <c r="M337" s="40"/>
      <c r="N337" s="4"/>
      <c r="O337" s="832"/>
      <c r="X337" s="817"/>
    </row>
    <row r="338" spans="2:45" x14ac:dyDescent="0.35">
      <c r="B338" s="50" t="s">
        <v>927</v>
      </c>
      <c r="C338" s="13" t="s">
        <v>256</v>
      </c>
      <c r="D338" s="13"/>
      <c r="E338" s="13"/>
      <c r="F338" s="13"/>
      <c r="G338" s="13"/>
      <c r="H338" s="453"/>
      <c r="I338" s="4"/>
      <c r="J338" s="90"/>
      <c r="K338" s="90"/>
      <c r="L338" s="90" t="s">
        <v>3802</v>
      </c>
      <c r="M338" s="40">
        <f>IFERROR(INDEX({1,1,2,16,22,22,22,22},T286),0)</f>
        <v>16</v>
      </c>
      <c r="N338" s="4"/>
      <c r="O338" s="75"/>
      <c r="X338" s="817"/>
      <c r="AL338" t="str">
        <f>SUBSTITUTE(SUBSTITUTE(SUBSTITUTE("dpa"&amp;$B338&amp;$C338&amp;$D338&amp;$E338,".","_"),"(","_"),")","")</f>
        <v>dpa703_3_6_1</v>
      </c>
      <c r="AM338">
        <f>M338</f>
        <v>16</v>
      </c>
    </row>
    <row r="339" spans="2:45" x14ac:dyDescent="0.35">
      <c r="B339" s="50" t="s">
        <v>927</v>
      </c>
      <c r="C339" s="13" t="s">
        <v>258</v>
      </c>
      <c r="D339" s="13"/>
      <c r="E339" s="13"/>
      <c r="F339" s="13"/>
      <c r="G339" s="13"/>
      <c r="H339" s="453"/>
      <c r="I339" s="4"/>
      <c r="J339" s="90"/>
      <c r="K339" s="90"/>
      <c r="L339" s="90" t="s">
        <v>3803</v>
      </c>
      <c r="M339" s="40">
        <f>IFERROR(INDEX({24,29,22,31,35,35,35,35},T286),0)</f>
        <v>31</v>
      </c>
      <c r="N339" s="4"/>
      <c r="O339" s="75"/>
      <c r="X339" s="817"/>
      <c r="AL339" t="str">
        <f>SUBSTITUTE(SUBSTITUTE(SUBSTITUTE("dpa"&amp;$B339&amp;$C339&amp;$D339&amp;$E339,".","_"),"(","_"),")","")</f>
        <v>dpa703_3_6_2</v>
      </c>
      <c r="AM339">
        <f>M339</f>
        <v>31</v>
      </c>
    </row>
    <row r="340" spans="2:45" x14ac:dyDescent="0.35">
      <c r="B340" s="50" t="s">
        <v>927</v>
      </c>
      <c r="C340" s="13" t="s">
        <v>260</v>
      </c>
      <c r="D340" s="13"/>
      <c r="E340" s="13"/>
      <c r="F340" s="13"/>
      <c r="G340" s="13"/>
      <c r="H340" s="453"/>
      <c r="I340" s="133"/>
      <c r="J340" s="228"/>
      <c r="K340" s="228"/>
      <c r="L340" s="228" t="s">
        <v>3804</v>
      </c>
      <c r="M340" s="268">
        <f>IFERROR(INDEX({42,46,35,42,44,44,44,44},T286),0)</f>
        <v>42</v>
      </c>
      <c r="N340" s="133"/>
      <c r="O340" s="309"/>
      <c r="X340" s="817"/>
      <c r="AL340" t="str">
        <f>SUBSTITUTE(SUBSTITUTE(SUBSTITUTE("dpa"&amp;$B340&amp;$C340&amp;$D340&amp;$E340,".","_"),"(","_"),")","")</f>
        <v>dpa703_3_6_3</v>
      </c>
      <c r="AM340">
        <f>M340</f>
        <v>42</v>
      </c>
    </row>
    <row r="341" spans="2:45" x14ac:dyDescent="0.35">
      <c r="B341" s="50" t="s">
        <v>928</v>
      </c>
      <c r="C341" s="13" t="s">
        <v>256</v>
      </c>
      <c r="D341" s="13"/>
      <c r="E341" s="13"/>
      <c r="F341" s="13"/>
      <c r="G341" s="13"/>
      <c r="H341" s="453"/>
      <c r="I341" s="32" t="s">
        <v>928</v>
      </c>
      <c r="J341" s="90"/>
      <c r="K341" s="90"/>
      <c r="L341" s="95" t="s">
        <v>929</v>
      </c>
      <c r="M341" s="40">
        <v>1</v>
      </c>
      <c r="N341" s="4"/>
      <c r="O341" s="75">
        <f ca="1">IF(AND(S343,W343&gt;0),MIN(8,W343),M341*S341*W341)</f>
        <v>0</v>
      </c>
      <c r="P341" t="b">
        <v>0</v>
      </c>
      <c r="Q341" t="b">
        <v>1</v>
      </c>
      <c r="R341" t="b">
        <v>0</v>
      </c>
      <c r="S341" t="b">
        <f ca="1">AND(S13=2,NOT(W348))</f>
        <v>1</v>
      </c>
      <c r="T341" t="b">
        <f ca="1">AND(NOT(S341),W341=TRUE)</f>
        <v>0</v>
      </c>
      <c r="W341" s="17"/>
      <c r="X341" s="817"/>
      <c r="AC341" t="b">
        <f ca="1">OR(AD341:AE341)</f>
        <v>0</v>
      </c>
      <c r="AD341" t="b">
        <f ca="1">T341</f>
        <v>0</v>
      </c>
      <c r="AL341" t="str">
        <f>SUBSTITUTE(SUBSTITUTE(SUBSTITUTE("dpa"&amp;$B341&amp;$C341&amp;$D341&amp;$E341,".","_"),"(","_"),")","")</f>
        <v>dpa703_3_7_1</v>
      </c>
      <c r="AM341">
        <f>M341</f>
        <v>1</v>
      </c>
      <c r="AN341" t="str">
        <f>SUBSTITUTE(SUBSTITUTE(SUBSTITUTE("dpc"&amp;$B341&amp;$C341&amp;$D341&amp;$E341,".","_"),"(","_"),")","")</f>
        <v>dpc703_3_7_1</v>
      </c>
      <c r="AO341">
        <f ca="1">O341</f>
        <v>0</v>
      </c>
      <c r="AP341" t="str">
        <f>SUBSTITUTE(SUBSTITUTE(SUBSTITUTE("dch"&amp;$B341&amp;$C341&amp;$D341&amp;$E341,".","_"),"(","_"),")","")</f>
        <v>dch703_3_7_1</v>
      </c>
      <c r="AQ341" t="str">
        <f>IF(LEN(W341)=0,"",W341)</f>
        <v/>
      </c>
      <c r="AR341" t="str">
        <f>SUBSTITUTE(SUBSTITUTE(SUBSTITUTE("dnt"&amp;$B341&amp;$C341&amp;$D341&amp;$E341,".","_"),"(","_"),")","")</f>
        <v>dnt703_3_7_1</v>
      </c>
      <c r="AS341" t="str">
        <f>IF(LEN(X341)=0,"",X341)</f>
        <v/>
      </c>
    </row>
    <row r="342" spans="2:45" x14ac:dyDescent="0.35">
      <c r="B342" s="50" t="s">
        <v>928</v>
      </c>
      <c r="C342" s="13"/>
      <c r="D342" s="13"/>
      <c r="E342" s="13"/>
      <c r="F342" s="13"/>
      <c r="G342" s="13"/>
      <c r="H342" s="453"/>
      <c r="I342" s="4"/>
      <c r="J342" s="90"/>
      <c r="K342" s="90"/>
      <c r="L342" s="91" t="s">
        <v>930</v>
      </c>
      <c r="M342" s="40"/>
      <c r="N342" s="4"/>
      <c r="O342" s="75"/>
      <c r="W342" t="s">
        <v>3761</v>
      </c>
      <c r="X342" s="817"/>
    </row>
    <row r="343" spans="2:45" x14ac:dyDescent="0.35">
      <c r="B343" s="50" t="s">
        <v>928</v>
      </c>
      <c r="C343" s="13" t="s">
        <v>258</v>
      </c>
      <c r="D343" s="13"/>
      <c r="E343" s="13"/>
      <c r="F343" s="13"/>
      <c r="G343" s="13"/>
      <c r="H343" s="453"/>
      <c r="I343" s="4"/>
      <c r="J343" s="90"/>
      <c r="K343" s="90"/>
      <c r="L343" s="919" t="s">
        <v>4278</v>
      </c>
      <c r="M343" s="40"/>
      <c r="N343" s="4"/>
      <c r="O343" s="75"/>
      <c r="P343" t="b">
        <v>0</v>
      </c>
      <c r="Q343" t="b">
        <v>1</v>
      </c>
      <c r="R343" t="b">
        <v>0</v>
      </c>
      <c r="S343" t="b">
        <f ca="1">AND(S13=2,NOT(W348),W341=TRUE,OR(BI16="Tropical",AND(BG16="Dry",OR(BF16=2,BF16=3,BF16=4))))</f>
        <v>0</v>
      </c>
      <c r="T343" t="b">
        <f ca="1">AND(NOT(S343),LEN(W343)&gt;0)</f>
        <v>0</v>
      </c>
      <c r="W343" s="314"/>
      <c r="X343" s="817"/>
      <c r="AC343" t="b">
        <f ca="1">OR(AD343:AE343)</f>
        <v>0</v>
      </c>
      <c r="AD343" t="b">
        <f ca="1">T343</f>
        <v>0</v>
      </c>
      <c r="AP343" t="str">
        <f>SUBSTITUTE(SUBSTITUTE(SUBSTITUTE("dch"&amp;$B343&amp;$C343&amp;$D343&amp;$E343,".","_"),"(","_"),")","")</f>
        <v>dch703_3_7_2</v>
      </c>
      <c r="AQ343" t="str">
        <f>IF(LEN(W343)=0,"",W343)</f>
        <v/>
      </c>
    </row>
    <row r="344" spans="2:45" x14ac:dyDescent="0.35">
      <c r="B344" s="50" t="s">
        <v>928</v>
      </c>
      <c r="C344" s="50"/>
      <c r="D344" s="13"/>
      <c r="E344" s="13"/>
      <c r="F344" s="13"/>
      <c r="G344" s="13"/>
      <c r="H344" s="453"/>
      <c r="I344" s="4"/>
      <c r="J344" s="90"/>
      <c r="K344" s="90"/>
      <c r="L344" s="919"/>
      <c r="M344" s="40"/>
      <c r="N344" s="4"/>
      <c r="O344" s="75"/>
      <c r="X344" s="817"/>
    </row>
    <row r="345" spans="2:45" x14ac:dyDescent="0.35">
      <c r="B345" s="50" t="s">
        <v>928</v>
      </c>
      <c r="C345" s="50"/>
      <c r="D345" s="13"/>
      <c r="E345" s="13"/>
      <c r="F345" s="13"/>
      <c r="G345" s="13"/>
      <c r="H345" s="453"/>
      <c r="I345" s="4"/>
      <c r="J345" s="90"/>
      <c r="K345" s="90"/>
      <c r="L345" s="919"/>
      <c r="M345" s="40"/>
      <c r="N345" s="4"/>
      <c r="O345" s="75"/>
      <c r="X345" s="817"/>
    </row>
    <row r="346" spans="2:45" x14ac:dyDescent="0.35">
      <c r="B346" s="50" t="s">
        <v>928</v>
      </c>
      <c r="C346" s="50"/>
      <c r="D346" s="13"/>
      <c r="E346" s="13"/>
      <c r="F346" s="13"/>
      <c r="G346" s="13"/>
      <c r="H346" s="453"/>
      <c r="I346" s="4"/>
      <c r="J346" s="90"/>
      <c r="K346" s="90"/>
      <c r="L346" s="919"/>
      <c r="M346" s="40"/>
      <c r="N346" s="4"/>
      <c r="O346" s="75"/>
      <c r="X346" s="817"/>
    </row>
    <row r="347" spans="2:45" x14ac:dyDescent="0.35">
      <c r="B347" s="50" t="s">
        <v>928</v>
      </c>
      <c r="C347" s="50"/>
      <c r="D347" s="13"/>
      <c r="E347" s="13"/>
      <c r="F347" s="13"/>
      <c r="G347" s="13"/>
      <c r="H347" s="453"/>
      <c r="I347" s="133"/>
      <c r="J347" s="228"/>
      <c r="K347" s="228"/>
      <c r="L347" s="284" t="s">
        <v>3777</v>
      </c>
      <c r="M347" s="268"/>
      <c r="N347" s="133"/>
      <c r="O347" s="309"/>
      <c r="P347" s="104"/>
      <c r="Q347" s="104"/>
      <c r="R347" s="104"/>
      <c r="S347" s="104"/>
      <c r="T347" s="104"/>
      <c r="U347" s="104"/>
      <c r="V347" s="104"/>
      <c r="W347" s="335"/>
      <c r="X347" s="817"/>
    </row>
    <row r="348" spans="2:45" x14ac:dyDescent="0.35">
      <c r="B348" s="50" t="s">
        <v>931</v>
      </c>
      <c r="C348" s="50"/>
      <c r="D348" s="13"/>
      <c r="E348" s="13"/>
      <c r="F348" s="13"/>
      <c r="G348" s="13"/>
      <c r="H348" s="453"/>
      <c r="I348" s="330" t="s">
        <v>931</v>
      </c>
      <c r="J348" s="286"/>
      <c r="K348" s="286"/>
      <c r="L348" s="921" t="s">
        <v>4279</v>
      </c>
      <c r="M348" s="822">
        <f>IFERROR(INDEX({4,4,4,3,3,3,0,0},BF16),0)</f>
        <v>3</v>
      </c>
      <c r="N348" s="118"/>
      <c r="O348" s="823">
        <f ca="1">M348*S348*W348</f>
        <v>0</v>
      </c>
      <c r="P348" t="b">
        <v>1</v>
      </c>
      <c r="Q348" t="b">
        <v>1</v>
      </c>
      <c r="R348" s="120" t="b">
        <v>0</v>
      </c>
      <c r="S348" s="120" t="b">
        <f ca="1">(S13=2)</f>
        <v>1</v>
      </c>
      <c r="T348" s="120" t="b">
        <f ca="1">AND(NOT(S348),W348=TRUE)</f>
        <v>0</v>
      </c>
      <c r="U348" s="120"/>
      <c r="V348" s="120"/>
      <c r="W348" s="17"/>
      <c r="X348" s="817"/>
      <c r="AC348" t="b">
        <f ca="1">OR(AD348:AE348)</f>
        <v>0</v>
      </c>
      <c r="AD348" t="b">
        <f ca="1">T348</f>
        <v>0</v>
      </c>
      <c r="AL348" t="str">
        <f>SUBSTITUTE(SUBSTITUTE(SUBSTITUTE("dpa"&amp;$B348&amp;$C348&amp;$D348&amp;$E348,".","_"),"(","_"),")","")</f>
        <v>dpa703_3_8</v>
      </c>
      <c r="AM348">
        <f>M348</f>
        <v>3</v>
      </c>
      <c r="AN348" t="str">
        <f>SUBSTITUTE(SUBSTITUTE(SUBSTITUTE("dpc"&amp;$B348&amp;$C348&amp;$D348&amp;$E348,".","_"),"(","_"),")","")</f>
        <v>dpc703_3_8</v>
      </c>
      <c r="AO348">
        <f ca="1">O348</f>
        <v>0</v>
      </c>
      <c r="AP348" t="str">
        <f>SUBSTITUTE(SUBSTITUTE(SUBSTITUTE("dch"&amp;$B348&amp;$C348&amp;$D348&amp;$E348,".","_"),"(","_"),")","")</f>
        <v>dch703_3_8</v>
      </c>
      <c r="AQ348" t="str">
        <f>IF(LEN(W348)=0,"",W348)</f>
        <v/>
      </c>
      <c r="AR348" t="str">
        <f>SUBSTITUTE(SUBSTITUTE(SUBSTITUTE("dnt"&amp;$B348&amp;$C348&amp;$D348&amp;$E348,".","_"),"(","_"),")","")</f>
        <v>dnt703_3_8</v>
      </c>
      <c r="AS348" t="str">
        <f>IF(LEN(X348)=0,"",X348)</f>
        <v/>
      </c>
    </row>
    <row r="349" spans="2:45" x14ac:dyDescent="0.35">
      <c r="B349" s="50" t="s">
        <v>931</v>
      </c>
      <c r="C349" s="50"/>
      <c r="D349" s="13"/>
      <c r="E349" s="13"/>
      <c r="F349" s="13"/>
      <c r="G349" s="13"/>
      <c r="H349" s="453"/>
      <c r="I349" s="4"/>
      <c r="J349" s="90"/>
      <c r="K349" s="90"/>
      <c r="L349" s="919"/>
      <c r="M349" s="818"/>
      <c r="N349" s="4"/>
      <c r="O349" s="832"/>
      <c r="X349" s="817"/>
    </row>
    <row r="350" spans="2:45" x14ac:dyDescent="0.35">
      <c r="B350" s="50" t="s">
        <v>931</v>
      </c>
      <c r="C350" s="50"/>
      <c r="D350" s="13"/>
      <c r="E350" s="13"/>
      <c r="F350" s="13"/>
      <c r="G350" s="13"/>
      <c r="H350" s="453"/>
      <c r="I350" s="4"/>
      <c r="J350" s="90"/>
      <c r="K350" s="90"/>
      <c r="L350" s="92" t="s">
        <v>930</v>
      </c>
      <c r="M350" s="40"/>
      <c r="N350" s="4"/>
      <c r="O350" s="75"/>
      <c r="X350" s="817"/>
    </row>
    <row r="351" spans="2:45" x14ac:dyDescent="0.35">
      <c r="B351" s="50" t="s">
        <v>931</v>
      </c>
      <c r="C351" s="50"/>
      <c r="D351" s="13"/>
      <c r="E351" s="13"/>
      <c r="F351" s="13"/>
      <c r="G351" s="13"/>
      <c r="H351" s="453"/>
      <c r="I351" s="4"/>
      <c r="J351" s="90"/>
      <c r="K351" s="90"/>
      <c r="L351" s="855" t="s">
        <v>3776</v>
      </c>
      <c r="M351" s="40"/>
      <c r="N351" s="4"/>
      <c r="O351" s="75"/>
      <c r="X351" s="817"/>
    </row>
    <row r="352" spans="2:45" ht="15" thickBot="1" x14ac:dyDescent="0.4">
      <c r="B352" s="50" t="s">
        <v>931</v>
      </c>
      <c r="C352" s="50"/>
      <c r="D352" s="13"/>
      <c r="E352" s="13"/>
      <c r="F352" s="13"/>
      <c r="G352" s="13"/>
      <c r="H352" s="453"/>
      <c r="I352" s="160"/>
      <c r="J352" s="229"/>
      <c r="K352" s="229"/>
      <c r="L352" s="922"/>
      <c r="M352" s="270"/>
      <c r="N352" s="160"/>
      <c r="O352" s="161"/>
      <c r="P352" s="55"/>
      <c r="Q352" s="55"/>
      <c r="R352" s="55"/>
      <c r="S352" s="55"/>
      <c r="T352" s="55"/>
      <c r="U352" s="55"/>
      <c r="V352" s="55"/>
      <c r="W352" s="55"/>
      <c r="X352" s="829"/>
    </row>
    <row r="353" spans="2:45" ht="15" thickTop="1" x14ac:dyDescent="0.35">
      <c r="B353" s="412">
        <v>703.4</v>
      </c>
      <c r="C353" s="50"/>
      <c r="D353" s="13"/>
      <c r="E353" s="13"/>
      <c r="F353" s="13"/>
      <c r="G353" s="13"/>
      <c r="H353" s="453"/>
      <c r="I353" s="30">
        <v>703.4</v>
      </c>
      <c r="J353" s="90"/>
      <c r="K353" s="90"/>
      <c r="L353" s="95" t="s">
        <v>932</v>
      </c>
      <c r="M353" s="40"/>
      <c r="N353" s="4"/>
      <c r="O353" s="75"/>
      <c r="R353" s="1"/>
      <c r="S353" s="242" t="s">
        <v>3643</v>
      </c>
      <c r="T353" s="1" t="b">
        <f>AND(AY28&gt;4,AY19=INDEX(ddSingleOrMulti,2))</f>
        <v>0</v>
      </c>
    </row>
    <row r="354" spans="2:45" x14ac:dyDescent="0.35">
      <c r="B354" s="412" t="s">
        <v>933</v>
      </c>
      <c r="C354" s="50"/>
      <c r="D354" s="13"/>
      <c r="E354" s="13"/>
      <c r="F354" s="13"/>
      <c r="G354" s="13"/>
      <c r="H354" s="453"/>
      <c r="I354" s="30" t="s">
        <v>933</v>
      </c>
      <c r="J354" s="90"/>
      <c r="K354" s="90"/>
      <c r="L354" s="95" t="s">
        <v>934</v>
      </c>
      <c r="M354" s="818">
        <f>IFERROR(INDEX({0,2,4,6,8,8,8,8},BF16),0)</f>
        <v>6</v>
      </c>
      <c r="N354" s="4"/>
      <c r="O354" s="832">
        <f ca="1">M354*S354*W354</f>
        <v>0</v>
      </c>
      <c r="P354" t="b">
        <v>1</v>
      </c>
      <c r="Q354" t="b">
        <v>1</v>
      </c>
      <c r="R354" t="b">
        <v>0</v>
      </c>
      <c r="S354" t="b">
        <f ca="1">AND(S13=2,NOT(T353),AY39=INDEX(ddHDucts,2))</f>
        <v>0</v>
      </c>
      <c r="T354" t="b">
        <f ca="1">AND(NOT(S354),W354=TRUE)</f>
        <v>0</v>
      </c>
      <c r="W354" s="17"/>
      <c r="X354" s="817"/>
      <c r="AC354" t="b">
        <f ca="1">OR(AD354:AE354)</f>
        <v>0</v>
      </c>
      <c r="AD354" t="b">
        <f ca="1">T354</f>
        <v>0</v>
      </c>
      <c r="AL354" t="str">
        <f>SUBSTITUTE(SUBSTITUTE(SUBSTITUTE("dpa"&amp;$B354&amp;$C354&amp;$D354&amp;$E354,".","_"),"(","_"),")","")</f>
        <v>dpa703_4_1</v>
      </c>
      <c r="AM354">
        <f>M354</f>
        <v>6</v>
      </c>
      <c r="AN354" t="str">
        <f>SUBSTITUTE(SUBSTITUTE(SUBSTITUTE("dpc"&amp;$B354&amp;$C354&amp;$D354&amp;$E354,".","_"),"(","_"),")","")</f>
        <v>dpc703_4_1</v>
      </c>
      <c r="AO354">
        <f ca="1">O354</f>
        <v>0</v>
      </c>
      <c r="AP354" t="str">
        <f>SUBSTITUTE(SUBSTITUTE(SUBSTITUTE("dch"&amp;$B354&amp;$C354&amp;$D354&amp;$E354,".","_"),"(","_"),")","")</f>
        <v>dch703_4_1</v>
      </c>
      <c r="AQ354" t="str">
        <f>IF(LEN(W354)=0,"",W354)</f>
        <v/>
      </c>
      <c r="AR354" t="str">
        <f>SUBSTITUTE(SUBSTITUTE(SUBSTITUTE("dnt"&amp;$B354&amp;$C354&amp;$D354&amp;$E354,".","_"),"(","_"),")","")</f>
        <v>dnt703_4_1</v>
      </c>
      <c r="AS354" t="str">
        <f>IF(LEN(X354)=0,"",X354)</f>
        <v/>
      </c>
    </row>
    <row r="355" spans="2:45" x14ac:dyDescent="0.35">
      <c r="B355" s="412" t="s">
        <v>933</v>
      </c>
      <c r="C355" s="50"/>
      <c r="D355" s="13"/>
      <c r="E355" s="13"/>
      <c r="F355" s="13"/>
      <c r="G355" s="13"/>
      <c r="H355" s="453"/>
      <c r="I355" s="133"/>
      <c r="J355" s="228"/>
      <c r="K355" s="228"/>
      <c r="L355" s="284" t="s">
        <v>935</v>
      </c>
      <c r="M355" s="819"/>
      <c r="N355" s="133"/>
      <c r="O355" s="824"/>
      <c r="X355" s="817"/>
    </row>
    <row r="356" spans="2:45" x14ac:dyDescent="0.35">
      <c r="B356" s="412" t="s">
        <v>936</v>
      </c>
      <c r="C356" s="50"/>
      <c r="D356" s="13"/>
      <c r="E356" s="13"/>
      <c r="F356" s="13"/>
      <c r="G356" s="13"/>
      <c r="H356" s="453"/>
      <c r="I356" s="117" t="s">
        <v>936</v>
      </c>
      <c r="J356" s="286"/>
      <c r="K356" s="286"/>
      <c r="L356" s="325" t="s">
        <v>937</v>
      </c>
      <c r="M356" s="822">
        <f>IFERROR(INDEX({8,8,4,2,1,0,0,0},BF16),0)</f>
        <v>2</v>
      </c>
      <c r="N356" s="118"/>
      <c r="O356" s="823">
        <f ca="1">M356*S356*W356</f>
        <v>0</v>
      </c>
      <c r="P356" t="b">
        <v>1</v>
      </c>
      <c r="Q356" t="b">
        <v>1</v>
      </c>
      <c r="R356" t="b">
        <v>0</v>
      </c>
      <c r="S356" t="b">
        <f ca="1">AND(S13=2,NOT(T353),AY43=INDEX(ddCDucts,2))</f>
        <v>0</v>
      </c>
      <c r="T356" t="b">
        <f ca="1">AND(NOT(S356),W356=TRUE)</f>
        <v>0</v>
      </c>
      <c r="W356" s="17"/>
      <c r="X356" s="817"/>
      <c r="AC356" t="b">
        <f ca="1">OR(AD356:AE356)</f>
        <v>0</v>
      </c>
      <c r="AD356" t="b">
        <f ca="1">T356</f>
        <v>0</v>
      </c>
      <c r="AL356" t="str">
        <f>SUBSTITUTE(SUBSTITUTE(SUBSTITUTE("dpa"&amp;$B356&amp;$C356&amp;$D356&amp;$E356,".","_"),"(","_"),")","")</f>
        <v>dpa703_4_2</v>
      </c>
      <c r="AM356">
        <f>M356</f>
        <v>2</v>
      </c>
      <c r="AN356" t="str">
        <f>SUBSTITUTE(SUBSTITUTE(SUBSTITUTE("dpc"&amp;$B356&amp;$C356&amp;$D356&amp;$E356,".","_"),"(","_"),")","")</f>
        <v>dpc703_4_2</v>
      </c>
      <c r="AO356">
        <f ca="1">O356</f>
        <v>0</v>
      </c>
      <c r="AP356" t="str">
        <f>SUBSTITUTE(SUBSTITUTE(SUBSTITUTE("dch"&amp;$B356&amp;$C356&amp;$D356&amp;$E356,".","_"),"(","_"),")","")</f>
        <v>dch703_4_2</v>
      </c>
      <c r="AQ356" t="str">
        <f>IF(LEN(W356)=0,"",W356)</f>
        <v/>
      </c>
      <c r="AR356" t="str">
        <f>SUBSTITUTE(SUBSTITUTE(SUBSTITUTE("dnt"&amp;$B356&amp;$C356&amp;$D356&amp;$E356,".","_"),"(","_"),")","")</f>
        <v>dnt703_4_2</v>
      </c>
      <c r="AS356" t="str">
        <f>IF(LEN(X356)=0,"",X356)</f>
        <v/>
      </c>
    </row>
    <row r="357" spans="2:45" x14ac:dyDescent="0.35">
      <c r="B357" s="412" t="s">
        <v>936</v>
      </c>
      <c r="C357" s="50"/>
      <c r="D357" s="13"/>
      <c r="E357" s="13"/>
      <c r="F357" s="13"/>
      <c r="G357" s="13"/>
      <c r="H357" s="453"/>
      <c r="I357" s="133"/>
      <c r="J357" s="228"/>
      <c r="K357" s="228"/>
      <c r="L357" s="284" t="s">
        <v>935</v>
      </c>
      <c r="M357" s="819"/>
      <c r="N357" s="133"/>
      <c r="O357" s="824"/>
      <c r="X357" s="817"/>
    </row>
    <row r="358" spans="2:45" x14ac:dyDescent="0.35">
      <c r="B358" s="412" t="s">
        <v>938</v>
      </c>
      <c r="C358" s="50"/>
      <c r="D358" s="13"/>
      <c r="E358" s="13"/>
      <c r="F358" s="13"/>
      <c r="G358" s="13"/>
      <c r="H358" s="453"/>
      <c r="I358" s="30" t="s">
        <v>938</v>
      </c>
      <c r="J358" s="90"/>
      <c r="K358" s="90"/>
      <c r="L358" s="95" t="s">
        <v>939</v>
      </c>
      <c r="M358" s="40">
        <f>IFERROR(INDEX({8,10,8,8,8,4,4,4},BF16),0)</f>
        <v>8</v>
      </c>
      <c r="N358" s="4"/>
      <c r="O358" s="75">
        <f ca="1">M358*S359*S360*S362*W359*W360*W362</f>
        <v>8</v>
      </c>
      <c r="AL358" t="str">
        <f>SUBSTITUTE(SUBSTITUTE(SUBSTITUTE("dpa"&amp;$B358&amp;$C358&amp;$D358&amp;$E358,".","_"),"(","_"),")","")</f>
        <v>dpa703_4_3</v>
      </c>
      <c r="AM358">
        <f>M358</f>
        <v>8</v>
      </c>
      <c r="AN358" t="str">
        <f>SUBSTITUTE(SUBSTITUTE(SUBSTITUTE("dpc"&amp;$B358&amp;$C358&amp;$D358&amp;$E358,".","_"),"(","_"),")","")</f>
        <v>dpc703_4_3</v>
      </c>
      <c r="AO358">
        <f ca="1">O358</f>
        <v>8</v>
      </c>
    </row>
    <row r="359" spans="2:45" x14ac:dyDescent="0.35">
      <c r="B359" s="412" t="s">
        <v>938</v>
      </c>
      <c r="C359" s="13" t="s">
        <v>256</v>
      </c>
      <c r="D359" s="13"/>
      <c r="E359" s="13"/>
      <c r="F359" s="13"/>
      <c r="G359" s="13"/>
      <c r="H359" s="453"/>
      <c r="I359" s="4"/>
      <c r="J359" s="326" t="s">
        <v>256</v>
      </c>
      <c r="K359" s="228"/>
      <c r="L359" s="228" t="s">
        <v>940</v>
      </c>
      <c r="M359" s="40"/>
      <c r="N359" s="4"/>
      <c r="O359" s="75"/>
      <c r="P359" t="b">
        <v>1</v>
      </c>
      <c r="Q359" t="b">
        <v>0</v>
      </c>
      <c r="R359" t="b">
        <v>0</v>
      </c>
      <c r="S359" t="b">
        <f ca="1">AND(S13=2,NOT(T353),OR(AY39&lt;&gt;INDEX(ddHDucts,2),AY43&lt;&gt;INDEX(ddCDucts,2)))</f>
        <v>1</v>
      </c>
      <c r="T359" t="b">
        <f ca="1">AND(NOT(S359),W359=TRUE)</f>
        <v>0</v>
      </c>
      <c r="W359" s="17" t="b">
        <v>1</v>
      </c>
      <c r="X359" s="36"/>
      <c r="AC359" t="b">
        <f ca="1">OR(AD359:AE359)</f>
        <v>0</v>
      </c>
      <c r="AD359" t="b">
        <f ca="1">T359</f>
        <v>0</v>
      </c>
      <c r="AP359" t="str">
        <f>SUBSTITUTE(SUBSTITUTE(SUBSTITUTE("dch"&amp;$B359&amp;$C359&amp;$D359&amp;$E359,".","_"),"(","_"),")","")</f>
        <v>dch703_4_3_1</v>
      </c>
      <c r="AQ359" t="b">
        <f>IF(LEN(W359)=0,"",W359)</f>
        <v>1</v>
      </c>
      <c r="AR359" t="str">
        <f>SUBSTITUTE(SUBSTITUTE(SUBSTITUTE("dnt"&amp;$B359&amp;$C359&amp;$D359&amp;$E359,".","_"),"(","_"),")","")</f>
        <v>dnt703_4_3_1</v>
      </c>
      <c r="AS359" t="str">
        <f>IF(LEN(X359)=0,"",X359)</f>
        <v/>
      </c>
    </row>
    <row r="360" spans="2:45" x14ac:dyDescent="0.35">
      <c r="B360" s="412" t="s">
        <v>938</v>
      </c>
      <c r="C360" s="13" t="s">
        <v>258</v>
      </c>
      <c r="D360" s="13"/>
      <c r="E360" s="13"/>
      <c r="F360" s="13"/>
      <c r="G360" s="13"/>
      <c r="H360" s="453"/>
      <c r="I360" s="4"/>
      <c r="J360" s="343" t="s">
        <v>258</v>
      </c>
      <c r="K360" s="286"/>
      <c r="L360" s="836" t="s">
        <v>941</v>
      </c>
      <c r="M360" s="40"/>
      <c r="N360" s="4"/>
      <c r="O360" s="75"/>
      <c r="P360" t="b">
        <v>1</v>
      </c>
      <c r="Q360" t="b">
        <v>0</v>
      </c>
      <c r="R360" t="b">
        <v>0</v>
      </c>
      <c r="S360" t="b">
        <f ca="1">AND(S13=2,NOT(T353),OR(AY39&lt;&gt;INDEX(ddHDucts,2),AY43&lt;&gt;INDEX(ddCDucts,2)),W364&lt;&gt;INDEX(INDIRECT(U364),1),W364&lt;&gt;INDEX(INDIRECT(U364),3))</f>
        <v>1</v>
      </c>
      <c r="T360" t="b">
        <f ca="1">AND(NOT(S360),W360=TRUE)</f>
        <v>0</v>
      </c>
      <c r="W360" s="17" t="b">
        <v>1</v>
      </c>
      <c r="X360" s="817"/>
      <c r="AC360" t="b">
        <f ca="1">OR(AD360:AE360)</f>
        <v>0</v>
      </c>
      <c r="AD360" t="b">
        <f ca="1">T360</f>
        <v>0</v>
      </c>
      <c r="AP360" t="str">
        <f>SUBSTITUTE(SUBSTITUTE(SUBSTITUTE("dch"&amp;$B360&amp;$C360&amp;$D360&amp;$E360,".","_"),"(","_"),")","")</f>
        <v>dch703_4_3_2</v>
      </c>
      <c r="AQ360" t="b">
        <f>IF(LEN(W360)=0,"",W360)</f>
        <v>1</v>
      </c>
      <c r="AR360" t="str">
        <f>SUBSTITUTE(SUBSTITUTE(SUBSTITUTE("dnt"&amp;$B360&amp;$C360&amp;$D360&amp;$E360,".","_"),"(","_"),")","")</f>
        <v>dnt703_4_3_2</v>
      </c>
      <c r="AS360" t="str">
        <f>IF(LEN(X360)=0,"",X360)</f>
        <v/>
      </c>
    </row>
    <row r="361" spans="2:45" x14ac:dyDescent="0.35">
      <c r="B361" s="412" t="s">
        <v>938</v>
      </c>
      <c r="C361" s="13" t="s">
        <v>258</v>
      </c>
      <c r="D361" s="13"/>
      <c r="E361" s="13"/>
      <c r="F361" s="13"/>
      <c r="G361" s="13"/>
      <c r="H361" s="453"/>
      <c r="I361" s="4"/>
      <c r="J361" s="228"/>
      <c r="K361" s="228"/>
      <c r="L361" s="815"/>
      <c r="M361" s="40"/>
      <c r="N361" s="4"/>
      <c r="O361" s="75"/>
      <c r="X361" s="817"/>
    </row>
    <row r="362" spans="2:45" x14ac:dyDescent="0.35">
      <c r="B362" s="412" t="s">
        <v>938</v>
      </c>
      <c r="C362" s="13" t="s">
        <v>260</v>
      </c>
      <c r="D362" s="13"/>
      <c r="E362" s="13"/>
      <c r="F362" s="13"/>
      <c r="G362" s="13"/>
      <c r="H362" s="453"/>
      <c r="I362" s="4"/>
      <c r="J362" s="152" t="s">
        <v>260</v>
      </c>
      <c r="K362" s="90"/>
      <c r="L362" s="90" t="s">
        <v>942</v>
      </c>
      <c r="M362" s="40"/>
      <c r="N362" s="4"/>
      <c r="O362" s="75"/>
      <c r="P362" t="b">
        <v>1</v>
      </c>
      <c r="Q362" t="b">
        <v>0</v>
      </c>
      <c r="R362" t="b">
        <v>0</v>
      </c>
      <c r="S362" t="b">
        <f ca="1">AND(S13=2,NOT(T353),OR(AY39&lt;&gt;INDEX(ddHDucts,2),AY43&lt;&gt;INDEX(ddCDucts,2)))</f>
        <v>1</v>
      </c>
      <c r="T362" t="b">
        <f ca="1">AND(NOT(S362),W362=TRUE)</f>
        <v>0</v>
      </c>
      <c r="W362" s="17" t="b">
        <v>1</v>
      </c>
      <c r="X362" s="817"/>
      <c r="AC362" t="b">
        <f ca="1">OR(AD362:AE362)</f>
        <v>0</v>
      </c>
      <c r="AD362" t="b">
        <f ca="1">T362</f>
        <v>0</v>
      </c>
      <c r="AP362" t="str">
        <f>SUBSTITUTE(SUBSTITUTE(SUBSTITUTE("dch"&amp;$B362&amp;$C362&amp;$D362&amp;$E362,".","_"),"(","_"),")","")</f>
        <v>dch703_4_3_3</v>
      </c>
      <c r="AQ362" t="b">
        <f>IF(LEN(W362)=0,"",W362)</f>
        <v>1</v>
      </c>
      <c r="AR362" t="str">
        <f>SUBSTITUTE(SUBSTITUTE(SUBSTITUTE("dnt"&amp;$B362&amp;$C362&amp;$D362&amp;$E362,".","_"),"(","_"),")","")</f>
        <v>dnt703_4_3_3</v>
      </c>
      <c r="AS362" t="str">
        <f>IF(LEN(X362)=0,"",X362)</f>
        <v/>
      </c>
    </row>
    <row r="363" spans="2:45" x14ac:dyDescent="0.35">
      <c r="B363" s="412" t="s">
        <v>938</v>
      </c>
      <c r="C363" s="13" t="s">
        <v>260</v>
      </c>
      <c r="D363" s="13"/>
      <c r="E363" s="13"/>
      <c r="F363" s="13"/>
      <c r="G363" s="13"/>
      <c r="H363" s="453"/>
      <c r="I363" s="133"/>
      <c r="J363" s="228"/>
      <c r="K363" s="228"/>
      <c r="L363" s="284" t="s">
        <v>935</v>
      </c>
      <c r="M363" s="40"/>
      <c r="N363" s="4"/>
      <c r="O363" s="75"/>
      <c r="X363" s="817"/>
    </row>
    <row r="364" spans="2:45" x14ac:dyDescent="0.35">
      <c r="B364" s="412" t="s">
        <v>943</v>
      </c>
      <c r="C364" s="50"/>
      <c r="D364" s="13"/>
      <c r="E364" s="13"/>
      <c r="F364" s="13"/>
      <c r="G364" s="13"/>
      <c r="H364" s="453"/>
      <c r="I364" s="30" t="s">
        <v>943</v>
      </c>
      <c r="J364" s="90"/>
      <c r="K364" s="90"/>
      <c r="L364" s="838" t="s">
        <v>944</v>
      </c>
      <c r="M364" s="40"/>
      <c r="N364" s="4"/>
      <c r="O364" s="832">
        <f ca="1">IFERROR(INDEX(M370:M372,MATCH(W364,INDIRECT(U364),0)),0)*S364</f>
        <v>0</v>
      </c>
      <c r="P364" t="b">
        <v>0</v>
      </c>
      <c r="Q364" t="b">
        <v>1</v>
      </c>
      <c r="R364" t="b">
        <f ca="1">AND(S364,R214)</f>
        <v>0</v>
      </c>
      <c r="S364" t="b">
        <f ca="1">AND(S13=2,OR(AY39&lt;&gt;INDEX(ddHDucts,2),AY43&lt;&gt;INDEX(ddCDucts,2)),W360&lt;&gt;TRUE,LEN(W637)=0)</f>
        <v>0</v>
      </c>
      <c r="T364" t="b">
        <f ca="1">AND(NOT(S364),LEN(W364)&gt;0)</f>
        <v>0</v>
      </c>
      <c r="U364" t="str">
        <f>SUBSTITUTE(SUBSTITUTE(SUBSTITUTE("dd"&amp;B365&amp;C365&amp;D365&amp;E365&amp;F365,".","_"),"(","_"),")","")</f>
        <v>dd703_4_4</v>
      </c>
      <c r="W364" s="9"/>
      <c r="X364" s="817"/>
      <c r="AC364" t="b">
        <f ca="1">OR(AD364:AE364)</f>
        <v>0</v>
      </c>
      <c r="AD364" t="b">
        <f ca="1">T364</f>
        <v>0</v>
      </c>
      <c r="AN364" t="str">
        <f>SUBSTITUTE(SUBSTITUTE(SUBSTITUTE("dpc"&amp;$B364&amp;$C364&amp;$D364&amp;$E364,".","_"),"(","_"),")","")</f>
        <v>dpc703_4_4</v>
      </c>
      <c r="AO364">
        <f ca="1">O364</f>
        <v>0</v>
      </c>
      <c r="AP364" t="str">
        <f>SUBSTITUTE(SUBSTITUTE(SUBSTITUTE("dch"&amp;$B364&amp;$C364&amp;$D364&amp;$E364,".","_"),"(","_"),")","")</f>
        <v>dch703_4_4</v>
      </c>
      <c r="AQ364" t="str">
        <f>IF(LEN(W364)=0,"",W364)</f>
        <v/>
      </c>
      <c r="AR364" t="str">
        <f>SUBSTITUTE(SUBSTITUTE(SUBSTITUTE("dnt"&amp;$B364&amp;$C364&amp;$D364&amp;$E364,".","_"),"(","_"),")","")</f>
        <v>dnt703_4_4</v>
      </c>
      <c r="AS364" t="str">
        <f>IF(LEN(X364)=0,"",X364)</f>
        <v/>
      </c>
    </row>
    <row r="365" spans="2:45" x14ac:dyDescent="0.35">
      <c r="B365" s="412" t="s">
        <v>943</v>
      </c>
      <c r="C365" s="50"/>
      <c r="D365" s="13"/>
      <c r="E365" s="13"/>
      <c r="F365" s="13"/>
      <c r="G365" s="13"/>
      <c r="H365" s="453"/>
      <c r="I365" s="4"/>
      <c r="J365" s="90"/>
      <c r="K365" s="90"/>
      <c r="L365" s="838"/>
      <c r="M365" s="40"/>
      <c r="N365" s="4"/>
      <c r="O365" s="832"/>
      <c r="X365" s="817"/>
    </row>
    <row r="366" spans="2:45" x14ac:dyDescent="0.35">
      <c r="B366" s="412" t="s">
        <v>943</v>
      </c>
      <c r="C366" s="50"/>
      <c r="D366" s="13"/>
      <c r="E366" s="13"/>
      <c r="F366" s="13"/>
      <c r="G366" s="13"/>
      <c r="H366" s="453"/>
      <c r="I366" s="4"/>
      <c r="J366" s="90"/>
      <c r="K366" s="90"/>
      <c r="L366" s="838"/>
      <c r="M366" s="40"/>
      <c r="N366" s="4"/>
      <c r="O366" s="832"/>
      <c r="X366" s="817"/>
    </row>
    <row r="367" spans="2:45" x14ac:dyDescent="0.35">
      <c r="B367" s="412" t="s">
        <v>943</v>
      </c>
      <c r="C367" s="50"/>
      <c r="D367" s="13"/>
      <c r="E367" s="13"/>
      <c r="F367" s="13"/>
      <c r="G367" s="13"/>
      <c r="H367" s="453"/>
      <c r="I367" s="4"/>
      <c r="J367" s="90"/>
      <c r="K367" s="90"/>
      <c r="L367" s="838"/>
      <c r="M367" s="40"/>
      <c r="N367" s="4"/>
      <c r="O367" s="832"/>
      <c r="X367" s="817"/>
    </row>
    <row r="368" spans="2:45" x14ac:dyDescent="0.35">
      <c r="B368" s="412" t="s">
        <v>943</v>
      </c>
      <c r="C368" s="50"/>
      <c r="D368" s="13"/>
      <c r="E368" s="13"/>
      <c r="F368" s="13"/>
      <c r="G368" s="13"/>
      <c r="H368" s="453"/>
      <c r="I368" s="4"/>
      <c r="J368" s="90"/>
      <c r="K368" s="90"/>
      <c r="L368" s="838"/>
      <c r="M368" s="40"/>
      <c r="N368" s="4"/>
      <c r="O368" s="832"/>
      <c r="X368" s="817"/>
    </row>
    <row r="369" spans="2:45" x14ac:dyDescent="0.35">
      <c r="B369" s="412" t="s">
        <v>943</v>
      </c>
      <c r="C369" s="50"/>
      <c r="D369" s="13"/>
      <c r="E369" s="13"/>
      <c r="F369" s="13"/>
      <c r="G369" s="13"/>
      <c r="H369" s="453"/>
      <c r="I369" s="4"/>
      <c r="J369" s="90"/>
      <c r="K369" s="90"/>
      <c r="L369" s="92" t="s">
        <v>945</v>
      </c>
      <c r="M369" s="40"/>
      <c r="N369" s="4"/>
      <c r="O369" s="75"/>
      <c r="X369" s="817"/>
    </row>
    <row r="370" spans="2:45" x14ac:dyDescent="0.35">
      <c r="B370" s="412" t="s">
        <v>943</v>
      </c>
      <c r="C370" s="13" t="s">
        <v>256</v>
      </c>
      <c r="D370" s="13"/>
      <c r="E370" s="13"/>
      <c r="F370" s="13"/>
      <c r="G370" s="13"/>
      <c r="H370" s="453"/>
      <c r="I370" s="4"/>
      <c r="J370" s="326" t="s">
        <v>256</v>
      </c>
      <c r="K370" s="228"/>
      <c r="L370" s="228" t="s">
        <v>3641</v>
      </c>
      <c r="M370" s="268">
        <f>IFERROR(INDEX({4,5,4,3,2,1,1,1},BF16),0)</f>
        <v>3</v>
      </c>
      <c r="N370" s="4"/>
      <c r="O370" s="75"/>
      <c r="X370" s="817"/>
      <c r="AL370" t="str">
        <f>SUBSTITUTE(SUBSTITUTE(SUBSTITUTE("dpa"&amp;$B370&amp;$C370&amp;$D370&amp;$E370,".","_"),"(","_"),")","")</f>
        <v>dpa703_4_4_1</v>
      </c>
      <c r="AM370">
        <f>M370</f>
        <v>3</v>
      </c>
    </row>
    <row r="371" spans="2:45" x14ac:dyDescent="0.35">
      <c r="B371" s="412" t="s">
        <v>943</v>
      </c>
      <c r="C371" s="13" t="s">
        <v>258</v>
      </c>
      <c r="D371" s="13"/>
      <c r="E371" s="13"/>
      <c r="F371" s="13"/>
      <c r="G371" s="13"/>
      <c r="H371" s="453"/>
      <c r="I371" s="4"/>
      <c r="J371" s="344" t="s">
        <v>258</v>
      </c>
      <c r="K371" s="178"/>
      <c r="L371" s="178" t="s">
        <v>4834</v>
      </c>
      <c r="M371" s="278">
        <f>IFERROR(INDEX({1,1,1,1,1,1,1,1},BF16),0)</f>
        <v>1</v>
      </c>
      <c r="N371" s="4"/>
      <c r="O371" s="75"/>
      <c r="X371" s="817"/>
      <c r="AL371" t="str">
        <f>SUBSTITUTE(SUBSTITUTE(SUBSTITUTE("dpa"&amp;$B371&amp;$C371&amp;$D371&amp;$E371,".","_"),"(","_"),")","")</f>
        <v>dpa703_4_4_2</v>
      </c>
      <c r="AM371">
        <f>M371</f>
        <v>1</v>
      </c>
    </row>
    <row r="372" spans="2:45" ht="15" thickBot="1" x14ac:dyDescent="0.4">
      <c r="B372" s="412" t="s">
        <v>943</v>
      </c>
      <c r="C372" s="13" t="s">
        <v>260</v>
      </c>
      <c r="D372" s="13"/>
      <c r="E372" s="13"/>
      <c r="F372" s="13"/>
      <c r="G372" s="13"/>
      <c r="H372" s="453"/>
      <c r="I372" s="160"/>
      <c r="J372" s="315" t="s">
        <v>260</v>
      </c>
      <c r="K372" s="229"/>
      <c r="L372" s="229" t="s">
        <v>3642</v>
      </c>
      <c r="M372" s="270">
        <f>IFERROR(INDEX({3,4,3,2,1,1,1,1},BF16),0)</f>
        <v>2</v>
      </c>
      <c r="N372" s="160"/>
      <c r="O372" s="161"/>
      <c r="P372" s="55"/>
      <c r="Q372" s="55"/>
      <c r="R372" s="55"/>
      <c r="S372" s="55"/>
      <c r="T372" s="55"/>
      <c r="U372" s="55"/>
      <c r="V372" s="55"/>
      <c r="W372" s="55"/>
      <c r="X372" s="829"/>
      <c r="AL372" t="str">
        <f>SUBSTITUTE(SUBSTITUTE(SUBSTITUTE("dpa"&amp;$B372&amp;$C372&amp;$D372&amp;$E372,".","_"),"(","_"),")","")</f>
        <v>dpa703_4_4_3</v>
      </c>
      <c r="AM372">
        <f>M372</f>
        <v>2</v>
      </c>
    </row>
    <row r="373" spans="2:45" ht="15" thickTop="1" x14ac:dyDescent="0.35">
      <c r="B373" s="412">
        <v>703.5</v>
      </c>
      <c r="C373" s="50"/>
      <c r="D373" s="13"/>
      <c r="E373" s="13"/>
      <c r="F373" s="13"/>
      <c r="G373" s="13"/>
      <c r="H373" s="453"/>
      <c r="I373" s="30">
        <v>703.5</v>
      </c>
      <c r="J373" s="90"/>
      <c r="K373" s="90"/>
      <c r="L373" s="95" t="s">
        <v>946</v>
      </c>
      <c r="M373" s="40"/>
      <c r="N373" s="4"/>
      <c r="O373" s="75"/>
    </row>
    <row r="374" spans="2:45" x14ac:dyDescent="0.35">
      <c r="B374" s="412" t="s">
        <v>947</v>
      </c>
      <c r="C374" s="50"/>
      <c r="D374" s="13"/>
      <c r="E374" s="13"/>
      <c r="F374" s="13"/>
      <c r="G374" s="13"/>
      <c r="H374" s="453"/>
      <c r="I374" s="30" t="s">
        <v>947</v>
      </c>
      <c r="J374" s="90"/>
      <c r="K374" s="90"/>
      <c r="L374" s="95" t="s">
        <v>4280</v>
      </c>
      <c r="M374" s="40"/>
      <c r="N374" s="4"/>
      <c r="O374" s="4"/>
      <c r="W374" t="s">
        <v>3635</v>
      </c>
      <c r="X374" s="817"/>
      <c r="AR374" t="str">
        <f>SUBSTITUTE(SUBSTITUTE(SUBSTITUTE("dnt"&amp;$B374&amp;$C374&amp;$D374&amp;$E374,".","_"),"(","_"),")","")</f>
        <v>dnt703_5_1</v>
      </c>
      <c r="AS374" t="str">
        <f>IF(LEN(X374)=0,"",X374)</f>
        <v/>
      </c>
    </row>
    <row r="375" spans="2:45" x14ac:dyDescent="0.35">
      <c r="B375" s="412" t="s">
        <v>947</v>
      </c>
      <c r="C375" s="50"/>
      <c r="D375" s="13"/>
      <c r="E375" s="13"/>
      <c r="F375" s="13"/>
      <c r="G375" s="13"/>
      <c r="H375" s="453"/>
      <c r="I375" s="4"/>
      <c r="J375" s="90"/>
      <c r="K375" s="90"/>
      <c r="L375" s="893" t="s">
        <v>4281</v>
      </c>
      <c r="M375" s="40"/>
      <c r="N375" s="4"/>
      <c r="O375" s="4"/>
      <c r="P375" t="b">
        <v>1</v>
      </c>
      <c r="Q375" t="b">
        <v>1</v>
      </c>
      <c r="R375" t="b">
        <v>0</v>
      </c>
      <c r="S375" t="b">
        <f ca="1">AND(S13=2,LEN(W431)=0)</f>
        <v>1</v>
      </c>
      <c r="T375" t="b">
        <f ca="1">AND(NOT(S375),LEN(W375)&gt;0)</f>
        <v>0</v>
      </c>
      <c r="U375" t="str">
        <f>SUBSTITUTE(SUBSTITUTE(SUBSTITUTE("dd"&amp;B375&amp;C375&amp;D375&amp;E375&amp;F375,".","_"),"(","_"),")","")</f>
        <v>dd703_5_1</v>
      </c>
      <c r="W375" s="9" t="s">
        <v>4833</v>
      </c>
      <c r="X375" s="817"/>
      <c r="AC375" t="b">
        <f ca="1">OR(AD375:AE375)</f>
        <v>0</v>
      </c>
      <c r="AD375" t="b">
        <f ca="1">T375</f>
        <v>0</v>
      </c>
      <c r="AP375" t="str">
        <f>SUBSTITUTE(SUBSTITUTE(SUBSTITUTE("dch"&amp;$B375&amp;$C375&amp;$D375&amp;$E375,".","_"),"(","_"),")","")</f>
        <v>dch703_5_1</v>
      </c>
      <c r="AQ375" t="str">
        <f>IF(LEN(W375)=0,"",W375)</f>
        <v>Electric</v>
      </c>
    </row>
    <row r="376" spans="2:45" x14ac:dyDescent="0.35">
      <c r="B376" s="412" t="s">
        <v>947</v>
      </c>
      <c r="C376" s="50"/>
      <c r="D376" s="13"/>
      <c r="E376" s="13"/>
      <c r="F376" s="13"/>
      <c r="G376" s="13"/>
      <c r="H376" s="453"/>
      <c r="I376" s="4"/>
      <c r="J376" s="90"/>
      <c r="K376" s="90"/>
      <c r="L376" s="902"/>
      <c r="M376" s="40"/>
      <c r="N376" s="4"/>
      <c r="O376" s="4"/>
      <c r="R376" s="1" t="s">
        <v>4835</v>
      </c>
      <c r="S376" s="1">
        <f ca="1">IFERROR(MATCH(W375,INDIRECT(U375),0),0)</f>
        <v>2</v>
      </c>
      <c r="X376" s="817"/>
    </row>
    <row r="377" spans="2:45" x14ac:dyDescent="0.35">
      <c r="B377" s="412" t="s">
        <v>947</v>
      </c>
      <c r="C377" s="50"/>
      <c r="D377" s="13" t="s">
        <v>2970</v>
      </c>
      <c r="E377" s="13"/>
      <c r="F377" s="13"/>
      <c r="G377" s="13"/>
      <c r="H377" s="453"/>
      <c r="I377" s="4"/>
      <c r="J377" s="90"/>
      <c r="K377" s="90"/>
      <c r="L377" s="893" t="s">
        <v>4282</v>
      </c>
      <c r="M377" s="40"/>
      <c r="N377" s="4"/>
      <c r="O377" s="4"/>
      <c r="X377" s="817"/>
    </row>
    <row r="378" spans="2:45" x14ac:dyDescent="0.35">
      <c r="B378" s="412" t="s">
        <v>947</v>
      </c>
      <c r="C378" s="50"/>
      <c r="D378" s="13"/>
      <c r="E378" s="13"/>
      <c r="F378" s="13"/>
      <c r="G378" s="13"/>
      <c r="H378" s="453"/>
      <c r="I378" s="4"/>
      <c r="J378" s="90"/>
      <c r="K378" s="90"/>
      <c r="L378" s="902"/>
      <c r="M378" s="40"/>
      <c r="N378" s="4"/>
      <c r="O378" s="4"/>
      <c r="X378" s="817"/>
    </row>
    <row r="379" spans="2:45" x14ac:dyDescent="0.35">
      <c r="B379" s="412" t="s">
        <v>947</v>
      </c>
      <c r="C379" s="50"/>
      <c r="D379" s="13"/>
      <c r="E379" s="13"/>
      <c r="F379" s="13"/>
      <c r="G379" s="13"/>
      <c r="H379" s="453"/>
      <c r="I379" s="4"/>
      <c r="J379" s="90"/>
      <c r="K379" s="90"/>
      <c r="L379" s="855" t="s">
        <v>4283</v>
      </c>
      <c r="M379" s="40"/>
      <c r="N379" s="4"/>
      <c r="O379" s="4"/>
      <c r="X379" s="817"/>
    </row>
    <row r="380" spans="2:45" x14ac:dyDescent="0.35">
      <c r="B380" s="412" t="s">
        <v>947</v>
      </c>
      <c r="C380" s="50"/>
      <c r="D380" s="13"/>
      <c r="E380" s="13"/>
      <c r="F380" s="13"/>
      <c r="G380" s="13"/>
      <c r="H380" s="453"/>
      <c r="I380" s="4"/>
      <c r="J380" s="90"/>
      <c r="K380" s="90"/>
      <c r="L380" s="855"/>
      <c r="M380" s="40"/>
      <c r="N380" s="4"/>
      <c r="O380" s="4"/>
      <c r="W380" t="s">
        <v>3635</v>
      </c>
      <c r="X380" s="817"/>
    </row>
    <row r="381" spans="2:45" x14ac:dyDescent="0.35">
      <c r="B381" s="412" t="s">
        <v>947</v>
      </c>
      <c r="C381" s="13" t="s">
        <v>256</v>
      </c>
      <c r="D381" s="13"/>
      <c r="E381" s="13"/>
      <c r="F381" s="13"/>
      <c r="G381" s="13"/>
      <c r="H381" s="453"/>
      <c r="I381" s="4"/>
      <c r="J381" s="152" t="s">
        <v>256</v>
      </c>
      <c r="K381" s="90"/>
      <c r="L381" s="90" t="s">
        <v>948</v>
      </c>
      <c r="M381" s="40"/>
      <c r="N381" s="4"/>
      <c r="O381" s="75"/>
      <c r="P381" t="b">
        <v>1</v>
      </c>
      <c r="Q381" t="b">
        <v>1</v>
      </c>
      <c r="R381" t="b">
        <v>0</v>
      </c>
      <c r="S381" t="b">
        <f ca="1">AND(S13=2,LEN(W431)=0,S376=1)</f>
        <v>0</v>
      </c>
      <c r="T381" t="b">
        <f ca="1">AND(NOT(S381),LEN(W381)&gt;0)</f>
        <v>0</v>
      </c>
      <c r="U381" t="str">
        <f>SUBSTITUTE(SUBSTITUTE(SUBSTITUTE("dd"&amp;B381&amp;C381&amp;D381&amp;E381&amp;F381,".","_"),"(","_"),")","")</f>
        <v>dd703_5_1_1</v>
      </c>
      <c r="W381" s="9"/>
      <c r="X381" s="817"/>
      <c r="AC381" t="b">
        <f ca="1">OR(AD381:AE381)</f>
        <v>0</v>
      </c>
      <c r="AD381" t="b">
        <f ca="1">T381</f>
        <v>0</v>
      </c>
      <c r="AP381" t="str">
        <f>SUBSTITUTE(SUBSTITUTE(SUBSTITUTE("dch"&amp;$B381&amp;$C381&amp;$D381&amp;$E381,".","_"),"(","_"),")","")</f>
        <v>dch703_5_1_1</v>
      </c>
      <c r="AQ381" t="str">
        <f>IF(LEN(W381)=0,"",W381)</f>
        <v/>
      </c>
    </row>
    <row r="382" spans="2:45" x14ac:dyDescent="0.35">
      <c r="B382" s="412" t="s">
        <v>947</v>
      </c>
      <c r="C382" s="13" t="s">
        <v>256</v>
      </c>
      <c r="D382" s="13" t="s">
        <v>121</v>
      </c>
      <c r="E382" s="13"/>
      <c r="F382" s="13"/>
      <c r="G382" s="13"/>
      <c r="H382" s="453"/>
      <c r="I382" s="4"/>
      <c r="J382" s="152"/>
      <c r="K382" s="402" t="s">
        <v>121</v>
      </c>
      <c r="L382" s="825" t="s">
        <v>4284</v>
      </c>
      <c r="M382" s="40"/>
      <c r="N382" s="4"/>
      <c r="O382" s="832">
        <f ca="1">IFERROR(INDEX(M384:M385,MATCH(W383,{0.65,0.78},1))*AND(S381,MATCH(W381,INDIRECT(U381),0)=1),0)</f>
        <v>0</v>
      </c>
      <c r="W382" t="s">
        <v>3634</v>
      </c>
      <c r="X382" s="817"/>
      <c r="AN382" t="str">
        <f>SUBSTITUTE(SUBSTITUTE(SUBSTITUTE("dpc"&amp;$B382&amp;$C382&amp;$D382&amp;$E382,".","_"),"(","_"),")","")</f>
        <v>dpc703_5_1_1_a</v>
      </c>
      <c r="AO382">
        <f ca="1">O382</f>
        <v>0</v>
      </c>
    </row>
    <row r="383" spans="2:45" x14ac:dyDescent="0.35">
      <c r="B383" s="412" t="s">
        <v>947</v>
      </c>
      <c r="C383" s="13" t="s">
        <v>256</v>
      </c>
      <c r="D383" s="13" t="s">
        <v>121</v>
      </c>
      <c r="E383" s="13"/>
      <c r="F383" s="13"/>
      <c r="G383" s="13"/>
      <c r="H383" s="453"/>
      <c r="I383" s="4"/>
      <c r="J383" s="152"/>
      <c r="K383" s="402"/>
      <c r="L383" s="825"/>
      <c r="M383"/>
      <c r="N383" s="4"/>
      <c r="O383" s="832"/>
      <c r="P383" t="b">
        <v>1</v>
      </c>
      <c r="Q383" t="b">
        <v>1</v>
      </c>
      <c r="R383" t="b">
        <v>0</v>
      </c>
      <c r="S383" t="b">
        <f ca="1">S381</f>
        <v>0</v>
      </c>
      <c r="T383" t="b">
        <f ca="1">AND(NOT(S383),LEN(W383)&gt;0)</f>
        <v>0</v>
      </c>
      <c r="W383" s="241"/>
      <c r="X383" s="817"/>
      <c r="AC383" t="b">
        <f ca="1">OR(AD383:AE383)</f>
        <v>0</v>
      </c>
      <c r="AD383" t="b">
        <f ca="1">T383</f>
        <v>0</v>
      </c>
      <c r="AP383" t="str">
        <f>SUBSTITUTE(SUBSTITUTE(SUBSTITUTE("dch"&amp;$B383&amp;$C383&amp;$D383&amp;$E383,".","_"),"(","_"),")","")</f>
        <v>dch703_5_1_1_a</v>
      </c>
      <c r="AQ383" t="str">
        <f>IF(LEN(W383)=0,"",W383)</f>
        <v/>
      </c>
    </row>
    <row r="384" spans="2:45" x14ac:dyDescent="0.35">
      <c r="B384" s="50" t="s">
        <v>947</v>
      </c>
      <c r="C384" s="13" t="s">
        <v>256</v>
      </c>
      <c r="D384" s="13" t="s">
        <v>121</v>
      </c>
      <c r="E384" s="13" t="s">
        <v>256</v>
      </c>
      <c r="F384" s="13"/>
      <c r="G384" s="13"/>
      <c r="H384" s="453"/>
      <c r="I384" s="4"/>
      <c r="J384" s="152"/>
      <c r="K384" s="31"/>
      <c r="L384" s="470" t="s">
        <v>5102</v>
      </c>
      <c r="M384" s="40">
        <f>IFERROR(INDEX({2,2,2,2,2,2,2,1},BF16),0)</f>
        <v>2</v>
      </c>
      <c r="N384" s="4"/>
      <c r="O384" s="75"/>
      <c r="X384" s="817"/>
      <c r="AL384" t="str">
        <f>SUBSTITUTE(SUBSTITUTE(SUBSTITUTE("dpa"&amp;$B384&amp;$C384&amp;$D384&amp;$E384,".","_"),"(","_"),")","")</f>
        <v>dpa703_5_1_1_a_1</v>
      </c>
      <c r="AM384">
        <f>M384</f>
        <v>2</v>
      </c>
    </row>
    <row r="385" spans="2:43" x14ac:dyDescent="0.35">
      <c r="B385" s="50" t="s">
        <v>947</v>
      </c>
      <c r="C385" s="13" t="s">
        <v>256</v>
      </c>
      <c r="D385" s="13" t="s">
        <v>121</v>
      </c>
      <c r="E385" s="13" t="s">
        <v>258</v>
      </c>
      <c r="F385" s="13"/>
      <c r="G385" s="13"/>
      <c r="H385" s="453"/>
      <c r="I385" s="4"/>
      <c r="J385" s="152"/>
      <c r="K385" s="403"/>
      <c r="L385" s="477" t="s">
        <v>5103</v>
      </c>
      <c r="M385" s="268">
        <f>IFERROR(INDEX({3,3,3,3,3,3,3,2},BF16),0)</f>
        <v>3</v>
      </c>
      <c r="N385" s="133"/>
      <c r="O385" s="309"/>
      <c r="X385" s="817"/>
      <c r="AL385" t="str">
        <f>SUBSTITUTE(SUBSTITUTE(SUBSTITUTE("dpa"&amp;$B385&amp;$C385&amp;$D385&amp;$E385,".","_"),"(","_"),")","")</f>
        <v>dpa703_5_1_1_a_2</v>
      </c>
      <c r="AM385">
        <f>M385</f>
        <v>3</v>
      </c>
    </row>
    <row r="386" spans="2:43" x14ac:dyDescent="0.35">
      <c r="B386" s="50" t="s">
        <v>947</v>
      </c>
      <c r="C386" s="13" t="s">
        <v>256</v>
      </c>
      <c r="D386" s="13" t="s">
        <v>122</v>
      </c>
      <c r="E386" s="13"/>
      <c r="F386" s="13"/>
      <c r="G386" s="13"/>
      <c r="H386" s="453"/>
      <c r="I386" s="4"/>
      <c r="J386" s="152"/>
      <c r="K386" s="402" t="s">
        <v>122</v>
      </c>
      <c r="L386" s="825" t="s">
        <v>4287</v>
      </c>
      <c r="M386" s="818">
        <v>1</v>
      </c>
      <c r="N386" s="4"/>
      <c r="O386" s="832">
        <f ca="1">IFERROR((W383&gt;0.78)*M386*AND(S381,MATCH(W381,INDIRECT(U381),0)=2),0)</f>
        <v>0</v>
      </c>
      <c r="X386" s="817"/>
      <c r="AL386" t="str">
        <f>SUBSTITUTE(SUBSTITUTE(SUBSTITUTE("dpa"&amp;$B386&amp;$C386&amp;$D386&amp;$E386,".","_"),"(","_"),")","")</f>
        <v>dpa703_5_1_1_b</v>
      </c>
      <c r="AM386">
        <f>M386</f>
        <v>1</v>
      </c>
      <c r="AN386" t="str">
        <f>SUBSTITUTE(SUBSTITUTE(SUBSTITUTE("dpc"&amp;$B386&amp;$C386&amp;$D386&amp;$E386,".","_"),"(","_"),")","")</f>
        <v>dpc703_5_1_1_b</v>
      </c>
      <c r="AO386">
        <f ca="1">O386</f>
        <v>0</v>
      </c>
    </row>
    <row r="387" spans="2:43" x14ac:dyDescent="0.35">
      <c r="B387" s="50" t="s">
        <v>947</v>
      </c>
      <c r="C387" s="13" t="s">
        <v>256</v>
      </c>
      <c r="D387" s="13" t="s">
        <v>122</v>
      </c>
      <c r="E387" s="13"/>
      <c r="F387" s="13"/>
      <c r="G387" s="13"/>
      <c r="H387" s="453"/>
      <c r="I387" s="4"/>
      <c r="J387" s="152"/>
      <c r="K387" s="416"/>
      <c r="L387" s="842"/>
      <c r="M387" s="819"/>
      <c r="N387" s="133"/>
      <c r="O387" s="824"/>
      <c r="X387" s="817"/>
    </row>
    <row r="388" spans="2:43" x14ac:dyDescent="0.35">
      <c r="B388" s="50" t="s">
        <v>947</v>
      </c>
      <c r="C388" s="13" t="s">
        <v>256</v>
      </c>
      <c r="D388" s="13" t="s">
        <v>123</v>
      </c>
      <c r="E388" s="13"/>
      <c r="F388" s="13"/>
      <c r="G388" s="13"/>
      <c r="H388" s="453"/>
      <c r="I388" s="4"/>
      <c r="J388" s="152"/>
      <c r="K388" s="402" t="s">
        <v>123</v>
      </c>
      <c r="L388" s="470" t="s">
        <v>4288</v>
      </c>
      <c r="M388" s="40"/>
      <c r="N388" s="4"/>
      <c r="O388" s="75">
        <f ca="1">IFERROR(INDEX(M389:M390,MATCH(W383,{0.9,0.95},1))*AND(S381,MATCH(W381,INDIRECT(U381),0)=3),0)</f>
        <v>0</v>
      </c>
      <c r="X388" s="817"/>
    </row>
    <row r="389" spans="2:43" x14ac:dyDescent="0.35">
      <c r="B389" s="50" t="s">
        <v>947</v>
      </c>
      <c r="C389" s="13" t="s">
        <v>256</v>
      </c>
      <c r="D389" s="13" t="s">
        <v>123</v>
      </c>
      <c r="E389" s="13" t="s">
        <v>256</v>
      </c>
      <c r="F389" s="13"/>
      <c r="G389" s="13"/>
      <c r="H389" s="453"/>
      <c r="I389" s="4"/>
      <c r="J389" s="152"/>
      <c r="K389" s="402"/>
      <c r="L389" s="470" t="s">
        <v>4289</v>
      </c>
      <c r="M389" s="40">
        <f>IFERROR(INDEX({6,6,5,3,3,3,3,2},BF16),0)</f>
        <v>3</v>
      </c>
      <c r="N389" s="4"/>
      <c r="O389" s="75"/>
      <c r="X389" s="817"/>
      <c r="AL389" t="str">
        <f>SUBSTITUTE(SUBSTITUTE(SUBSTITUTE("dpa"&amp;$B389&amp;$C389&amp;$D389&amp;$E389,".","_"),"(","_"),")","")</f>
        <v>dpa703_5_1_1_c_1</v>
      </c>
      <c r="AM389">
        <f>M389</f>
        <v>3</v>
      </c>
    </row>
    <row r="390" spans="2:43" x14ac:dyDescent="0.35">
      <c r="B390" s="50" t="s">
        <v>947</v>
      </c>
      <c r="C390" s="13" t="s">
        <v>256</v>
      </c>
      <c r="D390" s="13" t="s">
        <v>123</v>
      </c>
      <c r="E390" s="13" t="s">
        <v>258</v>
      </c>
      <c r="F390" s="13"/>
      <c r="G390" s="13"/>
      <c r="H390" s="453"/>
      <c r="I390" s="4"/>
      <c r="J390" s="152"/>
      <c r="K390" s="403"/>
      <c r="L390" s="477" t="s">
        <v>4290</v>
      </c>
      <c r="M390" s="268">
        <f>IFERROR(INDEX({7,7,5,4,4,4,4,2},BF16),0)</f>
        <v>4</v>
      </c>
      <c r="N390" s="133"/>
      <c r="O390" s="309"/>
      <c r="X390" s="817"/>
      <c r="AL390" t="str">
        <f>SUBSTITUTE(SUBSTITUTE(SUBSTITUTE("dpa"&amp;$B390&amp;$C390&amp;$D390&amp;$E390,".","_"),"(","_"),")","")</f>
        <v>dpa703_5_1_1_c_2</v>
      </c>
      <c r="AM390">
        <f>M390</f>
        <v>4</v>
      </c>
    </row>
    <row r="391" spans="2:43" x14ac:dyDescent="0.35">
      <c r="B391" s="50" t="s">
        <v>947</v>
      </c>
      <c r="C391" s="13" t="s">
        <v>256</v>
      </c>
      <c r="D391" s="13" t="s">
        <v>401</v>
      </c>
      <c r="E391" s="13"/>
      <c r="F391" s="13"/>
      <c r="G391" s="13"/>
      <c r="H391" s="453"/>
      <c r="I391" s="4"/>
      <c r="J391" s="152"/>
      <c r="K391" s="402" t="s">
        <v>401</v>
      </c>
      <c r="L391" s="825" t="s">
        <v>4291</v>
      </c>
      <c r="M391" s="40"/>
      <c r="N391" s="4"/>
      <c r="O391" s="832">
        <f ca="1">IFERROR(INDEX(M394:M395,MATCH(W383,{0.92,0.95},1))*AND(S381,MATCH(W381,INDIRECT(U381),0)=4),0)</f>
        <v>0</v>
      </c>
      <c r="X391" s="817"/>
      <c r="AN391" t="str">
        <f>SUBSTITUTE(SUBSTITUTE(SUBSTITUTE("dpc"&amp;$B391&amp;$C391&amp;$D391&amp;$E391,".","_"),"(","_"),")","")</f>
        <v>dpc703_5_1_1_d</v>
      </c>
      <c r="AO391">
        <f ca="1">O391</f>
        <v>0</v>
      </c>
    </row>
    <row r="392" spans="2:43" x14ac:dyDescent="0.35">
      <c r="B392" s="50" t="s">
        <v>947</v>
      </c>
      <c r="C392" s="13" t="s">
        <v>256</v>
      </c>
      <c r="D392" s="13" t="s">
        <v>401</v>
      </c>
      <c r="E392" s="13"/>
      <c r="F392" s="13"/>
      <c r="G392" s="13"/>
      <c r="H392" s="453"/>
      <c r="I392" s="4"/>
      <c r="J392" s="152"/>
      <c r="K392" s="402"/>
      <c r="L392" s="825"/>
      <c r="M392" s="40"/>
      <c r="N392" s="4"/>
      <c r="O392" s="832"/>
      <c r="X392" s="817"/>
    </row>
    <row r="393" spans="2:43" x14ac:dyDescent="0.35">
      <c r="B393" s="50" t="s">
        <v>947</v>
      </c>
      <c r="C393" s="13" t="s">
        <v>256</v>
      </c>
      <c r="D393" s="13" t="s">
        <v>401</v>
      </c>
      <c r="E393" s="13"/>
      <c r="F393" s="13"/>
      <c r="G393" s="13"/>
      <c r="H393" s="453"/>
      <c r="I393" s="4"/>
      <c r="J393" s="152"/>
      <c r="K393" s="402"/>
      <c r="L393" s="825"/>
      <c r="M393" s="40"/>
      <c r="N393" s="4"/>
      <c r="O393" s="832"/>
      <c r="X393" s="817"/>
    </row>
    <row r="394" spans="2:43" x14ac:dyDescent="0.35">
      <c r="B394" s="50" t="s">
        <v>947</v>
      </c>
      <c r="C394" s="13" t="s">
        <v>256</v>
      </c>
      <c r="D394" s="13" t="s">
        <v>401</v>
      </c>
      <c r="E394" s="13" t="s">
        <v>256</v>
      </c>
      <c r="F394" s="13"/>
      <c r="G394" s="13"/>
      <c r="H394" s="453"/>
      <c r="I394" s="4"/>
      <c r="J394" s="152"/>
      <c r="K394" s="31"/>
      <c r="L394" s="470" t="s">
        <v>4292</v>
      </c>
      <c r="M394" s="40">
        <v>1</v>
      </c>
      <c r="N394" s="4"/>
      <c r="O394" s="75"/>
      <c r="X394" s="817"/>
      <c r="AL394" t="str">
        <f>SUBSTITUTE(SUBSTITUTE(SUBSTITUTE("dpa"&amp;$B394&amp;$C394&amp;$D394&amp;$E394,".","_"),"(","_"),")","")</f>
        <v>dpa703_5_1_1_d_1</v>
      </c>
      <c r="AM394">
        <f>M394</f>
        <v>1</v>
      </c>
    </row>
    <row r="395" spans="2:43" x14ac:dyDescent="0.35">
      <c r="B395" s="50" t="s">
        <v>947</v>
      </c>
      <c r="C395" s="13" t="s">
        <v>256</v>
      </c>
      <c r="D395" s="13" t="s">
        <v>401</v>
      </c>
      <c r="E395" s="13" t="s">
        <v>258</v>
      </c>
      <c r="F395" s="13"/>
      <c r="G395" s="13"/>
      <c r="H395" s="453"/>
      <c r="I395" s="4"/>
      <c r="J395" s="152"/>
      <c r="K395" s="416"/>
      <c r="L395" s="477" t="s">
        <v>4290</v>
      </c>
      <c r="M395" s="268">
        <f>IFERROR(INDEX({2,2,2,2,2,2,2,1},BF16),0)</f>
        <v>2</v>
      </c>
      <c r="N395" s="133"/>
      <c r="O395" s="309"/>
      <c r="X395" s="817"/>
      <c r="AL395" t="str">
        <f>SUBSTITUTE(SUBSTITUTE(SUBSTITUTE("dpa"&amp;$B395&amp;$C395&amp;$D395&amp;$E395,".","_"),"(","_"),")","")</f>
        <v>dpa703_5_1_1_d_2</v>
      </c>
      <c r="AM395">
        <f>M395</f>
        <v>2</v>
      </c>
    </row>
    <row r="396" spans="2:43" ht="15" customHeight="1" x14ac:dyDescent="0.35">
      <c r="B396" s="50" t="s">
        <v>947</v>
      </c>
      <c r="C396" s="13" t="s">
        <v>256</v>
      </c>
      <c r="D396" s="13" t="s">
        <v>539</v>
      </c>
      <c r="E396" s="13"/>
      <c r="F396" s="13"/>
      <c r="G396" s="13"/>
      <c r="H396" s="453"/>
      <c r="I396" s="4"/>
      <c r="J396" s="90"/>
      <c r="K396" s="402" t="s">
        <v>539</v>
      </c>
      <c r="L396" s="825" t="s">
        <v>4293</v>
      </c>
      <c r="M396" s="40"/>
      <c r="N396" s="4"/>
      <c r="O396" s="832">
        <f ca="1">IFERROR(INDEX(M398:M399,MATCH(W383,{0.89,0.94},1))*AND(S381,MATCH(W381,INDIRECT(U381),0)=5),0)</f>
        <v>0</v>
      </c>
      <c r="X396" s="817"/>
      <c r="AN396" t="str">
        <f>SUBSTITUTE(SUBSTITUTE(SUBSTITUTE("dpc"&amp;$B396&amp;$C396&amp;$D396&amp;$E396,".","_"),"(","_"),")","")</f>
        <v>dpc703_5_1_1_e</v>
      </c>
      <c r="AO396">
        <f ca="1">O396</f>
        <v>0</v>
      </c>
    </row>
    <row r="397" spans="2:43" x14ac:dyDescent="0.35">
      <c r="B397" s="50" t="s">
        <v>947</v>
      </c>
      <c r="C397" s="13" t="s">
        <v>256</v>
      </c>
      <c r="D397" s="13" t="s">
        <v>539</v>
      </c>
      <c r="E397" s="13"/>
      <c r="F397" s="13"/>
      <c r="G397" s="13"/>
      <c r="H397" s="453"/>
      <c r="I397" s="4"/>
      <c r="J397" s="90"/>
      <c r="K397" s="412"/>
      <c r="L397" s="825"/>
      <c r="M397" s="40"/>
      <c r="N397" s="4"/>
      <c r="O397" s="832"/>
      <c r="X397" s="817"/>
    </row>
    <row r="398" spans="2:43" x14ac:dyDescent="0.35">
      <c r="B398" s="50" t="s">
        <v>947</v>
      </c>
      <c r="C398" s="13" t="s">
        <v>256</v>
      </c>
      <c r="D398" s="13" t="s">
        <v>539</v>
      </c>
      <c r="E398" s="13" t="s">
        <v>256</v>
      </c>
      <c r="F398" s="13"/>
      <c r="G398" s="13"/>
      <c r="H398" s="453"/>
      <c r="I398" s="4"/>
      <c r="J398" s="90"/>
      <c r="K398" s="467"/>
      <c r="L398" s="470" t="s">
        <v>5104</v>
      </c>
      <c r="M398" s="40">
        <f>IFERROR(INDEX({2,2,2,1,1,1,1,1},BF16),0)</f>
        <v>1</v>
      </c>
      <c r="N398" s="4"/>
      <c r="O398" s="75"/>
      <c r="X398" s="817"/>
      <c r="AL398" t="str">
        <f>SUBSTITUTE(SUBSTITUTE(SUBSTITUTE("dpa"&amp;$B398&amp;$C398&amp;$D398&amp;$E398,".","_"),"(","_"),")","")</f>
        <v>dpa703_5_1_1_e_1</v>
      </c>
      <c r="AM398">
        <f>M398</f>
        <v>1</v>
      </c>
    </row>
    <row r="399" spans="2:43" x14ac:dyDescent="0.35">
      <c r="B399" s="50" t="s">
        <v>947</v>
      </c>
      <c r="C399" s="13" t="s">
        <v>256</v>
      </c>
      <c r="D399" s="13" t="s">
        <v>539</v>
      </c>
      <c r="E399" s="13" t="s">
        <v>258</v>
      </c>
      <c r="F399" s="13"/>
      <c r="G399" s="13"/>
      <c r="H399" s="453"/>
      <c r="I399" s="4"/>
      <c r="J399" s="228"/>
      <c r="K399" s="472"/>
      <c r="L399" s="477" t="s">
        <v>5105</v>
      </c>
      <c r="M399" s="268">
        <f>IFERROR(INDEX({3,3,2,2,2,2,2,1},BF16),0)</f>
        <v>2</v>
      </c>
      <c r="N399" s="133"/>
      <c r="O399" s="309"/>
      <c r="P399" s="104"/>
      <c r="Q399" s="104"/>
      <c r="R399" s="104"/>
      <c r="S399" s="104"/>
      <c r="T399" s="104"/>
      <c r="U399" s="104"/>
      <c r="V399" s="104"/>
      <c r="W399" t="s">
        <v>3635</v>
      </c>
      <c r="X399" s="817"/>
      <c r="AL399" t="str">
        <f>SUBSTITUTE(SUBSTITUTE(SUBSTITUTE("dpa"&amp;$B399&amp;$C399&amp;$D399&amp;$E399,".","_"),"(","_"),")","")</f>
        <v>dpa703_5_1_1_e_2</v>
      </c>
      <c r="AM399">
        <f>M399</f>
        <v>2</v>
      </c>
    </row>
    <row r="400" spans="2:43" x14ac:dyDescent="0.35">
      <c r="B400" s="50" t="s">
        <v>947</v>
      </c>
      <c r="C400" s="13" t="s">
        <v>258</v>
      </c>
      <c r="D400" s="467"/>
      <c r="E400" s="13"/>
      <c r="F400" s="13"/>
      <c r="G400" s="13"/>
      <c r="H400" s="453"/>
      <c r="I400" s="4"/>
      <c r="J400" s="152" t="s">
        <v>258</v>
      </c>
      <c r="K400" s="90"/>
      <c r="L400" s="90" t="s">
        <v>949</v>
      </c>
      <c r="M400" s="40"/>
      <c r="N400" s="4"/>
      <c r="O400" s="75"/>
      <c r="P400" t="b">
        <v>1</v>
      </c>
      <c r="Q400" t="b">
        <v>1</v>
      </c>
      <c r="R400" t="b">
        <v>0</v>
      </c>
      <c r="S400" t="b">
        <f ca="1">AND(S13=2,LEN(W431)=0,S376=2)</f>
        <v>1</v>
      </c>
      <c r="T400" t="b">
        <f ca="1">AND(NOT(S400),LEN(W400)&gt;0)</f>
        <v>0</v>
      </c>
      <c r="U400" t="str">
        <f>SUBSTITUTE(SUBSTITUTE(SUBSTITUTE("dd"&amp;B400&amp;C400&amp;D400&amp;E400&amp;F400,".","_"),"(","_"),")","")</f>
        <v>dd703_5_1_2</v>
      </c>
      <c r="W400" s="9" t="s">
        <v>121</v>
      </c>
      <c r="X400" s="817"/>
      <c r="AC400" t="b">
        <f ca="1">OR(AD400:AE400)</f>
        <v>0</v>
      </c>
      <c r="AD400" t="b">
        <f ca="1">T400</f>
        <v>0</v>
      </c>
      <c r="AP400" t="str">
        <f>SUBSTITUTE(SUBSTITUTE(SUBSTITUTE("dch"&amp;$B400&amp;$C400&amp;$D400&amp;$E400,".","_"),"(","_"),")","")</f>
        <v>dch703_5_1_2</v>
      </c>
      <c r="AQ400" t="str">
        <f>IF(LEN(W400)=0,"",W400)</f>
        <v>(a)</v>
      </c>
    </row>
    <row r="401" spans="2:43" x14ac:dyDescent="0.35">
      <c r="B401" s="50" t="s">
        <v>947</v>
      </c>
      <c r="C401" s="13" t="s">
        <v>258</v>
      </c>
      <c r="D401" s="412" t="s">
        <v>121</v>
      </c>
      <c r="E401" s="13"/>
      <c r="F401" s="13"/>
      <c r="G401" s="13"/>
      <c r="H401" s="453"/>
      <c r="I401" s="4"/>
      <c r="J401" s="152"/>
      <c r="K401" s="402" t="s">
        <v>121</v>
      </c>
      <c r="L401" s="825" t="s">
        <v>4296</v>
      </c>
      <c r="M401" s="40"/>
      <c r="N401" s="4"/>
      <c r="O401" s="832">
        <f ca="1">IFERROR(INDEX(M403:M409,MATCH(W402,{0.94,1,1.5,2,2.2,2.5,3},1))*AND(S400,MATCH(W400,INDIRECT(U400),0)=1),0)</f>
        <v>1</v>
      </c>
      <c r="W401" t="s">
        <v>3634</v>
      </c>
      <c r="X401" s="817"/>
      <c r="AN401" t="str">
        <f>SUBSTITUTE(SUBSTITUTE(SUBSTITUTE("dpc"&amp;$B401&amp;$C401&amp;$D401&amp;$E401,".","_"),"(","_"),")","")</f>
        <v>dpc703_5_1_2_a</v>
      </c>
      <c r="AO401">
        <f ca="1">O401</f>
        <v>1</v>
      </c>
    </row>
    <row r="402" spans="2:43" x14ac:dyDescent="0.35">
      <c r="B402" s="50" t="s">
        <v>947</v>
      </c>
      <c r="C402" s="13" t="s">
        <v>258</v>
      </c>
      <c r="D402" s="412" t="s">
        <v>121</v>
      </c>
      <c r="E402" s="13"/>
      <c r="F402" s="13"/>
      <c r="G402" s="13"/>
      <c r="H402" s="453"/>
      <c r="I402" s="4"/>
      <c r="J402" s="152"/>
      <c r="K402" s="402"/>
      <c r="L402" s="825"/>
      <c r="M402" s="40"/>
      <c r="N402" s="4"/>
      <c r="O402" s="832"/>
      <c r="P402" t="b">
        <v>1</v>
      </c>
      <c r="Q402" t="b">
        <v>1</v>
      </c>
      <c r="R402" t="b">
        <v>0</v>
      </c>
      <c r="S402" t="b">
        <f ca="1">S400</f>
        <v>1</v>
      </c>
      <c r="T402" t="b">
        <f ca="1">AND(NOT(S402),LEN(W402)&gt;0)</f>
        <v>0</v>
      </c>
      <c r="W402" s="241">
        <v>0.95</v>
      </c>
      <c r="X402" s="817"/>
      <c r="AC402" t="b">
        <f ca="1">OR(AD402:AE402)</f>
        <v>0</v>
      </c>
      <c r="AD402" t="b">
        <f ca="1">T402</f>
        <v>0</v>
      </c>
      <c r="AP402" t="str">
        <f>SUBSTITUTE(SUBSTITUTE(SUBSTITUTE("dch"&amp;$B402&amp;$C402&amp;$D402&amp;$E402,".","_"),"(","_"),")","")</f>
        <v>dch703_5_1_2_a</v>
      </c>
      <c r="AQ402">
        <f>IF(LEN(W402)=0,"",W402)</f>
        <v>0.95</v>
      </c>
    </row>
    <row r="403" spans="2:43" x14ac:dyDescent="0.35">
      <c r="B403" s="50" t="s">
        <v>947</v>
      </c>
      <c r="C403" s="13" t="s">
        <v>258</v>
      </c>
      <c r="D403" s="412" t="s">
        <v>121</v>
      </c>
      <c r="E403" s="13" t="s">
        <v>256</v>
      </c>
      <c r="F403" s="13"/>
      <c r="G403" s="13"/>
      <c r="H403" s="453"/>
      <c r="I403" s="4"/>
      <c r="J403" s="152"/>
      <c r="K403" s="31"/>
      <c r="L403" s="470" t="s">
        <v>5106</v>
      </c>
      <c r="M403" s="40">
        <v>1</v>
      </c>
      <c r="N403" s="4"/>
      <c r="O403" s="75"/>
      <c r="X403" s="817"/>
      <c r="AL403" t="str">
        <f t="shared" ref="AL403:AL409" si="14">SUBSTITUTE(SUBSTITUTE(SUBSTITUTE("dpa"&amp;$B403&amp;$C403&amp;$D403&amp;$E403,".","_"),"(","_"),")","")</f>
        <v>dpa703_5_1_2_a_1</v>
      </c>
      <c r="AM403">
        <f t="shared" ref="AM403:AM409" si="15">M403</f>
        <v>1</v>
      </c>
    </row>
    <row r="404" spans="2:43" x14ac:dyDescent="0.35">
      <c r="B404" s="50" t="s">
        <v>947</v>
      </c>
      <c r="C404" s="13" t="s">
        <v>258</v>
      </c>
      <c r="D404" s="412" t="s">
        <v>121</v>
      </c>
      <c r="E404" s="13" t="s">
        <v>258</v>
      </c>
      <c r="F404" s="13"/>
      <c r="G404" s="13"/>
      <c r="H404" s="453"/>
      <c r="I404" s="4"/>
      <c r="J404" s="152"/>
      <c r="K404" s="31"/>
      <c r="L404" s="470" t="s">
        <v>5107</v>
      </c>
      <c r="M404" s="40">
        <f>IFERROR(INDEX({4,2,2,2,1,1,1,1},BF16),0)</f>
        <v>2</v>
      </c>
      <c r="N404" s="4"/>
      <c r="O404" s="75"/>
      <c r="X404" s="817"/>
      <c r="AL404" t="str">
        <f t="shared" si="14"/>
        <v>dpa703_5_1_2_a_2</v>
      </c>
      <c r="AM404">
        <f t="shared" si="15"/>
        <v>2</v>
      </c>
    </row>
    <row r="405" spans="2:43" x14ac:dyDescent="0.35">
      <c r="B405" s="50" t="s">
        <v>947</v>
      </c>
      <c r="C405" s="13" t="s">
        <v>258</v>
      </c>
      <c r="D405" s="412" t="s">
        <v>121</v>
      </c>
      <c r="E405" s="13" t="s">
        <v>260</v>
      </c>
      <c r="F405" s="13"/>
      <c r="G405" s="13"/>
      <c r="H405" s="453"/>
      <c r="I405" s="4"/>
      <c r="J405" s="152"/>
      <c r="K405" s="45"/>
      <c r="L405" s="470" t="s">
        <v>5108</v>
      </c>
      <c r="M405" s="40">
        <f>IFERROR(INDEX({7,4,3,2,2,2,1,1},BF16),0)</f>
        <v>2</v>
      </c>
      <c r="N405" s="4"/>
      <c r="O405" s="75"/>
      <c r="X405" s="817"/>
      <c r="AL405" t="str">
        <f t="shared" si="14"/>
        <v>dpa703_5_1_2_a_3</v>
      </c>
      <c r="AM405">
        <f t="shared" si="15"/>
        <v>2</v>
      </c>
    </row>
    <row r="406" spans="2:43" x14ac:dyDescent="0.35">
      <c r="B406" s="50" t="s">
        <v>947</v>
      </c>
      <c r="C406" s="13" t="s">
        <v>258</v>
      </c>
      <c r="D406" s="412" t="s">
        <v>121</v>
      </c>
      <c r="E406" s="13" t="s">
        <v>269</v>
      </c>
      <c r="F406" s="13"/>
      <c r="G406" s="13"/>
      <c r="H406" s="453"/>
      <c r="I406" s="4"/>
      <c r="J406" s="152"/>
      <c r="K406" s="45"/>
      <c r="L406" s="43" t="s">
        <v>5109</v>
      </c>
      <c r="M406" s="40">
        <f>IFERROR(INDEX({14,8,7,5,4,4,2,2},BF16),0)</f>
        <v>5</v>
      </c>
      <c r="N406" s="4"/>
      <c r="O406" s="75"/>
      <c r="X406" s="817"/>
      <c r="AL406" t="str">
        <f t="shared" si="14"/>
        <v>dpa703_5_1_2_a_4</v>
      </c>
      <c r="AM406">
        <f t="shared" si="15"/>
        <v>5</v>
      </c>
    </row>
    <row r="407" spans="2:43" x14ac:dyDescent="0.35">
      <c r="B407" s="50" t="s">
        <v>947</v>
      </c>
      <c r="C407" s="13" t="s">
        <v>258</v>
      </c>
      <c r="D407" s="412" t="s">
        <v>121</v>
      </c>
      <c r="E407" s="13" t="s">
        <v>275</v>
      </c>
      <c r="F407" s="13"/>
      <c r="G407" s="13"/>
      <c r="H407" s="453"/>
      <c r="I407" s="4"/>
      <c r="J407" s="152"/>
      <c r="K407" s="45"/>
      <c r="L407" s="43" t="s">
        <v>5110</v>
      </c>
      <c r="M407" s="40">
        <f>IFERROR(INDEX({17,9,8,6,5,4,3,3},BF16),0)</f>
        <v>6</v>
      </c>
      <c r="N407" s="4"/>
      <c r="O407" s="75"/>
      <c r="X407" s="817"/>
      <c r="AL407" t="str">
        <f t="shared" si="14"/>
        <v>dpa703_5_1_2_a_5</v>
      </c>
      <c r="AM407">
        <f t="shared" si="15"/>
        <v>6</v>
      </c>
    </row>
    <row r="408" spans="2:43" x14ac:dyDescent="0.35">
      <c r="B408" s="50" t="s">
        <v>947</v>
      </c>
      <c r="C408" s="13" t="s">
        <v>258</v>
      </c>
      <c r="D408" s="412" t="s">
        <v>121</v>
      </c>
      <c r="E408" s="13" t="s">
        <v>277</v>
      </c>
      <c r="F408" s="13"/>
      <c r="G408" s="13"/>
      <c r="H408" s="453"/>
      <c r="I408" s="4"/>
      <c r="J408" s="152"/>
      <c r="K408" s="45"/>
      <c r="L408" s="470" t="s">
        <v>5111</v>
      </c>
      <c r="M408" s="40">
        <f>IFERROR(INDEX({18,12,10,8,6,6,3,3},BF16),0)</f>
        <v>8</v>
      </c>
      <c r="N408" s="4"/>
      <c r="O408" s="75"/>
      <c r="X408" s="817"/>
      <c r="AL408" t="str">
        <f t="shared" si="14"/>
        <v>dpa703_5_1_2_a_6</v>
      </c>
      <c r="AM408">
        <f t="shared" si="15"/>
        <v>8</v>
      </c>
    </row>
    <row r="409" spans="2:43" x14ac:dyDescent="0.35">
      <c r="B409" s="50" t="s">
        <v>947</v>
      </c>
      <c r="C409" s="13" t="s">
        <v>258</v>
      </c>
      <c r="D409" s="412" t="s">
        <v>121</v>
      </c>
      <c r="E409" s="13" t="s">
        <v>383</v>
      </c>
      <c r="F409" s="13"/>
      <c r="G409" s="13"/>
      <c r="H409" s="453"/>
      <c r="I409" s="4"/>
      <c r="J409" s="152"/>
      <c r="K409" s="139"/>
      <c r="L409" s="101" t="s">
        <v>5112</v>
      </c>
      <c r="M409" s="268">
        <f>IFERROR(INDEX({22,16,13,11,8,8,4,3},BF16),0)</f>
        <v>11</v>
      </c>
      <c r="N409" s="133"/>
      <c r="O409" s="309"/>
      <c r="X409" s="817"/>
      <c r="AL409" t="str">
        <f t="shared" si="14"/>
        <v>dpa703_5_1_2_a_7</v>
      </c>
      <c r="AM409">
        <f t="shared" si="15"/>
        <v>11</v>
      </c>
    </row>
    <row r="410" spans="2:43" x14ac:dyDescent="0.35">
      <c r="B410" s="50" t="s">
        <v>947</v>
      </c>
      <c r="C410" s="13" t="s">
        <v>258</v>
      </c>
      <c r="D410" s="412" t="s">
        <v>122</v>
      </c>
      <c r="E410" s="13"/>
      <c r="F410" s="13"/>
      <c r="G410" s="13"/>
      <c r="H410" s="453"/>
      <c r="I410" s="4"/>
      <c r="J410" s="152"/>
      <c r="K410" s="402" t="s">
        <v>122</v>
      </c>
      <c r="L410" s="825" t="s">
        <v>4304</v>
      </c>
      <c r="M410" s="40"/>
      <c r="N410" s="4"/>
      <c r="O410" s="823">
        <f ca="1">IFERROR(INDEX(M412:M415,MATCH(W402,{2.2,2.5,3,3.5},1))*AND(S400,MATCH(W400,INDIRECT(U400),0)=2),0)</f>
        <v>0</v>
      </c>
      <c r="X410" s="817"/>
      <c r="AN410" t="str">
        <f>SUBSTITUTE(SUBSTITUTE(SUBSTITUTE("dpc"&amp;$B410&amp;$C410&amp;$D410&amp;$E410,".","_"),"(","_"),")","")</f>
        <v>dpc703_5_1_2_b</v>
      </c>
      <c r="AO410">
        <f ca="1">O410</f>
        <v>0</v>
      </c>
    </row>
    <row r="411" spans="2:43" x14ac:dyDescent="0.35">
      <c r="B411" s="50" t="s">
        <v>947</v>
      </c>
      <c r="C411" s="13" t="s">
        <v>258</v>
      </c>
      <c r="D411" s="412" t="s">
        <v>122</v>
      </c>
      <c r="E411" s="13"/>
      <c r="F411" s="13"/>
      <c r="G411" s="13"/>
      <c r="H411" s="453"/>
      <c r="I411" s="4"/>
      <c r="J411" s="152"/>
      <c r="K411" s="402"/>
      <c r="L411" s="825"/>
      <c r="M411" s="40"/>
      <c r="N411" s="4"/>
      <c r="O411" s="832"/>
      <c r="X411" s="817"/>
    </row>
    <row r="412" spans="2:43" x14ac:dyDescent="0.35">
      <c r="B412" s="50" t="s">
        <v>947</v>
      </c>
      <c r="C412" s="13" t="s">
        <v>258</v>
      </c>
      <c r="D412" s="412" t="s">
        <v>122</v>
      </c>
      <c r="E412" s="13" t="s">
        <v>256</v>
      </c>
      <c r="F412" s="13"/>
      <c r="G412" s="13"/>
      <c r="H412" s="453"/>
      <c r="I412" s="4"/>
      <c r="J412" s="152"/>
      <c r="K412" s="45"/>
      <c r="L412" s="43" t="s">
        <v>5110</v>
      </c>
      <c r="M412" s="40">
        <f>IFERROR(INDEX({6,4,3,3,2,2,1,1},BF16),0)</f>
        <v>3</v>
      </c>
      <c r="N412" s="4"/>
      <c r="O412" s="75"/>
      <c r="X412" s="817"/>
      <c r="AL412" t="str">
        <f>SUBSTITUTE(SUBSTITUTE(SUBSTITUTE("dpa"&amp;$B412&amp;$C412&amp;$D412&amp;$E412,".","_"),"(","_"),")","")</f>
        <v>dpa703_5_1_2_b_1</v>
      </c>
      <c r="AM412">
        <f>M412</f>
        <v>3</v>
      </c>
    </row>
    <row r="413" spans="2:43" x14ac:dyDescent="0.35">
      <c r="B413" s="50" t="s">
        <v>947</v>
      </c>
      <c r="C413" s="13" t="s">
        <v>258</v>
      </c>
      <c r="D413" s="412" t="s">
        <v>122</v>
      </c>
      <c r="E413" s="13" t="s">
        <v>258</v>
      </c>
      <c r="F413" s="13"/>
      <c r="G413" s="13"/>
      <c r="H413" s="453"/>
      <c r="I413" s="4"/>
      <c r="J413" s="152"/>
      <c r="K413" s="402"/>
      <c r="L413" s="43" t="s">
        <v>5111</v>
      </c>
      <c r="M413" s="40">
        <f>IFERROR(INDEX({7,5,4,3,3,3,2,2},BF16),0)</f>
        <v>3</v>
      </c>
      <c r="N413" s="4"/>
      <c r="O413" s="75"/>
      <c r="X413" s="817"/>
      <c r="AL413" t="str">
        <f>SUBSTITUTE(SUBSTITUTE(SUBSTITUTE("dpa"&amp;$B413&amp;$C413&amp;$D413&amp;$E413,".","_"),"(","_"),")","")</f>
        <v>dpa703_5_1_2_b_2</v>
      </c>
      <c r="AM413">
        <f>M413</f>
        <v>3</v>
      </c>
    </row>
    <row r="414" spans="2:43" x14ac:dyDescent="0.35">
      <c r="B414" s="50" t="s">
        <v>947</v>
      </c>
      <c r="C414" s="13" t="s">
        <v>258</v>
      </c>
      <c r="D414" s="412" t="s">
        <v>122</v>
      </c>
      <c r="E414" s="13" t="s">
        <v>260</v>
      </c>
      <c r="F414" s="13"/>
      <c r="G414" s="13"/>
      <c r="H414" s="453"/>
      <c r="I414" s="4"/>
      <c r="J414" s="152"/>
      <c r="K414" s="31"/>
      <c r="L414" s="470" t="s">
        <v>5113</v>
      </c>
      <c r="M414" s="40">
        <f>IFERROR(INDEX({8,5,5,4,3,3,3,2},BF16),0)</f>
        <v>4</v>
      </c>
      <c r="N414" s="4"/>
      <c r="O414" s="75"/>
      <c r="X414" s="817"/>
      <c r="AL414" t="str">
        <f>SUBSTITUTE(SUBSTITUTE(SUBSTITUTE("dpa"&amp;$B414&amp;$C414&amp;$D414&amp;$E414,".","_"),"(","_"),")","")</f>
        <v>dpa703_5_1_2_b_3</v>
      </c>
      <c r="AM414">
        <f>M414</f>
        <v>4</v>
      </c>
    </row>
    <row r="415" spans="2:43" x14ac:dyDescent="0.35">
      <c r="B415" s="50" t="s">
        <v>947</v>
      </c>
      <c r="C415" s="13" t="s">
        <v>258</v>
      </c>
      <c r="D415" s="412" t="s">
        <v>122</v>
      </c>
      <c r="E415" s="13" t="s">
        <v>269</v>
      </c>
      <c r="F415" s="13"/>
      <c r="G415" s="13"/>
      <c r="H415" s="453"/>
      <c r="I415" s="4"/>
      <c r="J415" s="152"/>
      <c r="K415" s="139"/>
      <c r="L415" s="101" t="s">
        <v>5114</v>
      </c>
      <c r="M415" s="268">
        <f>IFERROR(INDEX({9,6,6,5,4,4,3,2},BF16),0)</f>
        <v>5</v>
      </c>
      <c r="N415" s="133"/>
      <c r="O415" s="309"/>
      <c r="X415" s="817"/>
      <c r="AL415" t="str">
        <f>SUBSTITUTE(SUBSTITUTE(SUBSTITUTE("dpa"&amp;$B415&amp;$C415&amp;$D415&amp;$E415,".","_"),"(","_"),")","")</f>
        <v>dpa703_5_1_2_b_4</v>
      </c>
      <c r="AM415">
        <f>M415</f>
        <v>5</v>
      </c>
    </row>
    <row r="416" spans="2:43" x14ac:dyDescent="0.35">
      <c r="B416" s="50" t="s">
        <v>947</v>
      </c>
      <c r="C416" s="13" t="s">
        <v>258</v>
      </c>
      <c r="D416" s="412" t="s">
        <v>123</v>
      </c>
      <c r="E416" s="13"/>
      <c r="F416" s="13"/>
      <c r="G416" s="13"/>
      <c r="H416" s="453"/>
      <c r="I416" s="4"/>
      <c r="J416" s="152"/>
      <c r="K416" s="402" t="s">
        <v>123</v>
      </c>
      <c r="L416" s="825" t="s">
        <v>4307</v>
      </c>
      <c r="M416" s="818">
        <v>1</v>
      </c>
      <c r="N416" s="4"/>
      <c r="O416" s="832">
        <f ca="1">IFERROR(M416*AND(S400,MATCH(W400,INDIRECT(U400),0)=3,W402&gt;=0.91),0)</f>
        <v>0</v>
      </c>
      <c r="X416" s="817"/>
      <c r="AL416" t="str">
        <f>SUBSTITUTE(SUBSTITUTE(SUBSTITUTE("dpa"&amp;$B416&amp;$C416&amp;$D416&amp;$E416,".","_"),"(","_"),")","")</f>
        <v>dpa703_5_1_2_c</v>
      </c>
      <c r="AM416">
        <f>M416</f>
        <v>1</v>
      </c>
      <c r="AN416" t="str">
        <f>SUBSTITUTE(SUBSTITUTE(SUBSTITUTE("dpc"&amp;$B416&amp;$C416&amp;$D416&amp;$E416,".","_"),"(","_"),")","")</f>
        <v>dpc703_5_1_2_c</v>
      </c>
      <c r="AO416">
        <f ca="1">O416</f>
        <v>0</v>
      </c>
    </row>
    <row r="417" spans="2:45" x14ac:dyDescent="0.35">
      <c r="B417" s="50" t="s">
        <v>947</v>
      </c>
      <c r="C417" s="13" t="s">
        <v>258</v>
      </c>
      <c r="D417" s="412" t="s">
        <v>123</v>
      </c>
      <c r="E417" s="13"/>
      <c r="F417" s="13"/>
      <c r="G417" s="13"/>
      <c r="H417" s="453"/>
      <c r="I417" s="4"/>
      <c r="J417" s="152"/>
      <c r="K417" s="416"/>
      <c r="L417" s="842"/>
      <c r="M417" s="819"/>
      <c r="N417" s="133"/>
      <c r="O417" s="824"/>
      <c r="X417" s="817"/>
    </row>
    <row r="418" spans="2:45" x14ac:dyDescent="0.35">
      <c r="B418" s="50" t="s">
        <v>947</v>
      </c>
      <c r="C418" s="13" t="s">
        <v>258</v>
      </c>
      <c r="D418" s="412" t="s">
        <v>401</v>
      </c>
      <c r="E418" s="13"/>
      <c r="F418" s="13"/>
      <c r="G418" s="13"/>
      <c r="H418" s="453"/>
      <c r="I418" s="4"/>
      <c r="J418" s="152"/>
      <c r="K418" s="402" t="s">
        <v>401</v>
      </c>
      <c r="L418" s="825" t="s">
        <v>4308</v>
      </c>
      <c r="M418" s="818">
        <v>1</v>
      </c>
      <c r="N418" s="4"/>
      <c r="O418" s="832">
        <f ca="1">IFERROR(M418*AND(S400,MATCH(W400,INDIRECT(U400),0)=4,W402&gt;=0.97),0)</f>
        <v>0</v>
      </c>
      <c r="X418" s="817"/>
      <c r="AL418" t="str">
        <f>SUBSTITUTE(SUBSTITUTE(SUBSTITUTE("dpa"&amp;$B418&amp;$C418&amp;$D418&amp;$E418,".","_"),"(","_"),")","")</f>
        <v>dpa703_5_1_2_d</v>
      </c>
      <c r="AM418">
        <f>M418</f>
        <v>1</v>
      </c>
      <c r="AN418" t="str">
        <f>SUBSTITUTE(SUBSTITUTE(SUBSTITUTE("dpc"&amp;$B418&amp;$C418&amp;$D418&amp;$E418,".","_"),"(","_"),")","")</f>
        <v>dpc703_5_1_2_d</v>
      </c>
      <c r="AO418">
        <f ca="1">O418</f>
        <v>0</v>
      </c>
    </row>
    <row r="419" spans="2:45" x14ac:dyDescent="0.35">
      <c r="B419" s="50" t="s">
        <v>947</v>
      </c>
      <c r="C419" s="13" t="s">
        <v>258</v>
      </c>
      <c r="D419" s="412" t="s">
        <v>401</v>
      </c>
      <c r="E419" s="13"/>
      <c r="F419" s="13"/>
      <c r="G419" s="13"/>
      <c r="H419" s="453"/>
      <c r="I419" s="4"/>
      <c r="J419" s="152"/>
      <c r="K419" s="416"/>
      <c r="L419" s="842"/>
      <c r="M419" s="819"/>
      <c r="N419" s="133"/>
      <c r="O419" s="824"/>
      <c r="X419" s="817"/>
    </row>
    <row r="420" spans="2:45" x14ac:dyDescent="0.35">
      <c r="B420" s="50" t="s">
        <v>947</v>
      </c>
      <c r="C420" s="13" t="s">
        <v>258</v>
      </c>
      <c r="D420" s="412" t="s">
        <v>539</v>
      </c>
      <c r="E420" s="13"/>
      <c r="F420" s="13"/>
      <c r="G420" s="13"/>
      <c r="H420" s="453"/>
      <c r="I420" s="4"/>
      <c r="J420" s="90"/>
      <c r="K420" s="402" t="s">
        <v>539</v>
      </c>
      <c r="L420" s="825" t="s">
        <v>4309</v>
      </c>
      <c r="M420" s="818">
        <v>2</v>
      </c>
      <c r="N420" s="4"/>
      <c r="O420" s="832">
        <f ca="1">IFERROR(M420*AND(S400,MATCH(W400,INDIRECT(U400),0)=5,W402&gt;=0.95),0)</f>
        <v>0</v>
      </c>
      <c r="X420" s="817"/>
      <c r="AL420" t="str">
        <f>SUBSTITUTE(SUBSTITUTE(SUBSTITUTE("dpa"&amp;$B420&amp;$C420&amp;$D420&amp;$E420,".","_"),"(","_"),")","")</f>
        <v>dpa703_5_1_2_e</v>
      </c>
      <c r="AM420">
        <f>M420</f>
        <v>2</v>
      </c>
      <c r="AN420" t="str">
        <f>SUBSTITUTE(SUBSTITUTE(SUBSTITUTE("dpc"&amp;$B420&amp;$C420&amp;$D420&amp;$E420,".","_"),"(","_"),")","")</f>
        <v>dpc703_5_1_2_e</v>
      </c>
      <c r="AO420">
        <f ca="1">O420</f>
        <v>0</v>
      </c>
    </row>
    <row r="421" spans="2:45" x14ac:dyDescent="0.35">
      <c r="B421" s="50" t="s">
        <v>947</v>
      </c>
      <c r="C421" s="13" t="s">
        <v>258</v>
      </c>
      <c r="D421" s="412" t="s">
        <v>539</v>
      </c>
      <c r="E421" s="13"/>
      <c r="F421" s="13"/>
      <c r="G421" s="13"/>
      <c r="H421" s="453"/>
      <c r="I421" s="4"/>
      <c r="J421" s="228"/>
      <c r="K421" s="467"/>
      <c r="L421" s="842"/>
      <c r="M421" s="819"/>
      <c r="N421" s="133"/>
      <c r="O421" s="824"/>
      <c r="P421" s="104"/>
      <c r="Q421" s="104"/>
      <c r="R421" s="104"/>
      <c r="S421" s="104"/>
      <c r="T421" s="104"/>
      <c r="U421" s="104"/>
      <c r="V421" s="104"/>
      <c r="W421" t="s">
        <v>3634</v>
      </c>
      <c r="X421" s="817"/>
    </row>
    <row r="422" spans="2:45" x14ac:dyDescent="0.35">
      <c r="B422" s="412" t="s">
        <v>947</v>
      </c>
      <c r="C422" s="13" t="s">
        <v>260</v>
      </c>
      <c r="D422" s="13"/>
      <c r="E422" s="13"/>
      <c r="F422" s="13"/>
      <c r="G422" s="13"/>
      <c r="H422" s="453"/>
      <c r="I422" s="133"/>
      <c r="J422" s="344" t="s">
        <v>260</v>
      </c>
      <c r="K422" s="178"/>
      <c r="L422" s="478" t="s">
        <v>4310</v>
      </c>
      <c r="M422" s="278">
        <v>1</v>
      </c>
      <c r="N422" s="163"/>
      <c r="O422" s="277">
        <f ca="1">M422*AND(S422,W422&gt;=0.62)</f>
        <v>0</v>
      </c>
      <c r="P422" s="104" t="b">
        <v>1</v>
      </c>
      <c r="Q422" s="104" t="b">
        <v>1</v>
      </c>
      <c r="R422" s="104" t="b">
        <v>0</v>
      </c>
      <c r="S422" s="104" t="b">
        <f ca="1">AND(S13=2,LEN(W431)=0,S376=3)</f>
        <v>0</v>
      </c>
      <c r="T422" s="104" t="b">
        <f ca="1">AND(NOT(S422),LEN(W422)&gt;0)</f>
        <v>0</v>
      </c>
      <c r="U422" s="104"/>
      <c r="V422" s="335"/>
      <c r="W422" s="241"/>
      <c r="X422" s="817"/>
      <c r="AC422" t="b">
        <f ca="1">OR(AD422:AE422)</f>
        <v>0</v>
      </c>
      <c r="AD422" t="b">
        <f ca="1">T422</f>
        <v>0</v>
      </c>
      <c r="AL422" t="str">
        <f>SUBSTITUTE(SUBSTITUTE(SUBSTITUTE("dpa"&amp;$B422&amp;$C422&amp;$D422&amp;$E422,".","_"),"(","_"),")","")</f>
        <v>dpa703_5_1_3</v>
      </c>
      <c r="AM422">
        <f>M422</f>
        <v>1</v>
      </c>
      <c r="AN422" t="str">
        <f>SUBSTITUTE(SUBSTITUTE(SUBSTITUTE("dpc"&amp;$B422&amp;$C422&amp;$D422&amp;$E422,".","_"),"(","_"),")","")</f>
        <v>dpc703_5_1_3</v>
      </c>
      <c r="AO422">
        <f ca="1">O422</f>
        <v>0</v>
      </c>
      <c r="AP422" t="str">
        <f>SUBSTITUTE(SUBSTITUTE(SUBSTITUTE("dch"&amp;$B422&amp;$C422&amp;$D422&amp;$E422,".","_"),"(","_"),")","")</f>
        <v>dch703_5_1_3</v>
      </c>
      <c r="AQ422" t="str">
        <f>IF(LEN(W422)=0,"",W422)</f>
        <v/>
      </c>
    </row>
    <row r="423" spans="2:45" x14ac:dyDescent="0.35">
      <c r="B423" s="412" t="s">
        <v>950</v>
      </c>
      <c r="C423" s="50"/>
      <c r="D423" s="13"/>
      <c r="E423" s="13"/>
      <c r="F423" s="13"/>
      <c r="G423" s="13"/>
      <c r="H423" s="453"/>
      <c r="I423" s="32" t="s">
        <v>950</v>
      </c>
      <c r="J423" s="90"/>
      <c r="K423" s="90"/>
      <c r="L423" s="919" t="s">
        <v>951</v>
      </c>
      <c r="M423" s="845">
        <f>IFERROR(INDEX({23,17,9,7,5,4,2,2},BF16),0)</f>
        <v>7</v>
      </c>
      <c r="N423" s="4"/>
      <c r="O423" s="832">
        <f ca="1">M423*S423*W423</f>
        <v>0</v>
      </c>
      <c r="P423" t="b">
        <v>1</v>
      </c>
      <c r="Q423" t="b">
        <v>1</v>
      </c>
      <c r="R423" t="b">
        <v>0</v>
      </c>
      <c r="S423" t="b">
        <f ca="1">(S13=2)</f>
        <v>1</v>
      </c>
      <c r="T423" t="b">
        <f ca="1">AND(NOT(S423),W423=TRUE)</f>
        <v>0</v>
      </c>
      <c r="W423" s="17"/>
      <c r="X423" s="817"/>
      <c r="AC423" t="b">
        <f ca="1">OR(AD423:AE423)</f>
        <v>0</v>
      </c>
      <c r="AD423" t="b">
        <f ca="1">T423</f>
        <v>0</v>
      </c>
      <c r="AL423" t="str">
        <f>SUBSTITUTE(SUBSTITUTE(SUBSTITUTE("dpa"&amp;$B423&amp;$C423&amp;$D423&amp;$E423,".","_"),"(","_"),")","")</f>
        <v>dpa703_5_2</v>
      </c>
      <c r="AM423">
        <f>M423</f>
        <v>7</v>
      </c>
      <c r="AN423" t="str">
        <f>SUBSTITUTE(SUBSTITUTE(SUBSTITUTE("dpc"&amp;$B423&amp;$C423&amp;$D423&amp;$E423,".","_"),"(","_"),")","")</f>
        <v>dpc703_5_2</v>
      </c>
      <c r="AO423">
        <f ca="1">O423</f>
        <v>0</v>
      </c>
      <c r="AP423" t="str">
        <f>SUBSTITUTE(SUBSTITUTE(SUBSTITUTE("dch"&amp;$B423&amp;$C423&amp;$D423&amp;$E423,".","_"),"(","_"),")","")</f>
        <v>dch703_5_2</v>
      </c>
      <c r="AQ423" t="str">
        <f>IF(LEN(W423)=0,"",W423)</f>
        <v/>
      </c>
      <c r="AR423" t="str">
        <f>SUBSTITUTE(SUBSTITUTE(SUBSTITUTE("dnt"&amp;$B423&amp;$C423&amp;$D423&amp;$E423,".","_"),"(","_"),")","")</f>
        <v>dnt703_5_2</v>
      </c>
      <c r="AS423" t="str">
        <f>IF(LEN(X423)=0,"",X423)</f>
        <v/>
      </c>
    </row>
    <row r="424" spans="2:45" x14ac:dyDescent="0.35">
      <c r="B424" s="412" t="s">
        <v>950</v>
      </c>
      <c r="C424" s="50"/>
      <c r="D424" s="13"/>
      <c r="E424" s="13"/>
      <c r="F424" s="13"/>
      <c r="G424" s="13"/>
      <c r="H424" s="453"/>
      <c r="I424" s="331"/>
      <c r="J424" s="228"/>
      <c r="K424" s="228"/>
      <c r="L424" s="920"/>
      <c r="M424" s="846"/>
      <c r="N424" s="133"/>
      <c r="O424" s="824"/>
      <c r="P424" s="104"/>
      <c r="Q424" s="104"/>
      <c r="R424" s="104"/>
      <c r="S424" s="104"/>
      <c r="T424" s="104"/>
      <c r="U424" s="104"/>
      <c r="V424" s="104"/>
      <c r="W424" s="335"/>
      <c r="X424" s="817"/>
    </row>
    <row r="425" spans="2:45" x14ac:dyDescent="0.35">
      <c r="B425" s="412" t="s">
        <v>952</v>
      </c>
      <c r="C425" s="50"/>
      <c r="D425" s="13"/>
      <c r="E425" s="13"/>
      <c r="F425" s="13"/>
      <c r="G425" s="13"/>
      <c r="H425" s="453"/>
      <c r="I425" s="32" t="s">
        <v>952</v>
      </c>
      <c r="J425" s="90"/>
      <c r="K425" s="90"/>
      <c r="L425" s="95" t="s">
        <v>953</v>
      </c>
      <c r="M425" s="272">
        <v>2</v>
      </c>
      <c r="N425" s="4"/>
      <c r="O425" s="75">
        <f ca="1">M425*S425*W425</f>
        <v>0</v>
      </c>
      <c r="P425" t="b">
        <v>1</v>
      </c>
      <c r="Q425" t="b">
        <v>1</v>
      </c>
      <c r="R425" t="b">
        <v>0</v>
      </c>
      <c r="S425" t="b">
        <f ca="1">(S13=2)</f>
        <v>1</v>
      </c>
      <c r="T425" t="b">
        <f ca="1">AND(NOT(S425),W425=TRUE)</f>
        <v>0</v>
      </c>
      <c r="W425" s="69"/>
      <c r="X425" s="817"/>
      <c r="AC425" t="b">
        <f ca="1">OR(AD425:AE425)</f>
        <v>0</v>
      </c>
      <c r="AD425" t="b">
        <f ca="1">T425</f>
        <v>0</v>
      </c>
      <c r="AL425" t="str">
        <f>SUBSTITUTE(SUBSTITUTE(SUBSTITUTE("dpa"&amp;$B425&amp;$C425&amp;$D425&amp;$E425,".","_"),"(","_"),")","")</f>
        <v>dpa703_5_3</v>
      </c>
      <c r="AM425">
        <f>M425</f>
        <v>2</v>
      </c>
      <c r="AN425" t="str">
        <f>SUBSTITUTE(SUBSTITUTE(SUBSTITUTE("dpc"&amp;$B425&amp;$C425&amp;$D425&amp;$E425,".","_"),"(","_"),")","")</f>
        <v>dpc703_5_3</v>
      </c>
      <c r="AO425">
        <f ca="1">O425</f>
        <v>0</v>
      </c>
      <c r="AP425" t="str">
        <f>SUBSTITUTE(SUBSTITUTE(SUBSTITUTE("dch"&amp;$B425&amp;$C425&amp;$D425&amp;$E425,".","_"),"(","_"),")","")</f>
        <v>dch703_5_3</v>
      </c>
      <c r="AQ425" t="str">
        <f>IF(LEN(W425)=0,"",W425)</f>
        <v/>
      </c>
      <c r="AR425" t="str">
        <f>SUBSTITUTE(SUBSTITUTE(SUBSTITUTE("dnt"&amp;$B425&amp;$C425&amp;$D425&amp;$E425,".","_"),"(","_"),")","")</f>
        <v>dnt703_5_3</v>
      </c>
      <c r="AS425" t="str">
        <f>IF(LEN(X425)=0,"",X425)</f>
        <v/>
      </c>
    </row>
    <row r="426" spans="2:45" ht="15" customHeight="1" x14ac:dyDescent="0.35">
      <c r="B426" s="412" t="s">
        <v>952</v>
      </c>
      <c r="C426" s="50"/>
      <c r="D426" s="13"/>
      <c r="E426" s="13"/>
      <c r="F426" s="13"/>
      <c r="G426" s="13"/>
      <c r="H426" s="453"/>
      <c r="I426" s="104"/>
      <c r="J426" s="228"/>
      <c r="K426" s="228"/>
      <c r="L426" s="142" t="s">
        <v>930</v>
      </c>
      <c r="M426" s="268"/>
      <c r="N426" s="133"/>
      <c r="O426" s="309"/>
      <c r="X426" s="817"/>
    </row>
    <row r="427" spans="2:45" ht="15" customHeight="1" x14ac:dyDescent="0.35">
      <c r="B427" s="412" t="s">
        <v>3633</v>
      </c>
      <c r="C427" s="50"/>
      <c r="D427" s="13"/>
      <c r="E427" s="13"/>
      <c r="F427" s="13"/>
      <c r="G427" s="13"/>
      <c r="H427" s="453"/>
      <c r="I427" s="331" t="s">
        <v>3633</v>
      </c>
      <c r="J427" s="228"/>
      <c r="K427" s="228"/>
      <c r="L427" s="329" t="s">
        <v>954</v>
      </c>
      <c r="M427" s="303">
        <v>1</v>
      </c>
      <c r="N427" s="133"/>
      <c r="O427" s="309">
        <f ca="1">M427*S427*W427</f>
        <v>0</v>
      </c>
      <c r="P427" t="b">
        <v>1</v>
      </c>
      <c r="Q427" t="b">
        <v>1</v>
      </c>
      <c r="R427" s="104" t="b">
        <v>0</v>
      </c>
      <c r="S427" s="104" t="b">
        <f ca="1">AND(S13=2,OR(AY35=INDEX(ddHeat1,2),AY36=INDEX(ddHeat2,2),AY37=INDEX(ddHeat3,2)))</f>
        <v>0</v>
      </c>
      <c r="T427" s="104" t="b">
        <f ca="1">AND(NOT(S427),W427=TRUE)</f>
        <v>0</v>
      </c>
      <c r="U427" s="104"/>
      <c r="V427" s="104"/>
      <c r="W427" s="17"/>
      <c r="X427" s="36"/>
      <c r="AC427" t="b">
        <f ca="1">OR(AD427:AE427)</f>
        <v>0</v>
      </c>
      <c r="AD427" t="b">
        <f ca="1">T427</f>
        <v>0</v>
      </c>
      <c r="AL427" t="str">
        <f>SUBSTITUTE(SUBSTITUTE(SUBSTITUTE("dpa"&amp;$B427&amp;$C427&amp;$D427&amp;$E427,".","_"),"(","_"),")","")</f>
        <v>dpa703_5_4</v>
      </c>
      <c r="AM427">
        <f>M427</f>
        <v>1</v>
      </c>
      <c r="AN427" t="str">
        <f>SUBSTITUTE(SUBSTITUTE(SUBSTITUTE("dpc"&amp;$B427&amp;$C427&amp;$D427&amp;$E427,".","_"),"(","_"),")","")</f>
        <v>dpc703_5_4</v>
      </c>
      <c r="AO427">
        <f ca="1">O427</f>
        <v>0</v>
      </c>
      <c r="AP427" t="str">
        <f>SUBSTITUTE(SUBSTITUTE(SUBSTITUTE("dch"&amp;$B427&amp;$C427&amp;$D427&amp;$E427,".","_"),"(","_"),")","")</f>
        <v>dch703_5_4</v>
      </c>
      <c r="AQ427" t="str">
        <f>IF(LEN(W427)=0,"",W427)</f>
        <v/>
      </c>
      <c r="AR427" t="str">
        <f>SUBSTITUTE(SUBSTITUTE(SUBSTITUTE("dnt"&amp;$B427&amp;$C427&amp;$D427&amp;$E427,".","_"),"(","_"),")","")</f>
        <v>dnt703_5_4</v>
      </c>
      <c r="AS427" t="str">
        <f>IF(LEN(X427)=0,"",X427)</f>
        <v/>
      </c>
    </row>
    <row r="428" spans="2:45" ht="15" customHeight="1" x14ac:dyDescent="0.35">
      <c r="B428" s="412" t="s">
        <v>955</v>
      </c>
      <c r="C428" s="50"/>
      <c r="D428" s="13"/>
      <c r="E428" s="13"/>
      <c r="F428" s="13"/>
      <c r="G428" s="13"/>
      <c r="H428" s="453"/>
      <c r="I428" s="330" t="s">
        <v>955</v>
      </c>
      <c r="J428" s="286"/>
      <c r="K428" s="286"/>
      <c r="L428" s="881" t="s">
        <v>4313</v>
      </c>
      <c r="M428" s="282"/>
      <c r="N428" s="118"/>
      <c r="O428"/>
      <c r="W428" t="s">
        <v>3635</v>
      </c>
      <c r="X428" s="817"/>
      <c r="AR428" t="str">
        <f>SUBSTITUTE(SUBSTITUTE(SUBSTITUTE("dnt"&amp;$B428&amp;$C428&amp;$D428&amp;$E428,".","_"),"(","_"),")","")</f>
        <v>dnt703_5_5</v>
      </c>
      <c r="AS428" t="str">
        <f>IF(LEN(X428)=0,"",X428)</f>
        <v/>
      </c>
    </row>
    <row r="429" spans="2:45" x14ac:dyDescent="0.35">
      <c r="B429" s="412" t="s">
        <v>955</v>
      </c>
      <c r="C429" s="50"/>
      <c r="D429" s="13"/>
      <c r="E429" s="13"/>
      <c r="F429" s="13"/>
      <c r="G429" s="13"/>
      <c r="H429" s="453"/>
      <c r="I429" s="4"/>
      <c r="J429" s="90"/>
      <c r="K429" s="90"/>
      <c r="L429" s="881"/>
      <c r="M429" s="40"/>
      <c r="N429" s="4"/>
      <c r="O429"/>
      <c r="P429" t="b">
        <v>1</v>
      </c>
      <c r="Q429" t="b">
        <v>1</v>
      </c>
      <c r="R429" t="b">
        <v>0</v>
      </c>
      <c r="S429" t="b">
        <f ca="1">AND(S13=2,LEN(W375)=0,LEN(W377)=0)</f>
        <v>0</v>
      </c>
      <c r="T429" t="b">
        <f ca="1">AND(NOT(S429),LEN(W429)&gt;0)</f>
        <v>0</v>
      </c>
      <c r="U429" t="str">
        <f>SUBSTITUTE(SUBSTITUTE(SUBSTITUTE("dd"&amp;B429&amp;C429&amp;D429&amp;E429&amp;F429,".","_"),"(","_"),")","")</f>
        <v>dd703_5_5</v>
      </c>
      <c r="W429" s="9"/>
      <c r="X429" s="817"/>
      <c r="AC429" t="b">
        <f ca="1">OR(AD429:AE429)</f>
        <v>0</v>
      </c>
      <c r="AD429" t="b">
        <f ca="1">T429</f>
        <v>0</v>
      </c>
      <c r="AP429" t="str">
        <f>SUBSTITUTE(SUBSTITUTE(SUBSTITUTE("dch"&amp;$B429&amp;$C429&amp;$D429&amp;$E429,".","_"),"(","_"),")","")</f>
        <v>dch703_5_5</v>
      </c>
      <c r="AQ429" t="str">
        <f>IF(LEN(W429)=0,"",W429)</f>
        <v/>
      </c>
    </row>
    <row r="430" spans="2:45" x14ac:dyDescent="0.35">
      <c r="B430" s="412" t="s">
        <v>955</v>
      </c>
      <c r="C430" s="50"/>
      <c r="D430" s="13"/>
      <c r="E430" s="13"/>
      <c r="F430" s="13"/>
      <c r="G430" s="13"/>
      <c r="H430" s="453"/>
      <c r="I430" s="4"/>
      <c r="J430" s="90"/>
      <c r="K430" s="90"/>
      <c r="L430" s="881"/>
      <c r="M430" s="40"/>
      <c r="N430" s="4"/>
      <c r="O430"/>
      <c r="W430" s="120" t="s">
        <v>3632</v>
      </c>
      <c r="X430" s="817"/>
    </row>
    <row r="431" spans="2:45" x14ac:dyDescent="0.35">
      <c r="B431" s="412" t="s">
        <v>955</v>
      </c>
      <c r="C431" s="412" t="s">
        <v>121</v>
      </c>
      <c r="D431" s="13"/>
      <c r="E431" s="13"/>
      <c r="F431" s="13"/>
      <c r="G431" s="13"/>
      <c r="H431" s="453"/>
      <c r="I431" s="4"/>
      <c r="J431" s="90"/>
      <c r="K431" s="402" t="s">
        <v>121</v>
      </c>
      <c r="L431" s="825" t="s">
        <v>4311</v>
      </c>
      <c r="M431" s="40"/>
      <c r="N431" s="4"/>
      <c r="O431" s="832">
        <f ca="1">IFERROR(INDEX(M433:M437,MATCH(W431,{1.3,1.51,1.81,2.31,3.01},1)),0)*S432</f>
        <v>0</v>
      </c>
      <c r="P431" t="b">
        <v>1</v>
      </c>
      <c r="Q431" t="b">
        <v>1</v>
      </c>
      <c r="R431" t="b">
        <v>0</v>
      </c>
      <c r="S431" t="b">
        <f ca="1">AND(S13=2,LEN(W375)=0,LEN(W377)=0)</f>
        <v>0</v>
      </c>
      <c r="T431" t="b">
        <f ca="1">AND(NOT(S431),LEN(W431)&gt;0)</f>
        <v>0</v>
      </c>
      <c r="W431" s="241"/>
      <c r="X431" s="817"/>
      <c r="AC431" t="b">
        <f ca="1">OR(AD431:AE431)</f>
        <v>0</v>
      </c>
      <c r="AD431" t="b">
        <f ca="1">T431</f>
        <v>0</v>
      </c>
      <c r="AN431" t="str">
        <f>SUBSTITUTE(SUBSTITUTE(SUBSTITUTE("dpc"&amp;$B431&amp;$C431&amp;$D431&amp;$E431,".","_"),"(","_"),")","")</f>
        <v>dpc703_5_5_a</v>
      </c>
      <c r="AO431">
        <f ca="1">O431</f>
        <v>0</v>
      </c>
      <c r="AP431" t="str">
        <f>SUBSTITUTE(SUBSTITUTE(SUBSTITUTE("dch"&amp;$B431&amp;$C431&amp;$D431&amp;$E431,".","_"),"(","_"),")","")</f>
        <v>dch703_5_5_a</v>
      </c>
      <c r="AQ431" t="str">
        <f>IF(LEN(W431)=0,"",W431)</f>
        <v/>
      </c>
    </row>
    <row r="432" spans="2:45" x14ac:dyDescent="0.35">
      <c r="B432" s="412" t="s">
        <v>955</v>
      </c>
      <c r="C432" s="412" t="s">
        <v>121</v>
      </c>
      <c r="D432" s="13"/>
      <c r="E432" s="13"/>
      <c r="F432" s="13"/>
      <c r="G432" s="13"/>
      <c r="H432" s="453"/>
      <c r="I432" s="4"/>
      <c r="J432" s="90"/>
      <c r="K432" s="402"/>
      <c r="L432" s="825"/>
      <c r="M432" s="40"/>
      <c r="N432" s="4"/>
      <c r="O432" s="832"/>
      <c r="S432" s="1" t="b">
        <f ca="1">W429=INDEX(INDIRECT(U429),1)</f>
        <v>0</v>
      </c>
      <c r="X432" s="817"/>
    </row>
    <row r="433" spans="2:45" x14ac:dyDescent="0.35">
      <c r="B433" s="412" t="s">
        <v>955</v>
      </c>
      <c r="C433" s="412" t="s">
        <v>121</v>
      </c>
      <c r="D433" s="13" t="s">
        <v>256</v>
      </c>
      <c r="E433" s="13"/>
      <c r="F433" s="13"/>
      <c r="G433" s="13"/>
      <c r="H433" s="453"/>
      <c r="I433" s="4"/>
      <c r="K433" s="31"/>
      <c r="L433" s="477" t="s">
        <v>3636</v>
      </c>
      <c r="M433" s="303">
        <f>IFERROR(INDEX({1,2,3,5,6,7,6,6},BF16),0)</f>
        <v>5</v>
      </c>
      <c r="N433" s="4"/>
      <c r="O433" s="75"/>
      <c r="X433" s="817"/>
      <c r="AL433" t="str">
        <f>SUBSTITUTE(SUBSTITUTE(SUBSTITUTE("dpa"&amp;$B433&amp;$C433&amp;$D433&amp;$E433,".","_"),"(","_"),")","")</f>
        <v>dpa703_5_5_a_1</v>
      </c>
      <c r="AM433">
        <f>M433</f>
        <v>5</v>
      </c>
    </row>
    <row r="434" spans="2:45" x14ac:dyDescent="0.35">
      <c r="B434" s="412" t="s">
        <v>955</v>
      </c>
      <c r="C434" s="412" t="s">
        <v>121</v>
      </c>
      <c r="D434" s="13" t="s">
        <v>258</v>
      </c>
      <c r="E434" s="13"/>
      <c r="F434" s="13"/>
      <c r="G434" s="13"/>
      <c r="H434" s="453"/>
      <c r="I434" s="4"/>
      <c r="K434" s="31"/>
      <c r="L434" s="478" t="s">
        <v>3637</v>
      </c>
      <c r="M434" s="347">
        <f>IFERROR(INDEX({2,2,4,6,9,10,10,10},BF16),0)</f>
        <v>6</v>
      </c>
      <c r="N434" s="4"/>
      <c r="O434" s="75"/>
      <c r="X434" s="817"/>
      <c r="AL434" t="str">
        <f>SUBSTITUTE(SUBSTITUTE(SUBSTITUTE("dpa"&amp;$B434&amp;$C434&amp;$D434&amp;$E434,".","_"),"(","_"),")","")</f>
        <v>dpa703_5_5_a_2</v>
      </c>
      <c r="AM434">
        <f>M434</f>
        <v>6</v>
      </c>
    </row>
    <row r="435" spans="2:45" x14ac:dyDescent="0.35">
      <c r="B435" s="412" t="s">
        <v>955</v>
      </c>
      <c r="C435" s="412" t="s">
        <v>121</v>
      </c>
      <c r="D435" s="13" t="s">
        <v>260</v>
      </c>
      <c r="E435" s="13"/>
      <c r="F435" s="13"/>
      <c r="G435" s="13"/>
      <c r="H435" s="453"/>
      <c r="I435" s="4"/>
      <c r="K435" s="45"/>
      <c r="L435" s="478" t="s">
        <v>3638</v>
      </c>
      <c r="M435" s="347">
        <f>IFERROR(INDEX({2,3,5,9,13,14,14,14},BF16),0)</f>
        <v>9</v>
      </c>
      <c r="N435" s="4"/>
      <c r="O435" s="75"/>
      <c r="X435" s="817"/>
      <c r="AL435" t="str">
        <f>SUBSTITUTE(SUBSTITUTE(SUBSTITUTE("dpa"&amp;$B435&amp;$C435&amp;$D435&amp;$E435,".","_"),"(","_"),")","")</f>
        <v>dpa703_5_5_a_3</v>
      </c>
      <c r="AM435">
        <f>M435</f>
        <v>9</v>
      </c>
    </row>
    <row r="436" spans="2:45" x14ac:dyDescent="0.35">
      <c r="B436" s="412" t="s">
        <v>955</v>
      </c>
      <c r="C436" s="412" t="s">
        <v>121</v>
      </c>
      <c r="D436" s="13" t="s">
        <v>269</v>
      </c>
      <c r="E436" s="13"/>
      <c r="F436" s="13"/>
      <c r="G436" s="13"/>
      <c r="H436" s="453"/>
      <c r="I436" s="4"/>
      <c r="K436" s="45"/>
      <c r="L436" s="478" t="s">
        <v>3639</v>
      </c>
      <c r="M436" s="347">
        <f>IFERROR(INDEX({4,5,8,14,19,21,20,20},BF16),0)</f>
        <v>14</v>
      </c>
      <c r="N436" s="4"/>
      <c r="O436" s="75"/>
      <c r="X436" s="817"/>
      <c r="AL436" t="str">
        <f>SUBSTITUTE(SUBSTITUTE(SUBSTITUTE("dpa"&amp;$B436&amp;$C436&amp;$D436&amp;$E436,".","_"),"(","_"),")","")</f>
        <v>dpa703_5_5_a_4</v>
      </c>
      <c r="AM436">
        <f>M436</f>
        <v>14</v>
      </c>
    </row>
    <row r="437" spans="2:45" x14ac:dyDescent="0.35">
      <c r="B437" s="412" t="s">
        <v>955</v>
      </c>
      <c r="C437" s="412" t="s">
        <v>121</v>
      </c>
      <c r="D437" s="13" t="s">
        <v>275</v>
      </c>
      <c r="E437" s="13"/>
      <c r="F437" s="13"/>
      <c r="G437" s="13"/>
      <c r="H437" s="453"/>
      <c r="I437" s="4"/>
      <c r="K437" s="139"/>
      <c r="L437" s="477" t="s">
        <v>3640</v>
      </c>
      <c r="M437" s="303">
        <f>IFERROR(INDEX({6,8,12,23,30,34,33,33},BF16),0)</f>
        <v>23</v>
      </c>
      <c r="N437" s="133"/>
      <c r="O437" s="309"/>
      <c r="X437" s="817"/>
      <c r="AL437" t="str">
        <f>SUBSTITUTE(SUBSTITUTE(SUBSTITUTE("dpa"&amp;$B437&amp;$C437&amp;$D437&amp;$E437,".","_"),"(","_"),")","")</f>
        <v>dpa703_5_5_a_5</v>
      </c>
      <c r="AM437">
        <f>M437</f>
        <v>23</v>
      </c>
    </row>
    <row r="438" spans="2:45" x14ac:dyDescent="0.35">
      <c r="B438" s="412" t="s">
        <v>955</v>
      </c>
      <c r="C438" s="412" t="s">
        <v>122</v>
      </c>
      <c r="D438" s="13"/>
      <c r="E438" s="13"/>
      <c r="F438" s="13"/>
      <c r="G438" s="13"/>
      <c r="H438" s="453"/>
      <c r="I438" s="4"/>
      <c r="K438" s="402" t="s">
        <v>122</v>
      </c>
      <c r="L438" s="825" t="s">
        <v>4312</v>
      </c>
      <c r="M438" s="463"/>
      <c r="N438" s="4"/>
      <c r="O438" s="832">
        <f ca="1">IFERROR(INDEX(M440:M444,MATCH(W431,{1.3,1.51,1.81,2.31,3.01},1)),0)*S438</f>
        <v>0</v>
      </c>
      <c r="S438" s="1" t="b">
        <f ca="1">W429=INDEX(INDIRECT(U429),2)</f>
        <v>0</v>
      </c>
      <c r="X438" s="817"/>
      <c r="AN438" t="str">
        <f>SUBSTITUTE(SUBSTITUTE(SUBSTITUTE("dpc"&amp;$B438&amp;$C438&amp;$D438&amp;$E438,".","_"),"(","_"),")","")</f>
        <v>dpc703_5_5_b</v>
      </c>
      <c r="AO438">
        <f ca="1">O438</f>
        <v>0</v>
      </c>
    </row>
    <row r="439" spans="2:45" x14ac:dyDescent="0.35">
      <c r="B439" s="412" t="s">
        <v>955</v>
      </c>
      <c r="C439" s="412" t="s">
        <v>122</v>
      </c>
      <c r="D439" s="13"/>
      <c r="E439" s="13"/>
      <c r="F439" s="13"/>
      <c r="G439" s="13"/>
      <c r="H439" s="453"/>
      <c r="I439" s="4"/>
      <c r="K439" s="45"/>
      <c r="L439" s="825"/>
      <c r="M439" s="463"/>
      <c r="N439" s="4"/>
      <c r="O439" s="832"/>
      <c r="X439" s="817"/>
    </row>
    <row r="440" spans="2:45" x14ac:dyDescent="0.35">
      <c r="B440" s="412" t="s">
        <v>955</v>
      </c>
      <c r="C440" s="412" t="s">
        <v>122</v>
      </c>
      <c r="D440" s="13" t="s">
        <v>256</v>
      </c>
      <c r="E440" s="13"/>
      <c r="F440" s="13"/>
      <c r="G440" s="13"/>
      <c r="H440" s="453"/>
      <c r="I440" s="4"/>
      <c r="K440" s="43"/>
      <c r="L440" s="477" t="s">
        <v>3636</v>
      </c>
      <c r="M440" s="303">
        <f>IFERROR(INDEX({1,2,3,5,7,8,7,7},BF16),0)</f>
        <v>5</v>
      </c>
      <c r="N440" s="4"/>
      <c r="O440" s="75"/>
      <c r="X440" s="817"/>
      <c r="AL440" t="str">
        <f>SUBSTITUTE(SUBSTITUTE(SUBSTITUTE("dpa"&amp;$B440&amp;$C440&amp;$D440&amp;$E440,".","_"),"(","_"),")","")</f>
        <v>dpa703_5_5_b_1</v>
      </c>
      <c r="AM440">
        <f>M440</f>
        <v>5</v>
      </c>
    </row>
    <row r="441" spans="2:45" x14ac:dyDescent="0.35">
      <c r="B441" s="412" t="s">
        <v>955</v>
      </c>
      <c r="C441" s="412" t="s">
        <v>122</v>
      </c>
      <c r="D441" s="13" t="s">
        <v>258</v>
      </c>
      <c r="E441" s="13"/>
      <c r="F441" s="13"/>
      <c r="G441" s="13"/>
      <c r="H441" s="453"/>
      <c r="I441" s="4"/>
      <c r="K441" s="467"/>
      <c r="L441" s="478" t="s">
        <v>3637</v>
      </c>
      <c r="M441" s="347">
        <f>IFERROR(INDEX({2,2,4,7,10,11,11,11},BF16),0)</f>
        <v>7</v>
      </c>
      <c r="N441" s="4"/>
      <c r="O441" s="75"/>
      <c r="X441" s="817"/>
      <c r="AL441" t="str">
        <f>SUBSTITUTE(SUBSTITUTE(SUBSTITUTE("dpa"&amp;$B441&amp;$C441&amp;$D441&amp;$E441,".","_"),"(","_"),")","")</f>
        <v>dpa703_5_5_b_2</v>
      </c>
      <c r="AM441">
        <f>M441</f>
        <v>7</v>
      </c>
    </row>
    <row r="442" spans="2:45" x14ac:dyDescent="0.35">
      <c r="B442" s="412" t="s">
        <v>955</v>
      </c>
      <c r="C442" s="412" t="s">
        <v>122</v>
      </c>
      <c r="D442" s="13" t="s">
        <v>260</v>
      </c>
      <c r="E442" s="13"/>
      <c r="F442" s="13"/>
      <c r="G442" s="13"/>
      <c r="H442" s="453"/>
      <c r="I442" s="4"/>
      <c r="K442" s="467"/>
      <c r="L442" s="478" t="s">
        <v>3638</v>
      </c>
      <c r="M442" s="347">
        <f>IFERROR(INDEX({2,3,6,10,14,16,15,15},BF16),0)</f>
        <v>10</v>
      </c>
      <c r="N442" s="4"/>
      <c r="O442" s="75"/>
      <c r="X442" s="817"/>
      <c r="AL442" t="str">
        <f>SUBSTITUTE(SUBSTITUTE(SUBSTITUTE("dpa"&amp;$B442&amp;$C442&amp;$D442&amp;$E442,".","_"),"(","_"),")","")</f>
        <v>dpa703_5_5_b_3</v>
      </c>
      <c r="AM442">
        <f>M442</f>
        <v>10</v>
      </c>
    </row>
    <row r="443" spans="2:45" x14ac:dyDescent="0.35">
      <c r="B443" s="412" t="s">
        <v>955</v>
      </c>
      <c r="C443" s="412" t="s">
        <v>122</v>
      </c>
      <c r="D443" s="13" t="s">
        <v>269</v>
      </c>
      <c r="E443" s="13"/>
      <c r="F443" s="13"/>
      <c r="G443" s="13"/>
      <c r="H443" s="453"/>
      <c r="I443" s="4"/>
      <c r="K443" s="467"/>
      <c r="L443" s="478" t="s">
        <v>3639</v>
      </c>
      <c r="M443" s="347">
        <f>IFERROR(INDEX({4,5,9,16,21,23,22,22},BF16),0)</f>
        <v>16</v>
      </c>
      <c r="N443" s="4"/>
      <c r="O443" s="75"/>
      <c r="X443" s="817"/>
      <c r="AL443" t="str">
        <f>SUBSTITUTE(SUBSTITUTE(SUBSTITUTE("dpa"&amp;$B443&amp;$C443&amp;$D443&amp;$E443,".","_"),"(","_"),")","")</f>
        <v>dpa703_5_5_b_4</v>
      </c>
      <c r="AM443">
        <f>M443</f>
        <v>16</v>
      </c>
    </row>
    <row r="444" spans="2:45" ht="15" thickBot="1" x14ac:dyDescent="0.4">
      <c r="B444" s="412" t="s">
        <v>955</v>
      </c>
      <c r="C444" s="412" t="s">
        <v>122</v>
      </c>
      <c r="D444" s="13" t="s">
        <v>275</v>
      </c>
      <c r="E444" s="13"/>
      <c r="F444" s="13"/>
      <c r="G444" s="13"/>
      <c r="H444" s="453"/>
      <c r="I444" s="160"/>
      <c r="J444" s="55"/>
      <c r="K444" s="473"/>
      <c r="L444" s="474" t="s">
        <v>3640</v>
      </c>
      <c r="M444" s="490">
        <f>IFERROR(INDEX({6,8,12,23,30,34,33,33},BF16),0)</f>
        <v>23</v>
      </c>
      <c r="N444" s="160"/>
      <c r="O444" s="161"/>
      <c r="P444" s="55"/>
      <c r="Q444" s="55"/>
      <c r="R444" s="55"/>
      <c r="S444" s="55"/>
      <c r="T444" s="55"/>
      <c r="U444" s="55"/>
      <c r="V444" s="55"/>
      <c r="W444" s="55"/>
      <c r="X444" s="829"/>
      <c r="AL444" t="str">
        <f>SUBSTITUTE(SUBSTITUTE(SUBSTITUTE("dpa"&amp;$B444&amp;$C444&amp;$D444&amp;$E444,".","_"),"(","_"),")","")</f>
        <v>dpa703_5_5_b_5</v>
      </c>
      <c r="AM444">
        <f>M444</f>
        <v>23</v>
      </c>
    </row>
    <row r="445" spans="2:45" ht="15" thickTop="1" x14ac:dyDescent="0.35">
      <c r="B445" s="412">
        <v>703.6</v>
      </c>
      <c r="C445" s="50"/>
      <c r="D445" s="13"/>
      <c r="E445" s="13"/>
      <c r="F445" s="13"/>
      <c r="G445" s="13"/>
      <c r="H445" s="453"/>
      <c r="I445" s="30">
        <v>703.6</v>
      </c>
      <c r="J445" s="90"/>
      <c r="K445" s="90"/>
      <c r="L445" s="95" t="s">
        <v>956</v>
      </c>
      <c r="M445" s="40"/>
      <c r="N445" s="4"/>
      <c r="O445" s="75"/>
    </row>
    <row r="446" spans="2:45" x14ac:dyDescent="0.35">
      <c r="B446" s="412" t="s">
        <v>957</v>
      </c>
      <c r="C446" s="50"/>
      <c r="D446" s="13"/>
      <c r="E446" s="13"/>
      <c r="F446" s="13"/>
      <c r="G446" s="13"/>
      <c r="H446" s="453"/>
      <c r="I446" s="30" t="s">
        <v>957</v>
      </c>
      <c r="J446" s="90"/>
      <c r="K446" s="90"/>
      <c r="L446" s="919" t="s">
        <v>958</v>
      </c>
      <c r="M446" s="40"/>
      <c r="N446" s="4"/>
      <c r="O446" s="75"/>
    </row>
    <row r="447" spans="2:45" x14ac:dyDescent="0.35">
      <c r="B447" s="412" t="s">
        <v>957</v>
      </c>
      <c r="C447" s="50"/>
      <c r="D447" s="13"/>
      <c r="E447" s="13"/>
      <c r="F447" s="13"/>
      <c r="G447" s="13"/>
      <c r="H447" s="453"/>
      <c r="I447" s="30"/>
      <c r="J447" s="90"/>
      <c r="K447" s="90"/>
      <c r="L447" s="919"/>
      <c r="M447" s="40"/>
      <c r="N447" s="4"/>
      <c r="O447" s="75"/>
    </row>
    <row r="448" spans="2:45" ht="15" customHeight="1" x14ac:dyDescent="0.35">
      <c r="B448" s="412" t="s">
        <v>957</v>
      </c>
      <c r="C448" s="13" t="s">
        <v>256</v>
      </c>
      <c r="D448" s="13"/>
      <c r="E448" s="13"/>
      <c r="F448" s="13"/>
      <c r="G448" s="13"/>
      <c r="H448" s="453"/>
      <c r="I448" s="4"/>
      <c r="J448" s="152" t="s">
        <v>256</v>
      </c>
      <c r="K448" s="90"/>
      <c r="L448" s="825" t="s">
        <v>5232</v>
      </c>
      <c r="M448" s="818">
        <f>IFERROR(INDEX({3,3,3,2,2,2,2,2},BF16),0)</f>
        <v>2</v>
      </c>
      <c r="N448" s="4"/>
      <c r="O448" s="832">
        <f ca="1">M448*S448*W448</f>
        <v>0</v>
      </c>
      <c r="P448" t="b">
        <v>0</v>
      </c>
      <c r="Q448" t="b">
        <v>1</v>
      </c>
      <c r="R448" t="b">
        <v>0</v>
      </c>
      <c r="S448" t="b">
        <f ca="1">AND(S13=2,NOT(W452),NOT(W450))</f>
        <v>1</v>
      </c>
      <c r="T448" t="b">
        <f ca="1">AND(NOT(S448),W448=TRUE)</f>
        <v>0</v>
      </c>
      <c r="W448" s="17"/>
      <c r="X448" s="817"/>
      <c r="AC448" t="b">
        <f ca="1">OR(AD448:AE448)</f>
        <v>0</v>
      </c>
      <c r="AD448" t="b">
        <f ca="1">T448</f>
        <v>0</v>
      </c>
      <c r="AL448" t="str">
        <f>SUBSTITUTE(SUBSTITUTE(SUBSTITUTE("dpa"&amp;$B448&amp;$C448&amp;$D448&amp;$E448,".","_"),"(","_"),")","")</f>
        <v>dpa703_6_1_1</v>
      </c>
      <c r="AM448">
        <f>M448</f>
        <v>2</v>
      </c>
      <c r="AN448" t="str">
        <f>SUBSTITUTE(SUBSTITUTE(SUBSTITUTE("dpc"&amp;$B448&amp;$C448&amp;$D448&amp;$E448,".","_"),"(","_"),")","")</f>
        <v>dpc703_6_1_1</v>
      </c>
      <c r="AO448">
        <f ca="1">O448</f>
        <v>0</v>
      </c>
      <c r="AP448" t="str">
        <f>SUBSTITUTE(SUBSTITUTE(SUBSTITUTE("dch"&amp;$B448&amp;$C448&amp;$D448&amp;$E448,".","_"),"(","_"),")","")</f>
        <v>dch703_6_1_1</v>
      </c>
      <c r="AQ448" t="str">
        <f>IF(LEN(W448)=0,"",W448)</f>
        <v/>
      </c>
      <c r="AR448" t="str">
        <f>SUBSTITUTE(SUBSTITUTE(SUBSTITUTE("dnt"&amp;$B448&amp;$C448&amp;$D448&amp;$E448,".","_"),"(","_"),")","")</f>
        <v>dnt703_6_1_1</v>
      </c>
      <c r="AS448" t="str">
        <f>IF(LEN(X448)=0,"",X448)</f>
        <v/>
      </c>
    </row>
    <row r="449" spans="2:45" x14ac:dyDescent="0.35">
      <c r="B449" s="412" t="s">
        <v>957</v>
      </c>
      <c r="C449" s="13" t="s">
        <v>256</v>
      </c>
      <c r="D449" s="13"/>
      <c r="E449" s="13"/>
      <c r="F449" s="13"/>
      <c r="G449" s="13"/>
      <c r="H449" s="453"/>
      <c r="I449" s="4"/>
      <c r="J449" s="326"/>
      <c r="K449" s="228"/>
      <c r="L449" s="842"/>
      <c r="M449" s="819"/>
      <c r="N449" s="133"/>
      <c r="O449" s="824"/>
      <c r="X449" s="817"/>
    </row>
    <row r="450" spans="2:45" ht="15" customHeight="1" x14ac:dyDescent="0.35">
      <c r="B450" s="412" t="s">
        <v>957</v>
      </c>
      <c r="C450" s="13" t="s">
        <v>258</v>
      </c>
      <c r="D450" s="13"/>
      <c r="E450" s="13"/>
      <c r="F450" s="13"/>
      <c r="G450" s="13"/>
      <c r="H450" s="453"/>
      <c r="I450" s="4"/>
      <c r="J450" s="343" t="s">
        <v>258</v>
      </c>
      <c r="K450" s="286"/>
      <c r="L450" s="825" t="s">
        <v>4314</v>
      </c>
      <c r="M450" s="822">
        <v>1</v>
      </c>
      <c r="N450" s="118"/>
      <c r="O450" s="823">
        <f ca="1">M450*S450*W450</f>
        <v>0</v>
      </c>
      <c r="P450" t="b">
        <v>0</v>
      </c>
      <c r="Q450" t="b">
        <v>1</v>
      </c>
      <c r="R450" t="b">
        <v>0</v>
      </c>
      <c r="S450" t="b">
        <f ca="1">AND(S13=2,NOT(W452),NOT(W448))</f>
        <v>1</v>
      </c>
      <c r="T450" t="b">
        <f ca="1">AND(NOT(S450),W450=TRUE)</f>
        <v>0</v>
      </c>
      <c r="W450" s="17"/>
      <c r="X450" s="817"/>
      <c r="AC450" t="b">
        <f ca="1">OR(AD450:AE450)</f>
        <v>0</v>
      </c>
      <c r="AD450" t="b">
        <f ca="1">T450</f>
        <v>0</v>
      </c>
      <c r="AL450" t="str">
        <f>SUBSTITUTE(SUBSTITUTE(SUBSTITUTE("dpa"&amp;$B450&amp;$C450&amp;$D450&amp;$E450,".","_"),"(","_"),")","")</f>
        <v>dpa703_6_1_2</v>
      </c>
      <c r="AM450">
        <f>M450</f>
        <v>1</v>
      </c>
      <c r="AN450" t="str">
        <f>SUBSTITUTE(SUBSTITUTE(SUBSTITUTE("dpc"&amp;$B450&amp;$C450&amp;$D450&amp;$E450,".","_"),"(","_"),")","")</f>
        <v>dpc703_6_1_2</v>
      </c>
      <c r="AO450">
        <f ca="1">O450</f>
        <v>0</v>
      </c>
      <c r="AP450" t="str">
        <f>SUBSTITUTE(SUBSTITUTE(SUBSTITUTE("dch"&amp;$B450&amp;$C450&amp;$D450&amp;$E450,".","_"),"(","_"),")","")</f>
        <v>dch703_6_1_2</v>
      </c>
      <c r="AQ450" t="str">
        <f>IF(LEN(W450)=0,"",W450)</f>
        <v/>
      </c>
      <c r="AR450" t="str">
        <f>SUBSTITUTE(SUBSTITUTE(SUBSTITUTE("dnt"&amp;$B450&amp;$C450&amp;$D450&amp;$E450,".","_"),"(","_"),")","")</f>
        <v>dnt703_6_1_2</v>
      </c>
      <c r="AS450" t="str">
        <f>IF(LEN(X450)=0,"",X450)</f>
        <v/>
      </c>
    </row>
    <row r="451" spans="2:45" x14ac:dyDescent="0.35">
      <c r="B451" s="412" t="s">
        <v>957</v>
      </c>
      <c r="C451" s="13" t="s">
        <v>258</v>
      </c>
      <c r="D451" s="13"/>
      <c r="E451" s="13"/>
      <c r="F451" s="13"/>
      <c r="G451" s="13"/>
      <c r="H451" s="453"/>
      <c r="I451" s="4"/>
      <c r="J451" s="228"/>
      <c r="K451" s="228"/>
      <c r="L451" s="842"/>
      <c r="M451" s="819"/>
      <c r="N451" s="133"/>
      <c r="O451" s="824"/>
      <c r="X451" s="817"/>
    </row>
    <row r="452" spans="2:45" x14ac:dyDescent="0.35">
      <c r="B452" s="412" t="s">
        <v>957</v>
      </c>
      <c r="C452" s="13" t="s">
        <v>260</v>
      </c>
      <c r="D452" s="13"/>
      <c r="E452" s="13"/>
      <c r="F452" s="13"/>
      <c r="G452" s="13"/>
      <c r="H452" s="453"/>
      <c r="I452" s="4"/>
      <c r="J452" s="152" t="s">
        <v>260</v>
      </c>
      <c r="K452" s="90"/>
      <c r="L452" s="814" t="s">
        <v>959</v>
      </c>
      <c r="M452" s="818">
        <v>7</v>
      </c>
      <c r="N452" s="4"/>
      <c r="O452" s="832">
        <f ca="1">M452*S452*W452</f>
        <v>0</v>
      </c>
      <c r="P452" t="b">
        <v>0</v>
      </c>
      <c r="Q452" t="b">
        <v>1</v>
      </c>
      <c r="R452" t="b">
        <v>0</v>
      </c>
      <c r="S452" t="b">
        <f ca="1">AND(S13=2,IF(AY19=INDEX(ddSingleOrMulti,2),TRUE,FALSE),NOT(W450),NOT(W448))</f>
        <v>0</v>
      </c>
      <c r="T452" t="b">
        <f ca="1">AND(NOT(S452),W452=TRUE)</f>
        <v>0</v>
      </c>
      <c r="W452" s="17"/>
      <c r="X452" s="817"/>
      <c r="AC452" t="b">
        <f ca="1">OR(AD452:AE452)</f>
        <v>0</v>
      </c>
      <c r="AD452" t="b">
        <f ca="1">T452</f>
        <v>0</v>
      </c>
      <c r="AL452" t="str">
        <f>SUBSTITUTE(SUBSTITUTE(SUBSTITUTE("dpa"&amp;$B452&amp;$C452&amp;$D452&amp;$E452,".","_"),"(","_"),")","")</f>
        <v>dpa703_6_1_3</v>
      </c>
      <c r="AM452">
        <f>M452</f>
        <v>7</v>
      </c>
      <c r="AN452" t="str">
        <f>SUBSTITUTE(SUBSTITUTE(SUBSTITUTE("dpc"&amp;$B452&amp;$C452&amp;$D452&amp;$E452,".","_"),"(","_"),")","")</f>
        <v>dpc703_6_1_3</v>
      </c>
      <c r="AO452">
        <f ca="1">O452</f>
        <v>0</v>
      </c>
      <c r="AP452" t="str">
        <f>SUBSTITUTE(SUBSTITUTE(SUBSTITUTE("dch"&amp;$B452&amp;$C452&amp;$D452&amp;$E452,".","_"),"(","_"),")","")</f>
        <v>dch703_6_1_3</v>
      </c>
      <c r="AQ452" t="str">
        <f>IF(LEN(W452)=0,"",W452)</f>
        <v/>
      </c>
      <c r="AR452" t="str">
        <f>SUBSTITUTE(SUBSTITUTE(SUBSTITUTE("dnt"&amp;$B452&amp;$C452&amp;$D452&amp;$E452,".","_"),"(","_"),")","")</f>
        <v>dnt703_6_1_3</v>
      </c>
      <c r="AS452" t="str">
        <f>IF(LEN(X452)=0,"",X452)</f>
        <v/>
      </c>
    </row>
    <row r="453" spans="2:45" x14ac:dyDescent="0.35">
      <c r="B453" s="412" t="s">
        <v>957</v>
      </c>
      <c r="C453" s="13" t="s">
        <v>260</v>
      </c>
      <c r="D453" s="13"/>
      <c r="E453" s="13"/>
      <c r="F453" s="13"/>
      <c r="G453" s="13"/>
      <c r="H453" s="453"/>
      <c r="I453" s="133"/>
      <c r="J453" s="228"/>
      <c r="K453" s="228"/>
      <c r="L453" s="815"/>
      <c r="M453" s="819"/>
      <c r="N453" s="133"/>
      <c r="O453" s="824"/>
      <c r="P453" s="104"/>
      <c r="Q453" s="104"/>
      <c r="R453" s="104"/>
      <c r="S453" s="104"/>
      <c r="T453" s="104"/>
      <c r="U453" s="104"/>
      <c r="V453" s="104"/>
      <c r="W453" s="104"/>
      <c r="X453" s="817"/>
    </row>
    <row r="454" spans="2:45" x14ac:dyDescent="0.35">
      <c r="B454" s="412" t="s">
        <v>960</v>
      </c>
      <c r="C454" s="13"/>
      <c r="D454" s="13"/>
      <c r="E454" s="13"/>
      <c r="F454" s="13"/>
      <c r="G454" s="13"/>
      <c r="H454" s="453"/>
      <c r="I454" s="32" t="s">
        <v>960</v>
      </c>
      <c r="J454" s="90"/>
      <c r="K454" s="90"/>
      <c r="L454" s="95" t="s">
        <v>961</v>
      </c>
      <c r="M454" s="40"/>
      <c r="N454" s="4"/>
      <c r="O454" s="75"/>
    </row>
    <row r="455" spans="2:45" x14ac:dyDescent="0.35">
      <c r="B455" s="412" t="s">
        <v>960</v>
      </c>
      <c r="C455" s="13" t="s">
        <v>256</v>
      </c>
      <c r="D455" s="13"/>
      <c r="E455" s="13"/>
      <c r="F455" s="13"/>
      <c r="G455" s="13"/>
      <c r="H455" s="453"/>
      <c r="I455" s="4"/>
      <c r="J455" s="326" t="s">
        <v>256</v>
      </c>
      <c r="K455" s="228"/>
      <c r="L455" s="346" t="s">
        <v>962</v>
      </c>
      <c r="M455" s="268">
        <v>1</v>
      </c>
      <c r="N455" s="133"/>
      <c r="O455" s="309">
        <f ca="1">M455*S455*W455</f>
        <v>1</v>
      </c>
      <c r="P455" t="b">
        <v>0</v>
      </c>
      <c r="Q455" t="b">
        <v>1</v>
      </c>
      <c r="R455" t="b">
        <v>0</v>
      </c>
      <c r="S455" t="b">
        <f ca="1">(S13=2)</f>
        <v>1</v>
      </c>
      <c r="T455" t="b">
        <f ca="1">AND(NOT(S455),W455=TRUE)</f>
        <v>0</v>
      </c>
      <c r="W455" s="17" t="b">
        <v>1</v>
      </c>
      <c r="X455" s="36"/>
      <c r="AC455" t="b">
        <f ca="1">OR(AD455:AE455)</f>
        <v>0</v>
      </c>
      <c r="AD455" t="b">
        <f ca="1">T455</f>
        <v>0</v>
      </c>
      <c r="AL455" t="str">
        <f>SUBSTITUTE(SUBSTITUTE(SUBSTITUTE("dpa"&amp;$B455&amp;$C455&amp;$D455&amp;$E455,".","_"),"(","_"),")","")</f>
        <v>dpa703_6_2 _1</v>
      </c>
      <c r="AM455">
        <f>M455</f>
        <v>1</v>
      </c>
      <c r="AN455" t="str">
        <f>SUBSTITUTE(SUBSTITUTE(SUBSTITUTE("dpc"&amp;$B455&amp;$C455&amp;$D455&amp;$E455,".","_"),"(","_"),")","")</f>
        <v>dpc703_6_2 _1</v>
      </c>
      <c r="AO455">
        <f ca="1">O455</f>
        <v>1</v>
      </c>
      <c r="AP455" t="str">
        <f>SUBSTITUTE(SUBSTITUTE(SUBSTITUTE("dch"&amp;$B455&amp;$C455&amp;$D455&amp;$E455,".","_"),"(","_"),")","")</f>
        <v>dch703_6_2 _1</v>
      </c>
      <c r="AQ455" t="b">
        <f>IF(LEN(W455)=0,"",W455)</f>
        <v>1</v>
      </c>
      <c r="AR455" t="str">
        <f>SUBSTITUTE(SUBSTITUTE(SUBSTITUTE("dnt"&amp;$B455&amp;$C455&amp;$D455&amp;$E455,".","_"),"(","_"),")","")</f>
        <v>dnt703_6_2 _1</v>
      </c>
      <c r="AS455" t="str">
        <f>IF(LEN(X455)=0,"",X455)</f>
        <v/>
      </c>
    </row>
    <row r="456" spans="2:45" x14ac:dyDescent="0.35">
      <c r="B456" s="412" t="s">
        <v>960</v>
      </c>
      <c r="C456" s="13" t="s">
        <v>258</v>
      </c>
      <c r="D456" s="13"/>
      <c r="E456" s="13"/>
      <c r="F456" s="13"/>
      <c r="G456" s="13"/>
      <c r="H456" s="453"/>
      <c r="I456" s="4"/>
      <c r="J456" s="344" t="s">
        <v>258</v>
      </c>
      <c r="K456" s="178"/>
      <c r="L456" s="178" t="s">
        <v>963</v>
      </c>
      <c r="M456" s="278">
        <v>1</v>
      </c>
      <c r="N456" s="163"/>
      <c r="O456" s="277">
        <f ca="1">M456*S456*W456</f>
        <v>1</v>
      </c>
      <c r="P456" t="b">
        <v>0</v>
      </c>
      <c r="Q456" t="b">
        <v>1</v>
      </c>
      <c r="R456" t="b">
        <v>0</v>
      </c>
      <c r="S456" t="b">
        <f ca="1">(S13=2)</f>
        <v>1</v>
      </c>
      <c r="T456" t="b">
        <f ca="1">AND(NOT(S456),W456=TRUE)</f>
        <v>0</v>
      </c>
      <c r="W456" s="17" t="b">
        <v>1</v>
      </c>
      <c r="X456" s="36"/>
      <c r="AC456" t="b">
        <f ca="1">OR(AD456:AE456)</f>
        <v>0</v>
      </c>
      <c r="AD456" t="b">
        <f ca="1">T456</f>
        <v>0</v>
      </c>
      <c r="AL456" t="str">
        <f>SUBSTITUTE(SUBSTITUTE(SUBSTITUTE("dpa"&amp;$B456&amp;$C456&amp;$D456&amp;$E456,".","_"),"(","_"),")","")</f>
        <v>dpa703_6_2 _2</v>
      </c>
      <c r="AM456">
        <f>M456</f>
        <v>1</v>
      </c>
      <c r="AN456" t="str">
        <f>SUBSTITUTE(SUBSTITUTE(SUBSTITUTE("dpc"&amp;$B456&amp;$C456&amp;$D456&amp;$E456,".","_"),"(","_"),")","")</f>
        <v>dpc703_6_2 _2</v>
      </c>
      <c r="AO456">
        <f ca="1">O456</f>
        <v>1</v>
      </c>
      <c r="AP456" t="str">
        <f>SUBSTITUTE(SUBSTITUTE(SUBSTITUTE("dch"&amp;$B456&amp;$C456&amp;$D456&amp;$E456,".","_"),"(","_"),")","")</f>
        <v>dch703_6_2 _2</v>
      </c>
      <c r="AQ456" t="b">
        <f>IF(LEN(W456)=0,"",W456)</f>
        <v>1</v>
      </c>
      <c r="AR456" t="str">
        <f>SUBSTITUTE(SUBSTITUTE(SUBSTITUTE("dnt"&amp;$B456&amp;$C456&amp;$D456&amp;$E456,".","_"),"(","_"),")","")</f>
        <v>dnt703_6_2 _2</v>
      </c>
      <c r="AS456" t="str">
        <f>IF(LEN(X456)=0,"",X456)</f>
        <v/>
      </c>
    </row>
    <row r="457" spans="2:45" x14ac:dyDescent="0.35">
      <c r="B457" s="412" t="s">
        <v>960</v>
      </c>
      <c r="C457" s="13" t="s">
        <v>260</v>
      </c>
      <c r="D457" s="13"/>
      <c r="E457" s="13"/>
      <c r="F457" s="13"/>
      <c r="G457" s="13"/>
      <c r="H457" s="453"/>
      <c r="I457" s="4"/>
      <c r="J457" s="152" t="s">
        <v>260</v>
      </c>
      <c r="K457" s="90"/>
      <c r="L457" s="90" t="s">
        <v>964</v>
      </c>
      <c r="M457" s="40">
        <v>4</v>
      </c>
      <c r="N457" s="4"/>
      <c r="O457" s="75">
        <f ca="1">M457*S457*W457</f>
        <v>4</v>
      </c>
      <c r="P457" t="b">
        <v>0</v>
      </c>
      <c r="Q457" t="b">
        <v>1</v>
      </c>
      <c r="R457" t="b">
        <v>0</v>
      </c>
      <c r="S457" t="b">
        <f ca="1">(S13=2)</f>
        <v>1</v>
      </c>
      <c r="T457" t="b">
        <f ca="1">AND(NOT(S457),W457=TRUE)</f>
        <v>0</v>
      </c>
      <c r="W457" s="17" t="b">
        <v>1</v>
      </c>
      <c r="X457" s="817"/>
      <c r="AC457" t="b">
        <f ca="1">OR(AD457:AE457)</f>
        <v>0</v>
      </c>
      <c r="AD457" t="b">
        <f ca="1">T457</f>
        <v>0</v>
      </c>
      <c r="AL457" t="str">
        <f>SUBSTITUTE(SUBSTITUTE(SUBSTITUTE("dpa"&amp;$B457&amp;$C457&amp;$D457&amp;$E457,".","_"),"(","_"),")","")</f>
        <v>dpa703_6_2 _3</v>
      </c>
      <c r="AM457">
        <f>M457</f>
        <v>4</v>
      </c>
      <c r="AN457" t="str">
        <f>SUBSTITUTE(SUBSTITUTE(SUBSTITUTE("dpc"&amp;$B457&amp;$C457&amp;$D457&amp;$E457,".","_"),"(","_"),")","")</f>
        <v>dpc703_6_2 _3</v>
      </c>
      <c r="AO457">
        <f ca="1">O457</f>
        <v>4</v>
      </c>
      <c r="AP457" t="str">
        <f>SUBSTITUTE(SUBSTITUTE(SUBSTITUTE("dch"&amp;$B457&amp;$C457&amp;$D457&amp;$E457,".","_"),"(","_"),")","")</f>
        <v>dch703_6_2 _3</v>
      </c>
      <c r="AQ457" t="b">
        <f>IF(LEN(W457)=0,"",W457)</f>
        <v>1</v>
      </c>
      <c r="AR457" t="str">
        <f>SUBSTITUTE(SUBSTITUTE(SUBSTITUTE("dnt"&amp;$B457&amp;$C457&amp;$D457&amp;$E457,".","_"),"(","_"),")","")</f>
        <v>dnt703_6_2 _3</v>
      </c>
      <c r="AS457" t="str">
        <f>IF(LEN(X457)=0,"",X457)</f>
        <v/>
      </c>
    </row>
    <row r="458" spans="2:45" ht="15" thickBot="1" x14ac:dyDescent="0.4">
      <c r="B458" s="412" t="s">
        <v>960</v>
      </c>
      <c r="C458" s="13" t="s">
        <v>260</v>
      </c>
      <c r="D458" s="13"/>
      <c r="E458" s="13"/>
      <c r="F458" s="13"/>
      <c r="G458" s="13"/>
      <c r="H458" s="453"/>
      <c r="I458" s="160"/>
      <c r="J458" s="315"/>
      <c r="K458" s="229"/>
      <c r="L458" s="180" t="s">
        <v>3626</v>
      </c>
      <c r="M458" s="270"/>
      <c r="N458" s="160"/>
      <c r="O458" s="161"/>
      <c r="P458" s="55"/>
      <c r="Q458" s="55"/>
      <c r="R458" s="55"/>
      <c r="S458" s="55"/>
      <c r="T458" s="55"/>
      <c r="U458" s="55"/>
      <c r="V458" s="55"/>
      <c r="W458" s="55"/>
      <c r="X458" s="829"/>
    </row>
    <row r="459" spans="2:45" ht="15" thickTop="1" x14ac:dyDescent="0.35">
      <c r="B459" s="412">
        <v>703.7</v>
      </c>
      <c r="C459" s="50"/>
      <c r="D459" s="13"/>
      <c r="E459" s="13"/>
      <c r="F459" s="13"/>
      <c r="G459" s="13"/>
      <c r="H459" s="453"/>
      <c r="I459" s="31">
        <v>703.7</v>
      </c>
      <c r="J459" s="90"/>
      <c r="K459" s="90"/>
      <c r="L459" s="95" t="s">
        <v>965</v>
      </c>
      <c r="M459" s="40"/>
      <c r="N459" s="4"/>
      <c r="O459" s="75"/>
    </row>
    <row r="460" spans="2:45" x14ac:dyDescent="0.35">
      <c r="B460" s="412" t="s">
        <v>966</v>
      </c>
      <c r="C460" s="50"/>
      <c r="D460" s="13"/>
      <c r="E460" s="13"/>
      <c r="F460" s="13"/>
      <c r="G460" s="13"/>
      <c r="H460" s="453"/>
      <c r="I460" s="31" t="s">
        <v>966</v>
      </c>
      <c r="J460" s="90"/>
      <c r="K460" s="90"/>
      <c r="L460" s="838" t="s">
        <v>967</v>
      </c>
      <c r="M460" s="818">
        <v>4</v>
      </c>
      <c r="N460" s="4"/>
      <c r="O460" s="832">
        <f ca="1">M460*S460*W460</f>
        <v>0</v>
      </c>
      <c r="P460" t="b">
        <v>1</v>
      </c>
      <c r="Q460" t="b">
        <v>1</v>
      </c>
      <c r="R460" t="b">
        <v>0</v>
      </c>
      <c r="S460" t="b">
        <f ca="1">(S13=2)</f>
        <v>1</v>
      </c>
      <c r="T460" t="b">
        <f ca="1">AND(NOT(S460),W460=TRUE)</f>
        <v>0</v>
      </c>
      <c r="W460" s="17"/>
      <c r="AC460" t="b">
        <f ca="1">OR(AD460:AE460)</f>
        <v>0</v>
      </c>
      <c r="AD460" t="b">
        <f ca="1">T460</f>
        <v>0</v>
      </c>
      <c r="AL460" t="str">
        <f>SUBSTITUTE(SUBSTITUTE(SUBSTITUTE("dpa"&amp;$B460&amp;$C460&amp;$D460&amp;$E460,".","_"),"(","_"),")","")</f>
        <v>dpa703_7_1</v>
      </c>
      <c r="AM460">
        <f>M460</f>
        <v>4</v>
      </c>
      <c r="AN460" t="str">
        <f>SUBSTITUTE(SUBSTITUTE(SUBSTITUTE("dpc"&amp;$B460&amp;$C460&amp;$D460&amp;$E460,".","_"),"(","_"),")","")</f>
        <v>dpc703_7_1</v>
      </c>
      <c r="AO460">
        <f ca="1">O460</f>
        <v>0</v>
      </c>
      <c r="AP460" t="str">
        <f>SUBSTITUTE(SUBSTITUTE(SUBSTITUTE("dch"&amp;$B460&amp;$C460&amp;$D460&amp;$E460,".","_"),"(","_"),")","")</f>
        <v>dch703_7_1</v>
      </c>
      <c r="AQ460" t="str">
        <f>IF(LEN(W460)=0,"",W460)</f>
        <v/>
      </c>
    </row>
    <row r="461" spans="2:45" x14ac:dyDescent="0.35">
      <c r="B461" s="412" t="s">
        <v>966</v>
      </c>
      <c r="C461" s="50"/>
      <c r="D461" s="13"/>
      <c r="E461" s="13"/>
      <c r="F461" s="13"/>
      <c r="G461" s="13"/>
      <c r="H461" s="453"/>
      <c r="I461" s="4"/>
      <c r="J461" s="90"/>
      <c r="K461" s="90"/>
      <c r="L461" s="838"/>
      <c r="M461" s="818"/>
      <c r="N461" s="4"/>
      <c r="O461" s="832"/>
    </row>
    <row r="462" spans="2:45" x14ac:dyDescent="0.35">
      <c r="B462" s="412" t="s">
        <v>966</v>
      </c>
      <c r="C462" s="13" t="s">
        <v>256</v>
      </c>
      <c r="D462" s="13"/>
      <c r="E462" s="13"/>
      <c r="F462" s="13"/>
      <c r="G462" s="13"/>
      <c r="H462" s="453"/>
      <c r="I462" s="4"/>
      <c r="J462" s="152" t="s">
        <v>256</v>
      </c>
      <c r="K462" s="90"/>
      <c r="L462" s="814" t="s">
        <v>968</v>
      </c>
      <c r="M462" s="40"/>
      <c r="N462" s="4"/>
      <c r="O462" s="75"/>
      <c r="X462" s="817"/>
      <c r="AR462" t="str">
        <f>SUBSTITUTE(SUBSTITUTE(SUBSTITUTE("dnt"&amp;$B462&amp;$C462&amp;$D462&amp;$E462,".","_"),"(","_"),")","")</f>
        <v>dnt703_7_1_1</v>
      </c>
      <c r="AS462" t="str">
        <f>IF(LEN(X462)=0,"",X462)</f>
        <v/>
      </c>
    </row>
    <row r="463" spans="2:45" x14ac:dyDescent="0.35">
      <c r="B463" s="412" t="s">
        <v>966</v>
      </c>
      <c r="C463" s="13" t="s">
        <v>256</v>
      </c>
      <c r="D463" s="13"/>
      <c r="E463" s="13"/>
      <c r="F463" s="13"/>
      <c r="G463" s="13"/>
      <c r="H463" s="453"/>
      <c r="I463" s="4"/>
      <c r="J463" s="326"/>
      <c r="K463" s="228"/>
      <c r="L463" s="815"/>
      <c r="M463" s="40"/>
      <c r="N463" s="4"/>
      <c r="O463" s="75"/>
      <c r="X463" s="817"/>
    </row>
    <row r="464" spans="2:45" ht="15" customHeight="1" x14ac:dyDescent="0.35">
      <c r="B464" s="412" t="s">
        <v>966</v>
      </c>
      <c r="C464" s="13" t="s">
        <v>258</v>
      </c>
      <c r="D464" s="13"/>
      <c r="E464" s="13"/>
      <c r="F464" s="13"/>
      <c r="G464" s="13"/>
      <c r="H464" s="453"/>
      <c r="I464" s="4"/>
      <c r="J464" s="343" t="s">
        <v>258</v>
      </c>
      <c r="K464" s="286"/>
      <c r="L464" s="828" t="s">
        <v>4315</v>
      </c>
      <c r="M464" s="40"/>
      <c r="N464" s="4"/>
      <c r="O464" s="75"/>
      <c r="X464" s="817"/>
      <c r="AR464" t="str">
        <f>SUBSTITUTE(SUBSTITUTE(SUBSTITUTE("dnt"&amp;$B464&amp;$C464&amp;$D464&amp;$E464,".","_"),"(","_"),")","")</f>
        <v>dnt703_7_1_2</v>
      </c>
      <c r="AS464" t="str">
        <f>IF(LEN(X464)=0,"",X464)</f>
        <v/>
      </c>
    </row>
    <row r="465" spans="2:45" x14ac:dyDescent="0.35">
      <c r="B465" s="412" t="s">
        <v>966</v>
      </c>
      <c r="C465" s="13" t="s">
        <v>258</v>
      </c>
      <c r="D465" s="13"/>
      <c r="E465" s="13"/>
      <c r="F465" s="13"/>
      <c r="G465" s="13"/>
      <c r="H465" s="453"/>
      <c r="I465" s="4"/>
      <c r="J465" s="326"/>
      <c r="K465" s="228"/>
      <c r="L465" s="842"/>
      <c r="M465" s="40"/>
      <c r="N465" s="4"/>
      <c r="O465" s="75"/>
      <c r="X465" s="817"/>
    </row>
    <row r="466" spans="2:45" ht="15" customHeight="1" x14ac:dyDescent="0.35">
      <c r="B466" s="412" t="s">
        <v>966</v>
      </c>
      <c r="C466" s="13" t="s">
        <v>260</v>
      </c>
      <c r="D466" s="13"/>
      <c r="E466" s="13"/>
      <c r="F466" s="13"/>
      <c r="G466" s="13"/>
      <c r="H466" s="453"/>
      <c r="I466" s="4"/>
      <c r="J466" s="343" t="s">
        <v>260</v>
      </c>
      <c r="K466" s="286"/>
      <c r="L466" s="825" t="s">
        <v>4316</v>
      </c>
      <c r="M466" s="40"/>
      <c r="N466" s="4"/>
      <c r="O466" s="75"/>
      <c r="X466" s="817"/>
      <c r="AR466" t="str">
        <f>SUBSTITUTE(SUBSTITUTE(SUBSTITUTE("dnt"&amp;$B466&amp;$C466&amp;$D466&amp;$E466,".","_"),"(","_"),")","")</f>
        <v>dnt703_7_1_3</v>
      </c>
      <c r="AS466" t="str">
        <f>IF(LEN(X466)=0,"",X466)</f>
        <v/>
      </c>
    </row>
    <row r="467" spans="2:45" x14ac:dyDescent="0.35">
      <c r="B467" s="412" t="s">
        <v>966</v>
      </c>
      <c r="C467" s="13" t="s">
        <v>260</v>
      </c>
      <c r="D467" s="13"/>
      <c r="E467" s="13"/>
      <c r="F467" s="13"/>
      <c r="G467" s="13"/>
      <c r="H467" s="453"/>
      <c r="I467" s="4"/>
      <c r="J467" s="228"/>
      <c r="K467" s="228"/>
      <c r="L467" s="842"/>
      <c r="M467" s="40"/>
      <c r="N467" s="4"/>
      <c r="O467" s="75"/>
      <c r="X467" s="817"/>
    </row>
    <row r="468" spans="2:45" ht="15" customHeight="1" x14ac:dyDescent="0.35">
      <c r="B468" s="412" t="s">
        <v>966</v>
      </c>
      <c r="C468" s="13" t="s">
        <v>269</v>
      </c>
      <c r="D468" s="13"/>
      <c r="E468" s="13"/>
      <c r="F468" s="13"/>
      <c r="G468" s="13"/>
      <c r="H468" s="453"/>
      <c r="I468" s="4"/>
      <c r="J468" s="343" t="s">
        <v>269</v>
      </c>
      <c r="K468" s="286"/>
      <c r="L468" s="825" t="s">
        <v>4317</v>
      </c>
      <c r="M468" s="40"/>
      <c r="N468" s="4"/>
      <c r="O468" s="75"/>
      <c r="X468" s="817"/>
      <c r="AR468" t="str">
        <f>SUBSTITUTE(SUBSTITUTE(SUBSTITUTE("dnt"&amp;$B468&amp;$C468&amp;$D468&amp;$E468,".","_"),"(","_"),")","")</f>
        <v>dnt703_7_1_4</v>
      </c>
      <c r="AS468" t="str">
        <f>IF(LEN(X468)=0,"",X468)</f>
        <v/>
      </c>
    </row>
    <row r="469" spans="2:45" x14ac:dyDescent="0.35">
      <c r="B469" s="412" t="s">
        <v>966</v>
      </c>
      <c r="C469" s="13" t="s">
        <v>269</v>
      </c>
      <c r="D469" s="13"/>
      <c r="E469" s="13"/>
      <c r="F469" s="13"/>
      <c r="G469" s="13"/>
      <c r="H469" s="453"/>
      <c r="I469" s="4"/>
      <c r="J469" s="228"/>
      <c r="K469" s="228"/>
      <c r="L469" s="842"/>
      <c r="M469" s="40"/>
      <c r="N469" s="4"/>
      <c r="O469" s="75"/>
      <c r="X469" s="817"/>
    </row>
    <row r="470" spans="2:45" ht="15" customHeight="1" x14ac:dyDescent="0.35">
      <c r="B470" s="412" t="s">
        <v>966</v>
      </c>
      <c r="C470" s="13" t="s">
        <v>275</v>
      </c>
      <c r="D470" s="13"/>
      <c r="E470" s="13"/>
      <c r="F470" s="13"/>
      <c r="G470" s="13"/>
      <c r="H470" s="453"/>
      <c r="I470" s="4"/>
      <c r="J470" s="343" t="s">
        <v>275</v>
      </c>
      <c r="K470" s="286"/>
      <c r="L470" s="825" t="s">
        <v>4318</v>
      </c>
      <c r="M470" s="40"/>
      <c r="N470" s="4"/>
      <c r="O470" s="75"/>
      <c r="X470" s="817"/>
      <c r="AR470" t="str">
        <f>SUBSTITUTE(SUBSTITUTE(SUBSTITUTE("dnt"&amp;$B470&amp;$C470&amp;$D470&amp;$E470,".","_"),"(","_"),")","")</f>
        <v>dnt703_7_1_5</v>
      </c>
      <c r="AS470" t="str">
        <f>IF(LEN(X470)=0,"",X470)</f>
        <v/>
      </c>
    </row>
    <row r="471" spans="2:45" x14ac:dyDescent="0.35">
      <c r="B471" s="412" t="s">
        <v>966</v>
      </c>
      <c r="C471" s="13" t="s">
        <v>275</v>
      </c>
      <c r="D471" s="13"/>
      <c r="E471" s="13"/>
      <c r="F471" s="13"/>
      <c r="G471" s="13"/>
      <c r="H471" s="453"/>
      <c r="I471" s="4"/>
      <c r="J471" s="228"/>
      <c r="K471" s="228"/>
      <c r="L471" s="842"/>
      <c r="M471" s="40"/>
      <c r="N471" s="4"/>
      <c r="O471" s="75"/>
      <c r="X471" s="817"/>
    </row>
    <row r="472" spans="2:45" x14ac:dyDescent="0.35">
      <c r="B472" s="412" t="s">
        <v>966</v>
      </c>
      <c r="C472" s="13" t="s">
        <v>277</v>
      </c>
      <c r="D472" s="13"/>
      <c r="E472" s="13"/>
      <c r="F472" s="13"/>
      <c r="G472" s="13"/>
      <c r="H472" s="453"/>
      <c r="I472" s="4"/>
      <c r="J472" s="152" t="s">
        <v>277</v>
      </c>
      <c r="K472" s="90"/>
      <c r="L472" s="90" t="s">
        <v>969</v>
      </c>
      <c r="M472" s="40"/>
      <c r="N472" s="4"/>
      <c r="O472" s="75"/>
    </row>
    <row r="473" spans="2:45" x14ac:dyDescent="0.35">
      <c r="B473" s="412" t="s">
        <v>966</v>
      </c>
      <c r="C473" s="13" t="s">
        <v>277</v>
      </c>
      <c r="D473" s="13" t="s">
        <v>121</v>
      </c>
      <c r="E473" s="13"/>
      <c r="F473" s="13"/>
      <c r="G473" s="13"/>
      <c r="H473" s="453"/>
      <c r="I473" s="4"/>
      <c r="J473" s="90"/>
      <c r="K473" s="152" t="s">
        <v>121</v>
      </c>
      <c r="L473" s="90" t="s">
        <v>4319</v>
      </c>
      <c r="M473" s="40"/>
      <c r="N473" s="4"/>
      <c r="O473" s="75"/>
      <c r="X473" s="36"/>
      <c r="AR473" t="str">
        <f>SUBSTITUTE(SUBSTITUTE(SUBSTITUTE("dnt"&amp;$B473&amp;$C473&amp;$D473&amp;$E473,".","_"),"(","_"),")","")</f>
        <v>dnt703_7_1_6_a</v>
      </c>
      <c r="AS473" t="str">
        <f>IF(LEN(X473)=0,"",X473)</f>
        <v/>
      </c>
    </row>
    <row r="474" spans="2:45" x14ac:dyDescent="0.35">
      <c r="B474" s="412" t="s">
        <v>966</v>
      </c>
      <c r="C474" s="13" t="s">
        <v>277</v>
      </c>
      <c r="D474" s="13" t="s">
        <v>122</v>
      </c>
      <c r="E474" s="13"/>
      <c r="F474" s="13"/>
      <c r="G474" s="13"/>
      <c r="H474" s="453"/>
      <c r="I474" s="4"/>
      <c r="J474" s="90"/>
      <c r="K474" s="152" t="s">
        <v>122</v>
      </c>
      <c r="L474" s="90" t="s">
        <v>970</v>
      </c>
      <c r="M474" s="40"/>
      <c r="N474" s="4"/>
      <c r="O474" s="75"/>
      <c r="X474" s="36"/>
      <c r="AR474" t="str">
        <f>SUBSTITUTE(SUBSTITUTE(SUBSTITUTE("dnt"&amp;$B474&amp;$C474&amp;$D474&amp;$E474,".","_"),"(","_"),")","")</f>
        <v>dnt703_7_1_6_b</v>
      </c>
      <c r="AS474" t="str">
        <f>IF(LEN(X474)=0,"",X474)</f>
        <v/>
      </c>
    </row>
    <row r="475" spans="2:45" x14ac:dyDescent="0.35">
      <c r="B475" s="412" t="s">
        <v>966</v>
      </c>
      <c r="C475" s="13" t="s">
        <v>277</v>
      </c>
      <c r="D475" s="18" t="s">
        <v>123</v>
      </c>
      <c r="E475" s="18"/>
      <c r="F475" s="18"/>
      <c r="G475" s="18"/>
      <c r="H475" s="454"/>
      <c r="I475" s="4"/>
      <c r="J475" s="90"/>
      <c r="K475" s="153" t="s">
        <v>123</v>
      </c>
      <c r="L475" s="814" t="s">
        <v>971</v>
      </c>
      <c r="M475" s="40"/>
      <c r="N475" s="4"/>
      <c r="O475" s="75"/>
      <c r="X475" s="817"/>
      <c r="AR475" t="str">
        <f>SUBSTITUTE(SUBSTITUTE(SUBSTITUTE("dnt"&amp;$B475&amp;$C475&amp;$D475&amp;$E475,".","_"),"(","_"),")","")</f>
        <v>dnt703_7_1_6_c</v>
      </c>
      <c r="AS475" t="str">
        <f>IF(LEN(X475)=0,"",X475)</f>
        <v/>
      </c>
    </row>
    <row r="476" spans="2:45" x14ac:dyDescent="0.35">
      <c r="B476" s="412" t="s">
        <v>966</v>
      </c>
      <c r="C476" s="13" t="s">
        <v>277</v>
      </c>
      <c r="D476" s="18" t="s">
        <v>123</v>
      </c>
      <c r="E476" s="13"/>
      <c r="F476" s="13"/>
      <c r="G476" s="13"/>
      <c r="H476" s="453"/>
      <c r="I476" s="4"/>
      <c r="J476" s="228"/>
      <c r="K476" s="228"/>
      <c r="L476" s="815"/>
      <c r="M476" s="40"/>
      <c r="N476" s="4"/>
      <c r="O476" s="75"/>
      <c r="X476" s="817"/>
    </row>
    <row r="477" spans="2:45" x14ac:dyDescent="0.35">
      <c r="B477" s="412" t="s">
        <v>966</v>
      </c>
      <c r="C477" s="13" t="s">
        <v>383</v>
      </c>
      <c r="D477" s="13"/>
      <c r="E477" s="13"/>
      <c r="F477" s="13"/>
      <c r="G477" s="13"/>
      <c r="H477" s="453"/>
      <c r="I477" s="4"/>
      <c r="J477" s="343" t="s">
        <v>383</v>
      </c>
      <c r="K477" s="286"/>
      <c r="L477" s="836" t="s">
        <v>3628</v>
      </c>
      <c r="M477" s="40"/>
      <c r="N477" s="4"/>
      <c r="O477" s="75"/>
      <c r="X477" s="817"/>
      <c r="AR477" t="str">
        <f>SUBSTITUTE(SUBSTITUTE(SUBSTITUTE("dnt"&amp;$B477&amp;$C477&amp;$D477&amp;$E477,".","_"),"(","_"),")","")</f>
        <v>dnt703_7_1_7</v>
      </c>
      <c r="AS477" t="str">
        <f>IF(LEN(X477)=0,"",X477)</f>
        <v/>
      </c>
    </row>
    <row r="478" spans="2:45" x14ac:dyDescent="0.35">
      <c r="B478" s="412" t="s">
        <v>966</v>
      </c>
      <c r="C478" s="13" t="s">
        <v>383</v>
      </c>
      <c r="D478" s="13"/>
      <c r="E478" s="13"/>
      <c r="F478" s="13"/>
      <c r="G478" s="13"/>
      <c r="H478" s="453"/>
      <c r="I478" s="4"/>
      <c r="J478" s="90"/>
      <c r="K478" s="90"/>
      <c r="L478" s="814"/>
      <c r="M478" s="40"/>
      <c r="N478" s="4"/>
      <c r="O478" s="75"/>
      <c r="X478" s="817"/>
    </row>
    <row r="479" spans="2:45" x14ac:dyDescent="0.35">
      <c r="B479" s="412" t="s">
        <v>966</v>
      </c>
      <c r="C479" s="13" t="s">
        <v>383</v>
      </c>
      <c r="D479" s="13"/>
      <c r="E479" s="13"/>
      <c r="F479" s="13"/>
      <c r="G479" s="13"/>
      <c r="H479" s="453"/>
      <c r="I479" s="4"/>
      <c r="J479" s="228"/>
      <c r="K479" s="228"/>
      <c r="L479" s="323" t="s">
        <v>3629</v>
      </c>
      <c r="M479" s="40"/>
      <c r="N479" s="4"/>
      <c r="O479" s="75"/>
      <c r="X479" s="817"/>
    </row>
    <row r="480" spans="2:45" x14ac:dyDescent="0.35">
      <c r="B480" s="412" t="s">
        <v>966</v>
      </c>
      <c r="C480" s="13" t="s">
        <v>428</v>
      </c>
      <c r="D480" s="13"/>
      <c r="E480" s="13"/>
      <c r="F480" s="13"/>
      <c r="G480" s="13"/>
      <c r="H480" s="453"/>
      <c r="I480" s="4"/>
      <c r="J480" s="344" t="s">
        <v>428</v>
      </c>
      <c r="K480" s="178"/>
      <c r="L480" s="178" t="s">
        <v>972</v>
      </c>
      <c r="M480" s="40"/>
      <c r="N480" s="4"/>
      <c r="O480" s="75"/>
      <c r="X480" s="36"/>
      <c r="AR480" t="str">
        <f>SUBSTITUTE(SUBSTITUTE(SUBSTITUTE("dnt"&amp;$B480&amp;$C480&amp;$D480&amp;$E480,".","_"),"(","_"),")","")</f>
        <v>dnt703_7_1_8</v>
      </c>
      <c r="AS480" t="str">
        <f>IF(LEN(X480)=0,"",X480)</f>
        <v/>
      </c>
    </row>
    <row r="481" spans="2:45" ht="15" customHeight="1" x14ac:dyDescent="0.35">
      <c r="B481" s="412" t="s">
        <v>966</v>
      </c>
      <c r="C481" s="13" t="s">
        <v>430</v>
      </c>
      <c r="D481" s="13"/>
      <c r="E481" s="13"/>
      <c r="F481" s="13"/>
      <c r="G481" s="13"/>
      <c r="H481" s="453"/>
      <c r="I481" s="4"/>
      <c r="J481" s="152" t="s">
        <v>430</v>
      </c>
      <c r="K481" s="90"/>
      <c r="L481" s="90" t="s">
        <v>973</v>
      </c>
      <c r="M481" s="40"/>
      <c r="N481" s="4"/>
      <c r="O481" s="75"/>
      <c r="X481" s="36"/>
      <c r="AR481" t="str">
        <f>SUBSTITUTE(SUBSTITUTE(SUBSTITUTE("dnt"&amp;$B481&amp;$C481&amp;$D481&amp;$E481,".","_"),"(","_"),")","")</f>
        <v>dnt703_7_1_9</v>
      </c>
      <c r="AS481" t="str">
        <f>IF(LEN(X481)=0,"",X481)</f>
        <v/>
      </c>
    </row>
    <row r="482" spans="2:45" x14ac:dyDescent="0.35">
      <c r="B482" s="412" t="s">
        <v>966</v>
      </c>
      <c r="C482" s="13" t="s">
        <v>430</v>
      </c>
      <c r="D482" s="13" t="s">
        <v>3968</v>
      </c>
      <c r="E482" s="13"/>
      <c r="F482" s="13"/>
      <c r="G482" s="13"/>
      <c r="H482" s="453"/>
      <c r="I482" s="4"/>
      <c r="J482" s="90"/>
      <c r="K482" s="90"/>
      <c r="L482" s="855" t="s">
        <v>4320</v>
      </c>
      <c r="M482" s="40"/>
      <c r="N482" s="4"/>
      <c r="O482" s="75"/>
      <c r="X482" s="817"/>
      <c r="AR482" t="str">
        <f>SUBSTITUTE(SUBSTITUTE(SUBSTITUTE("dnt"&amp;$B482&amp;$C482&amp;$D482&amp;$E482,".","_"),"(","_"),")","")</f>
        <v>dnt703_7_1_9_m</v>
      </c>
      <c r="AS482" t="str">
        <f>IF(LEN(X482)=0,"",X482)</f>
        <v/>
      </c>
    </row>
    <row r="483" spans="2:45" x14ac:dyDescent="0.35">
      <c r="B483" s="412" t="s">
        <v>966</v>
      </c>
      <c r="C483" s="13" t="s">
        <v>430</v>
      </c>
      <c r="D483" s="13"/>
      <c r="E483" s="13"/>
      <c r="F483" s="13"/>
      <c r="G483" s="13"/>
      <c r="H483" s="453"/>
      <c r="I483" s="4"/>
      <c r="J483" s="90"/>
      <c r="K483" s="90"/>
      <c r="L483" s="855"/>
      <c r="M483" s="40"/>
      <c r="N483" s="4"/>
      <c r="O483" s="75"/>
      <c r="X483" s="817"/>
    </row>
    <row r="484" spans="2:45" x14ac:dyDescent="0.35">
      <c r="B484" s="412" t="s">
        <v>966</v>
      </c>
      <c r="C484" s="13" t="s">
        <v>430</v>
      </c>
      <c r="D484" s="13"/>
      <c r="E484" s="13"/>
      <c r="F484" s="13"/>
      <c r="G484" s="13"/>
      <c r="H484" s="453"/>
      <c r="I484" s="4"/>
      <c r="J484" s="90"/>
      <c r="K484" s="90"/>
      <c r="L484" s="855"/>
      <c r="M484" s="40"/>
      <c r="N484" s="4"/>
      <c r="O484" s="75"/>
      <c r="X484" s="817"/>
    </row>
    <row r="485" spans="2:45" x14ac:dyDescent="0.35">
      <c r="B485" s="412" t="s">
        <v>966</v>
      </c>
      <c r="C485" s="13" t="s">
        <v>430</v>
      </c>
      <c r="D485" s="13"/>
      <c r="E485" s="13"/>
      <c r="F485" s="13"/>
      <c r="G485" s="13"/>
      <c r="H485" s="453"/>
      <c r="I485" s="4"/>
      <c r="J485" s="90"/>
      <c r="K485" s="90"/>
      <c r="L485" s="855"/>
      <c r="M485" s="40"/>
      <c r="N485" s="4"/>
      <c r="O485" s="75"/>
      <c r="X485" s="817"/>
    </row>
    <row r="486" spans="2:45" x14ac:dyDescent="0.35">
      <c r="B486" s="412" t="s">
        <v>966</v>
      </c>
      <c r="C486" s="13" t="s">
        <v>430</v>
      </c>
      <c r="D486" s="13"/>
      <c r="E486" s="13"/>
      <c r="F486" s="13"/>
      <c r="G486" s="13"/>
      <c r="H486" s="453"/>
      <c r="I486" s="133"/>
      <c r="J486" s="228"/>
      <c r="K486" s="228"/>
      <c r="L486" s="903"/>
      <c r="M486" s="268"/>
      <c r="N486" s="133"/>
      <c r="O486" s="309"/>
      <c r="P486" s="104"/>
      <c r="Q486" s="104"/>
      <c r="R486" s="104"/>
      <c r="S486" s="104"/>
      <c r="T486" s="104"/>
      <c r="U486" s="104"/>
      <c r="V486" s="104"/>
      <c r="W486" s="104"/>
      <c r="X486" s="817"/>
    </row>
    <row r="487" spans="2:45" x14ac:dyDescent="0.35">
      <c r="B487" s="50" t="s">
        <v>974</v>
      </c>
      <c r="C487" s="50"/>
      <c r="D487" s="13"/>
      <c r="E487" s="13"/>
      <c r="F487" s="13"/>
      <c r="G487" s="13"/>
      <c r="H487" s="453"/>
      <c r="I487" s="330" t="s">
        <v>974</v>
      </c>
      <c r="J487" s="286"/>
      <c r="K487" s="286"/>
      <c r="L487" s="905" t="s">
        <v>975</v>
      </c>
      <c r="M487" s="822">
        <v>1</v>
      </c>
      <c r="N487" s="118"/>
      <c r="O487" s="823">
        <f ca="1">M487*S487*W487</f>
        <v>0</v>
      </c>
      <c r="P487" t="b">
        <v>1</v>
      </c>
      <c r="Q487" t="b">
        <v>1</v>
      </c>
      <c r="R487" t="b">
        <v>0</v>
      </c>
      <c r="S487" t="b">
        <f ca="1">(S13=2)</f>
        <v>1</v>
      </c>
      <c r="T487" t="b">
        <f ca="1">AND(NOT(S487),W487=TRUE)</f>
        <v>0</v>
      </c>
      <c r="W487" s="69"/>
      <c r="X487" s="816"/>
      <c r="AC487" t="b">
        <f ca="1">OR(AD487:AE487)</f>
        <v>0</v>
      </c>
      <c r="AD487" t="b">
        <f ca="1">T487</f>
        <v>0</v>
      </c>
      <c r="AL487" t="str">
        <f>SUBSTITUTE(SUBSTITUTE(SUBSTITUTE("dpa"&amp;$B487&amp;$C487&amp;$D487&amp;$E487,".","_"),"(","_"),")","")</f>
        <v xml:space="preserve">dpa703_7_2 </v>
      </c>
      <c r="AM487">
        <f>M487</f>
        <v>1</v>
      </c>
      <c r="AN487" t="str">
        <f>SUBSTITUTE(SUBSTITUTE(SUBSTITUTE("dpc"&amp;$B487&amp;$C487&amp;$D487&amp;$E487,".","_"),"(","_"),")","")</f>
        <v xml:space="preserve">dpc703_7_2 </v>
      </c>
      <c r="AO487">
        <f ca="1">O487</f>
        <v>0</v>
      </c>
      <c r="AP487" t="str">
        <f>SUBSTITUTE(SUBSTITUTE(SUBSTITUTE("dch"&amp;$B487&amp;$C487&amp;$D487&amp;$E487,".","_"),"(","_"),")","")</f>
        <v xml:space="preserve">dch703_7_2 </v>
      </c>
      <c r="AQ487" t="str">
        <f>IF(LEN(W487)=0,"",W487)</f>
        <v/>
      </c>
      <c r="AR487" t="str">
        <f>SUBSTITUTE(SUBSTITUTE(SUBSTITUTE("dnt"&amp;$B487&amp;$C487&amp;$D487&amp;$E487,".","_"),"(","_"),")","")</f>
        <v xml:space="preserve">dnt703_7_2 </v>
      </c>
      <c r="AS487" t="str">
        <f>IF(LEN(X487)=0,"",X487)</f>
        <v/>
      </c>
    </row>
    <row r="488" spans="2:45" x14ac:dyDescent="0.35">
      <c r="B488" s="50" t="s">
        <v>974</v>
      </c>
      <c r="C488" s="50"/>
      <c r="D488" s="13"/>
      <c r="E488" s="13"/>
      <c r="F488" s="13"/>
      <c r="G488" s="13"/>
      <c r="H488" s="453"/>
      <c r="I488" s="133"/>
      <c r="J488" s="228"/>
      <c r="K488" s="228"/>
      <c r="L488" s="889"/>
      <c r="M488" s="819"/>
      <c r="N488" s="133"/>
      <c r="O488" s="824"/>
      <c r="X488" s="817"/>
    </row>
    <row r="489" spans="2:45" x14ac:dyDescent="0.35">
      <c r="B489" s="412" t="s">
        <v>976</v>
      </c>
      <c r="C489" s="50"/>
      <c r="D489" s="13"/>
      <c r="E489" s="13"/>
      <c r="F489" s="13"/>
      <c r="G489" s="13"/>
      <c r="H489" s="453"/>
      <c r="I489" s="32" t="s">
        <v>976</v>
      </c>
      <c r="J489" s="90"/>
      <c r="K489" s="90"/>
      <c r="L489" s="838" t="s">
        <v>977</v>
      </c>
      <c r="M489" s="40"/>
      <c r="N489" s="4"/>
      <c r="O489" s="832">
        <f ca="1">INDEX({0,3,4},MATCH(S491,{0,3,4},1))*S495</f>
        <v>0</v>
      </c>
      <c r="AN489" t="str">
        <f>SUBSTITUTE(SUBSTITUTE(SUBSTITUTE("dpc"&amp;$B489&amp;$C489&amp;$D489&amp;$E489,".","_"),"(","_"),")","")</f>
        <v>dpc703_7_3</v>
      </c>
      <c r="AO489">
        <f ca="1">O489</f>
        <v>0</v>
      </c>
    </row>
    <row r="490" spans="2:45" x14ac:dyDescent="0.35">
      <c r="B490" s="412" t="s">
        <v>976</v>
      </c>
      <c r="C490" s="50"/>
      <c r="D490" s="13"/>
      <c r="E490" s="13"/>
      <c r="F490" s="13"/>
      <c r="G490" s="13"/>
      <c r="H490" s="453"/>
      <c r="I490" s="4"/>
      <c r="J490" s="90"/>
      <c r="K490" s="90"/>
      <c r="L490" s="838"/>
      <c r="M490" s="40"/>
      <c r="N490" s="4"/>
      <c r="O490" s="832"/>
    </row>
    <row r="491" spans="2:45" x14ac:dyDescent="0.35">
      <c r="B491" s="412" t="s">
        <v>976</v>
      </c>
      <c r="C491" s="37" t="s">
        <v>256</v>
      </c>
      <c r="D491" s="13"/>
      <c r="E491" s="13"/>
      <c r="F491" s="13"/>
      <c r="G491" s="13"/>
      <c r="H491" s="453"/>
      <c r="I491" s="4"/>
      <c r="J491" s="90"/>
      <c r="K491" s="90"/>
      <c r="L491" s="92" t="s">
        <v>978</v>
      </c>
      <c r="M491" s="40">
        <v>3</v>
      </c>
      <c r="N491" s="4"/>
      <c r="O491" s="75"/>
      <c r="R491" t="s">
        <v>3627</v>
      </c>
      <c r="S491" s="1">
        <f ca="1">(1*MIN(1,COUNTIF(W495:W499,TRUE))+1*S501*W501+1*W504+1*S506*W506+1*MIN(1,COUNTIF(W511:W513,TRUE))+1*W515)</f>
        <v>0</v>
      </c>
      <c r="AL491" t="str">
        <f>SUBSTITUTE(SUBSTITUTE(SUBSTITUTE("dpa"&amp;$B491&amp;$C491&amp;$D491&amp;$E491,".","_"),"(","_"),")","")</f>
        <v>dpa703_7_3_1</v>
      </c>
      <c r="AM491">
        <f>M491</f>
        <v>3</v>
      </c>
    </row>
    <row r="492" spans="2:45" x14ac:dyDescent="0.35">
      <c r="B492" s="412" t="s">
        <v>976</v>
      </c>
      <c r="C492" s="37" t="s">
        <v>258</v>
      </c>
      <c r="D492" s="13"/>
      <c r="E492" s="13"/>
      <c r="F492" s="13"/>
      <c r="G492" s="13"/>
      <c r="H492" s="453"/>
      <c r="I492" s="4"/>
      <c r="J492" s="90"/>
      <c r="K492" s="90"/>
      <c r="L492" s="92" t="s">
        <v>979</v>
      </c>
      <c r="M492" s="40">
        <v>1</v>
      </c>
      <c r="N492" s="4"/>
      <c r="O492" s="75"/>
      <c r="AL492" t="str">
        <f>SUBSTITUTE(SUBSTITUTE(SUBSTITUTE("dpa"&amp;$B492&amp;$C492&amp;$D492&amp;$E492,".","_"),"(","_"),")","")</f>
        <v>dpa703_7_3_2</v>
      </c>
      <c r="AM492">
        <f>M492</f>
        <v>1</v>
      </c>
    </row>
    <row r="493" spans="2:45" x14ac:dyDescent="0.35">
      <c r="B493" s="412" t="s">
        <v>976</v>
      </c>
      <c r="C493" s="37" t="s">
        <v>256</v>
      </c>
      <c r="D493" s="13"/>
      <c r="E493" s="13"/>
      <c r="F493" s="13"/>
      <c r="G493" s="13"/>
      <c r="H493" s="453"/>
      <c r="I493" s="4"/>
      <c r="J493" s="156" t="s">
        <v>256</v>
      </c>
      <c r="K493" s="90"/>
      <c r="L493" s="814" t="s">
        <v>980</v>
      </c>
      <c r="M493" s="40"/>
      <c r="N493" s="4"/>
      <c r="O493" s="75"/>
    </row>
    <row r="494" spans="2:45" x14ac:dyDescent="0.35">
      <c r="B494" s="412" t="s">
        <v>976</v>
      </c>
      <c r="C494" s="37" t="s">
        <v>256</v>
      </c>
      <c r="D494" s="13"/>
      <c r="E494" s="13"/>
      <c r="F494" s="13"/>
      <c r="G494" s="13"/>
      <c r="H494" s="453"/>
      <c r="I494" s="4"/>
      <c r="J494" s="90"/>
      <c r="K494" s="90"/>
      <c r="L494" s="814"/>
      <c r="M494" s="40"/>
      <c r="N494" s="4"/>
      <c r="O494" s="75"/>
    </row>
    <row r="495" spans="2:45" x14ac:dyDescent="0.35">
      <c r="B495" s="412" t="s">
        <v>976</v>
      </c>
      <c r="C495" s="37" t="s">
        <v>256</v>
      </c>
      <c r="D495" s="13" t="s">
        <v>121</v>
      </c>
      <c r="E495" s="13"/>
      <c r="F495" s="13"/>
      <c r="G495" s="13"/>
      <c r="H495" s="453"/>
      <c r="I495" s="4"/>
      <c r="J495" s="90"/>
      <c r="K495" s="152" t="s">
        <v>121</v>
      </c>
      <c r="L495" s="814" t="s">
        <v>981</v>
      </c>
      <c r="M495" s="40"/>
      <c r="N495" s="4"/>
      <c r="O495" s="75"/>
      <c r="P495" t="b">
        <v>1</v>
      </c>
      <c r="Q495" t="b">
        <v>1</v>
      </c>
      <c r="R495" t="b">
        <v>0</v>
      </c>
      <c r="S495" t="b">
        <f ca="1">(S13=2)</f>
        <v>1</v>
      </c>
      <c r="T495" t="b">
        <f ca="1">AND(NOT(S495),W495=TRUE)</f>
        <v>0</v>
      </c>
      <c r="W495" s="17"/>
      <c r="X495" s="817"/>
      <c r="AC495" t="b">
        <f ca="1">OR(AD495:AE495)</f>
        <v>0</v>
      </c>
      <c r="AD495" t="b">
        <f ca="1">T495</f>
        <v>0</v>
      </c>
      <c r="AP495" t="str">
        <f>SUBSTITUTE(SUBSTITUTE(SUBSTITUTE("dch"&amp;$B495&amp;$C495&amp;$D495&amp;$E495,".","_"),"(","_"),")","")</f>
        <v>dch703_7_3_1_a</v>
      </c>
      <c r="AQ495" t="str">
        <f>IF(LEN(W495)=0,"",W495)</f>
        <v/>
      </c>
      <c r="AR495" t="str">
        <f>SUBSTITUTE(SUBSTITUTE(SUBSTITUTE("dnt"&amp;$B495&amp;$C495&amp;$D495&amp;$E495,".","_"),"(","_"),")","")</f>
        <v>dnt703_7_3_1_a</v>
      </c>
      <c r="AS495" t="str">
        <f>IF(LEN(X495)=0,"",X495)</f>
        <v/>
      </c>
    </row>
    <row r="496" spans="2:45" x14ac:dyDescent="0.35">
      <c r="B496" s="412" t="s">
        <v>976</v>
      </c>
      <c r="C496" s="37" t="s">
        <v>256</v>
      </c>
      <c r="D496" s="13" t="s">
        <v>121</v>
      </c>
      <c r="E496" s="13"/>
      <c r="F496" s="13"/>
      <c r="G496" s="13"/>
      <c r="H496" s="453"/>
      <c r="I496" s="4"/>
      <c r="J496" s="90"/>
      <c r="K496" s="90"/>
      <c r="L496" s="814"/>
      <c r="M496" s="40"/>
      <c r="N496" s="4"/>
      <c r="O496" s="75"/>
      <c r="X496" s="817"/>
    </row>
    <row r="497" spans="2:45" x14ac:dyDescent="0.35">
      <c r="B497" s="412" t="s">
        <v>976</v>
      </c>
      <c r="C497" s="37" t="s">
        <v>256</v>
      </c>
      <c r="D497" s="13" t="s">
        <v>122</v>
      </c>
      <c r="E497" s="13"/>
      <c r="F497" s="13"/>
      <c r="G497" s="13"/>
      <c r="H497" s="453"/>
      <c r="I497" s="4"/>
      <c r="J497" s="90"/>
      <c r="K497" s="152" t="s">
        <v>122</v>
      </c>
      <c r="L497" s="90" t="s">
        <v>982</v>
      </c>
      <c r="M497" s="40"/>
      <c r="N497" s="4"/>
      <c r="O497" s="75"/>
      <c r="P497" t="b">
        <v>1</v>
      </c>
      <c r="Q497" t="b">
        <v>1</v>
      </c>
      <c r="R497" t="b">
        <v>0</v>
      </c>
      <c r="S497" t="b">
        <f ca="1">(S13=2)</f>
        <v>1</v>
      </c>
      <c r="T497" t="b">
        <f ca="1">AND(NOT(S497),W497=TRUE)</f>
        <v>0</v>
      </c>
      <c r="W497" s="17"/>
      <c r="X497" s="36"/>
      <c r="AC497" t="b">
        <f ca="1">OR(AD497:AE497)</f>
        <v>0</v>
      </c>
      <c r="AD497" t="b">
        <f ca="1">T497</f>
        <v>0</v>
      </c>
      <c r="AP497" t="str">
        <f>SUBSTITUTE(SUBSTITUTE(SUBSTITUTE("dch"&amp;$B497&amp;$C497&amp;$D497&amp;$E497,".","_"),"(","_"),")","")</f>
        <v>dch703_7_3_1_b</v>
      </c>
      <c r="AQ497" t="str">
        <f>IF(LEN(W497)=0,"",W497)</f>
        <v/>
      </c>
      <c r="AR497" t="str">
        <f>SUBSTITUTE(SUBSTITUTE(SUBSTITUTE("dnt"&amp;$B497&amp;$C497&amp;$D497&amp;$E497,".","_"),"(","_"),")","")</f>
        <v>dnt703_7_3_1_b</v>
      </c>
      <c r="AS497" t="str">
        <f>IF(LEN(X497)=0,"",X497)</f>
        <v/>
      </c>
    </row>
    <row r="498" spans="2:45" x14ac:dyDescent="0.35">
      <c r="B498" s="412" t="s">
        <v>976</v>
      </c>
      <c r="C498" s="37" t="s">
        <v>256</v>
      </c>
      <c r="D498" s="18" t="s">
        <v>123</v>
      </c>
      <c r="E498" s="18"/>
      <c r="F498" s="18"/>
      <c r="G498" s="18"/>
      <c r="H498" s="454"/>
      <c r="I498" s="4"/>
      <c r="J498" s="90"/>
      <c r="K498" s="153" t="s">
        <v>123</v>
      </c>
      <c r="L498" s="90" t="s">
        <v>983</v>
      </c>
      <c r="M498" s="40"/>
      <c r="N498" s="4"/>
      <c r="O498" s="75"/>
      <c r="P498" t="b">
        <v>1</v>
      </c>
      <c r="Q498" t="b">
        <v>1</v>
      </c>
      <c r="R498" t="b">
        <v>0</v>
      </c>
      <c r="S498" t="b">
        <f ca="1">(S13=2)</f>
        <v>1</v>
      </c>
      <c r="T498" t="b">
        <f ca="1">AND(NOT(S498),W498=TRUE)</f>
        <v>0</v>
      </c>
      <c r="W498" s="17"/>
      <c r="X498" s="36"/>
      <c r="AC498" t="b">
        <f ca="1">OR(AD498:AE498)</f>
        <v>0</v>
      </c>
      <c r="AD498" t="b">
        <f ca="1">T498</f>
        <v>0</v>
      </c>
      <c r="AP498" t="str">
        <f>SUBSTITUTE(SUBSTITUTE(SUBSTITUTE("dch"&amp;$B498&amp;$C498&amp;$D498&amp;$E498,".","_"),"(","_"),")","")</f>
        <v>dch703_7_3_1_c</v>
      </c>
      <c r="AQ498" t="str">
        <f>IF(LEN(W498)=0,"",W498)</f>
        <v/>
      </c>
      <c r="AR498" t="str">
        <f>SUBSTITUTE(SUBSTITUTE(SUBSTITUTE("dnt"&amp;$B498&amp;$C498&amp;$D498&amp;$E498,".","_"),"(","_"),")","")</f>
        <v>dnt703_7_3_1_c</v>
      </c>
      <c r="AS498" t="str">
        <f>IF(LEN(X498)=0,"",X498)</f>
        <v/>
      </c>
    </row>
    <row r="499" spans="2:45" x14ac:dyDescent="0.35">
      <c r="B499" s="412" t="s">
        <v>976</v>
      </c>
      <c r="C499" s="37" t="s">
        <v>256</v>
      </c>
      <c r="D499" s="13" t="s">
        <v>401</v>
      </c>
      <c r="E499" s="13"/>
      <c r="F499" s="13"/>
      <c r="G499" s="13"/>
      <c r="H499" s="453"/>
      <c r="I499" s="4"/>
      <c r="J499" s="90"/>
      <c r="K499" s="95" t="s">
        <v>401</v>
      </c>
      <c r="L499" s="814" t="s">
        <v>984</v>
      </c>
      <c r="M499" s="40"/>
      <c r="N499" s="4"/>
      <c r="O499" s="75"/>
      <c r="P499" t="b">
        <v>1</v>
      </c>
      <c r="Q499" t="b">
        <v>1</v>
      </c>
      <c r="R499" t="b">
        <v>0</v>
      </c>
      <c r="S499" t="b">
        <f ca="1">(S13=2)</f>
        <v>1</v>
      </c>
      <c r="T499" t="b">
        <f ca="1">AND(NOT(S499),W499=TRUE)</f>
        <v>0</v>
      </c>
      <c r="W499" s="17"/>
      <c r="X499" s="817"/>
      <c r="AC499" t="b">
        <f ca="1">OR(AD499:AE499)</f>
        <v>0</v>
      </c>
      <c r="AD499" t="b">
        <f ca="1">T499</f>
        <v>0</v>
      </c>
      <c r="AP499" t="str">
        <f>SUBSTITUTE(SUBSTITUTE(SUBSTITUTE("dch"&amp;$B499&amp;$C499&amp;$D499&amp;$E499,".","_"),"(","_"),")","")</f>
        <v>dch703_7_3_1_d</v>
      </c>
      <c r="AQ499" t="str">
        <f>IF(LEN(W499)=0,"",W499)</f>
        <v/>
      </c>
      <c r="AR499" t="str">
        <f>SUBSTITUTE(SUBSTITUTE(SUBSTITUTE("dnt"&amp;$B499&amp;$C499&amp;$D499&amp;$E499,".","_"),"(","_"),")","")</f>
        <v>dnt703_7_3_1_d</v>
      </c>
      <c r="AS499" t="str">
        <f>IF(LEN(X499)=0,"",X499)</f>
        <v/>
      </c>
    </row>
    <row r="500" spans="2:45" x14ac:dyDescent="0.35">
      <c r="B500" s="412" t="s">
        <v>976</v>
      </c>
      <c r="C500" s="37" t="s">
        <v>256</v>
      </c>
      <c r="D500" s="13" t="s">
        <v>401</v>
      </c>
      <c r="E500" s="13"/>
      <c r="F500" s="13"/>
      <c r="G500" s="13"/>
      <c r="H500" s="453"/>
      <c r="I500" s="4"/>
      <c r="J500" s="228"/>
      <c r="K500" s="228"/>
      <c r="L500" s="815"/>
      <c r="M500" s="40"/>
      <c r="N500" s="4"/>
      <c r="O500" s="75"/>
      <c r="X500" s="817"/>
    </row>
    <row r="501" spans="2:45" x14ac:dyDescent="0.35">
      <c r="B501" s="412" t="s">
        <v>976</v>
      </c>
      <c r="C501" s="37" t="s">
        <v>258</v>
      </c>
      <c r="D501" s="13"/>
      <c r="E501" s="13"/>
      <c r="F501" s="13"/>
      <c r="G501" s="13"/>
      <c r="H501" s="453"/>
      <c r="I501" s="4"/>
      <c r="J501" s="156" t="s">
        <v>258</v>
      </c>
      <c r="K501" s="90"/>
      <c r="L501" s="814" t="s">
        <v>985</v>
      </c>
      <c r="M501" s="40"/>
      <c r="N501" s="4"/>
      <c r="O501" s="75"/>
      <c r="P501" t="b">
        <v>1</v>
      </c>
      <c r="Q501" t="b">
        <v>1</v>
      </c>
      <c r="R501" t="b">
        <v>0</v>
      </c>
      <c r="S501" t="b">
        <f ca="1">AND(S13=2,NOT(W460=TRUE))</f>
        <v>1</v>
      </c>
      <c r="T501" t="b">
        <f ca="1">AND(NOT(S501),W501=TRUE)</f>
        <v>0</v>
      </c>
      <c r="W501" s="17"/>
      <c r="X501" s="817"/>
      <c r="AC501" t="b">
        <f ca="1">OR(AD501:AE501)</f>
        <v>0</v>
      </c>
      <c r="AD501" t="b">
        <f ca="1">T501</f>
        <v>0</v>
      </c>
      <c r="AP501" t="str">
        <f>SUBSTITUTE(SUBSTITUTE(SUBSTITUTE("dch"&amp;$B501&amp;$C501&amp;$D501&amp;$E501,".","_"),"(","_"),")","")</f>
        <v>dch703_7_3_2</v>
      </c>
      <c r="AQ501" t="str">
        <f>IF(LEN(W501)=0,"",W501)</f>
        <v/>
      </c>
      <c r="AR501" t="str">
        <f>SUBSTITUTE(SUBSTITUTE(SUBSTITUTE("dnt"&amp;$B501&amp;$C501&amp;$D501&amp;$E501,".","_"),"(","_"),")","")</f>
        <v>dnt703_7_3_2</v>
      </c>
      <c r="AS501" t="str">
        <f>IF(LEN(X501)=0,"",X501)</f>
        <v/>
      </c>
    </row>
    <row r="502" spans="2:45" x14ac:dyDescent="0.35">
      <c r="B502" s="412" t="s">
        <v>976</v>
      </c>
      <c r="C502" s="13" t="s">
        <v>258</v>
      </c>
      <c r="D502" s="13"/>
      <c r="E502" s="13"/>
      <c r="F502" s="13"/>
      <c r="G502" s="13"/>
      <c r="H502" s="453"/>
      <c r="I502" s="4"/>
      <c r="J502" s="90"/>
      <c r="K502" s="90"/>
      <c r="L502" s="814"/>
      <c r="M502" s="40"/>
      <c r="N502" s="4"/>
      <c r="O502" s="75"/>
      <c r="X502" s="817"/>
    </row>
    <row r="503" spans="2:45" x14ac:dyDescent="0.35">
      <c r="B503" s="412" t="s">
        <v>976</v>
      </c>
      <c r="C503" s="13" t="s">
        <v>258</v>
      </c>
      <c r="D503" s="13"/>
      <c r="E503" s="13"/>
      <c r="F503" s="13"/>
      <c r="G503" s="13"/>
      <c r="H503" s="453"/>
      <c r="I503" s="4"/>
      <c r="J503" s="228"/>
      <c r="K503" s="228"/>
      <c r="L503" s="142" t="s">
        <v>986</v>
      </c>
      <c r="M503" s="40"/>
      <c r="N503" s="4"/>
      <c r="O503" s="75"/>
      <c r="X503" s="817"/>
    </row>
    <row r="504" spans="2:45" x14ac:dyDescent="0.35">
      <c r="B504" s="412" t="s">
        <v>976</v>
      </c>
      <c r="C504" s="13" t="s">
        <v>260</v>
      </c>
      <c r="D504" s="13"/>
      <c r="E504" s="13"/>
      <c r="F504" s="13"/>
      <c r="G504" s="13"/>
      <c r="H504" s="453"/>
      <c r="I504" s="4"/>
      <c r="J504" s="349" t="s">
        <v>260</v>
      </c>
      <c r="K504" s="286"/>
      <c r="L504" s="825" t="s">
        <v>4321</v>
      </c>
      <c r="M504" s="40"/>
      <c r="N504" s="4"/>
      <c r="O504" s="75"/>
      <c r="P504" t="b">
        <v>1</v>
      </c>
      <c r="Q504" t="b">
        <v>1</v>
      </c>
      <c r="R504" t="b">
        <v>0</v>
      </c>
      <c r="S504" t="b">
        <f ca="1">(S13=2)</f>
        <v>1</v>
      </c>
      <c r="T504" t="b">
        <f ca="1">AND(NOT(S504),W504=TRUE)</f>
        <v>0</v>
      </c>
      <c r="W504" s="17"/>
      <c r="X504" s="817"/>
      <c r="AC504" t="b">
        <f ca="1">OR(AD504:AE504)</f>
        <v>0</v>
      </c>
      <c r="AD504" t="b">
        <f ca="1">T504</f>
        <v>0</v>
      </c>
      <c r="AP504" t="str">
        <f>SUBSTITUTE(SUBSTITUTE(SUBSTITUTE("dch"&amp;$B504&amp;$C504&amp;$D504&amp;$E504,".","_"),"(","_"),")","")</f>
        <v>dch703_7_3_3</v>
      </c>
      <c r="AQ504" t="str">
        <f>IF(LEN(W504)=0,"",W504)</f>
        <v/>
      </c>
      <c r="AR504" t="str">
        <f>SUBSTITUTE(SUBSTITUTE(SUBSTITUTE("dnt"&amp;$B504&amp;$C504&amp;$D504&amp;$E504,".","_"),"(","_"),")","")</f>
        <v>dnt703_7_3_3</v>
      </c>
      <c r="AS504" t="str">
        <f>IF(LEN(X504)=0,"",X504)</f>
        <v/>
      </c>
    </row>
    <row r="505" spans="2:45" customFormat="1" x14ac:dyDescent="0.35">
      <c r="B505" s="412" t="s">
        <v>976</v>
      </c>
      <c r="C505" s="13" t="s">
        <v>260</v>
      </c>
      <c r="L505" s="825"/>
      <c r="X505" s="817"/>
    </row>
    <row r="506" spans="2:45" x14ac:dyDescent="0.35">
      <c r="B506" s="412" t="s">
        <v>976</v>
      </c>
      <c r="C506" s="13" t="s">
        <v>269</v>
      </c>
      <c r="D506" s="13"/>
      <c r="E506" s="13"/>
      <c r="F506" s="13"/>
      <c r="G506" s="13"/>
      <c r="H506" s="453"/>
      <c r="I506" s="4"/>
      <c r="J506" s="349" t="s">
        <v>269</v>
      </c>
      <c r="K506" s="286"/>
      <c r="L506" s="836" t="s">
        <v>987</v>
      </c>
      <c r="M506" s="40"/>
      <c r="N506" s="4"/>
      <c r="O506" s="75"/>
      <c r="P506" t="b">
        <v>1</v>
      </c>
      <c r="Q506" t="b">
        <v>1</v>
      </c>
      <c r="R506" t="b">
        <v>0</v>
      </c>
      <c r="S506" t="b">
        <f ca="1">AND(S13=2,OR(BF16=1,BF16=2,BF16=3))</f>
        <v>0</v>
      </c>
      <c r="T506" t="b">
        <f ca="1">AND(NOT(S506),W506=TRUE)</f>
        <v>0</v>
      </c>
      <c r="W506" s="17"/>
      <c r="X506" s="817"/>
      <c r="AC506" t="b">
        <f ca="1">OR(AD506:AE506)</f>
        <v>0</v>
      </c>
      <c r="AD506" t="b">
        <f ca="1">T506</f>
        <v>0</v>
      </c>
      <c r="AP506" t="str">
        <f>SUBSTITUTE(SUBSTITUTE(SUBSTITUTE("dch"&amp;$B506&amp;$C506&amp;$D506&amp;$E506,".","_"),"(","_"),")","")</f>
        <v>dch703_7_3_4</v>
      </c>
      <c r="AQ506" t="str">
        <f>IF(LEN(W506)=0,"",W506)</f>
        <v/>
      </c>
      <c r="AR506" t="str">
        <f>SUBSTITUTE(SUBSTITUTE(SUBSTITUTE("dnt"&amp;$B506&amp;$C506&amp;$D506&amp;$E506,".","_"),"(","_"),")","")</f>
        <v>dnt703_7_3_4</v>
      </c>
      <c r="AS506" t="str">
        <f>IF(LEN(X506)=0,"",X506)</f>
        <v/>
      </c>
    </row>
    <row r="507" spans="2:45" x14ac:dyDescent="0.35">
      <c r="B507" s="412" t="s">
        <v>976</v>
      </c>
      <c r="C507" s="13" t="s">
        <v>269</v>
      </c>
      <c r="D507" s="13"/>
      <c r="E507" s="13"/>
      <c r="F507" s="13"/>
      <c r="G507" s="13"/>
      <c r="H507" s="453"/>
      <c r="I507" s="4"/>
      <c r="J507" s="228"/>
      <c r="K507" s="228"/>
      <c r="L507" s="815"/>
      <c r="M507" s="40"/>
      <c r="N507" s="4"/>
      <c r="O507" s="75"/>
      <c r="X507" s="817"/>
    </row>
    <row r="508" spans="2:45" x14ac:dyDescent="0.35">
      <c r="B508" s="412" t="s">
        <v>976</v>
      </c>
      <c r="C508" s="13" t="s">
        <v>275</v>
      </c>
      <c r="D508" s="13"/>
      <c r="E508" s="13"/>
      <c r="F508" s="13"/>
      <c r="G508" s="13"/>
      <c r="H508" s="453"/>
      <c r="I508" s="4"/>
      <c r="J508" s="156" t="s">
        <v>275</v>
      </c>
      <c r="K508" s="90"/>
      <c r="L508" s="814" t="s">
        <v>988</v>
      </c>
      <c r="M508" s="40"/>
      <c r="N508" s="4"/>
      <c r="O508" s="75"/>
    </row>
    <row r="509" spans="2:45" x14ac:dyDescent="0.35">
      <c r="B509" s="412" t="s">
        <v>976</v>
      </c>
      <c r="C509" s="13" t="s">
        <v>275</v>
      </c>
      <c r="D509" s="13"/>
      <c r="E509" s="13"/>
      <c r="F509" s="13"/>
      <c r="G509" s="13"/>
      <c r="H509" s="453"/>
      <c r="I509" s="4"/>
      <c r="J509" s="90"/>
      <c r="K509" s="90"/>
      <c r="L509" s="814"/>
      <c r="M509" s="40"/>
      <c r="N509" s="4"/>
      <c r="O509" s="75"/>
    </row>
    <row r="510" spans="2:45" x14ac:dyDescent="0.35">
      <c r="B510" s="412" t="s">
        <v>976</v>
      </c>
      <c r="C510" s="13" t="s">
        <v>275</v>
      </c>
      <c r="D510" s="13"/>
      <c r="E510" s="13"/>
      <c r="F510" s="13"/>
      <c r="G510" s="13"/>
      <c r="H510" s="453"/>
      <c r="I510" s="4"/>
      <c r="J510" s="90"/>
      <c r="K510" s="90"/>
      <c r="L510" s="814"/>
      <c r="M510" s="40"/>
      <c r="N510" s="4"/>
      <c r="O510" s="75"/>
    </row>
    <row r="511" spans="2:45" x14ac:dyDescent="0.35">
      <c r="B511" s="412" t="s">
        <v>976</v>
      </c>
      <c r="C511" s="74" t="s">
        <v>275</v>
      </c>
      <c r="D511" s="13" t="s">
        <v>121</v>
      </c>
      <c r="E511" s="13"/>
      <c r="F511" s="13"/>
      <c r="G511" s="13"/>
      <c r="H511" s="453"/>
      <c r="I511" s="4"/>
      <c r="J511" s="90"/>
      <c r="K511" s="152" t="s">
        <v>121</v>
      </c>
      <c r="L511" s="814" t="s">
        <v>989</v>
      </c>
      <c r="M511" s="40"/>
      <c r="N511" s="4"/>
      <c r="O511" s="75"/>
      <c r="P511" t="b">
        <v>1</v>
      </c>
      <c r="Q511" t="b">
        <v>1</v>
      </c>
      <c r="R511" t="b">
        <v>0</v>
      </c>
      <c r="S511" t="b">
        <f ca="1">(S13=2)</f>
        <v>1</v>
      </c>
      <c r="T511" t="b">
        <f ca="1">AND(NOT(S511),W511=TRUE)</f>
        <v>0</v>
      </c>
      <c r="W511" s="17"/>
      <c r="X511" s="817"/>
      <c r="AC511" t="b">
        <f ca="1">OR(AD511:AE511)</f>
        <v>0</v>
      </c>
      <c r="AD511" t="b">
        <f ca="1">T511</f>
        <v>0</v>
      </c>
      <c r="AP511" t="str">
        <f>SUBSTITUTE(SUBSTITUTE(SUBSTITUTE("dch"&amp;$B511&amp;$C511&amp;$D511&amp;$E511,".","_"),"(","_"),")","")</f>
        <v>dch703_7_3_5_a</v>
      </c>
      <c r="AQ511" t="str">
        <f>IF(LEN(W511)=0,"",W511)</f>
        <v/>
      </c>
      <c r="AR511" t="str">
        <f>SUBSTITUTE(SUBSTITUTE(SUBSTITUTE("dnt"&amp;$B511&amp;$C511&amp;$D511&amp;$E511,".","_"),"(","_"),")","")</f>
        <v>dnt703_7_3_5_a</v>
      </c>
      <c r="AS511" t="str">
        <f>IF(LEN(X511)=0,"",X511)</f>
        <v/>
      </c>
    </row>
    <row r="512" spans="2:45" x14ac:dyDescent="0.35">
      <c r="B512" s="412" t="s">
        <v>976</v>
      </c>
      <c r="C512" s="74" t="s">
        <v>275</v>
      </c>
      <c r="D512" s="13" t="s">
        <v>121</v>
      </c>
      <c r="E512" s="13"/>
      <c r="F512" s="13"/>
      <c r="G512" s="13"/>
      <c r="H512" s="453"/>
      <c r="I512" s="4"/>
      <c r="J512" s="90"/>
      <c r="K512" s="90"/>
      <c r="L512" s="814"/>
      <c r="M512" s="40"/>
      <c r="N512" s="4"/>
      <c r="O512" s="75"/>
      <c r="X512" s="817"/>
    </row>
    <row r="513" spans="2:45" x14ac:dyDescent="0.35">
      <c r="B513" s="412" t="s">
        <v>976</v>
      </c>
      <c r="C513" s="74" t="s">
        <v>275</v>
      </c>
      <c r="D513" s="13" t="s">
        <v>122</v>
      </c>
      <c r="E513" s="13"/>
      <c r="F513" s="13"/>
      <c r="G513" s="13"/>
      <c r="H513" s="453"/>
      <c r="I513" s="4"/>
      <c r="J513" s="90"/>
      <c r="K513" s="152" t="s">
        <v>122</v>
      </c>
      <c r="L513" s="814" t="s">
        <v>990</v>
      </c>
      <c r="M513" s="40"/>
      <c r="N513" s="4"/>
      <c r="O513" s="75"/>
      <c r="P513" t="b">
        <v>1</v>
      </c>
      <c r="Q513" t="b">
        <v>1</v>
      </c>
      <c r="R513" t="b">
        <v>0</v>
      </c>
      <c r="S513" t="b">
        <f ca="1">(S13=2)</f>
        <v>1</v>
      </c>
      <c r="T513" t="b">
        <f ca="1">AND(NOT(S513),W513=TRUE)</f>
        <v>0</v>
      </c>
      <c r="W513" s="17"/>
      <c r="X513" s="817"/>
      <c r="AC513" t="b">
        <f ca="1">OR(AD513:AE513)</f>
        <v>0</v>
      </c>
      <c r="AD513" t="b">
        <f ca="1">T513</f>
        <v>0</v>
      </c>
      <c r="AP513" t="str">
        <f>SUBSTITUTE(SUBSTITUTE(SUBSTITUTE("dch"&amp;$B513&amp;$C513&amp;$D513&amp;$E513,".","_"),"(","_"),")","")</f>
        <v>dch703_7_3_5_b</v>
      </c>
      <c r="AQ513" t="str">
        <f>IF(LEN(W513)=0,"",W513)</f>
        <v/>
      </c>
      <c r="AR513" t="str">
        <f>SUBSTITUTE(SUBSTITUTE(SUBSTITUTE("dnt"&amp;$B513&amp;$C513&amp;$D513&amp;$E513,".","_"),"(","_"),")","")</f>
        <v>dnt703_7_3_5_b</v>
      </c>
      <c r="AS513" t="str">
        <f>IF(LEN(X513)=0,"",X513)</f>
        <v/>
      </c>
    </row>
    <row r="514" spans="2:45" x14ac:dyDescent="0.35">
      <c r="B514" s="412" t="s">
        <v>976</v>
      </c>
      <c r="C514" s="74" t="s">
        <v>275</v>
      </c>
      <c r="D514" s="13" t="s">
        <v>122</v>
      </c>
      <c r="E514" s="13"/>
      <c r="F514" s="13"/>
      <c r="G514" s="13"/>
      <c r="H514" s="453"/>
      <c r="I514" s="4"/>
      <c r="J514" s="228"/>
      <c r="K514" s="228"/>
      <c r="L514" s="815"/>
      <c r="M514" s="40"/>
      <c r="N514" s="4"/>
      <c r="O514" s="75"/>
      <c r="X514" s="817"/>
    </row>
    <row r="515" spans="2:45" x14ac:dyDescent="0.35">
      <c r="B515" s="412" t="s">
        <v>976</v>
      </c>
      <c r="C515" s="13" t="s">
        <v>277</v>
      </c>
      <c r="D515" s="13"/>
      <c r="E515" s="13"/>
      <c r="F515" s="13"/>
      <c r="G515" s="13"/>
      <c r="H515" s="453"/>
      <c r="I515" s="4"/>
      <c r="J515" s="156" t="s">
        <v>277</v>
      </c>
      <c r="K515" s="90"/>
      <c r="L515" s="814" t="s">
        <v>991</v>
      </c>
      <c r="M515" s="40"/>
      <c r="N515" s="4"/>
      <c r="O515" s="75"/>
      <c r="P515" t="b">
        <v>1</v>
      </c>
      <c r="Q515" t="b">
        <v>1</v>
      </c>
      <c r="R515" t="b">
        <v>0</v>
      </c>
      <c r="S515" t="b">
        <f ca="1">(S13=2)</f>
        <v>1</v>
      </c>
      <c r="T515" t="b">
        <f ca="1">AND(NOT(S515),W515=TRUE)</f>
        <v>0</v>
      </c>
      <c r="W515" s="17"/>
      <c r="X515" s="817"/>
      <c r="AC515" t="b">
        <f ca="1">OR(AD515:AE515)</f>
        <v>0</v>
      </c>
      <c r="AD515" t="b">
        <f ca="1">T515</f>
        <v>0</v>
      </c>
      <c r="AP515" t="str">
        <f>SUBSTITUTE(SUBSTITUTE(SUBSTITUTE("dch"&amp;$B515&amp;$C515&amp;$D515&amp;$E515,".","_"),"(","_"),")","")</f>
        <v>dch703_7_3_6</v>
      </c>
      <c r="AQ515" t="str">
        <f>IF(LEN(W515)=0,"",W515)</f>
        <v/>
      </c>
      <c r="AR515" t="str">
        <f>SUBSTITUTE(SUBSTITUTE(SUBSTITUTE("dnt"&amp;$B515&amp;$C515&amp;$D515&amp;$E515,".","_"),"(","_"),")","")</f>
        <v>dnt703_7_3_6</v>
      </c>
      <c r="AS515" t="str">
        <f>IF(LEN(X515)=0,"",X515)</f>
        <v/>
      </c>
    </row>
    <row r="516" spans="2:45" x14ac:dyDescent="0.35">
      <c r="B516" s="412" t="s">
        <v>976</v>
      </c>
      <c r="C516" s="13" t="s">
        <v>277</v>
      </c>
      <c r="D516" s="13"/>
      <c r="E516" s="13"/>
      <c r="F516" s="13"/>
      <c r="G516" s="13"/>
      <c r="H516" s="453"/>
      <c r="I516" s="133"/>
      <c r="J516" s="228"/>
      <c r="K516" s="228"/>
      <c r="L516" s="815"/>
      <c r="M516" s="268"/>
      <c r="N516" s="133"/>
      <c r="O516" s="309"/>
      <c r="X516" s="817"/>
    </row>
    <row r="517" spans="2:45" x14ac:dyDescent="0.35">
      <c r="B517" s="412" t="s">
        <v>992</v>
      </c>
      <c r="C517" s="50"/>
      <c r="D517" s="13"/>
      <c r="E517" s="13"/>
      <c r="F517" s="13"/>
      <c r="G517" s="13"/>
      <c r="H517" s="453"/>
      <c r="I517" s="32" t="s">
        <v>992</v>
      </c>
      <c r="J517" s="90"/>
      <c r="K517" s="90"/>
      <c r="L517" s="896" t="s">
        <v>993</v>
      </c>
      <c r="M517" s="818">
        <v>4</v>
      </c>
      <c r="N517" s="4"/>
      <c r="O517" s="832">
        <f ca="1">M517*S517*W517</f>
        <v>0</v>
      </c>
      <c r="P517" t="b">
        <v>1</v>
      </c>
      <c r="Q517" t="b">
        <v>1</v>
      </c>
      <c r="R517" t="b">
        <v>0</v>
      </c>
      <c r="S517" t="b">
        <f ca="1">AND(S13=2,W460=TRUE,NOT(BI16="Tropical"))</f>
        <v>0</v>
      </c>
      <c r="T517" t="b">
        <f ca="1">AND(NOT(S517),W517=TRUE)</f>
        <v>0</v>
      </c>
      <c r="W517" s="17"/>
      <c r="AC517" t="b">
        <f ca="1">OR(AD517:AE517)</f>
        <v>0</v>
      </c>
      <c r="AD517" t="b">
        <f ca="1">T517</f>
        <v>0</v>
      </c>
      <c r="AL517" t="str">
        <f>SUBSTITUTE(SUBSTITUTE(SUBSTITUTE("dpa"&amp;$B517&amp;$C517&amp;$D517&amp;$E517,".","_"),"(","_"),")","")</f>
        <v>dpa703_7_4</v>
      </c>
      <c r="AM517">
        <f>M517</f>
        <v>4</v>
      </c>
      <c r="AN517" t="str">
        <f>SUBSTITUTE(SUBSTITUTE(SUBSTITUTE("dpc"&amp;$B517&amp;$C517&amp;$D517&amp;$E517,".","_"),"(","_"),")","")</f>
        <v>dpc703_7_4</v>
      </c>
      <c r="AO517">
        <f ca="1">O517</f>
        <v>0</v>
      </c>
      <c r="AP517" t="str">
        <f>SUBSTITUTE(SUBSTITUTE(SUBSTITUTE("dch"&amp;$B517&amp;$C517&amp;$D517&amp;$E517,".","_"),"(","_"),")","")</f>
        <v>dch703_7_4</v>
      </c>
      <c r="AQ517" t="str">
        <f>IF(LEN(W517)=0,"",W517)</f>
        <v/>
      </c>
    </row>
    <row r="518" spans="2:45" x14ac:dyDescent="0.35">
      <c r="B518" s="412" t="s">
        <v>992</v>
      </c>
      <c r="C518" s="50"/>
      <c r="D518" s="13"/>
      <c r="E518" s="13"/>
      <c r="F518" s="13"/>
      <c r="G518" s="13"/>
      <c r="H518" s="453"/>
      <c r="I518" s="4"/>
      <c r="J518" s="90"/>
      <c r="K518" s="90"/>
      <c r="L518" s="896"/>
      <c r="M518" s="818"/>
      <c r="N518" s="4"/>
      <c r="O518" s="832"/>
    </row>
    <row r="519" spans="2:45" x14ac:dyDescent="0.35">
      <c r="B519" s="412" t="s">
        <v>992</v>
      </c>
      <c r="C519" s="50"/>
      <c r="D519" s="13"/>
      <c r="E519" s="13"/>
      <c r="F519" s="13"/>
      <c r="G519" s="13"/>
      <c r="H519" s="453"/>
      <c r="I519" s="4"/>
      <c r="J519" s="90"/>
      <c r="K519" s="90"/>
      <c r="L519" s="90" t="s">
        <v>994</v>
      </c>
      <c r="M519" s="40"/>
      <c r="N519" s="4"/>
      <c r="O519" s="75"/>
    </row>
    <row r="520" spans="2:45" x14ac:dyDescent="0.35">
      <c r="B520" s="412" t="s">
        <v>992</v>
      </c>
      <c r="C520" s="13" t="s">
        <v>256</v>
      </c>
      <c r="D520" s="13"/>
      <c r="E520" s="13"/>
      <c r="F520" s="13"/>
      <c r="G520" s="13"/>
      <c r="H520" s="453"/>
      <c r="I520" s="4"/>
      <c r="J520" s="156" t="s">
        <v>256</v>
      </c>
      <c r="K520" s="90"/>
      <c r="L520" s="814" t="s">
        <v>995</v>
      </c>
      <c r="M520" s="40"/>
      <c r="N520" s="4"/>
      <c r="O520" s="75"/>
      <c r="X520" s="817"/>
      <c r="AR520" t="str">
        <f>SUBSTITUTE(SUBSTITUTE(SUBSTITUTE("dnt"&amp;$B520&amp;$C520&amp;$D520&amp;$E520,".","_"),"(","_"),")","")</f>
        <v>dnt703_7_4_1</v>
      </c>
      <c r="AS520" t="str">
        <f>IF(LEN(X520)=0,"",X520)</f>
        <v/>
      </c>
    </row>
    <row r="521" spans="2:45" x14ac:dyDescent="0.35">
      <c r="B521" s="412" t="s">
        <v>992</v>
      </c>
      <c r="C521" s="13" t="s">
        <v>256</v>
      </c>
      <c r="D521" s="13"/>
      <c r="E521" s="13"/>
      <c r="F521" s="13"/>
      <c r="G521" s="13"/>
      <c r="H521" s="453"/>
      <c r="I521" s="4"/>
      <c r="J521" s="228"/>
      <c r="K521" s="228"/>
      <c r="L521" s="815"/>
      <c r="M521" s="40"/>
      <c r="N521" s="4"/>
      <c r="O521" s="75"/>
      <c r="X521" s="817"/>
    </row>
    <row r="522" spans="2:45" x14ac:dyDescent="0.35">
      <c r="B522" s="412" t="s">
        <v>992</v>
      </c>
      <c r="C522" s="13" t="s">
        <v>258</v>
      </c>
      <c r="D522" s="13"/>
      <c r="E522" s="13"/>
      <c r="F522" s="13"/>
      <c r="G522" s="13"/>
      <c r="H522" s="453"/>
      <c r="I522" s="4"/>
      <c r="J522" s="156" t="s">
        <v>258</v>
      </c>
      <c r="K522" s="90"/>
      <c r="L522" s="848" t="s">
        <v>996</v>
      </c>
      <c r="M522" s="40"/>
      <c r="N522" s="4"/>
      <c r="O522" s="75"/>
    </row>
    <row r="523" spans="2:45" x14ac:dyDescent="0.35">
      <c r="B523" s="412" t="s">
        <v>992</v>
      </c>
      <c r="C523" s="13" t="s">
        <v>258</v>
      </c>
      <c r="D523" s="13"/>
      <c r="E523" s="13"/>
      <c r="F523" s="13"/>
      <c r="G523" s="13"/>
      <c r="H523" s="453"/>
      <c r="I523" s="4"/>
      <c r="J523" s="90"/>
      <c r="K523" s="90"/>
      <c r="L523" s="848"/>
      <c r="M523" s="40"/>
      <c r="N523" s="4"/>
      <c r="O523" s="75"/>
    </row>
    <row r="524" spans="2:45" x14ac:dyDescent="0.35">
      <c r="B524" s="412" t="s">
        <v>992</v>
      </c>
      <c r="C524" s="13" t="s">
        <v>258</v>
      </c>
      <c r="D524" s="13" t="s">
        <v>121</v>
      </c>
      <c r="E524" s="13"/>
      <c r="F524" s="13"/>
      <c r="G524" s="13"/>
      <c r="H524" s="453"/>
      <c r="I524" s="4"/>
      <c r="J524" s="90"/>
      <c r="K524" s="152" t="s">
        <v>121</v>
      </c>
      <c r="L524" s="814" t="s">
        <v>997</v>
      </c>
      <c r="M524" s="40"/>
      <c r="N524" s="4"/>
      <c r="O524" s="75"/>
      <c r="X524" s="817"/>
      <c r="AR524" t="str">
        <f>SUBSTITUTE(SUBSTITUTE(SUBSTITUTE("dnt"&amp;$B524&amp;$C524&amp;$D524&amp;$E524,".","_"),"(","_"),")","")</f>
        <v>dnt703_7_4_2_a</v>
      </c>
      <c r="AS524" t="str">
        <f>IF(LEN(X524)=0,"",X524)</f>
        <v/>
      </c>
    </row>
    <row r="525" spans="2:45" x14ac:dyDescent="0.35">
      <c r="B525" s="412" t="s">
        <v>992</v>
      </c>
      <c r="C525" s="13" t="s">
        <v>258</v>
      </c>
      <c r="D525" s="13" t="s">
        <v>121</v>
      </c>
      <c r="E525" s="13"/>
      <c r="F525" s="13"/>
      <c r="G525" s="13"/>
      <c r="H525" s="453"/>
      <c r="I525" s="4"/>
      <c r="J525" s="90"/>
      <c r="K525" s="90"/>
      <c r="L525" s="814"/>
      <c r="M525" s="40"/>
      <c r="N525" s="4"/>
      <c r="O525" s="75"/>
      <c r="X525" s="817"/>
    </row>
    <row r="526" spans="2:45" x14ac:dyDescent="0.35">
      <c r="B526" s="412" t="s">
        <v>992</v>
      </c>
      <c r="C526" s="13" t="s">
        <v>258</v>
      </c>
      <c r="D526" s="13" t="s">
        <v>121</v>
      </c>
      <c r="E526" s="13"/>
      <c r="F526" s="13"/>
      <c r="G526" s="13"/>
      <c r="H526" s="453"/>
      <c r="I526" s="4"/>
      <c r="J526" s="90"/>
      <c r="K526" s="228"/>
      <c r="L526" s="815"/>
      <c r="M526" s="40"/>
      <c r="N526" s="4"/>
      <c r="O526" s="75"/>
      <c r="X526" s="817"/>
    </row>
    <row r="527" spans="2:45" x14ac:dyDescent="0.35">
      <c r="B527" s="412" t="s">
        <v>992</v>
      </c>
      <c r="C527" s="13" t="s">
        <v>258</v>
      </c>
      <c r="D527" s="13" t="s">
        <v>122</v>
      </c>
      <c r="E527" s="13"/>
      <c r="F527" s="13"/>
      <c r="G527" s="13"/>
      <c r="H527" s="453"/>
      <c r="I527" s="4"/>
      <c r="J527" s="90"/>
      <c r="K527" s="152" t="s">
        <v>122</v>
      </c>
      <c r="L527" s="814" t="s">
        <v>998</v>
      </c>
      <c r="M527" s="40"/>
      <c r="N527" s="4"/>
      <c r="O527" s="75"/>
      <c r="X527" s="817"/>
      <c r="AR527" t="str">
        <f>SUBSTITUTE(SUBSTITUTE(SUBSTITUTE("dnt"&amp;$B527&amp;$C527&amp;$D527&amp;$E527,".","_"),"(","_"),")","")</f>
        <v>dnt703_7_4_2_b</v>
      </c>
      <c r="AS527" t="str">
        <f>IF(LEN(X527)=0,"",X527)</f>
        <v/>
      </c>
    </row>
    <row r="528" spans="2:45" x14ac:dyDescent="0.35">
      <c r="B528" s="412" t="s">
        <v>992</v>
      </c>
      <c r="C528" s="13" t="s">
        <v>258</v>
      </c>
      <c r="D528" s="13" t="s">
        <v>122</v>
      </c>
      <c r="E528" s="13"/>
      <c r="F528" s="13"/>
      <c r="G528" s="13"/>
      <c r="H528" s="453"/>
      <c r="I528" s="4"/>
      <c r="J528" s="90"/>
      <c r="K528" s="90"/>
      <c r="L528" s="814"/>
      <c r="M528" s="40"/>
      <c r="N528" s="4"/>
      <c r="O528" s="75"/>
      <c r="X528" s="817"/>
    </row>
    <row r="529" spans="2:45" x14ac:dyDescent="0.35">
      <c r="B529" s="412" t="s">
        <v>992</v>
      </c>
      <c r="C529" s="13" t="s">
        <v>258</v>
      </c>
      <c r="D529" s="13" t="s">
        <v>122</v>
      </c>
      <c r="E529" s="13" t="s">
        <v>843</v>
      </c>
      <c r="F529" s="13"/>
      <c r="G529" s="13"/>
      <c r="H529" s="453"/>
      <c r="I529" s="4"/>
      <c r="J529" s="90"/>
      <c r="K529" s="92" t="s">
        <v>843</v>
      </c>
      <c r="L529" s="814" t="s">
        <v>999</v>
      </c>
      <c r="M529" s="40"/>
      <c r="N529" s="4"/>
      <c r="O529" s="75"/>
      <c r="X529" s="817"/>
    </row>
    <row r="530" spans="2:45" x14ac:dyDescent="0.35">
      <c r="B530" s="412" t="s">
        <v>992</v>
      </c>
      <c r="C530" s="13" t="s">
        <v>258</v>
      </c>
      <c r="D530" s="13" t="s">
        <v>122</v>
      </c>
      <c r="E530" s="13" t="s">
        <v>843</v>
      </c>
      <c r="F530" s="13"/>
      <c r="G530" s="13"/>
      <c r="H530" s="453"/>
      <c r="I530" s="4"/>
      <c r="J530" s="90"/>
      <c r="K530" s="158"/>
      <c r="L530" s="814"/>
      <c r="M530" s="40"/>
      <c r="N530" s="4"/>
      <c r="O530" s="75"/>
      <c r="X530" s="817"/>
    </row>
    <row r="531" spans="2:45" x14ac:dyDescent="0.35">
      <c r="B531" s="412" t="s">
        <v>992</v>
      </c>
      <c r="C531" s="13" t="s">
        <v>258</v>
      </c>
      <c r="D531" s="13" t="s">
        <v>122</v>
      </c>
      <c r="E531" s="13" t="s">
        <v>1000</v>
      </c>
      <c r="F531" s="13"/>
      <c r="G531" s="13"/>
      <c r="H531" s="453"/>
      <c r="I531" s="4"/>
      <c r="J531" s="90"/>
      <c r="K531" s="92" t="s">
        <v>1000</v>
      </c>
      <c r="L531" s="814" t="s">
        <v>1001</v>
      </c>
      <c r="M531" s="40"/>
      <c r="N531" s="4"/>
      <c r="O531" s="75"/>
      <c r="X531" s="817"/>
    </row>
    <row r="532" spans="2:45" x14ac:dyDescent="0.35">
      <c r="B532" s="412" t="s">
        <v>992</v>
      </c>
      <c r="C532" s="13" t="s">
        <v>258</v>
      </c>
      <c r="D532" s="13" t="s">
        <v>122</v>
      </c>
      <c r="E532" s="13" t="s">
        <v>1000</v>
      </c>
      <c r="F532" s="13"/>
      <c r="G532" s="13"/>
      <c r="H532" s="453"/>
      <c r="I532" s="4"/>
      <c r="J532" s="90"/>
      <c r="K532" s="158"/>
      <c r="L532" s="814"/>
      <c r="M532" s="40"/>
      <c r="N532" s="4"/>
      <c r="O532" s="75"/>
      <c r="X532" s="817"/>
    </row>
    <row r="533" spans="2:45" x14ac:dyDescent="0.35">
      <c r="B533" s="412" t="s">
        <v>992</v>
      </c>
      <c r="C533" s="13" t="s">
        <v>258</v>
      </c>
      <c r="D533" s="13" t="s">
        <v>122</v>
      </c>
      <c r="E533" s="13" t="s">
        <v>1002</v>
      </c>
      <c r="F533" s="13"/>
      <c r="G533" s="13"/>
      <c r="H533" s="453"/>
      <c r="I533" s="4"/>
      <c r="J533" s="90"/>
      <c r="K533" s="92" t="s">
        <v>1002</v>
      </c>
      <c r="L533" s="814" t="s">
        <v>1003</v>
      </c>
      <c r="M533" s="40"/>
      <c r="N533" s="4"/>
      <c r="O533" s="75"/>
      <c r="X533" s="817"/>
    </row>
    <row r="534" spans="2:45" x14ac:dyDescent="0.35">
      <c r="B534" s="412" t="s">
        <v>992</v>
      </c>
      <c r="C534" s="13" t="s">
        <v>258</v>
      </c>
      <c r="D534" s="13" t="s">
        <v>122</v>
      </c>
      <c r="E534" s="13" t="s">
        <v>1002</v>
      </c>
      <c r="F534" s="13"/>
      <c r="G534" s="13"/>
      <c r="H534" s="453"/>
      <c r="I534" s="4"/>
      <c r="J534" s="90"/>
      <c r="K534" s="228"/>
      <c r="L534" s="815"/>
      <c r="M534" s="40"/>
      <c r="N534" s="4"/>
      <c r="O534" s="75"/>
      <c r="X534" s="817"/>
    </row>
    <row r="535" spans="2:45" x14ac:dyDescent="0.35">
      <c r="B535" s="412" t="s">
        <v>992</v>
      </c>
      <c r="C535" s="13" t="s">
        <v>258</v>
      </c>
      <c r="D535" s="13" t="s">
        <v>123</v>
      </c>
      <c r="E535" s="13"/>
      <c r="F535" s="13"/>
      <c r="G535" s="13"/>
      <c r="H535" s="453"/>
      <c r="I535" s="4"/>
      <c r="J535" s="90"/>
      <c r="K535" s="152" t="s">
        <v>123</v>
      </c>
      <c r="L535" s="814" t="s">
        <v>1004</v>
      </c>
      <c r="M535" s="40"/>
      <c r="N535" s="4"/>
      <c r="O535" s="75"/>
      <c r="X535" s="817"/>
      <c r="AR535" t="str">
        <f>SUBSTITUTE(SUBSTITUTE(SUBSTITUTE("dnt"&amp;$B535&amp;$C535&amp;$D535&amp;$E535,".","_"),"(","_"),")","")</f>
        <v>dnt703_7_4_2_c</v>
      </c>
      <c r="AS535" t="str">
        <f>IF(LEN(X535)=0,"",X535)</f>
        <v/>
      </c>
    </row>
    <row r="536" spans="2:45" x14ac:dyDescent="0.35">
      <c r="B536" s="412" t="s">
        <v>992</v>
      </c>
      <c r="C536" s="13" t="s">
        <v>258</v>
      </c>
      <c r="D536" s="13" t="s">
        <v>123</v>
      </c>
      <c r="E536" s="13"/>
      <c r="F536" s="13"/>
      <c r="G536" s="13"/>
      <c r="H536" s="453"/>
      <c r="I536" s="4"/>
      <c r="J536" s="90"/>
      <c r="K536" s="90"/>
      <c r="L536" s="814"/>
      <c r="M536" s="40"/>
      <c r="N536" s="4"/>
      <c r="O536" s="75"/>
      <c r="X536" s="817"/>
    </row>
    <row r="537" spans="2:45" x14ac:dyDescent="0.35">
      <c r="B537" s="412" t="s">
        <v>992</v>
      </c>
      <c r="C537" s="13" t="s">
        <v>258</v>
      </c>
      <c r="D537" s="13" t="s">
        <v>123</v>
      </c>
      <c r="E537" s="13"/>
      <c r="F537" s="13"/>
      <c r="G537" s="13"/>
      <c r="H537" s="453"/>
      <c r="I537" s="4"/>
      <c r="J537" s="228"/>
      <c r="K537" s="228"/>
      <c r="L537" s="815"/>
      <c r="M537" s="40"/>
      <c r="N537" s="4"/>
      <c r="O537" s="75"/>
      <c r="X537" s="817"/>
    </row>
    <row r="538" spans="2:45" x14ac:dyDescent="0.35">
      <c r="B538" s="412" t="s">
        <v>992</v>
      </c>
      <c r="C538" s="13" t="s">
        <v>260</v>
      </c>
      <c r="D538" s="13"/>
      <c r="E538" s="13"/>
      <c r="F538" s="13"/>
      <c r="G538" s="13"/>
      <c r="H538" s="453"/>
      <c r="I538" s="4"/>
      <c r="J538" s="156" t="s">
        <v>260</v>
      </c>
      <c r="K538" s="90"/>
      <c r="L538" s="814" t="s">
        <v>1005</v>
      </c>
      <c r="M538" s="40"/>
      <c r="N538" s="4"/>
      <c r="O538" s="75"/>
      <c r="X538" s="817"/>
      <c r="AR538" t="str">
        <f>SUBSTITUTE(SUBSTITUTE(SUBSTITUTE("dnt"&amp;$B538&amp;$C538&amp;$D538&amp;$E538,".","_"),"(","_"),")","")</f>
        <v>dnt703_7_4_3</v>
      </c>
      <c r="AS538" t="str">
        <f>IF(LEN(X538)=0,"",X538)</f>
        <v/>
      </c>
    </row>
    <row r="539" spans="2:45" x14ac:dyDescent="0.35">
      <c r="B539" s="412" t="s">
        <v>992</v>
      </c>
      <c r="C539" s="13" t="s">
        <v>260</v>
      </c>
      <c r="D539" s="13"/>
      <c r="E539" s="13"/>
      <c r="F539" s="13"/>
      <c r="G539" s="13"/>
      <c r="H539" s="453"/>
      <c r="I539" s="4"/>
      <c r="J539" s="90"/>
      <c r="K539" s="90"/>
      <c r="L539" s="814"/>
      <c r="M539" s="40"/>
      <c r="N539" s="4"/>
      <c r="O539" s="75"/>
      <c r="X539" s="817"/>
    </row>
    <row r="540" spans="2:45" ht="18.5" x14ac:dyDescent="0.45">
      <c r="B540" s="412">
        <v>704</v>
      </c>
      <c r="C540" s="50"/>
      <c r="D540" s="13"/>
      <c r="E540" s="13"/>
      <c r="F540" s="13"/>
      <c r="G540" s="13"/>
      <c r="H540" s="453"/>
      <c r="I540" s="10" t="s">
        <v>4854</v>
      </c>
      <c r="J540" s="44"/>
      <c r="K540" s="44"/>
      <c r="L540" s="44"/>
      <c r="M540" s="243"/>
      <c r="N540" s="311"/>
      <c r="O540" s="307"/>
      <c r="P540" s="15"/>
      <c r="Q540" s="15"/>
      <c r="R540" s="15"/>
      <c r="S540" s="15"/>
      <c r="T540" s="15"/>
      <c r="U540" s="15"/>
      <c r="V540" s="15"/>
      <c r="W540" s="15"/>
      <c r="X540" s="15"/>
    </row>
    <row r="541" spans="2:45" ht="15" customHeight="1" x14ac:dyDescent="0.35">
      <c r="B541" s="412">
        <v>704.1</v>
      </c>
      <c r="C541" s="50"/>
      <c r="D541" s="13"/>
      <c r="E541" s="13"/>
      <c r="F541" s="13"/>
      <c r="G541" s="13"/>
      <c r="H541" s="453"/>
      <c r="I541" s="30">
        <v>704.1</v>
      </c>
      <c r="J541" s="90"/>
      <c r="K541" s="90"/>
      <c r="L541" s="881" t="s">
        <v>4322</v>
      </c>
      <c r="M541" s="40"/>
      <c r="N541" s="4"/>
      <c r="O541" s="832">
        <f>ROUNDDOWN(IFERROR(IF(AND((W547-W549)*2+30&gt;=30,NOT(ISBLANK(W547)),NOT(ISBLANK(W549))),(W547-W549)*2+30,0),0),0)</f>
        <v>0</v>
      </c>
      <c r="X541" s="850"/>
      <c r="AN541" t="str">
        <f>SUBSTITUTE(SUBSTITUTE(SUBSTITUTE("dpc"&amp;$B541&amp;$C541&amp;$D541&amp;$E541,".","_"),"(","_"),")","")</f>
        <v>dpc704_1</v>
      </c>
      <c r="AO541">
        <f>O541</f>
        <v>0</v>
      </c>
      <c r="AR541" t="str">
        <f>SUBSTITUTE(SUBSTITUTE(SUBSTITUTE("dnt"&amp;$B541&amp;$C541&amp;$D541&amp;$E541,".","_"),"(","_"),")","")</f>
        <v>dnt704_1</v>
      </c>
      <c r="AS541" t="str">
        <f>IF(LEN(X541)=0,"",X541)</f>
        <v/>
      </c>
    </row>
    <row r="542" spans="2:45" x14ac:dyDescent="0.35">
      <c r="B542" s="412">
        <v>704.1</v>
      </c>
      <c r="C542" s="50"/>
      <c r="D542" s="13"/>
      <c r="E542" s="13"/>
      <c r="F542" s="13"/>
      <c r="G542" s="13"/>
      <c r="H542" s="453"/>
      <c r="I542" s="4"/>
      <c r="J542" s="90"/>
      <c r="K542" s="90"/>
      <c r="L542" s="881"/>
      <c r="M542" s="40"/>
      <c r="N542" s="4"/>
      <c r="O542" s="832"/>
      <c r="X542" s="851"/>
    </row>
    <row r="543" spans="2:45" x14ac:dyDescent="0.35">
      <c r="B543" s="412">
        <v>704.1</v>
      </c>
      <c r="C543" s="50"/>
      <c r="D543" s="13"/>
      <c r="E543" s="13"/>
      <c r="F543" s="13"/>
      <c r="G543" s="13"/>
      <c r="H543" s="453"/>
      <c r="I543" s="4"/>
      <c r="J543" s="90"/>
      <c r="K543" s="90"/>
      <c r="L543" s="881"/>
      <c r="M543" s="40"/>
      <c r="N543" s="4"/>
      <c r="O543" s="832"/>
      <c r="X543" s="851"/>
    </row>
    <row r="544" spans="2:45" x14ac:dyDescent="0.35">
      <c r="B544" s="412">
        <v>704.1</v>
      </c>
      <c r="C544" s="50"/>
      <c r="D544" s="13"/>
      <c r="E544" s="13"/>
      <c r="F544" s="13"/>
      <c r="G544" s="13"/>
      <c r="H544" s="453"/>
      <c r="I544" s="4"/>
      <c r="J544" s="90"/>
      <c r="K544" s="90"/>
      <c r="L544" s="881"/>
      <c r="M544" s="40"/>
      <c r="N544" s="4"/>
      <c r="O544" s="832"/>
      <c r="X544" s="851"/>
    </row>
    <row r="545" spans="2:45" ht="15" customHeight="1" x14ac:dyDescent="0.35">
      <c r="B545" s="412">
        <v>704.1</v>
      </c>
      <c r="C545" s="50"/>
      <c r="D545" s="13"/>
      <c r="E545" s="13"/>
      <c r="F545" s="13"/>
      <c r="G545" s="13"/>
      <c r="H545" s="453"/>
      <c r="I545" s="4"/>
      <c r="J545" s="90"/>
      <c r="K545" s="90"/>
      <c r="L545" s="825" t="s">
        <v>4323</v>
      </c>
      <c r="M545" s="40"/>
      <c r="N545" s="4"/>
      <c r="O545" s="832"/>
      <c r="X545" s="851"/>
    </row>
    <row r="546" spans="2:45" x14ac:dyDescent="0.35">
      <c r="B546" s="412">
        <v>704.1</v>
      </c>
      <c r="C546" s="50"/>
      <c r="D546" s="13"/>
      <c r="E546" s="13"/>
      <c r="F546" s="13"/>
      <c r="G546" s="13"/>
      <c r="H546" s="453"/>
      <c r="I546" s="133"/>
      <c r="J546" s="228"/>
      <c r="K546" s="228"/>
      <c r="L546" s="842"/>
      <c r="M546" s="40"/>
      <c r="N546" s="4"/>
      <c r="O546" s="832"/>
      <c r="W546" s="21" t="s">
        <v>5233</v>
      </c>
      <c r="X546" s="851"/>
    </row>
    <row r="547" spans="2:45" ht="15" customHeight="1" x14ac:dyDescent="0.35">
      <c r="B547" s="412">
        <v>704.2</v>
      </c>
      <c r="C547" s="50" t="s">
        <v>4856</v>
      </c>
      <c r="D547" s="13"/>
      <c r="E547" s="13"/>
      <c r="F547" s="13"/>
      <c r="G547" s="13"/>
      <c r="H547" s="453"/>
      <c r="I547" s="30">
        <v>704.2</v>
      </c>
      <c r="J547" s="90"/>
      <c r="K547" s="90"/>
      <c r="L547" s="881" t="s">
        <v>4324</v>
      </c>
      <c r="M547" s="40"/>
      <c r="N547" s="4"/>
      <c r="O547" s="832"/>
      <c r="P547" t="b">
        <v>0</v>
      </c>
      <c r="Q547" t="b">
        <v>1</v>
      </c>
      <c r="R547" t="b">
        <f ca="1">S547</f>
        <v>0</v>
      </c>
      <c r="S547" t="b">
        <f ca="1">(S13=3)</f>
        <v>0</v>
      </c>
      <c r="T547" t="b">
        <f ca="1">AND(NOT(S547),LEN(W547)&gt;0)</f>
        <v>0</v>
      </c>
      <c r="W547" s="314"/>
      <c r="X547" s="851"/>
      <c r="AC547" t="b">
        <f ca="1">OR(AD547:AE547)</f>
        <v>0</v>
      </c>
      <c r="AD547" t="b">
        <f ca="1">T547</f>
        <v>0</v>
      </c>
      <c r="AE547" t="b">
        <f ca="1">AND(R547,OR(W547="Not Met",W547=""))</f>
        <v>0</v>
      </c>
      <c r="AP547" t="str">
        <f>SUBSTITUTE(SUBSTITUTE(SUBSTITUTE("dch"&amp;$B547&amp;$C547&amp;$D547&amp;$E547,".","_"),"(","_"),")","")</f>
        <v>dch704_2_1</v>
      </c>
      <c r="AQ547" t="str">
        <f>IF(LEN(W547)=0,"",W547)</f>
        <v/>
      </c>
    </row>
    <row r="548" spans="2:45" x14ac:dyDescent="0.35">
      <c r="B548" s="412">
        <v>704.2</v>
      </c>
      <c r="C548" s="50"/>
      <c r="D548" s="13"/>
      <c r="E548" s="13"/>
      <c r="F548" s="13"/>
      <c r="G548" s="13"/>
      <c r="H548" s="453"/>
      <c r="I548" s="4"/>
      <c r="J548" s="90"/>
      <c r="K548" s="90"/>
      <c r="L548" s="881"/>
      <c r="M548" s="40"/>
      <c r="N548" s="4"/>
      <c r="O548" s="832"/>
      <c r="W548" s="6" t="s">
        <v>5234</v>
      </c>
      <c r="X548" s="851"/>
    </row>
    <row r="549" spans="2:45" x14ac:dyDescent="0.35">
      <c r="B549" s="412">
        <v>704.2</v>
      </c>
      <c r="C549" s="50" t="s">
        <v>4857</v>
      </c>
      <c r="D549" s="13"/>
      <c r="E549" s="13"/>
      <c r="F549" s="13"/>
      <c r="G549" s="13"/>
      <c r="H549" s="453"/>
      <c r="I549" s="4"/>
      <c r="J549" s="90"/>
      <c r="K549" s="90"/>
      <c r="L549" s="881"/>
      <c r="M549" s="40"/>
      <c r="N549" s="4"/>
      <c r="O549" s="832"/>
      <c r="P549" t="b">
        <v>0</v>
      </c>
      <c r="Q549" t="b">
        <v>1</v>
      </c>
      <c r="R549" t="b">
        <f ca="1">S549</f>
        <v>0</v>
      </c>
      <c r="S549" t="b">
        <f ca="1">(S13=3)</f>
        <v>0</v>
      </c>
      <c r="T549" t="b">
        <f ca="1">AND(NOT(S549),LEN(W549)&gt;0)</f>
        <v>0</v>
      </c>
      <c r="W549" s="314"/>
      <c r="X549" s="851"/>
      <c r="AC549" t="b">
        <f ca="1">OR(AD549:AE549)</f>
        <v>0</v>
      </c>
      <c r="AD549" t="b">
        <f ca="1">T549</f>
        <v>0</v>
      </c>
      <c r="AE549" t="b">
        <f ca="1">AND(R549,OR(W549="Not Met",W549=""))</f>
        <v>0</v>
      </c>
      <c r="AP549" t="str">
        <f>SUBSTITUTE(SUBSTITUTE(SUBSTITUTE("dch"&amp;$B549&amp;$C549&amp;$D549&amp;$E549,".","_"),"(","_"),")","")</f>
        <v>dch704_2_2</v>
      </c>
      <c r="AQ549" t="str">
        <f>IF(LEN(W549)=0,"",W549)</f>
        <v/>
      </c>
    </row>
    <row r="550" spans="2:45" x14ac:dyDescent="0.35">
      <c r="B550" s="412">
        <v>704.2</v>
      </c>
      <c r="C550" s="50"/>
      <c r="D550" s="13"/>
      <c r="E550" s="13"/>
      <c r="F550" s="13"/>
      <c r="G550" s="13"/>
      <c r="H550" s="453"/>
      <c r="I550" s="4"/>
      <c r="J550" s="90"/>
      <c r="K550" s="90"/>
      <c r="L550" s="881" t="s">
        <v>4325</v>
      </c>
      <c r="M550" s="40"/>
      <c r="N550" s="4"/>
      <c r="O550" s="832"/>
      <c r="X550" s="851"/>
    </row>
    <row r="551" spans="2:45" x14ac:dyDescent="0.35">
      <c r="B551" s="412">
        <v>704.2</v>
      </c>
      <c r="C551" s="50"/>
      <c r="D551" s="13"/>
      <c r="E551" s="13"/>
      <c r="F551" s="13"/>
      <c r="G551" s="13"/>
      <c r="H551" s="453"/>
      <c r="I551" s="4"/>
      <c r="J551" s="90"/>
      <c r="K551" s="90"/>
      <c r="L551" s="881"/>
      <c r="M551" s="40"/>
      <c r="N551" s="4"/>
      <c r="O551" s="832"/>
      <c r="X551" s="816"/>
    </row>
    <row r="552" spans="2:45" ht="18.5" x14ac:dyDescent="0.45">
      <c r="B552" s="412">
        <v>705</v>
      </c>
      <c r="C552" s="50"/>
      <c r="D552" s="13"/>
      <c r="E552" s="13"/>
      <c r="F552" s="13"/>
      <c r="G552" s="13"/>
      <c r="H552" s="453"/>
      <c r="I552" s="10" t="s">
        <v>1006</v>
      </c>
      <c r="J552" s="44"/>
      <c r="K552" s="44"/>
      <c r="L552" s="44"/>
      <c r="M552" s="243"/>
      <c r="N552" s="311"/>
      <c r="O552" s="307"/>
      <c r="P552" s="15"/>
      <c r="Q552" s="15"/>
      <c r="R552" s="15"/>
      <c r="S552" s="15"/>
      <c r="T552" s="15"/>
      <c r="U552" s="15"/>
      <c r="V552" s="15"/>
      <c r="W552" s="15"/>
      <c r="X552" s="15"/>
    </row>
    <row r="553" spans="2:45" x14ac:dyDescent="0.35">
      <c r="B553" s="412">
        <v>705.2</v>
      </c>
      <c r="C553" s="50"/>
      <c r="D553" s="13"/>
      <c r="E553" s="13"/>
      <c r="F553" s="13"/>
      <c r="G553" s="13"/>
      <c r="H553" s="453"/>
      <c r="I553" s="30">
        <v>705.2</v>
      </c>
      <c r="J553" s="90"/>
      <c r="K553" s="90"/>
      <c r="L553" s="95" t="s">
        <v>1007</v>
      </c>
      <c r="M553" s="40"/>
      <c r="N553" s="4"/>
      <c r="O553" s="75"/>
    </row>
    <row r="554" spans="2:45" x14ac:dyDescent="0.35">
      <c r="B554" s="412" t="s">
        <v>1008</v>
      </c>
      <c r="C554" s="50"/>
      <c r="D554" s="13"/>
      <c r="E554" s="13"/>
      <c r="F554" s="13"/>
      <c r="G554" s="13"/>
      <c r="H554" s="453"/>
      <c r="I554" s="32" t="s">
        <v>1008</v>
      </c>
      <c r="J554" s="90"/>
      <c r="K554" s="90"/>
      <c r="L554" s="95" t="s">
        <v>1009</v>
      </c>
      <c r="M554" s="40"/>
      <c r="N554" s="4"/>
      <c r="O554" s="75"/>
    </row>
    <row r="555" spans="2:45" x14ac:dyDescent="0.35">
      <c r="B555" s="412" t="s">
        <v>1008</v>
      </c>
      <c r="C555" s="50"/>
      <c r="D555" s="13"/>
      <c r="E555" s="13"/>
      <c r="F555" s="13"/>
      <c r="G555" s="13"/>
      <c r="H555" s="453"/>
      <c r="I555" s="32"/>
      <c r="J555" s="90"/>
      <c r="K555" s="90"/>
      <c r="L555" s="935" t="s">
        <v>1010</v>
      </c>
      <c r="M555" s="40"/>
      <c r="N555" s="4"/>
      <c r="O555" s="75"/>
    </row>
    <row r="556" spans="2:45" x14ac:dyDescent="0.35">
      <c r="B556" s="412" t="s">
        <v>1008</v>
      </c>
      <c r="C556" s="50"/>
      <c r="D556" s="13"/>
      <c r="E556" s="13"/>
      <c r="F556" s="13"/>
      <c r="G556" s="13"/>
      <c r="H556" s="453"/>
      <c r="I556" s="32"/>
      <c r="J556" s="90"/>
      <c r="K556" s="90"/>
      <c r="L556" s="935"/>
      <c r="M556" s="40"/>
      <c r="N556" s="4"/>
      <c r="O556" s="75"/>
    </row>
    <row r="557" spans="2:45" ht="15" customHeight="1" x14ac:dyDescent="0.35">
      <c r="B557" s="412" t="s">
        <v>1011</v>
      </c>
      <c r="C557" s="50"/>
      <c r="D557" s="13"/>
      <c r="E557" s="13"/>
      <c r="F557" s="13"/>
      <c r="G557" s="13"/>
      <c r="H557" s="453"/>
      <c r="I557" s="32" t="s">
        <v>1011</v>
      </c>
      <c r="J557" s="90"/>
      <c r="K557" s="90"/>
      <c r="L557" s="881" t="s">
        <v>4326</v>
      </c>
      <c r="M557" s="40"/>
      <c r="N557" s="4"/>
      <c r="O557" s="832">
        <f ca="1">IFERROR(INDEX({1,2},MATCH(W557,INDIRECT(U557),0)),0)*S557</f>
        <v>0</v>
      </c>
      <c r="P557" t="b">
        <v>0</v>
      </c>
      <c r="Q557" t="b">
        <v>1</v>
      </c>
      <c r="R557" t="b">
        <v>0</v>
      </c>
      <c r="S557" t="b">
        <v>1</v>
      </c>
      <c r="T557" t="b">
        <v>0</v>
      </c>
      <c r="U557" t="str">
        <f>SUBSTITUTE(SUBSTITUTE(SUBSTITUTE("dd"&amp;B557&amp;C557&amp;D557&amp;E557&amp;F557,".","_"),"(","_"),")","")</f>
        <v>dd705_2_1_1</v>
      </c>
      <c r="W557" s="9"/>
      <c r="X557" s="817"/>
      <c r="AN557" t="str">
        <f>SUBSTITUTE(SUBSTITUTE(SUBSTITUTE("dpc"&amp;$B557&amp;$C557&amp;$D557&amp;$E557,".","_"),"(","_"),")","")</f>
        <v>dpc705_2_1_1</v>
      </c>
      <c r="AO557">
        <f ca="1">O557</f>
        <v>0</v>
      </c>
      <c r="AP557" t="str">
        <f>SUBSTITUTE(SUBSTITUTE(SUBSTITUTE("dch"&amp;$B557&amp;$C557&amp;$D557&amp;$E557,".","_"),"(","_"),")","")</f>
        <v>dch705_2_1_1</v>
      </c>
      <c r="AQ557" t="str">
        <f>IF(LEN(W557)=0,"",W557)</f>
        <v/>
      </c>
      <c r="AR557" t="str">
        <f>SUBSTITUTE(SUBSTITUTE(SUBSTITUTE("dnt"&amp;$B557&amp;$C557&amp;$D557&amp;$E557,".","_"),"(","_"),")","")</f>
        <v>dnt705_2_1_1</v>
      </c>
      <c r="AS557" t="str">
        <f>IF(LEN(X557)=0,"",X557)</f>
        <v/>
      </c>
    </row>
    <row r="558" spans="2:45" x14ac:dyDescent="0.35">
      <c r="B558" s="412" t="s">
        <v>1011</v>
      </c>
      <c r="C558" s="50"/>
      <c r="D558" s="13"/>
      <c r="E558" s="13"/>
      <c r="F558" s="13"/>
      <c r="G558" s="13"/>
      <c r="H558" s="453"/>
      <c r="I558" s="4"/>
      <c r="J558" s="90"/>
      <c r="K558" s="90"/>
      <c r="L558" s="881"/>
      <c r="M558" s="40"/>
      <c r="N558" s="4"/>
      <c r="O558" s="832"/>
      <c r="X558" s="817"/>
    </row>
    <row r="559" spans="2:45" x14ac:dyDescent="0.35">
      <c r="B559" s="412" t="s">
        <v>1011</v>
      </c>
      <c r="C559" s="13" t="s">
        <v>256</v>
      </c>
      <c r="D559" s="13"/>
      <c r="E559" s="13"/>
      <c r="F559" s="13"/>
      <c r="G559" s="13"/>
      <c r="H559" s="453"/>
      <c r="I559" s="4"/>
      <c r="J559" s="338" t="s">
        <v>256</v>
      </c>
      <c r="K559" s="228"/>
      <c r="L559" s="228" t="s">
        <v>1012</v>
      </c>
      <c r="M559" s="268">
        <v>1</v>
      </c>
      <c r="N559" s="4"/>
      <c r="O559" s="75"/>
      <c r="X559" s="817"/>
      <c r="AL559" t="str">
        <f>SUBSTITUTE(SUBSTITUTE(SUBSTITUTE("dpa"&amp;$B559&amp;$C559&amp;$D559&amp;$E559,".","_"),"(","_"),")","")</f>
        <v>dpa705_2_1_1_1</v>
      </c>
      <c r="AM559">
        <f>M559</f>
        <v>1</v>
      </c>
    </row>
    <row r="560" spans="2:45" x14ac:dyDescent="0.35">
      <c r="B560" s="412" t="s">
        <v>1011</v>
      </c>
      <c r="C560" s="13" t="s">
        <v>258</v>
      </c>
      <c r="D560" s="13"/>
      <c r="E560" s="13"/>
      <c r="F560" s="13"/>
      <c r="G560" s="13"/>
      <c r="H560" s="453"/>
      <c r="I560" s="133"/>
      <c r="J560" s="338" t="s">
        <v>258</v>
      </c>
      <c r="K560" s="228"/>
      <c r="L560" s="228" t="s">
        <v>1013</v>
      </c>
      <c r="M560" s="268">
        <v>2</v>
      </c>
      <c r="N560" s="4"/>
      <c r="O560" s="309"/>
      <c r="X560" s="817"/>
      <c r="AL560" t="str">
        <f>SUBSTITUTE(SUBSTITUTE(SUBSTITUTE("dpa"&amp;$B560&amp;$C560&amp;$D560&amp;$E560,".","_"),"(","_"),")","")</f>
        <v>dpa705_2_1_1_2</v>
      </c>
      <c r="AM560">
        <f>M560</f>
        <v>2</v>
      </c>
    </row>
    <row r="561" spans="2:45" x14ac:dyDescent="0.35">
      <c r="B561" s="412" t="s">
        <v>1014</v>
      </c>
      <c r="C561" s="13"/>
      <c r="D561" s="13"/>
      <c r="E561" s="13"/>
      <c r="F561" s="13"/>
      <c r="G561" s="13"/>
      <c r="H561" s="453"/>
      <c r="I561" s="32" t="s">
        <v>1014</v>
      </c>
      <c r="J561" s="156"/>
      <c r="K561" s="90"/>
      <c r="L561" s="838" t="s">
        <v>1015</v>
      </c>
      <c r="M561" s="818">
        <v>1</v>
      </c>
      <c r="N561" s="4"/>
      <c r="O561" s="832">
        <f>M561*S561*W561</f>
        <v>0</v>
      </c>
      <c r="P561" t="b">
        <v>0</v>
      </c>
      <c r="Q561" t="b">
        <v>1</v>
      </c>
      <c r="R561" t="b">
        <v>0</v>
      </c>
      <c r="S561" t="b">
        <v>1</v>
      </c>
      <c r="T561" t="b">
        <v>0</v>
      </c>
      <c r="W561" s="17"/>
      <c r="X561" s="817"/>
      <c r="AL561" t="str">
        <f>SUBSTITUTE(SUBSTITUTE(SUBSTITUTE("dpa"&amp;$B561&amp;$C561&amp;$D561&amp;$E561,".","_"),"(","_"),")","")</f>
        <v>dpa705_2_1_2</v>
      </c>
      <c r="AM561">
        <f>M561</f>
        <v>1</v>
      </c>
      <c r="AN561" t="str">
        <f>SUBSTITUTE(SUBSTITUTE(SUBSTITUTE("dpc"&amp;$B561&amp;$C561&amp;$D561&amp;$E561,".","_"),"(","_"),")","")</f>
        <v>dpc705_2_1_2</v>
      </c>
      <c r="AO561">
        <f>O561</f>
        <v>0</v>
      </c>
      <c r="AP561" t="str">
        <f>SUBSTITUTE(SUBSTITUTE(SUBSTITUTE("dch"&amp;$B561&amp;$C561&amp;$D561&amp;$E561&amp;$F561,".","_"),"(","_"),")","")</f>
        <v>dch705_2_1_2</v>
      </c>
      <c r="AQ561" t="str">
        <f>IF(LEN(W561)=0,"",W561)</f>
        <v/>
      </c>
      <c r="AR561" t="str">
        <f>SUBSTITUTE(SUBSTITUTE(SUBSTITUTE("dnt"&amp;$B561&amp;$C561&amp;$D561&amp;$E561,".","_"),"(","_"),")","")</f>
        <v>dnt705_2_1_2</v>
      </c>
      <c r="AS561" t="str">
        <f>IF(LEN(X561)=0,"",X561)</f>
        <v/>
      </c>
    </row>
    <row r="562" spans="2:45" x14ac:dyDescent="0.35">
      <c r="B562" s="412" t="s">
        <v>1014</v>
      </c>
      <c r="C562" s="13"/>
      <c r="D562" s="13"/>
      <c r="E562" s="13"/>
      <c r="F562" s="13"/>
      <c r="G562" s="13"/>
      <c r="H562" s="453"/>
      <c r="I562" s="133"/>
      <c r="J562" s="228"/>
      <c r="K562" s="228"/>
      <c r="L562" s="889"/>
      <c r="M562" s="819"/>
      <c r="N562" s="133"/>
      <c r="O562" s="824"/>
      <c r="X562" s="817"/>
    </row>
    <row r="563" spans="2:45" x14ac:dyDescent="0.35">
      <c r="B563" s="412" t="s">
        <v>1016</v>
      </c>
      <c r="C563" s="13"/>
      <c r="D563" s="13"/>
      <c r="E563" s="13"/>
      <c r="F563" s="13"/>
      <c r="G563" s="13"/>
      <c r="H563" s="453"/>
      <c r="I563" s="32" t="s">
        <v>1016</v>
      </c>
      <c r="J563" s="90"/>
      <c r="K563" s="90"/>
      <c r="L563" s="95" t="s">
        <v>1017</v>
      </c>
      <c r="M563" s="40"/>
      <c r="N563" s="4"/>
      <c r="O563" s="75"/>
    </row>
    <row r="564" spans="2:45" x14ac:dyDescent="0.35">
      <c r="B564" s="412" t="s">
        <v>1016</v>
      </c>
      <c r="C564" s="74" t="s">
        <v>256</v>
      </c>
      <c r="D564" s="13"/>
      <c r="E564" s="13"/>
      <c r="F564" s="13"/>
      <c r="G564" s="13"/>
      <c r="H564" s="453"/>
      <c r="I564" s="4"/>
      <c r="J564" s="156" t="s">
        <v>256</v>
      </c>
      <c r="K564" s="90"/>
      <c r="L564" s="814" t="s">
        <v>1018</v>
      </c>
      <c r="M564" s="40"/>
      <c r="N564" s="4"/>
      <c r="O564" s="832">
        <f ca="1">IFERROR(INDEX({1,2},MATCH(W564,INDIRECT(U564),0)),0)*S564</f>
        <v>0</v>
      </c>
      <c r="P564" t="b">
        <v>0</v>
      </c>
      <c r="Q564" t="b">
        <v>1</v>
      </c>
      <c r="R564" t="b">
        <v>0</v>
      </c>
      <c r="S564" t="b">
        <f ca="1">IF(AY19=INDEX(INDIRECT("ddSingleOrMulti"),2),TRUE,FALSE)</f>
        <v>0</v>
      </c>
      <c r="T564" t="b">
        <f ca="1">AND(NOT(S564),LEN(W564)&gt;0)</f>
        <v>0</v>
      </c>
      <c r="U564" t="str">
        <f>SUBSTITUTE(SUBSTITUTE(SUBSTITUTE("dd"&amp;B564&amp;C564&amp;D564&amp;E564&amp;F564,".","_"),"(","_"),")","")</f>
        <v>dd705_2_1_3_1</v>
      </c>
      <c r="W564" s="9"/>
      <c r="X564" s="817"/>
      <c r="AC564" t="b">
        <f ca="1">OR(AD564:AE564)</f>
        <v>0</v>
      </c>
      <c r="AD564" t="b">
        <f ca="1">T564</f>
        <v>0</v>
      </c>
      <c r="AN564" t="str">
        <f>SUBSTITUTE(SUBSTITUTE(SUBSTITUTE("dpc"&amp;$B564&amp;$C564&amp;$D564&amp;$E564,".","_"),"(","_"),")","")</f>
        <v>dpc705_2_1_3_1</v>
      </c>
      <c r="AO564">
        <f ca="1">O564</f>
        <v>0</v>
      </c>
      <c r="AP564" t="str">
        <f>SUBSTITUTE(SUBSTITUTE(SUBSTITUTE("dch"&amp;$B564&amp;$C564&amp;$D564&amp;$E564,".","_"),"(","_"),")","")</f>
        <v>dch705_2_1_3_1</v>
      </c>
      <c r="AQ564" t="str">
        <f>IF(LEN(W564)=0,"",W564)</f>
        <v/>
      </c>
      <c r="AR564" t="str">
        <f>SUBSTITUTE(SUBSTITUTE(SUBSTITUTE("dnt"&amp;$B564&amp;$C564&amp;$D564&amp;$E564,".","_"),"(","_"),")","")</f>
        <v>dnt705_2_1_3_1</v>
      </c>
      <c r="AS564" t="str">
        <f>IF(LEN(X564)=0,"",X564)</f>
        <v/>
      </c>
    </row>
    <row r="565" spans="2:45" x14ac:dyDescent="0.35">
      <c r="B565" s="412" t="s">
        <v>1016</v>
      </c>
      <c r="C565" s="74" t="s">
        <v>256</v>
      </c>
      <c r="D565" s="13"/>
      <c r="E565" s="13"/>
      <c r="F565" s="13"/>
      <c r="G565" s="13"/>
      <c r="H565" s="453"/>
      <c r="I565" s="4"/>
      <c r="J565" s="90"/>
      <c r="K565" s="90"/>
      <c r="L565" s="814"/>
      <c r="M565" s="40"/>
      <c r="N565" s="4"/>
      <c r="O565" s="832"/>
      <c r="X565" s="817"/>
    </row>
    <row r="566" spans="2:45" x14ac:dyDescent="0.35">
      <c r="B566" s="412" t="s">
        <v>1016</v>
      </c>
      <c r="C566" s="74" t="s">
        <v>256</v>
      </c>
      <c r="D566" s="13" t="s">
        <v>121</v>
      </c>
      <c r="E566" s="13"/>
      <c r="F566" s="13"/>
      <c r="G566" s="13"/>
      <c r="H566" s="453"/>
      <c r="I566" s="4"/>
      <c r="J566" s="90"/>
      <c r="K566" s="152" t="s">
        <v>121</v>
      </c>
      <c r="L566" s="90" t="s">
        <v>1012</v>
      </c>
      <c r="M566" s="40">
        <v>1</v>
      </c>
      <c r="N566" s="4"/>
      <c r="O566" s="75"/>
      <c r="X566" s="817"/>
      <c r="AL566" t="str">
        <f>SUBSTITUTE(SUBSTITUTE(SUBSTITUTE("dpa"&amp;$B566&amp;$C566&amp;$D566&amp;$E566,".","_"),"(","_"),")","")</f>
        <v>dpa705_2_1_3_1_a</v>
      </c>
      <c r="AM566">
        <f>M566</f>
        <v>1</v>
      </c>
    </row>
    <row r="567" spans="2:45" x14ac:dyDescent="0.35">
      <c r="B567" s="412" t="s">
        <v>1016</v>
      </c>
      <c r="C567" s="74" t="s">
        <v>256</v>
      </c>
      <c r="D567" s="13" t="s">
        <v>122</v>
      </c>
      <c r="E567" s="13"/>
      <c r="F567" s="13"/>
      <c r="G567" s="13"/>
      <c r="H567" s="453"/>
      <c r="I567" s="4"/>
      <c r="J567" s="228"/>
      <c r="K567" s="326" t="s">
        <v>122</v>
      </c>
      <c r="L567" s="228" t="s">
        <v>1013</v>
      </c>
      <c r="M567" s="268">
        <v>2</v>
      </c>
      <c r="N567" s="4"/>
      <c r="O567" s="309"/>
      <c r="X567" s="817"/>
      <c r="AL567" t="str">
        <f>SUBSTITUTE(SUBSTITUTE(SUBSTITUTE("dpa"&amp;$B567&amp;$C567&amp;$D567&amp;$E567,".","_"),"(","_"),")","")</f>
        <v>dpa705_2_1_3_1_b</v>
      </c>
      <c r="AM567">
        <f>M567</f>
        <v>2</v>
      </c>
    </row>
    <row r="568" spans="2:45" x14ac:dyDescent="0.35">
      <c r="B568" s="412" t="s">
        <v>1016</v>
      </c>
      <c r="C568" s="74" t="s">
        <v>258</v>
      </c>
      <c r="D568" s="13"/>
      <c r="E568" s="13"/>
      <c r="F568" s="13"/>
      <c r="G568" s="13"/>
      <c r="H568" s="453"/>
      <c r="I568" s="4"/>
      <c r="J568" s="156" t="s">
        <v>258</v>
      </c>
      <c r="K568" s="90"/>
      <c r="L568" s="814" t="s">
        <v>1019</v>
      </c>
      <c r="M568" s="40"/>
      <c r="N568" s="4"/>
      <c r="O568" s="832">
        <f ca="1">IFERROR(INDEX({2,3},MATCH(W568,INDIRECT(U568),0)),0)*S568</f>
        <v>0</v>
      </c>
      <c r="P568" t="b">
        <v>0</v>
      </c>
      <c r="Q568" t="b">
        <v>1</v>
      </c>
      <c r="R568" t="b">
        <v>0</v>
      </c>
      <c r="S568" t="b">
        <f ca="1">IF(AY19=INDEX(INDIRECT("ddSingleOrMulti"),2),TRUE,FALSE)</f>
        <v>0</v>
      </c>
      <c r="T568" t="b">
        <f ca="1">AND(NOT(S568),LEN(W568)&gt;0)</f>
        <v>0</v>
      </c>
      <c r="U568" t="str">
        <f>SUBSTITUTE(SUBSTITUTE(SUBSTITUTE("dd"&amp;B568&amp;C568&amp;D568&amp;E568&amp;F568,".","_"),"(","_"),")","")</f>
        <v>dd705_2_1_3_2</v>
      </c>
      <c r="W568" s="9"/>
      <c r="X568" s="817"/>
      <c r="AC568" t="b">
        <f ca="1">OR(AD568:AE568)</f>
        <v>0</v>
      </c>
      <c r="AD568" t="b">
        <f ca="1">T568</f>
        <v>0</v>
      </c>
      <c r="AN568" t="str">
        <f>SUBSTITUTE(SUBSTITUTE(SUBSTITUTE("dpc"&amp;$B568&amp;$C568&amp;$D568&amp;$E568,".","_"),"(","_"),")","")</f>
        <v>dpc705_2_1_3_2</v>
      </c>
      <c r="AO568">
        <f ca="1">O568</f>
        <v>0</v>
      </c>
      <c r="AP568" t="str">
        <f>SUBSTITUTE(SUBSTITUTE(SUBSTITUTE("dch"&amp;$B568&amp;$C568&amp;$D568&amp;$E568,".","_"),"(","_"),")","")</f>
        <v>dch705_2_1_3_2</v>
      </c>
      <c r="AQ568" t="str">
        <f>IF(LEN(W568)=0,"",W568)</f>
        <v/>
      </c>
      <c r="AR568" t="str">
        <f>SUBSTITUTE(SUBSTITUTE(SUBSTITUTE("dnt"&amp;$B568&amp;$C568&amp;$D568&amp;$E568,".","_"),"(","_"),")","")</f>
        <v>dnt705_2_1_3_2</v>
      </c>
      <c r="AS568" t="str">
        <f>IF(LEN(X568)=0,"",X568)</f>
        <v/>
      </c>
    </row>
    <row r="569" spans="2:45" x14ac:dyDescent="0.35">
      <c r="B569" s="412" t="s">
        <v>1016</v>
      </c>
      <c r="C569" s="74" t="s">
        <v>258</v>
      </c>
      <c r="D569" s="13"/>
      <c r="E569" s="13"/>
      <c r="F569" s="13"/>
      <c r="G569" s="13"/>
      <c r="H569" s="453"/>
      <c r="I569" s="4"/>
      <c r="J569" s="90"/>
      <c r="K569" s="90"/>
      <c r="L569" s="814"/>
      <c r="M569" s="40"/>
      <c r="N569" s="4"/>
      <c r="O569" s="832"/>
      <c r="X569" s="817"/>
    </row>
    <row r="570" spans="2:45" x14ac:dyDescent="0.35">
      <c r="B570" s="412" t="s">
        <v>1016</v>
      </c>
      <c r="C570" s="74" t="s">
        <v>258</v>
      </c>
      <c r="D570" s="13"/>
      <c r="E570" s="13"/>
      <c r="F570" s="13"/>
      <c r="G570" s="13"/>
      <c r="H570" s="453"/>
      <c r="I570" s="4"/>
      <c r="J570" s="90"/>
      <c r="K570" s="90"/>
      <c r="L570" s="814"/>
      <c r="M570" s="40"/>
      <c r="N570" s="4"/>
      <c r="O570" s="832"/>
      <c r="X570" s="817"/>
    </row>
    <row r="571" spans="2:45" x14ac:dyDescent="0.35">
      <c r="B571" s="412" t="s">
        <v>1016</v>
      </c>
      <c r="C571" s="74" t="s">
        <v>258</v>
      </c>
      <c r="D571" s="13" t="s">
        <v>121</v>
      </c>
      <c r="E571" s="13"/>
      <c r="F571" s="13"/>
      <c r="G571" s="13"/>
      <c r="H571" s="453"/>
      <c r="I571" s="4"/>
      <c r="J571" s="90"/>
      <c r="K571" s="152" t="s">
        <v>121</v>
      </c>
      <c r="L571" s="90" t="s">
        <v>1020</v>
      </c>
      <c r="M571" s="40">
        <v>2</v>
      </c>
      <c r="N571" s="4"/>
      <c r="O571" s="75"/>
      <c r="X571" s="817"/>
      <c r="AL571" t="str">
        <f>SUBSTITUTE(SUBSTITUTE(SUBSTITUTE("dpa"&amp;$B571&amp;$C571&amp;$D571&amp;$E571,".","_"),"(","_"),")","")</f>
        <v>dpa705_2_1_3_2_a</v>
      </c>
      <c r="AM571">
        <f>M571</f>
        <v>2</v>
      </c>
    </row>
    <row r="572" spans="2:45" x14ac:dyDescent="0.35">
      <c r="B572" s="412" t="s">
        <v>1016</v>
      </c>
      <c r="C572" s="74" t="s">
        <v>258</v>
      </c>
      <c r="D572" s="13" t="s">
        <v>122</v>
      </c>
      <c r="E572" s="13"/>
      <c r="F572" s="13"/>
      <c r="G572" s="13"/>
      <c r="H572" s="453"/>
      <c r="I572" s="133"/>
      <c r="J572" s="228"/>
      <c r="K572" s="326" t="s">
        <v>122</v>
      </c>
      <c r="L572" s="228" t="s">
        <v>1021</v>
      </c>
      <c r="M572" s="268">
        <v>3</v>
      </c>
      <c r="N572" s="4"/>
      <c r="O572" s="309"/>
      <c r="X572" s="817"/>
      <c r="AL572" t="str">
        <f>SUBSTITUTE(SUBSTITUTE(SUBSTITUTE("dpa"&amp;$B572&amp;$C572&amp;$D572&amp;$E572,".","_"),"(","_"),")","")</f>
        <v>dpa705_2_1_3_2_b</v>
      </c>
      <c r="AM572">
        <f>M572</f>
        <v>3</v>
      </c>
    </row>
    <row r="573" spans="2:45" x14ac:dyDescent="0.35">
      <c r="B573" s="412" t="s">
        <v>1022</v>
      </c>
      <c r="C573" s="13"/>
      <c r="D573" s="13"/>
      <c r="E573" s="13"/>
      <c r="F573" s="13"/>
      <c r="G573" s="13"/>
      <c r="H573" s="453"/>
      <c r="I573" s="32" t="s">
        <v>1022</v>
      </c>
      <c r="J573" s="90"/>
      <c r="K573" s="90"/>
      <c r="L573" s="838" t="s">
        <v>1023</v>
      </c>
      <c r="M573" s="40"/>
      <c r="N573" s="4"/>
      <c r="O573" s="832">
        <f ca="1">IFERROR(INDEX({2,3},MATCH(W573,INDIRECT(U573),0)),0)*S573</f>
        <v>0</v>
      </c>
      <c r="P573" t="b">
        <v>0</v>
      </c>
      <c r="Q573" t="b">
        <v>1</v>
      </c>
      <c r="R573" t="b">
        <v>0</v>
      </c>
      <c r="S573" t="b">
        <f ca="1">IF(AY19=INDEX(INDIRECT("ddSingleOrMulti"),2),TRUE,FALSE)</f>
        <v>0</v>
      </c>
      <c r="T573" t="b">
        <f ca="1">AND(NOT(S573),LEN(W573)&gt;0)</f>
        <v>0</v>
      </c>
      <c r="U573" t="str">
        <f>SUBSTITUTE(SUBSTITUTE(SUBSTITUTE("dd"&amp;B573&amp;C573&amp;D573&amp;E573&amp;F573,".","_"),"(","_"),")","")</f>
        <v>dd705_2_1_4</v>
      </c>
      <c r="W573" s="9"/>
      <c r="X573" s="817"/>
      <c r="AC573" t="b">
        <f ca="1">OR(AD573:AE573)</f>
        <v>0</v>
      </c>
      <c r="AD573" t="b">
        <f ca="1">T573</f>
        <v>0</v>
      </c>
      <c r="AN573" t="str">
        <f>SUBSTITUTE(SUBSTITUTE(SUBSTITUTE("dpc"&amp;$B573&amp;$C573&amp;$D573&amp;$E573,".","_"),"(","_"),")","")</f>
        <v>dpc705_2_1_4</v>
      </c>
      <c r="AO573">
        <f ca="1">O573</f>
        <v>0</v>
      </c>
      <c r="AP573" t="str">
        <f>SUBSTITUTE(SUBSTITUTE(SUBSTITUTE("dch"&amp;$B573&amp;$C573&amp;$D573&amp;$E573,".","_"),"(","_"),")","")</f>
        <v>dch705_2_1_4</v>
      </c>
      <c r="AQ573" t="str">
        <f>IF(LEN(W573)=0,"",W573)</f>
        <v/>
      </c>
      <c r="AR573" t="str">
        <f>SUBSTITUTE(SUBSTITUTE(SUBSTITUTE("dnt"&amp;$B573&amp;$C573&amp;$D573&amp;$E573,".","_"),"(","_"),")","")</f>
        <v>dnt705_2_1_4</v>
      </c>
      <c r="AS573" t="str">
        <f>IF(LEN(X573)=0,"",X573)</f>
        <v/>
      </c>
    </row>
    <row r="574" spans="2:45" x14ac:dyDescent="0.35">
      <c r="B574" s="412" t="s">
        <v>1022</v>
      </c>
      <c r="C574" s="13"/>
      <c r="D574" s="13"/>
      <c r="E574" s="13"/>
      <c r="F574" s="13"/>
      <c r="G574" s="13"/>
      <c r="H574" s="453"/>
      <c r="I574" s="4"/>
      <c r="J574" s="90"/>
      <c r="K574" s="90"/>
      <c r="L574" s="838"/>
      <c r="M574" s="40"/>
      <c r="N574" s="4"/>
      <c r="O574" s="832"/>
      <c r="X574" s="817"/>
    </row>
    <row r="575" spans="2:45" x14ac:dyDescent="0.35">
      <c r="B575" s="412" t="s">
        <v>1022</v>
      </c>
      <c r="C575" s="13"/>
      <c r="D575" s="13"/>
      <c r="E575" s="13"/>
      <c r="F575" s="13"/>
      <c r="G575" s="13"/>
      <c r="H575" s="453"/>
      <c r="I575" s="4"/>
      <c r="J575" s="90"/>
      <c r="K575" s="90"/>
      <c r="L575" s="838"/>
      <c r="M575" s="40"/>
      <c r="N575" s="4"/>
      <c r="O575" s="832"/>
      <c r="X575" s="817"/>
    </row>
    <row r="576" spans="2:45" x14ac:dyDescent="0.35">
      <c r="B576" s="412" t="s">
        <v>1022</v>
      </c>
      <c r="C576" s="74" t="s">
        <v>256</v>
      </c>
      <c r="D576" s="13"/>
      <c r="E576" s="13"/>
      <c r="F576" s="13"/>
      <c r="G576" s="13"/>
      <c r="H576" s="453"/>
      <c r="I576" s="4"/>
      <c r="J576" s="338" t="s">
        <v>256</v>
      </c>
      <c r="K576" s="228"/>
      <c r="L576" s="228" t="s">
        <v>1020</v>
      </c>
      <c r="M576" s="40">
        <v>2</v>
      </c>
      <c r="N576" s="4"/>
      <c r="O576" s="75"/>
      <c r="X576" s="817"/>
      <c r="AL576" t="str">
        <f>SUBSTITUTE(SUBSTITUTE(SUBSTITUTE("dpa"&amp;$B576&amp;$C576&amp;$D576&amp;$E576,".","_"),"(","_"),")","")</f>
        <v>dpa705_2_1_4_1</v>
      </c>
      <c r="AM576">
        <f>M576</f>
        <v>2</v>
      </c>
    </row>
    <row r="577" spans="2:45" x14ac:dyDescent="0.35">
      <c r="B577" s="412" t="s">
        <v>1022</v>
      </c>
      <c r="C577" s="74" t="s">
        <v>258</v>
      </c>
      <c r="D577" s="13"/>
      <c r="E577" s="13"/>
      <c r="F577" s="13"/>
      <c r="G577" s="13"/>
      <c r="H577" s="453"/>
      <c r="I577" s="133"/>
      <c r="J577" s="338" t="s">
        <v>258</v>
      </c>
      <c r="K577" s="228"/>
      <c r="L577" s="228" t="s">
        <v>1024</v>
      </c>
      <c r="M577" s="268">
        <v>3</v>
      </c>
      <c r="N577" s="133"/>
      <c r="O577" s="309"/>
      <c r="X577" s="817"/>
      <c r="AL577" t="str">
        <f>SUBSTITUTE(SUBSTITUTE(SUBSTITUTE("dpa"&amp;$B577&amp;$C577&amp;$D577&amp;$E577,".","_"),"(","_"),")","")</f>
        <v>dpa705_2_1_4_2</v>
      </c>
      <c r="AM577">
        <f>M577</f>
        <v>3</v>
      </c>
    </row>
    <row r="578" spans="2:45" x14ac:dyDescent="0.35">
      <c r="B578" s="412" t="s">
        <v>1025</v>
      </c>
      <c r="C578" s="50"/>
      <c r="D578" s="13"/>
      <c r="E578" s="13"/>
      <c r="F578" s="13"/>
      <c r="G578" s="13"/>
      <c r="H578" s="453"/>
      <c r="I578" s="330" t="s">
        <v>1025</v>
      </c>
      <c r="J578" s="286"/>
      <c r="K578" s="286"/>
      <c r="L578" s="905" t="s">
        <v>1026</v>
      </c>
      <c r="M578" s="822">
        <v>2</v>
      </c>
      <c r="N578" s="118"/>
      <c r="O578" s="823">
        <f>M578*S578*W578</f>
        <v>0</v>
      </c>
      <c r="P578" t="b">
        <v>1</v>
      </c>
      <c r="Q578" t="b">
        <v>1</v>
      </c>
      <c r="R578" t="b">
        <v>0</v>
      </c>
      <c r="S578" t="b">
        <v>1</v>
      </c>
      <c r="T578" t="b">
        <v>0</v>
      </c>
      <c r="W578" s="17"/>
      <c r="X578" s="817"/>
      <c r="AL578" t="str">
        <f>SUBSTITUTE(SUBSTITUTE(SUBSTITUTE("dpa"&amp;$B578&amp;$C578&amp;$D578&amp;$E578,".","_"),"(","_"),")","")</f>
        <v>dpa705_2_2</v>
      </c>
      <c r="AM578">
        <f>M578</f>
        <v>2</v>
      </c>
      <c r="AN578" t="str">
        <f>SUBSTITUTE(SUBSTITUTE(SUBSTITUTE("dpc"&amp;$B578&amp;$C578&amp;$D578&amp;$E578,".","_"),"(","_"),")","")</f>
        <v>dpc705_2_2</v>
      </c>
      <c r="AO578">
        <f>O578</f>
        <v>0</v>
      </c>
      <c r="AP578" t="str">
        <f>SUBSTITUTE(SUBSTITUTE(SUBSTITUTE("dch"&amp;$B578&amp;$C578&amp;$D578&amp;$E578,".","_"),"(","_"),")","")</f>
        <v>dch705_2_2</v>
      </c>
      <c r="AQ578" t="str">
        <f>IF(LEN(W578)=0,"",W578)</f>
        <v/>
      </c>
      <c r="AR578" t="str">
        <f>SUBSTITUTE(SUBSTITUTE(SUBSTITUTE("dnt"&amp;$B578&amp;$C578&amp;$D578&amp;$E578,".","_"),"(","_"),")","")</f>
        <v>dnt705_2_2</v>
      </c>
      <c r="AS578" t="str">
        <f>IF(LEN(X578)=0,"",X578)</f>
        <v/>
      </c>
    </row>
    <row r="579" spans="2:45" x14ac:dyDescent="0.35">
      <c r="B579" s="412" t="s">
        <v>1025</v>
      </c>
      <c r="C579" s="50"/>
      <c r="D579" s="13"/>
      <c r="E579" s="13"/>
      <c r="F579" s="13"/>
      <c r="G579" s="13"/>
      <c r="H579" s="453"/>
      <c r="I579" s="4"/>
      <c r="J579" s="90"/>
      <c r="K579" s="90"/>
      <c r="L579" s="838"/>
      <c r="M579" s="818"/>
      <c r="N579" s="4"/>
      <c r="O579" s="832"/>
      <c r="X579" s="817"/>
    </row>
    <row r="580" spans="2:45" x14ac:dyDescent="0.35">
      <c r="B580" s="412" t="s">
        <v>1025</v>
      </c>
      <c r="C580" s="50"/>
      <c r="D580" s="13"/>
      <c r="E580" s="13"/>
      <c r="F580" s="13"/>
      <c r="G580" s="13"/>
      <c r="H580" s="453"/>
      <c r="I580" s="133"/>
      <c r="J580" s="228"/>
      <c r="K580" s="228"/>
      <c r="L580" s="142" t="s">
        <v>930</v>
      </c>
      <c r="M580" s="268"/>
      <c r="N580" s="133"/>
      <c r="O580" s="309"/>
      <c r="X580" s="817"/>
    </row>
    <row r="581" spans="2:45" x14ac:dyDescent="0.35">
      <c r="B581" s="412" t="s">
        <v>1027</v>
      </c>
      <c r="C581" s="50"/>
      <c r="D581" s="13"/>
      <c r="E581" s="13"/>
      <c r="F581" s="13"/>
      <c r="G581" s="13"/>
      <c r="H581" s="453"/>
      <c r="I581" s="330" t="s">
        <v>1027</v>
      </c>
      <c r="J581" s="286"/>
      <c r="K581" s="286"/>
      <c r="L581" s="905" t="s">
        <v>1028</v>
      </c>
      <c r="M581" s="822">
        <v>1</v>
      </c>
      <c r="N581" s="118"/>
      <c r="O581" s="823">
        <f>M581*S581*W581</f>
        <v>0</v>
      </c>
      <c r="P581" t="b">
        <v>0</v>
      </c>
      <c r="Q581" t="b">
        <v>1</v>
      </c>
      <c r="R581" t="b">
        <v>0</v>
      </c>
      <c r="S581" t="b">
        <v>1</v>
      </c>
      <c r="T581" t="b">
        <v>0</v>
      </c>
      <c r="W581" s="17"/>
      <c r="X581" s="817"/>
      <c r="AL581" t="str">
        <f>SUBSTITUTE(SUBSTITUTE(SUBSTITUTE("dpa"&amp;$B581&amp;$C581&amp;$D581&amp;$E581,".","_"),"(","_"),")","")</f>
        <v>dpa705_2_3</v>
      </c>
      <c r="AM581">
        <f>M581</f>
        <v>1</v>
      </c>
      <c r="AN581" t="str">
        <f>SUBSTITUTE(SUBSTITUTE(SUBSTITUTE("dpc"&amp;$B581&amp;$C581&amp;$D581&amp;$E581,".","_"),"(","_"),")","")</f>
        <v>dpc705_2_3</v>
      </c>
      <c r="AO581">
        <f>O581</f>
        <v>0</v>
      </c>
      <c r="AP581" t="str">
        <f>SUBSTITUTE(SUBSTITUTE(SUBSTITUTE("dch"&amp;$B581&amp;$C581&amp;$D581&amp;$E581,".","_"),"(","_"),")","")</f>
        <v>dch705_2_3</v>
      </c>
      <c r="AQ581" t="str">
        <f>IF(LEN(W581)=0,"",W581)</f>
        <v/>
      </c>
      <c r="AR581" t="str">
        <f>SUBSTITUTE(SUBSTITUTE(SUBSTITUTE("dnt"&amp;$B581&amp;$C581&amp;$D581&amp;$E581,".","_"),"(","_"),")","")</f>
        <v>dnt705_2_3</v>
      </c>
      <c r="AS581" t="str">
        <f>IF(LEN(X581)=0,"",X581)</f>
        <v/>
      </c>
    </row>
    <row r="582" spans="2:45" x14ac:dyDescent="0.35">
      <c r="B582" s="412" t="s">
        <v>1027</v>
      </c>
      <c r="C582" s="50"/>
      <c r="D582" s="13"/>
      <c r="E582" s="13"/>
      <c r="F582" s="13"/>
      <c r="G582" s="13"/>
      <c r="H582" s="453"/>
      <c r="I582" s="133"/>
      <c r="J582" s="228"/>
      <c r="K582" s="228"/>
      <c r="L582" s="889"/>
      <c r="M582" s="819"/>
      <c r="N582" s="133"/>
      <c r="O582" s="824"/>
      <c r="X582" s="817"/>
    </row>
    <row r="583" spans="2:45" x14ac:dyDescent="0.35">
      <c r="B583" s="412" t="s">
        <v>1029</v>
      </c>
      <c r="C583" s="50"/>
      <c r="D583" s="13"/>
      <c r="E583" s="13"/>
      <c r="F583" s="13"/>
      <c r="G583" s="13"/>
      <c r="H583" s="453"/>
      <c r="I583" s="32" t="s">
        <v>1029</v>
      </c>
      <c r="J583" s="90"/>
      <c r="K583" s="90"/>
      <c r="L583" s="838" t="s">
        <v>1030</v>
      </c>
      <c r="M583" s="818">
        <v>1</v>
      </c>
      <c r="N583" s="4"/>
      <c r="O583" s="832">
        <f>IFERROR(IF(AND(NOT(ISBLANK(W584)),(W584/W585)&lt;(1/400)),1,0),0)</f>
        <v>0</v>
      </c>
      <c r="R583" s="6"/>
      <c r="W583" t="s">
        <v>3631</v>
      </c>
      <c r="X583" s="817"/>
      <c r="AL583" t="str">
        <f>SUBSTITUTE(SUBSTITUTE(SUBSTITUTE("dpa"&amp;$B583&amp;$C583&amp;$D583&amp;$E583,".","_"),"(","_"),")","")</f>
        <v>dpa705_2_4</v>
      </c>
      <c r="AM583">
        <f>M583</f>
        <v>1</v>
      </c>
      <c r="AN583" t="str">
        <f>SUBSTITUTE(SUBSTITUTE(SUBSTITUTE("dpc"&amp;$B583&amp;$C583&amp;$D583&amp;$E583,".","_"),"(","_"),")","")</f>
        <v>dpc705_2_4</v>
      </c>
      <c r="AO583">
        <f>O583</f>
        <v>0</v>
      </c>
      <c r="AR583" t="str">
        <f>SUBSTITUTE(SUBSTITUTE(SUBSTITUTE("dnt"&amp;$B583&amp;$C583&amp;$D583&amp;$E583,".","_"),"(","_"),")","")</f>
        <v>dnt705_2_4</v>
      </c>
      <c r="AS583" t="str">
        <f>IF(LEN(X583)=0,"",X583)</f>
        <v/>
      </c>
    </row>
    <row r="584" spans="2:45" x14ac:dyDescent="0.35">
      <c r="B584" s="412" t="s">
        <v>1029</v>
      </c>
      <c r="C584" s="50"/>
      <c r="D584" s="13"/>
      <c r="E584" s="13"/>
      <c r="F584" s="13"/>
      <c r="G584" s="13"/>
      <c r="H584" s="453"/>
      <c r="I584" s="4"/>
      <c r="J584" s="90"/>
      <c r="K584" s="90"/>
      <c r="L584" s="838"/>
      <c r="M584" s="818"/>
      <c r="N584" s="4"/>
      <c r="O584" s="832"/>
      <c r="P584" t="b">
        <v>0</v>
      </c>
      <c r="Q584" t="b">
        <v>1</v>
      </c>
      <c r="R584" t="b">
        <v>0</v>
      </c>
      <c r="S584" t="b">
        <f>AND(OR(W160="Met",W160="N/A"),OR(NOT(AY35="None"),NOT(AY40="None")))</f>
        <v>1</v>
      </c>
      <c r="T584" t="b">
        <f>OR(AND(NOT(S584),LEN(W584)&gt;0),AND(W584&gt;0,W160="N/A"))</f>
        <v>0</v>
      </c>
      <c r="W584" s="240"/>
      <c r="X584" s="817"/>
      <c r="AC584" t="b">
        <f>OR(AD584:AE584)</f>
        <v>0</v>
      </c>
      <c r="AD584" t="b">
        <f>T584</f>
        <v>0</v>
      </c>
      <c r="AP584" t="str">
        <f>SUBSTITUTE(SUBSTITUTE(SUBSTITUTE("dch"&amp;$B584&amp;$C584&amp;$D584&amp;$E584,".","_"),"(","_"),")","")</f>
        <v>dch705_2_4</v>
      </c>
      <c r="AQ584" t="str">
        <f>IF(LEN(W584)=0,"",W584)</f>
        <v/>
      </c>
    </row>
    <row r="585" spans="2:45" ht="15" thickBot="1" x14ac:dyDescent="0.4">
      <c r="B585" s="412" t="s">
        <v>1029</v>
      </c>
      <c r="C585" s="50"/>
      <c r="D585" s="13"/>
      <c r="E585" s="13"/>
      <c r="F585" s="13"/>
      <c r="G585" s="13"/>
      <c r="H585" s="453"/>
      <c r="I585" s="160"/>
      <c r="J585" s="229"/>
      <c r="K585" s="229"/>
      <c r="L585" s="849"/>
      <c r="M585" s="827"/>
      <c r="N585" s="160"/>
      <c r="O585" s="833"/>
      <c r="P585" s="55"/>
      <c r="Q585" s="55"/>
      <c r="R585" s="55"/>
      <c r="S585" s="55"/>
      <c r="T585" s="55"/>
      <c r="U585" s="55"/>
      <c r="V585" s="55"/>
      <c r="W585" s="339">
        <f>AY27</f>
        <v>2644</v>
      </c>
      <c r="X585" s="829"/>
    </row>
    <row r="586" spans="2:45" ht="15.5" thickTop="1" thickBot="1" x14ac:dyDescent="0.4">
      <c r="B586" s="412">
        <v>705.3</v>
      </c>
      <c r="C586" s="50"/>
      <c r="D586" s="13"/>
      <c r="E586" s="13"/>
      <c r="F586" s="13"/>
      <c r="G586" s="13"/>
      <c r="H586" s="453"/>
      <c r="I586" s="232">
        <v>705.3</v>
      </c>
      <c r="J586" s="317"/>
      <c r="K586" s="317"/>
      <c r="L586" s="234" t="s">
        <v>1031</v>
      </c>
      <c r="M586" s="235">
        <v>1</v>
      </c>
      <c r="N586" s="233"/>
      <c r="O586" s="310">
        <f>M586*S586*W586</f>
        <v>0</v>
      </c>
      <c r="P586" t="b">
        <v>0</v>
      </c>
      <c r="Q586" t="b">
        <v>1</v>
      </c>
      <c r="R586" s="68" t="b">
        <v>0</v>
      </c>
      <c r="S586" s="68" t="b">
        <v>1</v>
      </c>
      <c r="T586" s="68" t="b">
        <v>0</v>
      </c>
      <c r="U586" s="68"/>
      <c r="V586" s="68"/>
      <c r="W586" s="70"/>
      <c r="X586" s="73"/>
      <c r="AL586" t="str">
        <f>SUBSTITUTE(SUBSTITUTE(SUBSTITUTE("dpa"&amp;$B586&amp;$C586&amp;$D586&amp;$E586,".","_"),"(","_"),")","")</f>
        <v>dpa705_3</v>
      </c>
      <c r="AM586">
        <f>M586</f>
        <v>1</v>
      </c>
      <c r="AN586" t="str">
        <f>SUBSTITUTE(SUBSTITUTE(SUBSTITUTE("dpc"&amp;$B586&amp;$C586&amp;$D586&amp;$E586,".","_"),"(","_"),")","")</f>
        <v>dpc705_3</v>
      </c>
      <c r="AO586">
        <f>O586</f>
        <v>0</v>
      </c>
      <c r="AP586" t="str">
        <f>SUBSTITUTE(SUBSTITUTE(SUBSTITUTE("dch"&amp;$B586&amp;$C586&amp;$D586&amp;$E586,".","_"),"(","_"),")","")</f>
        <v>dch705_3</v>
      </c>
      <c r="AQ586" t="str">
        <f>IF(LEN(W586)=0,"",W586)</f>
        <v/>
      </c>
      <c r="AR586" t="str">
        <f>SUBSTITUTE(SUBSTITUTE(SUBSTITUTE("dnt"&amp;$B586&amp;$C586&amp;$D586&amp;$E586,".","_"),"(","_"),")","")</f>
        <v>dnt705_3</v>
      </c>
      <c r="AS586" t="str">
        <f>IF(LEN(X586)=0,"",X586)</f>
        <v/>
      </c>
    </row>
    <row r="587" spans="2:45" ht="15" thickTop="1" x14ac:dyDescent="0.35">
      <c r="B587" s="412">
        <v>705.4</v>
      </c>
      <c r="C587" s="50"/>
      <c r="D587" s="13"/>
      <c r="E587" s="13"/>
      <c r="F587" s="13"/>
      <c r="G587" s="13"/>
      <c r="H587" s="453"/>
      <c r="I587" s="106">
        <v>705.4</v>
      </c>
      <c r="J587" s="316"/>
      <c r="K587" s="316"/>
      <c r="L587" s="837" t="s">
        <v>1032</v>
      </c>
      <c r="M587" s="830">
        <v>2</v>
      </c>
      <c r="N587" s="107"/>
      <c r="O587" s="831">
        <f>M587*S587*W587</f>
        <v>2</v>
      </c>
      <c r="P587" t="b">
        <v>1</v>
      </c>
      <c r="Q587" t="b">
        <v>1</v>
      </c>
      <c r="R587" s="59" t="b">
        <v>0</v>
      </c>
      <c r="S587" s="59" t="b">
        <v>1</v>
      </c>
      <c r="T587" s="59" t="b">
        <v>0</v>
      </c>
      <c r="U587" s="59"/>
      <c r="V587" s="59"/>
      <c r="W587" s="236" t="b">
        <v>1</v>
      </c>
      <c r="X587" s="840"/>
      <c r="AL587" t="str">
        <f>SUBSTITUTE(SUBSTITUTE(SUBSTITUTE("dpa"&amp;$B587&amp;$C587&amp;$D587&amp;$E587,".","_"),"(","_"),")","")</f>
        <v>dpa705_4</v>
      </c>
      <c r="AM587">
        <f>M587</f>
        <v>2</v>
      </c>
      <c r="AN587" t="str">
        <f>SUBSTITUTE(SUBSTITUTE(SUBSTITUTE("dpc"&amp;$B587&amp;$C587&amp;$D587&amp;$E587,".","_"),"(","_"),")","")</f>
        <v>dpc705_4</v>
      </c>
      <c r="AO587">
        <f>O587</f>
        <v>2</v>
      </c>
      <c r="AP587" t="str">
        <f>SUBSTITUTE(SUBSTITUTE(SUBSTITUTE("dch"&amp;$B587&amp;$C587&amp;$D587&amp;$E587,".","_"),"(","_"),")","")</f>
        <v>dch705_4</v>
      </c>
      <c r="AQ587" t="b">
        <f>IF(LEN(W587)=0,"",W587)</f>
        <v>1</v>
      </c>
      <c r="AR587" t="str">
        <f>SUBSTITUTE(SUBSTITUTE(SUBSTITUTE("dnt"&amp;$B587&amp;$C587&amp;$D587&amp;$E587,".","_"),"(","_"),")","")</f>
        <v>dnt705_4</v>
      </c>
      <c r="AS587" t="str">
        <f>IF(LEN(X587)=0,"",X587)</f>
        <v/>
      </c>
    </row>
    <row r="588" spans="2:45" x14ac:dyDescent="0.35">
      <c r="B588" s="412">
        <v>705.4</v>
      </c>
      <c r="C588" s="50"/>
      <c r="D588" s="13"/>
      <c r="E588" s="13"/>
      <c r="F588" s="13"/>
      <c r="G588" s="13"/>
      <c r="H588" s="453"/>
      <c r="I588" s="4"/>
      <c r="J588" s="90"/>
      <c r="K588" s="90"/>
      <c r="L588" s="838"/>
      <c r="M588" s="818"/>
      <c r="N588" s="4"/>
      <c r="O588" s="832"/>
      <c r="X588" s="817"/>
    </row>
    <row r="589" spans="2:45" ht="15" thickBot="1" x14ac:dyDescent="0.4">
      <c r="B589" s="412">
        <v>705.4</v>
      </c>
      <c r="C589" s="50"/>
      <c r="D589" s="13"/>
      <c r="E589" s="13"/>
      <c r="F589" s="13"/>
      <c r="G589" s="13"/>
      <c r="H589" s="453"/>
      <c r="I589" s="160"/>
      <c r="J589" s="229"/>
      <c r="K589" s="229"/>
      <c r="L589" s="849"/>
      <c r="M589" s="827"/>
      <c r="N589" s="160"/>
      <c r="O589" s="833"/>
      <c r="P589" s="55"/>
      <c r="Q589" s="55"/>
      <c r="R589" s="55"/>
      <c r="S589" s="55"/>
      <c r="T589" s="55"/>
      <c r="U589" s="55"/>
      <c r="V589" s="55"/>
      <c r="W589" s="55"/>
      <c r="X589" s="829"/>
    </row>
    <row r="590" spans="2:45" ht="15" thickTop="1" x14ac:dyDescent="0.35">
      <c r="B590" s="412">
        <v>705.5</v>
      </c>
      <c r="C590" s="50"/>
      <c r="D590" s="13"/>
      <c r="E590" s="13"/>
      <c r="F590" s="13"/>
      <c r="G590" s="13"/>
      <c r="H590" s="453"/>
      <c r="I590" s="30">
        <v>705.5</v>
      </c>
      <c r="J590" s="90"/>
      <c r="K590" s="90"/>
      <c r="L590" s="95" t="s">
        <v>1033</v>
      </c>
      <c r="M590" s="40"/>
      <c r="N590" s="4"/>
      <c r="O590" s="75"/>
    </row>
    <row r="591" spans="2:45" ht="15" customHeight="1" x14ac:dyDescent="0.35">
      <c r="B591" s="412" t="s">
        <v>1034</v>
      </c>
      <c r="C591" s="50"/>
      <c r="D591" s="13"/>
      <c r="E591" s="13"/>
      <c r="F591" s="13"/>
      <c r="G591" s="13"/>
      <c r="H591" s="453"/>
      <c r="I591" s="32" t="s">
        <v>1034</v>
      </c>
      <c r="J591" s="90"/>
      <c r="K591" s="90"/>
      <c r="L591" s="480" t="s">
        <v>4327</v>
      </c>
      <c r="M591" s="40"/>
      <c r="N591" s="4"/>
      <c r="O591" s="75"/>
    </row>
    <row r="592" spans="2:45" x14ac:dyDescent="0.35">
      <c r="B592" s="50" t="s">
        <v>1034</v>
      </c>
      <c r="C592" s="467" t="s">
        <v>256</v>
      </c>
      <c r="D592" s="13"/>
      <c r="E592" s="13"/>
      <c r="F592" s="13"/>
      <c r="G592" s="13"/>
      <c r="H592" s="453"/>
      <c r="I592" s="4"/>
      <c r="J592" s="402" t="s">
        <v>256</v>
      </c>
      <c r="K592" s="90"/>
      <c r="L592" s="825" t="s">
        <v>4328</v>
      </c>
      <c r="M592" s="818">
        <v>1</v>
      </c>
      <c r="N592" s="4"/>
      <c r="O592" s="832">
        <f>M592*S592*W592</f>
        <v>0</v>
      </c>
      <c r="P592" t="b">
        <v>1</v>
      </c>
      <c r="Q592" t="b">
        <v>1</v>
      </c>
      <c r="R592" t="b">
        <v>0</v>
      </c>
      <c r="S592" t="b">
        <v>1</v>
      </c>
      <c r="T592" t="b">
        <v>0</v>
      </c>
      <c r="W592" s="17"/>
      <c r="X592" s="817"/>
      <c r="AL592" t="str">
        <f>SUBSTITUTE(SUBSTITUTE(SUBSTITUTE("dpa"&amp;$B592&amp;$C592&amp;$D592&amp;$E592,".","_"),"(","_"),")","")</f>
        <v>dpa705_5_1_1</v>
      </c>
      <c r="AM592">
        <f>M592</f>
        <v>1</v>
      </c>
      <c r="AN592" t="str">
        <f>SUBSTITUTE(SUBSTITUTE(SUBSTITUTE("dpc"&amp;$B592&amp;$C592&amp;$D592&amp;$E592,".","_"),"(","_"),")","")</f>
        <v>dpc705_5_1_1</v>
      </c>
      <c r="AO592">
        <f>O592</f>
        <v>0</v>
      </c>
      <c r="AP592" t="str">
        <f>SUBSTITUTE(SUBSTITUTE(SUBSTITUTE("dch"&amp;$B592&amp;$C592&amp;$D592&amp;$E592,".","_"),"(","_"),")","")</f>
        <v>dch705_5_1_1</v>
      </c>
      <c r="AQ592" t="str">
        <f>IF(LEN(W592)=0,"",W592)</f>
        <v/>
      </c>
      <c r="AR592" t="str">
        <f>SUBSTITUTE(SUBSTITUTE(SUBSTITUTE("dnt"&amp;$B592&amp;$C592&amp;$D592&amp;$E592,".","_"),"(","_"),")","")</f>
        <v>dnt705_5_1_1</v>
      </c>
      <c r="AS592" t="str">
        <f>IF(LEN(X592)=0,"",X592)</f>
        <v/>
      </c>
    </row>
    <row r="593" spans="2:45" x14ac:dyDescent="0.35">
      <c r="B593" s="50" t="s">
        <v>1034</v>
      </c>
      <c r="C593" s="467" t="s">
        <v>256</v>
      </c>
      <c r="D593" s="13"/>
      <c r="E593" s="13"/>
      <c r="F593" s="13"/>
      <c r="G593" s="13"/>
      <c r="H593" s="453"/>
      <c r="I593" s="4"/>
      <c r="J593" s="402"/>
      <c r="K593" s="90"/>
      <c r="L593" s="825"/>
      <c r="M593" s="818"/>
      <c r="N593" s="4"/>
      <c r="O593" s="832"/>
      <c r="W593" s="65"/>
      <c r="X593" s="817"/>
    </row>
    <row r="594" spans="2:45" x14ac:dyDescent="0.35">
      <c r="B594" s="50" t="s">
        <v>1034</v>
      </c>
      <c r="C594" s="467" t="s">
        <v>256</v>
      </c>
      <c r="D594" s="13"/>
      <c r="E594" s="13"/>
      <c r="F594" s="13"/>
      <c r="G594" s="13"/>
      <c r="H594" s="453"/>
      <c r="I594" s="4"/>
      <c r="J594" s="416"/>
      <c r="K594" s="228"/>
      <c r="L594" s="842"/>
      <c r="M594" s="819"/>
      <c r="N594" s="133"/>
      <c r="O594" s="824"/>
      <c r="P594" s="104"/>
      <c r="Q594" s="104"/>
      <c r="R594" s="104"/>
      <c r="S594" s="104"/>
      <c r="T594" s="104"/>
      <c r="U594" s="104"/>
      <c r="V594" s="104"/>
      <c r="W594" s="335"/>
      <c r="X594" s="817"/>
    </row>
    <row r="595" spans="2:45" x14ac:dyDescent="0.35">
      <c r="B595" s="50" t="s">
        <v>1034</v>
      </c>
      <c r="C595" s="467" t="s">
        <v>258</v>
      </c>
      <c r="D595" s="13"/>
      <c r="E595" s="13"/>
      <c r="F595" s="13"/>
      <c r="G595" s="13"/>
      <c r="H595" s="453"/>
      <c r="I595" s="4"/>
      <c r="J595" s="402" t="s">
        <v>258</v>
      </c>
      <c r="K595" s="90"/>
      <c r="L595" s="825" t="s">
        <v>4329</v>
      </c>
      <c r="M595" s="822">
        <v>1</v>
      </c>
      <c r="N595" s="4"/>
      <c r="O595" s="823">
        <f>M595*S595*W595</f>
        <v>0</v>
      </c>
      <c r="P595" t="b">
        <v>1</v>
      </c>
      <c r="Q595" t="b">
        <v>1</v>
      </c>
      <c r="R595" t="b">
        <v>0</v>
      </c>
      <c r="S595" t="b">
        <v>1</v>
      </c>
      <c r="T595" t="b">
        <v>0</v>
      </c>
      <c r="W595" s="69"/>
      <c r="X595" s="817"/>
      <c r="AL595" t="str">
        <f>SUBSTITUTE(SUBSTITUTE(SUBSTITUTE("dpa"&amp;$B595&amp;$C595&amp;$D595&amp;$E595,".","_"),"(","_"),")","")</f>
        <v>dpa705_5_1_2</v>
      </c>
      <c r="AM595">
        <f>M595</f>
        <v>1</v>
      </c>
      <c r="AN595" t="str">
        <f>SUBSTITUTE(SUBSTITUTE(SUBSTITUTE("dpc"&amp;$B595&amp;$C595&amp;$D595&amp;$E595,".","_"),"(","_"),")","")</f>
        <v>dpc705_5_1_2</v>
      </c>
      <c r="AO595">
        <f>O595</f>
        <v>0</v>
      </c>
      <c r="AP595" t="str">
        <f>SUBSTITUTE(SUBSTITUTE(SUBSTITUTE("dch"&amp;$B595&amp;$C595&amp;$D595&amp;$E595,".","_"),"(","_"),")","")</f>
        <v>dch705_5_1_2</v>
      </c>
      <c r="AQ595" t="str">
        <f>IF(LEN(W595)=0,"",W595)</f>
        <v/>
      </c>
      <c r="AR595" t="str">
        <f>SUBSTITUTE(SUBSTITUTE(SUBSTITUTE("dnt"&amp;$B595&amp;$C595&amp;$D595&amp;$E595,".","_"),"(","_"),")","")</f>
        <v>dnt705_5_1_2</v>
      </c>
      <c r="AS595" t="str">
        <f>IF(LEN(X595)=0,"",X595)</f>
        <v/>
      </c>
    </row>
    <row r="596" spans="2:45" x14ac:dyDescent="0.35">
      <c r="B596" s="50" t="s">
        <v>1034</v>
      </c>
      <c r="C596" s="467" t="s">
        <v>258</v>
      </c>
      <c r="D596" s="13"/>
      <c r="E596" s="13"/>
      <c r="F596" s="13"/>
      <c r="G596" s="13"/>
      <c r="H596" s="453"/>
      <c r="I596" s="133"/>
      <c r="J596" s="228"/>
      <c r="K596" s="228"/>
      <c r="L596" s="842"/>
      <c r="M596" s="819"/>
      <c r="N596" s="133"/>
      <c r="O596" s="824"/>
      <c r="X596" s="817"/>
    </row>
    <row r="597" spans="2:45" x14ac:dyDescent="0.35">
      <c r="B597" s="412" t="s">
        <v>1035</v>
      </c>
      <c r="C597" s="13"/>
      <c r="D597" s="13"/>
      <c r="E597" s="13"/>
      <c r="F597" s="13"/>
      <c r="G597" s="13"/>
      <c r="H597" s="453"/>
      <c r="I597" s="32" t="s">
        <v>1035</v>
      </c>
      <c r="J597" s="90"/>
      <c r="K597" s="90"/>
      <c r="L597" s="838" t="s">
        <v>1036</v>
      </c>
      <c r="M597" s="818">
        <v>3</v>
      </c>
      <c r="N597" s="4"/>
      <c r="O597" s="832">
        <f>M597*S597*W597</f>
        <v>0</v>
      </c>
      <c r="P597" t="b">
        <v>0</v>
      </c>
      <c r="Q597" t="b">
        <v>1</v>
      </c>
      <c r="R597" t="b">
        <v>0</v>
      </c>
      <c r="S597" t="b">
        <v>1</v>
      </c>
      <c r="T597" t="b">
        <v>0</v>
      </c>
      <c r="W597" s="17"/>
      <c r="X597" s="817"/>
      <c r="AL597" t="str">
        <f>SUBSTITUTE(SUBSTITUTE(SUBSTITUTE("dpa"&amp;$B597&amp;$C597&amp;$D597&amp;$E597,".","_"),"(","_"),")","")</f>
        <v>dpa705_5_2</v>
      </c>
      <c r="AM597">
        <f>M597</f>
        <v>3</v>
      </c>
      <c r="AN597" t="str">
        <f>SUBSTITUTE(SUBSTITUTE(SUBSTITUTE("dpc"&amp;$B597&amp;$C597&amp;$D597&amp;$E597,".","_"),"(","_"),")","")</f>
        <v>dpc705_5_2</v>
      </c>
      <c r="AO597">
        <f>O597</f>
        <v>0</v>
      </c>
      <c r="AP597" t="str">
        <f>SUBSTITUTE(SUBSTITUTE(SUBSTITUTE("dch"&amp;$B597&amp;$C597&amp;$D597&amp;$E597,".","_"),"(","_"),")","")</f>
        <v>dch705_5_2</v>
      </c>
      <c r="AQ597" t="str">
        <f>IF(LEN(W597)=0,"",W597)</f>
        <v/>
      </c>
      <c r="AR597" t="str">
        <f>SUBSTITUTE(SUBSTITUTE(SUBSTITUTE("dnt"&amp;$B597&amp;$C597&amp;$D597&amp;$E597,".","_"),"(","_"),")","")</f>
        <v>dnt705_5_2</v>
      </c>
      <c r="AS597" t="str">
        <f>IF(LEN(X597)=0,"",X597)</f>
        <v/>
      </c>
    </row>
    <row r="598" spans="2:45" x14ac:dyDescent="0.35">
      <c r="B598" s="412" t="s">
        <v>1035</v>
      </c>
      <c r="C598" s="13"/>
      <c r="D598" s="13"/>
      <c r="E598" s="13"/>
      <c r="F598" s="13"/>
      <c r="G598" s="13"/>
      <c r="H598" s="453"/>
      <c r="I598" s="4"/>
      <c r="J598" s="90"/>
      <c r="K598" s="90"/>
      <c r="L598" s="838"/>
      <c r="M598" s="818"/>
      <c r="N598" s="4"/>
      <c r="O598" s="832"/>
      <c r="X598" s="817"/>
    </row>
    <row r="599" spans="2:45" x14ac:dyDescent="0.35">
      <c r="B599" s="412" t="s">
        <v>1035</v>
      </c>
      <c r="C599" s="13" t="s">
        <v>256</v>
      </c>
      <c r="D599" s="13"/>
      <c r="E599" s="13"/>
      <c r="F599" s="13"/>
      <c r="G599" s="13"/>
      <c r="H599" s="453"/>
      <c r="I599" s="4"/>
      <c r="J599" s="338" t="s">
        <v>256</v>
      </c>
      <c r="K599" s="228"/>
      <c r="L599" s="228" t="s">
        <v>1037</v>
      </c>
      <c r="M599" s="40"/>
      <c r="N599" s="4"/>
      <c r="O599" s="75"/>
      <c r="X599" s="36"/>
      <c r="AR599" t="str">
        <f t="shared" ref="AR599:AR604" si="16">SUBSTITUTE(SUBSTITUTE(SUBSTITUTE("dnt"&amp;$B599&amp;$C599&amp;$D599&amp;$E599,".","_"),"(","_"),")","")</f>
        <v>dnt705_5_2_1</v>
      </c>
      <c r="AS599" t="str">
        <f t="shared" ref="AS599:AS604" si="17">IF(LEN(X599)=0,"",X599)</f>
        <v/>
      </c>
    </row>
    <row r="600" spans="2:45" x14ac:dyDescent="0.35">
      <c r="B600" s="412" t="s">
        <v>1035</v>
      </c>
      <c r="C600" s="13" t="s">
        <v>258</v>
      </c>
      <c r="D600" s="13"/>
      <c r="E600" s="13"/>
      <c r="F600" s="13"/>
      <c r="G600" s="13"/>
      <c r="H600" s="453"/>
      <c r="I600" s="4"/>
      <c r="J600" s="338" t="s">
        <v>258</v>
      </c>
      <c r="K600" s="228"/>
      <c r="L600" s="228" t="s">
        <v>1038</v>
      </c>
      <c r="M600" s="40"/>
      <c r="N600" s="4"/>
      <c r="O600" s="75"/>
      <c r="X600" s="36"/>
      <c r="AQ600" t="str">
        <f>IF(LEN(W600)=0," ",W600)</f>
        <v xml:space="preserve"> </v>
      </c>
      <c r="AR600" t="str">
        <f t="shared" si="16"/>
        <v>dnt705_5_2_2</v>
      </c>
      <c r="AS600" t="str">
        <f t="shared" si="17"/>
        <v/>
      </c>
    </row>
    <row r="601" spans="2:45" x14ac:dyDescent="0.35">
      <c r="B601" s="412" t="s">
        <v>1035</v>
      </c>
      <c r="C601" s="13" t="s">
        <v>260</v>
      </c>
      <c r="D601" s="13"/>
      <c r="E601" s="13"/>
      <c r="F601" s="13"/>
      <c r="G601" s="13"/>
      <c r="H601" s="453"/>
      <c r="I601" s="4"/>
      <c r="J601" s="348" t="s">
        <v>260</v>
      </c>
      <c r="K601" s="178"/>
      <c r="L601" s="178" t="s">
        <v>1039</v>
      </c>
      <c r="M601" s="40"/>
      <c r="N601" s="4"/>
      <c r="O601" s="75"/>
      <c r="X601" s="36"/>
      <c r="AR601" t="str">
        <f t="shared" si="16"/>
        <v>dnt705_5_2_3</v>
      </c>
      <c r="AS601" t="str">
        <f t="shared" si="17"/>
        <v/>
      </c>
    </row>
    <row r="602" spans="2:45" x14ac:dyDescent="0.35">
      <c r="B602" s="412" t="s">
        <v>1035</v>
      </c>
      <c r="C602" s="13" t="s">
        <v>269</v>
      </c>
      <c r="D602" s="13"/>
      <c r="E602" s="13"/>
      <c r="F602" s="13"/>
      <c r="G602" s="13"/>
      <c r="H602" s="453"/>
      <c r="I602" s="4"/>
      <c r="J602" s="348" t="s">
        <v>269</v>
      </c>
      <c r="K602" s="178"/>
      <c r="L602" s="178" t="s">
        <v>1040</v>
      </c>
      <c r="M602" s="40"/>
      <c r="N602" s="4"/>
      <c r="O602" s="75"/>
      <c r="X602" s="36"/>
      <c r="AQ602" t="str">
        <f>IF(LEN(W602)=0," ",W602)</f>
        <v xml:space="preserve"> </v>
      </c>
      <c r="AR602" t="str">
        <f t="shared" si="16"/>
        <v>dnt705_5_2_4</v>
      </c>
      <c r="AS602" t="str">
        <f t="shared" si="17"/>
        <v/>
      </c>
    </row>
    <row r="603" spans="2:45" x14ac:dyDescent="0.35">
      <c r="B603" s="412" t="s">
        <v>1035</v>
      </c>
      <c r="C603" s="13" t="s">
        <v>275</v>
      </c>
      <c r="D603" s="13"/>
      <c r="E603" s="13"/>
      <c r="F603" s="13"/>
      <c r="G603" s="13"/>
      <c r="H603" s="453"/>
      <c r="I603" s="4"/>
      <c r="J603" s="348" t="s">
        <v>275</v>
      </c>
      <c r="K603" s="178"/>
      <c r="L603" s="178" t="s">
        <v>1041</v>
      </c>
      <c r="M603" s="40"/>
      <c r="N603" s="4"/>
      <c r="O603" s="75"/>
      <c r="X603" s="36"/>
      <c r="AR603" t="str">
        <f t="shared" si="16"/>
        <v>dnt705_5_2_5</v>
      </c>
      <c r="AS603" t="str">
        <f t="shared" si="17"/>
        <v/>
      </c>
    </row>
    <row r="604" spans="2:45" x14ac:dyDescent="0.35">
      <c r="B604" s="412" t="s">
        <v>1035</v>
      </c>
      <c r="C604" s="13" t="s">
        <v>277</v>
      </c>
      <c r="D604" s="13"/>
      <c r="E604" s="13"/>
      <c r="F604" s="13"/>
      <c r="G604" s="13"/>
      <c r="H604" s="453"/>
      <c r="I604" s="133"/>
      <c r="J604" s="338" t="s">
        <v>277</v>
      </c>
      <c r="K604" s="228"/>
      <c r="L604" s="228" t="s">
        <v>1042</v>
      </c>
      <c r="M604" s="268"/>
      <c r="N604" s="133"/>
      <c r="O604" s="309"/>
      <c r="P604" s="104"/>
      <c r="Q604" s="104"/>
      <c r="R604" s="104"/>
      <c r="S604" s="104"/>
      <c r="T604" s="104"/>
      <c r="U604" s="104"/>
      <c r="V604" s="104"/>
      <c r="W604" s="104"/>
      <c r="X604" s="36"/>
      <c r="AR604" t="str">
        <f t="shared" si="16"/>
        <v>dnt705_5_2_6</v>
      </c>
      <c r="AS604" t="str">
        <f t="shared" si="17"/>
        <v/>
      </c>
    </row>
    <row r="605" spans="2:45" x14ac:dyDescent="0.35">
      <c r="B605" s="412" t="s">
        <v>4330</v>
      </c>
      <c r="C605" s="13"/>
      <c r="D605" s="13"/>
      <c r="E605" s="13"/>
      <c r="F605" s="13"/>
      <c r="G605" s="13"/>
      <c r="H605" s="453"/>
      <c r="I605" s="47" t="s">
        <v>4330</v>
      </c>
      <c r="J605" s="481"/>
      <c r="K605" s="467"/>
      <c r="L605" s="480" t="s">
        <v>4331</v>
      </c>
      <c r="M605" s="282"/>
      <c r="N605" s="118"/>
      <c r="O605" s="165"/>
      <c r="P605" s="120"/>
    </row>
    <row r="606" spans="2:45" x14ac:dyDescent="0.35">
      <c r="B606" s="412" t="s">
        <v>4330</v>
      </c>
      <c r="C606" s="467" t="s">
        <v>256</v>
      </c>
      <c r="D606" s="13"/>
      <c r="E606" s="13"/>
      <c r="F606" s="13"/>
      <c r="G606" s="13"/>
      <c r="H606" s="453"/>
      <c r="I606" s="47"/>
      <c r="J606" s="481" t="s">
        <v>256</v>
      </c>
      <c r="K606" s="467"/>
      <c r="L606" s="825" t="s">
        <v>4332</v>
      </c>
      <c r="M606" s="818">
        <v>3</v>
      </c>
      <c r="N606" s="4"/>
      <c r="O606" s="832">
        <f>M606*S606*W606</f>
        <v>0</v>
      </c>
      <c r="P606" t="b">
        <v>0</v>
      </c>
      <c r="Q606" t="b">
        <v>1</v>
      </c>
      <c r="R606" t="b">
        <v>0</v>
      </c>
      <c r="S606" t="b">
        <v>1</v>
      </c>
      <c r="T606" t="b">
        <v>0</v>
      </c>
      <c r="W606" s="17"/>
      <c r="X606" s="817"/>
      <c r="AL606" t="str">
        <f>SUBSTITUTE(SUBSTITUTE(SUBSTITUTE("dpa"&amp;$B606&amp;$C606&amp;$D606&amp;$E606,".","_"),"(","_"),")","")</f>
        <v>dpa705_5_3_1</v>
      </c>
      <c r="AM606">
        <f>M606</f>
        <v>3</v>
      </c>
      <c r="AN606" t="str">
        <f>SUBSTITUTE(SUBSTITUTE(SUBSTITUTE("dpc"&amp;$B606&amp;$C606&amp;$D606&amp;$E606,".","_"),"(","_"),")","")</f>
        <v>dpc705_5_3_1</v>
      </c>
      <c r="AO606">
        <f>O606</f>
        <v>0</v>
      </c>
      <c r="AP606" t="str">
        <f>SUBSTITUTE(SUBSTITUTE(SUBSTITUTE("dch"&amp;$B606&amp;$C606&amp;$D606&amp;$E606,".","_"),"(","_"),")","")</f>
        <v>dch705_5_3_1</v>
      </c>
      <c r="AQ606" t="str">
        <f>IF(LEN(W606)=0,"",W606)</f>
        <v/>
      </c>
      <c r="AR606" t="str">
        <f>SUBSTITUTE(SUBSTITUTE(SUBSTITUTE("dnt"&amp;$B606&amp;$C606&amp;$D606&amp;$E606,".","_"),"(","_"),")","")</f>
        <v>dnt705_5_3_1</v>
      </c>
      <c r="AS606" t="str">
        <f>IF(LEN(X606)=0,"",X606)</f>
        <v/>
      </c>
    </row>
    <row r="607" spans="2:45" x14ac:dyDescent="0.35">
      <c r="B607" s="412" t="s">
        <v>4330</v>
      </c>
      <c r="C607" s="467" t="s">
        <v>256</v>
      </c>
      <c r="D607" s="13"/>
      <c r="E607" s="13"/>
      <c r="F607" s="13"/>
      <c r="G607" s="13"/>
      <c r="H607" s="453"/>
      <c r="I607" s="47"/>
      <c r="J607" s="482"/>
      <c r="K607" s="472"/>
      <c r="L607" s="842"/>
      <c r="M607" s="819"/>
      <c r="N607" s="133"/>
      <c r="O607" s="824"/>
      <c r="X607" s="817"/>
    </row>
    <row r="608" spans="2:45" ht="15" thickBot="1" x14ac:dyDescent="0.4">
      <c r="B608" s="412" t="s">
        <v>4330</v>
      </c>
      <c r="C608" s="467" t="s">
        <v>258</v>
      </c>
      <c r="D608" s="13"/>
      <c r="E608" s="13"/>
      <c r="F608" s="13"/>
      <c r="G608" s="13"/>
      <c r="H608" s="453"/>
      <c r="I608" s="52"/>
      <c r="J608" s="491" t="s">
        <v>258</v>
      </c>
      <c r="K608" s="473"/>
      <c r="L608" s="474" t="s">
        <v>4333</v>
      </c>
      <c r="M608" s="533">
        <v>3</v>
      </c>
      <c r="N608" s="160"/>
      <c r="O608" s="534">
        <f>M608*S608*W608</f>
        <v>0</v>
      </c>
      <c r="P608" s="55" t="b">
        <v>0</v>
      </c>
      <c r="Q608" s="55" t="b">
        <v>1</v>
      </c>
      <c r="R608" s="55" t="b">
        <v>0</v>
      </c>
      <c r="S608" s="55" t="b">
        <v>1</v>
      </c>
      <c r="T608" s="55" t="b">
        <v>0</v>
      </c>
      <c r="U608" s="55"/>
      <c r="V608" s="55"/>
      <c r="W608" s="56"/>
      <c r="X608" s="98"/>
      <c r="AL608" t="str">
        <f>SUBSTITUTE(SUBSTITUTE(SUBSTITUTE("dpa"&amp;$B608&amp;$C608&amp;$D608&amp;$E608,".","_"),"(","_"),")","")</f>
        <v>dpa705_5_3_2</v>
      </c>
      <c r="AM608">
        <f>M608</f>
        <v>3</v>
      </c>
      <c r="AN608" t="str">
        <f>SUBSTITUTE(SUBSTITUTE(SUBSTITUTE("dpc"&amp;$B608&amp;$C608&amp;$D608&amp;$E608,".","_"),"(","_"),")","")</f>
        <v>dpc705_5_3_2</v>
      </c>
      <c r="AO608">
        <f>O608</f>
        <v>0</v>
      </c>
      <c r="AP608" t="str">
        <f>SUBSTITUTE(SUBSTITUTE(SUBSTITUTE("dch"&amp;$B608&amp;$C608&amp;$D608&amp;$E608,".","_"),"(","_"),")","")</f>
        <v>dch705_5_3_2</v>
      </c>
      <c r="AQ608" t="str">
        <f>IF(LEN(W608)=0,"",W608)</f>
        <v/>
      </c>
      <c r="AR608" t="str">
        <f>SUBSTITUTE(SUBSTITUTE(SUBSTITUTE("dnt"&amp;$B608&amp;$C608&amp;$D608&amp;$E608,".","_"),"(","_"),")","")</f>
        <v>dnt705_5_3_2</v>
      </c>
      <c r="AS608" t="str">
        <f>IF(LEN(X608)=0,"",X608)</f>
        <v/>
      </c>
    </row>
    <row r="609" spans="1:45" ht="15" thickTop="1" x14ac:dyDescent="0.35">
      <c r="B609" s="412">
        <v>705.6</v>
      </c>
      <c r="C609" s="50"/>
      <c r="D609" s="13"/>
      <c r="E609" s="13"/>
      <c r="F609" s="13"/>
      <c r="G609" s="13"/>
      <c r="H609" s="453"/>
      <c r="I609" s="31">
        <v>705.6</v>
      </c>
      <c r="J609" s="90"/>
      <c r="K609" s="90"/>
      <c r="L609" s="95" t="s">
        <v>1043</v>
      </c>
      <c r="M609" s="40"/>
      <c r="N609" s="4"/>
      <c r="O609" s="75"/>
    </row>
    <row r="610" spans="1:45" ht="15" customHeight="1" x14ac:dyDescent="0.35">
      <c r="B610" s="412" t="s">
        <v>1044</v>
      </c>
      <c r="C610" s="50"/>
      <c r="D610" s="13"/>
      <c r="E610" s="13"/>
      <c r="F610" s="13"/>
      <c r="G610" s="13"/>
      <c r="H610" s="453"/>
      <c r="I610" s="32" t="s">
        <v>1044</v>
      </c>
      <c r="J610" s="90"/>
      <c r="K610" s="90"/>
      <c r="L610" s="881" t="s">
        <v>4334</v>
      </c>
      <c r="M610" s="818">
        <v>3</v>
      </c>
      <c r="N610" s="4"/>
      <c r="O610" s="832">
        <f>M610*S610</f>
        <v>3</v>
      </c>
      <c r="P610" t="b">
        <v>1</v>
      </c>
      <c r="Q610" t="b">
        <v>1</v>
      </c>
      <c r="R610" t="b">
        <v>0</v>
      </c>
      <c r="S610" t="b">
        <f>LEN(W12)&gt;0</f>
        <v>1</v>
      </c>
      <c r="T610" t="b">
        <v>0</v>
      </c>
      <c r="W610" s="913" t="s">
        <v>3620</v>
      </c>
      <c r="X610" s="817"/>
      <c r="AL610" t="str">
        <f>SUBSTITUTE(SUBSTITUTE(SUBSTITUTE("dpa"&amp;$B610&amp;$C610&amp;$D610&amp;$E610,".","_"),"(","_"),")","")</f>
        <v>dpa705_6_1</v>
      </c>
      <c r="AM610">
        <f>M610</f>
        <v>3</v>
      </c>
      <c r="AN610" t="str">
        <f>SUBSTITUTE(SUBSTITUTE(SUBSTITUTE("dpc"&amp;$B610&amp;$C610&amp;$D610&amp;$E610,".","_"),"(","_"),")","")</f>
        <v>dpc705_6_1</v>
      </c>
      <c r="AO610">
        <f>O610</f>
        <v>3</v>
      </c>
      <c r="AR610" t="str">
        <f>SUBSTITUTE(SUBSTITUTE(SUBSTITUTE("dnt"&amp;$B610&amp;$C610&amp;$D610&amp;$E610,".","_"),"(","_"),")","")</f>
        <v>dnt705_6_1</v>
      </c>
      <c r="AS610" t="str">
        <f>IF(LEN(X610)=0,"",X610)</f>
        <v/>
      </c>
    </row>
    <row r="611" spans="1:45" x14ac:dyDescent="0.35">
      <c r="B611" s="412" t="s">
        <v>1044</v>
      </c>
      <c r="C611" s="50"/>
      <c r="D611" s="13"/>
      <c r="E611" s="13"/>
      <c r="F611" s="13"/>
      <c r="G611" s="13"/>
      <c r="H611" s="453"/>
      <c r="I611" s="4"/>
      <c r="J611" s="90"/>
      <c r="K611" s="90"/>
      <c r="L611" s="881"/>
      <c r="M611" s="818"/>
      <c r="N611" s="4"/>
      <c r="O611" s="832"/>
      <c r="W611" s="913"/>
      <c r="X611" s="817"/>
    </row>
    <row r="612" spans="1:45" x14ac:dyDescent="0.35">
      <c r="B612" s="412" t="s">
        <v>1044</v>
      </c>
      <c r="C612" s="50"/>
      <c r="D612" s="13"/>
      <c r="E612" s="13"/>
      <c r="F612" s="13"/>
      <c r="G612" s="13"/>
      <c r="H612" s="453"/>
      <c r="I612" s="4"/>
      <c r="J612" s="90"/>
      <c r="K612" s="90"/>
      <c r="L612" s="881"/>
      <c r="M612" s="818"/>
      <c r="N612" s="4"/>
      <c r="O612" s="832"/>
      <c r="W612" s="913"/>
      <c r="X612" s="817"/>
    </row>
    <row r="613" spans="1:45" x14ac:dyDescent="0.35">
      <c r="B613" s="412" t="s">
        <v>1044</v>
      </c>
      <c r="C613" s="50"/>
      <c r="D613" s="13"/>
      <c r="E613" s="13"/>
      <c r="F613" s="13"/>
      <c r="G613" s="13"/>
      <c r="H613" s="453"/>
      <c r="I613" s="4"/>
      <c r="J613" s="90"/>
      <c r="K613" s="90"/>
      <c r="L613" s="881"/>
      <c r="M613" s="818"/>
      <c r="N613" s="4"/>
      <c r="O613" s="832"/>
      <c r="W613" s="913"/>
      <c r="X613" s="817"/>
    </row>
    <row r="614" spans="1:45" x14ac:dyDescent="0.35">
      <c r="B614" s="412" t="s">
        <v>1044</v>
      </c>
      <c r="C614" s="50"/>
      <c r="D614" s="13"/>
      <c r="E614" s="13"/>
      <c r="F614" s="13"/>
      <c r="G614" s="13"/>
      <c r="H614" s="453"/>
      <c r="I614" s="4"/>
      <c r="J614" s="90"/>
      <c r="K614" s="90"/>
      <c r="L614" s="881"/>
      <c r="M614" s="818"/>
      <c r="N614" s="4"/>
      <c r="O614" s="832"/>
      <c r="W614" s="913"/>
      <c r="X614" s="817"/>
    </row>
    <row r="615" spans="1:45" x14ac:dyDescent="0.35">
      <c r="B615" s="412" t="s">
        <v>1044</v>
      </c>
      <c r="C615" s="50"/>
      <c r="D615" s="13"/>
      <c r="E615" s="13"/>
      <c r="F615" s="13"/>
      <c r="G615" s="13"/>
      <c r="H615" s="453"/>
      <c r="I615" s="133"/>
      <c r="J615" s="228"/>
      <c r="K615" s="228"/>
      <c r="L615" s="882"/>
      <c r="M615" s="819"/>
      <c r="N615" s="133"/>
      <c r="O615" s="824"/>
      <c r="P615" s="104"/>
      <c r="Q615" s="104"/>
      <c r="R615" s="104"/>
      <c r="S615" s="104"/>
      <c r="T615" s="104"/>
      <c r="U615" s="104"/>
      <c r="V615" s="104"/>
      <c r="W615" s="914"/>
      <c r="X615" s="817"/>
    </row>
    <row r="616" spans="1:45" x14ac:dyDescent="0.35">
      <c r="B616" s="412" t="s">
        <v>3618</v>
      </c>
      <c r="C616" s="50"/>
      <c r="D616" s="13"/>
      <c r="E616" s="13"/>
      <c r="F616" s="13"/>
      <c r="G616" s="13"/>
      <c r="H616" s="453"/>
      <c r="I616" s="32" t="s">
        <v>3618</v>
      </c>
      <c r="J616" s="90"/>
      <c r="K616" s="90"/>
      <c r="L616" s="95" t="s">
        <v>3619</v>
      </c>
      <c r="M616" s="40"/>
      <c r="N616" s="4"/>
      <c r="O616" s="75"/>
    </row>
    <row r="617" spans="1:45" x14ac:dyDescent="0.35">
      <c r="B617" s="50" t="s">
        <v>1046</v>
      </c>
      <c r="C617" s="50"/>
      <c r="D617" s="13"/>
      <c r="E617" s="13"/>
      <c r="F617" s="13"/>
      <c r="G617" s="13"/>
      <c r="H617" s="453"/>
      <c r="I617" s="32" t="s">
        <v>1046</v>
      </c>
      <c r="J617" s="90"/>
      <c r="K617" s="90"/>
      <c r="L617" s="838" t="s">
        <v>4827</v>
      </c>
      <c r="M617" s="40"/>
      <c r="N617" s="4"/>
      <c r="O617" s="75"/>
    </row>
    <row r="618" spans="1:45" x14ac:dyDescent="0.35">
      <c r="B618" s="50" t="s">
        <v>1046</v>
      </c>
      <c r="C618" s="50"/>
      <c r="D618" s="13"/>
      <c r="E618" s="13"/>
      <c r="F618" s="13"/>
      <c r="G618" s="13"/>
      <c r="H618" s="453"/>
      <c r="I618" s="4"/>
      <c r="J618" s="90"/>
      <c r="K618" s="90"/>
      <c r="L618" s="838"/>
      <c r="M618" s="40"/>
      <c r="N618" s="4"/>
      <c r="O618" s="75"/>
    </row>
    <row r="619" spans="1:45" x14ac:dyDescent="0.35">
      <c r="B619" s="50" t="s">
        <v>1046</v>
      </c>
      <c r="C619" s="50"/>
      <c r="D619" s="13"/>
      <c r="E619" s="13"/>
      <c r="F619" s="13"/>
      <c r="G619" s="13"/>
      <c r="H619" s="453"/>
      <c r="I619" s="4"/>
      <c r="J619" s="90"/>
      <c r="K619" s="90"/>
      <c r="L619" s="838"/>
      <c r="M619" s="40"/>
      <c r="N619" s="4"/>
      <c r="O619" s="75"/>
    </row>
    <row r="620" spans="1:45" x14ac:dyDescent="0.35">
      <c r="B620" s="50" t="s">
        <v>1046</v>
      </c>
      <c r="C620" s="50"/>
      <c r="D620" s="13"/>
      <c r="E620" s="13"/>
      <c r="F620" s="13"/>
      <c r="G620" s="13"/>
      <c r="H620" s="453"/>
      <c r="I620" s="4"/>
      <c r="J620" s="90"/>
      <c r="K620" s="90"/>
      <c r="L620" s="895" t="s">
        <v>4335</v>
      </c>
      <c r="M620" s="40"/>
      <c r="N620" s="4"/>
      <c r="O620" s="75"/>
    </row>
    <row r="621" spans="1:45" x14ac:dyDescent="0.35">
      <c r="B621" s="50" t="s">
        <v>1046</v>
      </c>
      <c r="C621" s="50"/>
      <c r="D621" s="13"/>
      <c r="E621" s="13"/>
      <c r="F621" s="13"/>
      <c r="G621" s="13"/>
      <c r="H621" s="453"/>
      <c r="I621" s="4"/>
      <c r="J621" s="90"/>
      <c r="K621" s="90"/>
      <c r="L621" s="895"/>
      <c r="M621" s="40"/>
      <c r="N621" s="4"/>
      <c r="O621" s="75"/>
    </row>
    <row r="622" spans="1:45" x14ac:dyDescent="0.35">
      <c r="B622" s="50" t="s">
        <v>1046</v>
      </c>
      <c r="C622" s="50"/>
      <c r="D622" s="13"/>
      <c r="E622" s="13"/>
      <c r="F622" s="13"/>
      <c r="G622" s="13"/>
      <c r="H622" s="453"/>
      <c r="I622" s="4"/>
      <c r="J622" s="90"/>
      <c r="K622" s="90"/>
      <c r="L622" s="92" t="s">
        <v>3621</v>
      </c>
      <c r="M622" s="40"/>
      <c r="N622" s="4"/>
      <c r="O622" s="75"/>
      <c r="W622" t="s">
        <v>3762</v>
      </c>
    </row>
    <row r="623" spans="1:45" x14ac:dyDescent="0.35">
      <c r="B623" s="50" t="s">
        <v>1046</v>
      </c>
      <c r="C623" s="13" t="s">
        <v>256</v>
      </c>
      <c r="D623" s="13" t="s">
        <v>4856</v>
      </c>
      <c r="E623" s="13"/>
      <c r="F623" s="13"/>
      <c r="G623" s="13"/>
      <c r="H623" s="453"/>
      <c r="I623" s="4"/>
      <c r="J623" s="156" t="s">
        <v>256</v>
      </c>
      <c r="K623" s="90"/>
      <c r="L623" s="90" t="s">
        <v>1047</v>
      </c>
      <c r="M623" s="818">
        <v>3</v>
      </c>
      <c r="N623" s="4"/>
      <c r="O623" s="832">
        <f>IF(OR(LEN(W623)&gt;0,LEN(W625)&gt;0),M623,0)</f>
        <v>0</v>
      </c>
      <c r="P623" t="b">
        <v>0</v>
      </c>
      <c r="Q623" t="b">
        <v>1</v>
      </c>
      <c r="R623" t="b">
        <v>0</v>
      </c>
      <c r="S623" t="b">
        <f ca="1">AND(OR(S85,AND(OR(AND(BF16=2,BG16="Dry"),BI16="Tropical"),S85,O232&gt;0)),LEN(W625)=0)</f>
        <v>0</v>
      </c>
      <c r="T623" t="b">
        <f ca="1">AND(OR(NOT(S623),AND(W211=TRUE,BF16&lt;=2,W623&gt;5),AND(W211=TRUE,BF16&gt;=3,W623&gt;3)),LEN(W623)&gt;0)</f>
        <v>0</v>
      </c>
      <c r="W623" s="241"/>
      <c r="X623" s="817"/>
      <c r="AC623" t="b">
        <f ca="1">OR(AD623:AE623)</f>
        <v>0</v>
      </c>
      <c r="AD623" t="b">
        <f ca="1">T623</f>
        <v>0</v>
      </c>
      <c r="AL623" t="str">
        <f>SUBSTITUTE(SUBSTITUTE(SUBSTITUTE("dpa"&amp;$B623&amp;$C623&amp;$D623&amp;$E623,".","_"),"(","_"),")","")</f>
        <v>dpa705_6_2_1_1_1</v>
      </c>
      <c r="AM623">
        <f>M623</f>
        <v>3</v>
      </c>
      <c r="AN623" t="str">
        <f>SUBSTITUTE(SUBSTITUTE(SUBSTITUTE("dpc"&amp;$B623&amp;$C623&amp;$D623&amp;$E623,".","_"),"(","_"),")","")</f>
        <v>dpc705_6_2_1_1_1</v>
      </c>
      <c r="AO623">
        <f>O623</f>
        <v>0</v>
      </c>
      <c r="AP623" t="str">
        <f>SUBSTITUTE(SUBSTITUTE(SUBSTITUTE("dch"&amp;$B623&amp;$C623&amp;$D623&amp;$E623,".","_"),"(","_"),")","")</f>
        <v>dch705_6_2_1_1_1</v>
      </c>
      <c r="AQ623" t="str">
        <f>IF(LEN(W623)=0,"",W623)</f>
        <v/>
      </c>
      <c r="AR623" t="str">
        <f>SUBSTITUTE(SUBSTITUTE(SUBSTITUTE("dnt"&amp;$B623&amp;$C623&amp;$D623&amp;$E623,".","_"),"(","_"),")","")</f>
        <v>dnt705_6_2_1_1_1</v>
      </c>
      <c r="AS623" t="str">
        <f>IF(LEN(X623)=0,"",X623)</f>
        <v/>
      </c>
    </row>
    <row r="624" spans="1:45" x14ac:dyDescent="0.35">
      <c r="A624"/>
      <c r="B624" s="50" t="s">
        <v>1046</v>
      </c>
      <c r="C624" s="13" t="s">
        <v>256</v>
      </c>
      <c r="D624" s="13"/>
      <c r="E624"/>
      <c r="F624"/>
      <c r="G624"/>
      <c r="H624"/>
      <c r="M624" s="818"/>
      <c r="O624" s="832"/>
      <c r="W624" t="s">
        <v>4589</v>
      </c>
      <c r="X624" s="817"/>
    </row>
    <row r="625" spans="1:45" x14ac:dyDescent="0.35">
      <c r="A625"/>
      <c r="B625" s="50" t="s">
        <v>1046</v>
      </c>
      <c r="C625" s="13" t="s">
        <v>256</v>
      </c>
      <c r="D625" s="13" t="s">
        <v>4857</v>
      </c>
      <c r="E625"/>
      <c r="F625"/>
      <c r="G625"/>
      <c r="H625"/>
      <c r="J625" s="104"/>
      <c r="K625" s="104"/>
      <c r="L625" s="104"/>
      <c r="M625" s="819"/>
      <c r="N625" s="104"/>
      <c r="O625" s="824"/>
      <c r="P625" t="b">
        <v>0</v>
      </c>
      <c r="Q625" t="b">
        <v>1</v>
      </c>
      <c r="R625" t="b">
        <v>0</v>
      </c>
      <c r="S625" t="b">
        <f ca="1">AND(OR(S85,AND(OR(AND(BF16=2,BG16="Dry"),BI16="Tropical"),S85,O232&gt;0)),LEN(W623)=0)</f>
        <v>0</v>
      </c>
      <c r="T625" t="b">
        <f ca="1">AND(OR(NOT(S625),AND(W211=TRUE,BF16&lt;=2,W625&gt;0.33),AND(W211=TRUE,BF16&gt;=3,W625&gt;0.23)),LEN(W625)&gt;0)</f>
        <v>0</v>
      </c>
      <c r="W625" s="241"/>
      <c r="X625" s="817"/>
      <c r="AC625" t="b">
        <f ca="1">OR(AD625:AE625)</f>
        <v>0</v>
      </c>
      <c r="AD625" t="b">
        <f ca="1">T625</f>
        <v>0</v>
      </c>
      <c r="AP625" t="str">
        <f>SUBSTITUTE(SUBSTITUTE(SUBSTITUTE("dch"&amp;$B625&amp;$C625&amp;$D625&amp;$E625,".","_"),"(","_"),")","")</f>
        <v>dch705_6_2_1_1_2</v>
      </c>
      <c r="AQ625" t="str">
        <f>IF(LEN(W625)=0,"",W625)</f>
        <v/>
      </c>
    </row>
    <row r="626" spans="1:45" x14ac:dyDescent="0.35">
      <c r="B626" s="50" t="s">
        <v>1046</v>
      </c>
      <c r="C626" s="13" t="s">
        <v>258</v>
      </c>
      <c r="D626" s="13"/>
      <c r="E626" s="13"/>
      <c r="F626" s="13"/>
      <c r="G626" s="13"/>
      <c r="H626" s="453"/>
      <c r="I626" s="4"/>
      <c r="J626" s="156" t="s">
        <v>258</v>
      </c>
      <c r="K626" s="90"/>
      <c r="L626" s="90" t="s">
        <v>1048</v>
      </c>
      <c r="M626" s="40">
        <v>5</v>
      </c>
      <c r="N626" s="4"/>
      <c r="O626" s="75">
        <f>M626*S626*W626</f>
        <v>0</v>
      </c>
      <c r="P626" t="b">
        <v>0</v>
      </c>
      <c r="Q626" t="b">
        <v>1</v>
      </c>
      <c r="R626" t="b">
        <v>0</v>
      </c>
      <c r="S626" t="b">
        <f>O623&gt;0</f>
        <v>0</v>
      </c>
      <c r="T626" t="b">
        <f>AND(NOT(S626),W626=TRUE)</f>
        <v>0</v>
      </c>
      <c r="W626" s="17"/>
      <c r="X626" s="850"/>
      <c r="AC626" t="b">
        <f>OR(AD626:AE626)</f>
        <v>0</v>
      </c>
      <c r="AD626" t="b">
        <f>T626</f>
        <v>0</v>
      </c>
      <c r="AE626" t="b">
        <f>AND(W626=TRUE,LEN(X626)=0)</f>
        <v>0</v>
      </c>
      <c r="AL626" t="str">
        <f>SUBSTITUTE(SUBSTITUTE(SUBSTITUTE("dpa"&amp;$B626&amp;$C626&amp;$D626&amp;$E626,".","_"),"(","_"),")","")</f>
        <v>dpa705_6_2_1_2</v>
      </c>
      <c r="AM626">
        <f>M626</f>
        <v>5</v>
      </c>
      <c r="AN626" t="str">
        <f>SUBSTITUTE(SUBSTITUTE(SUBSTITUTE("dpc"&amp;$B626&amp;$C626&amp;$D626&amp;$E626,".","_"),"(","_"),")","")</f>
        <v>dpc705_6_2_1_2</v>
      </c>
      <c r="AO626">
        <f>O626</f>
        <v>0</v>
      </c>
      <c r="AP626" t="str">
        <f>SUBSTITUTE(SUBSTITUTE(SUBSTITUTE("dch"&amp;$B626&amp;$C626&amp;$D626&amp;$E626,".","_"),"(","_"),")","")</f>
        <v>dch705_6_2_1_2</v>
      </c>
      <c r="AQ626" t="str">
        <f>IF(LEN(W626)=0,"",W626)</f>
        <v/>
      </c>
      <c r="AR626" t="str">
        <f>SUBSTITUTE(SUBSTITUTE(SUBSTITUTE("dnt"&amp;$B626&amp;$C626&amp;$D626&amp;$E626,".","_"),"(","_"),")","")</f>
        <v>dnt705_6_2_1_2</v>
      </c>
      <c r="AS626" t="str">
        <f>IF(LEN(X626)=0,"",X626)</f>
        <v/>
      </c>
    </row>
    <row r="627" spans="1:45" x14ac:dyDescent="0.35">
      <c r="B627" s="50" t="s">
        <v>1046</v>
      </c>
      <c r="C627" s="13" t="s">
        <v>258</v>
      </c>
      <c r="D627" s="13"/>
      <c r="E627" s="13"/>
      <c r="F627" s="13"/>
      <c r="G627" s="13"/>
      <c r="H627" s="453"/>
      <c r="I627" s="4"/>
      <c r="J627" s="156"/>
      <c r="K627" s="90"/>
      <c r="L627" s="855" t="s">
        <v>3622</v>
      </c>
      <c r="M627" s="40"/>
      <c r="N627" s="4"/>
      <c r="O627" s="75"/>
      <c r="X627" s="851"/>
    </row>
    <row r="628" spans="1:45" x14ac:dyDescent="0.35">
      <c r="B628" s="50" t="s">
        <v>1046</v>
      </c>
      <c r="C628" s="13" t="s">
        <v>258</v>
      </c>
      <c r="D628" s="13"/>
      <c r="E628" s="13"/>
      <c r="F628" s="13"/>
      <c r="G628" s="13"/>
      <c r="H628" s="453"/>
      <c r="I628" s="133"/>
      <c r="J628" s="338"/>
      <c r="K628" s="228"/>
      <c r="L628" s="903"/>
      <c r="M628"/>
      <c r="O628"/>
      <c r="X628" s="816"/>
    </row>
    <row r="629" spans="1:45" x14ac:dyDescent="0.35">
      <c r="B629" s="412" t="s">
        <v>1049</v>
      </c>
      <c r="C629" s="13"/>
      <c r="D629" s="13"/>
      <c r="E629" s="13"/>
      <c r="F629" s="13"/>
      <c r="G629" s="13"/>
      <c r="H629" s="453"/>
      <c r="I629" s="32" t="s">
        <v>1049</v>
      </c>
      <c r="J629" s="90"/>
      <c r="K629" s="90"/>
      <c r="L629" s="838" t="s">
        <v>4336</v>
      </c>
      <c r="M629"/>
      <c r="O629"/>
    </row>
    <row r="630" spans="1:45" x14ac:dyDescent="0.35">
      <c r="B630" s="412" t="s">
        <v>1049</v>
      </c>
      <c r="C630" s="13"/>
      <c r="D630" s="13"/>
      <c r="E630" s="13"/>
      <c r="F630" s="13"/>
      <c r="G630" s="13"/>
      <c r="H630" s="453"/>
      <c r="I630" s="4"/>
      <c r="J630" s="90"/>
      <c r="K630" s="90"/>
      <c r="L630" s="838"/>
      <c r="M630" s="40"/>
      <c r="N630" s="4"/>
      <c r="O630" s="75"/>
    </row>
    <row r="631" spans="1:45" x14ac:dyDescent="0.35">
      <c r="B631" s="412" t="s">
        <v>1049</v>
      </c>
      <c r="C631" s="13"/>
      <c r="D631" s="13"/>
      <c r="E631" s="13"/>
      <c r="F631" s="13"/>
      <c r="G631" s="13"/>
      <c r="H631" s="453"/>
      <c r="I631" s="4"/>
      <c r="J631" s="90"/>
      <c r="K631" s="90"/>
      <c r="L631" s="838"/>
      <c r="M631" s="40"/>
      <c r="N631" s="4"/>
      <c r="O631" s="75"/>
    </row>
    <row r="632" spans="1:45" x14ac:dyDescent="0.35">
      <c r="B632" s="412" t="s">
        <v>1049</v>
      </c>
      <c r="C632" s="13" t="s">
        <v>256</v>
      </c>
      <c r="D632" s="13"/>
      <c r="E632" s="13"/>
      <c r="F632" s="13"/>
      <c r="G632" s="13"/>
      <c r="H632" s="453"/>
      <c r="I632" s="4"/>
      <c r="J632" s="156" t="s">
        <v>256</v>
      </c>
      <c r="K632" s="90"/>
      <c r="L632" s="814" t="s">
        <v>1050</v>
      </c>
      <c r="M632" s="818">
        <v>5</v>
      </c>
      <c r="N632" s="4"/>
      <c r="O632" s="832">
        <f>M632*S632*W632</f>
        <v>0</v>
      </c>
      <c r="P632" t="b">
        <v>0</v>
      </c>
      <c r="Q632" t="b">
        <v>1</v>
      </c>
      <c r="R632" t="b">
        <v>0</v>
      </c>
      <c r="S632" t="b">
        <v>1</v>
      </c>
      <c r="T632" t="b">
        <v>0</v>
      </c>
      <c r="W632" s="17"/>
      <c r="X632" s="817"/>
      <c r="AL632" t="str">
        <f>SUBSTITUTE(SUBSTITUTE(SUBSTITUTE("dpa"&amp;$B632&amp;$C632&amp;$D632&amp;$E632,".","_"),"(","_"),")","")</f>
        <v>dpa705_6_2_2_1</v>
      </c>
      <c r="AM632">
        <f>M632</f>
        <v>5</v>
      </c>
      <c r="AN632" t="str">
        <f>SUBSTITUTE(SUBSTITUTE(SUBSTITUTE("dpc"&amp;$B632&amp;$C632&amp;$D632&amp;$E632,".","_"),"(","_"),")","")</f>
        <v>dpc705_6_2_2_1</v>
      </c>
      <c r="AO632">
        <f>O632</f>
        <v>0</v>
      </c>
      <c r="AP632" t="str">
        <f>SUBSTITUTE(SUBSTITUTE(SUBSTITUTE("dch"&amp;$B632&amp;$C632&amp;$D632&amp;$E632,".","_"),"(","_"),")","")</f>
        <v>dch705_6_2_2_1</v>
      </c>
      <c r="AQ632" t="str">
        <f>IF(LEN(W632)=0,"",W632)</f>
        <v/>
      </c>
      <c r="AR632" t="str">
        <f>SUBSTITUTE(SUBSTITUTE(SUBSTITUTE("dnt"&amp;$B632&amp;$C632&amp;$D632&amp;$E632,".","_"),"(","_"),")","")</f>
        <v>dnt705_6_2_2_1</v>
      </c>
      <c r="AS632" t="str">
        <f>IF(LEN(X632)=0,"",X632)</f>
        <v/>
      </c>
    </row>
    <row r="633" spans="1:45" x14ac:dyDescent="0.35">
      <c r="B633" s="412" t="s">
        <v>1049</v>
      </c>
      <c r="C633" s="13" t="s">
        <v>256</v>
      </c>
      <c r="D633" s="13"/>
      <c r="E633" s="13"/>
      <c r="F633" s="13"/>
      <c r="G633" s="13"/>
      <c r="H633" s="453"/>
      <c r="I633" s="4"/>
      <c r="J633" s="338"/>
      <c r="K633" s="228"/>
      <c r="L633" s="815"/>
      <c r="M633" s="819"/>
      <c r="N633" s="133"/>
      <c r="O633" s="824"/>
      <c r="X633" s="817"/>
    </row>
    <row r="634" spans="1:45" x14ac:dyDescent="0.35">
      <c r="B634" s="412" t="s">
        <v>1049</v>
      </c>
      <c r="C634" s="13" t="s">
        <v>258</v>
      </c>
      <c r="D634" s="13"/>
      <c r="E634" s="13"/>
      <c r="F634" s="13"/>
      <c r="G634" s="13"/>
      <c r="H634" s="453"/>
      <c r="I634" s="4"/>
      <c r="J634" s="156" t="s">
        <v>258</v>
      </c>
      <c r="K634" s="90"/>
      <c r="L634" s="90" t="s">
        <v>1051</v>
      </c>
      <c r="M634" s="822">
        <v>3</v>
      </c>
      <c r="N634" s="118"/>
      <c r="O634" s="823">
        <f>M634*S634*W634</f>
        <v>0</v>
      </c>
      <c r="P634" t="b">
        <v>0</v>
      </c>
      <c r="Q634" t="b">
        <v>1</v>
      </c>
      <c r="R634" t="b">
        <v>0</v>
      </c>
      <c r="S634" t="b">
        <v>1</v>
      </c>
      <c r="T634" t="b">
        <v>0</v>
      </c>
      <c r="W634" s="17"/>
      <c r="X634" s="850"/>
      <c r="AC634" t="b">
        <f>OR(AD634:AE634)</f>
        <v>0</v>
      </c>
      <c r="AD634" t="b">
        <v>0</v>
      </c>
      <c r="AE634" t="b">
        <f>AND(W634=TRUE,LEN(X634)=0)</f>
        <v>0</v>
      </c>
      <c r="AL634" t="str">
        <f>SUBSTITUTE(SUBSTITUTE(SUBSTITUTE("dpa"&amp;$B634&amp;$C634&amp;$D634&amp;$E634,".","_"),"(","_"),")","")</f>
        <v>dpa705_6_2_2_2</v>
      </c>
      <c r="AM634">
        <f>M634</f>
        <v>3</v>
      </c>
      <c r="AN634" t="str">
        <f>SUBSTITUTE(SUBSTITUTE(SUBSTITUTE("dpc"&amp;$B634&amp;$C634&amp;$D634&amp;$E634,".","_"),"(","_"),")","")</f>
        <v>dpc705_6_2_2_2</v>
      </c>
      <c r="AO634">
        <f>O634</f>
        <v>0</v>
      </c>
      <c r="AP634" t="str">
        <f>SUBSTITUTE(SUBSTITUTE(SUBSTITUTE("dch"&amp;$B634&amp;$C634&amp;$D634&amp;$E634,".","_"),"(","_"),")","")</f>
        <v>dch705_6_2_2_2</v>
      </c>
      <c r="AQ634" t="str">
        <f>IF(LEN(W634)=0,"",W634)</f>
        <v/>
      </c>
      <c r="AR634" t="str">
        <f>SUBSTITUTE(SUBSTITUTE(SUBSTITUTE("dnt"&amp;$B634&amp;$C634&amp;$D634&amp;$E634,".","_"),"(","_"),")","")</f>
        <v>dnt705_6_2_2_2</v>
      </c>
      <c r="AS634" t="str">
        <f>IF(LEN(X634)=0,"",X634)</f>
        <v/>
      </c>
    </row>
    <row r="635" spans="1:45" x14ac:dyDescent="0.35">
      <c r="B635" s="412" t="s">
        <v>1049</v>
      </c>
      <c r="C635" s="13"/>
      <c r="D635" s="13"/>
      <c r="E635" s="13"/>
      <c r="F635" s="13"/>
      <c r="G635" s="13"/>
      <c r="H635" s="453"/>
      <c r="I635" s="4"/>
      <c r="J635" s="156"/>
      <c r="K635" s="90"/>
      <c r="L635" s="855" t="s">
        <v>3623</v>
      </c>
      <c r="M635" s="818"/>
      <c r="N635" s="4"/>
      <c r="O635" s="832"/>
      <c r="X635" s="851"/>
    </row>
    <row r="636" spans="1:45" x14ac:dyDescent="0.35">
      <c r="B636" s="412" t="s">
        <v>1049</v>
      </c>
      <c r="C636" s="13"/>
      <c r="D636" s="13"/>
      <c r="E636" s="13"/>
      <c r="F636" s="13"/>
      <c r="G636" s="13"/>
      <c r="H636" s="453"/>
      <c r="I636" s="133"/>
      <c r="J636" s="338"/>
      <c r="K636" s="228"/>
      <c r="L636" s="903"/>
      <c r="M636" s="819"/>
      <c r="N636" s="133"/>
      <c r="O636" s="824"/>
      <c r="X636" s="816"/>
    </row>
    <row r="637" spans="1:45" x14ac:dyDescent="0.35">
      <c r="B637" s="412" t="s">
        <v>1052</v>
      </c>
      <c r="C637" s="13"/>
      <c r="D637" s="13"/>
      <c r="E637" s="13"/>
      <c r="F637" s="13"/>
      <c r="G637" s="13"/>
      <c r="H637" s="453"/>
      <c r="I637" s="32" t="s">
        <v>1052</v>
      </c>
      <c r="J637" s="90"/>
      <c r="K637" s="90"/>
      <c r="L637" s="95" t="s">
        <v>1053</v>
      </c>
      <c r="M637" s="40"/>
      <c r="N637" s="4"/>
      <c r="O637" s="832">
        <f ca="1">IFERROR(INDEX({3,5},MATCH(W637,INDIRECT(U637),0)),0)*S637</f>
        <v>0</v>
      </c>
      <c r="P637" t="b">
        <v>0</v>
      </c>
      <c r="Q637" t="b">
        <v>1</v>
      </c>
      <c r="R637" t="b">
        <v>0</v>
      </c>
      <c r="S637" t="b">
        <f>AND(OR(AY39&lt;&gt;INDEX(ddHDucts,2),AY43&lt;&gt;INDEX(ddCDucts,2)),LEN(W364)=0)</f>
        <v>1</v>
      </c>
      <c r="T637" t="b">
        <f>AND(NOT(S637),LEN(W637)&gt;0)</f>
        <v>0</v>
      </c>
      <c r="U637" t="str">
        <f>SUBSTITUTE(SUBSTITUTE(SUBSTITUTE("dd"&amp;B637&amp;C637&amp;D637&amp;E637&amp;F637,".","_"),"(","_"),")","")</f>
        <v>dd705_6_2_3</v>
      </c>
      <c r="W637" s="9"/>
      <c r="X637" s="817"/>
      <c r="AN637" t="str">
        <f>SUBSTITUTE(SUBSTITUTE(SUBSTITUTE("dpc"&amp;$B637&amp;$C637&amp;$D637&amp;$E637,".","_"),"(","_"),")","")</f>
        <v>dpc705_6_2_3</v>
      </c>
      <c r="AO637">
        <f ca="1">O637</f>
        <v>0</v>
      </c>
      <c r="AP637" t="str">
        <f>SUBSTITUTE(SUBSTITUTE(SUBSTITUTE("dch"&amp;$B637&amp;$C637&amp;$D637&amp;$E637,".","_"),"(","_"),")","")</f>
        <v>dch705_6_2_3</v>
      </c>
      <c r="AQ637" t="str">
        <f>IF(LEN(W637)=0,"",W637)</f>
        <v/>
      </c>
      <c r="AR637" t="str">
        <f>SUBSTITUTE(SUBSTITUTE(SUBSTITUTE("dnt"&amp;$B637&amp;$C637&amp;$D637&amp;$E637,".","_"),"(","_"),")","")</f>
        <v>dnt705_6_2_3</v>
      </c>
      <c r="AS637" t="str">
        <f>IF(LEN(X637)=0,"",X637)</f>
        <v/>
      </c>
    </row>
    <row r="638" spans="1:45" x14ac:dyDescent="0.35">
      <c r="B638" s="412" t="s">
        <v>1052</v>
      </c>
      <c r="C638" s="13"/>
      <c r="D638" s="13"/>
      <c r="E638" s="13"/>
      <c r="F638" s="13"/>
      <c r="G638" s="13"/>
      <c r="H638" s="453"/>
      <c r="I638" s="4"/>
      <c r="J638" s="90"/>
      <c r="K638" s="90"/>
      <c r="L638" s="92" t="s">
        <v>1054</v>
      </c>
      <c r="M638" s="40"/>
      <c r="N638" s="4"/>
      <c r="O638" s="832"/>
      <c r="X638" s="817"/>
    </row>
    <row r="639" spans="1:45" x14ac:dyDescent="0.35">
      <c r="B639" s="412" t="s">
        <v>1052</v>
      </c>
      <c r="C639" s="13"/>
      <c r="D639" s="13"/>
      <c r="E639" s="13"/>
      <c r="F639" s="13"/>
      <c r="G639" s="13"/>
      <c r="H639" s="453"/>
      <c r="I639" s="4"/>
      <c r="J639" s="90"/>
      <c r="K639" s="90"/>
      <c r="L639" s="92" t="s">
        <v>3546</v>
      </c>
      <c r="M639" s="40"/>
      <c r="N639" s="4"/>
      <c r="O639" s="832"/>
      <c r="X639" s="817"/>
    </row>
    <row r="640" spans="1:45" x14ac:dyDescent="0.35">
      <c r="B640" s="412" t="s">
        <v>1052</v>
      </c>
      <c r="C640" s="13" t="s">
        <v>256</v>
      </c>
      <c r="D640" s="13"/>
      <c r="E640" s="13"/>
      <c r="F640" s="13"/>
      <c r="G640" s="13"/>
      <c r="H640" s="453"/>
      <c r="I640" s="4"/>
      <c r="J640" s="338" t="s">
        <v>256</v>
      </c>
      <c r="K640" s="228"/>
      <c r="L640" s="228" t="s">
        <v>3547</v>
      </c>
      <c r="M640" s="268">
        <v>3</v>
      </c>
      <c r="N640" s="4"/>
      <c r="O640" s="75"/>
      <c r="X640" s="817"/>
      <c r="AL640" t="str">
        <f>SUBSTITUTE(SUBSTITUTE(SUBSTITUTE("dpa"&amp;$B640&amp;$C640&amp;$D640&amp;$E640,".","_"),"(","_"),")","")</f>
        <v>dpa705_6_2_3_1</v>
      </c>
      <c r="AM640">
        <f>M640</f>
        <v>3</v>
      </c>
    </row>
    <row r="641" spans="2:45" x14ac:dyDescent="0.35">
      <c r="B641" s="412" t="s">
        <v>1052</v>
      </c>
      <c r="C641" s="13" t="s">
        <v>258</v>
      </c>
      <c r="D641" s="13"/>
      <c r="E641" s="13"/>
      <c r="F641" s="13"/>
      <c r="G641" s="13"/>
      <c r="H641" s="453"/>
      <c r="I641" s="4"/>
      <c r="J641" s="156" t="s">
        <v>258</v>
      </c>
      <c r="K641" s="90"/>
      <c r="L641" s="814" t="s">
        <v>3548</v>
      </c>
      <c r="M641" s="818">
        <v>5</v>
      </c>
      <c r="N641" s="4"/>
      <c r="O641" s="75"/>
      <c r="X641" s="817"/>
      <c r="AL641" t="str">
        <f>SUBSTITUTE(SUBSTITUTE(SUBSTITUTE("dpa"&amp;$B641&amp;$C641&amp;$D641&amp;$E641,".","_"),"(","_"),")","")</f>
        <v>dpa705_6_2_3_2</v>
      </c>
      <c r="AM641">
        <f>M641</f>
        <v>5</v>
      </c>
    </row>
    <row r="642" spans="2:45" x14ac:dyDescent="0.35">
      <c r="B642" s="412" t="s">
        <v>1052</v>
      </c>
      <c r="C642" s="50"/>
      <c r="D642" s="13"/>
      <c r="E642" s="13"/>
      <c r="F642" s="13"/>
      <c r="G642" s="13"/>
      <c r="H642" s="453"/>
      <c r="I642" s="133"/>
      <c r="J642" s="104"/>
      <c r="K642" s="228"/>
      <c r="L642" s="815"/>
      <c r="M642" s="819"/>
      <c r="N642" s="4"/>
      <c r="O642" s="309"/>
      <c r="X642" s="817"/>
    </row>
    <row r="643" spans="2:45" x14ac:dyDescent="0.35">
      <c r="B643" s="412" t="s">
        <v>3545</v>
      </c>
      <c r="C643" s="50"/>
      <c r="D643" s="13"/>
      <c r="E643" s="13"/>
      <c r="F643" s="13"/>
      <c r="G643" s="13"/>
      <c r="H643" s="453"/>
      <c r="I643" s="32" t="s">
        <v>3545</v>
      </c>
      <c r="J643" s="90"/>
      <c r="K643" s="90"/>
      <c r="L643" s="919" t="s">
        <v>3549</v>
      </c>
      <c r="M643" s="818">
        <v>1</v>
      </c>
      <c r="N643" s="4"/>
      <c r="O643" s="832">
        <f>M643*S643*W643*NOT(W645)</f>
        <v>0</v>
      </c>
      <c r="P643" t="b">
        <v>1</v>
      </c>
      <c r="Q643" t="b">
        <v>0</v>
      </c>
      <c r="R643" t="b">
        <v>0</v>
      </c>
      <c r="S643" t="b">
        <v>1</v>
      </c>
      <c r="T643" t="b">
        <v>0</v>
      </c>
      <c r="W643" s="17"/>
      <c r="AL643" t="str">
        <f>SUBSTITUTE(SUBSTITUTE(SUBSTITUTE("dpa"&amp;$B643&amp;$C643&amp;$D643&amp;$E643,".","_"),"(","_"),")","")</f>
        <v>dpa705_6_3</v>
      </c>
      <c r="AM643">
        <f>M643</f>
        <v>1</v>
      </c>
      <c r="AN643" t="str">
        <f>SUBSTITUTE(SUBSTITUTE(SUBSTITUTE("dpc"&amp;$B643&amp;$C643&amp;$D643&amp;$E643,".","_"),"(","_"),")","")</f>
        <v>dpc705_6_3</v>
      </c>
      <c r="AO643">
        <f>O643</f>
        <v>0</v>
      </c>
      <c r="AP643" t="str">
        <f>SUBSTITUTE(SUBSTITUTE(SUBSTITUTE("dch"&amp;$B643&amp;$C643&amp;$D643&amp;$E643,".","_"),"(","_"),")","")</f>
        <v>dch705_6_3</v>
      </c>
      <c r="AQ643" t="str">
        <f>IF(LEN(W643)=0,"",W643)</f>
        <v/>
      </c>
    </row>
    <row r="644" spans="2:45" x14ac:dyDescent="0.35">
      <c r="B644" s="412" t="s">
        <v>3545</v>
      </c>
      <c r="C644" s="50"/>
      <c r="D644" s="13"/>
      <c r="E644" s="13"/>
      <c r="F644" s="13"/>
      <c r="G644" s="13"/>
      <c r="H644" s="453"/>
      <c r="I644" s="4"/>
      <c r="J644" s="90"/>
      <c r="K644" s="90"/>
      <c r="L644" s="919"/>
      <c r="M644" s="818"/>
      <c r="N644" s="4"/>
      <c r="O644" s="832"/>
      <c r="W644" t="s">
        <v>4100</v>
      </c>
    </row>
    <row r="645" spans="2:45" x14ac:dyDescent="0.35">
      <c r="B645" s="412" t="s">
        <v>3545</v>
      </c>
      <c r="C645" s="13" t="s">
        <v>256</v>
      </c>
      <c r="D645" s="13"/>
      <c r="E645" s="13"/>
      <c r="F645" s="13"/>
      <c r="G645" s="13"/>
      <c r="H645" s="453"/>
      <c r="I645" s="4"/>
      <c r="J645" s="90"/>
      <c r="K645" s="90"/>
      <c r="L645" s="92" t="s">
        <v>1054</v>
      </c>
      <c r="M645" s="40"/>
      <c r="N645" s="4"/>
      <c r="O645" s="75"/>
      <c r="P645" t="b">
        <v>1</v>
      </c>
      <c r="Q645" t="b">
        <v>0</v>
      </c>
      <c r="R645" t="b">
        <v>0</v>
      </c>
      <c r="S645" t="b">
        <v>1</v>
      </c>
      <c r="T645" t="b">
        <v>0</v>
      </c>
      <c r="W645" s="17"/>
      <c r="AP645" t="str">
        <f>SUBSTITUTE(SUBSTITUTE(SUBSTITUTE("dch"&amp;$B645&amp;$C645&amp;$D645&amp;$E645,".","_"),"(","_"),")","")</f>
        <v>dch705_6_3_1</v>
      </c>
      <c r="AQ645" t="str">
        <f>IF(LEN(W645)=0,"",W645)</f>
        <v/>
      </c>
    </row>
    <row r="646" spans="2:45" x14ac:dyDescent="0.35">
      <c r="B646" s="412" t="s">
        <v>3545</v>
      </c>
      <c r="C646" s="13"/>
      <c r="D646" s="13" t="s">
        <v>121</v>
      </c>
      <c r="E646" s="13"/>
      <c r="F646" s="13"/>
      <c r="G646" s="13"/>
      <c r="H646" s="453"/>
      <c r="I646" s="4"/>
      <c r="J646" s="90"/>
      <c r="K646" s="152" t="s">
        <v>121</v>
      </c>
      <c r="L646" s="90" t="s">
        <v>1055</v>
      </c>
      <c r="M646" s="40"/>
      <c r="N646" s="4"/>
      <c r="O646" s="75"/>
      <c r="X646" s="36"/>
      <c r="AR646" t="str">
        <f t="shared" ref="AR646:AR652" si="18">SUBSTITUTE(SUBSTITUTE(SUBSTITUTE("dnt"&amp;$B646&amp;$C646&amp;$D646&amp;$E646,".","_"),"(","_"),")","")</f>
        <v>dnt705_6_3_a</v>
      </c>
      <c r="AS646" t="str">
        <f t="shared" ref="AS646:AS652" si="19">IF(LEN(X646)=0,"",X646)</f>
        <v/>
      </c>
    </row>
    <row r="647" spans="2:45" x14ac:dyDescent="0.35">
      <c r="B647" s="412" t="s">
        <v>3545</v>
      </c>
      <c r="C647" s="13"/>
      <c r="D647" s="13" t="s">
        <v>122</v>
      </c>
      <c r="E647" s="13"/>
      <c r="F647" s="13"/>
      <c r="G647" s="13"/>
      <c r="H647" s="453"/>
      <c r="I647" s="4"/>
      <c r="J647" s="90"/>
      <c r="K647" s="152" t="s">
        <v>122</v>
      </c>
      <c r="L647" s="470" t="s">
        <v>4337</v>
      </c>
      <c r="M647" s="40"/>
      <c r="N647" s="4"/>
      <c r="O647" s="75"/>
      <c r="X647" s="36"/>
      <c r="AR647" t="str">
        <f t="shared" si="18"/>
        <v>dnt705_6_3_b</v>
      </c>
      <c r="AS647" t="str">
        <f t="shared" si="19"/>
        <v/>
      </c>
    </row>
    <row r="648" spans="2:45" x14ac:dyDescent="0.35">
      <c r="B648" s="412" t="s">
        <v>3545</v>
      </c>
      <c r="C648" s="13"/>
      <c r="D648" s="18" t="s">
        <v>123</v>
      </c>
      <c r="E648" s="18"/>
      <c r="F648" s="18"/>
      <c r="G648" s="18"/>
      <c r="H648" s="454"/>
      <c r="I648" s="4"/>
      <c r="J648" s="90"/>
      <c r="K648" s="153" t="s">
        <v>123</v>
      </c>
      <c r="L648" s="90" t="s">
        <v>1056</v>
      </c>
      <c r="M648" s="40"/>
      <c r="N648" s="4"/>
      <c r="O648" s="75"/>
      <c r="X648" s="36"/>
      <c r="AR648" t="str">
        <f t="shared" si="18"/>
        <v>dnt705_6_3_c</v>
      </c>
      <c r="AS648" t="str">
        <f t="shared" si="19"/>
        <v/>
      </c>
    </row>
    <row r="649" spans="2:45" x14ac:dyDescent="0.35">
      <c r="B649" s="412" t="s">
        <v>3545</v>
      </c>
      <c r="C649" s="13"/>
      <c r="D649" s="13" t="s">
        <v>401</v>
      </c>
      <c r="E649" s="13"/>
      <c r="F649" s="13"/>
      <c r="G649" s="13"/>
      <c r="H649" s="453"/>
      <c r="I649" s="4"/>
      <c r="J649" s="90"/>
      <c r="K649" s="95" t="s">
        <v>401</v>
      </c>
      <c r="L649" s="90" t="s">
        <v>1057</v>
      </c>
      <c r="M649" s="40"/>
      <c r="N649" s="4"/>
      <c r="O649" s="75"/>
      <c r="X649" s="36"/>
      <c r="AR649" t="str">
        <f t="shared" si="18"/>
        <v>dnt705_6_3_d</v>
      </c>
      <c r="AS649" t="str">
        <f t="shared" si="19"/>
        <v/>
      </c>
    </row>
    <row r="650" spans="2:45" x14ac:dyDescent="0.35">
      <c r="B650" s="412" t="s">
        <v>3545</v>
      </c>
      <c r="C650" s="13"/>
      <c r="D650" s="13" t="s">
        <v>539</v>
      </c>
      <c r="E650" s="13"/>
      <c r="F650" s="13"/>
      <c r="G650" s="13"/>
      <c r="H650" s="453"/>
      <c r="I650" s="4"/>
      <c r="J650" s="90"/>
      <c r="K650" s="95" t="s">
        <v>539</v>
      </c>
      <c r="L650" s="90" t="s">
        <v>1058</v>
      </c>
      <c r="M650" s="40"/>
      <c r="N650" s="4"/>
      <c r="O650" s="75"/>
      <c r="X650" s="36"/>
      <c r="AR650" t="str">
        <f t="shared" si="18"/>
        <v>dnt705_6_3_e</v>
      </c>
      <c r="AS650" t="str">
        <f t="shared" si="19"/>
        <v/>
      </c>
    </row>
    <row r="651" spans="2:45" x14ac:dyDescent="0.35">
      <c r="B651" s="412" t="s">
        <v>3545</v>
      </c>
      <c r="C651" s="13"/>
      <c r="D651" s="18" t="s">
        <v>604</v>
      </c>
      <c r="E651" s="18"/>
      <c r="F651" s="18"/>
      <c r="G651" s="18"/>
      <c r="H651" s="454"/>
      <c r="I651" s="4"/>
      <c r="J651" s="90"/>
      <c r="K651" s="153" t="s">
        <v>604</v>
      </c>
      <c r="L651" s="90" t="s">
        <v>1059</v>
      </c>
      <c r="M651" s="40"/>
      <c r="N651" s="4"/>
      <c r="O651" s="75"/>
      <c r="X651" s="36"/>
      <c r="AR651" t="str">
        <f t="shared" si="18"/>
        <v>dnt705_6_3_f</v>
      </c>
      <c r="AS651" t="str">
        <f t="shared" si="19"/>
        <v/>
      </c>
    </row>
    <row r="652" spans="2:45" x14ac:dyDescent="0.35">
      <c r="B652" s="412" t="s">
        <v>3545</v>
      </c>
      <c r="C652" s="13"/>
      <c r="D652" s="13" t="s">
        <v>606</v>
      </c>
      <c r="E652" s="13"/>
      <c r="F652" s="13"/>
      <c r="G652" s="13"/>
      <c r="H652" s="453"/>
      <c r="I652" s="4"/>
      <c r="J652" s="90"/>
      <c r="K652" s="95" t="s">
        <v>606</v>
      </c>
      <c r="L652" s="848" t="s">
        <v>1060</v>
      </c>
      <c r="M652" s="40"/>
      <c r="N652" s="4"/>
      <c r="O652" s="75"/>
      <c r="X652" s="817"/>
      <c r="AR652" t="str">
        <f t="shared" si="18"/>
        <v>dnt705_6_3_g</v>
      </c>
      <c r="AS652" t="str">
        <f t="shared" si="19"/>
        <v/>
      </c>
    </row>
    <row r="653" spans="2:45" x14ac:dyDescent="0.35">
      <c r="B653" s="412" t="s">
        <v>3545</v>
      </c>
      <c r="C653" s="13"/>
      <c r="D653" s="13" t="s">
        <v>606</v>
      </c>
      <c r="E653" s="13"/>
      <c r="F653" s="13"/>
      <c r="G653" s="13"/>
      <c r="H653" s="453"/>
      <c r="I653" s="133"/>
      <c r="J653" s="228"/>
      <c r="K653" s="329"/>
      <c r="L653" s="821"/>
      <c r="M653" s="40"/>
      <c r="N653" s="4"/>
      <c r="O653" s="75"/>
      <c r="X653" s="817"/>
    </row>
    <row r="654" spans="2:45" x14ac:dyDescent="0.35">
      <c r="B654" s="412" t="s">
        <v>1061</v>
      </c>
      <c r="C654" s="50"/>
      <c r="D654" s="13"/>
      <c r="E654" s="13"/>
      <c r="F654" s="13"/>
      <c r="G654" s="13"/>
      <c r="H654" s="453"/>
      <c r="I654" s="32" t="s">
        <v>1061</v>
      </c>
      <c r="J654" s="90"/>
      <c r="K654" s="90"/>
      <c r="L654" s="157" t="s">
        <v>1062</v>
      </c>
      <c r="M654" s="40"/>
      <c r="N654" s="4"/>
      <c r="O654" s="75"/>
    </row>
    <row r="655" spans="2:45" x14ac:dyDescent="0.35">
      <c r="B655" s="412" t="s">
        <v>1063</v>
      </c>
      <c r="C655" s="50"/>
      <c r="D655" s="13"/>
      <c r="E655" s="13"/>
      <c r="F655" s="13"/>
      <c r="G655" s="13"/>
      <c r="H655" s="453"/>
      <c r="I655" s="32" t="s">
        <v>1063</v>
      </c>
      <c r="J655" s="90"/>
      <c r="K655" s="90"/>
      <c r="L655" s="933" t="s">
        <v>1064</v>
      </c>
      <c r="M655" s="818">
        <v>1</v>
      </c>
      <c r="N655" s="4"/>
      <c r="O655" s="832">
        <f ca="1">M655*S655*W655</f>
        <v>0</v>
      </c>
      <c r="P655" t="b">
        <v>1</v>
      </c>
      <c r="Q655" t="b">
        <v>1</v>
      </c>
      <c r="R655" t="b">
        <v>0</v>
      </c>
      <c r="S655" t="b">
        <f ca="1">IF(AY19=INDEX(INDIRECT("ddSingleOrMulti"),1),TRUE,FALSE)</f>
        <v>1</v>
      </c>
      <c r="T655" t="b">
        <f ca="1">AND(NOT(S655),W655=TRUE)</f>
        <v>0</v>
      </c>
      <c r="W655" s="17"/>
      <c r="X655" s="817"/>
      <c r="AC655" t="b">
        <f ca="1">OR(AD655:AE655)</f>
        <v>0</v>
      </c>
      <c r="AD655" t="b">
        <f ca="1">T655</f>
        <v>0</v>
      </c>
      <c r="AL655" t="str">
        <f>SUBSTITUTE(SUBSTITUTE(SUBSTITUTE("dpa"&amp;$B655&amp;$C655&amp;$D655&amp;$E655,".","_"),"(","_"),")","")</f>
        <v>dpa705_6_4_1</v>
      </c>
      <c r="AM655">
        <f>M655</f>
        <v>1</v>
      </c>
      <c r="AN655" t="str">
        <f>SUBSTITUTE(SUBSTITUTE(SUBSTITUTE("dpc"&amp;$B655&amp;$C655&amp;$D655&amp;$E655,".","_"),"(","_"),")","")</f>
        <v>dpc705_6_4_1</v>
      </c>
      <c r="AO655">
        <f ca="1">O655</f>
        <v>0</v>
      </c>
      <c r="AP655" t="str">
        <f>SUBSTITUTE(SUBSTITUTE(SUBSTITUTE("dch"&amp;$B655&amp;$C655&amp;$D655&amp;$E655,".","_"),"(","_"),")","")</f>
        <v>dch705_6_4_1</v>
      </c>
      <c r="AQ655" t="str">
        <f>IF(LEN(W655)=0,"",W655)</f>
        <v/>
      </c>
      <c r="AR655" t="str">
        <f>SUBSTITUTE(SUBSTITUTE(SUBSTITUTE("dnt"&amp;$B655&amp;$C655&amp;$D655&amp;$E655,".","_"),"(","_"),")","")</f>
        <v>dnt705_6_4_1</v>
      </c>
      <c r="AS655" t="str">
        <f>IF(LEN(X655)=0,"",X655)</f>
        <v/>
      </c>
    </row>
    <row r="656" spans="2:45" x14ac:dyDescent="0.35">
      <c r="B656" s="412" t="s">
        <v>1063</v>
      </c>
      <c r="C656" s="50"/>
      <c r="D656" s="13"/>
      <c r="E656" s="13"/>
      <c r="F656" s="13"/>
      <c r="G656" s="13"/>
      <c r="H656" s="453"/>
      <c r="I656" s="331"/>
      <c r="J656" s="228"/>
      <c r="K656" s="228"/>
      <c r="L656" s="934"/>
      <c r="M656" s="819"/>
      <c r="N656" s="133"/>
      <c r="O656" s="824"/>
      <c r="P656" s="104"/>
      <c r="Q656" s="104"/>
      <c r="R656" s="104"/>
      <c r="S656" s="104"/>
      <c r="T656" s="104"/>
      <c r="U656" s="104"/>
      <c r="V656" s="104"/>
      <c r="W656" s="335"/>
      <c r="X656" s="817"/>
    </row>
    <row r="657" spans="2:45" ht="15" customHeight="1" x14ac:dyDescent="0.35">
      <c r="B657" s="412" t="s">
        <v>1065</v>
      </c>
      <c r="C657" s="50"/>
      <c r="D657" s="13"/>
      <c r="E657" s="13"/>
      <c r="F657" s="13"/>
      <c r="G657" s="13"/>
      <c r="H657" s="453"/>
      <c r="I657" s="32" t="s">
        <v>1065</v>
      </c>
      <c r="J657" s="90"/>
      <c r="K657" s="90"/>
      <c r="L657" s="883" t="s">
        <v>4338</v>
      </c>
      <c r="M657" s="818">
        <v>2</v>
      </c>
      <c r="N657" s="4"/>
      <c r="O657" s="832">
        <f ca="1">M657*S657*W657</f>
        <v>0</v>
      </c>
      <c r="P657" t="b">
        <v>1</v>
      </c>
      <c r="Q657" t="b">
        <v>1</v>
      </c>
      <c r="R657" t="b">
        <v>0</v>
      </c>
      <c r="S657" t="b">
        <f ca="1">IF(AY19=INDEX(INDIRECT("ddSingleOrMulti"),2),TRUE,FALSE)</f>
        <v>0</v>
      </c>
      <c r="T657" t="b">
        <f ca="1">AND(NOT(S657),W657=TRUE)</f>
        <v>0</v>
      </c>
      <c r="W657" s="69"/>
      <c r="X657" s="817"/>
      <c r="AC657" t="b">
        <f ca="1">OR(AD657:AE657)</f>
        <v>0</v>
      </c>
      <c r="AD657" t="b">
        <f ca="1">T657</f>
        <v>0</v>
      </c>
      <c r="AL657" t="str">
        <f>SUBSTITUTE(SUBSTITUTE(SUBSTITUTE("dpa"&amp;$B657&amp;$C657&amp;$D657&amp;$E657,".","_"),"(","_"),")","")</f>
        <v>dpa705_6_4_2</v>
      </c>
      <c r="AM657">
        <f>M657</f>
        <v>2</v>
      </c>
      <c r="AN657" t="str">
        <f>SUBSTITUTE(SUBSTITUTE(SUBSTITUTE("dpc"&amp;$B657&amp;$C657&amp;$D657&amp;$E657,".","_"),"(","_"),")","")</f>
        <v>dpc705_6_4_2</v>
      </c>
      <c r="AO657">
        <f ca="1">O657</f>
        <v>0</v>
      </c>
      <c r="AP657" t="str">
        <f>SUBSTITUTE(SUBSTITUTE(SUBSTITUTE("dch"&amp;$B657&amp;$C657&amp;$D657&amp;$E657,".","_"),"(","_"),")","")</f>
        <v>dch705_6_4_2</v>
      </c>
      <c r="AQ657" t="str">
        <f>IF(LEN(W657)=0,"",W657)</f>
        <v/>
      </c>
      <c r="AR657" t="str">
        <f>SUBSTITUTE(SUBSTITUTE(SUBSTITUTE("dnt"&amp;$B657&amp;$C657&amp;$D657&amp;$E657,".","_"),"(","_"),")","")</f>
        <v>dnt705_6_4_2</v>
      </c>
      <c r="AS657" t="str">
        <f>IF(LEN(X657)=0,"",X657)</f>
        <v/>
      </c>
    </row>
    <row r="658" spans="2:45" ht="15" thickBot="1" x14ac:dyDescent="0.4">
      <c r="B658" s="412" t="s">
        <v>1065</v>
      </c>
      <c r="C658" s="50"/>
      <c r="D658" s="13"/>
      <c r="E658" s="13"/>
      <c r="F658" s="13"/>
      <c r="G658" s="13"/>
      <c r="H658" s="453"/>
      <c r="I658" s="160"/>
      <c r="J658" s="229"/>
      <c r="K658" s="229"/>
      <c r="L658" s="931"/>
      <c r="M658" s="827"/>
      <c r="N658" s="160"/>
      <c r="O658" s="833"/>
      <c r="P658" s="55"/>
      <c r="Q658" s="55"/>
      <c r="R658" s="55"/>
      <c r="S658" s="55"/>
      <c r="T658" s="55"/>
      <c r="U658" s="55"/>
      <c r="V658" s="55"/>
      <c r="W658" s="55"/>
      <c r="X658" s="829"/>
    </row>
    <row r="659" spans="2:45" ht="15" thickTop="1" x14ac:dyDescent="0.35">
      <c r="B659" s="412">
        <v>705.7</v>
      </c>
      <c r="C659" s="50"/>
      <c r="D659" s="13"/>
      <c r="E659" s="13"/>
      <c r="F659" s="13"/>
      <c r="G659" s="13"/>
      <c r="H659" s="453"/>
      <c r="I659" s="30">
        <v>705.7</v>
      </c>
      <c r="J659" s="90"/>
      <c r="K659" s="90"/>
      <c r="L659" s="932" t="s">
        <v>1066</v>
      </c>
      <c r="M659" s="818">
        <v>1</v>
      </c>
      <c r="N659" s="4"/>
      <c r="O659" s="832">
        <f ca="1">M659*S659*W659</f>
        <v>0</v>
      </c>
      <c r="P659" t="b">
        <v>0</v>
      </c>
      <c r="Q659" t="b">
        <v>1</v>
      </c>
      <c r="R659" t="b">
        <v>0</v>
      </c>
      <c r="S659" t="b">
        <f ca="1">IF(AY19=INDEX(INDIRECT("ddSingleOrMulti"),2),TRUE,FALSE)</f>
        <v>0</v>
      </c>
      <c r="T659" t="b">
        <f ca="1">AND(NOT(S659),W659=TRUE)</f>
        <v>0</v>
      </c>
      <c r="W659" s="69"/>
      <c r="X659" s="816"/>
      <c r="AC659" t="b">
        <f ca="1">OR(AD659:AE659)</f>
        <v>0</v>
      </c>
      <c r="AD659" t="b">
        <f ca="1">T659</f>
        <v>0</v>
      </c>
      <c r="AL659" t="str">
        <f>SUBSTITUTE(SUBSTITUTE(SUBSTITUTE("dpa"&amp;$B659&amp;$C659&amp;$D659&amp;$E659,".","_"),"(","_"),")","")</f>
        <v>dpa705_7</v>
      </c>
      <c r="AM659">
        <f>M659</f>
        <v>1</v>
      </c>
      <c r="AN659" t="str">
        <f>SUBSTITUTE(SUBSTITUTE(SUBSTITUTE("dpc"&amp;$B659&amp;$C659&amp;$D659&amp;$E659,".","_"),"(","_"),")","")</f>
        <v>dpc705_7</v>
      </c>
      <c r="AO659">
        <f ca="1">O659</f>
        <v>0</v>
      </c>
      <c r="AP659" t="str">
        <f>SUBSTITUTE(SUBSTITUTE(SUBSTITUTE("dch"&amp;$B659&amp;$C659&amp;$D659&amp;$E659,".","_"),"(","_"),")","")</f>
        <v>dch705_7</v>
      </c>
      <c r="AQ659" t="str">
        <f>IF(LEN(W659)=0,"",W659)</f>
        <v/>
      </c>
      <c r="AR659" t="str">
        <f>SUBSTITUTE(SUBSTITUTE(SUBSTITUTE("dnt"&amp;$B659&amp;$C659&amp;$D659&amp;$E659,".","_"),"(","_"),")","")</f>
        <v>dnt705_7</v>
      </c>
      <c r="AS659" t="str">
        <f>IF(LEN(X659)=0,"",X659)</f>
        <v/>
      </c>
    </row>
    <row r="660" spans="2:45" x14ac:dyDescent="0.35">
      <c r="B660" s="412">
        <v>705.7</v>
      </c>
      <c r="C660" s="50"/>
      <c r="D660" s="13"/>
      <c r="E660" s="13"/>
      <c r="F660" s="13"/>
      <c r="G660" s="13"/>
      <c r="H660" s="453"/>
      <c r="I660" s="4"/>
      <c r="J660" s="90"/>
      <c r="K660" s="90"/>
      <c r="L660" s="932"/>
      <c r="M660" s="818"/>
      <c r="N660" s="4"/>
      <c r="O660" s="832"/>
      <c r="X660" s="817"/>
    </row>
    <row r="661" spans="2:45" x14ac:dyDescent="0.35">
      <c r="B661" s="412">
        <v>705.7</v>
      </c>
      <c r="C661" s="50"/>
      <c r="D661" s="13"/>
      <c r="E661" s="13"/>
      <c r="F661" s="13"/>
      <c r="G661" s="13"/>
      <c r="H661" s="453"/>
      <c r="I661" s="4"/>
      <c r="J661" s="90"/>
      <c r="K661" s="90"/>
      <c r="L661" s="932"/>
      <c r="M661" s="818"/>
      <c r="N661" s="4"/>
      <c r="O661" s="832"/>
      <c r="X661" s="817"/>
    </row>
    <row r="662" spans="2:45" x14ac:dyDescent="0.35">
      <c r="B662" s="412">
        <v>705.7</v>
      </c>
      <c r="C662" s="50"/>
      <c r="D662" s="13"/>
      <c r="E662" s="13"/>
      <c r="F662" s="13"/>
      <c r="G662" s="13"/>
      <c r="H662" s="453"/>
      <c r="I662" s="4"/>
      <c r="J662" s="90"/>
      <c r="K662" s="90"/>
      <c r="L662" s="932"/>
      <c r="M662" s="818"/>
      <c r="N662" s="4"/>
      <c r="O662" s="832"/>
      <c r="X662" s="817"/>
    </row>
    <row r="663" spans="2:45" ht="18.5" x14ac:dyDescent="0.45">
      <c r="B663" s="412">
        <v>706</v>
      </c>
      <c r="C663" s="50"/>
      <c r="D663" s="13"/>
      <c r="E663" s="13"/>
      <c r="F663" s="13"/>
      <c r="G663" s="13"/>
      <c r="H663" s="453"/>
      <c r="I663" s="10" t="s">
        <v>1067</v>
      </c>
      <c r="J663" s="44"/>
      <c r="K663" s="44"/>
      <c r="L663" s="44"/>
      <c r="M663" s="243"/>
      <c r="N663" s="311"/>
      <c r="O663" s="307"/>
      <c r="P663" s="15"/>
      <c r="Q663" s="15"/>
      <c r="R663" s="15"/>
      <c r="S663" s="15"/>
      <c r="T663" s="15"/>
      <c r="U663" s="15"/>
      <c r="V663" s="15"/>
      <c r="W663" s="15"/>
      <c r="X663" s="15"/>
    </row>
    <row r="664" spans="2:45" ht="15" customHeight="1" x14ac:dyDescent="0.35">
      <c r="B664" s="412">
        <v>706.1</v>
      </c>
      <c r="C664" s="50"/>
      <c r="D664" s="13"/>
      <c r="E664" s="13"/>
      <c r="F664" s="13"/>
      <c r="G664" s="13"/>
      <c r="H664" s="453"/>
      <c r="I664" s="30">
        <v>706.1</v>
      </c>
      <c r="J664" s="90"/>
      <c r="K664" s="90"/>
      <c r="L664" s="881" t="s">
        <v>4339</v>
      </c>
      <c r="M664" s="818" t="s">
        <v>792</v>
      </c>
      <c r="N664" s="4"/>
      <c r="O664" s="832">
        <f>MIN(3,(M666*S666*W666+M667*S667*W667+M668*S668*W668+M669*S669*W669+M671*S671*W671))</f>
        <v>0</v>
      </c>
      <c r="AL664" t="str">
        <f>SUBSTITUTE(SUBSTITUTE(SUBSTITUTE("dpa"&amp;$B664&amp;$C664&amp;$D664&amp;$E664,".","_"),"(","_"),")","")</f>
        <v>dpa706_1</v>
      </c>
      <c r="AM664" t="str">
        <f>M664</f>
        <v>3 Max</v>
      </c>
      <c r="AN664" t="str">
        <f>SUBSTITUTE(SUBSTITUTE(SUBSTITUTE("dpc"&amp;$B664&amp;$C664&amp;$D664&amp;$E664,".","_"),"(","_"),")","")</f>
        <v>dpc706_1</v>
      </c>
      <c r="AO664">
        <f>O664</f>
        <v>0</v>
      </c>
    </row>
    <row r="665" spans="2:45" x14ac:dyDescent="0.35">
      <c r="B665" s="412">
        <v>706.1</v>
      </c>
      <c r="C665" s="50"/>
      <c r="D665" s="13"/>
      <c r="E665" s="13"/>
      <c r="F665" s="13"/>
      <c r="G665" s="13"/>
      <c r="H665" s="453"/>
      <c r="I665" s="4"/>
      <c r="J665" s="90"/>
      <c r="K665" s="90"/>
      <c r="L665" s="881"/>
      <c r="M665" s="818"/>
      <c r="N665" s="4"/>
      <c r="O665" s="832"/>
    </row>
    <row r="666" spans="2:45" x14ac:dyDescent="0.35">
      <c r="B666" s="412">
        <v>706.1</v>
      </c>
      <c r="C666" s="13" t="s">
        <v>256</v>
      </c>
      <c r="D666" s="13"/>
      <c r="E666" s="13"/>
      <c r="F666" s="13"/>
      <c r="G666" s="13"/>
      <c r="H666" s="453"/>
      <c r="I666" s="4"/>
      <c r="J666" s="338" t="s">
        <v>256</v>
      </c>
      <c r="K666" s="228"/>
      <c r="L666" s="228" t="s">
        <v>1068</v>
      </c>
      <c r="M666" s="268">
        <v>1</v>
      </c>
      <c r="N666" s="4"/>
      <c r="O666" s="75"/>
      <c r="Q666" t="b">
        <v>1</v>
      </c>
      <c r="R666" t="b">
        <v>0</v>
      </c>
      <c r="S666" t="b">
        <v>1</v>
      </c>
      <c r="T666" t="b">
        <v>0</v>
      </c>
      <c r="W666" s="17"/>
      <c r="X666" s="36"/>
      <c r="AL666" t="str">
        <f>SUBSTITUTE(SUBSTITUTE(SUBSTITUTE("dpa"&amp;$B666&amp;$C666&amp;$D666&amp;$E666,".","_"),"(","_"),")","")</f>
        <v>dpa706_1_1</v>
      </c>
      <c r="AM666">
        <f>M666</f>
        <v>1</v>
      </c>
      <c r="AP666" t="str">
        <f>SUBSTITUTE(SUBSTITUTE(SUBSTITUTE("dch"&amp;$B666&amp;$C666&amp;$D666&amp;$E666,".","_"),"(","_"),")","")</f>
        <v>dch706_1_1</v>
      </c>
      <c r="AQ666" t="str">
        <f>IF(LEN(W666)=0,"",W666)</f>
        <v/>
      </c>
      <c r="AR666" t="str">
        <f>SUBSTITUTE(SUBSTITUTE(SUBSTITUTE("dnt"&amp;$B666&amp;$C666&amp;$D666&amp;$E666,".","_"),"(","_"),")","")</f>
        <v>dnt706_1_1</v>
      </c>
      <c r="AS666" t="str">
        <f>IF(LEN(X666)=0,"",X666)</f>
        <v/>
      </c>
    </row>
    <row r="667" spans="2:45" x14ac:dyDescent="0.35">
      <c r="B667" s="412">
        <v>706.1</v>
      </c>
      <c r="C667" s="13" t="s">
        <v>258</v>
      </c>
      <c r="D667" s="13"/>
      <c r="E667" s="13"/>
      <c r="F667" s="13"/>
      <c r="G667" s="13"/>
      <c r="H667" s="453"/>
      <c r="I667" s="4"/>
      <c r="J667" s="348" t="s">
        <v>258</v>
      </c>
      <c r="K667" s="178"/>
      <c r="L667" s="178" t="s">
        <v>1069</v>
      </c>
      <c r="M667" s="278">
        <v>1</v>
      </c>
      <c r="N667" s="4"/>
      <c r="O667" s="75"/>
      <c r="Q667" t="b">
        <v>1</v>
      </c>
      <c r="R667" t="b">
        <v>0</v>
      </c>
      <c r="S667" t="b">
        <v>1</v>
      </c>
      <c r="T667" t="b">
        <v>0</v>
      </c>
      <c r="W667" s="17"/>
      <c r="X667" s="36"/>
      <c r="AL667" t="str">
        <f>SUBSTITUTE(SUBSTITUTE(SUBSTITUTE("dpa"&amp;$B667&amp;$C667&amp;$D667&amp;$E667,".","_"),"(","_"),")","")</f>
        <v>dpa706_1_2</v>
      </c>
      <c r="AM667">
        <f>M667</f>
        <v>1</v>
      </c>
      <c r="AP667" t="str">
        <f>SUBSTITUTE(SUBSTITUTE(SUBSTITUTE("dch"&amp;$B667&amp;$C667&amp;$D667&amp;$E667,".","_"),"(","_"),")","")</f>
        <v>dch706_1_2</v>
      </c>
      <c r="AQ667" t="str">
        <f>IF(LEN(W667)=0,"",W667)</f>
        <v/>
      </c>
      <c r="AR667" t="str">
        <f>SUBSTITUTE(SUBSTITUTE(SUBSTITUTE("dnt"&amp;$B667&amp;$C667&amp;$D667&amp;$E667,".","_"),"(","_"),")","")</f>
        <v>dnt706_1_2</v>
      </c>
      <c r="AS667" t="str">
        <f>IF(LEN(X667)=0,"",X667)</f>
        <v/>
      </c>
    </row>
    <row r="668" spans="2:45" x14ac:dyDescent="0.35">
      <c r="B668" s="412">
        <v>706.1</v>
      </c>
      <c r="C668" s="13" t="s">
        <v>260</v>
      </c>
      <c r="D668" s="13"/>
      <c r="E668" s="13"/>
      <c r="F668" s="13"/>
      <c r="G668" s="13"/>
      <c r="H668" s="453"/>
      <c r="I668" s="4"/>
      <c r="J668" s="348" t="s">
        <v>260</v>
      </c>
      <c r="K668" s="178"/>
      <c r="L668" s="178" t="s">
        <v>1070</v>
      </c>
      <c r="M668" s="278">
        <v>3</v>
      </c>
      <c r="N668" s="4"/>
      <c r="O668" s="75"/>
      <c r="Q668" t="b">
        <v>1</v>
      </c>
      <c r="R668" t="b">
        <v>0</v>
      </c>
      <c r="S668" t="b">
        <v>1</v>
      </c>
      <c r="T668" t="b">
        <v>0</v>
      </c>
      <c r="W668" s="17"/>
      <c r="X668" s="36"/>
      <c r="AL668" t="str">
        <f>SUBSTITUTE(SUBSTITUTE(SUBSTITUTE("dpa"&amp;$B668&amp;$C668&amp;$D668&amp;$E668,".","_"),"(","_"),")","")</f>
        <v>dpa706_1_3</v>
      </c>
      <c r="AM668">
        <f>M668</f>
        <v>3</v>
      </c>
      <c r="AP668" t="str">
        <f>SUBSTITUTE(SUBSTITUTE(SUBSTITUTE("dch"&amp;$B668&amp;$C668&amp;$D668&amp;$E668,".","_"),"(","_"),")","")</f>
        <v>dch706_1_3</v>
      </c>
      <c r="AQ668" t="str">
        <f>IF(LEN(W668)=0,"",W668)</f>
        <v/>
      </c>
      <c r="AR668" t="str">
        <f>SUBSTITUTE(SUBSTITUTE(SUBSTITUTE("dnt"&amp;$B668&amp;$C668&amp;$D668&amp;$E668,".","_"),"(","_"),")","")</f>
        <v>dnt706_1_3</v>
      </c>
      <c r="AS668" t="str">
        <f>IF(LEN(X668)=0,"",X668)</f>
        <v/>
      </c>
    </row>
    <row r="669" spans="2:45" x14ac:dyDescent="0.35">
      <c r="B669" s="412">
        <v>706.1</v>
      </c>
      <c r="C669" s="13" t="s">
        <v>269</v>
      </c>
      <c r="D669" s="13"/>
      <c r="E669" s="13"/>
      <c r="F669" s="13"/>
      <c r="G669" s="13"/>
      <c r="H669" s="453"/>
      <c r="I669" s="4"/>
      <c r="J669" s="349" t="s">
        <v>269</v>
      </c>
      <c r="K669" s="286"/>
      <c r="L669" s="820" t="s">
        <v>1071</v>
      </c>
      <c r="M669" s="822">
        <v>1</v>
      </c>
      <c r="N669" s="4"/>
      <c r="O669" s="75"/>
      <c r="Q669" t="b">
        <v>1</v>
      </c>
      <c r="R669" t="b">
        <v>0</v>
      </c>
      <c r="S669" t="b">
        <v>1</v>
      </c>
      <c r="T669" t="b">
        <v>0</v>
      </c>
      <c r="W669" s="17"/>
      <c r="X669" s="817"/>
      <c r="AL669" t="str">
        <f>SUBSTITUTE(SUBSTITUTE(SUBSTITUTE("dpa"&amp;$B669&amp;$C669&amp;$D669&amp;$E669,".","_"),"(","_"),")","")</f>
        <v>dpa706_1_4</v>
      </c>
      <c r="AM669">
        <f>M669</f>
        <v>1</v>
      </c>
      <c r="AP669" t="str">
        <f>SUBSTITUTE(SUBSTITUTE(SUBSTITUTE("dch"&amp;$B669&amp;$C669&amp;$D669&amp;$E669,".","_"),"(","_"),")","")</f>
        <v>dch706_1_4</v>
      </c>
      <c r="AQ669" t="str">
        <f>IF(LEN(W669)=0,"",W669)</f>
        <v/>
      </c>
      <c r="AR669" t="str">
        <f>SUBSTITUTE(SUBSTITUTE(SUBSTITUTE("dnt"&amp;$B669&amp;$C669&amp;$D669&amp;$E669,".","_"),"(","_"),")","")</f>
        <v>dnt706_1_4</v>
      </c>
      <c r="AS669" t="str">
        <f>IF(LEN(X669)=0,"",X669)</f>
        <v/>
      </c>
    </row>
    <row r="670" spans="2:45" x14ac:dyDescent="0.35">
      <c r="B670" s="412">
        <v>706.1</v>
      </c>
      <c r="C670" s="13" t="s">
        <v>269</v>
      </c>
      <c r="D670" s="13"/>
      <c r="E670" s="13"/>
      <c r="F670" s="13"/>
      <c r="G670" s="13"/>
      <c r="H670" s="453"/>
      <c r="I670" s="4"/>
      <c r="J670" s="338"/>
      <c r="K670" s="228"/>
      <c r="L670" s="821"/>
      <c r="M670" s="819"/>
      <c r="N670" s="4"/>
      <c r="O670" s="75"/>
      <c r="X670" s="817"/>
    </row>
    <row r="671" spans="2:45" ht="15" thickBot="1" x14ac:dyDescent="0.4">
      <c r="B671" s="412">
        <v>706.1</v>
      </c>
      <c r="C671" s="13" t="s">
        <v>275</v>
      </c>
      <c r="D671" s="13"/>
      <c r="E671" s="13"/>
      <c r="F671" s="13"/>
      <c r="G671" s="13"/>
      <c r="H671" s="453"/>
      <c r="I671" s="160"/>
      <c r="J671" s="340" t="s">
        <v>275</v>
      </c>
      <c r="K671" s="229"/>
      <c r="L671" s="229" t="s">
        <v>1072</v>
      </c>
      <c r="M671" s="270">
        <v>1</v>
      </c>
      <c r="N671" s="160"/>
      <c r="O671" s="161"/>
      <c r="P671" t="b">
        <v>0</v>
      </c>
      <c r="Q671" t="b">
        <v>1</v>
      </c>
      <c r="R671" s="55" t="b">
        <v>0</v>
      </c>
      <c r="S671" s="55" t="b">
        <v>1</v>
      </c>
      <c r="T671" s="55" t="b">
        <v>0</v>
      </c>
      <c r="U671" s="55"/>
      <c r="V671" s="55"/>
      <c r="W671" s="56"/>
      <c r="X671" s="98"/>
      <c r="AL671" t="str">
        <f>SUBSTITUTE(SUBSTITUTE(SUBSTITUTE("dpa"&amp;$B671&amp;$C671&amp;$D671&amp;$E671,".","_"),"(","_"),")","")</f>
        <v>dpa706_1_5</v>
      </c>
      <c r="AM671">
        <f>M671</f>
        <v>1</v>
      </c>
      <c r="AP671" t="str">
        <f>SUBSTITUTE(SUBSTITUTE(SUBSTITUTE("dch"&amp;$B671&amp;$C671&amp;$D671&amp;$E671,".","_"),"(","_"),")","")</f>
        <v>dch706_1_5</v>
      </c>
      <c r="AQ671" t="str">
        <f>IF(LEN(W671)=0,"",W671)</f>
        <v/>
      </c>
      <c r="AR671" t="str">
        <f>SUBSTITUTE(SUBSTITUTE(SUBSTITUTE("dnt"&amp;$B671&amp;$C671&amp;$D671&amp;$E671,".","_"),"(","_"),")","")</f>
        <v>dnt706_1_5</v>
      </c>
      <c r="AS671" t="str">
        <f>IF(LEN(X671)=0,"",X671)</f>
        <v/>
      </c>
    </row>
    <row r="672" spans="2:45" ht="15" thickTop="1" x14ac:dyDescent="0.35">
      <c r="B672" s="412">
        <v>706.2</v>
      </c>
      <c r="C672" s="13"/>
      <c r="D672" s="13"/>
      <c r="E672" s="13"/>
      <c r="F672" s="13"/>
      <c r="G672" s="13"/>
      <c r="H672" s="453"/>
      <c r="I672" s="30">
        <v>706.2</v>
      </c>
      <c r="J672" s="90"/>
      <c r="K672" s="90"/>
      <c r="L672" s="919" t="s">
        <v>1073</v>
      </c>
      <c r="M672" s="40"/>
      <c r="N672" s="4"/>
      <c r="O672" s="75"/>
    </row>
    <row r="673" spans="2:45" x14ac:dyDescent="0.35">
      <c r="B673" s="412">
        <v>706.2</v>
      </c>
      <c r="C673" s="13"/>
      <c r="D673" s="13"/>
      <c r="E673" s="13"/>
      <c r="F673" s="13"/>
      <c r="G673" s="13"/>
      <c r="H673" s="453"/>
      <c r="I673" s="30"/>
      <c r="J673" s="90"/>
      <c r="K673" s="90"/>
      <c r="L673" s="919"/>
      <c r="M673" s="40"/>
      <c r="N673" s="4"/>
      <c r="O673" s="75"/>
    </row>
    <row r="674" spans="2:45" ht="15" customHeight="1" x14ac:dyDescent="0.35">
      <c r="B674" s="412">
        <v>706.2</v>
      </c>
      <c r="C674" s="13" t="s">
        <v>256</v>
      </c>
      <c r="D674" s="13"/>
      <c r="E674" s="13"/>
      <c r="F674" s="13"/>
      <c r="G674" s="13"/>
      <c r="H674" s="453"/>
      <c r="I674" s="4"/>
      <c r="J674" s="156" t="s">
        <v>256</v>
      </c>
      <c r="K674" s="90"/>
      <c r="L674" s="825" t="s">
        <v>4340</v>
      </c>
      <c r="M674" s="818">
        <v>1</v>
      </c>
      <c r="N674" s="4"/>
      <c r="O674" s="832">
        <f>M674*S674*W674</f>
        <v>0</v>
      </c>
      <c r="P674" t="b">
        <v>0</v>
      </c>
      <c r="Q674" t="b">
        <v>1</v>
      </c>
      <c r="R674" t="b">
        <v>0</v>
      </c>
      <c r="S674" t="b">
        <v>1</v>
      </c>
      <c r="T674" t="b">
        <v>0</v>
      </c>
      <c r="W674" s="17"/>
      <c r="X674" s="817"/>
      <c r="AC674" t="b">
        <f>OR(AD674:AE674)</f>
        <v>0</v>
      </c>
      <c r="AD674" t="b">
        <f>T674</f>
        <v>0</v>
      </c>
      <c r="AE674" t="b">
        <f>AND(R674,NOT(W674))</f>
        <v>0</v>
      </c>
      <c r="AL674" t="str">
        <f>SUBSTITUTE(SUBSTITUTE(SUBSTITUTE("dpa"&amp;$B674&amp;$C674&amp;$D674&amp;$E674,".","_"),"(","_"),")","")</f>
        <v>dpa706_2_1</v>
      </c>
      <c r="AM674">
        <f>M674</f>
        <v>1</v>
      </c>
      <c r="AN674" t="str">
        <f>SUBSTITUTE(SUBSTITUTE(SUBSTITUTE("dpc"&amp;$B674&amp;$C674&amp;$D674&amp;$E674,".","_"),"(","_"),")","")</f>
        <v>dpc706_2_1</v>
      </c>
      <c r="AO674">
        <f>O674</f>
        <v>0</v>
      </c>
      <c r="AP674" t="str">
        <f>SUBSTITUTE(SUBSTITUTE(SUBSTITUTE("dch"&amp;$B674&amp;$C674&amp;$D674&amp;$E674,".","_"),"(","_"),")","")</f>
        <v>dch706_2_1</v>
      </c>
      <c r="AQ674" t="str">
        <f>IF(LEN(W674)=0,"",W674)</f>
        <v/>
      </c>
      <c r="AR674" t="str">
        <f>SUBSTITUTE(SUBSTITUTE(SUBSTITUTE("dnt"&amp;$B674&amp;$C674&amp;$D674&amp;$E674,".","_"),"(","_"),")","")</f>
        <v>dnt706_2_1</v>
      </c>
      <c r="AS674" t="str">
        <f>IF(LEN(X674)=0,"",X674)</f>
        <v/>
      </c>
    </row>
    <row r="675" spans="2:45" x14ac:dyDescent="0.35">
      <c r="B675" s="412">
        <v>706.2</v>
      </c>
      <c r="C675" s="13" t="s">
        <v>256</v>
      </c>
      <c r="D675" s="13"/>
      <c r="E675" s="13"/>
      <c r="F675" s="13"/>
      <c r="G675" s="13"/>
      <c r="H675" s="453"/>
      <c r="I675" s="4"/>
      <c r="J675" s="90"/>
      <c r="K675" s="90"/>
      <c r="L675" s="825"/>
      <c r="M675" s="818"/>
      <c r="N675" s="4"/>
      <c r="O675" s="832"/>
      <c r="X675" s="817"/>
    </row>
    <row r="676" spans="2:45" x14ac:dyDescent="0.35">
      <c r="B676" s="412">
        <v>706.2</v>
      </c>
      <c r="C676" s="13" t="s">
        <v>256</v>
      </c>
      <c r="D676" s="13"/>
      <c r="E676" s="13"/>
      <c r="F676" s="13"/>
      <c r="G676" s="13"/>
      <c r="H676" s="453"/>
      <c r="I676" s="4"/>
      <c r="J676" s="90"/>
      <c r="K676" s="90"/>
      <c r="L676" s="825"/>
      <c r="M676" s="818"/>
      <c r="N676" s="4"/>
      <c r="O676" s="832"/>
      <c r="X676" s="817"/>
    </row>
    <row r="677" spans="2:45" x14ac:dyDescent="0.35">
      <c r="B677" s="412">
        <v>706.2</v>
      </c>
      <c r="C677" s="13" t="s">
        <v>256</v>
      </c>
      <c r="D677" s="13"/>
      <c r="E677" s="13"/>
      <c r="F677" s="13"/>
      <c r="G677" s="13"/>
      <c r="H677" s="453"/>
      <c r="I677" s="4"/>
      <c r="J677" s="90"/>
      <c r="K677" s="90"/>
      <c r="L677" s="825"/>
      <c r="M677" s="818"/>
      <c r="N677" s="4"/>
      <c r="O677" s="832"/>
      <c r="X677" s="817"/>
    </row>
    <row r="678" spans="2:45" x14ac:dyDescent="0.35">
      <c r="B678" s="412">
        <v>706.2</v>
      </c>
      <c r="C678" s="13" t="s">
        <v>256</v>
      </c>
      <c r="D678" s="13"/>
      <c r="E678" s="13"/>
      <c r="F678" s="13"/>
      <c r="G678" s="13"/>
      <c r="H678" s="453"/>
      <c r="I678" s="4"/>
      <c r="J678" s="228"/>
      <c r="K678" s="228"/>
      <c r="L678" s="842"/>
      <c r="M678" s="819"/>
      <c r="N678" s="133"/>
      <c r="O678" s="824"/>
      <c r="X678" s="817"/>
    </row>
    <row r="679" spans="2:45" x14ac:dyDescent="0.35">
      <c r="B679" s="412">
        <v>706.2</v>
      </c>
      <c r="C679" s="13" t="s">
        <v>258</v>
      </c>
      <c r="D679" s="13"/>
      <c r="E679" s="13"/>
      <c r="F679" s="13"/>
      <c r="G679" s="13"/>
      <c r="H679" s="453"/>
      <c r="I679" s="4"/>
      <c r="J679" s="156" t="s">
        <v>258</v>
      </c>
      <c r="K679" s="90"/>
      <c r="L679" s="814" t="s">
        <v>1074</v>
      </c>
      <c r="M679" s="40"/>
      <c r="N679" s="4"/>
      <c r="O679" s="832">
        <f ca="1">IFERROR(INDEX({1,2},MATCH(W679,INDIRECT(U679),0)),0)</f>
        <v>0</v>
      </c>
      <c r="P679" t="b">
        <v>0</v>
      </c>
      <c r="Q679" t="b">
        <v>1</v>
      </c>
      <c r="R679" t="b">
        <v>0</v>
      </c>
      <c r="S679" t="b">
        <v>1</v>
      </c>
      <c r="T679" t="b">
        <v>0</v>
      </c>
      <c r="U679" t="str">
        <f>SUBSTITUTE(SUBSTITUTE(SUBSTITUTE("dd"&amp;B679&amp;C679&amp;D679&amp;E679&amp;F679,".","_"),"(","_"),")","")</f>
        <v>dd706_2_2</v>
      </c>
      <c r="W679" s="9"/>
      <c r="X679" s="817"/>
      <c r="AC679" t="b">
        <f>OR(AD679:AE679)</f>
        <v>0</v>
      </c>
      <c r="AD679" t="b">
        <f>T679</f>
        <v>0</v>
      </c>
      <c r="AE679" t="b">
        <f>AND(R679,OR(W679="Not Met",W679=""))</f>
        <v>0</v>
      </c>
      <c r="AN679" t="str">
        <f>SUBSTITUTE(SUBSTITUTE(SUBSTITUTE("dpc"&amp;$B679&amp;$C679&amp;$D679&amp;$E679,".","_"),"(","_"),")","")</f>
        <v>dpc706_2_2</v>
      </c>
      <c r="AO679">
        <f ca="1">O679</f>
        <v>0</v>
      </c>
      <c r="AP679" t="str">
        <f>SUBSTITUTE(SUBSTITUTE(SUBSTITUTE("dch"&amp;$B679&amp;$C679&amp;$D679&amp;$E679,".","_"),"(","_"),")","")</f>
        <v>dch706_2_2</v>
      </c>
      <c r="AQ679" t="str">
        <f>IF(LEN(W679)=0,"",W679)</f>
        <v/>
      </c>
      <c r="AR679" t="str">
        <f>SUBSTITUTE(SUBSTITUTE(SUBSTITUTE("dnt"&amp;$B679&amp;$C679&amp;$D679&amp;$E679,".","_"),"(","_"),")","")</f>
        <v>dnt706_2_2</v>
      </c>
      <c r="AS679" t="str">
        <f>IF(LEN(X679)=0,"",X679)</f>
        <v/>
      </c>
    </row>
    <row r="680" spans="2:45" x14ac:dyDescent="0.35">
      <c r="B680" s="412">
        <v>706.2</v>
      </c>
      <c r="C680" s="13" t="s">
        <v>258</v>
      </c>
      <c r="D680" s="13"/>
      <c r="E680" s="13"/>
      <c r="F680" s="13"/>
      <c r="G680" s="13"/>
      <c r="H680" s="453"/>
      <c r="I680" s="4"/>
      <c r="J680" s="90"/>
      <c r="K680" s="90"/>
      <c r="L680" s="814"/>
      <c r="M680" s="40"/>
      <c r="N680" s="4"/>
      <c r="O680" s="832"/>
      <c r="X680" s="817"/>
    </row>
    <row r="681" spans="2:45" x14ac:dyDescent="0.35">
      <c r="B681" s="412">
        <v>706.2</v>
      </c>
      <c r="C681" s="13" t="s">
        <v>258</v>
      </c>
      <c r="D681" s="13"/>
      <c r="E681" s="13"/>
      <c r="F681" s="13"/>
      <c r="G681" s="13"/>
      <c r="H681" s="453"/>
      <c r="I681" s="4"/>
      <c r="J681" s="90"/>
      <c r="K681" s="90"/>
      <c r="L681" s="814"/>
      <c r="M681" s="40"/>
      <c r="N681" s="4"/>
      <c r="O681" s="832"/>
      <c r="X681" s="817"/>
    </row>
    <row r="682" spans="2:45" x14ac:dyDescent="0.35">
      <c r="B682" s="412">
        <v>706.2</v>
      </c>
      <c r="C682" s="13" t="s">
        <v>258</v>
      </c>
      <c r="D682" s="13" t="s">
        <v>121</v>
      </c>
      <c r="E682" s="13"/>
      <c r="F682" s="13"/>
      <c r="G682" s="13"/>
      <c r="H682" s="453"/>
      <c r="I682" s="4"/>
      <c r="J682" s="90"/>
      <c r="K682" s="152" t="s">
        <v>121</v>
      </c>
      <c r="L682" s="814" t="s">
        <v>1075</v>
      </c>
      <c r="M682" s="818">
        <v>1</v>
      </c>
      <c r="N682" s="4"/>
      <c r="O682" s="75"/>
      <c r="X682" s="817"/>
      <c r="AL682" t="str">
        <f>SUBSTITUTE(SUBSTITUTE(SUBSTITUTE("dpa"&amp;$B682&amp;$C682&amp;$D682&amp;$E682,".","_"),"(","_"),")","")</f>
        <v>dpa706_2_2_a</v>
      </c>
      <c r="AM682">
        <f>M682</f>
        <v>1</v>
      </c>
    </row>
    <row r="683" spans="2:45" x14ac:dyDescent="0.35">
      <c r="B683" s="412">
        <v>706.2</v>
      </c>
      <c r="C683" s="13" t="s">
        <v>258</v>
      </c>
      <c r="D683" s="13" t="s">
        <v>121</v>
      </c>
      <c r="E683" s="13"/>
      <c r="F683" s="13"/>
      <c r="G683" s="13"/>
      <c r="H683" s="453"/>
      <c r="I683" s="4"/>
      <c r="J683" s="90"/>
      <c r="K683" s="326"/>
      <c r="L683" s="815"/>
      <c r="M683" s="819"/>
      <c r="N683" s="4"/>
      <c r="O683" s="75"/>
      <c r="X683" s="817"/>
    </row>
    <row r="684" spans="2:45" x14ac:dyDescent="0.35">
      <c r="B684" s="412">
        <v>706.2</v>
      </c>
      <c r="C684" s="13" t="s">
        <v>258</v>
      </c>
      <c r="D684" s="13" t="s">
        <v>122</v>
      </c>
      <c r="E684" s="13"/>
      <c r="F684" s="13"/>
      <c r="G684" s="13"/>
      <c r="H684" s="453"/>
      <c r="I684" s="4"/>
      <c r="J684" s="90"/>
      <c r="K684" s="152" t="s">
        <v>122</v>
      </c>
      <c r="L684" s="814" t="s">
        <v>1076</v>
      </c>
      <c r="M684" s="818">
        <v>2</v>
      </c>
      <c r="N684" s="4"/>
      <c r="O684" s="75"/>
      <c r="X684" s="817"/>
      <c r="AL684" t="str">
        <f>SUBSTITUTE(SUBSTITUTE(SUBSTITUTE("dpa"&amp;$B684&amp;$C684&amp;$D684&amp;$E684,".","_"),"(","_"),")","")</f>
        <v>dpa706_2_2_b</v>
      </c>
      <c r="AM684">
        <f>M684</f>
        <v>2</v>
      </c>
    </row>
    <row r="685" spans="2:45" ht="15" thickBot="1" x14ac:dyDescent="0.4">
      <c r="B685" s="412">
        <v>706.2</v>
      </c>
      <c r="C685" s="13" t="s">
        <v>258</v>
      </c>
      <c r="D685" s="13" t="s">
        <v>122</v>
      </c>
      <c r="E685" s="13"/>
      <c r="F685" s="13"/>
      <c r="G685" s="13"/>
      <c r="H685" s="453"/>
      <c r="I685" s="160"/>
      <c r="J685" s="229"/>
      <c r="K685" s="229"/>
      <c r="L685" s="839"/>
      <c r="M685" s="827"/>
      <c r="N685" s="160"/>
      <c r="O685" s="161"/>
      <c r="P685" s="55"/>
      <c r="Q685" s="55"/>
      <c r="R685" s="55"/>
      <c r="S685" s="55"/>
      <c r="T685" s="55"/>
      <c r="U685" s="55"/>
      <c r="V685" s="55"/>
      <c r="W685" s="55"/>
      <c r="X685" s="829"/>
    </row>
    <row r="686" spans="2:45" ht="15" thickTop="1" x14ac:dyDescent="0.35">
      <c r="B686" s="412">
        <v>706.3</v>
      </c>
      <c r="C686" s="13"/>
      <c r="D686" s="13"/>
      <c r="E686" s="13"/>
      <c r="F686" s="13"/>
      <c r="G686" s="13"/>
      <c r="H686" s="453"/>
      <c r="I686" s="30">
        <v>706.3</v>
      </c>
      <c r="J686" s="90"/>
      <c r="K686" s="90"/>
      <c r="L686" s="919" t="s">
        <v>1077</v>
      </c>
      <c r="M686" s="40"/>
      <c r="N686" s="4"/>
      <c r="O686" s="832">
        <f>IFERROR(INDEX({0,1,2},MATCH((1*S694*W694+1*S695*W695+1*S696*W696+1*S697*W697+1*S698*W698+1*S699*W699+2*S700*W700+2*S701*W701),{0,3,6},1)),0)</f>
        <v>0</v>
      </c>
      <c r="X686" s="816"/>
      <c r="AN686" t="str">
        <f>SUBSTITUTE(SUBSTITUTE(SUBSTITUTE("dpc"&amp;$B686&amp;$C686&amp;$D686&amp;$E686,".","_"),"(","_"),")","")</f>
        <v>dpc706_3</v>
      </c>
      <c r="AO686">
        <f>O686</f>
        <v>0</v>
      </c>
      <c r="AR686" t="str">
        <f>SUBSTITUTE(SUBSTITUTE(SUBSTITUTE("dnt"&amp;$B686&amp;$C686&amp;$D686&amp;$E686,".","_"),"(","_"),")","")</f>
        <v>dnt706_3</v>
      </c>
      <c r="AS686" t="str">
        <f>IF(LEN(X686)=0,"",X686)</f>
        <v/>
      </c>
    </row>
    <row r="687" spans="2:45" x14ac:dyDescent="0.35">
      <c r="B687" s="412">
        <v>706.3</v>
      </c>
      <c r="C687" s="13"/>
      <c r="D687" s="13"/>
      <c r="E687" s="13"/>
      <c r="F687" s="13"/>
      <c r="G687" s="13"/>
      <c r="H687" s="453"/>
      <c r="I687" s="30"/>
      <c r="J687" s="90"/>
      <c r="K687" s="90"/>
      <c r="L687" s="919"/>
      <c r="M687" s="40"/>
      <c r="N687" s="4"/>
      <c r="O687" s="832"/>
      <c r="X687" s="817"/>
    </row>
    <row r="688" spans="2:45" x14ac:dyDescent="0.35">
      <c r="B688" s="412">
        <v>706.3</v>
      </c>
      <c r="C688" s="13"/>
      <c r="D688" s="13" t="s">
        <v>121</v>
      </c>
      <c r="E688" s="13"/>
      <c r="F688" s="13"/>
      <c r="G688" s="13"/>
      <c r="H688" s="453"/>
      <c r="I688" s="4"/>
      <c r="J688" s="90"/>
      <c r="K688" s="90"/>
      <c r="L688" s="158" t="s">
        <v>1078</v>
      </c>
      <c r="M688" s="40">
        <v>1</v>
      </c>
      <c r="N688" s="4"/>
      <c r="O688" s="75"/>
      <c r="X688" s="817"/>
      <c r="AL688" t="str">
        <f>SUBSTITUTE(SUBSTITUTE(SUBSTITUTE("dpa"&amp;$B688&amp;$C688&amp;$D688&amp;$E688,".","_"),"(","_"),")","")</f>
        <v>dpa706_3_a</v>
      </c>
      <c r="AM688">
        <f>M688</f>
        <v>1</v>
      </c>
    </row>
    <row r="689" spans="2:45" ht="15" customHeight="1" x14ac:dyDescent="0.35">
      <c r="B689" s="412">
        <v>706.3</v>
      </c>
      <c r="C689" s="13"/>
      <c r="D689" s="13" t="s">
        <v>122</v>
      </c>
      <c r="E689" s="13"/>
      <c r="F689" s="13"/>
      <c r="G689" s="13"/>
      <c r="H689" s="453"/>
      <c r="I689" s="4"/>
      <c r="J689" s="90"/>
      <c r="K689" s="90"/>
      <c r="L689" s="158" t="s">
        <v>1079</v>
      </c>
      <c r="M689" s="40">
        <v>2</v>
      </c>
      <c r="N689" s="4"/>
      <c r="O689" s="75"/>
      <c r="X689" s="817"/>
      <c r="AL689" t="str">
        <f>SUBSTITUTE(SUBSTITUTE(SUBSTITUTE("dpa"&amp;$B689&amp;$C689&amp;$D689&amp;$E689,".","_"),"(","_"),")","")</f>
        <v>dpa706_3_b</v>
      </c>
      <c r="AM689">
        <f>M689</f>
        <v>2</v>
      </c>
    </row>
    <row r="690" spans="2:45" ht="15" customHeight="1" x14ac:dyDescent="0.35">
      <c r="B690" s="412">
        <v>706.3</v>
      </c>
      <c r="C690" s="50"/>
      <c r="D690" s="13"/>
      <c r="E690" s="13"/>
      <c r="F690" s="13"/>
      <c r="G690" s="13"/>
      <c r="H690" s="453"/>
      <c r="I690" s="4"/>
      <c r="K690" s="159"/>
      <c r="L690" s="895" t="s">
        <v>1080</v>
      </c>
      <c r="M690" s="40"/>
      <c r="N690" s="4"/>
      <c r="O690" s="75"/>
      <c r="X690" s="817"/>
    </row>
    <row r="691" spans="2:45" ht="15" customHeight="1" x14ac:dyDescent="0.35">
      <c r="B691" s="412">
        <v>706.3</v>
      </c>
      <c r="C691" s="50"/>
      <c r="D691" s="13"/>
      <c r="E691" s="13"/>
      <c r="F691" s="13"/>
      <c r="G691" s="13"/>
      <c r="H691" s="453"/>
      <c r="I691" s="4"/>
      <c r="K691" s="159"/>
      <c r="L691" s="895"/>
      <c r="M691" s="40"/>
      <c r="N691" s="4"/>
      <c r="O691" s="75"/>
      <c r="X691" s="817"/>
    </row>
    <row r="692" spans="2:45" ht="15" customHeight="1" x14ac:dyDescent="0.35">
      <c r="B692" s="412">
        <v>706.3</v>
      </c>
      <c r="C692" s="50"/>
      <c r="D692" s="13"/>
      <c r="E692" s="13"/>
      <c r="F692" s="13"/>
      <c r="G692" s="13"/>
      <c r="H692" s="453"/>
      <c r="I692" s="4"/>
      <c r="J692" s="90"/>
      <c r="L692" s="895" t="s">
        <v>1081</v>
      </c>
      <c r="M692" s="40"/>
      <c r="N692" s="4"/>
      <c r="O692" s="75"/>
      <c r="X692" s="817"/>
    </row>
    <row r="693" spans="2:45" x14ac:dyDescent="0.35">
      <c r="B693" s="412">
        <v>706.3</v>
      </c>
      <c r="C693" s="50"/>
      <c r="D693" s="13"/>
      <c r="E693" s="13"/>
      <c r="F693" s="13"/>
      <c r="G693" s="13"/>
      <c r="H693" s="453"/>
      <c r="I693" s="4"/>
      <c r="J693" s="90"/>
      <c r="L693" s="895"/>
      <c r="M693" s="40"/>
      <c r="N693" s="4"/>
      <c r="O693" s="75"/>
      <c r="X693" s="817"/>
    </row>
    <row r="694" spans="2:45" x14ac:dyDescent="0.35">
      <c r="B694" s="412">
        <v>706.3</v>
      </c>
      <c r="C694" s="13" t="s">
        <v>256</v>
      </c>
      <c r="D694" s="13"/>
      <c r="E694" s="13"/>
      <c r="F694" s="13"/>
      <c r="G694" s="13"/>
      <c r="H694" s="453"/>
      <c r="I694" s="4"/>
      <c r="J694" s="338" t="s">
        <v>256</v>
      </c>
      <c r="K694" s="228"/>
      <c r="L694" s="228" t="s">
        <v>962</v>
      </c>
      <c r="M694" s="40"/>
      <c r="N694" s="4"/>
      <c r="O694" s="75"/>
      <c r="P694" t="b">
        <v>0</v>
      </c>
      <c r="Q694" t="b">
        <v>1</v>
      </c>
      <c r="R694" t="b">
        <v>0</v>
      </c>
      <c r="S694" t="b">
        <f>IFERROR(NOT(OR(W729:W730,W741)),TRUE)</f>
        <v>1</v>
      </c>
      <c r="T694" t="b">
        <f t="shared" ref="T694:T701" si="20">AND(NOT(S694),W694=TRUE)</f>
        <v>0</v>
      </c>
      <c r="W694" s="17"/>
      <c r="X694" s="36"/>
      <c r="AC694" t="b">
        <f t="shared" ref="AC694:AC701" si="21">OR(AD694:AE694)</f>
        <v>0</v>
      </c>
      <c r="AD694" t="b">
        <f t="shared" ref="AD694:AD701" si="22">T694</f>
        <v>0</v>
      </c>
      <c r="AP694" t="str">
        <f t="shared" ref="AP694:AP701" si="23">SUBSTITUTE(SUBSTITUTE(SUBSTITUTE("dch"&amp;$B694&amp;$C694&amp;$D694&amp;$E694,".","_"),"(","_"),")","")</f>
        <v>dch706_3_1</v>
      </c>
      <c r="AQ694" t="str">
        <f t="shared" ref="AQ694:AQ701" si="24">IF(LEN(W694)=0,"",W694)</f>
        <v/>
      </c>
      <c r="AR694" t="str">
        <f t="shared" ref="AR694:AR701" si="25">SUBSTITUTE(SUBSTITUTE(SUBSTITUTE("dnt"&amp;$B694&amp;$C694&amp;$D694&amp;$E694,".","_"),"(","_"),")","")</f>
        <v>dnt706_3_1</v>
      </c>
      <c r="AS694" t="str">
        <f t="shared" ref="AS694:AS701" si="26">IF(LEN(X694)=0,"",X694)</f>
        <v/>
      </c>
    </row>
    <row r="695" spans="2:45" x14ac:dyDescent="0.35">
      <c r="B695" s="412">
        <v>706.3</v>
      </c>
      <c r="C695" s="13" t="s">
        <v>258</v>
      </c>
      <c r="D695" s="13"/>
      <c r="E695" s="13"/>
      <c r="F695" s="13"/>
      <c r="G695" s="13"/>
      <c r="H695" s="453"/>
      <c r="I695" s="4"/>
      <c r="J695" s="348" t="s">
        <v>258</v>
      </c>
      <c r="K695" s="178"/>
      <c r="L695" s="178" t="s">
        <v>1082</v>
      </c>
      <c r="M695" s="40"/>
      <c r="N695" s="4"/>
      <c r="O695" s="75"/>
      <c r="P695" t="b">
        <v>0</v>
      </c>
      <c r="Q695" t="b">
        <v>1</v>
      </c>
      <c r="R695" t="b">
        <v>0</v>
      </c>
      <c r="S695" t="b">
        <f>IFERROR(NOT(OR(W729:W730,W741)),TRUE)</f>
        <v>1</v>
      </c>
      <c r="T695" t="b">
        <f t="shared" si="20"/>
        <v>0</v>
      </c>
      <c r="W695" s="17"/>
      <c r="X695" s="36"/>
      <c r="AC695" t="b">
        <f t="shared" si="21"/>
        <v>0</v>
      </c>
      <c r="AD695" t="b">
        <f t="shared" si="22"/>
        <v>0</v>
      </c>
      <c r="AP695" t="str">
        <f t="shared" si="23"/>
        <v>dch706_3_2</v>
      </c>
      <c r="AQ695" t="str">
        <f t="shared" si="24"/>
        <v/>
      </c>
      <c r="AR695" t="str">
        <f t="shared" si="25"/>
        <v>dnt706_3_2</v>
      </c>
      <c r="AS695" t="str">
        <f t="shared" si="26"/>
        <v/>
      </c>
    </row>
    <row r="696" spans="2:45" x14ac:dyDescent="0.35">
      <c r="B696" s="412">
        <v>706.3</v>
      </c>
      <c r="C696" s="13" t="s">
        <v>260</v>
      </c>
      <c r="D696" s="13"/>
      <c r="E696" s="13"/>
      <c r="F696" s="13"/>
      <c r="G696" s="13"/>
      <c r="H696" s="453"/>
      <c r="I696" s="4"/>
      <c r="J696" s="348" t="s">
        <v>260</v>
      </c>
      <c r="K696" s="178"/>
      <c r="L696" s="178" t="s">
        <v>963</v>
      </c>
      <c r="M696" s="40"/>
      <c r="N696" s="4"/>
      <c r="O696" s="75"/>
      <c r="P696" t="b">
        <v>0</v>
      </c>
      <c r="Q696" t="b">
        <v>1</v>
      </c>
      <c r="R696" t="b">
        <v>0</v>
      </c>
      <c r="S696" t="b">
        <f>IFERROR(NOT(OR(W729:W730,W741)),TRUE)</f>
        <v>1</v>
      </c>
      <c r="T696" t="b">
        <f t="shared" si="20"/>
        <v>0</v>
      </c>
      <c r="W696" s="17"/>
      <c r="X696" s="36"/>
      <c r="AC696" t="b">
        <f t="shared" si="21"/>
        <v>0</v>
      </c>
      <c r="AD696" t="b">
        <f t="shared" si="22"/>
        <v>0</v>
      </c>
      <c r="AP696" t="str">
        <f t="shared" si="23"/>
        <v>dch706_3_3</v>
      </c>
      <c r="AQ696" t="str">
        <f t="shared" si="24"/>
        <v/>
      </c>
      <c r="AR696" t="str">
        <f t="shared" si="25"/>
        <v>dnt706_3_3</v>
      </c>
      <c r="AS696" t="str">
        <f t="shared" si="26"/>
        <v/>
      </c>
    </row>
    <row r="697" spans="2:45" x14ac:dyDescent="0.35">
      <c r="B697" s="412">
        <v>706.3</v>
      </c>
      <c r="C697" s="13" t="s">
        <v>269</v>
      </c>
      <c r="D697" s="13"/>
      <c r="E697" s="13"/>
      <c r="F697" s="13"/>
      <c r="G697" s="13"/>
      <c r="H697" s="453"/>
      <c r="I697" s="4"/>
      <c r="J697" s="348" t="s">
        <v>269</v>
      </c>
      <c r="K697" s="178"/>
      <c r="L697" s="178" t="s">
        <v>1083</v>
      </c>
      <c r="M697" s="40"/>
      <c r="N697" s="4"/>
      <c r="O697" s="75"/>
      <c r="P697" t="b">
        <v>0</v>
      </c>
      <c r="Q697" t="b">
        <v>1</v>
      </c>
      <c r="R697" t="b">
        <v>0</v>
      </c>
      <c r="S697" t="b">
        <f>IFERROR(NOT(OR(W729:W730,W741)),TRUE)</f>
        <v>1</v>
      </c>
      <c r="T697" t="b">
        <f t="shared" si="20"/>
        <v>0</v>
      </c>
      <c r="W697" s="17"/>
      <c r="X697" s="36"/>
      <c r="AC697" t="b">
        <f t="shared" si="21"/>
        <v>0</v>
      </c>
      <c r="AD697" t="b">
        <f t="shared" si="22"/>
        <v>0</v>
      </c>
      <c r="AP697" t="str">
        <f t="shared" si="23"/>
        <v>dch706_3_4</v>
      </c>
      <c r="AQ697" t="str">
        <f t="shared" si="24"/>
        <v/>
      </c>
      <c r="AR697" t="str">
        <f t="shared" si="25"/>
        <v>dnt706_3_4</v>
      </c>
      <c r="AS697" t="str">
        <f t="shared" si="26"/>
        <v/>
      </c>
    </row>
    <row r="698" spans="2:45" x14ac:dyDescent="0.35">
      <c r="B698" s="412">
        <v>706.3</v>
      </c>
      <c r="C698" s="13" t="s">
        <v>275</v>
      </c>
      <c r="D698" s="13"/>
      <c r="E698" s="13"/>
      <c r="F698" s="13"/>
      <c r="G698" s="13"/>
      <c r="H698" s="453"/>
      <c r="I698" s="4"/>
      <c r="J698" s="348" t="s">
        <v>275</v>
      </c>
      <c r="K698" s="178"/>
      <c r="L698" s="178" t="s">
        <v>1084</v>
      </c>
      <c r="M698" s="40"/>
      <c r="N698" s="4"/>
      <c r="O698" s="75"/>
      <c r="P698" t="b">
        <v>0</v>
      </c>
      <c r="Q698" t="b">
        <v>1</v>
      </c>
      <c r="R698" t="b">
        <v>0</v>
      </c>
      <c r="S698" t="b">
        <f>IFERROR(NOT(OR(W729:W730,W741)),TRUE)</f>
        <v>1</v>
      </c>
      <c r="T698" t="b">
        <f t="shared" si="20"/>
        <v>0</v>
      </c>
      <c r="W698" s="17"/>
      <c r="X698" s="36"/>
      <c r="AC698" t="b">
        <f t="shared" si="21"/>
        <v>0</v>
      </c>
      <c r="AD698" t="b">
        <f t="shared" si="22"/>
        <v>0</v>
      </c>
      <c r="AP698" t="str">
        <f t="shared" si="23"/>
        <v>dch706_3_5</v>
      </c>
      <c r="AQ698" t="str">
        <f t="shared" si="24"/>
        <v/>
      </c>
      <c r="AR698" t="str">
        <f t="shared" si="25"/>
        <v>dnt706_3_5</v>
      </c>
      <c r="AS698" t="str">
        <f t="shared" si="26"/>
        <v/>
      </c>
    </row>
    <row r="699" spans="2:45" x14ac:dyDescent="0.35">
      <c r="B699" s="412">
        <v>706.3</v>
      </c>
      <c r="C699" s="13" t="s">
        <v>277</v>
      </c>
      <c r="D699" s="13"/>
      <c r="E699" s="13"/>
      <c r="F699" s="13"/>
      <c r="G699" s="13"/>
      <c r="H699" s="453"/>
      <c r="I699" s="4"/>
      <c r="J699" s="348" t="s">
        <v>277</v>
      </c>
      <c r="K699" s="178"/>
      <c r="L699" s="178" t="s">
        <v>1085</v>
      </c>
      <c r="M699" s="40"/>
      <c r="N699" s="4"/>
      <c r="O699" s="75"/>
      <c r="P699" t="b">
        <v>0</v>
      </c>
      <c r="Q699" t="b">
        <v>1</v>
      </c>
      <c r="R699" t="b">
        <v>0</v>
      </c>
      <c r="S699" t="b">
        <f>IFERROR(NOT(OR(W729:W730,W741)),TRUE)</f>
        <v>1</v>
      </c>
      <c r="T699" t="b">
        <f t="shared" si="20"/>
        <v>0</v>
      </c>
      <c r="W699" s="17"/>
      <c r="X699" s="36"/>
      <c r="AC699" t="b">
        <f t="shared" si="21"/>
        <v>0</v>
      </c>
      <c r="AD699" t="b">
        <f t="shared" si="22"/>
        <v>0</v>
      </c>
      <c r="AP699" t="str">
        <f t="shared" si="23"/>
        <v>dch706_3_6</v>
      </c>
      <c r="AQ699" t="str">
        <f t="shared" si="24"/>
        <v/>
      </c>
      <c r="AR699" t="str">
        <f t="shared" si="25"/>
        <v>dnt706_3_6</v>
      </c>
      <c r="AS699" t="str">
        <f t="shared" si="26"/>
        <v/>
      </c>
    </row>
    <row r="700" spans="2:45" x14ac:dyDescent="0.35">
      <c r="B700" s="412">
        <v>706.3</v>
      </c>
      <c r="C700" s="13" t="s">
        <v>383</v>
      </c>
      <c r="D700" s="13"/>
      <c r="E700" s="13"/>
      <c r="F700" s="13"/>
      <c r="G700" s="13"/>
      <c r="H700" s="453"/>
      <c r="I700" s="4"/>
      <c r="J700" s="348" t="s">
        <v>383</v>
      </c>
      <c r="K700" s="178"/>
      <c r="L700" s="178" t="s">
        <v>1086</v>
      </c>
      <c r="M700" s="40"/>
      <c r="N700" s="4"/>
      <c r="O700" s="75"/>
      <c r="P700" t="b">
        <v>0</v>
      </c>
      <c r="Q700" t="b">
        <v>1</v>
      </c>
      <c r="R700" t="b">
        <v>0</v>
      </c>
      <c r="S700" t="b">
        <f>IFERROR(NOT(OR(W729:W730,W741)),TRUE)</f>
        <v>1</v>
      </c>
      <c r="T700" t="b">
        <f t="shared" si="20"/>
        <v>0</v>
      </c>
      <c r="W700" s="17"/>
      <c r="X700" s="36"/>
      <c r="AC700" t="b">
        <f t="shared" si="21"/>
        <v>0</v>
      </c>
      <c r="AD700" t="b">
        <f t="shared" si="22"/>
        <v>0</v>
      </c>
      <c r="AP700" t="str">
        <f t="shared" si="23"/>
        <v>dch706_3_7</v>
      </c>
      <c r="AQ700" t="str">
        <f t="shared" si="24"/>
        <v/>
      </c>
      <c r="AR700" t="str">
        <f t="shared" si="25"/>
        <v>dnt706_3_7</v>
      </c>
      <c r="AS700" t="str">
        <f t="shared" si="26"/>
        <v/>
      </c>
    </row>
    <row r="701" spans="2:45" ht="15" thickBot="1" x14ac:dyDescent="0.4">
      <c r="B701" s="412">
        <v>706.3</v>
      </c>
      <c r="C701" s="13" t="s">
        <v>428</v>
      </c>
      <c r="D701" s="13"/>
      <c r="E701" s="13"/>
      <c r="F701" s="13"/>
      <c r="G701" s="13"/>
      <c r="H701" s="453"/>
      <c r="I701" s="160"/>
      <c r="J701" s="340" t="s">
        <v>428</v>
      </c>
      <c r="K701" s="229"/>
      <c r="L701" s="229" t="s">
        <v>1087</v>
      </c>
      <c r="M701" s="270"/>
      <c r="N701" s="160"/>
      <c r="O701" s="161"/>
      <c r="P701" t="b">
        <v>0</v>
      </c>
      <c r="Q701" t="b">
        <v>1</v>
      </c>
      <c r="R701" s="55" t="b">
        <v>0</v>
      </c>
      <c r="S701" s="55" t="b">
        <f>IFERROR(NOT(OR(W729:W730,W741)),TRUE)</f>
        <v>1</v>
      </c>
      <c r="T701" s="55" t="b">
        <f t="shared" si="20"/>
        <v>0</v>
      </c>
      <c r="U701" s="55"/>
      <c r="V701" s="55"/>
      <c r="W701" s="56"/>
      <c r="X701" s="98"/>
      <c r="AC701" t="b">
        <f t="shared" si="21"/>
        <v>0</v>
      </c>
      <c r="AD701" t="b">
        <f t="shared" si="22"/>
        <v>0</v>
      </c>
      <c r="AP701" t="str">
        <f t="shared" si="23"/>
        <v>dch706_3_8</v>
      </c>
      <c r="AQ701" t="str">
        <f t="shared" si="24"/>
        <v/>
      </c>
      <c r="AR701" t="str">
        <f t="shared" si="25"/>
        <v>dnt706_3_8</v>
      </c>
      <c r="AS701" t="str">
        <f t="shared" si="26"/>
        <v/>
      </c>
    </row>
    <row r="702" spans="2:45" ht="15" thickTop="1" x14ac:dyDescent="0.35">
      <c r="B702" s="412">
        <v>706.4</v>
      </c>
      <c r="C702" s="13"/>
      <c r="D702" s="13"/>
      <c r="E702" s="13"/>
      <c r="F702" s="13"/>
      <c r="G702" s="13"/>
      <c r="H702" s="453"/>
      <c r="I702" s="30">
        <v>706.4</v>
      </c>
      <c r="J702" s="90"/>
      <c r="K702" s="90"/>
      <c r="L702" s="95" t="s">
        <v>1088</v>
      </c>
      <c r="M702" s="40"/>
      <c r="N702" s="4"/>
      <c r="O702" s="75"/>
    </row>
    <row r="703" spans="2:45" x14ac:dyDescent="0.35">
      <c r="B703" s="412" t="s">
        <v>1089</v>
      </c>
      <c r="C703" s="13"/>
      <c r="D703" s="13"/>
      <c r="E703" s="13"/>
      <c r="F703" s="13"/>
      <c r="G703" s="13"/>
      <c r="H703" s="453"/>
      <c r="I703" s="30" t="s">
        <v>1089</v>
      </c>
      <c r="J703" s="90"/>
      <c r="K703" s="90"/>
      <c r="L703" s="95" t="s">
        <v>1090</v>
      </c>
      <c r="M703" s="40"/>
      <c r="N703" s="4"/>
      <c r="O703" s="75"/>
    </row>
    <row r="704" spans="2:45" x14ac:dyDescent="0.35">
      <c r="B704" s="412" t="s">
        <v>1089</v>
      </c>
      <c r="C704" s="13" t="s">
        <v>256</v>
      </c>
      <c r="D704" s="13"/>
      <c r="E704" s="13"/>
      <c r="F704" s="13"/>
      <c r="G704" s="13"/>
      <c r="H704" s="453"/>
      <c r="I704" s="4"/>
      <c r="J704" s="156" t="s">
        <v>256</v>
      </c>
      <c r="K704" s="90"/>
      <c r="L704" s="814" t="s">
        <v>1091</v>
      </c>
      <c r="M704" s="818">
        <v>1</v>
      </c>
      <c r="N704" s="4"/>
      <c r="O704" s="832">
        <f>M704*S704*W704</f>
        <v>0</v>
      </c>
      <c r="P704" t="b">
        <v>1</v>
      </c>
      <c r="Q704" t="b">
        <v>1</v>
      </c>
      <c r="R704" t="b">
        <v>0</v>
      </c>
      <c r="S704" t="b">
        <v>1</v>
      </c>
      <c r="T704" t="b">
        <v>0</v>
      </c>
      <c r="W704" s="17"/>
      <c r="X704" s="817"/>
      <c r="AL704" t="str">
        <f>SUBSTITUTE(SUBSTITUTE(SUBSTITUTE("dpa"&amp;$B704&amp;$C704&amp;$D704&amp;$E704,".","_"),"(","_"),")","")</f>
        <v>dpa706_4_1_1</v>
      </c>
      <c r="AM704">
        <f>M704</f>
        <v>1</v>
      </c>
      <c r="AN704" t="str">
        <f>SUBSTITUTE(SUBSTITUTE(SUBSTITUTE("dpc"&amp;$B704&amp;$C704&amp;$D704&amp;$E704,".","_"),"(","_"),")","")</f>
        <v>dpc706_4_1_1</v>
      </c>
      <c r="AO704">
        <f>O704</f>
        <v>0</v>
      </c>
      <c r="AP704" t="str">
        <f>SUBSTITUTE(SUBSTITUTE(SUBSTITUTE("dch"&amp;$B704&amp;$C704&amp;$D704&amp;$E704,".","_"),"(","_"),")","")</f>
        <v>dch706_4_1_1</v>
      </c>
      <c r="AQ704" t="str">
        <f>IF(LEN(W704)=0,"",W704)</f>
        <v/>
      </c>
      <c r="AR704" t="str">
        <f>SUBSTITUTE(SUBSTITUTE(SUBSTITUTE("dnt"&amp;$B704&amp;$C704&amp;$D704&amp;$E704,".","_"),"(","_"),")","")</f>
        <v>dnt706_4_1_1</v>
      </c>
      <c r="AS704" t="str">
        <f>IF(LEN(X704)=0,"",X704)</f>
        <v/>
      </c>
    </row>
    <row r="705" spans="2:45" x14ac:dyDescent="0.35">
      <c r="B705" s="412" t="s">
        <v>1089</v>
      </c>
      <c r="C705" s="13" t="s">
        <v>256</v>
      </c>
      <c r="D705" s="13"/>
      <c r="E705" s="13"/>
      <c r="F705" s="13"/>
      <c r="G705" s="13"/>
      <c r="H705" s="453"/>
      <c r="I705" s="4"/>
      <c r="J705" s="338"/>
      <c r="K705" s="228"/>
      <c r="L705" s="815"/>
      <c r="M705" s="819"/>
      <c r="N705" s="133"/>
      <c r="O705" s="824"/>
      <c r="X705" s="817"/>
    </row>
    <row r="706" spans="2:45" x14ac:dyDescent="0.35">
      <c r="B706" s="412" t="s">
        <v>1089</v>
      </c>
      <c r="C706" s="13" t="s">
        <v>258</v>
      </c>
      <c r="D706" s="13"/>
      <c r="E706" s="13"/>
      <c r="F706" s="13"/>
      <c r="G706" s="13"/>
      <c r="H706" s="453"/>
      <c r="I706" s="4"/>
      <c r="J706" s="156" t="s">
        <v>258</v>
      </c>
      <c r="K706" s="90"/>
      <c r="L706" s="814" t="s">
        <v>1092</v>
      </c>
      <c r="M706" s="818">
        <v>3</v>
      </c>
      <c r="N706" s="4"/>
      <c r="O706" s="832">
        <f>M706*S706*W706</f>
        <v>0</v>
      </c>
      <c r="P706" t="b">
        <v>1</v>
      </c>
      <c r="Q706" t="b">
        <v>1</v>
      </c>
      <c r="R706" t="b">
        <v>0</v>
      </c>
      <c r="S706" t="b">
        <v>1</v>
      </c>
      <c r="T706" t="b">
        <v>0</v>
      </c>
      <c r="W706" s="17"/>
      <c r="X706" s="817"/>
      <c r="AL706" t="str">
        <f>SUBSTITUTE(SUBSTITUTE(SUBSTITUTE("dpa"&amp;$B706&amp;$C706&amp;$D706&amp;$E706,".","_"),"(","_"),")","")</f>
        <v>dpa706_4_1_2</v>
      </c>
      <c r="AM706">
        <f>M706</f>
        <v>3</v>
      </c>
      <c r="AN706" t="str">
        <f>SUBSTITUTE(SUBSTITUTE(SUBSTITUTE("dpc"&amp;$B706&amp;$C706&amp;$D706&amp;$E706,".","_"),"(","_"),")","")</f>
        <v>dpc706_4_1_2</v>
      </c>
      <c r="AO706">
        <f>O706</f>
        <v>0</v>
      </c>
      <c r="AP706" t="str">
        <f>SUBSTITUTE(SUBSTITUTE(SUBSTITUTE("dch"&amp;$B706&amp;$C706&amp;$D706&amp;$E706,".","_"),"(","_"),")","")</f>
        <v>dch706_4_1_2</v>
      </c>
      <c r="AQ706" t="str">
        <f>IF(LEN(W706)=0,"",W706)</f>
        <v/>
      </c>
      <c r="AR706" t="str">
        <f>SUBSTITUTE(SUBSTITUTE(SUBSTITUTE("dnt"&amp;$B706&amp;$C706&amp;$D706&amp;$E706,".","_"),"(","_"),")","")</f>
        <v>dnt706_4_1_2</v>
      </c>
      <c r="AS706" t="str">
        <f>IF(LEN(X706)=0,"",X706)</f>
        <v/>
      </c>
    </row>
    <row r="707" spans="2:45" x14ac:dyDescent="0.35">
      <c r="B707" s="412" t="s">
        <v>1089</v>
      </c>
      <c r="C707" s="13" t="s">
        <v>258</v>
      </c>
      <c r="D707" s="13"/>
      <c r="E707" s="13"/>
      <c r="F707" s="13"/>
      <c r="G707" s="13"/>
      <c r="H707" s="453"/>
      <c r="I707" s="133"/>
      <c r="J707" s="228"/>
      <c r="K707" s="228"/>
      <c r="L707" s="815"/>
      <c r="M707" s="819"/>
      <c r="N707" s="133"/>
      <c r="O707" s="824"/>
      <c r="P707" s="104"/>
      <c r="Q707" s="104"/>
      <c r="R707" s="104"/>
      <c r="S707" s="104"/>
      <c r="T707" s="104"/>
      <c r="U707" s="104"/>
      <c r="V707" s="104"/>
      <c r="W707" s="104"/>
      <c r="X707" s="817"/>
    </row>
    <row r="708" spans="2:45" x14ac:dyDescent="0.35">
      <c r="B708" s="412" t="s">
        <v>1093</v>
      </c>
      <c r="C708" s="13"/>
      <c r="D708" s="13"/>
      <c r="E708" s="13"/>
      <c r="F708" s="13"/>
      <c r="G708" s="13"/>
      <c r="H708" s="453"/>
      <c r="I708" s="117" t="s">
        <v>1093</v>
      </c>
      <c r="J708" s="286"/>
      <c r="K708" s="286"/>
      <c r="L708" s="905" t="s">
        <v>1094</v>
      </c>
      <c r="M708" s="822">
        <v>1</v>
      </c>
      <c r="N708" s="118"/>
      <c r="O708" s="823">
        <f>M708*S708*W708</f>
        <v>0</v>
      </c>
      <c r="P708" t="b">
        <v>1</v>
      </c>
      <c r="Q708" t="b">
        <v>1</v>
      </c>
      <c r="R708" s="120" t="b">
        <v>0</v>
      </c>
      <c r="S708" s="120" t="b">
        <v>1</v>
      </c>
      <c r="T708" s="120" t="b">
        <v>0</v>
      </c>
      <c r="U708" s="120"/>
      <c r="V708" s="120"/>
      <c r="W708" s="17"/>
      <c r="X708" s="817"/>
      <c r="AL708" t="str">
        <f>SUBSTITUTE(SUBSTITUTE(SUBSTITUTE("dpa"&amp;$B708&amp;$C708&amp;$D708&amp;$E708,".","_"),"(","_"),")","")</f>
        <v>dpa706_4_2</v>
      </c>
      <c r="AM708">
        <f>M708</f>
        <v>1</v>
      </c>
      <c r="AN708" t="str">
        <f>SUBSTITUTE(SUBSTITUTE(SUBSTITUTE("dpc"&amp;$B708&amp;$C708&amp;$D708&amp;$E708,".","_"),"(","_"),")","")</f>
        <v>dpc706_4_2</v>
      </c>
      <c r="AO708">
        <f>O708</f>
        <v>0</v>
      </c>
      <c r="AP708" t="str">
        <f>SUBSTITUTE(SUBSTITUTE(SUBSTITUTE("dch"&amp;$B708&amp;$C708&amp;$D708&amp;$E708,".","_"),"(","_"),")","")</f>
        <v>dch706_4_2</v>
      </c>
      <c r="AQ708" t="str">
        <f>IF(LEN(W708)=0,"",W708)</f>
        <v/>
      </c>
      <c r="AR708" t="str">
        <f>SUBSTITUTE(SUBSTITUTE(SUBSTITUTE("dnt"&amp;$B708&amp;$C708&amp;$D708&amp;$E708,".","_"),"(","_"),")","")</f>
        <v>dnt706_4_2</v>
      </c>
      <c r="AS708" t="str">
        <f>IF(LEN(X708)=0,"",X708)</f>
        <v/>
      </c>
    </row>
    <row r="709" spans="2:45" ht="15" thickBot="1" x14ac:dyDescent="0.4">
      <c r="B709" s="412" t="s">
        <v>1093</v>
      </c>
      <c r="C709" s="13"/>
      <c r="D709" s="13"/>
      <c r="E709" s="13"/>
      <c r="F709" s="13"/>
      <c r="G709" s="13"/>
      <c r="H709" s="453"/>
      <c r="I709" s="160"/>
      <c r="J709" s="229"/>
      <c r="K709" s="229"/>
      <c r="L709" s="849"/>
      <c r="M709" s="827"/>
      <c r="N709" s="160"/>
      <c r="O709" s="833"/>
      <c r="P709" s="55"/>
      <c r="Q709" s="55"/>
      <c r="R709" s="55"/>
      <c r="S709" s="55"/>
      <c r="T709" s="55"/>
      <c r="U709" s="55"/>
      <c r="V709" s="55"/>
      <c r="W709" s="55"/>
      <c r="X709" s="829"/>
    </row>
    <row r="710" spans="2:45" ht="15.75" customHeight="1" thickTop="1" x14ac:dyDescent="0.35">
      <c r="B710" s="412">
        <v>706.5</v>
      </c>
      <c r="C710" s="13"/>
      <c r="D710" s="13"/>
      <c r="E710" s="13"/>
      <c r="F710" s="13"/>
      <c r="G710" s="13"/>
      <c r="H710" s="453"/>
      <c r="I710" s="402" t="s">
        <v>4346</v>
      </c>
      <c r="J710" s="402"/>
      <c r="K710" s="402"/>
      <c r="L710" s="480" t="s">
        <v>4347</v>
      </c>
      <c r="M710"/>
      <c r="O710"/>
      <c r="U710" s="59"/>
      <c r="V710" s="59"/>
      <c r="X710" s="840"/>
      <c r="AR710" t="str">
        <f>SUBSTITUTE(SUBSTITUTE(SUBSTITUTE("dnt"&amp;$B710&amp;$C710&amp;$D710&amp;$E710,".","_"),"(","_"),")","")</f>
        <v>dnt706_5</v>
      </c>
      <c r="AS710" t="str">
        <f>IF(LEN(X710)=0,"",X710)</f>
        <v/>
      </c>
    </row>
    <row r="711" spans="2:45" x14ac:dyDescent="0.35">
      <c r="B711" s="412">
        <v>706.5</v>
      </c>
      <c r="C711" s="13" t="s">
        <v>256</v>
      </c>
      <c r="D711" s="13"/>
      <c r="E711" s="13"/>
      <c r="F711" s="13"/>
      <c r="G711" s="13"/>
      <c r="H711" s="453"/>
      <c r="I711" s="402"/>
      <c r="J711" s="402" t="s">
        <v>256</v>
      </c>
      <c r="K711" s="402"/>
      <c r="L711" s="470" t="s">
        <v>4341</v>
      </c>
      <c r="M711" s="818">
        <v>1</v>
      </c>
      <c r="N711" s="4"/>
      <c r="O711" s="832">
        <f>M711*S711*W711</f>
        <v>0</v>
      </c>
      <c r="P711" t="b">
        <v>0</v>
      </c>
      <c r="Q711" t="b">
        <v>1</v>
      </c>
      <c r="R711" t="b">
        <v>0</v>
      </c>
      <c r="S711" t="b">
        <v>1</v>
      </c>
      <c r="T711" t="b">
        <v>0</v>
      </c>
      <c r="W711" s="17"/>
      <c r="X711" s="817"/>
      <c r="AL711" t="str">
        <f>SUBSTITUTE(SUBSTITUTE(SUBSTITUTE("dpa"&amp;$B711&amp;$C711&amp;$D711&amp;$E711,".","_"),"(","_"),")","")</f>
        <v>dpa706_5_1</v>
      </c>
      <c r="AM711">
        <f>M711</f>
        <v>1</v>
      </c>
      <c r="AN711" t="str">
        <f>SUBSTITUTE(SUBSTITUTE(SUBSTITUTE("dpc"&amp;$B711&amp;$C711&amp;$D711&amp;$E711,".","_"),"(","_"),")","")</f>
        <v>dpc706_5_1</v>
      </c>
      <c r="AO711">
        <f>O711</f>
        <v>0</v>
      </c>
      <c r="AP711" t="str">
        <f>SUBSTITUTE(SUBSTITUTE(SUBSTITUTE("dch"&amp;$B711&amp;$C711&amp;$D711&amp;$E711,".","_"),"(","_"),")","")</f>
        <v>dch706_5_1</v>
      </c>
      <c r="AQ711" t="str">
        <f>IF(LEN(W711)=0,"",W711)</f>
        <v/>
      </c>
    </row>
    <row r="712" spans="2:45" x14ac:dyDescent="0.35">
      <c r="B712" s="412">
        <v>706.5</v>
      </c>
      <c r="C712" s="13" t="s">
        <v>256</v>
      </c>
      <c r="D712" s="13"/>
      <c r="E712" s="13"/>
      <c r="F712" s="13"/>
      <c r="G712" s="13"/>
      <c r="H712" s="453"/>
      <c r="I712" s="402"/>
      <c r="J712" s="416"/>
      <c r="K712" s="416"/>
      <c r="L712" s="477"/>
      <c r="M712" s="819"/>
      <c r="N712" s="133"/>
      <c r="O712" s="824"/>
      <c r="S712" s="1">
        <f ca="1">IF(AY19=INDEX(INDIRECT("ddSingleOrMulti"),1),1,AY20)</f>
        <v>1</v>
      </c>
      <c r="W712" t="str">
        <f ca="1">"kW per "&amp;IF(AY19=INDEX(INDIRECT("ddSingleOrMulti"),1),"1 unit:",AY20&amp;" units:")</f>
        <v>kW per 1 unit:</v>
      </c>
      <c r="X712" s="817"/>
    </row>
    <row r="713" spans="2:45" x14ac:dyDescent="0.35">
      <c r="B713" s="412">
        <v>706.5</v>
      </c>
      <c r="C713" s="13" t="s">
        <v>258</v>
      </c>
      <c r="D713" s="13"/>
      <c r="E713" s="13"/>
      <c r="F713" s="13"/>
      <c r="G713" s="13"/>
      <c r="H713" s="453"/>
      <c r="I713" s="402"/>
      <c r="J713" s="402" t="s">
        <v>258</v>
      </c>
      <c r="K713" s="402"/>
      <c r="L713" s="470" t="s">
        <v>4342</v>
      </c>
      <c r="M713" s="843" t="s">
        <v>4348</v>
      </c>
      <c r="O713" s="832">
        <f ca="1">IFERROR(ROUNDDOWN(2*W713/S712,0),0)*S713</f>
        <v>0</v>
      </c>
      <c r="P713" t="b">
        <v>0</v>
      </c>
      <c r="Q713" t="b">
        <v>1</v>
      </c>
      <c r="R713" t="b">
        <v>0</v>
      </c>
      <c r="S713" t="b">
        <v>1</v>
      </c>
      <c r="T713" t="b">
        <v>0</v>
      </c>
      <c r="W713" s="239"/>
      <c r="X713" s="817"/>
      <c r="AL713" t="str">
        <f>SUBSTITUTE(SUBSTITUTE(SUBSTITUTE("dpa"&amp;$B713&amp;$C713&amp;$D713&amp;$E713,".","_"),"(","_"),")","")</f>
        <v>dpa706_5_2</v>
      </c>
      <c r="AM713" t="str">
        <f>M713</f>
        <v>2 per kW</v>
      </c>
      <c r="AN713" t="str">
        <f>SUBSTITUTE(SUBSTITUTE(SUBSTITUTE("dpc"&amp;$B713&amp;$C713&amp;$D713&amp;$E713,".","_"),"(","_"),")","")</f>
        <v>dpc706_5_2</v>
      </c>
      <c r="AO713">
        <f ca="1">O713</f>
        <v>0</v>
      </c>
      <c r="AP713" t="str">
        <f>SUBSTITUTE(SUBSTITUTE(SUBSTITUTE("dch"&amp;$B713&amp;$C713&amp;$D713&amp;$E713,".","_"),"(","_"),")","")</f>
        <v>dch706_5_2</v>
      </c>
      <c r="AQ713" t="str">
        <f>IF(LEN(W713)=0,"",W713)</f>
        <v/>
      </c>
    </row>
    <row r="714" spans="2:45" x14ac:dyDescent="0.35">
      <c r="B714" s="412">
        <v>706.5</v>
      </c>
      <c r="C714" s="13" t="s">
        <v>258</v>
      </c>
      <c r="D714" s="13"/>
      <c r="E714" s="13"/>
      <c r="F714" s="13"/>
      <c r="G714" s="13"/>
      <c r="H714" s="453"/>
      <c r="I714" s="402"/>
      <c r="J714" s="416"/>
      <c r="K714" s="416"/>
      <c r="L714" s="477"/>
      <c r="M714" s="906"/>
      <c r="N714" s="104"/>
      <c r="O714" s="824"/>
      <c r="W714" t="str">
        <f ca="1">"kWh of strg. per "&amp;IF(AY19=INDEX(INDIRECT("ddSingleOrMulti"),1),"1 unit:",AY20&amp;" units:")</f>
        <v>kWh of strg. per 1 unit:</v>
      </c>
      <c r="X714" s="817"/>
    </row>
    <row r="715" spans="2:45" x14ac:dyDescent="0.35">
      <c r="B715" s="412">
        <v>706.5</v>
      </c>
      <c r="C715" s="13" t="s">
        <v>260</v>
      </c>
      <c r="D715" s="13"/>
      <c r="E715" s="13"/>
      <c r="F715" s="13"/>
      <c r="G715" s="13"/>
      <c r="H715" s="453"/>
      <c r="I715" s="402"/>
      <c r="J715" s="402" t="s">
        <v>260</v>
      </c>
      <c r="K715" s="402"/>
      <c r="L715" s="825" t="s">
        <v>4343</v>
      </c>
      <c r="M715" s="843" t="s">
        <v>4349</v>
      </c>
      <c r="O715" s="832">
        <f ca="1">IFERROR(ROUNDDOWN(W715/2/S712,0),0)*S715</f>
        <v>0</v>
      </c>
      <c r="P715" t="b">
        <v>0</v>
      </c>
      <c r="Q715" t="b">
        <v>1</v>
      </c>
      <c r="R715" t="b">
        <v>0</v>
      </c>
      <c r="S715" t="b">
        <f>(W713&gt;0)</f>
        <v>0</v>
      </c>
      <c r="T715" t="b">
        <f>AND(NOT(S715),LEN(W715)&gt;0)</f>
        <v>0</v>
      </c>
      <c r="W715" s="492"/>
      <c r="X715" s="817"/>
      <c r="AC715" t="b">
        <f>OR(AD715:AE715)</f>
        <v>0</v>
      </c>
      <c r="AD715" t="b">
        <f>T715</f>
        <v>0</v>
      </c>
      <c r="AL715" t="str">
        <f>SUBSTITUTE(SUBSTITUTE(SUBSTITUTE("dpa"&amp;$B715&amp;$C715&amp;$D715&amp;$E715,".","_"),"(","_"),")","")</f>
        <v>dpa706_5_3</v>
      </c>
      <c r="AM715" t="str">
        <f>M715</f>
        <v>2 per kW,
1 per 2 kWh</v>
      </c>
      <c r="AN715" t="str">
        <f>SUBSTITUTE(SUBSTITUTE(SUBSTITUTE("dpc"&amp;$B715&amp;$C715&amp;$D715&amp;$E715,".","_"),"(","_"),")","")</f>
        <v>dpc706_5_3</v>
      </c>
      <c r="AO715">
        <f ca="1">O715</f>
        <v>0</v>
      </c>
      <c r="AP715" t="str">
        <f>SUBSTITUTE(SUBSTITUTE(SUBSTITUTE("dch"&amp;$B715&amp;$C715&amp;$D715&amp;$E715,".","_"),"(","_"),")","")</f>
        <v>dch706_5_3</v>
      </c>
      <c r="AQ715" t="str">
        <f>IF(LEN(W715)=0,"",W715)</f>
        <v/>
      </c>
    </row>
    <row r="716" spans="2:45" x14ac:dyDescent="0.35">
      <c r="B716" s="412">
        <v>706.5</v>
      </c>
      <c r="C716" s="13" t="s">
        <v>260</v>
      </c>
      <c r="D716" s="13"/>
      <c r="E716" s="13"/>
      <c r="F716" s="13"/>
      <c r="G716" s="13"/>
      <c r="H716" s="453"/>
      <c r="I716" s="402"/>
      <c r="J716" s="402"/>
      <c r="K716" s="402"/>
      <c r="L716" s="825"/>
      <c r="M716" s="843"/>
      <c r="O716" s="832"/>
      <c r="X716" s="817"/>
    </row>
    <row r="717" spans="2:45" x14ac:dyDescent="0.35">
      <c r="B717" s="412">
        <v>706.5</v>
      </c>
      <c r="C717" s="50"/>
      <c r="D717" s="13"/>
      <c r="E717" s="13"/>
      <c r="F717" s="13"/>
      <c r="G717" s="13"/>
      <c r="H717" s="453"/>
      <c r="I717" s="402"/>
      <c r="J717" s="402"/>
      <c r="K717" s="402"/>
      <c r="L717" s="838" t="s">
        <v>4880</v>
      </c>
      <c r="M717" s="271"/>
      <c r="N717" s="4"/>
      <c r="O717" s="75"/>
      <c r="X717" s="817"/>
    </row>
    <row r="718" spans="2:45" x14ac:dyDescent="0.35">
      <c r="B718" s="412">
        <v>706.5</v>
      </c>
      <c r="C718" s="50"/>
      <c r="D718" s="13"/>
      <c r="E718" s="13"/>
      <c r="F718" s="13"/>
      <c r="G718" s="13"/>
      <c r="H718" s="453"/>
      <c r="I718" s="402"/>
      <c r="J718" s="402"/>
      <c r="K718" s="402"/>
      <c r="L718" s="838"/>
      <c r="M718" s="271"/>
      <c r="N718" s="4"/>
      <c r="O718" s="75"/>
      <c r="X718" s="817"/>
    </row>
    <row r="719" spans="2:45" x14ac:dyDescent="0.35">
      <c r="B719" s="412">
        <v>706.5</v>
      </c>
      <c r="C719" s="50"/>
      <c r="D719" s="13"/>
      <c r="E719" s="13"/>
      <c r="F719" s="13"/>
      <c r="G719" s="13"/>
      <c r="H719" s="453"/>
      <c r="I719" s="402"/>
      <c r="J719" s="402"/>
      <c r="K719" s="402"/>
      <c r="L719" s="838"/>
      <c r="M719" s="271"/>
      <c r="N719" s="4"/>
      <c r="O719" s="75"/>
      <c r="X719" s="817"/>
    </row>
    <row r="720" spans="2:45" x14ac:dyDescent="0.35">
      <c r="B720" s="412">
        <v>706.5</v>
      </c>
      <c r="C720" s="50"/>
      <c r="D720" s="13"/>
      <c r="E720" s="13"/>
      <c r="F720" s="13"/>
      <c r="G720" s="13"/>
      <c r="H720" s="453"/>
      <c r="I720" s="402"/>
      <c r="J720" s="402"/>
      <c r="K720" s="402"/>
      <c r="L720" s="838"/>
      <c r="M720" s="271"/>
      <c r="N720" s="4"/>
      <c r="O720" s="75"/>
      <c r="X720" s="817"/>
    </row>
    <row r="721" spans="2:45" x14ac:dyDescent="0.35">
      <c r="B721" s="412">
        <v>706.5</v>
      </c>
      <c r="C721" s="50"/>
      <c r="D721" s="13"/>
      <c r="E721" s="13"/>
      <c r="F721" s="13"/>
      <c r="G721" s="13"/>
      <c r="H721" s="453"/>
      <c r="I721" s="402"/>
      <c r="J721" s="402"/>
      <c r="K721" s="402"/>
      <c r="L721" s="838"/>
      <c r="M721" s="40"/>
      <c r="N721" s="4"/>
      <c r="O721" s="75"/>
      <c r="X721" s="817"/>
    </row>
    <row r="722" spans="2:45" x14ac:dyDescent="0.35">
      <c r="B722" s="412">
        <v>706.5</v>
      </c>
      <c r="C722" s="50"/>
      <c r="D722" s="13"/>
      <c r="E722" s="13"/>
      <c r="F722" s="13"/>
      <c r="G722" s="13"/>
      <c r="H722" s="453"/>
      <c r="I722" s="402"/>
      <c r="J722" s="402"/>
      <c r="K722" s="402"/>
      <c r="L722" s="838"/>
      <c r="M722" s="40"/>
      <c r="N722" s="4"/>
      <c r="O722" s="75"/>
      <c r="X722" s="817"/>
    </row>
    <row r="723" spans="2:45" ht="15" customHeight="1" x14ac:dyDescent="0.35">
      <c r="B723" s="412">
        <v>706.5</v>
      </c>
      <c r="C723" s="50"/>
      <c r="D723" s="13"/>
      <c r="E723" s="13"/>
      <c r="F723" s="13"/>
      <c r="G723" s="13"/>
      <c r="H723" s="453"/>
      <c r="I723" s="402"/>
      <c r="J723" s="402"/>
      <c r="K723" s="402"/>
      <c r="L723" s="936" t="s">
        <v>4345</v>
      </c>
      <c r="M723" s="40"/>
      <c r="N723" s="4"/>
      <c r="O723" s="75"/>
      <c r="X723" s="817"/>
    </row>
    <row r="724" spans="2:45" ht="15" thickBot="1" x14ac:dyDescent="0.4">
      <c r="B724" s="412">
        <v>706.5</v>
      </c>
      <c r="C724" s="50"/>
      <c r="D724" s="13"/>
      <c r="E724" s="13"/>
      <c r="F724" s="13"/>
      <c r="G724" s="13"/>
      <c r="H724" s="453"/>
      <c r="I724" s="407"/>
      <c r="J724" s="407"/>
      <c r="K724" s="407"/>
      <c r="L724" s="937"/>
      <c r="M724" s="270"/>
      <c r="N724" s="160"/>
      <c r="O724" s="161"/>
      <c r="P724" s="55"/>
      <c r="Q724" s="55"/>
      <c r="R724" s="55"/>
      <c r="S724" s="55"/>
      <c r="T724" s="55"/>
      <c r="U724" s="55"/>
      <c r="V724" s="55"/>
      <c r="W724" s="55"/>
      <c r="X724" s="829"/>
    </row>
    <row r="725" spans="2:45" ht="15" thickTop="1" x14ac:dyDescent="0.35">
      <c r="B725" s="412">
        <v>706.6</v>
      </c>
      <c r="C725" s="50"/>
      <c r="D725" s="13"/>
      <c r="E725" s="13"/>
      <c r="F725" s="13"/>
      <c r="G725" s="13"/>
      <c r="H725" s="453"/>
      <c r="I725" s="106">
        <v>706.6</v>
      </c>
      <c r="J725" s="316"/>
      <c r="K725" s="316"/>
      <c r="L725" s="837" t="s">
        <v>1095</v>
      </c>
      <c r="M725" s="830">
        <v>2</v>
      </c>
      <c r="N725" s="107"/>
      <c r="O725" s="831">
        <f ca="1">M725*S725*W725</f>
        <v>0</v>
      </c>
      <c r="P725" t="b">
        <v>1</v>
      </c>
      <c r="Q725" t="b">
        <v>1</v>
      </c>
      <c r="R725" s="59" t="b">
        <v>0</v>
      </c>
      <c r="S725" s="59" t="b">
        <f ca="1">AY19=INDEX(INDIRECT("ddSingleOrMulti"),2)</f>
        <v>0</v>
      </c>
      <c r="T725" s="59" t="b">
        <f ca="1">AND(NOT(S725),W725=TRUE)</f>
        <v>0</v>
      </c>
      <c r="U725" s="59"/>
      <c r="V725" s="59"/>
      <c r="W725" s="236"/>
      <c r="X725" s="840"/>
      <c r="AC725" t="b">
        <f ca="1">OR(AD725:AE725)</f>
        <v>0</v>
      </c>
      <c r="AD725" t="b">
        <f ca="1">T725</f>
        <v>0</v>
      </c>
      <c r="AL725" t="str">
        <f>SUBSTITUTE(SUBSTITUTE(SUBSTITUTE("dpa"&amp;$B725&amp;$C725&amp;$D725&amp;$E725,".","_"),"(","_"),")","")</f>
        <v>dpa706_6</v>
      </c>
      <c r="AM725">
        <f>M725</f>
        <v>2</v>
      </c>
      <c r="AN725" t="str">
        <f>SUBSTITUTE(SUBSTITUTE(SUBSTITUTE("dpc"&amp;$B725&amp;$C725&amp;$D725&amp;$E725,".","_"),"(","_"),")","")</f>
        <v>dpc706_6</v>
      </c>
      <c r="AO725">
        <f ca="1">O725</f>
        <v>0</v>
      </c>
      <c r="AP725" t="str">
        <f>SUBSTITUTE(SUBSTITUTE(SUBSTITUTE("dch"&amp;$B725&amp;$C725&amp;$D725&amp;$E725,".","_"),"(","_"),")","")</f>
        <v>dch706_6</v>
      </c>
      <c r="AQ725" t="str">
        <f>IF(LEN(W725)=0,"",W725)</f>
        <v/>
      </c>
      <c r="AR725" t="str">
        <f>SUBSTITUTE(SUBSTITUTE(SUBSTITUTE("dnt"&amp;$B725&amp;$C725&amp;$D725&amp;$E725,".","_"),"(","_"),")","")</f>
        <v>dnt706_6</v>
      </c>
      <c r="AS725" t="str">
        <f>IF(LEN(X725)=0,"",X725)</f>
        <v/>
      </c>
    </row>
    <row r="726" spans="2:45" ht="15" thickBot="1" x14ac:dyDescent="0.4">
      <c r="B726" s="412">
        <v>706.6</v>
      </c>
      <c r="C726" s="50"/>
      <c r="D726" s="13"/>
      <c r="E726" s="13"/>
      <c r="F726" s="13"/>
      <c r="G726" s="13"/>
      <c r="H726" s="453"/>
      <c r="I726" s="160"/>
      <c r="J726" s="229"/>
      <c r="K726" s="229"/>
      <c r="L726" s="849"/>
      <c r="M726" s="827"/>
      <c r="N726" s="160"/>
      <c r="O726" s="833"/>
      <c r="P726" s="55"/>
      <c r="Q726" s="55"/>
      <c r="R726" s="55"/>
      <c r="S726" s="55"/>
      <c r="T726" s="55"/>
      <c r="U726" s="55"/>
      <c r="V726" s="55"/>
      <c r="W726" s="55"/>
      <c r="X726" s="829"/>
    </row>
    <row r="727" spans="2:45" ht="15" thickTop="1" x14ac:dyDescent="0.35">
      <c r="B727" s="412">
        <v>706.7</v>
      </c>
      <c r="C727" s="50"/>
      <c r="D727" s="13"/>
      <c r="E727" s="13"/>
      <c r="F727" s="13"/>
      <c r="G727" s="13"/>
      <c r="H727" s="453"/>
      <c r="I727" s="30">
        <v>706.7</v>
      </c>
      <c r="J727" s="90"/>
      <c r="K727" s="90"/>
      <c r="L727" s="838" t="s">
        <v>1096</v>
      </c>
      <c r="M727" s="40"/>
      <c r="N727" s="4"/>
      <c r="O727" s="75"/>
    </row>
    <row r="728" spans="2:45" x14ac:dyDescent="0.35">
      <c r="B728" s="412">
        <v>706.7</v>
      </c>
      <c r="C728" s="50"/>
      <c r="D728" s="13"/>
      <c r="E728" s="13"/>
      <c r="F728" s="13"/>
      <c r="G728" s="13"/>
      <c r="H728" s="453"/>
      <c r="I728" s="4"/>
      <c r="J728" s="90"/>
      <c r="K728" s="90"/>
      <c r="L728" s="838"/>
      <c r="M728" s="40"/>
      <c r="N728" s="4"/>
      <c r="O728" s="75"/>
    </row>
    <row r="729" spans="2:45" x14ac:dyDescent="0.35">
      <c r="B729" s="412">
        <v>706.7</v>
      </c>
      <c r="C729" s="13" t="s">
        <v>256</v>
      </c>
      <c r="D729" s="13"/>
      <c r="E729" s="13"/>
      <c r="F729" s="13"/>
      <c r="G729" s="13"/>
      <c r="H729" s="453"/>
      <c r="I729" s="4"/>
      <c r="J729" s="338" t="s">
        <v>256</v>
      </c>
      <c r="K729" s="228"/>
      <c r="L729" s="228" t="s">
        <v>1097</v>
      </c>
      <c r="M729" s="268">
        <v>1</v>
      </c>
      <c r="N729" s="133"/>
      <c r="O729" s="309">
        <f>M729*S729*W729</f>
        <v>0</v>
      </c>
      <c r="P729" t="b">
        <v>0</v>
      </c>
      <c r="Q729" t="b">
        <v>1</v>
      </c>
      <c r="R729" t="b">
        <v>0</v>
      </c>
      <c r="S729" t="b">
        <f>IFERROR(NOT(OR(W694:W701,W741)),TRUE)</f>
        <v>1</v>
      </c>
      <c r="T729" t="b">
        <f>AND(NOT(S729),W729=TRUE)</f>
        <v>0</v>
      </c>
      <c r="W729" s="17"/>
      <c r="X729" s="36"/>
      <c r="AC729" t="b">
        <f>OR(AD729:AE729)</f>
        <v>0</v>
      </c>
      <c r="AD729" t="b">
        <f>T729</f>
        <v>0</v>
      </c>
      <c r="AL729" t="str">
        <f>SUBSTITUTE(SUBSTITUTE(SUBSTITUTE("dpa"&amp;$B729&amp;$C729&amp;$D729&amp;$E729,".","_"),"(","_"),")","")</f>
        <v>dpa706_7_1</v>
      </c>
      <c r="AM729">
        <f>M729</f>
        <v>1</v>
      </c>
      <c r="AN729" t="str">
        <f>SUBSTITUTE(SUBSTITUTE(SUBSTITUTE("dpc"&amp;$B729&amp;$C729&amp;$D729&amp;$E729,".","_"),"(","_"),")","")</f>
        <v>dpc706_7_1</v>
      </c>
      <c r="AO729">
        <f>O729</f>
        <v>0</v>
      </c>
      <c r="AP729" t="str">
        <f>SUBSTITUTE(SUBSTITUTE(SUBSTITUTE("dch"&amp;$B729&amp;$C729&amp;$D729&amp;$E729,".","_"),"(","_"),")","")</f>
        <v>dch706_7_1</v>
      </c>
      <c r="AQ729" t="str">
        <f>IF(LEN(W729)=0,"",W729)</f>
        <v/>
      </c>
      <c r="AR729" t="str">
        <f>SUBSTITUTE(SUBSTITUTE(SUBSTITUTE("dnt"&amp;$B729&amp;$C729&amp;$D729&amp;$E729,".","_"),"(","_"),")","")</f>
        <v>dnt706_7_1</v>
      </c>
      <c r="AS729" t="str">
        <f>IF(LEN(X729)=0,"",X729)</f>
        <v/>
      </c>
    </row>
    <row r="730" spans="2:45" x14ac:dyDescent="0.35">
      <c r="B730" s="412">
        <v>706.7</v>
      </c>
      <c r="C730" s="13" t="s">
        <v>258</v>
      </c>
      <c r="D730" s="13"/>
      <c r="E730" s="13"/>
      <c r="F730" s="13"/>
      <c r="G730" s="13"/>
      <c r="H730" s="453"/>
      <c r="I730" s="4"/>
      <c r="J730" s="156" t="s">
        <v>258</v>
      </c>
      <c r="K730" s="90"/>
      <c r="L730" s="90" t="s">
        <v>1098</v>
      </c>
      <c r="M730" s="40">
        <v>1</v>
      </c>
      <c r="N730" s="4"/>
      <c r="O730" s="75">
        <f>M730*S730*W730</f>
        <v>0</v>
      </c>
      <c r="P730" t="b">
        <v>0</v>
      </c>
      <c r="Q730" t="b">
        <v>1</v>
      </c>
      <c r="R730" t="b">
        <v>0</v>
      </c>
      <c r="S730" t="b">
        <f>IFERROR(NOT(OR(W694:W701,W741)),TRUE)</f>
        <v>1</v>
      </c>
      <c r="T730" t="b">
        <f>AND(NOT(S730),W730=TRUE)</f>
        <v>0</v>
      </c>
      <c r="W730" s="17"/>
      <c r="X730" s="817"/>
      <c r="AC730" t="b">
        <f>OR(AD730:AE730)</f>
        <v>0</v>
      </c>
      <c r="AD730" t="b">
        <f>T730</f>
        <v>0</v>
      </c>
      <c r="AL730" t="str">
        <f>SUBSTITUTE(SUBSTITUTE(SUBSTITUTE("dpa"&amp;$B730&amp;$C730&amp;$D730&amp;$E730,".","_"),"(","_"),")","")</f>
        <v>dpa706_7_2</v>
      </c>
      <c r="AM730">
        <f>M730</f>
        <v>1</v>
      </c>
      <c r="AN730" t="str">
        <f>SUBSTITUTE(SUBSTITUTE(SUBSTITUTE("dpc"&amp;$B730&amp;$C730&amp;$D730&amp;$E730,".","_"),"(","_"),")","")</f>
        <v>dpc706_7_2</v>
      </c>
      <c r="AO730">
        <f>O730</f>
        <v>0</v>
      </c>
      <c r="AP730" t="str">
        <f>SUBSTITUTE(SUBSTITUTE(SUBSTITUTE("dch"&amp;$B730&amp;$C730&amp;$D730&amp;$E730,".","_"),"(","_"),")","")</f>
        <v>dch706_7_2</v>
      </c>
      <c r="AQ730" t="str">
        <f>IF(LEN(W730)=0,"",W730)</f>
        <v/>
      </c>
      <c r="AR730" t="str">
        <f>SUBSTITUTE(SUBSTITUTE(SUBSTITUTE("dnt"&amp;$B730&amp;$C730&amp;$D730&amp;$E730,".","_"),"(","_"),")","")</f>
        <v>dnt706_7_2</v>
      </c>
      <c r="AS730" t="str">
        <f>IF(LEN(X730)=0,"",X730)</f>
        <v/>
      </c>
    </row>
    <row r="731" spans="2:45" x14ac:dyDescent="0.35">
      <c r="B731" s="412">
        <v>706.7</v>
      </c>
      <c r="C731" s="50"/>
      <c r="D731" s="13"/>
      <c r="E731" s="13"/>
      <c r="F731" s="13"/>
      <c r="G731" s="13"/>
      <c r="H731" s="453"/>
      <c r="I731" s="4"/>
      <c r="J731" s="90"/>
      <c r="K731" s="90"/>
      <c r="L731" s="838" t="s">
        <v>1099</v>
      </c>
      <c r="M731" s="40"/>
      <c r="N731" s="4"/>
      <c r="O731" s="75"/>
      <c r="X731" s="817"/>
    </row>
    <row r="732" spans="2:45" ht="15" thickBot="1" x14ac:dyDescent="0.4">
      <c r="B732" s="412">
        <v>706.7</v>
      </c>
      <c r="C732" s="50"/>
      <c r="D732" s="13"/>
      <c r="E732" s="13"/>
      <c r="F732" s="13"/>
      <c r="G732" s="13"/>
      <c r="H732" s="453"/>
      <c r="I732" s="160"/>
      <c r="J732" s="229"/>
      <c r="K732" s="229"/>
      <c r="L732" s="849"/>
      <c r="M732" s="270"/>
      <c r="N732" s="160"/>
      <c r="O732" s="161"/>
      <c r="P732" s="55"/>
      <c r="Q732" s="55"/>
      <c r="R732" s="55"/>
      <c r="S732" s="55"/>
      <c r="T732" s="55"/>
      <c r="U732" s="55"/>
      <c r="V732" s="55"/>
      <c r="W732" s="55"/>
      <c r="X732" s="829"/>
    </row>
    <row r="733" spans="2:45" ht="15.75" customHeight="1" thickTop="1" x14ac:dyDescent="0.35">
      <c r="B733" s="412">
        <v>706.8</v>
      </c>
      <c r="C733" s="50"/>
      <c r="D733" s="13"/>
      <c r="E733" s="13"/>
      <c r="F733" s="13"/>
      <c r="G733" s="13"/>
      <c r="H733" s="453"/>
      <c r="I733" s="106">
        <v>706.8</v>
      </c>
      <c r="J733" s="316"/>
      <c r="K733" s="316"/>
      <c r="L733" s="930" t="s">
        <v>4350</v>
      </c>
      <c r="M733" s="830">
        <v>2</v>
      </c>
      <c r="N733" s="107"/>
      <c r="O733" s="831">
        <f>M733*S733*W733</f>
        <v>0</v>
      </c>
      <c r="P733" t="b">
        <v>1</v>
      </c>
      <c r="Q733" t="b">
        <v>1</v>
      </c>
      <c r="R733" s="59" t="b">
        <v>0</v>
      </c>
      <c r="S733" s="59" t="b">
        <v>1</v>
      </c>
      <c r="T733" s="59" t="b">
        <v>0</v>
      </c>
      <c r="U733" s="59"/>
      <c r="V733" s="59"/>
      <c r="W733" s="236"/>
      <c r="X733" s="840"/>
      <c r="AL733" t="str">
        <f>SUBSTITUTE(SUBSTITUTE(SUBSTITUTE("dpa"&amp;$B733&amp;$C733&amp;$D733&amp;$E733,".","_"),"(","_"),")","")</f>
        <v>dpa706_8</v>
      </c>
      <c r="AM733">
        <f>M733</f>
        <v>2</v>
      </c>
      <c r="AN733" t="str">
        <f>SUBSTITUTE(SUBSTITUTE(SUBSTITUTE("dpc"&amp;$B733&amp;$C733&amp;$D733&amp;$E733,".","_"),"(","_"),")","")</f>
        <v>dpc706_8</v>
      </c>
      <c r="AO733">
        <f>O733</f>
        <v>0</v>
      </c>
      <c r="AP733" t="str">
        <f>SUBSTITUTE(SUBSTITUTE(SUBSTITUTE("dch"&amp;$B733&amp;$C733&amp;$D733&amp;$E733,".","_"),"(","_"),")","")</f>
        <v>dch706_8</v>
      </c>
      <c r="AQ733" t="str">
        <f>IF(LEN(W733)=0,"",W733)</f>
        <v/>
      </c>
      <c r="AR733" t="str">
        <f>SUBSTITUTE(SUBSTITUTE(SUBSTITUTE("dnt"&amp;$B733&amp;$C733&amp;$D733&amp;$E733,".","_"),"(","_"),")","")</f>
        <v>dnt706_8</v>
      </c>
      <c r="AS733" t="str">
        <f>IF(LEN(X733)=0,"",X733)</f>
        <v/>
      </c>
    </row>
    <row r="734" spans="2:45" x14ac:dyDescent="0.35">
      <c r="B734" s="412">
        <v>706.8</v>
      </c>
      <c r="C734" s="50"/>
      <c r="D734" s="13"/>
      <c r="E734" s="13"/>
      <c r="F734" s="13"/>
      <c r="G734" s="13"/>
      <c r="H734" s="453"/>
      <c r="I734" s="4"/>
      <c r="J734" s="90"/>
      <c r="K734" s="90"/>
      <c r="L734" s="881"/>
      <c r="M734" s="818"/>
      <c r="N734" s="4"/>
      <c r="O734" s="832"/>
      <c r="X734" s="817"/>
    </row>
    <row r="735" spans="2:45" ht="15" thickBot="1" x14ac:dyDescent="0.4">
      <c r="B735" s="412">
        <v>706.8</v>
      </c>
      <c r="C735" s="50"/>
      <c r="D735" s="13"/>
      <c r="E735" s="13"/>
      <c r="F735" s="13"/>
      <c r="G735" s="13"/>
      <c r="H735" s="453"/>
      <c r="I735" s="160"/>
      <c r="J735" s="229"/>
      <c r="K735" s="229"/>
      <c r="L735" s="931"/>
      <c r="M735" s="827"/>
      <c r="N735" s="160"/>
      <c r="O735" s="833"/>
      <c r="P735" s="55"/>
      <c r="Q735" s="55"/>
      <c r="R735" s="55"/>
      <c r="S735" s="55"/>
      <c r="T735" s="55"/>
      <c r="U735" s="55"/>
      <c r="V735" s="55"/>
      <c r="W735" s="55"/>
      <c r="X735" s="829"/>
    </row>
    <row r="736" spans="2:45" ht="15" thickTop="1" x14ac:dyDescent="0.35">
      <c r="B736" s="412">
        <v>706.9</v>
      </c>
      <c r="C736" s="50"/>
      <c r="D736" s="13"/>
      <c r="E736" s="13"/>
      <c r="F736" s="13"/>
      <c r="G736" s="13"/>
      <c r="H736" s="453"/>
      <c r="I736" s="47" t="s">
        <v>4351</v>
      </c>
      <c r="J736" s="467"/>
      <c r="K736" s="467"/>
      <c r="L736" s="881" t="s">
        <v>4352</v>
      </c>
      <c r="M736" s="830">
        <v>1</v>
      </c>
      <c r="N736" s="107"/>
      <c r="O736" s="831">
        <f>M736*S736*W736</f>
        <v>0</v>
      </c>
      <c r="P736" s="59" t="b">
        <v>1</v>
      </c>
      <c r="Q736" s="59" t="b">
        <v>1</v>
      </c>
      <c r="R736" s="59" t="b">
        <v>0</v>
      </c>
      <c r="S736" s="59" t="b">
        <v>1</v>
      </c>
      <c r="T736" s="59" t="b">
        <v>0</v>
      </c>
      <c r="W736" s="17"/>
      <c r="X736" s="864"/>
      <c r="AL736" t="str">
        <f>SUBSTITUTE(SUBSTITUTE(SUBSTITUTE("dpa"&amp;$B736&amp;$C736&amp;$D736&amp;$E736,".","_"),"(","_"),")","")</f>
        <v>dpa706_9</v>
      </c>
      <c r="AM736">
        <f>M736</f>
        <v>1</v>
      </c>
      <c r="AN736" t="str">
        <f>SUBSTITUTE(SUBSTITUTE(SUBSTITUTE("dpc"&amp;$B736&amp;$C736&amp;$D736&amp;$E736,".","_"),"(","_"),")","")</f>
        <v>dpc706_9</v>
      </c>
      <c r="AO736">
        <f>O736</f>
        <v>0</v>
      </c>
      <c r="AP736" t="str">
        <f>SUBSTITUTE(SUBSTITUTE(SUBSTITUTE("dch"&amp;$B736&amp;$C736&amp;$D736&amp;$E736,".","_"),"(","_"),")","")</f>
        <v>dch706_9</v>
      </c>
      <c r="AQ736" t="str">
        <f>IF(LEN(W736)=0,"",W736)</f>
        <v/>
      </c>
      <c r="AR736" t="str">
        <f>SUBSTITUTE(SUBSTITUTE(SUBSTITUTE("dnt"&amp;$B736&amp;$C736&amp;$D736&amp;$E736,".","_"),"(","_"),")","")</f>
        <v>dnt706_9</v>
      </c>
      <c r="AS736" t="str">
        <f>IF(LEN(X736)=0,"",X736)</f>
        <v/>
      </c>
    </row>
    <row r="737" spans="1:45" x14ac:dyDescent="0.35">
      <c r="B737" s="412">
        <v>706.9</v>
      </c>
      <c r="C737" s="50"/>
      <c r="D737" s="13"/>
      <c r="E737" s="13"/>
      <c r="F737" s="13"/>
      <c r="G737" s="13"/>
      <c r="H737" s="453"/>
      <c r="I737" s="50"/>
      <c r="J737" s="467"/>
      <c r="K737" s="467"/>
      <c r="L737" s="881"/>
      <c r="M737" s="818"/>
      <c r="N737" s="4"/>
      <c r="O737" s="832"/>
      <c r="X737" s="851"/>
    </row>
    <row r="738" spans="1:45" ht="15" customHeight="1" x14ac:dyDescent="0.35">
      <c r="B738" s="412">
        <v>706.9</v>
      </c>
      <c r="C738" s="50"/>
      <c r="D738" s="13"/>
      <c r="E738" s="13"/>
      <c r="F738" s="13"/>
      <c r="G738" s="13"/>
      <c r="H738" s="453"/>
      <c r="I738" s="50"/>
      <c r="J738" s="467"/>
      <c r="K738" s="467"/>
      <c r="L738" s="881"/>
      <c r="M738" s="818"/>
      <c r="N738" s="4"/>
      <c r="O738" s="832"/>
      <c r="X738" s="851"/>
    </row>
    <row r="739" spans="1:45" ht="15" customHeight="1" x14ac:dyDescent="0.35">
      <c r="B739" s="412">
        <v>706.9</v>
      </c>
      <c r="C739" s="50"/>
      <c r="D739" s="13"/>
      <c r="E739" s="13"/>
      <c r="F739" s="13"/>
      <c r="G739" s="13"/>
      <c r="H739" s="453"/>
      <c r="I739" s="50"/>
      <c r="J739" s="467"/>
      <c r="K739" s="467"/>
      <c r="L739" s="881"/>
      <c r="M739" s="818"/>
      <c r="N739" s="4"/>
      <c r="O739" s="832"/>
      <c r="X739" s="851"/>
    </row>
    <row r="740" spans="1:45" ht="15" thickBot="1" x14ac:dyDescent="0.4">
      <c r="B740" s="412">
        <v>706.9</v>
      </c>
      <c r="C740" s="50"/>
      <c r="D740" s="13"/>
      <c r="E740" s="13"/>
      <c r="F740" s="13"/>
      <c r="G740" s="13"/>
      <c r="H740" s="453"/>
      <c r="I740" s="57"/>
      <c r="J740" s="473"/>
      <c r="K740" s="473"/>
      <c r="L740" s="931"/>
      <c r="M740" s="827"/>
      <c r="N740" s="160"/>
      <c r="O740" s="833"/>
      <c r="P740" s="55"/>
      <c r="Q740" s="55"/>
      <c r="R740" s="55"/>
      <c r="S740" s="55"/>
      <c r="T740" s="55"/>
      <c r="U740" s="55"/>
      <c r="V740" s="55"/>
      <c r="W740" s="64"/>
      <c r="X740" s="852"/>
    </row>
    <row r="741" spans="1:45" ht="15" thickTop="1" x14ac:dyDescent="0.35">
      <c r="B741" s="412" t="s">
        <v>4353</v>
      </c>
      <c r="C741" s="50"/>
      <c r="D741" s="13"/>
      <c r="E741" s="13"/>
      <c r="F741" s="13"/>
      <c r="G741" s="13"/>
      <c r="H741" s="453"/>
      <c r="I741" s="38" t="s">
        <v>4353</v>
      </c>
      <c r="J741" s="90"/>
      <c r="K741" s="90"/>
      <c r="L741" s="838" t="s">
        <v>4354</v>
      </c>
      <c r="M741" s="818">
        <v>1</v>
      </c>
      <c r="N741" s="4"/>
      <c r="O741" s="832">
        <f>M741*S741*W741</f>
        <v>0</v>
      </c>
      <c r="P741" t="b">
        <v>0</v>
      </c>
      <c r="Q741" t="b">
        <v>1</v>
      </c>
      <c r="R741" t="b">
        <v>0</v>
      </c>
      <c r="S741" t="b">
        <f>IFERROR(NOT(OR(W694:W701,W729:W730)),TRUE)</f>
        <v>1</v>
      </c>
      <c r="T741" t="b">
        <f>AND(NOT(S741),W741=TRUE)</f>
        <v>0</v>
      </c>
      <c r="W741" s="69"/>
      <c r="X741" s="816"/>
      <c r="AC741" t="b">
        <f>OR(AD741:AE741)</f>
        <v>0</v>
      </c>
      <c r="AD741" t="b">
        <f>T741</f>
        <v>0</v>
      </c>
      <c r="AL741" t="str">
        <f>SUBSTITUTE(SUBSTITUTE(SUBSTITUTE("dpa"&amp;$B741&amp;$C741&amp;$D741&amp;$E741,".","_"),"(","_"),")","")</f>
        <v>dpa706_10</v>
      </c>
      <c r="AM741">
        <f>M741</f>
        <v>1</v>
      </c>
      <c r="AN741" t="str">
        <f>SUBSTITUTE(SUBSTITUTE(SUBSTITUTE("dpc"&amp;$B741&amp;$C741&amp;$D741&amp;$E741,".","_"),"(","_"),")","")</f>
        <v>dpc706_10</v>
      </c>
      <c r="AO741">
        <f>O741</f>
        <v>0</v>
      </c>
      <c r="AP741" t="str">
        <f>SUBSTITUTE(SUBSTITUTE(SUBSTITUTE("dch"&amp;$B741&amp;$C741&amp;$D741&amp;$E741,".","_"),"(","_"),")","")</f>
        <v>dch706_10</v>
      </c>
      <c r="AQ741" t="str">
        <f>IF(LEN(W741)=0,"",W741)</f>
        <v/>
      </c>
      <c r="AR741" t="str">
        <f>SUBSTITUTE(SUBSTITUTE(SUBSTITUTE("dnt"&amp;$B741&amp;$C741&amp;$D741&amp;$E741,".","_"),"(","_"),")","")</f>
        <v>dnt706_10</v>
      </c>
      <c r="AS741" t="str">
        <f>IF(LEN(X741)=0,"",X741)</f>
        <v/>
      </c>
    </row>
    <row r="742" spans="1:45" x14ac:dyDescent="0.35">
      <c r="B742" s="412" t="s">
        <v>4353</v>
      </c>
      <c r="C742" s="50"/>
      <c r="D742" s="13"/>
      <c r="E742" s="13"/>
      <c r="F742" s="13"/>
      <c r="G742" s="13"/>
      <c r="H742" s="453"/>
      <c r="I742" s="4"/>
      <c r="J742" s="90"/>
      <c r="K742" s="90"/>
      <c r="L742" s="838"/>
      <c r="M742" s="818"/>
      <c r="N742" s="4"/>
      <c r="O742" s="832"/>
      <c r="X742" s="817"/>
    </row>
    <row r="743" spans="1:45" x14ac:dyDescent="0.35">
      <c r="B743" s="412" t="s">
        <v>4353</v>
      </c>
      <c r="C743" s="50"/>
      <c r="D743" s="13"/>
      <c r="E743" s="13"/>
      <c r="F743" s="13"/>
      <c r="G743" s="13"/>
      <c r="H743" s="453"/>
      <c r="I743" s="4"/>
      <c r="J743" s="90"/>
      <c r="K743" s="90"/>
      <c r="L743" s="838"/>
      <c r="M743" s="818"/>
      <c r="N743" s="4"/>
      <c r="O743" s="832"/>
      <c r="X743" s="817"/>
    </row>
    <row r="744" spans="1:45" x14ac:dyDescent="0.35">
      <c r="B744" s="412" t="s">
        <v>4353</v>
      </c>
      <c r="C744" s="50"/>
      <c r="D744" s="13"/>
      <c r="E744" s="13"/>
      <c r="F744" s="13"/>
      <c r="G744" s="13"/>
      <c r="H744" s="453"/>
      <c r="I744" s="4"/>
      <c r="J744" s="90"/>
      <c r="K744" s="90"/>
      <c r="L744" s="838" t="s">
        <v>4355</v>
      </c>
      <c r="M744" s="75"/>
      <c r="X744" s="817"/>
    </row>
    <row r="745" spans="1:45" ht="15" thickBot="1" x14ac:dyDescent="0.4">
      <c r="B745" s="412" t="s">
        <v>4353</v>
      </c>
      <c r="C745" s="50"/>
      <c r="D745" s="13"/>
      <c r="E745" s="13"/>
      <c r="F745" s="13"/>
      <c r="G745" s="13"/>
      <c r="H745" s="453"/>
      <c r="I745" s="4"/>
      <c r="J745" s="90"/>
      <c r="K745" s="90"/>
      <c r="L745" s="838"/>
      <c r="M745" s="75"/>
      <c r="V745" s="55"/>
      <c r="W745" s="64"/>
      <c r="X745" s="817"/>
    </row>
    <row r="746" spans="1:45" ht="15" thickTop="1" x14ac:dyDescent="0.35">
      <c r="A746"/>
      <c r="B746" s="412">
        <v>706.11</v>
      </c>
      <c r="C746" s="412"/>
      <c r="D746"/>
      <c r="E746"/>
      <c r="F746"/>
      <c r="G746"/>
      <c r="H746"/>
      <c r="I746" s="414" t="s">
        <v>4362</v>
      </c>
      <c r="J746" s="414"/>
      <c r="K746" s="414"/>
      <c r="L746" s="930" t="s">
        <v>4370</v>
      </c>
      <c r="M746" s="830">
        <v>2</v>
      </c>
      <c r="N746" s="107"/>
      <c r="O746" s="831">
        <f>M746*S746*W746</f>
        <v>0</v>
      </c>
      <c r="P746" s="59" t="b">
        <v>1</v>
      </c>
      <c r="Q746" s="59" t="b">
        <v>1</v>
      </c>
      <c r="R746" s="59" t="b">
        <v>0</v>
      </c>
      <c r="S746" s="59" t="b">
        <v>1</v>
      </c>
      <c r="T746" s="59" t="b">
        <v>0</v>
      </c>
      <c r="U746" s="59"/>
      <c r="W746" s="69"/>
      <c r="X746" s="840"/>
      <c r="AL746" t="str">
        <f>SUBSTITUTE(SUBSTITUTE(SUBSTITUTE("dpa"&amp;$B746&amp;$C746&amp;$D746&amp;$E746,".","_"),"(","_"),")","")</f>
        <v>dpa706_11</v>
      </c>
      <c r="AM746">
        <f>M746</f>
        <v>2</v>
      </c>
      <c r="AN746" t="str">
        <f>SUBSTITUTE(SUBSTITUTE(SUBSTITUTE("dpc"&amp;$B746&amp;$C746&amp;$D746&amp;$E746,".","_"),"(","_"),")","")</f>
        <v>dpc706_11</v>
      </c>
      <c r="AO746">
        <f>O746</f>
        <v>0</v>
      </c>
      <c r="AP746" t="str">
        <f>SUBSTITUTE(SUBSTITUTE(SUBSTITUTE("dch"&amp;$B746&amp;$C746&amp;$D746&amp;$E746,".","_"),"(","_"),")","")</f>
        <v>dch706_11</v>
      </c>
      <c r="AQ746" t="str">
        <f>IF(LEN(W746)=0,"",W746)</f>
        <v/>
      </c>
      <c r="AR746" t="str">
        <f>SUBSTITUTE(SUBSTITUTE(SUBSTITUTE("dnt"&amp;$B746&amp;$C746&amp;$D746&amp;$E746,".","_"),"(","_"),")","")</f>
        <v>dnt706_11</v>
      </c>
      <c r="AS746" t="str">
        <f>IF(LEN(X746)=0,"",X746)</f>
        <v/>
      </c>
    </row>
    <row r="747" spans="1:45" ht="15" thickBot="1" x14ac:dyDescent="0.4">
      <c r="A747"/>
      <c r="B747" s="412">
        <v>706.11</v>
      </c>
      <c r="C747" s="412"/>
      <c r="D747"/>
      <c r="E747"/>
      <c r="F747"/>
      <c r="G747"/>
      <c r="H747"/>
      <c r="I747" s="407"/>
      <c r="J747" s="407"/>
      <c r="K747" s="407"/>
      <c r="L747" s="931"/>
      <c r="M747" s="827"/>
      <c r="N747" s="160"/>
      <c r="O747" s="833"/>
      <c r="P747" s="55"/>
      <c r="Q747" s="55"/>
      <c r="R747" s="55"/>
      <c r="S747" s="55"/>
      <c r="T747" s="55"/>
      <c r="U747" s="55"/>
      <c r="V747" s="55"/>
      <c r="W747" s="64"/>
      <c r="X747" s="829"/>
    </row>
    <row r="748" spans="1:45" ht="15" thickTop="1" x14ac:dyDescent="0.35">
      <c r="A748"/>
      <c r="B748" s="412">
        <v>706.12</v>
      </c>
      <c r="C748" s="412"/>
      <c r="D748"/>
      <c r="E748"/>
      <c r="F748"/>
      <c r="G748"/>
      <c r="H748"/>
      <c r="I748" s="414" t="s">
        <v>4363</v>
      </c>
      <c r="J748" s="414"/>
      <c r="K748" s="414"/>
      <c r="L748" s="930" t="s">
        <v>5585</v>
      </c>
      <c r="M748" s="830">
        <v>1</v>
      </c>
      <c r="N748" s="107"/>
      <c r="O748" s="831">
        <f>M748*S748*W748</f>
        <v>0</v>
      </c>
      <c r="P748" s="59" t="b">
        <v>1</v>
      </c>
      <c r="Q748" s="59" t="b">
        <v>1</v>
      </c>
      <c r="R748" s="59" t="b">
        <v>0</v>
      </c>
      <c r="S748" s="59" t="b">
        <v>1</v>
      </c>
      <c r="T748" s="59" t="b">
        <v>0</v>
      </c>
      <c r="W748" s="69"/>
      <c r="X748" s="840"/>
      <c r="AL748" t="str">
        <f>SUBSTITUTE(SUBSTITUTE(SUBSTITUTE("dpa"&amp;$B748&amp;$C748&amp;$D748&amp;$E748,".","_"),"(","_"),")","")</f>
        <v>dpa706_12</v>
      </c>
      <c r="AM748">
        <f>M748</f>
        <v>1</v>
      </c>
      <c r="AN748" t="str">
        <f>SUBSTITUTE(SUBSTITUTE(SUBSTITUTE("dpc"&amp;$B748&amp;$C748&amp;$D748&amp;$E748,".","_"),"(","_"),")","")</f>
        <v>dpc706_12</v>
      </c>
      <c r="AO748">
        <f>O748</f>
        <v>0</v>
      </c>
      <c r="AP748" t="str">
        <f>SUBSTITUTE(SUBSTITUTE(SUBSTITUTE("dch"&amp;$B748&amp;$C748&amp;$D748&amp;$E748,".","_"),"(","_"),")","")</f>
        <v>dch706_12</v>
      </c>
      <c r="AQ748" t="str">
        <f>IF(LEN(W748)=0,"",W748)</f>
        <v/>
      </c>
      <c r="AR748" t="str">
        <f>SUBSTITUTE(SUBSTITUTE(SUBSTITUTE("dnt"&amp;$B748&amp;$C748&amp;$D748&amp;$E748,".","_"),"(","_"),")","")</f>
        <v>dnt706_12</v>
      </c>
      <c r="AS748" t="str">
        <f>IF(LEN(X748)=0,"",X748)</f>
        <v/>
      </c>
    </row>
    <row r="749" spans="1:45" x14ac:dyDescent="0.35">
      <c r="A749"/>
      <c r="B749" s="412">
        <v>706.12</v>
      </c>
      <c r="C749" s="412"/>
      <c r="D749"/>
      <c r="E749"/>
      <c r="F749"/>
      <c r="G749"/>
      <c r="H749"/>
      <c r="I749" s="402"/>
      <c r="J749" s="402"/>
      <c r="K749" s="402"/>
      <c r="L749" s="881"/>
      <c r="M749" s="818"/>
      <c r="N749" s="4"/>
      <c r="O749" s="832"/>
      <c r="X749" s="817"/>
    </row>
    <row r="750" spans="1:45" x14ac:dyDescent="0.35">
      <c r="A750"/>
      <c r="B750" s="412">
        <v>706.12</v>
      </c>
      <c r="C750" s="412"/>
      <c r="D750"/>
      <c r="E750"/>
      <c r="F750"/>
      <c r="G750"/>
      <c r="H750"/>
      <c r="I750" s="402"/>
      <c r="J750" s="402"/>
      <c r="K750" s="402"/>
      <c r="L750" s="881"/>
      <c r="M750" s="818"/>
      <c r="N750" s="4"/>
      <c r="O750" s="832"/>
      <c r="X750" s="817"/>
    </row>
    <row r="751" spans="1:45" ht="15" thickBot="1" x14ac:dyDescent="0.4">
      <c r="A751"/>
      <c r="B751" s="412">
        <v>706.12</v>
      </c>
      <c r="C751" s="412"/>
      <c r="D751"/>
      <c r="E751"/>
      <c r="F751"/>
      <c r="G751"/>
      <c r="H751"/>
      <c r="I751" s="407"/>
      <c r="J751" s="407"/>
      <c r="K751" s="407"/>
      <c r="L751" s="931"/>
      <c r="M751" s="827"/>
      <c r="N751" s="55"/>
      <c r="O751" s="833"/>
      <c r="P751" s="55"/>
      <c r="Q751" s="55"/>
      <c r="R751" s="55"/>
      <c r="S751" s="55"/>
      <c r="T751" s="55"/>
      <c r="U751" s="55"/>
      <c r="V751" s="55"/>
      <c r="W751" s="64"/>
      <c r="X751" s="829"/>
    </row>
    <row r="752" spans="1:45" ht="15" thickTop="1" x14ac:dyDescent="0.35">
      <c r="A752"/>
      <c r="B752" s="412">
        <v>706.13</v>
      </c>
      <c r="C752" s="412"/>
      <c r="D752"/>
      <c r="E752"/>
      <c r="F752"/>
      <c r="G752"/>
      <c r="H752"/>
      <c r="I752" s="414" t="s">
        <v>4364</v>
      </c>
      <c r="J752" s="414"/>
      <c r="K752" s="414"/>
      <c r="L752" s="930" t="s">
        <v>4369</v>
      </c>
      <c r="M752" s="59"/>
      <c r="N752" s="59"/>
      <c r="O752" s="831">
        <f ca="1">IFERROR(INDEX({1,2},MATCH(W752,INDIRECT(U752),0)),0)</f>
        <v>0</v>
      </c>
      <c r="P752" s="59" t="b">
        <v>0</v>
      </c>
      <c r="Q752" s="59" t="b">
        <v>1</v>
      </c>
      <c r="R752" s="59" t="b">
        <v>0</v>
      </c>
      <c r="S752" s="59" t="b">
        <v>1</v>
      </c>
      <c r="T752" s="59" t="b">
        <v>0</v>
      </c>
      <c r="U752" s="59" t="str">
        <f>SUBSTITUTE(SUBSTITUTE(SUBSTITUTE("dd"&amp;B752&amp;C752&amp;D752&amp;E752&amp;F752,".","_"),"(","_"),")","")</f>
        <v>dd706_13</v>
      </c>
      <c r="W752" s="167"/>
      <c r="X752" s="840"/>
      <c r="AN752" t="str">
        <f>SUBSTITUTE(SUBSTITUTE(SUBSTITUTE("dpc"&amp;$B752&amp;$C752&amp;$D752&amp;$E752,".","_"),"(","_"),")","")</f>
        <v>dpc706_13</v>
      </c>
      <c r="AO752">
        <f ca="1">O752</f>
        <v>0</v>
      </c>
      <c r="AP752" t="str">
        <f>SUBSTITUTE(SUBSTITUTE(SUBSTITUTE("dch"&amp;$B752&amp;$C752&amp;$D752&amp;$E752,".","_"),"(","_"),")","")</f>
        <v>dch706_13</v>
      </c>
      <c r="AQ752" t="str">
        <f>IF(LEN(W752)=0,"",W752)</f>
        <v/>
      </c>
      <c r="AR752" t="str">
        <f>SUBSTITUTE(SUBSTITUTE(SUBSTITUTE("dnt"&amp;$B752&amp;$C752&amp;$D752&amp;$E752,".","_"),"(","_"),")","")</f>
        <v>dnt706_13</v>
      </c>
      <c r="AS752" t="str">
        <f>IF(LEN(X752)=0,"",X752)</f>
        <v/>
      </c>
    </row>
    <row r="753" spans="1:45" x14ac:dyDescent="0.35">
      <c r="A753"/>
      <c r="B753" s="412">
        <v>706.13</v>
      </c>
      <c r="C753" s="412"/>
      <c r="D753"/>
      <c r="E753"/>
      <c r="F753"/>
      <c r="G753"/>
      <c r="H753"/>
      <c r="I753" s="402"/>
      <c r="J753" s="402"/>
      <c r="K753" s="402"/>
      <c r="L753" s="881"/>
      <c r="M753"/>
      <c r="O753" s="832"/>
      <c r="X753" s="817"/>
    </row>
    <row r="754" spans="1:45" x14ac:dyDescent="0.35">
      <c r="A754"/>
      <c r="B754" s="412">
        <v>706.13</v>
      </c>
      <c r="C754" s="412" t="s">
        <v>256</v>
      </c>
      <c r="D754"/>
      <c r="E754"/>
      <c r="F754"/>
      <c r="G754"/>
      <c r="H754"/>
      <c r="I754" s="402"/>
      <c r="J754" s="416" t="s">
        <v>256</v>
      </c>
      <c r="K754" s="416"/>
      <c r="L754" s="477" t="s">
        <v>4356</v>
      </c>
      <c r="M754" s="493">
        <v>1</v>
      </c>
      <c r="O754" s="75"/>
      <c r="X754" s="817"/>
      <c r="AL754" t="str">
        <f>SUBSTITUTE(SUBSTITUTE(SUBSTITUTE("dpa"&amp;$B754&amp;$C754&amp;$D754&amp;$E754,".","_"),"(","_"),")","")</f>
        <v>dpa706_13_1</v>
      </c>
      <c r="AM754">
        <f>M754</f>
        <v>1</v>
      </c>
    </row>
    <row r="755" spans="1:45" ht="15" thickBot="1" x14ac:dyDescent="0.4">
      <c r="A755"/>
      <c r="B755" s="412">
        <v>706.13</v>
      </c>
      <c r="C755" s="412" t="s">
        <v>258</v>
      </c>
      <c r="D755"/>
      <c r="E755"/>
      <c r="F755"/>
      <c r="G755"/>
      <c r="H755"/>
      <c r="I755" s="407"/>
      <c r="J755" s="407" t="s">
        <v>258</v>
      </c>
      <c r="K755" s="407"/>
      <c r="L755" s="474" t="s">
        <v>4357</v>
      </c>
      <c r="M755" s="494">
        <v>2</v>
      </c>
      <c r="N755" s="55"/>
      <c r="O755" s="55"/>
      <c r="P755" s="55"/>
      <c r="Q755" s="55"/>
      <c r="R755" s="55"/>
      <c r="S755" s="55"/>
      <c r="T755" s="55"/>
      <c r="U755" s="55"/>
      <c r="V755" s="55"/>
      <c r="W755" s="64"/>
      <c r="X755" s="829"/>
      <c r="AL755" t="str">
        <f>SUBSTITUTE(SUBSTITUTE(SUBSTITUTE("dpa"&amp;$B755&amp;$C755&amp;$D755&amp;$E755,".","_"),"(","_"),")","")</f>
        <v>dpa706_13_2</v>
      </c>
      <c r="AM755">
        <f>M755</f>
        <v>2</v>
      </c>
    </row>
    <row r="756" spans="1:45" ht="15" thickTop="1" x14ac:dyDescent="0.35">
      <c r="A756"/>
      <c r="B756" s="412">
        <v>706.14</v>
      </c>
      <c r="C756" s="412"/>
      <c r="D756"/>
      <c r="E756"/>
      <c r="F756"/>
      <c r="G756"/>
      <c r="H756"/>
      <c r="I756" s="402" t="s">
        <v>4365</v>
      </c>
      <c r="J756" s="402"/>
      <c r="K756" s="402"/>
      <c r="L756" s="480" t="s">
        <v>4368</v>
      </c>
      <c r="M756"/>
      <c r="O756"/>
    </row>
    <row r="757" spans="1:45" x14ac:dyDescent="0.35">
      <c r="A757"/>
      <c r="B757" s="412">
        <v>706.14</v>
      </c>
      <c r="C757" s="412" t="s">
        <v>256</v>
      </c>
      <c r="D757"/>
      <c r="E757"/>
      <c r="F757"/>
      <c r="G757"/>
      <c r="H757"/>
      <c r="I757" s="402"/>
      <c r="J757" s="402" t="s">
        <v>256</v>
      </c>
      <c r="K757" s="402"/>
      <c r="L757" s="825" t="s">
        <v>4358</v>
      </c>
      <c r="M757" s="938">
        <v>3</v>
      </c>
      <c r="O757" s="834">
        <f ca="1">M757*S757*W757</f>
        <v>0</v>
      </c>
      <c r="P757" t="b">
        <v>1</v>
      </c>
      <c r="Q757" t="b">
        <v>1</v>
      </c>
      <c r="R757" t="b">
        <v>0</v>
      </c>
      <c r="S757" t="b">
        <f ca="1">IF(AY19=INDEX(INDIRECT("ddSingleOrMulti"),2),TRUE,FALSE)</f>
        <v>0</v>
      </c>
      <c r="T757" t="b">
        <v>0</v>
      </c>
      <c r="W757" s="17"/>
      <c r="X757" s="817"/>
      <c r="AC757" t="b">
        <f>OR(AD757:AE757)</f>
        <v>0</v>
      </c>
      <c r="AD757" t="b">
        <f>T757</f>
        <v>0</v>
      </c>
      <c r="AL757" t="str">
        <f>SUBSTITUTE(SUBSTITUTE(SUBSTITUTE("dpa"&amp;$B757&amp;$C757&amp;$D757&amp;$E757,".","_"),"(","_"),")","")</f>
        <v>dpa706_14_1</v>
      </c>
      <c r="AM757">
        <f>M757</f>
        <v>3</v>
      </c>
      <c r="AN757" t="str">
        <f>SUBSTITUTE(SUBSTITUTE(SUBSTITUTE("dpc"&amp;$B757&amp;$C757&amp;$D757&amp;$E757,".","_"),"(","_"),")","")</f>
        <v>dpc706_14_1</v>
      </c>
      <c r="AO757">
        <f ca="1">O757</f>
        <v>0</v>
      </c>
      <c r="AP757" t="str">
        <f>SUBSTITUTE(SUBSTITUTE(SUBSTITUTE("dch"&amp;$B757&amp;$C757&amp;$D757&amp;$E757,".","_"),"(","_"),")","")</f>
        <v>dch706_14_1</v>
      </c>
      <c r="AQ757" t="str">
        <f>IF(LEN(W757)=0,"",W757)</f>
        <v/>
      </c>
      <c r="AR757" t="str">
        <f>SUBSTITUTE(SUBSTITUTE(SUBSTITUTE("dnt"&amp;$B757&amp;$C757&amp;$D757&amp;$E757,".","_"),"(","_"),")","")</f>
        <v>dnt706_14_1</v>
      </c>
      <c r="AS757" t="str">
        <f>IF(LEN(X757)=0,"",X757)</f>
        <v/>
      </c>
    </row>
    <row r="758" spans="1:45" x14ac:dyDescent="0.35">
      <c r="A758"/>
      <c r="B758" s="412">
        <v>706.14</v>
      </c>
      <c r="C758" s="412" t="s">
        <v>256</v>
      </c>
      <c r="D758"/>
      <c r="E758"/>
      <c r="F758"/>
      <c r="G758"/>
      <c r="H758"/>
      <c r="I758" s="402"/>
      <c r="J758" s="402"/>
      <c r="K758" s="402"/>
      <c r="L758" s="825"/>
      <c r="M758" s="938"/>
      <c r="O758" s="834"/>
      <c r="X758" s="817"/>
    </row>
    <row r="759" spans="1:45" x14ac:dyDescent="0.35">
      <c r="A759"/>
      <c r="B759" s="412">
        <v>706.14</v>
      </c>
      <c r="C759" s="412" t="s">
        <v>256</v>
      </c>
      <c r="D759"/>
      <c r="E759"/>
      <c r="F759"/>
      <c r="G759"/>
      <c r="H759"/>
      <c r="I759" s="402"/>
      <c r="J759" s="402"/>
      <c r="K759" s="402"/>
      <c r="L759" s="825"/>
      <c r="M759" s="938"/>
      <c r="O759" s="834"/>
      <c r="X759" s="817"/>
    </row>
    <row r="760" spans="1:45" x14ac:dyDescent="0.35">
      <c r="A760"/>
      <c r="B760" s="412">
        <v>706.14</v>
      </c>
      <c r="C760" s="412" t="s">
        <v>256</v>
      </c>
      <c r="D760"/>
      <c r="E760"/>
      <c r="F760"/>
      <c r="G760"/>
      <c r="H760"/>
      <c r="I760" s="402"/>
      <c r="J760" s="416"/>
      <c r="K760" s="416"/>
      <c r="L760" s="842"/>
      <c r="M760" s="939"/>
      <c r="N760" s="104"/>
      <c r="O760" s="835"/>
      <c r="X760" s="817"/>
    </row>
    <row r="761" spans="1:45" x14ac:dyDescent="0.35">
      <c r="A761"/>
      <c r="B761" s="412">
        <v>706.14</v>
      </c>
      <c r="C761" s="412" t="s">
        <v>258</v>
      </c>
      <c r="D761"/>
      <c r="E761"/>
      <c r="F761"/>
      <c r="G761"/>
      <c r="H761"/>
      <c r="I761" s="402"/>
      <c r="J761" s="402" t="s">
        <v>258</v>
      </c>
      <c r="K761" s="402"/>
      <c r="L761" s="825" t="s">
        <v>4359</v>
      </c>
      <c r="M761" s="938">
        <v>1</v>
      </c>
      <c r="O761" s="834">
        <f>M761*S761*W761</f>
        <v>0</v>
      </c>
      <c r="P761" t="b">
        <v>0</v>
      </c>
      <c r="Q761" t="b">
        <v>1</v>
      </c>
      <c r="R761" t="b">
        <v>0</v>
      </c>
      <c r="S761" t="b">
        <v>1</v>
      </c>
      <c r="T761" t="b">
        <v>0</v>
      </c>
      <c r="W761" s="17"/>
      <c r="X761" s="817"/>
      <c r="AL761" t="str">
        <f>SUBSTITUTE(SUBSTITUTE(SUBSTITUTE("dpa"&amp;$B761&amp;$C761&amp;$D761&amp;$E761,".","_"),"(","_"),")","")</f>
        <v>dpa706_14_2</v>
      </c>
      <c r="AM761">
        <f>M761</f>
        <v>1</v>
      </c>
      <c r="AN761" t="str">
        <f>SUBSTITUTE(SUBSTITUTE(SUBSTITUTE("dpc"&amp;$B761&amp;$C761&amp;$D761&amp;$E761,".","_"),"(","_"),")","")</f>
        <v>dpc706_14_2</v>
      </c>
      <c r="AO761">
        <f>O761</f>
        <v>0</v>
      </c>
      <c r="AP761" t="str">
        <f>SUBSTITUTE(SUBSTITUTE(SUBSTITUTE("dch"&amp;$B761&amp;$C761&amp;$D761&amp;$E761,".","_"),"(","_"),")","")</f>
        <v>dch706_14_2</v>
      </c>
      <c r="AQ761" t="str">
        <f>IF(LEN(W761)=0,"",W761)</f>
        <v/>
      </c>
      <c r="AR761" t="str">
        <f>SUBSTITUTE(SUBSTITUTE(SUBSTITUTE("dnt"&amp;$B761&amp;$C761&amp;$D761&amp;$E761,".","_"),"(","_"),")","")</f>
        <v>dnt706_14_2</v>
      </c>
      <c r="AS761" t="str">
        <f>IF(LEN(X761)=0,"",X761)</f>
        <v/>
      </c>
    </row>
    <row r="762" spans="1:45" ht="15" thickBot="1" x14ac:dyDescent="0.4">
      <c r="A762"/>
      <c r="B762" s="412">
        <v>706.14</v>
      </c>
      <c r="C762" s="412" t="s">
        <v>258</v>
      </c>
      <c r="D762"/>
      <c r="E762"/>
      <c r="F762"/>
      <c r="G762"/>
      <c r="H762"/>
      <c r="I762" s="407"/>
      <c r="J762" s="407"/>
      <c r="K762" s="407"/>
      <c r="L762" s="826"/>
      <c r="M762" s="940"/>
      <c r="N762" s="55"/>
      <c r="O762" s="863"/>
      <c r="P762" s="55"/>
      <c r="Q762" s="55"/>
      <c r="R762" s="55"/>
      <c r="S762" s="55"/>
      <c r="T762" s="55"/>
      <c r="U762" s="55"/>
      <c r="V762" s="55"/>
      <c r="W762" s="64"/>
      <c r="X762" s="829"/>
    </row>
    <row r="763" spans="1:45" ht="15" thickTop="1" x14ac:dyDescent="0.35">
      <c r="A763"/>
      <c r="B763" s="412">
        <v>706.15</v>
      </c>
      <c r="C763" s="412"/>
      <c r="D763"/>
      <c r="E763"/>
      <c r="F763"/>
      <c r="G763"/>
      <c r="H763"/>
      <c r="I763" s="402" t="s">
        <v>4366</v>
      </c>
      <c r="J763" s="402"/>
      <c r="K763" s="402"/>
      <c r="L763" s="881" t="s">
        <v>4367</v>
      </c>
      <c r="M763"/>
      <c r="O763"/>
    </row>
    <row r="764" spans="1:45" x14ac:dyDescent="0.35">
      <c r="A764"/>
      <c r="B764" s="412">
        <v>706.15</v>
      </c>
      <c r="C764" s="412"/>
      <c r="D764"/>
      <c r="E764"/>
      <c r="F764"/>
      <c r="G764"/>
      <c r="H764"/>
      <c r="I764" s="402"/>
      <c r="J764" s="402"/>
      <c r="K764" s="402"/>
      <c r="L764" s="881"/>
      <c r="M764"/>
      <c r="O764"/>
    </row>
    <row r="765" spans="1:45" x14ac:dyDescent="0.35">
      <c r="A765"/>
      <c r="B765" s="412">
        <v>706.15</v>
      </c>
      <c r="C765" s="412"/>
      <c r="D765"/>
      <c r="E765"/>
      <c r="F765"/>
      <c r="G765"/>
      <c r="H765"/>
      <c r="I765" s="402"/>
      <c r="J765" s="402"/>
      <c r="K765" s="402"/>
      <c r="L765" s="881"/>
      <c r="M765"/>
      <c r="O765"/>
    </row>
    <row r="766" spans="1:45" x14ac:dyDescent="0.35">
      <c r="A766"/>
      <c r="B766" s="412">
        <v>706.15</v>
      </c>
      <c r="C766" s="412" t="s">
        <v>256</v>
      </c>
      <c r="D766"/>
      <c r="E766"/>
      <c r="F766"/>
      <c r="G766"/>
      <c r="H766"/>
      <c r="I766" s="402"/>
      <c r="J766" s="416" t="s">
        <v>256</v>
      </c>
      <c r="K766" s="416"/>
      <c r="L766" s="477" t="s">
        <v>4360</v>
      </c>
      <c r="M766" s="465">
        <v>2</v>
      </c>
      <c r="N766" s="104"/>
      <c r="O766" s="309">
        <f ca="1">M766*S766*W766</f>
        <v>0</v>
      </c>
      <c r="P766" t="b">
        <v>1</v>
      </c>
      <c r="Q766" t="b">
        <v>1</v>
      </c>
      <c r="R766" t="b">
        <v>0</v>
      </c>
      <c r="S766" t="b">
        <f ca="1">IF(AY19=INDEX(INDIRECT("ddSingleOrMulti"),2),TRUE,FALSE)</f>
        <v>0</v>
      </c>
      <c r="T766" t="b">
        <v>0</v>
      </c>
      <c r="W766" s="17"/>
      <c r="X766" s="36"/>
      <c r="AC766" t="b">
        <f>OR(AD766:AE766)</f>
        <v>0</v>
      </c>
      <c r="AD766" t="b">
        <f>T766</f>
        <v>0</v>
      </c>
      <c r="AL766" t="str">
        <f>SUBSTITUTE(SUBSTITUTE(SUBSTITUTE("dpa"&amp;$B766&amp;$C766&amp;$D766&amp;$E766,".","_"),"(","_"),")","")</f>
        <v>dpa706_15_1</v>
      </c>
      <c r="AM766">
        <f>M766</f>
        <v>2</v>
      </c>
      <c r="AN766" t="str">
        <f>SUBSTITUTE(SUBSTITUTE(SUBSTITUTE("dpc"&amp;$B766&amp;$C766&amp;$D766&amp;$E766,".","_"),"(","_"),")","")</f>
        <v>dpc706_15_1</v>
      </c>
      <c r="AO766">
        <f ca="1">O766</f>
        <v>0</v>
      </c>
      <c r="AP766" t="str">
        <f>SUBSTITUTE(SUBSTITUTE(SUBSTITUTE("dch"&amp;$B766&amp;$C766&amp;$D766&amp;$E766,".","_"),"(","_"),")","")</f>
        <v>dch706_15_1</v>
      </c>
      <c r="AQ766" t="str">
        <f>IF(LEN(W766)=0,"",W766)</f>
        <v/>
      </c>
      <c r="AR766" t="str">
        <f>SUBSTITUTE(SUBSTITUTE(SUBSTITUTE("dnt"&amp;$B766&amp;$C766&amp;$D766&amp;$E766,".","_"),"(","_"),")","")</f>
        <v>dnt706_15_1</v>
      </c>
      <c r="AS766" t="str">
        <f>IF(LEN(X766)=0,"",X766)</f>
        <v/>
      </c>
    </row>
    <row r="767" spans="1:45" ht="15" thickBot="1" x14ac:dyDescent="0.4">
      <c r="A767"/>
      <c r="B767" s="412">
        <v>706.15</v>
      </c>
      <c r="C767" s="412" t="s">
        <v>258</v>
      </c>
      <c r="D767"/>
      <c r="E767"/>
      <c r="F767"/>
      <c r="G767"/>
      <c r="H767"/>
      <c r="I767" s="402"/>
      <c r="J767" s="402" t="s">
        <v>258</v>
      </c>
      <c r="K767" s="402"/>
      <c r="L767" s="470" t="s">
        <v>4361</v>
      </c>
      <c r="M767" s="464">
        <v>2</v>
      </c>
      <c r="N767" s="55"/>
      <c r="O767" s="161">
        <f ca="1">M767*S767*W767</f>
        <v>0</v>
      </c>
      <c r="P767" s="55" t="b">
        <v>1</v>
      </c>
      <c r="Q767" s="55" t="b">
        <v>1</v>
      </c>
      <c r="R767" s="55" t="b">
        <v>0</v>
      </c>
      <c r="S767" s="55" t="b">
        <f ca="1">IF(AY19=INDEX(INDIRECT("ddSingleOrMulti"),2),TRUE,FALSE)</f>
        <v>0</v>
      </c>
      <c r="T767" s="55" t="b">
        <v>0</v>
      </c>
      <c r="W767" s="17"/>
      <c r="X767" s="36"/>
      <c r="AC767" t="b">
        <f>OR(AD767:AE767)</f>
        <v>0</v>
      </c>
      <c r="AD767" t="b">
        <f>T767</f>
        <v>0</v>
      </c>
      <c r="AL767" t="str">
        <f>SUBSTITUTE(SUBSTITUTE(SUBSTITUTE("dpa"&amp;$B767&amp;$C767&amp;$D767&amp;$E767,".","_"),"(","_"),")","")</f>
        <v>dpa706_15_2</v>
      </c>
      <c r="AM767">
        <f>M767</f>
        <v>2</v>
      </c>
      <c r="AN767" t="str">
        <f>SUBSTITUTE(SUBSTITUTE(SUBSTITUTE("dpc"&amp;$B767&amp;$C767&amp;$D767&amp;$E767,".","_"),"(","_"),")","")</f>
        <v>dpc706_15_2</v>
      </c>
      <c r="AO767">
        <f ca="1">O767</f>
        <v>0</v>
      </c>
      <c r="AP767" t="str">
        <f>SUBSTITUTE(SUBSTITUTE(SUBSTITUTE("dch"&amp;$B767&amp;$C767&amp;$D767&amp;$E767,".","_"),"(","_"),")","")</f>
        <v>dch706_15_2</v>
      </c>
      <c r="AQ767" t="str">
        <f>IF(LEN(W767)=0,"",W767)</f>
        <v/>
      </c>
      <c r="AR767" t="str">
        <f>SUBSTITUTE(SUBSTITUTE(SUBSTITUTE("dnt"&amp;$B767&amp;$C767&amp;$D767&amp;$E767,".","_"),"(","_"),")","")</f>
        <v>dnt706_15_2</v>
      </c>
      <c r="AS767" t="str">
        <f>IF(LEN(X767)=0,"",X767)</f>
        <v/>
      </c>
    </row>
    <row r="768" spans="1:45" ht="15.5" thickTop="1" thickBot="1" x14ac:dyDescent="0.4">
      <c r="A768"/>
      <c r="I768" s="123" t="s">
        <v>3624</v>
      </c>
      <c r="J768" s="124"/>
      <c r="K768" s="124"/>
      <c r="L768" s="124"/>
      <c r="M768" s="125"/>
      <c r="N768" s="124"/>
      <c r="O768" s="126"/>
      <c r="P768" s="124"/>
      <c r="Q768" s="124"/>
      <c r="R768" s="124"/>
      <c r="S768" s="124"/>
      <c r="T768" s="124"/>
      <c r="U768" s="124"/>
      <c r="V768" s="124"/>
      <c r="W768" s="124"/>
      <c r="X768" s="169" t="s">
        <v>3625</v>
      </c>
    </row>
    <row r="769" spans="1:1" ht="15" thickTop="1" x14ac:dyDescent="0.35">
      <c r="A769"/>
    </row>
  </sheetData>
  <sheetProtection algorithmName="SHA-512" hashValue="E0dMzITvjArTNpkUh+ShYiCPQTZSkmiMfX3tVWqXGgusCyyyPwYTG+YFOBkXZhJA5nNYZGLq6zsJRYbsDjr2zQ==" saltValue="zmtR175CUc4WbhYbgC27IA==" spinCount="100000" sheet="1" objects="1" scenarios="1" selectLockedCells="1" autoFilter="0"/>
  <mergeCells count="507">
    <mergeCell ref="M88:M100"/>
    <mergeCell ref="L14:L16"/>
    <mergeCell ref="X14:X16"/>
    <mergeCell ref="M316:M317"/>
    <mergeCell ref="O316:O317"/>
    <mergeCell ref="X316:X317"/>
    <mergeCell ref="X632:X633"/>
    <mergeCell ref="X634:X636"/>
    <mergeCell ref="M634:M636"/>
    <mergeCell ref="O634:O636"/>
    <mergeCell ref="M595:M596"/>
    <mergeCell ref="O595:O596"/>
    <mergeCell ref="M592:M594"/>
    <mergeCell ref="O592:O594"/>
    <mergeCell ref="X592:X594"/>
    <mergeCell ref="X595:X596"/>
    <mergeCell ref="M606:M607"/>
    <mergeCell ref="X606:X607"/>
    <mergeCell ref="X623:X625"/>
    <mergeCell ref="M623:M625"/>
    <mergeCell ref="X462:X463"/>
    <mergeCell ref="X464:X465"/>
    <mergeCell ref="X466:X467"/>
    <mergeCell ref="X468:X469"/>
    <mergeCell ref="M416:M417"/>
    <mergeCell ref="O416:O417"/>
    <mergeCell ref="M418:M419"/>
    <mergeCell ref="X42:X43"/>
    <mergeCell ref="X45:X46"/>
    <mergeCell ref="X47:X48"/>
    <mergeCell ref="X57:X58"/>
    <mergeCell ref="X59:X60"/>
    <mergeCell ref="M42:M43"/>
    <mergeCell ref="M45:M46"/>
    <mergeCell ref="M47:M48"/>
    <mergeCell ref="M57:M58"/>
    <mergeCell ref="M59:M60"/>
    <mergeCell ref="O418:O419"/>
    <mergeCell ref="X296:X298"/>
    <mergeCell ref="X299:X303"/>
    <mergeCell ref="X304:X306"/>
    <mergeCell ref="X310:X315"/>
    <mergeCell ref="X322:X327"/>
    <mergeCell ref="X328:X329"/>
    <mergeCell ref="X331:X334"/>
    <mergeCell ref="X335:X340"/>
    <mergeCell ref="X232:X234"/>
    <mergeCell ref="X236:X243"/>
    <mergeCell ref="L757:L760"/>
    <mergeCell ref="M757:M760"/>
    <mergeCell ref="O757:O760"/>
    <mergeCell ref="L761:L762"/>
    <mergeCell ref="M761:M762"/>
    <mergeCell ref="O761:O762"/>
    <mergeCell ref="L763:L765"/>
    <mergeCell ref="X736:X740"/>
    <mergeCell ref="X746:X747"/>
    <mergeCell ref="X748:X751"/>
    <mergeCell ref="X752:X755"/>
    <mergeCell ref="X757:X760"/>
    <mergeCell ref="X761:X762"/>
    <mergeCell ref="L736:L740"/>
    <mergeCell ref="L746:L747"/>
    <mergeCell ref="M746:M747"/>
    <mergeCell ref="O746:O747"/>
    <mergeCell ref="L748:L751"/>
    <mergeCell ref="M748:M751"/>
    <mergeCell ref="O748:O751"/>
    <mergeCell ref="L752:L753"/>
    <mergeCell ref="O752:O753"/>
    <mergeCell ref="M736:M740"/>
    <mergeCell ref="O736:O740"/>
    <mergeCell ref="L715:L716"/>
    <mergeCell ref="M711:M712"/>
    <mergeCell ref="O711:O712"/>
    <mergeCell ref="M713:M714"/>
    <mergeCell ref="O713:O714"/>
    <mergeCell ref="M715:M716"/>
    <mergeCell ref="O715:O716"/>
    <mergeCell ref="L717:L722"/>
    <mergeCell ref="M733:M735"/>
    <mergeCell ref="L672:L673"/>
    <mergeCell ref="L686:L687"/>
    <mergeCell ref="L690:L691"/>
    <mergeCell ref="L692:L693"/>
    <mergeCell ref="L669:L670"/>
    <mergeCell ref="L595:L596"/>
    <mergeCell ref="L606:L607"/>
    <mergeCell ref="L657:L658"/>
    <mergeCell ref="L641:L642"/>
    <mergeCell ref="L643:L644"/>
    <mergeCell ref="L632:L633"/>
    <mergeCell ref="L635:L636"/>
    <mergeCell ref="L620:L621"/>
    <mergeCell ref="L617:L619"/>
    <mergeCell ref="L627:L628"/>
    <mergeCell ref="L652:L653"/>
    <mergeCell ref="X557:X560"/>
    <mergeCell ref="X561:X562"/>
    <mergeCell ref="X564:X567"/>
    <mergeCell ref="X568:X572"/>
    <mergeCell ref="O568:O570"/>
    <mergeCell ref="O573:O575"/>
    <mergeCell ref="X573:X577"/>
    <mergeCell ref="X578:X580"/>
    <mergeCell ref="X506:X507"/>
    <mergeCell ref="X511:X512"/>
    <mergeCell ref="X513:X514"/>
    <mergeCell ref="X515:X516"/>
    <mergeCell ref="X520:X521"/>
    <mergeCell ref="X541:X551"/>
    <mergeCell ref="X538:X539"/>
    <mergeCell ref="X527:X534"/>
    <mergeCell ref="X428:X444"/>
    <mergeCell ref="O431:O432"/>
    <mergeCell ref="O438:O439"/>
    <mergeCell ref="X452:X453"/>
    <mergeCell ref="L446:L447"/>
    <mergeCell ref="L464:L465"/>
    <mergeCell ref="L504:L505"/>
    <mergeCell ref="X504:X505"/>
    <mergeCell ref="L545:L546"/>
    <mergeCell ref="L541:L544"/>
    <mergeCell ref="L517:L518"/>
    <mergeCell ref="L533:L534"/>
    <mergeCell ref="L538:L539"/>
    <mergeCell ref="L499:L500"/>
    <mergeCell ref="L501:L502"/>
    <mergeCell ref="L506:L507"/>
    <mergeCell ref="L508:L510"/>
    <mergeCell ref="M420:M421"/>
    <mergeCell ref="O420:O421"/>
    <mergeCell ref="X425:X426"/>
    <mergeCell ref="X448:X449"/>
    <mergeCell ref="X450:X451"/>
    <mergeCell ref="H1:H7"/>
    <mergeCell ref="X725:X726"/>
    <mergeCell ref="X730:X732"/>
    <mergeCell ref="X482:X486"/>
    <mergeCell ref="X487:X488"/>
    <mergeCell ref="X495:X496"/>
    <mergeCell ref="X499:X500"/>
    <mergeCell ref="X501:X503"/>
    <mergeCell ref="X524:X526"/>
    <mergeCell ref="X341:X347"/>
    <mergeCell ref="X348:X352"/>
    <mergeCell ref="X354:X355"/>
    <mergeCell ref="X356:X357"/>
    <mergeCell ref="X360:X361"/>
    <mergeCell ref="X362:X363"/>
    <mergeCell ref="X364:X372"/>
    <mergeCell ref="X374:X422"/>
    <mergeCell ref="X423:X424"/>
    <mergeCell ref="X290:X295"/>
    <mergeCell ref="X733:X735"/>
    <mergeCell ref="X741:X745"/>
    <mergeCell ref="X457:X458"/>
    <mergeCell ref="X659:X662"/>
    <mergeCell ref="X669:X670"/>
    <mergeCell ref="X674:X678"/>
    <mergeCell ref="X679:X685"/>
    <mergeCell ref="X686:X693"/>
    <mergeCell ref="X704:X705"/>
    <mergeCell ref="X706:X707"/>
    <mergeCell ref="X708:X709"/>
    <mergeCell ref="X710:X724"/>
    <mergeCell ref="X581:X582"/>
    <mergeCell ref="X583:X585"/>
    <mergeCell ref="X587:X589"/>
    <mergeCell ref="X597:X598"/>
    <mergeCell ref="X610:X615"/>
    <mergeCell ref="X637:X642"/>
    <mergeCell ref="X652:X653"/>
    <mergeCell ref="X655:X656"/>
    <mergeCell ref="X535:X537"/>
    <mergeCell ref="X470:X471"/>
    <mergeCell ref="X475:X476"/>
    <mergeCell ref="X477:X479"/>
    <mergeCell ref="X252:X259"/>
    <mergeCell ref="X260:X268"/>
    <mergeCell ref="X270:X276"/>
    <mergeCell ref="X277:X283"/>
    <mergeCell ref="X284:X288"/>
    <mergeCell ref="X192:X193"/>
    <mergeCell ref="X211:X213"/>
    <mergeCell ref="X214:X218"/>
    <mergeCell ref="X220:X226"/>
    <mergeCell ref="X227:X228"/>
    <mergeCell ref="X229:X231"/>
    <mergeCell ref="X244:X251"/>
    <mergeCell ref="M168:M169"/>
    <mergeCell ref="M160:M167"/>
    <mergeCell ref="M101:M104"/>
    <mergeCell ref="X138:X139"/>
    <mergeCell ref="X142:X144"/>
    <mergeCell ref="X145:X146"/>
    <mergeCell ref="X147:X149"/>
    <mergeCell ref="X150:X159"/>
    <mergeCell ref="X160:X167"/>
    <mergeCell ref="X129:X132"/>
    <mergeCell ref="X133:X134"/>
    <mergeCell ref="X135:X137"/>
    <mergeCell ref="X183:X188"/>
    <mergeCell ref="X189:X191"/>
    <mergeCell ref="X196:X210"/>
    <mergeCell ref="X68:X70"/>
    <mergeCell ref="X71:X75"/>
    <mergeCell ref="X77:X79"/>
    <mergeCell ref="X81:X82"/>
    <mergeCell ref="X84:X87"/>
    <mergeCell ref="X121:X123"/>
    <mergeCell ref="X111:X112"/>
    <mergeCell ref="X114:X115"/>
    <mergeCell ref="X119:X120"/>
    <mergeCell ref="X170:X171"/>
    <mergeCell ref="X179:X182"/>
    <mergeCell ref="X105:X107"/>
    <mergeCell ref="X108:X109"/>
    <mergeCell ref="M674:M678"/>
    <mergeCell ref="L723:L724"/>
    <mergeCell ref="M741:M743"/>
    <mergeCell ref="O725:O726"/>
    <mergeCell ref="O733:O735"/>
    <mergeCell ref="O741:O743"/>
    <mergeCell ref="M664:M665"/>
    <mergeCell ref="M669:M670"/>
    <mergeCell ref="O664:O665"/>
    <mergeCell ref="M682:M683"/>
    <mergeCell ref="M684:M685"/>
    <mergeCell ref="O679:O681"/>
    <mergeCell ref="O686:O687"/>
    <mergeCell ref="M704:M705"/>
    <mergeCell ref="M706:M707"/>
    <mergeCell ref="M708:M709"/>
    <mergeCell ref="O708:O709"/>
    <mergeCell ref="O706:O707"/>
    <mergeCell ref="O704:O705"/>
    <mergeCell ref="M725:M726"/>
    <mergeCell ref="O674:O678"/>
    <mergeCell ref="L674:L678"/>
    <mergeCell ref="L679:L681"/>
    <mergeCell ref="L682:L683"/>
    <mergeCell ref="L557:L558"/>
    <mergeCell ref="L561:L562"/>
    <mergeCell ref="L379:L380"/>
    <mergeCell ref="L382:L383"/>
    <mergeCell ref="L386:L387"/>
    <mergeCell ref="L391:L393"/>
    <mergeCell ref="L431:L432"/>
    <mergeCell ref="L401:L402"/>
    <mergeCell ref="L410:L411"/>
    <mergeCell ref="L416:L417"/>
    <mergeCell ref="L418:L419"/>
    <mergeCell ref="L420:L421"/>
    <mergeCell ref="L466:L467"/>
    <mergeCell ref="L468:L469"/>
    <mergeCell ref="L428:L430"/>
    <mergeCell ref="L448:L449"/>
    <mergeCell ref="L450:L451"/>
    <mergeCell ref="L438:L439"/>
    <mergeCell ref="L550:L551"/>
    <mergeCell ref="L524:L526"/>
    <mergeCell ref="L513:L514"/>
    <mergeCell ref="L515:L516"/>
    <mergeCell ref="L520:L521"/>
    <mergeCell ref="L535:L537"/>
    <mergeCell ref="L564:L565"/>
    <mergeCell ref="L587:L589"/>
    <mergeCell ref="L597:L598"/>
    <mergeCell ref="L610:L615"/>
    <mergeCell ref="L568:L570"/>
    <mergeCell ref="L592:L594"/>
    <mergeCell ref="L583:L585"/>
    <mergeCell ref="L744:L745"/>
    <mergeCell ref="L279:L280"/>
    <mergeCell ref="L725:L726"/>
    <mergeCell ref="L727:L728"/>
    <mergeCell ref="L731:L732"/>
    <mergeCell ref="L733:L735"/>
    <mergeCell ref="L708:L709"/>
    <mergeCell ref="L684:L685"/>
    <mergeCell ref="L704:L705"/>
    <mergeCell ref="L706:L707"/>
    <mergeCell ref="L659:L662"/>
    <mergeCell ref="L664:L665"/>
    <mergeCell ref="L547:L549"/>
    <mergeCell ref="L655:L656"/>
    <mergeCell ref="L555:L556"/>
    <mergeCell ref="L629:L631"/>
    <mergeCell ref="L522:L523"/>
    <mergeCell ref="I1:L1"/>
    <mergeCell ref="M1:W5"/>
    <mergeCell ref="I2:L2"/>
    <mergeCell ref="I3:L3"/>
    <mergeCell ref="U6:U7"/>
    <mergeCell ref="V6:V7"/>
    <mergeCell ref="W6:W7"/>
    <mergeCell ref="L61:L62"/>
    <mergeCell ref="M61:M62"/>
    <mergeCell ref="O27:O35"/>
    <mergeCell ref="L10:L13"/>
    <mergeCell ref="L17:L19"/>
    <mergeCell ref="L24:L26"/>
    <mergeCell ref="L27:L35"/>
    <mergeCell ref="L20:L23"/>
    <mergeCell ref="M17:M26"/>
    <mergeCell ref="I6:K7"/>
    <mergeCell ref="I5:L5"/>
    <mergeCell ref="M6:M7"/>
    <mergeCell ref="N6:N7"/>
    <mergeCell ref="L37:L39"/>
    <mergeCell ref="L42:L43"/>
    <mergeCell ref="L45:L46"/>
    <mergeCell ref="L47:L48"/>
    <mergeCell ref="L59:L60"/>
    <mergeCell ref="O37:O39"/>
    <mergeCell ref="L124:L127"/>
    <mergeCell ref="M124:M127"/>
    <mergeCell ref="L741:L743"/>
    <mergeCell ref="X4:X5"/>
    <mergeCell ref="Q6:Q7"/>
    <mergeCell ref="X6:X7"/>
    <mergeCell ref="R6:R7"/>
    <mergeCell ref="S6:S7"/>
    <mergeCell ref="T6:T7"/>
    <mergeCell ref="L214:L218"/>
    <mergeCell ref="M214:M218"/>
    <mergeCell ref="L220:L225"/>
    <mergeCell ref="M220:M225"/>
    <mergeCell ref="L236:L242"/>
    <mergeCell ref="M236:M242"/>
    <mergeCell ref="L244:L251"/>
    <mergeCell ref="L252:L256"/>
    <mergeCell ref="L211:L212"/>
    <mergeCell ref="M211:M212"/>
    <mergeCell ref="L111:L112"/>
    <mergeCell ref="I4:L4"/>
    <mergeCell ref="L527:L528"/>
    <mergeCell ref="P6:P7"/>
    <mergeCell ref="L142:L144"/>
    <mergeCell ref="L121:L122"/>
    <mergeCell ref="L6:L7"/>
    <mergeCell ref="W183:W184"/>
    <mergeCell ref="M561:M562"/>
    <mergeCell ref="M581:M582"/>
    <mergeCell ref="O220:O225"/>
    <mergeCell ref="O328:O329"/>
    <mergeCell ref="M386:M387"/>
    <mergeCell ref="O386:O387"/>
    <mergeCell ref="O396:O397"/>
    <mergeCell ref="O227:O228"/>
    <mergeCell ref="L531:L532"/>
    <mergeCell ref="L573:L575"/>
    <mergeCell ref="L578:L579"/>
    <mergeCell ref="L581:L582"/>
    <mergeCell ref="L487:L488"/>
    <mergeCell ref="L495:L496"/>
    <mergeCell ref="L176:L177"/>
    <mergeCell ref="L189:L191"/>
    <mergeCell ref="L57:L58"/>
    <mergeCell ref="L192:L193"/>
    <mergeCell ref="L328:L329"/>
    <mergeCell ref="M583:M585"/>
    <mergeCell ref="O557:O558"/>
    <mergeCell ref="O561:O562"/>
    <mergeCell ref="O564:O565"/>
    <mergeCell ref="O578:O579"/>
    <mergeCell ref="O581:O582"/>
    <mergeCell ref="O583:O585"/>
    <mergeCell ref="M578:M579"/>
    <mergeCell ref="M460:M461"/>
    <mergeCell ref="O487:O488"/>
    <mergeCell ref="O489:O490"/>
    <mergeCell ref="M517:M518"/>
    <mergeCell ref="M487:M488"/>
    <mergeCell ref="L260:L268"/>
    <mergeCell ref="L360:L361"/>
    <mergeCell ref="L489:L490"/>
    <mergeCell ref="L460:L461"/>
    <mergeCell ref="L470:L471"/>
    <mergeCell ref="L475:L476"/>
    <mergeCell ref="L477:L478"/>
    <mergeCell ref="L331:L333"/>
    <mergeCell ref="L335:L337"/>
    <mergeCell ref="L343:L346"/>
    <mergeCell ref="L348:L349"/>
    <mergeCell ref="L452:L453"/>
    <mergeCell ref="L351:L352"/>
    <mergeCell ref="L364:L368"/>
    <mergeCell ref="L396:L397"/>
    <mergeCell ref="L462:L463"/>
    <mergeCell ref="L375:L376"/>
    <mergeCell ref="L377:L378"/>
    <mergeCell ref="M68:M70"/>
    <mergeCell ref="L68:L70"/>
    <mergeCell ref="L133:L134"/>
    <mergeCell ref="L135:L137"/>
    <mergeCell ref="L129:L132"/>
    <mergeCell ref="L179:L182"/>
    <mergeCell ref="M179:M182"/>
    <mergeCell ref="M150:M159"/>
    <mergeCell ref="L529:L530"/>
    <mergeCell ref="L168:L169"/>
    <mergeCell ref="M81:M82"/>
    <mergeCell ref="L138:L139"/>
    <mergeCell ref="L147:L149"/>
    <mergeCell ref="L160:L167"/>
    <mergeCell ref="M71:M75"/>
    <mergeCell ref="M77:M79"/>
    <mergeCell ref="L493:L494"/>
    <mergeCell ref="L511:L512"/>
    <mergeCell ref="L482:L486"/>
    <mergeCell ref="L270:L278"/>
    <mergeCell ref="L284:L288"/>
    <mergeCell ref="L307:L309"/>
    <mergeCell ref="L319:L321"/>
    <mergeCell ref="L423:L424"/>
    <mergeCell ref="M196:M197"/>
    <mergeCell ref="L207:L210"/>
    <mergeCell ref="L227:L228"/>
    <mergeCell ref="M227:M228"/>
    <mergeCell ref="M229:M231"/>
    <mergeCell ref="M232:M234"/>
    <mergeCell ref="L196:L197"/>
    <mergeCell ref="L199:L206"/>
    <mergeCell ref="X17:X19"/>
    <mergeCell ref="X20:X23"/>
    <mergeCell ref="X24:X26"/>
    <mergeCell ref="X27:X35"/>
    <mergeCell ref="X63:X65"/>
    <mergeCell ref="L63:L64"/>
    <mergeCell ref="L119:L120"/>
    <mergeCell ref="L183:L187"/>
    <mergeCell ref="L77:L79"/>
    <mergeCell ref="L71:L75"/>
    <mergeCell ref="L84:L87"/>
    <mergeCell ref="L81:L82"/>
    <mergeCell ref="L105:L109"/>
    <mergeCell ref="L101:L104"/>
    <mergeCell ref="L114:L115"/>
    <mergeCell ref="L170:L171"/>
    <mergeCell ref="M659:M662"/>
    <mergeCell ref="O587:O589"/>
    <mergeCell ref="O597:O598"/>
    <mergeCell ref="O610:O615"/>
    <mergeCell ref="M641:M642"/>
    <mergeCell ref="M643:M644"/>
    <mergeCell ref="O643:O644"/>
    <mergeCell ref="O655:O656"/>
    <mergeCell ref="O657:O658"/>
    <mergeCell ref="O659:O662"/>
    <mergeCell ref="M587:M589"/>
    <mergeCell ref="O637:O639"/>
    <mergeCell ref="M597:M598"/>
    <mergeCell ref="M610:M615"/>
    <mergeCell ref="M632:M633"/>
    <mergeCell ref="O632:O633"/>
    <mergeCell ref="O606:O607"/>
    <mergeCell ref="O623:O625"/>
    <mergeCell ref="O183:O187"/>
    <mergeCell ref="X657:X658"/>
    <mergeCell ref="O460:O461"/>
    <mergeCell ref="W610:W615"/>
    <mergeCell ref="X626:X628"/>
    <mergeCell ref="M655:M656"/>
    <mergeCell ref="M657:M658"/>
    <mergeCell ref="O348:O349"/>
    <mergeCell ref="O517:O518"/>
    <mergeCell ref="M448:M449"/>
    <mergeCell ref="M450:M451"/>
    <mergeCell ref="M452:M453"/>
    <mergeCell ref="O448:O449"/>
    <mergeCell ref="O450:O451"/>
    <mergeCell ref="O452:O453"/>
    <mergeCell ref="M354:M355"/>
    <mergeCell ref="M356:M357"/>
    <mergeCell ref="O364:O368"/>
    <mergeCell ref="O356:O357"/>
    <mergeCell ref="O354:O355"/>
    <mergeCell ref="M423:M424"/>
    <mergeCell ref="O423:O424"/>
    <mergeCell ref="O391:O393"/>
    <mergeCell ref="O382:O383"/>
    <mergeCell ref="W232:W233"/>
    <mergeCell ref="O410:O411"/>
    <mergeCell ref="L145:L146"/>
    <mergeCell ref="L150:L156"/>
    <mergeCell ref="L157:L159"/>
    <mergeCell ref="L173:L174"/>
    <mergeCell ref="M173:M174"/>
    <mergeCell ref="X173:X174"/>
    <mergeCell ref="O541:O551"/>
    <mergeCell ref="O401:O402"/>
    <mergeCell ref="M252:M256"/>
    <mergeCell ref="M284:M288"/>
    <mergeCell ref="O252:O256"/>
    <mergeCell ref="O284:O288"/>
    <mergeCell ref="M328:M329"/>
    <mergeCell ref="M348:M349"/>
    <mergeCell ref="M331:M334"/>
    <mergeCell ref="O331:O334"/>
    <mergeCell ref="O335:O337"/>
    <mergeCell ref="M183:M187"/>
    <mergeCell ref="O229:O231"/>
    <mergeCell ref="O232:O234"/>
    <mergeCell ref="L229:L231"/>
    <mergeCell ref="L232:L234"/>
  </mergeCells>
  <phoneticPr fontId="89" type="noConversion"/>
  <conditionalFormatting sqref="X2">
    <cfRule type="expression" dxfId="4799" priority="820">
      <formula>$AG$3</formula>
    </cfRule>
  </conditionalFormatting>
  <conditionalFormatting sqref="X3">
    <cfRule type="expression" dxfId="4798" priority="821">
      <formula>$AI$3</formula>
    </cfRule>
  </conditionalFormatting>
  <conditionalFormatting sqref="W12">
    <cfRule type="expression" dxfId="4797" priority="811">
      <formula>OR($T$12 = TRUE, AND(LEN(TRIM($W$12))&gt;0, $S$12 = FALSE))</formula>
    </cfRule>
    <cfRule type="expression" dxfId="4796" priority="812">
      <formula>$S$12 = FALSE</formula>
    </cfRule>
    <cfRule type="expression" dxfId="4795" priority="813">
      <formula>AND(IF($R$12,$W$12,TRUE),LEN(TRIM($W$12))&gt;0)</formula>
    </cfRule>
    <cfRule type="expression" dxfId="4794" priority="814">
      <formula>AND($R$12,$S$12)</formula>
    </cfRule>
  </conditionalFormatting>
  <conditionalFormatting sqref="W28">
    <cfRule type="expression" dxfId="4793" priority="806">
      <formula>OR($T$28 = TRUE, AND(LEN(TRIM($W$28))&gt;0, $S$28 = FALSE))</formula>
    </cfRule>
    <cfRule type="expression" dxfId="4792" priority="807">
      <formula>$S$28 = FALSE</formula>
    </cfRule>
    <cfRule type="expression" dxfId="4791" priority="808">
      <formula>AND(IF($R$28,$W$28,TRUE),LEN(TRIM($W$28))&gt;0)</formula>
    </cfRule>
    <cfRule type="expression" dxfId="4790" priority="809">
      <formula>AND($R$28,$S$28)</formula>
    </cfRule>
  </conditionalFormatting>
  <conditionalFormatting sqref="M17:M18">
    <cfRule type="expression" dxfId="4789" priority="3242">
      <formula>NOT(AE17)</formula>
    </cfRule>
  </conditionalFormatting>
  <conditionalFormatting sqref="M61">
    <cfRule type="expression" dxfId="4788" priority="3245">
      <formula>OR(S13=1,S13=3)</formula>
    </cfRule>
  </conditionalFormatting>
  <conditionalFormatting sqref="W63">
    <cfRule type="expression" dxfId="4787" priority="797">
      <formula>OR($T$63 = TRUE, AND($W$63 = TRUE, $S$63 = FALSE))</formula>
    </cfRule>
    <cfRule type="expression" dxfId="4786" priority="798">
      <formula>$S$63 = FALSE</formula>
    </cfRule>
    <cfRule type="expression" dxfId="4785" priority="799">
      <formula>AND(IF($R$63,$W$63,TRUE),LEN(TRIM($W$63))&gt;0)</formula>
    </cfRule>
    <cfRule type="expression" dxfId="4784" priority="800">
      <formula>AND($R$63,$S$63)</formula>
    </cfRule>
  </conditionalFormatting>
  <conditionalFormatting sqref="X63:X65">
    <cfRule type="expression" dxfId="4783" priority="796">
      <formula>W63</formula>
    </cfRule>
  </conditionalFormatting>
  <conditionalFormatting sqref="W68">
    <cfRule type="expression" dxfId="4782" priority="792">
      <formula>OR($T$68 = TRUE, AND($W$68 = TRUE, $S$68 = FALSE))</formula>
    </cfRule>
    <cfRule type="expression" dxfId="4781" priority="793">
      <formula>$S$68 = FALSE</formula>
    </cfRule>
    <cfRule type="expression" dxfId="4780" priority="794">
      <formula>AND(IF($R$68,$W$68,TRUE),LEN(TRIM($W$68))&gt;0)</formula>
    </cfRule>
    <cfRule type="expression" dxfId="4779" priority="795">
      <formula>AND($R$68,$S$68)</formula>
    </cfRule>
  </conditionalFormatting>
  <conditionalFormatting sqref="W71">
    <cfRule type="expression" dxfId="4778" priority="788">
      <formula>OR($T$71 = TRUE, AND(LEN(TRIM($W$71))&gt;0, $S$71 = FALSE))</formula>
    </cfRule>
    <cfRule type="expression" dxfId="4777" priority="789">
      <formula>$S$71 = FALSE</formula>
    </cfRule>
    <cfRule type="expression" dxfId="4776" priority="790">
      <formula>AND($W$71&lt;&gt;"Not Met",LEN(TRIM($W$71))&gt;0)</formula>
    </cfRule>
    <cfRule type="expression" dxfId="4775" priority="791">
      <formula>AND($R$71,$S$71)</formula>
    </cfRule>
  </conditionalFormatting>
  <conditionalFormatting sqref="W85">
    <cfRule type="expression" dxfId="4774" priority="784">
      <formula>OR($T$85 = TRUE, AND($W$85 = TRUE, $S$85 = FALSE))</formula>
    </cfRule>
    <cfRule type="expression" dxfId="4773" priority="785">
      <formula>$S$85 = FALSE</formula>
    </cfRule>
    <cfRule type="expression" dxfId="4772" priority="786">
      <formula>AND(IF($R$85,$W$85,TRUE),LEN(TRIM($W$85))&gt;0)</formula>
    </cfRule>
    <cfRule type="expression" dxfId="4771" priority="787">
      <formula>AND($R$85,$S$85)</formula>
    </cfRule>
  </conditionalFormatting>
  <conditionalFormatting sqref="W150">
    <cfRule type="expression" dxfId="4770" priority="776">
      <formula>OR($T$150 = TRUE, AND($W$150 = TRUE, $S$150 = FALSE))</formula>
    </cfRule>
    <cfRule type="expression" dxfId="4769" priority="777">
      <formula>$S$150 = FALSE</formula>
    </cfRule>
    <cfRule type="expression" dxfId="4768" priority="778">
      <formula>AND(IF($R$150,$W$150,TRUE),LEN(TRIM($W$150))&gt;0)</formula>
    </cfRule>
    <cfRule type="expression" dxfId="4767" priority="779">
      <formula>AND($R$150,$S$150)</formula>
    </cfRule>
  </conditionalFormatting>
  <conditionalFormatting sqref="W170">
    <cfRule type="expression" dxfId="4766" priority="772">
      <formula>OR($T$170 = TRUE, AND($W$170 = TRUE, $S$170 = FALSE))</formula>
    </cfRule>
    <cfRule type="expression" dxfId="4765" priority="773">
      <formula>$S$170 = FALSE</formula>
    </cfRule>
    <cfRule type="expression" dxfId="4764" priority="774">
      <formula>AND(IF($R$170,$W$170,TRUE),LEN(TRIM($W$170))&gt;0)</formula>
    </cfRule>
    <cfRule type="expression" dxfId="4763" priority="775">
      <formula>AND($R$170,$S$170)</formula>
    </cfRule>
  </conditionalFormatting>
  <conditionalFormatting sqref="W172">
    <cfRule type="expression" dxfId="4762" priority="768">
      <formula>OR($T$172 = TRUE, AND($W$172 = TRUE, $S$172 = FALSE))</formula>
    </cfRule>
    <cfRule type="expression" dxfId="4761" priority="769">
      <formula>$S$172 = FALSE</formula>
    </cfRule>
    <cfRule type="expression" dxfId="4760" priority="770">
      <formula>AND(IF($R$172,$W$172,TRUE),LEN(TRIM($W$172))&gt;0)</formula>
    </cfRule>
    <cfRule type="expression" dxfId="4759" priority="771">
      <formula>AND($R$172,$S$172)</formula>
    </cfRule>
  </conditionalFormatting>
  <conditionalFormatting sqref="W179">
    <cfRule type="expression" dxfId="4758" priority="763">
      <formula>AND($R$179,$S$179)</formula>
    </cfRule>
  </conditionalFormatting>
  <conditionalFormatting sqref="W179">
    <cfRule type="expression" dxfId="4757" priority="762">
      <formula>AND(IF($R$179,$W$179,TRUE),LEN(TRIM($W$179))&gt;0)</formula>
    </cfRule>
  </conditionalFormatting>
  <conditionalFormatting sqref="W179">
    <cfRule type="expression" dxfId="4756" priority="761">
      <formula>$S$179 = FALSE</formula>
    </cfRule>
  </conditionalFormatting>
  <conditionalFormatting sqref="W179">
    <cfRule type="expression" dxfId="4755" priority="760">
      <formula>OR($T$179 = TRUE, AND($W$179 = TRUE, $S$179 = FALSE))</formula>
    </cfRule>
  </conditionalFormatting>
  <conditionalFormatting sqref="W185">
    <cfRule type="expression" dxfId="4754" priority="759">
      <formula>AND(R185,S185)</formula>
    </cfRule>
  </conditionalFormatting>
  <conditionalFormatting sqref="W185">
    <cfRule type="expression" dxfId="4753" priority="758">
      <formula>NOT(ISBLANK(W185))</formula>
    </cfRule>
  </conditionalFormatting>
  <conditionalFormatting sqref="W185">
    <cfRule type="expression" dxfId="4752" priority="757">
      <formula>S185 = FALSE</formula>
    </cfRule>
  </conditionalFormatting>
  <conditionalFormatting sqref="W185">
    <cfRule type="expression" dxfId="4751" priority="756">
      <formula>OR(T185 = TRUE, AND(W185 = TRUE, S185 = FALSE))</formula>
    </cfRule>
  </conditionalFormatting>
  <conditionalFormatting sqref="W77">
    <cfRule type="expression" dxfId="4750" priority="755">
      <formula>AND($R$77,$S$77)</formula>
    </cfRule>
  </conditionalFormatting>
  <conditionalFormatting sqref="W77">
    <cfRule type="expression" dxfId="4749" priority="754">
      <formula>AND(IF($R$77,$W$77,TRUE),LEN(TRIM($W$77))&gt;0)</formula>
    </cfRule>
  </conditionalFormatting>
  <conditionalFormatting sqref="W77">
    <cfRule type="expression" dxfId="4748" priority="753">
      <formula>$S$77 = FALSE</formula>
    </cfRule>
  </conditionalFormatting>
  <conditionalFormatting sqref="W77">
    <cfRule type="expression" dxfId="4747" priority="752">
      <formula>OR($T$77 = TRUE, AND($W$77 = TRUE, $S$77 = FALSE))</formula>
    </cfRule>
  </conditionalFormatting>
  <conditionalFormatting sqref="W80">
    <cfRule type="expression" dxfId="4746" priority="751">
      <formula>AND($R$80,$S$80)</formula>
    </cfRule>
  </conditionalFormatting>
  <conditionalFormatting sqref="W80">
    <cfRule type="expression" dxfId="4745" priority="750">
      <formula>AND(IF($R$80,$W$80,TRUE),LEN(TRIM($W$80))&gt;0)</formula>
    </cfRule>
  </conditionalFormatting>
  <conditionalFormatting sqref="W80">
    <cfRule type="expression" dxfId="4744" priority="749">
      <formula>$S$80 = FALSE</formula>
    </cfRule>
  </conditionalFormatting>
  <conditionalFormatting sqref="W80">
    <cfRule type="expression" dxfId="4743" priority="748">
      <formula>OR($T$80 = TRUE, AND($W$80 = TRUE, $S$80 = FALSE))</formula>
    </cfRule>
  </conditionalFormatting>
  <conditionalFormatting sqref="W81">
    <cfRule type="expression" dxfId="4742" priority="747">
      <formula>AND($R$81,$S$81)</formula>
    </cfRule>
  </conditionalFormatting>
  <conditionalFormatting sqref="W81">
    <cfRule type="expression" dxfId="4741" priority="746">
      <formula>AND(IF($R$81,$W$81,TRUE),LEN(TRIM($W$81))&gt;0)</formula>
    </cfRule>
  </conditionalFormatting>
  <conditionalFormatting sqref="W81">
    <cfRule type="expression" dxfId="4740" priority="745">
      <formula>$S$81 = FALSE</formula>
    </cfRule>
  </conditionalFormatting>
  <conditionalFormatting sqref="W81">
    <cfRule type="expression" dxfId="4739" priority="744">
      <formula>OR($T$81 = TRUE, AND($W$81 = TRUE, $S$81 = FALSE))</formula>
    </cfRule>
  </conditionalFormatting>
  <conditionalFormatting sqref="W121">
    <cfRule type="expression" dxfId="4738" priority="735">
      <formula>AND($R$121,$S$121)</formula>
    </cfRule>
  </conditionalFormatting>
  <conditionalFormatting sqref="W121">
    <cfRule type="expression" dxfId="4737" priority="734">
      <formula>AND(IF($R$121,$W$121,TRUE),LEN(TRIM($W$121))&gt;0)</formula>
    </cfRule>
  </conditionalFormatting>
  <conditionalFormatting sqref="W121">
    <cfRule type="expression" dxfId="4736" priority="733">
      <formula>$S$121 = FALSE</formula>
    </cfRule>
  </conditionalFormatting>
  <conditionalFormatting sqref="W121">
    <cfRule type="expression" dxfId="4735" priority="732">
      <formula>OR($T$121 = TRUE, AND($W$121 = TRUE, $S$121 = FALSE))</formula>
    </cfRule>
  </conditionalFormatting>
  <conditionalFormatting sqref="W124">
    <cfRule type="expression" dxfId="4734" priority="731">
      <formula>AND($R$124,$S$124)</formula>
    </cfRule>
  </conditionalFormatting>
  <conditionalFormatting sqref="W124">
    <cfRule type="expression" dxfId="4733" priority="730">
      <formula>AND(IF($R$124,$W$124,TRUE),LEN(TRIM($W$124))&gt;0)</formula>
    </cfRule>
  </conditionalFormatting>
  <conditionalFormatting sqref="W124">
    <cfRule type="expression" dxfId="4732" priority="729">
      <formula>$S$124 = FALSE</formula>
    </cfRule>
  </conditionalFormatting>
  <conditionalFormatting sqref="W124">
    <cfRule type="expression" dxfId="4731" priority="728">
      <formula>OR($T$124 = TRUE, AND($W$124 = TRUE, $S$124 = FALSE))</formula>
    </cfRule>
  </conditionalFormatting>
  <conditionalFormatting sqref="W160">
    <cfRule type="expression" dxfId="4730" priority="727">
      <formula>AND($R$160,$S$160)</formula>
    </cfRule>
  </conditionalFormatting>
  <conditionalFormatting sqref="W160">
    <cfRule type="expression" dxfId="4729" priority="726">
      <formula>AND($W$160&lt;&gt;"Not Met",LEN(TRIM($W$160))&gt;0)</formula>
    </cfRule>
  </conditionalFormatting>
  <conditionalFormatting sqref="W160">
    <cfRule type="expression" dxfId="4728" priority="725">
      <formula>$S$160 = FALSE</formula>
    </cfRule>
  </conditionalFormatting>
  <conditionalFormatting sqref="W160">
    <cfRule type="expression" dxfId="4727" priority="724">
      <formula>OR($T$160 = TRUE, AND(LEN(TRIM($W$160))&gt;0, $S$160 = FALSE))</formula>
    </cfRule>
  </conditionalFormatting>
  <conditionalFormatting sqref="W173">
    <cfRule type="expression" dxfId="4726" priority="723">
      <formula>AND($R$173,$S$173)</formula>
    </cfRule>
  </conditionalFormatting>
  <conditionalFormatting sqref="W173">
    <cfRule type="expression" dxfId="4725" priority="722">
      <formula>AND(IF($R$173,$W$173,TRUE),LEN(TRIM($W$173))&gt;0)</formula>
    </cfRule>
  </conditionalFormatting>
  <conditionalFormatting sqref="W173">
    <cfRule type="expression" dxfId="4724" priority="721">
      <formula>$S$173 = FALSE</formula>
    </cfRule>
  </conditionalFormatting>
  <conditionalFormatting sqref="W173">
    <cfRule type="expression" dxfId="4723" priority="720">
      <formula>OR($T$173 = TRUE, AND($W$173 = TRUE, $S$173 = FALSE))</formula>
    </cfRule>
  </conditionalFormatting>
  <conditionalFormatting sqref="W196">
    <cfRule type="expression" dxfId="4722" priority="719">
      <formula>AND($R$196,$S$196)</formula>
    </cfRule>
  </conditionalFormatting>
  <conditionalFormatting sqref="W196">
    <cfRule type="expression" dxfId="4721" priority="718">
      <formula>AND(IF($R$196,$W$196,TRUE),LEN(TRIM($W$196))&gt;0)</formula>
    </cfRule>
  </conditionalFormatting>
  <conditionalFormatting sqref="W196">
    <cfRule type="expression" dxfId="4720" priority="717">
      <formula>$S$196 = FALSE</formula>
    </cfRule>
  </conditionalFormatting>
  <conditionalFormatting sqref="W196">
    <cfRule type="expression" dxfId="4719" priority="716">
      <formula>OR($T$196 = TRUE, AND($W$196 = TRUE, $S$196 = FALSE))</formula>
    </cfRule>
  </conditionalFormatting>
  <conditionalFormatting sqref="W211">
    <cfRule type="expression" dxfId="4718" priority="715">
      <formula>AND($R$211,$S$211)</formula>
    </cfRule>
  </conditionalFormatting>
  <conditionalFormatting sqref="W211">
    <cfRule type="expression" dxfId="4717" priority="714">
      <formula>AND(IF($R$211,$W$211,TRUE),LEN(TRIM($W$211))&gt;0)</formula>
    </cfRule>
  </conditionalFormatting>
  <conditionalFormatting sqref="W211">
    <cfRule type="expression" dxfId="4716" priority="713">
      <formula>$S$211 = FALSE</formula>
    </cfRule>
  </conditionalFormatting>
  <conditionalFormatting sqref="W211">
    <cfRule type="expression" dxfId="4715" priority="712">
      <formula>OR($T$211 = TRUE, AND($W$211 = TRUE, $S$211 = FALSE))</formula>
    </cfRule>
  </conditionalFormatting>
  <conditionalFormatting sqref="W220">
    <cfRule type="expression" dxfId="4714" priority="707">
      <formula>AND($R$220,$S$220)</formula>
    </cfRule>
  </conditionalFormatting>
  <conditionalFormatting sqref="W220">
    <cfRule type="expression" dxfId="4713" priority="706">
      <formula>AND(IF($R$220,$W$220,TRUE),LEN(TRIM($W$220))&gt;0)</formula>
    </cfRule>
  </conditionalFormatting>
  <conditionalFormatting sqref="W220">
    <cfRule type="expression" dxfId="4712" priority="705">
      <formula>$S$220 = FALSE</formula>
    </cfRule>
  </conditionalFormatting>
  <conditionalFormatting sqref="W220">
    <cfRule type="expression" dxfId="4711" priority="704">
      <formula>OR($T$220 = TRUE, AND($W$220 = TRUE, $S$220 = FALSE))</formula>
    </cfRule>
  </conditionalFormatting>
  <conditionalFormatting sqref="W222">
    <cfRule type="expression" dxfId="4710" priority="703">
      <formula>AND(R222,S222)</formula>
    </cfRule>
  </conditionalFormatting>
  <conditionalFormatting sqref="W222">
    <cfRule type="expression" dxfId="4709" priority="702">
      <formula>NOT(ISBLANK(W222))</formula>
    </cfRule>
  </conditionalFormatting>
  <conditionalFormatting sqref="W222">
    <cfRule type="expression" dxfId="4708" priority="701">
      <formula>S222 = FALSE</formula>
    </cfRule>
  </conditionalFormatting>
  <conditionalFormatting sqref="W222">
    <cfRule type="expression" dxfId="4707" priority="700">
      <formula>OR(T222 = TRUE, AND(W222 = TRUE, S222 = FALSE))</formula>
    </cfRule>
  </conditionalFormatting>
  <conditionalFormatting sqref="W228">
    <cfRule type="expression" dxfId="4706" priority="699">
      <formula>AND(R228,S228)</formula>
    </cfRule>
  </conditionalFormatting>
  <conditionalFormatting sqref="W228">
    <cfRule type="expression" dxfId="4705" priority="698">
      <formula>NOT(ISBLANK(W228))</formula>
    </cfRule>
  </conditionalFormatting>
  <conditionalFormatting sqref="W228">
    <cfRule type="expression" dxfId="4704" priority="697">
      <formula>S228 = FALSE</formula>
    </cfRule>
  </conditionalFormatting>
  <conditionalFormatting sqref="W228">
    <cfRule type="expression" dxfId="4703" priority="696">
      <formula>OR(T228 = TRUE, AND(W228 = TRUE, S228 = FALSE))</formula>
    </cfRule>
  </conditionalFormatting>
  <conditionalFormatting sqref="W229">
    <cfRule type="expression" dxfId="4702" priority="695">
      <formula>AND($R$229,$S$229)</formula>
    </cfRule>
  </conditionalFormatting>
  <conditionalFormatting sqref="W229">
    <cfRule type="expression" dxfId="4701" priority="694">
      <formula>AND(IF($R$229,$W$229,TRUE),LEN(TRIM($W$229))&gt;0)</formula>
    </cfRule>
  </conditionalFormatting>
  <conditionalFormatting sqref="W229">
    <cfRule type="expression" dxfId="4700" priority="693">
      <formula>$S$229 = FALSE</formula>
    </cfRule>
  </conditionalFormatting>
  <conditionalFormatting sqref="W229">
    <cfRule type="expression" dxfId="4699" priority="692">
      <formula>OR($T$229 = TRUE, AND($W$229 = TRUE, $S$229 = FALSE))</formula>
    </cfRule>
  </conditionalFormatting>
  <conditionalFormatting sqref="W666">
    <cfRule type="expression" dxfId="4698" priority="691">
      <formula>AND($R$666,$S$666)</formula>
    </cfRule>
  </conditionalFormatting>
  <conditionalFormatting sqref="W666">
    <cfRule type="expression" dxfId="4697" priority="690">
      <formula>AND(IF($R$666,$W$666,TRUE),LEN(TRIM($W$666))&gt;0)</formula>
    </cfRule>
  </conditionalFormatting>
  <conditionalFormatting sqref="W666">
    <cfRule type="expression" dxfId="4696" priority="689">
      <formula>$S$666 = FALSE</formula>
    </cfRule>
  </conditionalFormatting>
  <conditionalFormatting sqref="W666">
    <cfRule type="expression" dxfId="4695" priority="688">
      <formula>OR($T$666 = TRUE, AND($W$666 = TRUE, $S$666 = FALSE))</formula>
    </cfRule>
  </conditionalFormatting>
  <conditionalFormatting sqref="W667">
    <cfRule type="expression" dxfId="4694" priority="687">
      <formula>AND($R$667,$S$667)</formula>
    </cfRule>
  </conditionalFormatting>
  <conditionalFormatting sqref="W667">
    <cfRule type="expression" dxfId="4693" priority="686">
      <formula>AND(IF($R$667,$W$667,TRUE),LEN(TRIM($W$667))&gt;0)</formula>
    </cfRule>
  </conditionalFormatting>
  <conditionalFormatting sqref="W667">
    <cfRule type="expression" dxfId="4692" priority="685">
      <formula>$S$667 = FALSE</formula>
    </cfRule>
  </conditionalFormatting>
  <conditionalFormatting sqref="W667">
    <cfRule type="expression" dxfId="4691" priority="684">
      <formula>OR($T$667 = TRUE, AND($W$667 = TRUE, $S$667 = FALSE))</formula>
    </cfRule>
  </conditionalFormatting>
  <conditionalFormatting sqref="W668">
    <cfRule type="expression" dxfId="4690" priority="683">
      <formula>AND($R$668,$S$668)</formula>
    </cfRule>
  </conditionalFormatting>
  <conditionalFormatting sqref="W668">
    <cfRule type="expression" dxfId="4689" priority="682">
      <formula>AND(IF($R$668,$W$668,TRUE),LEN(TRIM($W$668))&gt;0)</formula>
    </cfRule>
  </conditionalFormatting>
  <conditionalFormatting sqref="W668">
    <cfRule type="expression" dxfId="4688" priority="681">
      <formula>$S$668 = FALSE</formula>
    </cfRule>
  </conditionalFormatting>
  <conditionalFormatting sqref="W668">
    <cfRule type="expression" dxfId="4687" priority="680">
      <formula>OR($T$668 = TRUE, AND($W$668 = TRUE, $S$668 = FALSE))</formula>
    </cfRule>
  </conditionalFormatting>
  <conditionalFormatting sqref="W669">
    <cfRule type="expression" dxfId="4686" priority="679">
      <formula>AND($R$669,$S$669)</formula>
    </cfRule>
  </conditionalFormatting>
  <conditionalFormatting sqref="W669">
    <cfRule type="expression" dxfId="4685" priority="678">
      <formula>AND(IF($R$669,$W$669,TRUE),LEN(TRIM($W$669))&gt;0)</formula>
    </cfRule>
  </conditionalFormatting>
  <conditionalFormatting sqref="W669">
    <cfRule type="expression" dxfId="4684" priority="677">
      <formula>$S$669 = FALSE</formula>
    </cfRule>
  </conditionalFormatting>
  <conditionalFormatting sqref="W669">
    <cfRule type="expression" dxfId="4683" priority="676">
      <formula>OR($T$669 = TRUE, AND($W$669 = TRUE, $S$669 = FALSE))</formula>
    </cfRule>
  </conditionalFormatting>
  <conditionalFormatting sqref="W671">
    <cfRule type="expression" dxfId="4682" priority="675">
      <formula>AND($R$671,$S$671)</formula>
    </cfRule>
  </conditionalFormatting>
  <conditionalFormatting sqref="W671">
    <cfRule type="expression" dxfId="4681" priority="674">
      <formula>AND(IF($R$671,$W$671,TRUE),LEN(TRIM($W$671))&gt;0)</formula>
    </cfRule>
  </conditionalFormatting>
  <conditionalFormatting sqref="W671">
    <cfRule type="expression" dxfId="4680" priority="673">
      <formula>$S$671 = FALSE</formula>
    </cfRule>
  </conditionalFormatting>
  <conditionalFormatting sqref="W671">
    <cfRule type="expression" dxfId="4679" priority="672">
      <formula>OR($T$671 = TRUE, AND($W$671 = TRUE, $S$671 = FALSE))</formula>
    </cfRule>
  </conditionalFormatting>
  <conditionalFormatting sqref="W674">
    <cfRule type="expression" dxfId="4678" priority="671">
      <formula>AND($R$674,$S$674)</formula>
    </cfRule>
  </conditionalFormatting>
  <conditionalFormatting sqref="W674">
    <cfRule type="expression" dxfId="4677" priority="670">
      <formula>AND(IF($R$674,$W$674,TRUE),LEN(TRIM($W$674))&gt;0)</formula>
    </cfRule>
  </conditionalFormatting>
  <conditionalFormatting sqref="W674">
    <cfRule type="expression" dxfId="4676" priority="669">
      <formula>$S$674 = FALSE</formula>
    </cfRule>
  </conditionalFormatting>
  <conditionalFormatting sqref="W674">
    <cfRule type="expression" dxfId="4675" priority="668">
      <formula>OR($T$674 = TRUE, AND($W$674 = TRUE, $S$674 = FALSE))</formula>
    </cfRule>
  </conditionalFormatting>
  <conditionalFormatting sqref="W679">
    <cfRule type="expression" dxfId="4674" priority="667">
      <formula>AND($R$679,$S$679)</formula>
    </cfRule>
  </conditionalFormatting>
  <conditionalFormatting sqref="W679">
    <cfRule type="expression" dxfId="4673" priority="666">
      <formula>AND($W$679&lt;&gt;"Not Met",LEN(TRIM($W$679))&gt;0)</formula>
    </cfRule>
  </conditionalFormatting>
  <conditionalFormatting sqref="W679">
    <cfRule type="expression" dxfId="4672" priority="665">
      <formula>$S$679 = FALSE</formula>
    </cfRule>
  </conditionalFormatting>
  <conditionalFormatting sqref="W679">
    <cfRule type="expression" dxfId="4671" priority="664">
      <formula>OR($T$679 = TRUE, AND(LEN(TRIM($W$679))&gt;0, $S$679 = FALSE))</formula>
    </cfRule>
  </conditionalFormatting>
  <conditionalFormatting sqref="W694">
    <cfRule type="expression" dxfId="4670" priority="663">
      <formula>AND($R$694,$S$694)</formula>
    </cfRule>
  </conditionalFormatting>
  <conditionalFormatting sqref="W694">
    <cfRule type="expression" dxfId="4669" priority="662">
      <formula>AND(IF($R$694,$W$694,TRUE),LEN(TRIM($W$694))&gt;0)</formula>
    </cfRule>
  </conditionalFormatting>
  <conditionalFormatting sqref="W694">
    <cfRule type="expression" dxfId="4668" priority="661">
      <formula>$S$694 = FALSE</formula>
    </cfRule>
  </conditionalFormatting>
  <conditionalFormatting sqref="W694">
    <cfRule type="expression" dxfId="4667" priority="660">
      <formula>OR($T$694 = TRUE, AND($W$694 = TRUE, $S$694 = FALSE))</formula>
    </cfRule>
  </conditionalFormatting>
  <conditionalFormatting sqref="W695">
    <cfRule type="expression" dxfId="4666" priority="659">
      <formula>AND($R$695,$S$695)</formula>
    </cfRule>
  </conditionalFormatting>
  <conditionalFormatting sqref="W695">
    <cfRule type="expression" dxfId="4665" priority="658">
      <formula>AND(IF($R$695,$W$695,TRUE),LEN(TRIM($W$695))&gt;0)</formula>
    </cfRule>
  </conditionalFormatting>
  <conditionalFormatting sqref="W695">
    <cfRule type="expression" dxfId="4664" priority="657">
      <formula>$S$695 = FALSE</formula>
    </cfRule>
  </conditionalFormatting>
  <conditionalFormatting sqref="W695">
    <cfRule type="expression" dxfId="4663" priority="656">
      <formula>OR($T$695 = TRUE, AND($W$695 = TRUE, $S$695 = FALSE))</formula>
    </cfRule>
  </conditionalFormatting>
  <conditionalFormatting sqref="W696">
    <cfRule type="expression" dxfId="4662" priority="655">
      <formula>AND($R$696,$S$696)</formula>
    </cfRule>
  </conditionalFormatting>
  <conditionalFormatting sqref="W696">
    <cfRule type="expression" dxfId="4661" priority="654">
      <formula>AND(IF($R$696,$W$696,TRUE),LEN(TRIM($W$696))&gt;0)</formula>
    </cfRule>
  </conditionalFormatting>
  <conditionalFormatting sqref="W696">
    <cfRule type="expression" dxfId="4660" priority="653">
      <formula>$S$696 = FALSE</formula>
    </cfRule>
  </conditionalFormatting>
  <conditionalFormatting sqref="W696">
    <cfRule type="expression" dxfId="4659" priority="652">
      <formula>OR($T$696 = TRUE, AND($W$696 = TRUE, $S$696 = FALSE))</formula>
    </cfRule>
  </conditionalFormatting>
  <conditionalFormatting sqref="W697">
    <cfRule type="expression" dxfId="4658" priority="651">
      <formula>AND($R$697,$S$697)</formula>
    </cfRule>
  </conditionalFormatting>
  <conditionalFormatting sqref="W697">
    <cfRule type="expression" dxfId="4657" priority="650">
      <formula>AND(IF($R$697,$W$697,TRUE),LEN(TRIM($W$697))&gt;0)</formula>
    </cfRule>
  </conditionalFormatting>
  <conditionalFormatting sqref="W697">
    <cfRule type="expression" dxfId="4656" priority="649">
      <formula>$S$697 = FALSE</formula>
    </cfRule>
  </conditionalFormatting>
  <conditionalFormatting sqref="W697">
    <cfRule type="expression" dxfId="4655" priority="648">
      <formula>OR($T$697 = TRUE, AND($W$697 = TRUE, $S$697 = FALSE))</formula>
    </cfRule>
  </conditionalFormatting>
  <conditionalFormatting sqref="W698">
    <cfRule type="expression" dxfId="4654" priority="647">
      <formula>AND($R$698,$S$698)</formula>
    </cfRule>
  </conditionalFormatting>
  <conditionalFormatting sqref="W698">
    <cfRule type="expression" dxfId="4653" priority="646">
      <formula>AND(IF($R$698,$W$698,TRUE),LEN(TRIM($W$698))&gt;0)</formula>
    </cfRule>
  </conditionalFormatting>
  <conditionalFormatting sqref="W698">
    <cfRule type="expression" dxfId="4652" priority="645">
      <formula>$S$698 = FALSE</formula>
    </cfRule>
  </conditionalFormatting>
  <conditionalFormatting sqref="W698">
    <cfRule type="expression" dxfId="4651" priority="644">
      <formula>OR($T$698 = TRUE, AND($W$698 = TRUE, $S$698 = FALSE))</formula>
    </cfRule>
  </conditionalFormatting>
  <conditionalFormatting sqref="W699">
    <cfRule type="expression" dxfId="4650" priority="643">
      <formula>AND($R$699,$S$699)</formula>
    </cfRule>
  </conditionalFormatting>
  <conditionalFormatting sqref="W699">
    <cfRule type="expression" dxfId="4649" priority="642">
      <formula>AND(IF($R$699,$W$699,TRUE),LEN(TRIM($W$699))&gt;0)</formula>
    </cfRule>
  </conditionalFormatting>
  <conditionalFormatting sqref="W699">
    <cfRule type="expression" dxfId="4648" priority="641">
      <formula>$S$699 = FALSE</formula>
    </cfRule>
  </conditionalFormatting>
  <conditionalFormatting sqref="W699">
    <cfRule type="expression" dxfId="4647" priority="640">
      <formula>OR($T$699 = TRUE, AND($W$699 = TRUE, $S$699 = FALSE))</formula>
    </cfRule>
  </conditionalFormatting>
  <conditionalFormatting sqref="W700">
    <cfRule type="expression" dxfId="4646" priority="639">
      <formula>AND($R$700,$S$700)</formula>
    </cfRule>
  </conditionalFormatting>
  <conditionalFormatting sqref="W700">
    <cfRule type="expression" dxfId="4645" priority="638">
      <formula>AND(IF($R$700,$W$700,TRUE),LEN(TRIM($W$700))&gt;0)</formula>
    </cfRule>
  </conditionalFormatting>
  <conditionalFormatting sqref="W700">
    <cfRule type="expression" dxfId="4644" priority="637">
      <formula>$S$700 = FALSE</formula>
    </cfRule>
  </conditionalFormatting>
  <conditionalFormatting sqref="W700">
    <cfRule type="expression" dxfId="4643" priority="636">
      <formula>OR($T$700 = TRUE, AND($W$700 = TRUE, $S$700 = FALSE))</formula>
    </cfRule>
  </conditionalFormatting>
  <conditionalFormatting sqref="W701">
    <cfRule type="expression" dxfId="4642" priority="635">
      <formula>AND($R$701,$S$701)</formula>
    </cfRule>
  </conditionalFormatting>
  <conditionalFormatting sqref="W701">
    <cfRule type="expression" dxfId="4641" priority="634">
      <formula>AND(IF($R$701,$W$701,TRUE),LEN(TRIM($W$701))&gt;0)</formula>
    </cfRule>
  </conditionalFormatting>
  <conditionalFormatting sqref="W701">
    <cfRule type="expression" dxfId="4640" priority="633">
      <formula>$S$701 = FALSE</formula>
    </cfRule>
  </conditionalFormatting>
  <conditionalFormatting sqref="W701">
    <cfRule type="expression" dxfId="4639" priority="632">
      <formula>OR($T$701 = TRUE, AND($W$701 = TRUE, $S$701 = FALSE))</formula>
    </cfRule>
  </conditionalFormatting>
  <conditionalFormatting sqref="W704">
    <cfRule type="expression" dxfId="4638" priority="631">
      <formula>AND($R$704,$S$704)</formula>
    </cfRule>
  </conditionalFormatting>
  <conditionalFormatting sqref="W704">
    <cfRule type="expression" dxfId="4637" priority="630">
      <formula>AND(IF($R$704,$W$704,TRUE),LEN(TRIM($W$704))&gt;0)</formula>
    </cfRule>
  </conditionalFormatting>
  <conditionalFormatting sqref="W704">
    <cfRule type="expression" dxfId="4636" priority="629">
      <formula>$S$704 = FALSE</formula>
    </cfRule>
  </conditionalFormatting>
  <conditionalFormatting sqref="W704">
    <cfRule type="expression" dxfId="4635" priority="628">
      <formula>OR($T$704 = TRUE, AND($W$704 = TRUE, $S$704 = FALSE))</formula>
    </cfRule>
  </conditionalFormatting>
  <conditionalFormatting sqref="W706">
    <cfRule type="expression" dxfId="4634" priority="627">
      <formula>AND($R$706,$S$706)</formula>
    </cfRule>
  </conditionalFormatting>
  <conditionalFormatting sqref="W706">
    <cfRule type="expression" dxfId="4633" priority="626">
      <formula>AND(IF($R$706,$W$706,TRUE),LEN(TRIM($W$706))&gt;0)</formula>
    </cfRule>
  </conditionalFormatting>
  <conditionalFormatting sqref="W706">
    <cfRule type="expression" dxfId="4632" priority="625">
      <formula>$S$706 = FALSE</formula>
    </cfRule>
  </conditionalFormatting>
  <conditionalFormatting sqref="W706">
    <cfRule type="expression" dxfId="4631" priority="624">
      <formula>OR($T$706 = TRUE, AND($W$706 = TRUE, $S$706 = FALSE))</formula>
    </cfRule>
  </conditionalFormatting>
  <conditionalFormatting sqref="W708">
    <cfRule type="expression" dxfId="4630" priority="623">
      <formula>AND($R$708,$S$708)</formula>
    </cfRule>
  </conditionalFormatting>
  <conditionalFormatting sqref="W708">
    <cfRule type="expression" dxfId="4629" priority="622">
      <formula>AND(IF($R$708,$W$708,TRUE),LEN(TRIM($W$708))&gt;0)</formula>
    </cfRule>
  </conditionalFormatting>
  <conditionalFormatting sqref="W708">
    <cfRule type="expression" dxfId="4628" priority="621">
      <formula>$S$708 = FALSE</formula>
    </cfRule>
  </conditionalFormatting>
  <conditionalFormatting sqref="W708">
    <cfRule type="expression" dxfId="4627" priority="620">
      <formula>OR($T$708 = TRUE, AND($W$708 = TRUE, $S$708 = FALSE))</formula>
    </cfRule>
  </conditionalFormatting>
  <conditionalFormatting sqref="W725">
    <cfRule type="expression" dxfId="4626" priority="615">
      <formula>AND($R$725,$S$725)</formula>
    </cfRule>
  </conditionalFormatting>
  <conditionalFormatting sqref="W725">
    <cfRule type="expression" dxfId="4625" priority="614">
      <formula>AND(IF($R$725,$W$725,TRUE),LEN(TRIM($W$725))&gt;0)</formula>
    </cfRule>
  </conditionalFormatting>
  <conditionalFormatting sqref="W725">
    <cfRule type="expression" dxfId="4624" priority="613">
      <formula>$S$725 = FALSE</formula>
    </cfRule>
  </conditionalFormatting>
  <conditionalFormatting sqref="W725">
    <cfRule type="expression" dxfId="4623" priority="612">
      <formula>OR($T$725 = TRUE, AND($W$725 = TRUE, $S$725 = FALSE))</formula>
    </cfRule>
  </conditionalFormatting>
  <conditionalFormatting sqref="W733">
    <cfRule type="expression" dxfId="4622" priority="611">
      <formula>AND($R$733,$S$733)</formula>
    </cfRule>
  </conditionalFormatting>
  <conditionalFormatting sqref="W733">
    <cfRule type="expression" dxfId="4621" priority="610">
      <formula>AND(IF($R$733,$W$733,TRUE),LEN(TRIM($W$733))&gt;0)</formula>
    </cfRule>
  </conditionalFormatting>
  <conditionalFormatting sqref="W733">
    <cfRule type="expression" dxfId="4620" priority="609">
      <formula>$S$733 = FALSE</formula>
    </cfRule>
  </conditionalFormatting>
  <conditionalFormatting sqref="W733">
    <cfRule type="expression" dxfId="4619" priority="608">
      <formula>OR($T$733 = TRUE, AND($W$733 = TRUE, $S$733 = FALSE))</formula>
    </cfRule>
  </conditionalFormatting>
  <conditionalFormatting sqref="W729">
    <cfRule type="expression" dxfId="4618" priority="599">
      <formula>AND($R$729,$S$729)</formula>
    </cfRule>
  </conditionalFormatting>
  <conditionalFormatting sqref="W729">
    <cfRule type="expression" dxfId="4617" priority="598">
      <formula>AND(IF($R$729,$W$729,TRUE),LEN(TRIM($W$729))&gt;0)</formula>
    </cfRule>
  </conditionalFormatting>
  <conditionalFormatting sqref="W729">
    <cfRule type="expression" dxfId="4616" priority="597">
      <formula>$S$729 = FALSE</formula>
    </cfRule>
  </conditionalFormatting>
  <conditionalFormatting sqref="W729">
    <cfRule type="expression" dxfId="4615" priority="596">
      <formula>OR($T$729 = TRUE, AND($W$729 = TRUE, $S$729 = FALSE))</formula>
    </cfRule>
  </conditionalFormatting>
  <conditionalFormatting sqref="W730">
    <cfRule type="expression" dxfId="4614" priority="595">
      <formula>AND($R$730,$S$730)</formula>
    </cfRule>
  </conditionalFormatting>
  <conditionalFormatting sqref="W730">
    <cfRule type="expression" dxfId="4613" priority="594">
      <formula>AND(IF($R$730,$W$730,TRUE),LEN(TRIM($W$730))&gt;0)</formula>
    </cfRule>
  </conditionalFormatting>
  <conditionalFormatting sqref="W730">
    <cfRule type="expression" dxfId="4612" priority="593">
      <formula>$S$730 = FALSE</formula>
    </cfRule>
  </conditionalFormatting>
  <conditionalFormatting sqref="W730">
    <cfRule type="expression" dxfId="4611" priority="592">
      <formula>OR($T$730 = TRUE, AND($W$730 = TRUE, $S$730 = FALSE))</formula>
    </cfRule>
  </conditionalFormatting>
  <conditionalFormatting sqref="W741">
    <cfRule type="expression" dxfId="4610" priority="591">
      <formula>AND($R$741,$S$741)</formula>
    </cfRule>
  </conditionalFormatting>
  <conditionalFormatting sqref="W741">
    <cfRule type="expression" dxfId="4609" priority="590">
      <formula>AND(IF($R$741,$W$741,TRUE),LEN(TRIM($W$741))&gt;0)</formula>
    </cfRule>
  </conditionalFormatting>
  <conditionalFormatting sqref="W741">
    <cfRule type="expression" dxfId="4608" priority="589">
      <formula>$S$741 = FALSE</formula>
    </cfRule>
  </conditionalFormatting>
  <conditionalFormatting sqref="W741">
    <cfRule type="expression" dxfId="4607" priority="588">
      <formula>OR($T$741 = TRUE, AND($W$741 = TRUE, $S$741 = FALSE))</formula>
    </cfRule>
  </conditionalFormatting>
  <conditionalFormatting sqref="W547">
    <cfRule type="expression" dxfId="4606" priority="587">
      <formula>AND(R547,S547)</formula>
    </cfRule>
  </conditionalFormatting>
  <conditionalFormatting sqref="W547">
    <cfRule type="expression" dxfId="4605" priority="586">
      <formula>AND(IF(S547,W547,TRUE),LEN(TRIM(W547))&gt;0)</formula>
    </cfRule>
  </conditionalFormatting>
  <conditionalFormatting sqref="W547">
    <cfRule type="expression" dxfId="4604" priority="585">
      <formula>S547 = FALSE</formula>
    </cfRule>
  </conditionalFormatting>
  <conditionalFormatting sqref="W547">
    <cfRule type="expression" dxfId="4603" priority="584">
      <formula>OR(T547 = TRUE, AND(W547 = TRUE, S547 = FALSE))</formula>
    </cfRule>
  </conditionalFormatting>
  <conditionalFormatting sqref="W561">
    <cfRule type="expression" dxfId="4602" priority="583">
      <formula>AND($R$561,$S$561)</formula>
    </cfRule>
  </conditionalFormatting>
  <conditionalFormatting sqref="W561">
    <cfRule type="expression" dxfId="4601" priority="582">
      <formula>AND(IF($R$561,$W$561,TRUE),LEN(TRIM($W$561))&gt;0)</formula>
    </cfRule>
  </conditionalFormatting>
  <conditionalFormatting sqref="W561">
    <cfRule type="expression" dxfId="4600" priority="581">
      <formula>$S$561 = FALSE</formula>
    </cfRule>
  </conditionalFormatting>
  <conditionalFormatting sqref="W561">
    <cfRule type="expression" dxfId="4599" priority="580">
      <formula>OR($T$561 = TRUE, AND($W$561 = TRUE, $S$561 = FALSE))</formula>
    </cfRule>
  </conditionalFormatting>
  <conditionalFormatting sqref="W557">
    <cfRule type="expression" dxfId="4598" priority="579">
      <formula>AND($R$557,$S$557)</formula>
    </cfRule>
  </conditionalFormatting>
  <conditionalFormatting sqref="W557">
    <cfRule type="expression" dxfId="4597" priority="578">
      <formula>AND($W$557&lt;&gt;"Not Met",LEN(TRIM($W$557))&gt;0)</formula>
    </cfRule>
  </conditionalFormatting>
  <conditionalFormatting sqref="W557">
    <cfRule type="expression" dxfId="4596" priority="577">
      <formula>$S$557 = FALSE</formula>
    </cfRule>
  </conditionalFormatting>
  <conditionalFormatting sqref="W557">
    <cfRule type="expression" dxfId="4595" priority="576">
      <formula>OR($T$557 = TRUE, AND(LEN(TRIM($W$557))&gt;0, $S$557 = FALSE))</formula>
    </cfRule>
  </conditionalFormatting>
  <conditionalFormatting sqref="W564">
    <cfRule type="expression" dxfId="4594" priority="575">
      <formula>AND($R$564,$S$564)</formula>
    </cfRule>
  </conditionalFormatting>
  <conditionalFormatting sqref="W564">
    <cfRule type="expression" dxfId="4593" priority="574">
      <formula>AND($W$564&lt;&gt;"Not Met",LEN(TRIM($W$564))&gt;0)</formula>
    </cfRule>
  </conditionalFormatting>
  <conditionalFormatting sqref="W564">
    <cfRule type="expression" dxfId="4592" priority="573">
      <formula>$S$564 = FALSE</formula>
    </cfRule>
  </conditionalFormatting>
  <conditionalFormatting sqref="W564">
    <cfRule type="expression" dxfId="4591" priority="572">
      <formula>OR($T$564 = TRUE, AND(LEN(TRIM($W$564))&gt;0, $S$564 = FALSE))</formula>
    </cfRule>
  </conditionalFormatting>
  <conditionalFormatting sqref="W568">
    <cfRule type="expression" dxfId="4590" priority="571">
      <formula>AND($R$568,$S$568)</formula>
    </cfRule>
  </conditionalFormatting>
  <conditionalFormatting sqref="W568">
    <cfRule type="expression" dxfId="4589" priority="570">
      <formula>AND($W$568&lt;&gt;"Not Met",LEN(TRIM($W$568))&gt;0)</formula>
    </cfRule>
  </conditionalFormatting>
  <conditionalFormatting sqref="W568">
    <cfRule type="expression" dxfId="4588" priority="569">
      <formula>$S$568 = FALSE</formula>
    </cfRule>
  </conditionalFormatting>
  <conditionalFormatting sqref="W568">
    <cfRule type="expression" dxfId="4587" priority="568">
      <formula>OR($T$568 = TRUE, AND(LEN(TRIM($W$568))&gt;0, $S$568 = FALSE))</formula>
    </cfRule>
  </conditionalFormatting>
  <conditionalFormatting sqref="W573">
    <cfRule type="expression" dxfId="4586" priority="567">
      <formula>AND($R$573,$S$573)</formula>
    </cfRule>
  </conditionalFormatting>
  <conditionalFormatting sqref="W573">
    <cfRule type="expression" dxfId="4585" priority="566">
      <formula>AND($W$573&lt;&gt;"Not Met",LEN(TRIM($W$573))&gt;0)</formula>
    </cfRule>
  </conditionalFormatting>
  <conditionalFormatting sqref="W573">
    <cfRule type="expression" dxfId="4584" priority="565">
      <formula>$S$573 = FALSE</formula>
    </cfRule>
  </conditionalFormatting>
  <conditionalFormatting sqref="W573">
    <cfRule type="expression" dxfId="4583" priority="564">
      <formula>OR($T$573 = TRUE, AND(LEN(TRIM($W$573))&gt;0, $S$573 = FALSE))</formula>
    </cfRule>
  </conditionalFormatting>
  <conditionalFormatting sqref="W578">
    <cfRule type="expression" dxfId="4582" priority="563">
      <formula>AND($R$578,$S$578)</formula>
    </cfRule>
  </conditionalFormatting>
  <conditionalFormatting sqref="W578">
    <cfRule type="expression" dxfId="4581" priority="562">
      <formula>AND(IF($R$578,$W$578,TRUE),LEN(TRIM($W$578))&gt;0)</formula>
    </cfRule>
  </conditionalFormatting>
  <conditionalFormatting sqref="W578">
    <cfRule type="expression" dxfId="4580" priority="561">
      <formula>$S$578 = FALSE</formula>
    </cfRule>
  </conditionalFormatting>
  <conditionalFormatting sqref="W578">
    <cfRule type="expression" dxfId="4579" priority="560">
      <formula>OR($T$578 = TRUE, AND($W$578 = TRUE, $S$578 = FALSE))</formula>
    </cfRule>
  </conditionalFormatting>
  <conditionalFormatting sqref="W581">
    <cfRule type="expression" dxfId="4578" priority="559">
      <formula>AND($R$581,$S$581)</formula>
    </cfRule>
  </conditionalFormatting>
  <conditionalFormatting sqref="W581">
    <cfRule type="expression" dxfId="4577" priority="558">
      <formula>AND(IF($R$581,$W$581,TRUE),LEN(TRIM($W$581))&gt;0)</formula>
    </cfRule>
  </conditionalFormatting>
  <conditionalFormatting sqref="W581">
    <cfRule type="expression" dxfId="4576" priority="557">
      <formula>$S$581 = FALSE</formula>
    </cfRule>
  </conditionalFormatting>
  <conditionalFormatting sqref="W581">
    <cfRule type="expression" dxfId="4575" priority="556">
      <formula>OR($T$581 = TRUE, AND($W$581 = TRUE, $S$581 = FALSE))</formula>
    </cfRule>
  </conditionalFormatting>
  <conditionalFormatting sqref="W586">
    <cfRule type="expression" dxfId="4574" priority="555">
      <formula>AND($R$586,$S$586)</formula>
    </cfRule>
  </conditionalFormatting>
  <conditionalFormatting sqref="W586">
    <cfRule type="expression" dxfId="4573" priority="554">
      <formula>AND(IF($R$586,$W$586,TRUE),LEN(TRIM($W$586))&gt;0)</formula>
    </cfRule>
  </conditionalFormatting>
  <conditionalFormatting sqref="W586">
    <cfRule type="expression" dxfId="4572" priority="553">
      <formula>$S$586 = FALSE</formula>
    </cfRule>
  </conditionalFormatting>
  <conditionalFormatting sqref="W586">
    <cfRule type="expression" dxfId="4571" priority="552">
      <formula>OR($T$586 = TRUE, AND($W$586 = TRUE, $S$586 = FALSE))</formula>
    </cfRule>
  </conditionalFormatting>
  <conditionalFormatting sqref="W587">
    <cfRule type="expression" dxfId="4570" priority="551">
      <formula>AND($R$587,$S$587)</formula>
    </cfRule>
  </conditionalFormatting>
  <conditionalFormatting sqref="W587">
    <cfRule type="expression" dxfId="4569" priority="550">
      <formula>AND(IF($R$587,$W$587,TRUE),LEN(TRIM($W$587))&gt;0)</formula>
    </cfRule>
  </conditionalFormatting>
  <conditionalFormatting sqref="W587">
    <cfRule type="expression" dxfId="4568" priority="549">
      <formula>$S$587 = FALSE</formula>
    </cfRule>
  </conditionalFormatting>
  <conditionalFormatting sqref="W587">
    <cfRule type="expression" dxfId="4567" priority="548">
      <formula>OR($T$587 = TRUE, AND($W$587 = TRUE, $S$587 = FALSE))</formula>
    </cfRule>
  </conditionalFormatting>
  <conditionalFormatting sqref="W597">
    <cfRule type="expression" dxfId="4566" priority="543">
      <formula>AND($R$597,$S$597)</formula>
    </cfRule>
  </conditionalFormatting>
  <conditionalFormatting sqref="W597">
    <cfRule type="expression" dxfId="4565" priority="542">
      <formula>AND(IF($R$597,$W$597,TRUE),LEN(TRIM($W$597))&gt;0)</formula>
    </cfRule>
  </conditionalFormatting>
  <conditionalFormatting sqref="W597">
    <cfRule type="expression" dxfId="4564" priority="541">
      <formula>$S$597 = FALSE</formula>
    </cfRule>
  </conditionalFormatting>
  <conditionalFormatting sqref="W597">
    <cfRule type="expression" dxfId="4563" priority="540">
      <formula>OR($T$597 = TRUE, AND($W$597 = TRUE, $S$597 = FALSE))</formula>
    </cfRule>
  </conditionalFormatting>
  <conditionalFormatting sqref="W626">
    <cfRule type="expression" dxfId="4562" priority="535">
      <formula>AND($R$626,$S$626)</formula>
    </cfRule>
  </conditionalFormatting>
  <conditionalFormatting sqref="W626">
    <cfRule type="expression" dxfId="4561" priority="534">
      <formula>AND(IF($R$626,$W$626,TRUE),LEN(TRIM($W$626))&gt;0)</formula>
    </cfRule>
  </conditionalFormatting>
  <conditionalFormatting sqref="W626">
    <cfRule type="expression" dxfId="4560" priority="533">
      <formula>$S$626 = FALSE</formula>
    </cfRule>
  </conditionalFormatting>
  <conditionalFormatting sqref="W626">
    <cfRule type="expression" dxfId="4559" priority="532">
      <formula>OR($T$626 = TRUE, AND($W$626 = TRUE, $S$626 = FALSE))</formula>
    </cfRule>
  </conditionalFormatting>
  <conditionalFormatting sqref="X626">
    <cfRule type="expression" dxfId="4558" priority="531">
      <formula>W626=TRUE</formula>
    </cfRule>
  </conditionalFormatting>
  <conditionalFormatting sqref="W643">
    <cfRule type="expression" dxfId="4557" priority="525">
      <formula>AND($R$643,$S$643)</formula>
    </cfRule>
  </conditionalFormatting>
  <conditionalFormatting sqref="W643">
    <cfRule type="expression" dxfId="4556" priority="524">
      <formula>AND(IF($R$643,$W$643,TRUE),LEN(TRIM($W$643))&gt;0)</formula>
    </cfRule>
  </conditionalFormatting>
  <conditionalFormatting sqref="W643">
    <cfRule type="expression" dxfId="4555" priority="523">
      <formula>$S$643 = FALSE</formula>
    </cfRule>
  </conditionalFormatting>
  <conditionalFormatting sqref="W643">
    <cfRule type="expression" dxfId="4554" priority="522">
      <formula>OR($T$643 = TRUE, AND($W$643 = TRUE, $S$643 = FALSE))</formula>
    </cfRule>
  </conditionalFormatting>
  <conditionalFormatting sqref="W655">
    <cfRule type="expression" dxfId="4553" priority="521">
      <formula>AND($R$655,$S$655)</formula>
    </cfRule>
  </conditionalFormatting>
  <conditionalFormatting sqref="W655">
    <cfRule type="expression" dxfId="4552" priority="520">
      <formula>AND(IF($R$655,$W$655,TRUE),LEN(TRIM($W$655))&gt;0)</formula>
    </cfRule>
  </conditionalFormatting>
  <conditionalFormatting sqref="W655">
    <cfRule type="expression" dxfId="4551" priority="519">
      <formula>$S$655 = FALSE</formula>
    </cfRule>
  </conditionalFormatting>
  <conditionalFormatting sqref="W655">
    <cfRule type="expression" dxfId="4550" priority="518">
      <formula>OR($T$655 = TRUE, AND($W$655 = TRUE, $S$655 = FALSE))</formula>
    </cfRule>
  </conditionalFormatting>
  <conditionalFormatting sqref="W657">
    <cfRule type="expression" dxfId="4549" priority="517">
      <formula>AND($R$657,$S$657)</formula>
    </cfRule>
  </conditionalFormatting>
  <conditionalFormatting sqref="W657">
    <cfRule type="expression" dxfId="4548" priority="516">
      <formula>AND(IF($R$657,$W$657,TRUE),LEN(TRIM($W$657))&gt;0)</formula>
    </cfRule>
  </conditionalFormatting>
  <conditionalFormatting sqref="W657">
    <cfRule type="expression" dxfId="4547" priority="515">
      <formula>$S$657 = FALSE</formula>
    </cfRule>
  </conditionalFormatting>
  <conditionalFormatting sqref="W657">
    <cfRule type="expression" dxfId="4546" priority="514">
      <formula>OR($T$657 = TRUE, AND($W$657 = TRUE, $S$657 = FALSE))</formula>
    </cfRule>
  </conditionalFormatting>
  <conditionalFormatting sqref="W659">
    <cfRule type="expression" dxfId="4545" priority="513">
      <formula>AND($R$659,$S$659)</formula>
    </cfRule>
  </conditionalFormatting>
  <conditionalFormatting sqref="W659">
    <cfRule type="expression" dxfId="4544" priority="512">
      <formula>AND(IF($R$659,$W$659,TRUE),LEN(TRIM($W$659))&gt;0)</formula>
    </cfRule>
  </conditionalFormatting>
  <conditionalFormatting sqref="W659">
    <cfRule type="expression" dxfId="4543" priority="511">
      <formula>$S$659 = FALSE</formula>
    </cfRule>
  </conditionalFormatting>
  <conditionalFormatting sqref="W659">
    <cfRule type="expression" dxfId="4542" priority="510">
      <formula>OR($T$659 = TRUE, AND($W$659 = TRUE, $S$659 = FALSE))</formula>
    </cfRule>
  </conditionalFormatting>
  <conditionalFormatting sqref="W460">
    <cfRule type="expression" dxfId="4541" priority="509">
      <formula>AND($R$460,$S$460)</formula>
    </cfRule>
  </conditionalFormatting>
  <conditionalFormatting sqref="W460">
    <cfRule type="expression" dxfId="4540" priority="508">
      <formula>AND(IF($R$460,$W$460,TRUE),LEN(TRIM($W$460))&gt;0)</formula>
    </cfRule>
  </conditionalFormatting>
  <conditionalFormatting sqref="W460">
    <cfRule type="expression" dxfId="4539" priority="507">
      <formula>$S$460 = FALSE</formula>
    </cfRule>
  </conditionalFormatting>
  <conditionalFormatting sqref="W460">
    <cfRule type="expression" dxfId="4538" priority="506">
      <formula>OR($T$460 = TRUE, AND($W$460 = TRUE, $S$460 = FALSE))</formula>
    </cfRule>
  </conditionalFormatting>
  <conditionalFormatting sqref="W455">
    <cfRule type="expression" dxfId="4537" priority="505">
      <formula>AND($R$455,$S$455)</formula>
    </cfRule>
  </conditionalFormatting>
  <conditionalFormatting sqref="W455">
    <cfRule type="expression" dxfId="4536" priority="504">
      <formula>AND(IF($R$455,$W$455,TRUE),LEN(TRIM($W$455))&gt;0)</formula>
    </cfRule>
  </conditionalFormatting>
  <conditionalFormatting sqref="W455">
    <cfRule type="expression" dxfId="4535" priority="503">
      <formula>$S$455 = FALSE</formula>
    </cfRule>
  </conditionalFormatting>
  <conditionalFormatting sqref="W455">
    <cfRule type="expression" dxfId="4534" priority="502">
      <formula>OR($T$455 = TRUE, AND($W$455 = TRUE, $S$455 = FALSE))</formula>
    </cfRule>
  </conditionalFormatting>
  <conditionalFormatting sqref="W456">
    <cfRule type="expression" dxfId="4533" priority="501">
      <formula>AND($R$456,$S$456)</formula>
    </cfRule>
  </conditionalFormatting>
  <conditionalFormatting sqref="W456">
    <cfRule type="expression" dxfId="4532" priority="500">
      <formula>AND(IF($R$456,$W$456,TRUE),LEN(TRIM($W$456))&gt;0)</formula>
    </cfRule>
  </conditionalFormatting>
  <conditionalFormatting sqref="W456">
    <cfRule type="expression" dxfId="4531" priority="499">
      <formula>$S$456 = FALSE</formula>
    </cfRule>
  </conditionalFormatting>
  <conditionalFormatting sqref="W456">
    <cfRule type="expression" dxfId="4530" priority="498">
      <formula>OR($T$456 = TRUE, AND($W$456 = TRUE, $S$456 = FALSE))</formula>
    </cfRule>
  </conditionalFormatting>
  <conditionalFormatting sqref="W457">
    <cfRule type="expression" dxfId="4529" priority="493">
      <formula>AND($R$457,$S$457)</formula>
    </cfRule>
  </conditionalFormatting>
  <conditionalFormatting sqref="W457">
    <cfRule type="expression" dxfId="4528" priority="492">
      <formula>AND(IF($R$457,$W$457,TRUE),LEN(TRIM($W$457))&gt;0)</formula>
    </cfRule>
  </conditionalFormatting>
  <conditionalFormatting sqref="W457">
    <cfRule type="expression" dxfId="4527" priority="491">
      <formula>$S$457 = FALSE</formula>
    </cfRule>
  </conditionalFormatting>
  <conditionalFormatting sqref="W457">
    <cfRule type="expression" dxfId="4526" priority="490">
      <formula>OR($T$457 = TRUE, AND($W$457 = TRUE, $S$457 = FALSE))</formula>
    </cfRule>
  </conditionalFormatting>
  <conditionalFormatting sqref="W487">
    <cfRule type="expression" dxfId="4525" priority="489">
      <formula>AND($R$487,$S$487)</formula>
    </cfRule>
  </conditionalFormatting>
  <conditionalFormatting sqref="W487">
    <cfRule type="expression" dxfId="4524" priority="488">
      <formula>AND(IF($R$487,$W$487,TRUE),LEN(TRIM($W$487))&gt;0)</formula>
    </cfRule>
  </conditionalFormatting>
  <conditionalFormatting sqref="W487">
    <cfRule type="expression" dxfId="4523" priority="487">
      <formula>$S$487 = FALSE</formula>
    </cfRule>
  </conditionalFormatting>
  <conditionalFormatting sqref="W487">
    <cfRule type="expression" dxfId="4522" priority="486">
      <formula>OR($T$487 = TRUE, AND($W$487 = TRUE, $S$487 = FALSE))</formula>
    </cfRule>
  </conditionalFormatting>
  <conditionalFormatting sqref="W495">
    <cfRule type="expression" dxfId="4521" priority="485">
      <formula>AND($R$495,$S$495)</formula>
    </cfRule>
  </conditionalFormatting>
  <conditionalFormatting sqref="W495">
    <cfRule type="expression" dxfId="4520" priority="484">
      <formula>AND(IF($R$495,$W$495,TRUE),LEN(TRIM($W$495))&gt;0)</formula>
    </cfRule>
  </conditionalFormatting>
  <conditionalFormatting sqref="W495">
    <cfRule type="expression" dxfId="4519" priority="483">
      <formula>$S$495 = FALSE</formula>
    </cfRule>
  </conditionalFormatting>
  <conditionalFormatting sqref="W495">
    <cfRule type="expression" dxfId="4518" priority="482">
      <formula>OR($T$495 = TRUE, AND($W$495 = TRUE, $S$495 = FALSE))</formula>
    </cfRule>
  </conditionalFormatting>
  <conditionalFormatting sqref="W497">
    <cfRule type="expression" dxfId="4517" priority="481">
      <formula>AND($R$497,$S$497)</formula>
    </cfRule>
  </conditionalFormatting>
  <conditionalFormatting sqref="W497">
    <cfRule type="expression" dxfId="4516" priority="480">
      <formula>AND(IF($R$497,$W$497,TRUE),LEN(TRIM($W$497))&gt;0)</formula>
    </cfRule>
  </conditionalFormatting>
  <conditionalFormatting sqref="W497">
    <cfRule type="expression" dxfId="4515" priority="479">
      <formula>$S$497 = FALSE</formula>
    </cfRule>
  </conditionalFormatting>
  <conditionalFormatting sqref="W497">
    <cfRule type="expression" dxfId="4514" priority="478">
      <formula>OR($T$497 = TRUE, AND($W$497 = TRUE, $S$497 = FALSE))</formula>
    </cfRule>
  </conditionalFormatting>
  <conditionalFormatting sqref="W498">
    <cfRule type="expression" dxfId="4513" priority="477">
      <formula>AND($R$498,$S$498)</formula>
    </cfRule>
  </conditionalFormatting>
  <conditionalFormatting sqref="W498">
    <cfRule type="expression" dxfId="4512" priority="476">
      <formula>AND(IF($R$498,$W$498,TRUE),LEN(TRIM($W$498))&gt;0)</formula>
    </cfRule>
  </conditionalFormatting>
  <conditionalFormatting sqref="W498">
    <cfRule type="expression" dxfId="4511" priority="475">
      <formula>$S$498 = FALSE</formula>
    </cfRule>
  </conditionalFormatting>
  <conditionalFormatting sqref="W498">
    <cfRule type="expression" dxfId="4510" priority="474">
      <formula>OR($T$498 = TRUE, AND($W$498 = TRUE, $S$498 = FALSE))</formula>
    </cfRule>
  </conditionalFormatting>
  <conditionalFormatting sqref="W499">
    <cfRule type="expression" dxfId="4509" priority="473">
      <formula>AND($R$499,$S$499)</formula>
    </cfRule>
  </conditionalFormatting>
  <conditionalFormatting sqref="W499">
    <cfRule type="expression" dxfId="4508" priority="472">
      <formula>AND(IF($R$499,$W$499,TRUE),LEN(TRIM($W$499))&gt;0)</formula>
    </cfRule>
  </conditionalFormatting>
  <conditionalFormatting sqref="W499">
    <cfRule type="expression" dxfId="4507" priority="471">
      <formula>$S$499 = FALSE</formula>
    </cfRule>
  </conditionalFormatting>
  <conditionalFormatting sqref="W499">
    <cfRule type="expression" dxfId="4506" priority="470">
      <formula>OR($T$499 = TRUE, AND($W$499 = TRUE, $S$499 = FALSE))</formula>
    </cfRule>
  </conditionalFormatting>
  <conditionalFormatting sqref="W501">
    <cfRule type="expression" dxfId="4505" priority="469">
      <formula>AND($R$501,$S$501)</formula>
    </cfRule>
  </conditionalFormatting>
  <conditionalFormatting sqref="W501">
    <cfRule type="expression" dxfId="4504" priority="468">
      <formula>AND(IF($R$501,$W$501,TRUE),LEN(TRIM($W$501))&gt;0)</formula>
    </cfRule>
  </conditionalFormatting>
  <conditionalFormatting sqref="W501">
    <cfRule type="expression" dxfId="4503" priority="467">
      <formula>$S$501 = FALSE</formula>
    </cfRule>
  </conditionalFormatting>
  <conditionalFormatting sqref="W501">
    <cfRule type="expression" dxfId="4502" priority="466">
      <formula>OR($T$501 = TRUE, AND($W$501 = TRUE, $S$501 = FALSE))</formula>
    </cfRule>
  </conditionalFormatting>
  <conditionalFormatting sqref="W504">
    <cfRule type="expression" dxfId="4501" priority="465">
      <formula>AND($R$504,$S$504)</formula>
    </cfRule>
  </conditionalFormatting>
  <conditionalFormatting sqref="W504">
    <cfRule type="expression" dxfId="4500" priority="464">
      <formula>AND(IF($R$504,$W$504,TRUE),LEN(TRIM($W$504))&gt;0)</formula>
    </cfRule>
  </conditionalFormatting>
  <conditionalFormatting sqref="W504">
    <cfRule type="expression" dxfId="4499" priority="463">
      <formula>$S$504 = FALSE</formula>
    </cfRule>
  </conditionalFormatting>
  <conditionalFormatting sqref="W504">
    <cfRule type="expression" dxfId="4498" priority="462">
      <formula>OR($T$504 = TRUE, AND($W$504 = TRUE, $S$504 = FALSE))</formula>
    </cfRule>
  </conditionalFormatting>
  <conditionalFormatting sqref="W506">
    <cfRule type="expression" dxfId="4497" priority="461">
      <formula>AND($R$506,$S$506)</formula>
    </cfRule>
  </conditionalFormatting>
  <conditionalFormatting sqref="W506">
    <cfRule type="expression" dxfId="4496" priority="460">
      <formula>AND(IF($R$506,$W$506,TRUE),LEN(TRIM($W$506))&gt;0)</formula>
    </cfRule>
  </conditionalFormatting>
  <conditionalFormatting sqref="W506">
    <cfRule type="expression" dxfId="4495" priority="459">
      <formula>$S$506 = FALSE</formula>
    </cfRule>
  </conditionalFormatting>
  <conditionalFormatting sqref="W506">
    <cfRule type="expression" dxfId="4494" priority="458">
      <formula>OR($T$506 = TRUE, AND($W$506 = TRUE, $S$506 = FALSE))</formula>
    </cfRule>
  </conditionalFormatting>
  <conditionalFormatting sqref="W511">
    <cfRule type="expression" dxfId="4493" priority="457">
      <formula>AND($R$511,$S$511)</formula>
    </cfRule>
  </conditionalFormatting>
  <conditionalFormatting sqref="W511">
    <cfRule type="expression" dxfId="4492" priority="456">
      <formula>AND(IF($R$511,$W$511,TRUE),LEN(TRIM($W$511))&gt;0)</formula>
    </cfRule>
  </conditionalFormatting>
  <conditionalFormatting sqref="W511">
    <cfRule type="expression" dxfId="4491" priority="455">
      <formula>$S$511 = FALSE</formula>
    </cfRule>
  </conditionalFormatting>
  <conditionalFormatting sqref="W511">
    <cfRule type="expression" dxfId="4490" priority="454">
      <formula>OR($T$511 = TRUE, AND($W$511 = TRUE, $S$511 = FALSE))</formula>
    </cfRule>
  </conditionalFormatting>
  <conditionalFormatting sqref="W513">
    <cfRule type="expression" dxfId="4489" priority="453">
      <formula>AND($R$513,$S$513)</formula>
    </cfRule>
  </conditionalFormatting>
  <conditionalFormatting sqref="W513">
    <cfRule type="expression" dxfId="4488" priority="452">
      <formula>AND(IF($R$513,$W$513,TRUE),LEN(TRIM($W$513))&gt;0)</formula>
    </cfRule>
  </conditionalFormatting>
  <conditionalFormatting sqref="W513">
    <cfRule type="expression" dxfId="4487" priority="451">
      <formula>$S$513 = FALSE</formula>
    </cfRule>
  </conditionalFormatting>
  <conditionalFormatting sqref="W513">
    <cfRule type="expression" dxfId="4486" priority="450">
      <formula>OR($T$513 = TRUE, AND($W$513 = TRUE, $S$513 = FALSE))</formula>
    </cfRule>
  </conditionalFormatting>
  <conditionalFormatting sqref="W515">
    <cfRule type="expression" dxfId="4485" priority="449">
      <formula>AND($R$515,$S$515)</formula>
    </cfRule>
  </conditionalFormatting>
  <conditionalFormatting sqref="W515">
    <cfRule type="expression" dxfId="4484" priority="448">
      <formula>AND(IF($R$515,$W$515,TRUE),LEN(TRIM($W$515))&gt;0)</formula>
    </cfRule>
  </conditionalFormatting>
  <conditionalFormatting sqref="W515">
    <cfRule type="expression" dxfId="4483" priority="447">
      <formula>$S$515 = FALSE</formula>
    </cfRule>
  </conditionalFormatting>
  <conditionalFormatting sqref="W515">
    <cfRule type="expression" dxfId="4482" priority="446">
      <formula>OR($T$515 = TRUE, AND($W$515 = TRUE, $S$515 = FALSE))</formula>
    </cfRule>
  </conditionalFormatting>
  <conditionalFormatting sqref="W517">
    <cfRule type="expression" dxfId="4481" priority="445">
      <formula>AND($R$517,$S$517)</formula>
    </cfRule>
  </conditionalFormatting>
  <conditionalFormatting sqref="W517">
    <cfRule type="expression" dxfId="4480" priority="444">
      <formula>AND(IF($R$517,$W$517,TRUE),LEN(TRIM($W$517))&gt;0)</formula>
    </cfRule>
  </conditionalFormatting>
  <conditionalFormatting sqref="W517">
    <cfRule type="expression" dxfId="4479" priority="443">
      <formula>$S$517 = FALSE</formula>
    </cfRule>
  </conditionalFormatting>
  <conditionalFormatting sqref="W517">
    <cfRule type="expression" dxfId="4478" priority="442">
      <formula>OR($T$517 = TRUE, AND($W$517 = TRUE, $S$517 = FALSE))</formula>
    </cfRule>
  </conditionalFormatting>
  <conditionalFormatting sqref="W448">
    <cfRule type="expression" dxfId="4477" priority="441">
      <formula>AND($R$448,$S$448)</formula>
    </cfRule>
  </conditionalFormatting>
  <conditionalFormatting sqref="W448">
    <cfRule type="expression" dxfId="4476" priority="440">
      <formula>AND(IF($R$448,$W$448,TRUE),LEN(TRIM($W$448))&gt;0)</formula>
    </cfRule>
  </conditionalFormatting>
  <conditionalFormatting sqref="W448">
    <cfRule type="expression" dxfId="4475" priority="439">
      <formula>$S$448 = FALSE</formula>
    </cfRule>
  </conditionalFormatting>
  <conditionalFormatting sqref="W448">
    <cfRule type="expression" dxfId="4474" priority="438">
      <formula>OR($T$448 = TRUE, AND($W$448 = TRUE, $S$448 = FALSE))</formula>
    </cfRule>
  </conditionalFormatting>
  <conditionalFormatting sqref="W450">
    <cfRule type="expression" dxfId="4473" priority="437">
      <formula>AND($R$450,$S$450)</formula>
    </cfRule>
  </conditionalFormatting>
  <conditionalFormatting sqref="W450">
    <cfRule type="expression" dxfId="4472" priority="436">
      <formula>AND(IF($R$450,$W$450,TRUE),LEN(TRIM($W$450))&gt;0)</formula>
    </cfRule>
  </conditionalFormatting>
  <conditionalFormatting sqref="W450">
    <cfRule type="expression" dxfId="4471" priority="435">
      <formula>$S$450 = FALSE</formula>
    </cfRule>
  </conditionalFormatting>
  <conditionalFormatting sqref="W450">
    <cfRule type="expression" dxfId="4470" priority="434">
      <formula>OR($T$450 = TRUE, AND($W$450 = TRUE, $S$450 = FALSE))</formula>
    </cfRule>
  </conditionalFormatting>
  <conditionalFormatting sqref="W452">
    <cfRule type="expression" dxfId="4469" priority="433">
      <formula>AND($R$452,$S$452)</formula>
    </cfRule>
  </conditionalFormatting>
  <conditionalFormatting sqref="W452">
    <cfRule type="expression" dxfId="4468" priority="432">
      <formula>AND(IF($R$452,$W$452,TRUE),LEN(TRIM($W$452))&gt;0)</formula>
    </cfRule>
  </conditionalFormatting>
  <conditionalFormatting sqref="W452">
    <cfRule type="expression" dxfId="4467" priority="431">
      <formula>$S$452 = FALSE</formula>
    </cfRule>
  </conditionalFormatting>
  <conditionalFormatting sqref="W452">
    <cfRule type="expression" dxfId="4466" priority="430">
      <formula>OR($T$452 = TRUE, AND($W$452 = TRUE, $S$452 = FALSE))</formula>
    </cfRule>
  </conditionalFormatting>
  <conditionalFormatting sqref="W584">
    <cfRule type="expression" dxfId="4465" priority="429">
      <formula>AND(R584,S584)</formula>
    </cfRule>
  </conditionalFormatting>
  <conditionalFormatting sqref="W584">
    <cfRule type="expression" dxfId="4464" priority="428">
      <formula>AND(S584,LEN(TRIM(W584))&gt;0)</formula>
    </cfRule>
  </conditionalFormatting>
  <conditionalFormatting sqref="W584">
    <cfRule type="expression" dxfId="4463" priority="427">
      <formula>S584 = FALSE</formula>
    </cfRule>
  </conditionalFormatting>
  <conditionalFormatting sqref="W584">
    <cfRule type="expression" dxfId="4462" priority="426">
      <formula>OR(T584 = TRUE, AND(W584 &gt; 0, S584 = FALSE))</formula>
    </cfRule>
  </conditionalFormatting>
  <conditionalFormatting sqref="W637">
    <cfRule type="expression" dxfId="4461" priority="425">
      <formula>AND($R$637,$S$637)</formula>
    </cfRule>
  </conditionalFormatting>
  <conditionalFormatting sqref="W637">
    <cfRule type="expression" dxfId="4460" priority="424">
      <formula>AND($W$637&lt;&gt;"Not Met",LEN(TRIM($W$637))&gt;0)</formula>
    </cfRule>
  </conditionalFormatting>
  <conditionalFormatting sqref="W637">
    <cfRule type="expression" dxfId="4459" priority="423">
      <formula>$S$637 = FALSE</formula>
    </cfRule>
  </conditionalFormatting>
  <conditionalFormatting sqref="W637">
    <cfRule type="expression" dxfId="4458" priority="422">
      <formula>OR($T$637 = TRUE, AND(LEN(TRIM($W$637))&gt;0, $S$637 = FALSE))</formula>
    </cfRule>
  </conditionalFormatting>
  <conditionalFormatting sqref="W431">
    <cfRule type="expression" dxfId="4457" priority="421">
      <formula>AND(R431,S431)</formula>
    </cfRule>
  </conditionalFormatting>
  <conditionalFormatting sqref="W431">
    <cfRule type="expression" dxfId="4456" priority="420">
      <formula>AND(R431,LEN(TRIM(W431))&gt;0)</formula>
    </cfRule>
  </conditionalFormatting>
  <conditionalFormatting sqref="W431">
    <cfRule type="expression" dxfId="4455" priority="419">
      <formula>S431 = FALSE</formula>
    </cfRule>
  </conditionalFormatting>
  <conditionalFormatting sqref="W431">
    <cfRule type="expression" dxfId="4454" priority="418">
      <formula>OR(T431 = TRUE, AND(W431 &gt; 0, S431 = FALSE))</formula>
    </cfRule>
  </conditionalFormatting>
  <conditionalFormatting sqref="W425">
    <cfRule type="expression" dxfId="4453" priority="417">
      <formula>AND($R$425,$S$425)</formula>
    </cfRule>
  </conditionalFormatting>
  <conditionalFormatting sqref="W425">
    <cfRule type="expression" dxfId="4452" priority="416">
      <formula>AND(IF($R$425,$W$425,TRUE),LEN(TRIM($W$425))&gt;0)</formula>
    </cfRule>
  </conditionalFormatting>
  <conditionalFormatting sqref="W425">
    <cfRule type="expression" dxfId="4451" priority="415">
      <formula>$S$425 = FALSE</formula>
    </cfRule>
  </conditionalFormatting>
  <conditionalFormatting sqref="W425">
    <cfRule type="expression" dxfId="4450" priority="414">
      <formula>OR($T$425 = TRUE, AND($W$425 = TRUE, $S$425 = FALSE))</formula>
    </cfRule>
  </conditionalFormatting>
  <conditionalFormatting sqref="W427">
    <cfRule type="expression" dxfId="4449" priority="413">
      <formula>AND($R$427,$S$427)</formula>
    </cfRule>
  </conditionalFormatting>
  <conditionalFormatting sqref="W427">
    <cfRule type="expression" dxfId="4448" priority="412">
      <formula>AND(IF($R$427,$W$427,TRUE),LEN(TRIM($W$427))&gt;0)</formula>
    </cfRule>
  </conditionalFormatting>
  <conditionalFormatting sqref="W427">
    <cfRule type="expression" dxfId="4447" priority="411">
      <formula>$S$427 = FALSE</formula>
    </cfRule>
  </conditionalFormatting>
  <conditionalFormatting sqref="W427">
    <cfRule type="expression" dxfId="4446" priority="410">
      <formula>OR($T$427 = TRUE, AND($W$427 = TRUE, $S$427 = FALSE))</formula>
    </cfRule>
  </conditionalFormatting>
  <conditionalFormatting sqref="W423">
    <cfRule type="expression" dxfId="4445" priority="409">
      <formula>AND($R$423,$S$423)</formula>
    </cfRule>
  </conditionalFormatting>
  <conditionalFormatting sqref="W423">
    <cfRule type="expression" dxfId="4444" priority="408">
      <formula>AND(IF($R$423,$W$423,TRUE),LEN(TRIM($W$423))&gt;0)</formula>
    </cfRule>
  </conditionalFormatting>
  <conditionalFormatting sqref="W423">
    <cfRule type="expression" dxfId="4443" priority="407">
      <formula>$S$423 = FALSE</formula>
    </cfRule>
  </conditionalFormatting>
  <conditionalFormatting sqref="W423">
    <cfRule type="expression" dxfId="4442" priority="406">
      <formula>OR($T$423 = TRUE, AND($W$423 = TRUE, $S$423 = FALSE))</formula>
    </cfRule>
  </conditionalFormatting>
  <conditionalFormatting sqref="W375">
    <cfRule type="expression" dxfId="4441" priority="405">
      <formula>AND($R$375,$S$375)</formula>
    </cfRule>
  </conditionalFormatting>
  <conditionalFormatting sqref="W375">
    <cfRule type="expression" dxfId="4440" priority="404">
      <formula>AND($W$375&lt;&gt;"Not Met",LEN(TRIM($W$375))&gt;0)</formula>
    </cfRule>
  </conditionalFormatting>
  <conditionalFormatting sqref="W375">
    <cfRule type="expression" dxfId="4439" priority="403">
      <formula>$S$375 = FALSE</formula>
    </cfRule>
  </conditionalFormatting>
  <conditionalFormatting sqref="W375">
    <cfRule type="expression" dxfId="4438" priority="402">
      <formula>OR($T$375 = TRUE, AND(LEN(TRIM($W$375))&gt;0, $S$375 = FALSE))</formula>
    </cfRule>
  </conditionalFormatting>
  <conditionalFormatting sqref="W354">
    <cfRule type="expression" dxfId="4437" priority="397">
      <formula>AND($R$354,$S$354)</formula>
    </cfRule>
  </conditionalFormatting>
  <conditionalFormatting sqref="W354">
    <cfRule type="expression" dxfId="4436" priority="396">
      <formula>AND(IF($R$354,$W$354,TRUE),LEN(TRIM($W$354))&gt;0)</formula>
    </cfRule>
  </conditionalFormatting>
  <conditionalFormatting sqref="W354">
    <cfRule type="expression" dxfId="4435" priority="395">
      <formula>$S$354 = FALSE</formula>
    </cfRule>
  </conditionalFormatting>
  <conditionalFormatting sqref="W354">
    <cfRule type="expression" dxfId="4434" priority="394">
      <formula>OR($T$354 = TRUE, AND($W$354 = TRUE, $S$354 = FALSE))</formula>
    </cfRule>
  </conditionalFormatting>
  <conditionalFormatting sqref="W356">
    <cfRule type="expression" dxfId="4433" priority="393">
      <formula>AND($R$356,$S$356)</formula>
    </cfRule>
  </conditionalFormatting>
  <conditionalFormatting sqref="W356">
    <cfRule type="expression" dxfId="4432" priority="392">
      <formula>AND(IF($R$356,$W$356,TRUE),LEN(TRIM($W$356))&gt;0)</formula>
    </cfRule>
  </conditionalFormatting>
  <conditionalFormatting sqref="W356">
    <cfRule type="expression" dxfId="4431" priority="391">
      <formula>$S$356 = FALSE</formula>
    </cfRule>
  </conditionalFormatting>
  <conditionalFormatting sqref="W356">
    <cfRule type="expression" dxfId="4430" priority="390">
      <formula>OR($T$356 = TRUE, AND($W$356 = TRUE, $S$356 = FALSE))</formula>
    </cfRule>
  </conditionalFormatting>
  <conditionalFormatting sqref="W359">
    <cfRule type="expression" dxfId="4429" priority="389">
      <formula>AND($R$359,$S$359)</formula>
    </cfRule>
  </conditionalFormatting>
  <conditionalFormatting sqref="W359">
    <cfRule type="expression" dxfId="4428" priority="388">
      <formula>AND(IF($R$359,$W$359,TRUE),LEN(TRIM($W$359))&gt;0)</formula>
    </cfRule>
  </conditionalFormatting>
  <conditionalFormatting sqref="W359">
    <cfRule type="expression" dxfId="4427" priority="387">
      <formula>$S$359 = FALSE</formula>
    </cfRule>
  </conditionalFormatting>
  <conditionalFormatting sqref="W359">
    <cfRule type="expression" dxfId="4426" priority="386">
      <formula>OR($T$359 = TRUE, AND($W$359 = TRUE, $S$359 = FALSE))</formula>
    </cfRule>
  </conditionalFormatting>
  <conditionalFormatting sqref="W360">
    <cfRule type="expression" dxfId="4425" priority="385">
      <formula>AND($R$360,$S$360)</formula>
    </cfRule>
  </conditionalFormatting>
  <conditionalFormatting sqref="W360">
    <cfRule type="expression" dxfId="4424" priority="384">
      <formula>AND(IF($R$360,$W$360,TRUE),LEN(TRIM($W$360))&gt;0)</formula>
    </cfRule>
  </conditionalFormatting>
  <conditionalFormatting sqref="W360">
    <cfRule type="expression" dxfId="4423" priority="383">
      <formula>$S$360 = FALSE</formula>
    </cfRule>
  </conditionalFormatting>
  <conditionalFormatting sqref="W360">
    <cfRule type="expression" dxfId="4422" priority="382">
      <formula>OR($T$360 = TRUE, AND($W$360 = TRUE, $S$360 = FALSE))</formula>
    </cfRule>
  </conditionalFormatting>
  <conditionalFormatting sqref="W362">
    <cfRule type="expression" dxfId="4421" priority="381">
      <formula>AND($R$362,$S$362)</formula>
    </cfRule>
  </conditionalFormatting>
  <conditionalFormatting sqref="W362">
    <cfRule type="expression" dxfId="4420" priority="380">
      <formula>AND(IF($R$362,$W$362,TRUE),LEN(TRIM($W$362))&gt;0)</formula>
    </cfRule>
  </conditionalFormatting>
  <conditionalFormatting sqref="W362">
    <cfRule type="expression" dxfId="4419" priority="379">
      <formula>$S$362 = FALSE</formula>
    </cfRule>
  </conditionalFormatting>
  <conditionalFormatting sqref="W362">
    <cfRule type="expression" dxfId="4418" priority="378">
      <formula>OR($T$362 = TRUE, AND($W$362 = TRUE, $S$362 = FALSE))</formula>
    </cfRule>
  </conditionalFormatting>
  <conditionalFormatting sqref="W364">
    <cfRule type="expression" dxfId="4417" priority="377">
      <formula>AND($R$364,$S$364)</formula>
    </cfRule>
  </conditionalFormatting>
  <conditionalFormatting sqref="W364">
    <cfRule type="expression" dxfId="4416" priority="376">
      <formula>AND($W$364&lt;&gt;"Not Met",LEN(TRIM($W$364))&gt;0)</formula>
    </cfRule>
  </conditionalFormatting>
  <conditionalFormatting sqref="W364">
    <cfRule type="expression" dxfId="4415" priority="375">
      <formula>$S$364 = FALSE</formula>
    </cfRule>
  </conditionalFormatting>
  <conditionalFormatting sqref="W364">
    <cfRule type="expression" dxfId="4414" priority="374">
      <formula>OR($T$364 = TRUE, AND(LEN(TRIM($W$364))&gt;0, $S$364 = FALSE))</formula>
    </cfRule>
  </conditionalFormatting>
  <conditionalFormatting sqref="W105">
    <cfRule type="expression" dxfId="4413" priority="373">
      <formula>AND(R105,S105)</formula>
    </cfRule>
  </conditionalFormatting>
  <conditionalFormatting sqref="W105">
    <cfRule type="expression" dxfId="4412" priority="372">
      <formula>NOT(ISBLANK(W105))</formula>
    </cfRule>
  </conditionalFormatting>
  <conditionalFormatting sqref="W105">
    <cfRule type="expression" dxfId="4411" priority="371">
      <formula>S105 = FALSE</formula>
    </cfRule>
  </conditionalFormatting>
  <conditionalFormatting sqref="W105">
    <cfRule type="expression" dxfId="4410" priority="370">
      <formula>OR(T105 = TRUE, AND(W105 = TRUE, S105 = FALSE))</formula>
    </cfRule>
  </conditionalFormatting>
  <conditionalFormatting sqref="W623">
    <cfRule type="expression" dxfId="4409" priority="369">
      <formula>AND(R623,S623)</formula>
    </cfRule>
  </conditionalFormatting>
  <conditionalFormatting sqref="W623">
    <cfRule type="expression" dxfId="4408" priority="368">
      <formula>NOT(ISBLANK(W623))</formula>
    </cfRule>
  </conditionalFormatting>
  <conditionalFormatting sqref="W623">
    <cfRule type="expression" dxfId="4407" priority="367">
      <formula>S623 = FALSE</formula>
    </cfRule>
  </conditionalFormatting>
  <conditionalFormatting sqref="W623">
    <cfRule type="expression" dxfId="4406" priority="366">
      <formula>OR(T623 = TRUE, AND(W623 = TRUE, S623 = FALSE))</formula>
    </cfRule>
  </conditionalFormatting>
  <conditionalFormatting sqref="W271">
    <cfRule type="expression" dxfId="4405" priority="365">
      <formula>AND($R$271,$S$271)</formula>
    </cfRule>
  </conditionalFormatting>
  <conditionalFormatting sqref="W271">
    <cfRule type="expression" dxfId="4404" priority="364">
      <formula>AND($W$271&lt;&gt;"Not Met",LEN(TRIM($W$271))&gt;0)</formula>
    </cfRule>
  </conditionalFormatting>
  <conditionalFormatting sqref="W271">
    <cfRule type="expression" dxfId="4403" priority="363">
      <formula>$S$271 = FALSE</formula>
    </cfRule>
  </conditionalFormatting>
  <conditionalFormatting sqref="W271">
    <cfRule type="expression" dxfId="4402" priority="362">
      <formula>OR($T$271 = TRUE, AND(LEN(TRIM($W$271))&gt;0, $S$271 = FALSE))</formula>
    </cfRule>
  </conditionalFormatting>
  <conditionalFormatting sqref="W278">
    <cfRule type="expression" dxfId="4401" priority="360">
      <formula>AND($W$278&lt;&gt;"Not Met",LEN(TRIM($W$278))&gt;0)</formula>
    </cfRule>
  </conditionalFormatting>
  <conditionalFormatting sqref="W348">
    <cfRule type="expression" dxfId="4400" priority="357">
      <formula>AND($R$348,$S$348)</formula>
    </cfRule>
  </conditionalFormatting>
  <conditionalFormatting sqref="W348">
    <cfRule type="expression" dxfId="4399" priority="356">
      <formula>AND(IF($R$348,$W$348,TRUE),LEN(TRIM($W$348))&gt;0)</formula>
    </cfRule>
  </conditionalFormatting>
  <conditionalFormatting sqref="W348">
    <cfRule type="expression" dxfId="4398" priority="355">
      <formula>$S$348 = FALSE</formula>
    </cfRule>
  </conditionalFormatting>
  <conditionalFormatting sqref="W348">
    <cfRule type="expression" dxfId="4397" priority="354">
      <formula>OR($T$348 = TRUE, AND($W$348 = TRUE, $S$348 = FALSE))</formula>
    </cfRule>
  </conditionalFormatting>
  <conditionalFormatting sqref="W244">
    <cfRule type="expression" dxfId="4396" priority="342">
      <formula>OR($T$244 = TRUE, AND(LEN(TRIM($W$244))&gt;0, $S$244 = FALSE))</formula>
    </cfRule>
    <cfRule type="expression" dxfId="4395" priority="343">
      <formula>$S$244 = FALSE</formula>
    </cfRule>
    <cfRule type="expression" dxfId="4394" priority="344">
      <formula>AND($W$244&lt;&gt;"Not Met",LEN(TRIM($W$244))&gt;0)</formula>
    </cfRule>
    <cfRule type="expression" dxfId="4393" priority="345">
      <formula>AND($R$244,$S$244)</formula>
    </cfRule>
  </conditionalFormatting>
  <conditionalFormatting sqref="W252">
    <cfRule type="expression" dxfId="4392" priority="338">
      <formula>OR($T$252 = TRUE, AND(LEN(TRIM($W$252))&gt;0, $S$252 = FALSE))</formula>
    </cfRule>
    <cfRule type="expression" dxfId="4391" priority="339">
      <formula>$S$252 = FALSE</formula>
    </cfRule>
    <cfRule type="expression" dxfId="4390" priority="340">
      <formula>AND($W$252&lt;&gt;"Not Met",LEN(TRIM($W$252))&gt;0)</formula>
    </cfRule>
    <cfRule type="expression" dxfId="4389" priority="341">
      <formula>AND($R$252,$S$252)</formula>
    </cfRule>
  </conditionalFormatting>
  <conditionalFormatting sqref="W260">
    <cfRule type="expression" dxfId="4388" priority="334">
      <formula>OR($T$260 = TRUE, AND(LEN(TRIM($W$260))&gt;0, $S$260 = FALSE))</formula>
    </cfRule>
    <cfRule type="expression" dxfId="4387" priority="335">
      <formula>$S$260 = FALSE</formula>
    </cfRule>
    <cfRule type="expression" dxfId="4386" priority="336">
      <formula>AND($W$260&lt;&gt;"Not Met",LEN(TRIM($W$260))&gt;0)</formula>
    </cfRule>
    <cfRule type="expression" dxfId="4385" priority="337">
      <formula>AND($R$260,$S$260)</formula>
    </cfRule>
  </conditionalFormatting>
  <conditionalFormatting sqref="W284">
    <cfRule type="expression" dxfId="4384" priority="330">
      <formula>OR($T$284 = TRUE, AND($W$284 = TRUE, $S$284 = FALSE))</formula>
    </cfRule>
    <cfRule type="expression" dxfId="4383" priority="331">
      <formula>$S$284 = FALSE</formula>
    </cfRule>
    <cfRule type="expression" dxfId="4382" priority="332">
      <formula>AND(IF($R$284,$W$284,TRUE),LEN(TRIM($W$284))&gt;0)</formula>
    </cfRule>
    <cfRule type="expression" dxfId="4381" priority="333">
      <formula>AND($R$284,$S$284)</formula>
    </cfRule>
  </conditionalFormatting>
  <conditionalFormatting sqref="W291">
    <cfRule type="expression" dxfId="4380" priority="329">
      <formula>AND(R291,S291)</formula>
    </cfRule>
  </conditionalFormatting>
  <conditionalFormatting sqref="W291">
    <cfRule type="expression" dxfId="4379" priority="328">
      <formula>NOT(ISBLANK(W291))</formula>
    </cfRule>
  </conditionalFormatting>
  <conditionalFormatting sqref="W291">
    <cfRule type="expression" dxfId="4378" priority="327">
      <formula>S291 = FALSE</formula>
    </cfRule>
  </conditionalFormatting>
  <conditionalFormatting sqref="W291">
    <cfRule type="expression" dxfId="4377" priority="326">
      <formula>OR(T291 = TRUE, AND(W291 = TRUE, S291 = FALSE))</formula>
    </cfRule>
  </conditionalFormatting>
  <conditionalFormatting sqref="W297">
    <cfRule type="expression" dxfId="4376" priority="313">
      <formula>AND(R297,S297)</formula>
    </cfRule>
  </conditionalFormatting>
  <conditionalFormatting sqref="W297">
    <cfRule type="expression" dxfId="4375" priority="312">
      <formula>NOT(ISBLANK(W297))</formula>
    </cfRule>
  </conditionalFormatting>
  <conditionalFormatting sqref="W297">
    <cfRule type="expression" dxfId="4374" priority="311">
      <formula>S297 = FALSE</formula>
    </cfRule>
  </conditionalFormatting>
  <conditionalFormatting sqref="W297">
    <cfRule type="expression" dxfId="4373" priority="310">
      <formula>OR(T297 = TRUE, AND(W297 = TRUE, S297 = FALSE))</formula>
    </cfRule>
  </conditionalFormatting>
  <conditionalFormatting sqref="W300">
    <cfRule type="expression" dxfId="4372" priority="309">
      <formula>AND(R300,S300)</formula>
    </cfRule>
  </conditionalFormatting>
  <conditionalFormatting sqref="W300">
    <cfRule type="expression" dxfId="4371" priority="308">
      <formula>NOT(ISBLANK(W300))</formula>
    </cfRule>
  </conditionalFormatting>
  <conditionalFormatting sqref="W300">
    <cfRule type="expression" dxfId="4370" priority="307">
      <formula>S300 = FALSE</formula>
    </cfRule>
  </conditionalFormatting>
  <conditionalFormatting sqref="W300">
    <cfRule type="expression" dxfId="4369" priority="306">
      <formula>OR(T300 = TRUE, AND(W300 = TRUE, S300 = FALSE))</formula>
    </cfRule>
  </conditionalFormatting>
  <conditionalFormatting sqref="W305">
    <cfRule type="expression" dxfId="4368" priority="305">
      <formula>AND(R305,S305)</formula>
    </cfRule>
  </conditionalFormatting>
  <conditionalFormatting sqref="W305">
    <cfRule type="expression" dxfId="4367" priority="304">
      <formula>NOT(ISBLANK(W305))</formula>
    </cfRule>
  </conditionalFormatting>
  <conditionalFormatting sqref="W305">
    <cfRule type="expression" dxfId="4366" priority="303">
      <formula>S305 = FALSE</formula>
    </cfRule>
  </conditionalFormatting>
  <conditionalFormatting sqref="W305">
    <cfRule type="expression" dxfId="4365" priority="302">
      <formula>OR(T305 = TRUE, AND(W305 = TRUE, S305 = FALSE))</formula>
    </cfRule>
  </conditionalFormatting>
  <conditionalFormatting sqref="W311">
    <cfRule type="expression" dxfId="4364" priority="301">
      <formula>AND(R311,S311)</formula>
    </cfRule>
  </conditionalFormatting>
  <conditionalFormatting sqref="W311">
    <cfRule type="expression" dxfId="4363" priority="300">
      <formula>NOT(ISBLANK(W311))</formula>
    </cfRule>
  </conditionalFormatting>
  <conditionalFormatting sqref="W311">
    <cfRule type="expression" dxfId="4362" priority="299">
      <formula>S311 = FALSE</formula>
    </cfRule>
  </conditionalFormatting>
  <conditionalFormatting sqref="W311">
    <cfRule type="expression" dxfId="4361" priority="298">
      <formula>OR(T311 = TRUE, AND(W311 = TRUE, S311 = FALSE))</formula>
    </cfRule>
  </conditionalFormatting>
  <conditionalFormatting sqref="W318">
    <cfRule type="expression" dxfId="4360" priority="297">
      <formula>AND(R318,S318)</formula>
    </cfRule>
  </conditionalFormatting>
  <conditionalFormatting sqref="W318">
    <cfRule type="expression" dxfId="4359" priority="296">
      <formula>NOT(ISBLANK(W318))</formula>
    </cfRule>
  </conditionalFormatting>
  <conditionalFormatting sqref="W318">
    <cfRule type="expression" dxfId="4358" priority="295">
      <formula>S318 = FALSE</formula>
    </cfRule>
  </conditionalFormatting>
  <conditionalFormatting sqref="W318">
    <cfRule type="expression" dxfId="4357" priority="294">
      <formula>OR(T318 = TRUE, AND(W318 = TRUE, S318 = FALSE))</formula>
    </cfRule>
  </conditionalFormatting>
  <conditionalFormatting sqref="W323">
    <cfRule type="expression" dxfId="4356" priority="293">
      <formula>AND(R323,S323)</formula>
    </cfRule>
  </conditionalFormatting>
  <conditionalFormatting sqref="W323">
    <cfRule type="expression" dxfId="4355" priority="292">
      <formula>NOT(ISBLANK(W323))</formula>
    </cfRule>
  </conditionalFormatting>
  <conditionalFormatting sqref="W323">
    <cfRule type="expression" dxfId="4354" priority="291">
      <formula>S323 = FALSE</formula>
    </cfRule>
  </conditionalFormatting>
  <conditionalFormatting sqref="W323">
    <cfRule type="expression" dxfId="4353" priority="290">
      <formula>OR(T323 = TRUE, AND(W323 = TRUE, S323 = FALSE))</formula>
    </cfRule>
  </conditionalFormatting>
  <conditionalFormatting sqref="W330">
    <cfRule type="expression" dxfId="4352" priority="289">
      <formula>AND(R330,S330)</formula>
    </cfRule>
  </conditionalFormatting>
  <conditionalFormatting sqref="W330">
    <cfRule type="expression" dxfId="4351" priority="288">
      <formula>NOT(ISBLANK(W330))</formula>
    </cfRule>
  </conditionalFormatting>
  <conditionalFormatting sqref="W330">
    <cfRule type="expression" dxfId="4350" priority="287">
      <formula>S330 = FALSE</formula>
    </cfRule>
  </conditionalFormatting>
  <conditionalFormatting sqref="W330">
    <cfRule type="expression" dxfId="4349" priority="286">
      <formula>OR(T330 = TRUE, AND(W330 = TRUE, S330 = FALSE))</formula>
    </cfRule>
  </conditionalFormatting>
  <conditionalFormatting sqref="W328">
    <cfRule type="expression" dxfId="4348" priority="285">
      <formula>AND($R$328,$S$328)</formula>
    </cfRule>
  </conditionalFormatting>
  <conditionalFormatting sqref="W328">
    <cfRule type="expression" dxfId="4347" priority="284">
      <formula>AND(IF($R$328,$W$328,TRUE),LEN(TRIM($W$328))&gt;0)</formula>
    </cfRule>
  </conditionalFormatting>
  <conditionalFormatting sqref="W328">
    <cfRule type="expression" dxfId="4346" priority="283">
      <formula>$S$328 = FALSE</formula>
    </cfRule>
  </conditionalFormatting>
  <conditionalFormatting sqref="W328">
    <cfRule type="expression" dxfId="4345" priority="282">
      <formula>OR($T$328 = TRUE, AND($W$328 = TRUE, $S$328 = FALSE))</formula>
    </cfRule>
  </conditionalFormatting>
  <conditionalFormatting sqref="W331">
    <cfRule type="expression" dxfId="4344" priority="281">
      <formula>AND($R$331,$S$331)</formula>
    </cfRule>
  </conditionalFormatting>
  <conditionalFormatting sqref="W331">
    <cfRule type="expression" dxfId="4343" priority="280">
      <formula>AND(IF($R$331,$W$331,TRUE),LEN(TRIM($W$331))&gt;0)</formula>
    </cfRule>
  </conditionalFormatting>
  <conditionalFormatting sqref="W331">
    <cfRule type="expression" dxfId="4342" priority="279">
      <formula>$S$331 = FALSE</formula>
    </cfRule>
  </conditionalFormatting>
  <conditionalFormatting sqref="W331">
    <cfRule type="expression" dxfId="4341" priority="278">
      <formula>OR($T$331 = TRUE, AND($W$331 = TRUE, $S$331 = FALSE))</formula>
    </cfRule>
  </conditionalFormatting>
  <conditionalFormatting sqref="W336">
    <cfRule type="expression" dxfId="4340" priority="277">
      <formula>AND(R336,S336)</formula>
    </cfRule>
  </conditionalFormatting>
  <conditionalFormatting sqref="W336">
    <cfRule type="expression" dxfId="4339" priority="276">
      <formula>NOT(ISBLANK(W336))</formula>
    </cfRule>
  </conditionalFormatting>
  <conditionalFormatting sqref="W336">
    <cfRule type="expression" dxfId="4338" priority="275">
      <formula>S336 = FALSE</formula>
    </cfRule>
  </conditionalFormatting>
  <conditionalFormatting sqref="W336">
    <cfRule type="expression" dxfId="4337" priority="274">
      <formula>OR(T336 = TRUE, AND(W336 = TRUE, S336 = FALSE))</formula>
    </cfRule>
  </conditionalFormatting>
  <conditionalFormatting sqref="W341">
    <cfRule type="expression" dxfId="4336" priority="273">
      <formula>AND($R$341,$S$341)</formula>
    </cfRule>
  </conditionalFormatting>
  <conditionalFormatting sqref="W341">
    <cfRule type="expression" dxfId="4335" priority="272">
      <formula>AND(IF($R$341,$W$341,TRUE),LEN(TRIM($W$341))&gt;0)</formula>
    </cfRule>
  </conditionalFormatting>
  <conditionalFormatting sqref="W341">
    <cfRule type="expression" dxfId="4334" priority="271">
      <formula>$S$341 = FALSE</formula>
    </cfRule>
  </conditionalFormatting>
  <conditionalFormatting sqref="W341">
    <cfRule type="expression" dxfId="4333" priority="270">
      <formula>OR($T$341 = TRUE, AND($W$341 = TRUE, $S$341 = FALSE))</formula>
    </cfRule>
  </conditionalFormatting>
  <conditionalFormatting sqref="W343">
    <cfRule type="expression" dxfId="4332" priority="269">
      <formula>AND(R343,S343)</formula>
    </cfRule>
  </conditionalFormatting>
  <conditionalFormatting sqref="W343">
    <cfRule type="expression" dxfId="4331" priority="268">
      <formula>NOT(ISBLANK(W343))</formula>
    </cfRule>
  </conditionalFormatting>
  <conditionalFormatting sqref="W343">
    <cfRule type="expression" dxfId="4330" priority="267">
      <formula>S343 = FALSE</formula>
    </cfRule>
  </conditionalFormatting>
  <conditionalFormatting sqref="W343">
    <cfRule type="expression" dxfId="4329" priority="266">
      <formula>OR(T343 = TRUE, AND(W343 = TRUE, S343 = FALSE))</formula>
    </cfRule>
  </conditionalFormatting>
  <conditionalFormatting sqref="X270:X273 X275:X276">
    <cfRule type="expression" dxfId="4328" priority="265">
      <formula>W271=INDEX(INDIRECT(U271),1)</formula>
    </cfRule>
  </conditionalFormatting>
  <conditionalFormatting sqref="W278">
    <cfRule type="expression" dxfId="4327" priority="3246">
      <formula>AND($R$278,$S$278)</formula>
    </cfRule>
  </conditionalFormatting>
  <conditionalFormatting sqref="W278">
    <cfRule type="expression" dxfId="4326" priority="3247">
      <formula>$S$278 = FALSE</formula>
    </cfRule>
  </conditionalFormatting>
  <conditionalFormatting sqref="W278">
    <cfRule type="expression" dxfId="4325" priority="3248">
      <formula>OR($T$278 = TRUE, AND(LEN(TRIM($W$278))&gt;0, $S$278 = FALSE))</formula>
    </cfRule>
  </conditionalFormatting>
  <conditionalFormatting sqref="X277:X283">
    <cfRule type="expression" dxfId="4324" priority="264">
      <formula>W278=INDEX(INDIRECT(U278),1)</formula>
    </cfRule>
  </conditionalFormatting>
  <conditionalFormatting sqref="I1">
    <cfRule type="expression" dxfId="4323" priority="260">
      <formula>$AG$1="Gold"</formula>
    </cfRule>
    <cfRule type="expression" dxfId="4322" priority="261">
      <formula>$AG$1="Silver"</formula>
    </cfRule>
    <cfRule type="expression" dxfId="4321" priority="262">
      <formula>$AG$1="Bronze"</formula>
    </cfRule>
    <cfRule type="expression" dxfId="4320" priority="263">
      <formula>$AG$1="Emerald"</formula>
    </cfRule>
  </conditionalFormatting>
  <conditionalFormatting sqref="X1">
    <cfRule type="expression" dxfId="4319" priority="259">
      <formula>startError</formula>
    </cfRule>
  </conditionalFormatting>
  <conditionalFormatting sqref="W108">
    <cfRule type="expression" dxfId="4318" priority="258">
      <formula>AND(R108,S108)</formula>
    </cfRule>
  </conditionalFormatting>
  <conditionalFormatting sqref="W108">
    <cfRule type="expression" dxfId="4317" priority="257">
      <formula>NOT(ISBLANK(W108))</formula>
    </cfRule>
  </conditionalFormatting>
  <conditionalFormatting sqref="W108">
    <cfRule type="expression" dxfId="4316" priority="256">
      <formula>S108 = FALSE</formula>
    </cfRule>
  </conditionalFormatting>
  <conditionalFormatting sqref="W108">
    <cfRule type="expression" dxfId="4315" priority="255">
      <formula>OR(T108 = TRUE, AND(W108 = TRUE, S108 = FALSE))</formula>
    </cfRule>
  </conditionalFormatting>
  <conditionalFormatting sqref="W645">
    <cfRule type="expression" dxfId="4314" priority="254">
      <formula>AND($R$645,$S$645)</formula>
    </cfRule>
  </conditionalFormatting>
  <conditionalFormatting sqref="W645">
    <cfRule type="expression" dxfId="4313" priority="253">
      <formula>AND(IF($R$645,$W$645,TRUE),LEN(TRIM($W$645))&gt;0)</formula>
    </cfRule>
  </conditionalFormatting>
  <conditionalFormatting sqref="W645">
    <cfRule type="expression" dxfId="4312" priority="252">
      <formula>$S$645 = FALSE</formula>
    </cfRule>
  </conditionalFormatting>
  <conditionalFormatting sqref="W645">
    <cfRule type="expression" dxfId="4311" priority="251">
      <formula>OR($T$645 = TRUE, AND($W$645 = TRUE, $S$645 = FALSE))</formula>
    </cfRule>
  </conditionalFormatting>
  <conditionalFormatting sqref="W41">
    <cfRule type="expression" dxfId="4310" priority="245">
      <formula>AND($R$41,$S$41)</formula>
    </cfRule>
  </conditionalFormatting>
  <conditionalFormatting sqref="W41">
    <cfRule type="expression" dxfId="4309" priority="244">
      <formula>AND(IF($R$41,$W$41,TRUE),LEN(TRIM($W$41))&gt;0)</formula>
    </cfRule>
  </conditionalFormatting>
  <conditionalFormatting sqref="W41">
    <cfRule type="expression" dxfId="4308" priority="243">
      <formula>$S$41 = FALSE</formula>
    </cfRule>
  </conditionalFormatting>
  <conditionalFormatting sqref="W41">
    <cfRule type="expression" dxfId="4307" priority="242">
      <formula>OR($T$41 = TRUE, AND($W$41 = TRUE, $S$41 = FALSE))</formula>
    </cfRule>
  </conditionalFormatting>
  <conditionalFormatting sqref="W42">
    <cfRule type="expression" dxfId="4306" priority="241">
      <formula>AND($R$42,$S$42)</formula>
    </cfRule>
  </conditionalFormatting>
  <conditionalFormatting sqref="W42">
    <cfRule type="expression" dxfId="4305" priority="240">
      <formula>AND(IF($R$42,$W$42,TRUE),LEN(TRIM($W$42))&gt;0)</formula>
    </cfRule>
  </conditionalFormatting>
  <conditionalFormatting sqref="W42">
    <cfRule type="expression" dxfId="4304" priority="239">
      <formula>$S$42 = FALSE</formula>
    </cfRule>
  </conditionalFormatting>
  <conditionalFormatting sqref="W42">
    <cfRule type="expression" dxfId="4303" priority="238">
      <formula>OR($T$42 = TRUE, AND($W$42 = TRUE, $S$42 = FALSE))</formula>
    </cfRule>
  </conditionalFormatting>
  <conditionalFormatting sqref="W45">
    <cfRule type="expression" dxfId="4302" priority="233">
      <formula>AND($R$45,$S$45)</formula>
    </cfRule>
  </conditionalFormatting>
  <conditionalFormatting sqref="W45">
    <cfRule type="expression" dxfId="4301" priority="232">
      <formula>AND(IF($R$45,$W$45,TRUE),LEN(TRIM($W$45))&gt;0)</formula>
    </cfRule>
  </conditionalFormatting>
  <conditionalFormatting sqref="W45">
    <cfRule type="expression" dxfId="4300" priority="231">
      <formula>$S$45 = FALSE</formula>
    </cfRule>
  </conditionalFormatting>
  <conditionalFormatting sqref="W45">
    <cfRule type="expression" dxfId="4299" priority="230">
      <formula>OR($T$45 = TRUE, AND($W$45 = TRUE, $S$45 = FALSE))</formula>
    </cfRule>
  </conditionalFormatting>
  <conditionalFormatting sqref="W50">
    <cfRule type="expression" dxfId="4298" priority="229">
      <formula>AND($R$50,$S$50)</formula>
    </cfRule>
  </conditionalFormatting>
  <conditionalFormatting sqref="W50">
    <cfRule type="expression" dxfId="4297" priority="228">
      <formula>AND(IF($R$50,$W$50,TRUE),LEN(TRIM($W$50))&gt;0)</formula>
    </cfRule>
  </conditionalFormatting>
  <conditionalFormatting sqref="W50">
    <cfRule type="expression" dxfId="4296" priority="227">
      <formula>$S$50 = FALSE</formula>
    </cfRule>
  </conditionalFormatting>
  <conditionalFormatting sqref="W50">
    <cfRule type="expression" dxfId="4295" priority="226">
      <formula>OR($T$50 = TRUE, AND($W$50 = TRUE, $S$50 = FALSE))</formula>
    </cfRule>
  </conditionalFormatting>
  <conditionalFormatting sqref="W51">
    <cfRule type="expression" dxfId="4294" priority="225">
      <formula>AND($R$51,$S$51)</formula>
    </cfRule>
  </conditionalFormatting>
  <conditionalFormatting sqref="W51">
    <cfRule type="expression" dxfId="4293" priority="224">
      <formula>AND(IF($R$51,$W$51,TRUE),LEN(TRIM($W$51))&gt;0)</formula>
    </cfRule>
  </conditionalFormatting>
  <conditionalFormatting sqref="W51">
    <cfRule type="expression" dxfId="4292" priority="223">
      <formula>$S$51 = FALSE</formula>
    </cfRule>
  </conditionalFormatting>
  <conditionalFormatting sqref="W51">
    <cfRule type="expression" dxfId="4291" priority="222">
      <formula>OR($T$51 = TRUE, AND($W$51 = TRUE, $S$51 = FALSE))</formula>
    </cfRule>
  </conditionalFormatting>
  <conditionalFormatting sqref="W52">
    <cfRule type="expression" dxfId="4290" priority="221">
      <formula>AND($R$52,$S$52)</formula>
    </cfRule>
  </conditionalFormatting>
  <conditionalFormatting sqref="W52">
    <cfRule type="expression" dxfId="4289" priority="220">
      <formula>AND(IF($R$52,$W$52,TRUE),LEN(TRIM($W$52))&gt;0)</formula>
    </cfRule>
  </conditionalFormatting>
  <conditionalFormatting sqref="W52">
    <cfRule type="expression" dxfId="4288" priority="219">
      <formula>$S$52 = FALSE</formula>
    </cfRule>
  </conditionalFormatting>
  <conditionalFormatting sqref="W52">
    <cfRule type="expression" dxfId="4287" priority="218">
      <formula>OR($T$52 = TRUE, AND($W$52 = TRUE, $S$52 = FALSE))</formula>
    </cfRule>
  </conditionalFormatting>
  <conditionalFormatting sqref="W54">
    <cfRule type="expression" dxfId="4286" priority="217">
      <formula>AND($R$54,$S$54)</formula>
    </cfRule>
  </conditionalFormatting>
  <conditionalFormatting sqref="W54">
    <cfRule type="expression" dxfId="4285" priority="216">
      <formula>AND(IF($R$54,$W$54,TRUE),LEN(TRIM($W$54))&gt;0)</formula>
    </cfRule>
  </conditionalFormatting>
  <conditionalFormatting sqref="W54">
    <cfRule type="expression" dxfId="4284" priority="215">
      <formula>$S$54 = FALSE</formula>
    </cfRule>
  </conditionalFormatting>
  <conditionalFormatting sqref="W54">
    <cfRule type="expression" dxfId="4283" priority="214">
      <formula>OR($T$54 = TRUE, AND($W$54 = TRUE, $S$54 = FALSE))</formula>
    </cfRule>
  </conditionalFormatting>
  <conditionalFormatting sqref="W55">
    <cfRule type="expression" dxfId="4282" priority="213">
      <formula>AND($R$55,$S$55)</formula>
    </cfRule>
  </conditionalFormatting>
  <conditionalFormatting sqref="W55">
    <cfRule type="expression" dxfId="4281" priority="212">
      <formula>AND(IF($R$55,$W$55,TRUE),LEN(TRIM($W$55))&gt;0)</formula>
    </cfRule>
  </conditionalFormatting>
  <conditionalFormatting sqref="W55">
    <cfRule type="expression" dxfId="4280" priority="211">
      <formula>$S$55 = FALSE</formula>
    </cfRule>
  </conditionalFormatting>
  <conditionalFormatting sqref="W55">
    <cfRule type="expression" dxfId="4279" priority="210">
      <formula>OR($T$55 = TRUE, AND($W$55 = TRUE, $S$55 = FALSE))</formula>
    </cfRule>
  </conditionalFormatting>
  <conditionalFormatting sqref="W56">
    <cfRule type="expression" dxfId="4278" priority="209">
      <formula>AND($R$56,$S$56)</formula>
    </cfRule>
  </conditionalFormatting>
  <conditionalFormatting sqref="W56">
    <cfRule type="expression" dxfId="4277" priority="208">
      <formula>AND(IF($R$56,$W$56,TRUE),LEN(TRIM($W$56))&gt;0)</formula>
    </cfRule>
  </conditionalFormatting>
  <conditionalFormatting sqref="W56">
    <cfRule type="expression" dxfId="4276" priority="207">
      <formula>$S$56 = FALSE</formula>
    </cfRule>
  </conditionalFormatting>
  <conditionalFormatting sqref="W56">
    <cfRule type="expression" dxfId="4275" priority="206">
      <formula>OR($T$56 = TRUE, AND($W$56 = TRUE, $S$56 = FALSE))</formula>
    </cfRule>
  </conditionalFormatting>
  <conditionalFormatting sqref="W57">
    <cfRule type="expression" dxfId="4274" priority="205">
      <formula>AND($R$57,$S$57)</formula>
    </cfRule>
  </conditionalFormatting>
  <conditionalFormatting sqref="W57">
    <cfRule type="expression" dxfId="4273" priority="204">
      <formula>AND(IF($R$57,$W$57,TRUE),LEN(TRIM($W$57))&gt;0)</formula>
    </cfRule>
  </conditionalFormatting>
  <conditionalFormatting sqref="W57">
    <cfRule type="expression" dxfId="4272" priority="203">
      <formula>$S$57 = FALSE</formula>
    </cfRule>
  </conditionalFormatting>
  <conditionalFormatting sqref="W57">
    <cfRule type="expression" dxfId="4271" priority="202">
      <formula>OR($T$57 = TRUE, AND($W$57 = TRUE, $S$57 = FALSE))</formula>
    </cfRule>
  </conditionalFormatting>
  <conditionalFormatting sqref="W59">
    <cfRule type="expression" dxfId="4270" priority="201">
      <formula>AND($R$59,$S$59)</formula>
    </cfRule>
  </conditionalFormatting>
  <conditionalFormatting sqref="W59">
    <cfRule type="expression" dxfId="4269" priority="200">
      <formula>AND(IF($R$59,$W$59,TRUE),LEN(TRIM($W$59))&gt;0)</formula>
    </cfRule>
  </conditionalFormatting>
  <conditionalFormatting sqref="W59">
    <cfRule type="expression" dxfId="4268" priority="199">
      <formula>$S$59 = FALSE</formula>
    </cfRule>
  </conditionalFormatting>
  <conditionalFormatting sqref="W59">
    <cfRule type="expression" dxfId="4267" priority="198">
      <formula>OR($T$59 = TRUE, AND($W$59 = TRUE, $S$59 = FALSE))</formula>
    </cfRule>
  </conditionalFormatting>
  <conditionalFormatting sqref="W44">
    <cfRule type="expression" dxfId="4266" priority="197">
      <formula>AND($R$44,$S$44)</formula>
    </cfRule>
  </conditionalFormatting>
  <conditionalFormatting sqref="W44">
    <cfRule type="expression" dxfId="4265" priority="196">
      <formula>AND($W$44&lt;&gt;"Not Met",LEN(TRIM($W$44))&gt;0)</formula>
    </cfRule>
  </conditionalFormatting>
  <conditionalFormatting sqref="W44">
    <cfRule type="expression" dxfId="4264" priority="195">
      <formula>$S$44 = FALSE</formula>
    </cfRule>
  </conditionalFormatting>
  <conditionalFormatting sqref="W44">
    <cfRule type="expression" dxfId="4263" priority="194">
      <formula>OR($T$44 = TRUE, AND(LEN(TRIM($W$44))&gt;0, $S$44 = FALSE))</formula>
    </cfRule>
  </conditionalFormatting>
  <conditionalFormatting sqref="W47">
    <cfRule type="expression" dxfId="4262" priority="193">
      <formula>AND($R$47,$S$47)</formula>
    </cfRule>
  </conditionalFormatting>
  <conditionalFormatting sqref="W47">
    <cfRule type="expression" dxfId="4261" priority="192">
      <formula>AND($W$47&lt;&gt;"Not Met",LEN(TRIM($W$47))&gt;0)</formula>
    </cfRule>
  </conditionalFormatting>
  <conditionalFormatting sqref="W47">
    <cfRule type="expression" dxfId="4260" priority="191">
      <formula>$S$47 = FALSE</formula>
    </cfRule>
  </conditionalFormatting>
  <conditionalFormatting sqref="W47">
    <cfRule type="expression" dxfId="4259" priority="190">
      <formula>OR($T$47 = TRUE, AND(LEN(TRIM($W$47))&gt;0, $S$47 = FALSE))</formula>
    </cfRule>
  </conditionalFormatting>
  <conditionalFormatting sqref="W429">
    <cfRule type="expression" dxfId="4258" priority="185">
      <formula>AND($R$429,$S$429)</formula>
    </cfRule>
  </conditionalFormatting>
  <conditionalFormatting sqref="W429">
    <cfRule type="expression" dxfId="4257" priority="184">
      <formula>AND($W$429&lt;&gt;"Not Met",LEN(TRIM($W$429))&gt;0)</formula>
    </cfRule>
  </conditionalFormatting>
  <conditionalFormatting sqref="W429">
    <cfRule type="expression" dxfId="4256" priority="183">
      <formula>$S$429 = FALSE</formula>
    </cfRule>
  </conditionalFormatting>
  <conditionalFormatting sqref="W429">
    <cfRule type="expression" dxfId="4255" priority="182">
      <formula>OR($T$429 = TRUE, AND(LEN(TRIM($W$429))&gt;0, $S$429 = FALSE))</formula>
    </cfRule>
  </conditionalFormatting>
  <conditionalFormatting sqref="W592">
    <cfRule type="expression" dxfId="4254" priority="181">
      <formula>AND($R$592,$S$592)</formula>
    </cfRule>
  </conditionalFormatting>
  <conditionalFormatting sqref="W592">
    <cfRule type="expression" dxfId="4253" priority="180">
      <formula>AND(IF($R$592,$W$592,TRUE),LEN(TRIM($W$592))&gt;0)</formula>
    </cfRule>
  </conditionalFormatting>
  <conditionalFormatting sqref="W592">
    <cfRule type="expression" dxfId="4252" priority="179">
      <formula>$S$592 = FALSE</formula>
    </cfRule>
  </conditionalFormatting>
  <conditionalFormatting sqref="W592">
    <cfRule type="expression" dxfId="4251" priority="178">
      <formula>OR($T$592 = TRUE, AND($W$592 = TRUE, $S$592 = FALSE))</formula>
    </cfRule>
  </conditionalFormatting>
  <conditionalFormatting sqref="W595">
    <cfRule type="expression" dxfId="4250" priority="177">
      <formula>AND($R$595,$S$595)</formula>
    </cfRule>
  </conditionalFormatting>
  <conditionalFormatting sqref="W595">
    <cfRule type="expression" dxfId="4249" priority="176">
      <formula>AND(IF($R$595,$W$595,TRUE),LEN(TRIM($W$595))&gt;0)</formula>
    </cfRule>
  </conditionalFormatting>
  <conditionalFormatting sqref="W595">
    <cfRule type="expression" dxfId="4248" priority="175">
      <formula>$S$595 = FALSE</formula>
    </cfRule>
  </conditionalFormatting>
  <conditionalFormatting sqref="W595">
    <cfRule type="expression" dxfId="4247" priority="174">
      <formula>OR($T$595 = TRUE, AND($W$595 = TRUE, $S$595 = FALSE))</formula>
    </cfRule>
  </conditionalFormatting>
  <conditionalFormatting sqref="W606">
    <cfRule type="expression" dxfId="4246" priority="173">
      <formula>AND($R$606,$S$606)</formula>
    </cfRule>
  </conditionalFormatting>
  <conditionalFormatting sqref="W606">
    <cfRule type="expression" dxfId="4245" priority="172">
      <formula>AND(IF($R$606,$W$606,TRUE),LEN(TRIM($W$606))&gt;0)</formula>
    </cfRule>
  </conditionalFormatting>
  <conditionalFormatting sqref="W606">
    <cfRule type="expression" dxfId="4244" priority="171">
      <formula>$S$606 = FALSE</formula>
    </cfRule>
  </conditionalFormatting>
  <conditionalFormatting sqref="W606">
    <cfRule type="expression" dxfId="4243" priority="170">
      <formula>OR($T$606 = TRUE, AND($W$606 = TRUE, $S$606 = FALSE))</formula>
    </cfRule>
  </conditionalFormatting>
  <conditionalFormatting sqref="W608">
    <cfRule type="expression" dxfId="4242" priority="169">
      <formula>AND($R$608,$S$608)</formula>
    </cfRule>
  </conditionalFormatting>
  <conditionalFormatting sqref="W608">
    <cfRule type="expression" dxfId="4241" priority="168">
      <formula>AND(IF($R$608,$W$608,TRUE),LEN(TRIM($W$608))&gt;0)</formula>
    </cfRule>
  </conditionalFormatting>
  <conditionalFormatting sqref="W608">
    <cfRule type="expression" dxfId="4240" priority="167">
      <formula>$S$608 = FALSE</formula>
    </cfRule>
  </conditionalFormatting>
  <conditionalFormatting sqref="W608">
    <cfRule type="expression" dxfId="4239" priority="166">
      <formula>OR($T$608 = TRUE, AND($W$608 = TRUE, $S$608 = FALSE))</formula>
    </cfRule>
  </conditionalFormatting>
  <conditionalFormatting sqref="W632">
    <cfRule type="expression" dxfId="4238" priority="165">
      <formula>AND($R$632,$S$632)</formula>
    </cfRule>
  </conditionalFormatting>
  <conditionalFormatting sqref="W632">
    <cfRule type="expression" dxfId="4237" priority="164">
      <formula>AND(IF($R$632,$W$632,TRUE),LEN(TRIM($W$632))&gt;0)</formula>
    </cfRule>
  </conditionalFormatting>
  <conditionalFormatting sqref="W632">
    <cfRule type="expression" dxfId="4236" priority="163">
      <formula>$S$632 = FALSE</formula>
    </cfRule>
  </conditionalFormatting>
  <conditionalFormatting sqref="W632">
    <cfRule type="expression" dxfId="4235" priority="162">
      <formula>OR($T$632 = TRUE, AND($W$632 = TRUE, $S$632 = FALSE))</formula>
    </cfRule>
  </conditionalFormatting>
  <conditionalFormatting sqref="W634">
    <cfRule type="expression" dxfId="4234" priority="161">
      <formula>AND($R$634,$S$634)</formula>
    </cfRule>
  </conditionalFormatting>
  <conditionalFormatting sqref="W634">
    <cfRule type="expression" dxfId="4233" priority="160">
      <formula>AND(IF($R$634,$W$634,TRUE),LEN(TRIM($W$634))&gt;0)</formula>
    </cfRule>
  </conditionalFormatting>
  <conditionalFormatting sqref="W634">
    <cfRule type="expression" dxfId="4232" priority="159">
      <formula>$S$634 = FALSE</formula>
    </cfRule>
  </conditionalFormatting>
  <conditionalFormatting sqref="W634">
    <cfRule type="expression" dxfId="4231" priority="158">
      <formula>OR($T$634 = TRUE, AND($W$634 = TRUE, $S$634 = FALSE))</formula>
    </cfRule>
  </conditionalFormatting>
  <conditionalFormatting sqref="X634">
    <cfRule type="expression" dxfId="4230" priority="157">
      <formula>W634=TRUE</formula>
    </cfRule>
  </conditionalFormatting>
  <conditionalFormatting sqref="W713">
    <cfRule type="expression" dxfId="4229" priority="156">
      <formula>AND(R713,S713)</formula>
    </cfRule>
  </conditionalFormatting>
  <conditionalFormatting sqref="W713">
    <cfRule type="expression" dxfId="4228" priority="155">
      <formula>AND(S713,LEN(TRIM(W713))&gt;0)</formula>
    </cfRule>
  </conditionalFormatting>
  <conditionalFormatting sqref="W713">
    <cfRule type="expression" dxfId="4227" priority="154">
      <formula>S713 = FALSE</formula>
    </cfRule>
  </conditionalFormatting>
  <conditionalFormatting sqref="W713">
    <cfRule type="expression" dxfId="4226" priority="153">
      <formula>OR(T713 = TRUE, AND(W713 &gt; 0, S713 = FALSE))</formula>
    </cfRule>
  </conditionalFormatting>
  <conditionalFormatting sqref="W715">
    <cfRule type="expression" dxfId="4225" priority="152">
      <formula>AND(R715,S715)</formula>
    </cfRule>
  </conditionalFormatting>
  <conditionalFormatting sqref="W715">
    <cfRule type="expression" dxfId="4224" priority="151">
      <formula>AND(S715,LEN(TRIM(W715))&gt;0)</formula>
    </cfRule>
  </conditionalFormatting>
  <conditionalFormatting sqref="W715">
    <cfRule type="expression" dxfId="4223" priority="150">
      <formula>S715 = FALSE</formula>
    </cfRule>
  </conditionalFormatting>
  <conditionalFormatting sqref="W715">
    <cfRule type="expression" dxfId="4222" priority="149">
      <formula>OR(T715 = TRUE, AND(W715 &gt; 0, S715 = FALSE))</formula>
    </cfRule>
  </conditionalFormatting>
  <conditionalFormatting sqref="W711">
    <cfRule type="expression" dxfId="4221" priority="148">
      <formula>AND($R$711,$S$711)</formula>
    </cfRule>
  </conditionalFormatting>
  <conditionalFormatting sqref="W711">
    <cfRule type="expression" dxfId="4220" priority="147">
      <formula>AND(IF($R$711,$W$711,TRUE),LEN(TRIM($W$711))&gt;0)</formula>
    </cfRule>
  </conditionalFormatting>
  <conditionalFormatting sqref="W711">
    <cfRule type="expression" dxfId="4219" priority="146">
      <formula>$S$711 = FALSE</formula>
    </cfRule>
  </conditionalFormatting>
  <conditionalFormatting sqref="W711">
    <cfRule type="expression" dxfId="4218" priority="145">
      <formula>OR($T$711 = TRUE, AND($W$711 = TRUE, $S$711 = FALSE))</formula>
    </cfRule>
  </conditionalFormatting>
  <conditionalFormatting sqref="W746">
    <cfRule type="expression" dxfId="4217" priority="144">
      <formula>AND($R$746,$S$746)</formula>
    </cfRule>
  </conditionalFormatting>
  <conditionalFormatting sqref="W746">
    <cfRule type="expression" dxfId="4216" priority="143">
      <formula>AND(IF($R$746,$W$746,TRUE),LEN(TRIM($W$746))&gt;0)</formula>
    </cfRule>
  </conditionalFormatting>
  <conditionalFormatting sqref="W746">
    <cfRule type="expression" dxfId="4215" priority="142">
      <formula>$S$746 = FALSE</formula>
    </cfRule>
  </conditionalFormatting>
  <conditionalFormatting sqref="W746">
    <cfRule type="expression" dxfId="4214" priority="141">
      <formula>OR($T$746 = TRUE, AND($W$746 = TRUE, $S$746 = FALSE))</formula>
    </cfRule>
  </conditionalFormatting>
  <conditionalFormatting sqref="W748">
    <cfRule type="expression" dxfId="4213" priority="140">
      <formula>AND($R$748,$S$748)</formula>
    </cfRule>
  </conditionalFormatting>
  <conditionalFormatting sqref="W748">
    <cfRule type="expression" dxfId="4212" priority="139">
      <formula>AND(IF($R$748,$W$748,TRUE),LEN(TRIM($W$748))&gt;0)</formula>
    </cfRule>
  </conditionalFormatting>
  <conditionalFormatting sqref="W748">
    <cfRule type="expression" dxfId="4211" priority="138">
      <formula>$S$748 = FALSE</formula>
    </cfRule>
  </conditionalFormatting>
  <conditionalFormatting sqref="W748">
    <cfRule type="expression" dxfId="4210" priority="137">
      <formula>OR($T$748 = TRUE, AND($W$748 = TRUE, $S$748 = FALSE))</formula>
    </cfRule>
  </conditionalFormatting>
  <conditionalFormatting sqref="W757">
    <cfRule type="expression" dxfId="4209" priority="136">
      <formula>AND($R$757,$S$757)</formula>
    </cfRule>
  </conditionalFormatting>
  <conditionalFormatting sqref="W757">
    <cfRule type="expression" dxfId="4208" priority="135">
      <formula>AND(IF($R$757,$W$757,TRUE),LEN(TRIM($W$757))&gt;0)</formula>
    </cfRule>
  </conditionalFormatting>
  <conditionalFormatting sqref="W757">
    <cfRule type="expression" dxfId="4207" priority="134">
      <formula>$S$757 = FALSE</formula>
    </cfRule>
  </conditionalFormatting>
  <conditionalFormatting sqref="W757">
    <cfRule type="expression" dxfId="4206" priority="133">
      <formula>OR($T$757 = TRUE, AND($W$757 = TRUE, $S$757 = FALSE))</formula>
    </cfRule>
  </conditionalFormatting>
  <conditionalFormatting sqref="W761">
    <cfRule type="expression" dxfId="4205" priority="132">
      <formula>AND($R$761,$S$761)</formula>
    </cfRule>
  </conditionalFormatting>
  <conditionalFormatting sqref="W761">
    <cfRule type="expression" dxfId="4204" priority="131">
      <formula>AND(IF($R$761,$W$761,TRUE),LEN(TRIM($W$761))&gt;0)</formula>
    </cfRule>
  </conditionalFormatting>
  <conditionalFormatting sqref="W761">
    <cfRule type="expression" dxfId="4203" priority="130">
      <formula>$S$761 = FALSE</formula>
    </cfRule>
  </conditionalFormatting>
  <conditionalFormatting sqref="W761">
    <cfRule type="expression" dxfId="4202" priority="129">
      <formula>OR($T$761 = TRUE, AND($W$761 = TRUE, $S$761 = FALSE))</formula>
    </cfRule>
  </conditionalFormatting>
  <conditionalFormatting sqref="W766">
    <cfRule type="expression" dxfId="4201" priority="128">
      <formula>AND($R$766,$S$766)</formula>
    </cfRule>
  </conditionalFormatting>
  <conditionalFormatting sqref="W766">
    <cfRule type="expression" dxfId="4200" priority="127">
      <formula>AND(IF($R$766,$W$766,TRUE),LEN(TRIM($W$766))&gt;0)</formula>
    </cfRule>
  </conditionalFormatting>
  <conditionalFormatting sqref="W766">
    <cfRule type="expression" dxfId="4199" priority="126">
      <formula>$S$766 = FALSE</formula>
    </cfRule>
  </conditionalFormatting>
  <conditionalFormatting sqref="W766">
    <cfRule type="expression" dxfId="4198" priority="125">
      <formula>OR($T$766 = TRUE, AND($W$766 = TRUE, $S$766 = FALSE))</formula>
    </cfRule>
  </conditionalFormatting>
  <conditionalFormatting sqref="W767">
    <cfRule type="expression" dxfId="4197" priority="124">
      <formula>AND($R$767,$S$767)</formula>
    </cfRule>
  </conditionalFormatting>
  <conditionalFormatting sqref="W767">
    <cfRule type="expression" dxfId="4196" priority="123">
      <formula>AND(IF($R$767,$W$767,TRUE),LEN(TRIM($W$767))&gt;0)</formula>
    </cfRule>
  </conditionalFormatting>
  <conditionalFormatting sqref="W767">
    <cfRule type="expression" dxfId="4195" priority="122">
      <formula>$S$767 = FALSE</formula>
    </cfRule>
  </conditionalFormatting>
  <conditionalFormatting sqref="W767">
    <cfRule type="expression" dxfId="4194" priority="121">
      <formula>OR($T$767 = TRUE, AND($W$767 = TRUE, $S$767 = FALSE))</formula>
    </cfRule>
  </conditionalFormatting>
  <conditionalFormatting sqref="W736">
    <cfRule type="expression" dxfId="4193" priority="120">
      <formula>AND($R$736,$S$736)</formula>
    </cfRule>
  </conditionalFormatting>
  <conditionalFormatting sqref="W736">
    <cfRule type="expression" dxfId="4192" priority="119">
      <formula>AND(IF($R$736,$W$736,TRUE),LEN(TRIM($W$736))&gt;0)</formula>
    </cfRule>
  </conditionalFormatting>
  <conditionalFormatting sqref="W736">
    <cfRule type="expression" dxfId="4191" priority="118">
      <formula>$S$736 = FALSE</formula>
    </cfRule>
  </conditionalFormatting>
  <conditionalFormatting sqref="W736">
    <cfRule type="expression" dxfId="4190" priority="117">
      <formula>OR($T$736 = TRUE, AND($W$736 = TRUE, $S$736 = FALSE))</formula>
    </cfRule>
  </conditionalFormatting>
  <conditionalFormatting sqref="W752">
    <cfRule type="expression" dxfId="4189" priority="116">
      <formula>AND($R$752,$S$752)</formula>
    </cfRule>
  </conditionalFormatting>
  <conditionalFormatting sqref="W752">
    <cfRule type="expression" dxfId="4188" priority="115">
      <formula>AND($W$752&lt;&gt;"Not Met",LEN(TRIM($W$752))&gt;0)</formula>
    </cfRule>
  </conditionalFormatting>
  <conditionalFormatting sqref="W752">
    <cfRule type="expression" dxfId="4187" priority="114">
      <formula>$S$752 = FALSE</formula>
    </cfRule>
  </conditionalFormatting>
  <conditionalFormatting sqref="W752">
    <cfRule type="expression" dxfId="4186" priority="113">
      <formula>OR($T$752 = TRUE, AND(LEN(TRIM($W$752))&gt;0, $S$752 = FALSE))</formula>
    </cfRule>
  </conditionalFormatting>
  <conditionalFormatting sqref="X274">
    <cfRule type="expression" dxfId="4185" priority="112">
      <formula>W275=INDEX(INDIRECT(U275),1)</formula>
    </cfRule>
  </conditionalFormatting>
  <conditionalFormatting sqref="W625">
    <cfRule type="expression" dxfId="4184" priority="111">
      <formula>AND(R625,S625)</formula>
    </cfRule>
  </conditionalFormatting>
  <conditionalFormatting sqref="W625">
    <cfRule type="expression" dxfId="4183" priority="110">
      <formula>NOT(ISBLANK(W625))</formula>
    </cfRule>
  </conditionalFormatting>
  <conditionalFormatting sqref="W625">
    <cfRule type="expression" dxfId="4182" priority="109">
      <formula>S625 = FALSE</formula>
    </cfRule>
  </conditionalFormatting>
  <conditionalFormatting sqref="W625">
    <cfRule type="expression" dxfId="4181" priority="108">
      <formula>OR(T625 = TRUE, AND(W625 = TRUE, S625 = FALSE))</formula>
    </cfRule>
  </conditionalFormatting>
  <conditionalFormatting sqref="W383">
    <cfRule type="expression" dxfId="4180" priority="107">
      <formula>AND(R383,S383)</formula>
    </cfRule>
  </conditionalFormatting>
  <conditionalFormatting sqref="W383">
    <cfRule type="expression" dxfId="4179" priority="106">
      <formula>AND(S383,LEN(TRIM(W383))&gt;0)</formula>
    </cfRule>
  </conditionalFormatting>
  <conditionalFormatting sqref="W383">
    <cfRule type="expression" dxfId="4178" priority="105">
      <formula>S383 = FALSE</formula>
    </cfRule>
  </conditionalFormatting>
  <conditionalFormatting sqref="W383">
    <cfRule type="expression" dxfId="4177" priority="104">
      <formula>OR(T383 = TRUE, AND(W383 &gt; 0, S383 = FALSE))</formula>
    </cfRule>
  </conditionalFormatting>
  <conditionalFormatting sqref="W402">
    <cfRule type="expression" dxfId="4176" priority="100">
      <formula>OR(T402 = TRUE, AND(W402 &gt; 0, S402 = FALSE))</formula>
    </cfRule>
  </conditionalFormatting>
  <conditionalFormatting sqref="W402">
    <cfRule type="expression" dxfId="4175" priority="103">
      <formula>AND(R402,S402)</formula>
    </cfRule>
  </conditionalFormatting>
  <conditionalFormatting sqref="W402">
    <cfRule type="expression" dxfId="4174" priority="102">
      <formula>AND(S402,LEN(TRIM(W402))&gt;0)</formula>
    </cfRule>
  </conditionalFormatting>
  <conditionalFormatting sqref="W402">
    <cfRule type="expression" dxfId="4173" priority="101">
      <formula>S402 = FALSE</formula>
    </cfRule>
  </conditionalFormatting>
  <conditionalFormatting sqref="W381">
    <cfRule type="expression" dxfId="4172" priority="99">
      <formula>AND($R$381,$S$381)</formula>
    </cfRule>
  </conditionalFormatting>
  <conditionalFormatting sqref="W381">
    <cfRule type="expression" dxfId="4171" priority="98">
      <formula>AND($W$381&lt;&gt;"Not Met",LEN(TRIM($W$381))&gt;0)</formula>
    </cfRule>
  </conditionalFormatting>
  <conditionalFormatting sqref="W381">
    <cfRule type="expression" dxfId="4170" priority="97">
      <formula>$S$381 = FALSE</formula>
    </cfRule>
  </conditionalFormatting>
  <conditionalFormatting sqref="W381">
    <cfRule type="expression" dxfId="4169" priority="96">
      <formula>OR($T$381 = TRUE, AND(LEN(TRIM($W$381))&gt;0, $S$381 = FALSE))</formula>
    </cfRule>
  </conditionalFormatting>
  <conditionalFormatting sqref="W400">
    <cfRule type="expression" dxfId="4168" priority="95">
      <formula>AND($R$400,$S$400)</formula>
    </cfRule>
  </conditionalFormatting>
  <conditionalFormatting sqref="W400">
    <cfRule type="expression" dxfId="4167" priority="94">
      <formula>AND($W$400&lt;&gt;"Not Met",LEN(TRIM($W$400))&gt;0)</formula>
    </cfRule>
  </conditionalFormatting>
  <conditionalFormatting sqref="W400">
    <cfRule type="expression" dxfId="4166" priority="93">
      <formula>$S$400 = FALSE</formula>
    </cfRule>
  </conditionalFormatting>
  <conditionalFormatting sqref="W400">
    <cfRule type="expression" dxfId="4165" priority="92">
      <formula>OR($T$400 = TRUE, AND(LEN(TRIM($W$400))&gt;0, $S$400 = FALSE))</formula>
    </cfRule>
  </conditionalFormatting>
  <conditionalFormatting sqref="W422">
    <cfRule type="expression" dxfId="4164" priority="88">
      <formula>OR(T422 = TRUE, AND(W422 &gt; 0, S422 = FALSE))</formula>
    </cfRule>
  </conditionalFormatting>
  <conditionalFormatting sqref="W422">
    <cfRule type="expression" dxfId="4163" priority="91">
      <formula>AND(R422,S422)</formula>
    </cfRule>
  </conditionalFormatting>
  <conditionalFormatting sqref="W422">
    <cfRule type="expression" dxfId="4162" priority="90">
      <formula>AND(S422,LEN(TRIM(W422))&gt;0)</formula>
    </cfRule>
  </conditionalFormatting>
  <conditionalFormatting sqref="W422">
    <cfRule type="expression" dxfId="4161" priority="89">
      <formula>S422 = FALSE</formula>
    </cfRule>
  </conditionalFormatting>
  <conditionalFormatting sqref="W88">
    <cfRule type="expression" dxfId="4160" priority="87">
      <formula>AND($R$88,$S$88)</formula>
    </cfRule>
  </conditionalFormatting>
  <conditionalFormatting sqref="W88">
    <cfRule type="expression" dxfId="4159" priority="86">
      <formula>AND($W$88&lt;&gt;"Not Met",LEN(TRIM($W$88))&gt;0)</formula>
    </cfRule>
  </conditionalFormatting>
  <conditionalFormatting sqref="W88">
    <cfRule type="expression" dxfId="4158" priority="85">
      <formula>$S$88 = FALSE</formula>
    </cfRule>
  </conditionalFormatting>
  <conditionalFormatting sqref="W88">
    <cfRule type="expression" dxfId="4157" priority="84">
      <formula>OR($T$88 = TRUE, AND(LEN(TRIM($W$88))&gt;0, $S$88 = FALSE))</formula>
    </cfRule>
  </conditionalFormatting>
  <conditionalFormatting sqref="W89">
    <cfRule type="expression" dxfId="4156" priority="83">
      <formula>AND($R$89,$S$89)</formula>
    </cfRule>
  </conditionalFormatting>
  <conditionalFormatting sqref="W89">
    <cfRule type="expression" dxfId="4155" priority="82">
      <formula>AND($W$89&lt;&gt;"Not Met",LEN(TRIM($W$89))&gt;0)</formula>
    </cfRule>
  </conditionalFormatting>
  <conditionalFormatting sqref="W89">
    <cfRule type="expression" dxfId="4154" priority="81">
      <formula>$S$89 = FALSE</formula>
    </cfRule>
  </conditionalFormatting>
  <conditionalFormatting sqref="W89">
    <cfRule type="expression" dxfId="4153" priority="80">
      <formula>OR($T$89 = TRUE, AND(LEN(TRIM($W$89))&gt;0, $S$89 = FALSE))</formula>
    </cfRule>
  </conditionalFormatting>
  <conditionalFormatting sqref="W90">
    <cfRule type="expression" dxfId="4152" priority="79">
      <formula>AND($R$90,$S$90)</formula>
    </cfRule>
  </conditionalFormatting>
  <conditionalFormatting sqref="W90">
    <cfRule type="expression" dxfId="4151" priority="78">
      <formula>AND($W$90&lt;&gt;"Not Met",LEN(TRIM($W$90))&gt;0)</formula>
    </cfRule>
  </conditionalFormatting>
  <conditionalFormatting sqref="W90">
    <cfRule type="expression" dxfId="4150" priority="77">
      <formula>$S$90 = FALSE</formula>
    </cfRule>
  </conditionalFormatting>
  <conditionalFormatting sqref="W90">
    <cfRule type="expression" dxfId="4149" priority="76">
      <formula>OR($T$90 = TRUE, AND(LEN(TRIM($W$90))&gt;0, $S$90 = FALSE))</formula>
    </cfRule>
  </conditionalFormatting>
  <conditionalFormatting sqref="W91">
    <cfRule type="expression" dxfId="4148" priority="75">
      <formula>AND($R$91,$S$91)</formula>
    </cfRule>
  </conditionalFormatting>
  <conditionalFormatting sqref="W91">
    <cfRule type="expression" dxfId="4147" priority="74">
      <formula>AND($W$91&lt;&gt;"Not Met",LEN(TRIM($W$91))&gt;0)</formula>
    </cfRule>
  </conditionalFormatting>
  <conditionalFormatting sqref="W91">
    <cfRule type="expression" dxfId="4146" priority="73">
      <formula>$S$91 = FALSE</formula>
    </cfRule>
  </conditionalFormatting>
  <conditionalFormatting sqref="W91">
    <cfRule type="expression" dxfId="4145" priority="72">
      <formula>OR($T$91 = TRUE, AND(LEN(TRIM($W$91))&gt;0, $S$91 = FALSE))</formula>
    </cfRule>
  </conditionalFormatting>
  <conditionalFormatting sqref="W92">
    <cfRule type="expression" dxfId="4144" priority="71">
      <formula>AND($R$92,$S$92)</formula>
    </cfRule>
  </conditionalFormatting>
  <conditionalFormatting sqref="W92">
    <cfRule type="expression" dxfId="4143" priority="70">
      <formula>AND($W$92&lt;&gt;"Not Met",LEN(TRIM($W$92))&gt;0)</formula>
    </cfRule>
  </conditionalFormatting>
  <conditionalFormatting sqref="W92">
    <cfRule type="expression" dxfId="4142" priority="69">
      <formula>$S$92 = FALSE</formula>
    </cfRule>
  </conditionalFormatting>
  <conditionalFormatting sqref="W92">
    <cfRule type="expression" dxfId="4141" priority="68">
      <formula>OR($T$92 = TRUE, AND(LEN(TRIM($W$92))&gt;0, $S$92 = FALSE))</formula>
    </cfRule>
  </conditionalFormatting>
  <conditionalFormatting sqref="W93">
    <cfRule type="expression" dxfId="4140" priority="67">
      <formula>AND($R$93,$S$93)</formula>
    </cfRule>
  </conditionalFormatting>
  <conditionalFormatting sqref="W93">
    <cfRule type="expression" dxfId="4139" priority="66">
      <formula>AND($W$93&lt;&gt;"Not Met",LEN(TRIM($W$93))&gt;0)</formula>
    </cfRule>
  </conditionalFormatting>
  <conditionalFormatting sqref="W93">
    <cfRule type="expression" dxfId="4138" priority="65">
      <formula>$S$93 = FALSE</formula>
    </cfRule>
  </conditionalFormatting>
  <conditionalFormatting sqref="W93">
    <cfRule type="expression" dxfId="4137" priority="64">
      <formula>OR($T$93 = TRUE, AND(LEN(TRIM($W$93))&gt;0, $S$93 = FALSE))</formula>
    </cfRule>
  </conditionalFormatting>
  <conditionalFormatting sqref="W94">
    <cfRule type="expression" dxfId="4136" priority="63">
      <formula>AND($R$94,$S$94)</formula>
    </cfRule>
  </conditionalFormatting>
  <conditionalFormatting sqref="W94">
    <cfRule type="expression" dxfId="4135" priority="62">
      <formula>AND($W$94&lt;&gt;"Not Met",LEN(TRIM($W$94))&gt;0)</formula>
    </cfRule>
  </conditionalFormatting>
  <conditionalFormatting sqref="W94">
    <cfRule type="expression" dxfId="4134" priority="61">
      <formula>$S$94 = FALSE</formula>
    </cfRule>
  </conditionalFormatting>
  <conditionalFormatting sqref="W94">
    <cfRule type="expression" dxfId="4133" priority="60">
      <formula>OR($T$94 = TRUE, AND(LEN(TRIM($W$94))&gt;0, $S$94 = FALSE))</formula>
    </cfRule>
  </conditionalFormatting>
  <conditionalFormatting sqref="W95">
    <cfRule type="expression" dxfId="4132" priority="59">
      <formula>AND($R$95,$S$95)</formula>
    </cfRule>
  </conditionalFormatting>
  <conditionalFormatting sqref="W95">
    <cfRule type="expression" dxfId="4131" priority="58">
      <formula>AND($W$95&lt;&gt;"Not Met",LEN(TRIM($W$95))&gt;0)</formula>
    </cfRule>
  </conditionalFormatting>
  <conditionalFormatting sqref="W95">
    <cfRule type="expression" dxfId="4130" priority="57">
      <formula>$S$95 = FALSE</formula>
    </cfRule>
  </conditionalFormatting>
  <conditionalFormatting sqref="W95">
    <cfRule type="expression" dxfId="4129" priority="56">
      <formula>OR($T$95 = TRUE, AND(LEN(TRIM($W$95))&gt;0, $S$95 = FALSE))</formula>
    </cfRule>
  </conditionalFormatting>
  <conditionalFormatting sqref="W96">
    <cfRule type="expression" dxfId="4128" priority="55">
      <formula>AND($R$96,$S$96)</formula>
    </cfRule>
  </conditionalFormatting>
  <conditionalFormatting sqref="W96">
    <cfRule type="expression" dxfId="4127" priority="54">
      <formula>AND($W$96&lt;&gt;"Not Met",LEN(TRIM($W$96))&gt;0)</formula>
    </cfRule>
  </conditionalFormatting>
  <conditionalFormatting sqref="W96">
    <cfRule type="expression" dxfId="4126" priority="53">
      <formula>$S$96 = FALSE</formula>
    </cfRule>
  </conditionalFormatting>
  <conditionalFormatting sqref="W96">
    <cfRule type="expression" dxfId="4125" priority="52">
      <formula>OR($T$96 = TRUE, AND(LEN(TRIM($W$96))&gt;0, $S$96 = FALSE))</formula>
    </cfRule>
  </conditionalFormatting>
  <conditionalFormatting sqref="W97">
    <cfRule type="expression" dxfId="4124" priority="51">
      <formula>AND($R$97,$S$97)</formula>
    </cfRule>
  </conditionalFormatting>
  <conditionalFormatting sqref="W97">
    <cfRule type="expression" dxfId="4123" priority="50">
      <formula>AND($W$97&lt;&gt;"Not Met",LEN(TRIM($W$97))&gt;0)</formula>
    </cfRule>
  </conditionalFormatting>
  <conditionalFormatting sqref="W97">
    <cfRule type="expression" dxfId="4122" priority="49">
      <formula>$S$97 = FALSE</formula>
    </cfRule>
  </conditionalFormatting>
  <conditionalFormatting sqref="W97">
    <cfRule type="expression" dxfId="4121" priority="48">
      <formula>OR($T$97 = TRUE, AND(LEN(TRIM($W$97))&gt;0, $S$97 = FALSE))</formula>
    </cfRule>
  </conditionalFormatting>
  <conditionalFormatting sqref="W98">
    <cfRule type="expression" dxfId="4120" priority="47">
      <formula>AND($R$98,$S$98)</formula>
    </cfRule>
  </conditionalFormatting>
  <conditionalFormatting sqref="W98">
    <cfRule type="expression" dxfId="4119" priority="46">
      <formula>AND($W$98&lt;&gt;"Not Met",LEN(TRIM($W$98))&gt;0)</formula>
    </cfRule>
  </conditionalFormatting>
  <conditionalFormatting sqref="W98">
    <cfRule type="expression" dxfId="4118" priority="45">
      <formula>$S$98 = FALSE</formula>
    </cfRule>
  </conditionalFormatting>
  <conditionalFormatting sqref="W98">
    <cfRule type="expression" dxfId="4117" priority="44">
      <formula>OR($T$98 = TRUE, AND(LEN(TRIM($W$98))&gt;0, $S$98 = FALSE))</formula>
    </cfRule>
  </conditionalFormatting>
  <conditionalFormatting sqref="W99">
    <cfRule type="expression" dxfId="4116" priority="43">
      <formula>AND($R$99,$S$99)</formula>
    </cfRule>
  </conditionalFormatting>
  <conditionalFormatting sqref="W99">
    <cfRule type="expression" dxfId="4115" priority="42">
      <formula>AND($W$99&lt;&gt;"Not Met",LEN(TRIM($W$99))&gt;0)</formula>
    </cfRule>
  </conditionalFormatting>
  <conditionalFormatting sqref="W99">
    <cfRule type="expression" dxfId="4114" priority="41">
      <formula>$S$99 = FALSE</formula>
    </cfRule>
  </conditionalFormatting>
  <conditionalFormatting sqref="W99">
    <cfRule type="expression" dxfId="4113" priority="40">
      <formula>OR($T$99 = TRUE, AND(LEN(TRIM($W$99))&gt;0, $S$99 = FALSE))</formula>
    </cfRule>
  </conditionalFormatting>
  <conditionalFormatting sqref="W100">
    <cfRule type="expression" dxfId="4112" priority="39">
      <formula>AND($R$100,$S$100)</formula>
    </cfRule>
  </conditionalFormatting>
  <conditionalFormatting sqref="W100">
    <cfRule type="expression" dxfId="4111" priority="38">
      <formula>AND($W$100&lt;&gt;"Not Met",LEN(TRIM($W$100))&gt;0)</formula>
    </cfRule>
  </conditionalFormatting>
  <conditionalFormatting sqref="W100">
    <cfRule type="expression" dxfId="4110" priority="37">
      <formula>$S$100 = FALSE</formula>
    </cfRule>
  </conditionalFormatting>
  <conditionalFormatting sqref="W100">
    <cfRule type="expression" dxfId="4109" priority="36">
      <formula>OR($T$100 = TRUE, AND(LEN(TRIM($W$100))&gt;0, $S$100 = FALSE))</formula>
    </cfRule>
  </conditionalFormatting>
  <conditionalFormatting sqref="W316">
    <cfRule type="expression" dxfId="4108" priority="35">
      <formula>AND(R316,S316)</formula>
    </cfRule>
  </conditionalFormatting>
  <conditionalFormatting sqref="W316">
    <cfRule type="expression" dxfId="4107" priority="34">
      <formula>NOT(ISBLANK(W316))</formula>
    </cfRule>
  </conditionalFormatting>
  <conditionalFormatting sqref="W316">
    <cfRule type="expression" dxfId="4106" priority="33">
      <formula>S316 = FALSE</formula>
    </cfRule>
  </conditionalFormatting>
  <conditionalFormatting sqref="W316">
    <cfRule type="expression" dxfId="4105" priority="32">
      <formula>OR(T316 = TRUE, AND(W316 = TRUE, S316 = FALSE))</formula>
    </cfRule>
  </conditionalFormatting>
  <conditionalFormatting sqref="W236">
    <cfRule type="expression" dxfId="4104" priority="31">
      <formula>AND($R$236,$S$236)</formula>
    </cfRule>
  </conditionalFormatting>
  <conditionalFormatting sqref="W236">
    <cfRule type="expression" dxfId="4103" priority="30">
      <formula>AND($W$236&lt;&gt;"Not Met",LEN(TRIM($W$236))&gt;0)</formula>
    </cfRule>
  </conditionalFormatting>
  <conditionalFormatting sqref="W236">
    <cfRule type="expression" dxfId="4102" priority="29">
      <formula>$S$236 = FALSE</formula>
    </cfRule>
  </conditionalFormatting>
  <conditionalFormatting sqref="W236">
    <cfRule type="expression" dxfId="4101" priority="28">
      <formula>OR($T$236 = TRUE, AND(LEN(TRIM($W$236))&gt;0, $S$236 = FALSE))</formula>
    </cfRule>
  </conditionalFormatting>
  <conditionalFormatting sqref="W549">
    <cfRule type="expression" dxfId="4100" priority="27">
      <formula>AND(R549,S549)</formula>
    </cfRule>
  </conditionalFormatting>
  <conditionalFormatting sqref="W549">
    <cfRule type="expression" dxfId="4099" priority="26">
      <formula>AND(IF(S549,W549,TRUE),LEN(TRIM(W549))&gt;0)</formula>
    </cfRule>
  </conditionalFormatting>
  <conditionalFormatting sqref="W549">
    <cfRule type="expression" dxfId="4098" priority="25">
      <formula>S549 = FALSE</formula>
    </cfRule>
  </conditionalFormatting>
  <conditionalFormatting sqref="W549">
    <cfRule type="expression" dxfId="4097" priority="24">
      <formula>OR(T549 = TRUE, AND(W549 = TRUE, S549 = FALSE))</formula>
    </cfRule>
  </conditionalFormatting>
  <conditionalFormatting sqref="W14">
    <cfRule type="expression" dxfId="4096" priority="23">
      <formula>AND($R$14,$S$14)</formula>
    </cfRule>
  </conditionalFormatting>
  <conditionalFormatting sqref="W14">
    <cfRule type="expression" dxfId="4095" priority="22">
      <formula>AND($W$14&lt;&gt;"Not Met",LEN(TRIM($W$14))&gt;0)</formula>
    </cfRule>
  </conditionalFormatting>
  <conditionalFormatting sqref="W14">
    <cfRule type="expression" dxfId="4094" priority="21">
      <formula>$S$14 = FALSE</formula>
    </cfRule>
  </conditionalFormatting>
  <conditionalFormatting sqref="W14">
    <cfRule type="expression" dxfId="4093" priority="20">
      <formula>OR($T$14 = TRUE, AND(LEN(TRIM($W$14))&gt;0, $S$14 = FALSE))</formula>
    </cfRule>
  </conditionalFormatting>
  <conditionalFormatting sqref="X14:X16">
    <cfRule type="expression" dxfId="4092" priority="19">
      <formula>R14</formula>
    </cfRule>
  </conditionalFormatting>
  <conditionalFormatting sqref="W30">
    <cfRule type="expression" dxfId="4091" priority="18">
      <formula>AND($R$30,$S$30)</formula>
    </cfRule>
  </conditionalFormatting>
  <conditionalFormatting sqref="W30">
    <cfRule type="expression" dxfId="4090" priority="17">
      <formula>AND($W$30&lt;&gt;"Not Met",LEN(TRIM($W$30))&gt;0)</formula>
    </cfRule>
  </conditionalFormatting>
  <conditionalFormatting sqref="W30">
    <cfRule type="expression" dxfId="4089" priority="16">
      <formula>$S$30 = FALSE</formula>
    </cfRule>
  </conditionalFormatting>
  <conditionalFormatting sqref="W30">
    <cfRule type="expression" dxfId="4088" priority="15">
      <formula>OR($T$30 = TRUE, AND(LEN(TRIM($W$30))&gt;0, $S$30 = FALSE))</formula>
    </cfRule>
  </conditionalFormatting>
  <conditionalFormatting sqref="W216">
    <cfRule type="expression" dxfId="4087" priority="12">
      <formula>AND(R216,S216)</formula>
    </cfRule>
  </conditionalFormatting>
  <conditionalFormatting sqref="W216">
    <cfRule type="expression" dxfId="4086" priority="11">
      <formula>NOT(ISBLANK(W216))</formula>
    </cfRule>
  </conditionalFormatting>
  <conditionalFormatting sqref="W216">
    <cfRule type="expression" dxfId="4085" priority="10">
      <formula>S216 = FALSE</formula>
    </cfRule>
  </conditionalFormatting>
  <conditionalFormatting sqref="W216">
    <cfRule type="expression" dxfId="4084" priority="9">
      <formula>OR(T216 = TRUE, AND(W216 = TRUE, S216 = FALSE))</formula>
    </cfRule>
  </conditionalFormatting>
  <conditionalFormatting sqref="W218">
    <cfRule type="expression" dxfId="4083" priority="8">
      <formula>AND(R218,S218)</formula>
    </cfRule>
  </conditionalFormatting>
  <conditionalFormatting sqref="W218">
    <cfRule type="expression" dxfId="4082" priority="7">
      <formula>NOT(ISBLANK(W218))</formula>
    </cfRule>
  </conditionalFormatting>
  <conditionalFormatting sqref="W218">
    <cfRule type="expression" dxfId="4081" priority="6">
      <formula>S218 = FALSE</formula>
    </cfRule>
  </conditionalFormatting>
  <conditionalFormatting sqref="W218">
    <cfRule type="expression" dxfId="4080" priority="5">
      <formula>OR(T218 = TRUE, AND(W218 = TRUE, S218 = FALSE))</formula>
    </cfRule>
  </conditionalFormatting>
  <conditionalFormatting sqref="W214">
    <cfRule type="expression" dxfId="4079" priority="4">
      <formula>AND($R$214,$S$214)</formula>
    </cfRule>
  </conditionalFormatting>
  <conditionalFormatting sqref="W214">
    <cfRule type="expression" dxfId="4078" priority="3">
      <formula>AND($W$214&lt;&gt;"Not Met",LEN(TRIM($W$214))&gt;0)</formula>
    </cfRule>
  </conditionalFormatting>
  <conditionalFormatting sqref="W214">
    <cfRule type="expression" dxfId="4077" priority="2">
      <formula>$S$214 = FALSE</formula>
    </cfRule>
  </conditionalFormatting>
  <conditionalFormatting sqref="W214">
    <cfRule type="expression" dxfId="4076" priority="1">
      <formula>OR($T$214 = TRUE, AND(LEN(TRIM($W$214))&gt;0, $S$214 = FALSE))</formula>
    </cfRule>
  </conditionalFormatting>
  <dataValidations xWindow="1349" yWindow="897" count="58">
    <dataValidation type="list" allowBlank="1" showInputMessage="1" showErrorMessage="1" error="Please use the dropdown." sqref="W12" xr:uid="{00000000-0002-0000-0500-000000000000}">
      <formula1>INDIRECT($U$12)</formula1>
    </dataValidation>
    <dataValidation type="list" allowBlank="1" showInputMessage="1" showErrorMessage="1" error="Please use the dropdown." sqref="W28" xr:uid="{00000000-0002-0000-0500-000001000000}">
      <formula1>INDIRECT($U$28)</formula1>
    </dataValidation>
    <dataValidation type="list" allowBlank="1" showDropDown="1" showInputMessage="1" showErrorMessage="1" error="Use Checkbox" prompt="Use Checkbox" sqref="W63 W68 W746 W85 W150 W179 W80:W81 W170 W77 W757 W211 W196 W124 W41:W42 W121 W220 W229 W674 W671 W666:W669 W708 W706 W704 W694:W701 W741 W729:W730 W733 W725 W597 W506 W586:W587 W581 W578 W561 W354 W608 W460 W659 W657 W655 W643 W517 W515 W513 W511 W172:W173 W501 W497:W499 W495 W487 W455:W457 W452 W450 W448 W427 W425 W423 W362 W359:W360 W356 W626 W348 W748 W284 W331 W328 W341 W645 W59 W54:W57 W50:W52 W45 W504 W595 W592 W606 W634 W632 W711 W736 W766:W767 W761" xr:uid="{00000000-0002-0000-0500-000002000000}">
      <formula1>TorF</formula1>
    </dataValidation>
    <dataValidation type="list" allowBlank="1" showInputMessage="1" showErrorMessage="1" error="Please use the dropdown." sqref="W71" xr:uid="{00000000-0002-0000-0500-000003000000}">
      <formula1>INDIRECT($U$71)</formula1>
    </dataValidation>
    <dataValidation type="decimal" allowBlank="1" showDropDown="1" showInputMessage="1" showErrorMessage="1" error="Enter a percentage" prompt="Enter a percentage" sqref="W185 W222" xr:uid="{00000000-0002-0000-0500-000004000000}">
      <formula1>0</formula1>
      <formula2>1</formula2>
    </dataValidation>
    <dataValidation type="list" allowBlank="1" showInputMessage="1" showErrorMessage="1" error="Please use the dropdown." sqref="W160" xr:uid="{00000000-0002-0000-0500-000005000000}">
      <formula1>INDIRECT($U$160)</formula1>
    </dataValidation>
    <dataValidation type="decimal" allowBlank="1" showDropDown="1" showInputMessage="1" showErrorMessage="1" error="Enter a nuber of inches" prompt="Enter a number of inches" sqref="W228" xr:uid="{00000000-0002-0000-0500-000006000000}">
      <formula1>0</formula1>
      <formula2>36</formula2>
    </dataValidation>
    <dataValidation type="list" allowBlank="1" showInputMessage="1" showErrorMessage="1" error="Please use the dropdown." sqref="W679" xr:uid="{00000000-0002-0000-0500-000007000000}">
      <formula1>INDIRECT($U$679)</formula1>
    </dataValidation>
    <dataValidation type="list" allowBlank="1" showInputMessage="1" showErrorMessage="1" error="Please use the dropdown." sqref="W557" xr:uid="{00000000-0002-0000-0500-000009000000}">
      <formula1>INDIRECT($U$557)</formula1>
    </dataValidation>
    <dataValidation type="list" allowBlank="1" showInputMessage="1" showErrorMessage="1" error="Please use the dropdown." sqref="W564" xr:uid="{00000000-0002-0000-0500-00000A000000}">
      <formula1>INDIRECT($U$564)</formula1>
    </dataValidation>
    <dataValidation type="list" allowBlank="1" showInputMessage="1" showErrorMessage="1" error="Please use the dropdown." sqref="W568" xr:uid="{00000000-0002-0000-0500-00000B000000}">
      <formula1>INDIRECT($U$568)</formula1>
    </dataValidation>
    <dataValidation type="list" allowBlank="1" showInputMessage="1" showErrorMessage="1" error="Please use the dropdown." sqref="W573" xr:uid="{00000000-0002-0000-0500-00000C000000}">
      <formula1>INDIRECT($U$573)</formula1>
    </dataValidation>
    <dataValidation type="whole" allowBlank="1" showDropDown="1" showInputMessage="1" showErrorMessage="1" error="Enter a whole number" prompt="Enter number of recessed luminaires penetrating the thermal envelope" sqref="W584" xr:uid="{00000000-0002-0000-0500-00000D000000}">
      <formula1>0</formula1>
      <formula2>100</formula2>
    </dataValidation>
    <dataValidation type="list" allowBlank="1" showInputMessage="1" showErrorMessage="1" error="Please use the dropdown." sqref="W637" xr:uid="{00000000-0002-0000-0500-00000E000000}">
      <formula1>INDIRECT($U$637)</formula1>
    </dataValidation>
    <dataValidation type="decimal" allowBlank="1" showDropDown="1" showInputMessage="1" showErrorMessage="1" error="Enter a number" prompt="Enter SEF" sqref="W431" xr:uid="{00000000-0002-0000-0500-00000F000000}">
      <formula1>0</formula1>
      <formula2>5</formula2>
    </dataValidation>
    <dataValidation type="list" allowBlank="1" showInputMessage="1" showErrorMessage="1" error="Please use the dropdown." sqref="W375" xr:uid="{00000000-0002-0000-0500-000010000000}">
      <formula1>INDIRECT($U$375)</formula1>
    </dataValidation>
    <dataValidation type="decimal" allowBlank="1" showDropDown="1" showInputMessage="1" showErrorMessage="1" error="Enter a number" prompt="Enter Energy Factor or Thermal Efficiency" sqref="W402 W383 W422" xr:uid="{00000000-0002-0000-0500-000011000000}">
      <formula1>0</formula1>
      <formula2>3</formula2>
    </dataValidation>
    <dataValidation type="list" allowBlank="1" showInputMessage="1" showErrorMessage="1" error="Please use the dropdown." sqref="W364" xr:uid="{00000000-0002-0000-0500-000012000000}">
      <formula1>INDIRECT($U$364)</formula1>
    </dataValidation>
    <dataValidation type="decimal" allowBlank="1" showDropDown="1" showInputMessage="1" showErrorMessage="1" prompt="Enter the ACH50" sqref="W105 W623" xr:uid="{00000000-0002-0000-0500-000013000000}">
      <formula1>0</formula1>
      <formula2>50</formula2>
    </dataValidation>
    <dataValidation type="list" allowBlank="1" showInputMessage="1" showErrorMessage="1" error="Please use the dropdown." sqref="W271" xr:uid="{00000000-0002-0000-0500-000014000000}">
      <formula1>INDIRECT($U$271)</formula1>
    </dataValidation>
    <dataValidation type="list" allowBlank="1" showInputMessage="1" showErrorMessage="1" error="Please use the dropdown." sqref="W244" xr:uid="{00000000-0002-0000-0500-000015000000}">
      <formula1>INDIRECT($U$244)</formula1>
    </dataValidation>
    <dataValidation type="list" allowBlank="1" showInputMessage="1" showErrorMessage="1" error="Please use the dropdown." sqref="W252" xr:uid="{00000000-0002-0000-0500-000016000000}">
      <formula1>INDIRECT($U$252)</formula1>
    </dataValidation>
    <dataValidation type="list" allowBlank="1" showInputMessage="1" showErrorMessage="1" error="Please use the dropdown." sqref="W260" xr:uid="{00000000-0002-0000-0500-000017000000}">
      <formula1>INDIRECT($U$260)</formula1>
    </dataValidation>
    <dataValidation type="decimal" allowBlank="1" showDropDown="1" showInputMessage="1" showErrorMessage="1" prompt="Enter the AFUE" sqref="W291 W297 W300 W305" xr:uid="{00000000-0002-0000-0500-000018000000}">
      <formula1>0</formula1>
      <formula2>1</formula2>
    </dataValidation>
    <dataValidation type="decimal" allowBlank="1" showDropDown="1" showInputMessage="1" showErrorMessage="1" prompt="Enter the HSPF" sqref="W311 W316" xr:uid="{00000000-0002-0000-0500-000019000000}">
      <formula1>0</formula1>
      <formula2>100</formula2>
    </dataValidation>
    <dataValidation type="decimal" allowBlank="1" showDropDown="1" showInputMessage="1" showErrorMessage="1" prompt="Enter the COP" sqref="W318 W330" xr:uid="{00000000-0002-0000-0500-00001A000000}">
      <formula1>0</formula1>
      <formula2>100</formula2>
    </dataValidation>
    <dataValidation type="decimal" allowBlank="1" showDropDown="1" showInputMessage="1" showErrorMessage="1" prompt="Enter the SEER" sqref="W323" xr:uid="{00000000-0002-0000-0500-00001B000000}">
      <formula1>0</formula1>
      <formula2>100</formula2>
    </dataValidation>
    <dataValidation type="decimal" allowBlank="1" showDropDown="1" showInputMessage="1" showErrorMessage="1" prompt="Enter the EER" sqref="W336" xr:uid="{00000000-0002-0000-0500-00001C000000}">
      <formula1>0</formula1>
      <formula2>100</formula2>
    </dataValidation>
    <dataValidation type="whole" allowBlank="1" showDropDown="1" showInputMessage="1" showErrorMessage="1" prompt="Enter number of fans" sqref="W343" xr:uid="{00000000-0002-0000-0500-00001D000000}">
      <formula1>0</formula1>
      <formula2>100</formula2>
    </dataValidation>
    <dataValidation type="list" allowBlank="1" showInputMessage="1" showErrorMessage="1" error="Please use the dropdown." sqref="W278" xr:uid="{00000000-0002-0000-0500-00001E000000}">
      <formula1>INDIRECT($U$278)</formula1>
    </dataValidation>
    <dataValidation type="decimal" allowBlank="1" showDropDown="1" showInputMessage="1" showErrorMessage="1" prompt="Enter the ELR50" sqref="W108 W625" xr:uid="{00000000-0002-0000-0500-00001F000000}">
      <formula1>0</formula1>
      <formula2>1</formula2>
    </dataValidation>
    <dataValidation type="list" allowBlank="1" showInputMessage="1" showErrorMessage="1" error="Please use the dropdown." sqref="W44" xr:uid="{47FCD137-AF95-45CB-AD78-8C1C698968DE}">
      <formula1>INDIRECT($U$44)</formula1>
    </dataValidation>
    <dataValidation type="list" allowBlank="1" showInputMessage="1" showErrorMessage="1" error="Please use the dropdown." sqref="W47" xr:uid="{71CCEADB-0547-460D-A3BE-ECCC25574E94}">
      <formula1>INDIRECT($U$47)</formula1>
    </dataValidation>
    <dataValidation type="list" allowBlank="1" showInputMessage="1" showErrorMessage="1" error="Please use the dropdown." sqref="W429" xr:uid="{82536E07-7442-4E8F-91C7-777A9F2FB192}">
      <formula1>INDIRECT($U$429)</formula1>
    </dataValidation>
    <dataValidation type="whole" allowBlank="1" showDropDown="1" showInputMessage="1" showErrorMessage="1" error="Enter a whole number" prompt="Enter number of kWh" sqref="W715" xr:uid="{DD325E02-2B71-41A1-8AD0-F353E1B6032F}">
      <formula1>0</formula1>
      <formula2>50000</formula2>
    </dataValidation>
    <dataValidation type="whole" allowBlank="1" showDropDown="1" showInputMessage="1" showErrorMessage="1" error="Enter a whole number" prompt="Enter number of kW" sqref="W713" xr:uid="{61944BB1-E078-4E44-B368-2AD4E176EF8A}">
      <formula1>0</formula1>
      <formula2>1000</formula2>
    </dataValidation>
    <dataValidation type="list" allowBlank="1" showInputMessage="1" showErrorMessage="1" error="Please use the dropdown." sqref="W752" xr:uid="{B9737FE7-AE7A-4956-9E9C-805CE809A1F4}">
      <formula1>INDIRECT($U$752)</formula1>
    </dataValidation>
    <dataValidation type="list" allowBlank="1" showInputMessage="1" showErrorMessage="1" error="Please use the dropdown." sqref="W381" xr:uid="{50047999-1D39-45BA-9882-F23A48BFC164}">
      <formula1>INDIRECT($U$381)</formula1>
    </dataValidation>
    <dataValidation type="list" allowBlank="1" showInputMessage="1" showErrorMessage="1" error="Please use the dropdown." sqref="W400" xr:uid="{C85F059B-B108-4B5A-ADC4-C51723251E46}">
      <formula1>INDIRECT($U$400)</formula1>
    </dataValidation>
    <dataValidation type="list" allowBlank="1" showInputMessage="1" showErrorMessage="1" error="Please use the dropdown." sqref="W88" xr:uid="{AFFBEDD7-2D87-48D2-B73B-5D81D56960DD}">
      <formula1>INDIRECT($U$88)</formula1>
    </dataValidation>
    <dataValidation type="list" allowBlank="1" showInputMessage="1" showErrorMessage="1" error="Please use the dropdown." sqref="W89" xr:uid="{B76473C3-9758-4D90-B02C-65E85341D8E7}">
      <formula1>INDIRECT($U$89)</formula1>
    </dataValidation>
    <dataValidation type="list" allowBlank="1" showInputMessage="1" showErrorMessage="1" error="Please use the dropdown." sqref="W90" xr:uid="{1D218E3D-3384-4BA3-9385-7F3932007837}">
      <formula1>INDIRECT($U$90)</formula1>
    </dataValidation>
    <dataValidation type="list" allowBlank="1" showInputMessage="1" showErrorMessage="1" error="Please use the dropdown." sqref="W91" xr:uid="{660616C9-33D3-4D44-82C7-C32FC96D42EF}">
      <formula1>INDIRECT($U$91)</formula1>
    </dataValidation>
    <dataValidation type="list" allowBlank="1" showInputMessage="1" showErrorMessage="1" error="Please use the dropdown." sqref="W92" xr:uid="{01EAFD4E-D4B4-49C1-9340-4E1E0A680A3E}">
      <formula1>INDIRECT($U$92)</formula1>
    </dataValidation>
    <dataValidation type="list" allowBlank="1" showInputMessage="1" showErrorMessage="1" error="Please use the dropdown." sqref="W93" xr:uid="{2A1419A3-1748-48F3-A534-32FED07620DD}">
      <formula1>INDIRECT($U$93)</formula1>
    </dataValidation>
    <dataValidation type="list" allowBlank="1" showInputMessage="1" showErrorMessage="1" error="Please use the dropdown." sqref="W94" xr:uid="{1F7570A5-FE8F-4703-8BDC-BFA38BB717B1}">
      <formula1>INDIRECT($U$94)</formula1>
    </dataValidation>
    <dataValidation type="list" allowBlank="1" showInputMessage="1" showErrorMessage="1" error="Please use the dropdown." sqref="W95" xr:uid="{A072FFB1-3E12-4E34-B070-3FD412F36DE3}">
      <formula1>INDIRECT($U$95)</formula1>
    </dataValidation>
    <dataValidation type="list" allowBlank="1" showInputMessage="1" showErrorMessage="1" error="Please use the dropdown." sqref="W96" xr:uid="{837ED83F-973C-443A-B691-ADE9DF2431BF}">
      <formula1>INDIRECT($U$96)</formula1>
    </dataValidation>
    <dataValidation type="list" allowBlank="1" showInputMessage="1" showErrorMessage="1" error="Please use the dropdown." sqref="W97" xr:uid="{3D19ED93-15F2-480F-94A9-C2EF62827C0D}">
      <formula1>INDIRECT($U$97)</formula1>
    </dataValidation>
    <dataValidation type="list" allowBlank="1" showInputMessage="1" showErrorMessage="1" error="Please use the dropdown." sqref="W98" xr:uid="{D4C988D1-B04D-43CB-96EA-D0338AEBCD5C}">
      <formula1>INDIRECT($U$98)</formula1>
    </dataValidation>
    <dataValidation type="list" allowBlank="1" showInputMessage="1" showErrorMessage="1" error="Please use the dropdown." sqref="W99" xr:uid="{465CA107-C774-4408-A44C-2B7F74F88909}">
      <formula1>INDIRECT($U$99)</formula1>
    </dataValidation>
    <dataValidation type="list" allowBlank="1" showInputMessage="1" showErrorMessage="1" error="Please use the dropdown." sqref="W100" xr:uid="{2B7EA718-CD9A-46D3-8D18-1E9799F4E3DA}">
      <formula1>INDIRECT($U$100)</formula1>
    </dataValidation>
    <dataValidation type="list" allowBlank="1" showInputMessage="1" showErrorMessage="1" error="Please use the dropdown." sqref="W236" xr:uid="{1170ED02-19AE-48D0-AB37-1D73D564319A}">
      <formula1>INDIRECT($U$236)</formula1>
    </dataValidation>
    <dataValidation type="whole" allowBlank="1" showDropDown="1" showInputMessage="1" showErrorMessage="1" error="Enter a percentage" prompt="Enter a number" sqref="W549 W547" xr:uid="{9B911227-40F5-48E2-A2C9-FBEDABB7A39F}">
      <formula1>0</formula1>
      <formula2>100</formula2>
    </dataValidation>
    <dataValidation type="list" allowBlank="1" showInputMessage="1" showErrorMessage="1" error="Please use the dropdown." sqref="W14" xr:uid="{7B9CB37F-3F04-4185-931C-A8FA41255A4F}">
      <formula1>INDIRECT($U$14)</formula1>
    </dataValidation>
    <dataValidation type="list" allowBlank="1" showInputMessage="1" showErrorMessage="1" error="Please use the dropdown." sqref="W30" xr:uid="{627ADD03-8B0A-4CC5-95F0-FB841CA45121}">
      <formula1>INDIRECT($U$30)</formula1>
    </dataValidation>
    <dataValidation type="decimal" allowBlank="1" showDropDown="1" showInputMessage="1" showErrorMessage="1" error="Enter a percentage up to 10" prompt="Enter CFM25/CFA in Percent" sqref="W218 W216" xr:uid="{113E2F26-7BAC-47CD-AE16-47E1F0C7D5BF}">
      <formula1>0</formula1>
      <formula2>0.1</formula2>
    </dataValidation>
    <dataValidation type="list" allowBlank="1" showInputMessage="1" showErrorMessage="1" error="Please use the dropdown." sqref="W214" xr:uid="{726169F7-AB2B-4232-B0A3-A2749E066DAE}">
      <formula1>INDIRECT($U$214)</formula1>
    </dataValidation>
  </dataValidations>
  <hyperlinks>
    <hyperlink ref="L123" location="'Table 701.4.3.2(2)'!A1" display="See Table 701.4.3.2(2)" xr:uid="{00000000-0004-0000-0500-000000000000}"/>
    <hyperlink ref="L226" location="'Table 703.2.1(a)'!A1" display="See Table 703.2.1(a)" xr:uid="{00000000-0004-0000-0500-000001000000}"/>
    <hyperlink ref="M220:M225" location="'Table 703.2.1(b)'!A1" display="Per Table 703.2.1(b)" xr:uid="{00000000-0004-0000-0500-000002000000}"/>
    <hyperlink ref="X768" location="'Ch8'!A1" display="CLICK TO PROCEED TO CHAPTER 8 &gt;&gt;" xr:uid="{00000000-0004-0000-0500-000003000000}"/>
    <hyperlink ref="L479" location="'Table 703.7.1(7)'!A1" display="See Table 703.7.1(7)" xr:uid="{00000000-0004-0000-0500-000004000000}"/>
    <hyperlink ref="M227:M228" location="'Table 703.2.2'!A1" display="Per Table 703.2.2" xr:uid="{00000000-0004-0000-0500-000005000000}"/>
    <hyperlink ref="M232:M234" location="'Table 703.2.4'!A1" display="Per Table 703.2.4" xr:uid="{00000000-0004-0000-0500-000006000000}"/>
    <hyperlink ref="L243" location="'Table 703.2.5.1'!A1" display="See Table 703.2.5.1" xr:uid="{00000000-0004-0000-0500-000007000000}"/>
    <hyperlink ref="M252:M256" location="'Tables 703.2.5.2(a), (b) &amp; (c)'!A1" display="'Tables 703.2.5.2(a), (b) &amp; (c)'!A1" xr:uid="{00000000-0004-0000-0500-000008000000}"/>
  </hyperlinks>
  <pageMargins left="0.7" right="0.7" top="0.75" bottom="0.75" header="0.3" footer="0.3"/>
  <pageSetup scale="44" fitToHeight="0" orientation="portrait" r:id="rId1"/>
  <rowBreaks count="8" manualBreakCount="8">
    <brk id="82" max="16383" man="1"/>
    <brk id="174" max="16383" man="1"/>
    <brk id="268" max="16383" man="1"/>
    <brk id="372" max="16383" man="1"/>
    <brk id="458" max="16383" man="1"/>
    <brk id="551" max="16383" man="1"/>
    <brk id="615" max="16383" man="1"/>
    <brk id="709" max="16383" man="1"/>
  </rowBreaks>
  <ignoredErrors>
    <ignoredError sqref="AQ12 AQ28 AQ41:AQ42 AQ44:AQ45 AQ47 AQ50:AQ52 AQ54:AQ57 AQ59 AQ63 AQ77 AQ68 AQ71 AQ80:AQ81 AQ85 AQ88:AQ100 AQ124 AQ105 AQ121 AQ108 AQ150 AQ160 AQ170 AQ172:AQ173 AQ179 AQ185 AQ196 AQ211 AQ214 AQ220 AQ222 AQ228:AQ229 AQ236 AQ244 AQ252 AQ260 AQ271 AQ278 AQ284 AQ291 AQ297 AQ300 AQ305 AQ311 AQ316 AQ318 AQ323 AQ328 AQ330:AQ331 AQ336 AQ341 AQ343 AQ348 AQ354 AQ356 AQ359:AQ360 AQ362 AQ364 AQ375 AQ381 AQ383 AQ400 AQ402 AQ422:AQ423 AQ425 AQ427 AQ429 AQ431 AQ448 AQ450 AQ452 AQ455:AQ457 AQ460 AQ487 AQ495 AQ497:AQ499 AQ501 AQ504 AQ506 AQ511 AQ513 AQ515 AQ517 AQ557 AQ561 AQ564 AQ568 AQ573 AQ578 AQ581 AQ584 AQ586:AQ587 AQ592 AQ595 AQ597 AQ623 AQ625:AQ626 AQ632 AQ634 AQ637 AQ643 AQ645 AQ655 AQ657 AQ659 AQ666:AQ669 AQ671 AQ741 AQ746 AQ748 AQ752 AQ757 AQ761 AQ766:AQ767 AQ674 AQ679 AQ694:AQ701 AQ704 AQ706 AQ708 AQ711 AQ713 AQ715 AQ725 AQ729:AQ730 AQ733 AQ736 AS17 AS20 AS24 AS27 AS41:AS42 AS44:AS45 AS47 AS50:AS52 AS54:AS57 AS59 AS63 AS77 AS68 AS71 AS80:AS81 AS84 AS88:AS100 AS105 AS128:AS129 AS133 AS135 AS138 AS140:AS142 AS145 AS110:AS111 AS113:AS114 AS116:AS119 AS121 AS108 AS147 AS150 AS160 AS170 AS172:AS173 AS179 AS183 AS189 AS192 AS196 AS211 AS214 AS220 AS227 AS229 AS232 AS236 AS244 AS252 AS260 AS270 AS277 AS284 AS290 AS296 AS299 AS304 AS310 AS316 AS318 AS322 AS328 AS330:AS331 AS335 AS341 AS348 AS354 AS356 AS359:AS360 AS362 AS364 AS374 AS423 AS425 AS427:AS428 AS448 AS450 AS452 AS455:AS457 AS462 AS464 AS466 AS468 AS470 AS473:AS475 AS477 AS480:AS482 AS487 AS495 AS497:AS499 AS501 AS504 AS506 AS511 AS513 AS515 AS520 AS524 AS527 AS535 AS538 AS541 AS557 AS561 AS564 AS568 AS573 AS578 AS581 AS583 AS586:AS587 AS592 AS595 AS597 AS599:AS604 AS606 AS608 AS610 AS623 AS626 AS632 AS634 AS637 AS646:AS652 AS655 AS657 AS659 AS666:AS669 AS671 AS741 AS746 AS748 AS752 AS757 AS761 AS766:AS767 AS674 AS679 AS686 AS694:AS701 AS704 AS706 AS708 AS710 AS725 AS729:AS730 AS733 AS736"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5123" r:id="rId4" name="Check Box 3">
              <controlPr locked="0" defaultSize="0" autoFill="0" autoLine="0" autoPict="0">
                <anchor moveWithCells="1" sizeWithCells="1">
                  <from>
                    <xdr:col>22</xdr:col>
                    <xdr:colOff>0</xdr:colOff>
                    <xdr:row>62</xdr:row>
                    <xdr:rowOff>0</xdr:rowOff>
                  </from>
                  <to>
                    <xdr:col>22</xdr:col>
                    <xdr:colOff>184150</xdr:colOff>
                    <xdr:row>62</xdr:row>
                    <xdr:rowOff>184150</xdr:rowOff>
                  </to>
                </anchor>
              </controlPr>
            </control>
          </mc:Choice>
        </mc:AlternateContent>
        <mc:AlternateContent xmlns:mc="http://schemas.openxmlformats.org/markup-compatibility/2006">
          <mc:Choice Requires="x14">
            <control shapeId="5125" r:id="rId5" name="Check Box 5">
              <controlPr locked="0" defaultSize="0" autoFill="0" autoLine="0" autoPict="0">
                <anchor moveWithCells="1" sizeWithCells="1">
                  <from>
                    <xdr:col>22</xdr:col>
                    <xdr:colOff>0</xdr:colOff>
                    <xdr:row>67</xdr:row>
                    <xdr:rowOff>0</xdr:rowOff>
                  </from>
                  <to>
                    <xdr:col>22</xdr:col>
                    <xdr:colOff>184150</xdr:colOff>
                    <xdr:row>67</xdr:row>
                    <xdr:rowOff>184150</xdr:rowOff>
                  </to>
                </anchor>
              </controlPr>
            </control>
          </mc:Choice>
        </mc:AlternateContent>
        <mc:AlternateContent xmlns:mc="http://schemas.openxmlformats.org/markup-compatibility/2006">
          <mc:Choice Requires="x14">
            <control shapeId="5128" r:id="rId6" name="Check Box 8">
              <controlPr locked="0" defaultSize="0" autoFill="0" autoLine="0" autoPict="0">
                <anchor moveWithCells="1" sizeWithCells="1">
                  <from>
                    <xdr:col>22</xdr:col>
                    <xdr:colOff>0</xdr:colOff>
                    <xdr:row>84</xdr:row>
                    <xdr:rowOff>0</xdr:rowOff>
                  </from>
                  <to>
                    <xdr:col>22</xdr:col>
                    <xdr:colOff>184150</xdr:colOff>
                    <xdr:row>84</xdr:row>
                    <xdr:rowOff>184150</xdr:rowOff>
                  </to>
                </anchor>
              </controlPr>
            </control>
          </mc:Choice>
        </mc:AlternateContent>
        <mc:AlternateContent xmlns:mc="http://schemas.openxmlformats.org/markup-compatibility/2006">
          <mc:Choice Requires="x14">
            <control shapeId="5131" r:id="rId7" name="Check Box 11">
              <controlPr locked="0" defaultSize="0" autoFill="0" autoLine="0" autoPict="0">
                <anchor moveWithCells="1" sizeWithCells="1">
                  <from>
                    <xdr:col>22</xdr:col>
                    <xdr:colOff>0</xdr:colOff>
                    <xdr:row>149</xdr:row>
                    <xdr:rowOff>0</xdr:rowOff>
                  </from>
                  <to>
                    <xdr:col>22</xdr:col>
                    <xdr:colOff>184150</xdr:colOff>
                    <xdr:row>149</xdr:row>
                    <xdr:rowOff>184150</xdr:rowOff>
                  </to>
                </anchor>
              </controlPr>
            </control>
          </mc:Choice>
        </mc:AlternateContent>
        <mc:AlternateContent xmlns:mc="http://schemas.openxmlformats.org/markup-compatibility/2006">
          <mc:Choice Requires="x14">
            <control shapeId="5132" r:id="rId8" name="Check Box 12">
              <controlPr locked="0" defaultSize="0" autoFill="0" autoLine="0" autoPict="0">
                <anchor moveWithCells="1" sizeWithCells="1">
                  <from>
                    <xdr:col>22</xdr:col>
                    <xdr:colOff>0</xdr:colOff>
                    <xdr:row>169</xdr:row>
                    <xdr:rowOff>0</xdr:rowOff>
                  </from>
                  <to>
                    <xdr:col>22</xdr:col>
                    <xdr:colOff>184150</xdr:colOff>
                    <xdr:row>169</xdr:row>
                    <xdr:rowOff>184150</xdr:rowOff>
                  </to>
                </anchor>
              </controlPr>
            </control>
          </mc:Choice>
        </mc:AlternateContent>
        <mc:AlternateContent xmlns:mc="http://schemas.openxmlformats.org/markup-compatibility/2006">
          <mc:Choice Requires="x14">
            <control shapeId="5133" r:id="rId9" name="Check Box 13">
              <controlPr locked="0" defaultSize="0" autoFill="0" autoLine="0" autoPict="0">
                <anchor moveWithCells="1" sizeWithCells="1">
                  <from>
                    <xdr:col>22</xdr:col>
                    <xdr:colOff>0</xdr:colOff>
                    <xdr:row>171</xdr:row>
                    <xdr:rowOff>0</xdr:rowOff>
                  </from>
                  <to>
                    <xdr:col>22</xdr:col>
                    <xdr:colOff>184150</xdr:colOff>
                    <xdr:row>171</xdr:row>
                    <xdr:rowOff>184150</xdr:rowOff>
                  </to>
                </anchor>
              </controlPr>
            </control>
          </mc:Choice>
        </mc:AlternateContent>
        <mc:AlternateContent xmlns:mc="http://schemas.openxmlformats.org/markup-compatibility/2006">
          <mc:Choice Requires="x14">
            <control shapeId="5135" r:id="rId10" name="Check Box 15">
              <controlPr locked="0" defaultSize="0" autoFill="0" autoLine="0" autoPict="0">
                <anchor moveWithCells="1" sizeWithCells="1">
                  <from>
                    <xdr:col>22</xdr:col>
                    <xdr:colOff>0</xdr:colOff>
                    <xdr:row>178</xdr:row>
                    <xdr:rowOff>0</xdr:rowOff>
                  </from>
                  <to>
                    <xdr:col>22</xdr:col>
                    <xdr:colOff>184150</xdr:colOff>
                    <xdr:row>178</xdr:row>
                    <xdr:rowOff>184150</xdr:rowOff>
                  </to>
                </anchor>
              </controlPr>
            </control>
          </mc:Choice>
        </mc:AlternateContent>
        <mc:AlternateContent xmlns:mc="http://schemas.openxmlformats.org/markup-compatibility/2006">
          <mc:Choice Requires="x14">
            <control shapeId="5137" r:id="rId11" name="Check Box 17">
              <controlPr locked="0" defaultSize="0" autoFill="0" autoLine="0" autoPict="0">
                <anchor moveWithCells="1" sizeWithCells="1">
                  <from>
                    <xdr:col>22</xdr:col>
                    <xdr:colOff>0</xdr:colOff>
                    <xdr:row>76</xdr:row>
                    <xdr:rowOff>0</xdr:rowOff>
                  </from>
                  <to>
                    <xdr:col>22</xdr:col>
                    <xdr:colOff>184150</xdr:colOff>
                    <xdr:row>76</xdr:row>
                    <xdr:rowOff>184150</xdr:rowOff>
                  </to>
                </anchor>
              </controlPr>
            </control>
          </mc:Choice>
        </mc:AlternateContent>
        <mc:AlternateContent xmlns:mc="http://schemas.openxmlformats.org/markup-compatibility/2006">
          <mc:Choice Requires="x14">
            <control shapeId="5138" r:id="rId12" name="Check Box 18">
              <controlPr locked="0" defaultSize="0" autoFill="0" autoLine="0" autoPict="0">
                <anchor moveWithCells="1" sizeWithCells="1">
                  <from>
                    <xdr:col>22</xdr:col>
                    <xdr:colOff>0</xdr:colOff>
                    <xdr:row>79</xdr:row>
                    <xdr:rowOff>0</xdr:rowOff>
                  </from>
                  <to>
                    <xdr:col>22</xdr:col>
                    <xdr:colOff>184150</xdr:colOff>
                    <xdr:row>79</xdr:row>
                    <xdr:rowOff>184150</xdr:rowOff>
                  </to>
                </anchor>
              </controlPr>
            </control>
          </mc:Choice>
        </mc:AlternateContent>
        <mc:AlternateContent xmlns:mc="http://schemas.openxmlformats.org/markup-compatibility/2006">
          <mc:Choice Requires="x14">
            <control shapeId="5139" r:id="rId13" name="Check Box 19">
              <controlPr locked="0" defaultSize="0" autoFill="0" autoLine="0" autoPict="0">
                <anchor moveWithCells="1" sizeWithCells="1">
                  <from>
                    <xdr:col>22</xdr:col>
                    <xdr:colOff>0</xdr:colOff>
                    <xdr:row>80</xdr:row>
                    <xdr:rowOff>0</xdr:rowOff>
                  </from>
                  <to>
                    <xdr:col>22</xdr:col>
                    <xdr:colOff>184150</xdr:colOff>
                    <xdr:row>80</xdr:row>
                    <xdr:rowOff>184150</xdr:rowOff>
                  </to>
                </anchor>
              </controlPr>
            </control>
          </mc:Choice>
        </mc:AlternateContent>
        <mc:AlternateContent xmlns:mc="http://schemas.openxmlformats.org/markup-compatibility/2006">
          <mc:Choice Requires="x14">
            <control shapeId="5146" r:id="rId14" name="Check Box 26">
              <controlPr locked="0" defaultSize="0" autoFill="0" autoLine="0" autoPict="0">
                <anchor moveWithCells="1" sizeWithCells="1">
                  <from>
                    <xdr:col>22</xdr:col>
                    <xdr:colOff>0</xdr:colOff>
                    <xdr:row>120</xdr:row>
                    <xdr:rowOff>0</xdr:rowOff>
                  </from>
                  <to>
                    <xdr:col>22</xdr:col>
                    <xdr:colOff>184150</xdr:colOff>
                    <xdr:row>120</xdr:row>
                    <xdr:rowOff>184150</xdr:rowOff>
                  </to>
                </anchor>
              </controlPr>
            </control>
          </mc:Choice>
        </mc:AlternateContent>
        <mc:AlternateContent xmlns:mc="http://schemas.openxmlformats.org/markup-compatibility/2006">
          <mc:Choice Requires="x14">
            <control shapeId="5148" r:id="rId15" name="Check Box 28">
              <controlPr locked="0" defaultSize="0" autoFill="0" autoLine="0" autoPict="0">
                <anchor moveWithCells="1" sizeWithCells="1">
                  <from>
                    <xdr:col>22</xdr:col>
                    <xdr:colOff>0</xdr:colOff>
                    <xdr:row>123</xdr:row>
                    <xdr:rowOff>0</xdr:rowOff>
                  </from>
                  <to>
                    <xdr:col>22</xdr:col>
                    <xdr:colOff>184150</xdr:colOff>
                    <xdr:row>123</xdr:row>
                    <xdr:rowOff>184150</xdr:rowOff>
                  </to>
                </anchor>
              </controlPr>
            </control>
          </mc:Choice>
        </mc:AlternateContent>
        <mc:AlternateContent xmlns:mc="http://schemas.openxmlformats.org/markup-compatibility/2006">
          <mc:Choice Requires="x14">
            <control shapeId="5150" r:id="rId16" name="Check Box 30">
              <controlPr locked="0" defaultSize="0" autoFill="0" autoLine="0" autoPict="0">
                <anchor moveWithCells="1" sizeWithCells="1">
                  <from>
                    <xdr:col>22</xdr:col>
                    <xdr:colOff>0</xdr:colOff>
                    <xdr:row>172</xdr:row>
                    <xdr:rowOff>0</xdr:rowOff>
                  </from>
                  <to>
                    <xdr:col>22</xdr:col>
                    <xdr:colOff>184150</xdr:colOff>
                    <xdr:row>172</xdr:row>
                    <xdr:rowOff>184150</xdr:rowOff>
                  </to>
                </anchor>
              </controlPr>
            </control>
          </mc:Choice>
        </mc:AlternateContent>
        <mc:AlternateContent xmlns:mc="http://schemas.openxmlformats.org/markup-compatibility/2006">
          <mc:Choice Requires="x14">
            <control shapeId="5152" r:id="rId17" name="Check Box 32">
              <controlPr locked="0" defaultSize="0" autoFill="0" autoLine="0" autoPict="0">
                <anchor moveWithCells="1" sizeWithCells="1">
                  <from>
                    <xdr:col>22</xdr:col>
                    <xdr:colOff>0</xdr:colOff>
                    <xdr:row>195</xdr:row>
                    <xdr:rowOff>0</xdr:rowOff>
                  </from>
                  <to>
                    <xdr:col>22</xdr:col>
                    <xdr:colOff>184150</xdr:colOff>
                    <xdr:row>195</xdr:row>
                    <xdr:rowOff>184150</xdr:rowOff>
                  </to>
                </anchor>
              </controlPr>
            </control>
          </mc:Choice>
        </mc:AlternateContent>
        <mc:AlternateContent xmlns:mc="http://schemas.openxmlformats.org/markup-compatibility/2006">
          <mc:Choice Requires="x14">
            <control shapeId="5153" r:id="rId18" name="Check Box 33">
              <controlPr locked="0" defaultSize="0" autoFill="0" autoLine="0" autoPict="0">
                <anchor moveWithCells="1" sizeWithCells="1">
                  <from>
                    <xdr:col>22</xdr:col>
                    <xdr:colOff>0</xdr:colOff>
                    <xdr:row>210</xdr:row>
                    <xdr:rowOff>0</xdr:rowOff>
                  </from>
                  <to>
                    <xdr:col>22</xdr:col>
                    <xdr:colOff>184150</xdr:colOff>
                    <xdr:row>210</xdr:row>
                    <xdr:rowOff>184150</xdr:rowOff>
                  </to>
                </anchor>
              </controlPr>
            </control>
          </mc:Choice>
        </mc:AlternateContent>
        <mc:AlternateContent xmlns:mc="http://schemas.openxmlformats.org/markup-compatibility/2006">
          <mc:Choice Requires="x14">
            <control shapeId="5156" r:id="rId19" name="Check Box 36">
              <controlPr locked="0" defaultSize="0" autoFill="0" autoLine="0" autoPict="0">
                <anchor moveWithCells="1" sizeWithCells="1">
                  <from>
                    <xdr:col>22</xdr:col>
                    <xdr:colOff>0</xdr:colOff>
                    <xdr:row>219</xdr:row>
                    <xdr:rowOff>0</xdr:rowOff>
                  </from>
                  <to>
                    <xdr:col>22</xdr:col>
                    <xdr:colOff>184150</xdr:colOff>
                    <xdr:row>219</xdr:row>
                    <xdr:rowOff>184150</xdr:rowOff>
                  </to>
                </anchor>
              </controlPr>
            </control>
          </mc:Choice>
        </mc:AlternateContent>
        <mc:AlternateContent xmlns:mc="http://schemas.openxmlformats.org/markup-compatibility/2006">
          <mc:Choice Requires="x14">
            <control shapeId="5158" r:id="rId20" name="Check Box 38">
              <controlPr locked="0" defaultSize="0" autoFill="0" autoLine="0" autoPict="0">
                <anchor moveWithCells="1" sizeWithCells="1">
                  <from>
                    <xdr:col>22</xdr:col>
                    <xdr:colOff>0</xdr:colOff>
                    <xdr:row>228</xdr:row>
                    <xdr:rowOff>0</xdr:rowOff>
                  </from>
                  <to>
                    <xdr:col>22</xdr:col>
                    <xdr:colOff>184150</xdr:colOff>
                    <xdr:row>228</xdr:row>
                    <xdr:rowOff>184150</xdr:rowOff>
                  </to>
                </anchor>
              </controlPr>
            </control>
          </mc:Choice>
        </mc:AlternateContent>
        <mc:AlternateContent xmlns:mc="http://schemas.openxmlformats.org/markup-compatibility/2006">
          <mc:Choice Requires="x14">
            <control shapeId="5161" r:id="rId21" name="Check Box 41">
              <controlPr locked="0" defaultSize="0" autoFill="0" autoLine="0" autoPict="0">
                <anchor moveWithCells="1" sizeWithCells="1">
                  <from>
                    <xdr:col>22</xdr:col>
                    <xdr:colOff>0</xdr:colOff>
                    <xdr:row>665</xdr:row>
                    <xdr:rowOff>0</xdr:rowOff>
                  </from>
                  <to>
                    <xdr:col>22</xdr:col>
                    <xdr:colOff>184150</xdr:colOff>
                    <xdr:row>665</xdr:row>
                    <xdr:rowOff>184150</xdr:rowOff>
                  </to>
                </anchor>
              </controlPr>
            </control>
          </mc:Choice>
        </mc:AlternateContent>
        <mc:AlternateContent xmlns:mc="http://schemas.openxmlformats.org/markup-compatibility/2006">
          <mc:Choice Requires="x14">
            <control shapeId="5162" r:id="rId22" name="Check Box 42">
              <controlPr locked="0" defaultSize="0" autoFill="0" autoLine="0" autoPict="0">
                <anchor moveWithCells="1" sizeWithCells="1">
                  <from>
                    <xdr:col>22</xdr:col>
                    <xdr:colOff>0</xdr:colOff>
                    <xdr:row>666</xdr:row>
                    <xdr:rowOff>0</xdr:rowOff>
                  </from>
                  <to>
                    <xdr:col>22</xdr:col>
                    <xdr:colOff>184150</xdr:colOff>
                    <xdr:row>666</xdr:row>
                    <xdr:rowOff>184150</xdr:rowOff>
                  </to>
                </anchor>
              </controlPr>
            </control>
          </mc:Choice>
        </mc:AlternateContent>
        <mc:AlternateContent xmlns:mc="http://schemas.openxmlformats.org/markup-compatibility/2006">
          <mc:Choice Requires="x14">
            <control shapeId="5163" r:id="rId23" name="Check Box 43">
              <controlPr locked="0" defaultSize="0" autoFill="0" autoLine="0" autoPict="0">
                <anchor moveWithCells="1" sizeWithCells="1">
                  <from>
                    <xdr:col>22</xdr:col>
                    <xdr:colOff>0</xdr:colOff>
                    <xdr:row>667</xdr:row>
                    <xdr:rowOff>0</xdr:rowOff>
                  </from>
                  <to>
                    <xdr:col>22</xdr:col>
                    <xdr:colOff>184150</xdr:colOff>
                    <xdr:row>667</xdr:row>
                    <xdr:rowOff>184150</xdr:rowOff>
                  </to>
                </anchor>
              </controlPr>
            </control>
          </mc:Choice>
        </mc:AlternateContent>
        <mc:AlternateContent xmlns:mc="http://schemas.openxmlformats.org/markup-compatibility/2006">
          <mc:Choice Requires="x14">
            <control shapeId="5164" r:id="rId24" name="Check Box 44">
              <controlPr locked="0" defaultSize="0" autoFill="0" autoLine="0" autoPict="0">
                <anchor moveWithCells="1" sizeWithCells="1">
                  <from>
                    <xdr:col>22</xdr:col>
                    <xdr:colOff>0</xdr:colOff>
                    <xdr:row>668</xdr:row>
                    <xdr:rowOff>0</xdr:rowOff>
                  </from>
                  <to>
                    <xdr:col>22</xdr:col>
                    <xdr:colOff>184150</xdr:colOff>
                    <xdr:row>668</xdr:row>
                    <xdr:rowOff>184150</xdr:rowOff>
                  </to>
                </anchor>
              </controlPr>
            </control>
          </mc:Choice>
        </mc:AlternateContent>
        <mc:AlternateContent xmlns:mc="http://schemas.openxmlformats.org/markup-compatibility/2006">
          <mc:Choice Requires="x14">
            <control shapeId="5165" r:id="rId25" name="Check Box 45">
              <controlPr locked="0" defaultSize="0" autoFill="0" autoLine="0" autoPict="0">
                <anchor moveWithCells="1" sizeWithCells="1">
                  <from>
                    <xdr:col>22</xdr:col>
                    <xdr:colOff>0</xdr:colOff>
                    <xdr:row>670</xdr:row>
                    <xdr:rowOff>0</xdr:rowOff>
                  </from>
                  <to>
                    <xdr:col>22</xdr:col>
                    <xdr:colOff>184150</xdr:colOff>
                    <xdr:row>670</xdr:row>
                    <xdr:rowOff>184150</xdr:rowOff>
                  </to>
                </anchor>
              </controlPr>
            </control>
          </mc:Choice>
        </mc:AlternateContent>
        <mc:AlternateContent xmlns:mc="http://schemas.openxmlformats.org/markup-compatibility/2006">
          <mc:Choice Requires="x14">
            <control shapeId="5166" r:id="rId26" name="Check Box 46">
              <controlPr locked="0" defaultSize="0" autoFill="0" autoLine="0" autoPict="0">
                <anchor moveWithCells="1" sizeWithCells="1">
                  <from>
                    <xdr:col>22</xdr:col>
                    <xdr:colOff>0</xdr:colOff>
                    <xdr:row>673</xdr:row>
                    <xdr:rowOff>0</xdr:rowOff>
                  </from>
                  <to>
                    <xdr:col>22</xdr:col>
                    <xdr:colOff>184150</xdr:colOff>
                    <xdr:row>673</xdr:row>
                    <xdr:rowOff>184150</xdr:rowOff>
                  </to>
                </anchor>
              </controlPr>
            </control>
          </mc:Choice>
        </mc:AlternateContent>
        <mc:AlternateContent xmlns:mc="http://schemas.openxmlformats.org/markup-compatibility/2006">
          <mc:Choice Requires="x14">
            <control shapeId="5168" r:id="rId27" name="Check Box 48">
              <controlPr locked="0" defaultSize="0" autoFill="0" autoLine="0" autoPict="0">
                <anchor moveWithCells="1" sizeWithCells="1">
                  <from>
                    <xdr:col>22</xdr:col>
                    <xdr:colOff>0</xdr:colOff>
                    <xdr:row>693</xdr:row>
                    <xdr:rowOff>0</xdr:rowOff>
                  </from>
                  <to>
                    <xdr:col>22</xdr:col>
                    <xdr:colOff>184150</xdr:colOff>
                    <xdr:row>693</xdr:row>
                    <xdr:rowOff>184150</xdr:rowOff>
                  </to>
                </anchor>
              </controlPr>
            </control>
          </mc:Choice>
        </mc:AlternateContent>
        <mc:AlternateContent xmlns:mc="http://schemas.openxmlformats.org/markup-compatibility/2006">
          <mc:Choice Requires="x14">
            <control shapeId="5169" r:id="rId28" name="Check Box 49">
              <controlPr locked="0" defaultSize="0" autoFill="0" autoLine="0" autoPict="0">
                <anchor moveWithCells="1" sizeWithCells="1">
                  <from>
                    <xdr:col>22</xdr:col>
                    <xdr:colOff>0</xdr:colOff>
                    <xdr:row>694</xdr:row>
                    <xdr:rowOff>0</xdr:rowOff>
                  </from>
                  <to>
                    <xdr:col>22</xdr:col>
                    <xdr:colOff>184150</xdr:colOff>
                    <xdr:row>694</xdr:row>
                    <xdr:rowOff>184150</xdr:rowOff>
                  </to>
                </anchor>
              </controlPr>
            </control>
          </mc:Choice>
        </mc:AlternateContent>
        <mc:AlternateContent xmlns:mc="http://schemas.openxmlformats.org/markup-compatibility/2006">
          <mc:Choice Requires="x14">
            <control shapeId="5170" r:id="rId29" name="Check Box 50">
              <controlPr locked="0" defaultSize="0" autoFill="0" autoLine="0" autoPict="0">
                <anchor moveWithCells="1" sizeWithCells="1">
                  <from>
                    <xdr:col>22</xdr:col>
                    <xdr:colOff>0</xdr:colOff>
                    <xdr:row>695</xdr:row>
                    <xdr:rowOff>0</xdr:rowOff>
                  </from>
                  <to>
                    <xdr:col>22</xdr:col>
                    <xdr:colOff>184150</xdr:colOff>
                    <xdr:row>695</xdr:row>
                    <xdr:rowOff>184150</xdr:rowOff>
                  </to>
                </anchor>
              </controlPr>
            </control>
          </mc:Choice>
        </mc:AlternateContent>
        <mc:AlternateContent xmlns:mc="http://schemas.openxmlformats.org/markup-compatibility/2006">
          <mc:Choice Requires="x14">
            <control shapeId="5171" r:id="rId30" name="Check Box 51">
              <controlPr locked="0" defaultSize="0" autoFill="0" autoLine="0" autoPict="0">
                <anchor moveWithCells="1" sizeWithCells="1">
                  <from>
                    <xdr:col>22</xdr:col>
                    <xdr:colOff>0</xdr:colOff>
                    <xdr:row>696</xdr:row>
                    <xdr:rowOff>0</xdr:rowOff>
                  </from>
                  <to>
                    <xdr:col>22</xdr:col>
                    <xdr:colOff>184150</xdr:colOff>
                    <xdr:row>696</xdr:row>
                    <xdr:rowOff>184150</xdr:rowOff>
                  </to>
                </anchor>
              </controlPr>
            </control>
          </mc:Choice>
        </mc:AlternateContent>
        <mc:AlternateContent xmlns:mc="http://schemas.openxmlformats.org/markup-compatibility/2006">
          <mc:Choice Requires="x14">
            <control shapeId="5172" r:id="rId31" name="Check Box 52">
              <controlPr locked="0" defaultSize="0" autoFill="0" autoLine="0" autoPict="0">
                <anchor moveWithCells="1" sizeWithCells="1">
                  <from>
                    <xdr:col>22</xdr:col>
                    <xdr:colOff>0</xdr:colOff>
                    <xdr:row>697</xdr:row>
                    <xdr:rowOff>0</xdr:rowOff>
                  </from>
                  <to>
                    <xdr:col>22</xdr:col>
                    <xdr:colOff>184150</xdr:colOff>
                    <xdr:row>697</xdr:row>
                    <xdr:rowOff>184150</xdr:rowOff>
                  </to>
                </anchor>
              </controlPr>
            </control>
          </mc:Choice>
        </mc:AlternateContent>
        <mc:AlternateContent xmlns:mc="http://schemas.openxmlformats.org/markup-compatibility/2006">
          <mc:Choice Requires="x14">
            <control shapeId="5173" r:id="rId32" name="Check Box 53">
              <controlPr locked="0" defaultSize="0" autoFill="0" autoLine="0" autoPict="0">
                <anchor moveWithCells="1" sizeWithCells="1">
                  <from>
                    <xdr:col>22</xdr:col>
                    <xdr:colOff>0</xdr:colOff>
                    <xdr:row>698</xdr:row>
                    <xdr:rowOff>0</xdr:rowOff>
                  </from>
                  <to>
                    <xdr:col>22</xdr:col>
                    <xdr:colOff>184150</xdr:colOff>
                    <xdr:row>698</xdr:row>
                    <xdr:rowOff>184150</xdr:rowOff>
                  </to>
                </anchor>
              </controlPr>
            </control>
          </mc:Choice>
        </mc:AlternateContent>
        <mc:AlternateContent xmlns:mc="http://schemas.openxmlformats.org/markup-compatibility/2006">
          <mc:Choice Requires="x14">
            <control shapeId="5174" r:id="rId33" name="Check Box 54">
              <controlPr locked="0" defaultSize="0" autoFill="0" autoLine="0" autoPict="0">
                <anchor moveWithCells="1" sizeWithCells="1">
                  <from>
                    <xdr:col>22</xdr:col>
                    <xdr:colOff>0</xdr:colOff>
                    <xdr:row>699</xdr:row>
                    <xdr:rowOff>0</xdr:rowOff>
                  </from>
                  <to>
                    <xdr:col>22</xdr:col>
                    <xdr:colOff>184150</xdr:colOff>
                    <xdr:row>699</xdr:row>
                    <xdr:rowOff>184150</xdr:rowOff>
                  </to>
                </anchor>
              </controlPr>
            </control>
          </mc:Choice>
        </mc:AlternateContent>
        <mc:AlternateContent xmlns:mc="http://schemas.openxmlformats.org/markup-compatibility/2006">
          <mc:Choice Requires="x14">
            <control shapeId="5175" r:id="rId34" name="Check Box 55">
              <controlPr locked="0" defaultSize="0" autoFill="0" autoLine="0" autoPict="0">
                <anchor moveWithCells="1" sizeWithCells="1">
                  <from>
                    <xdr:col>22</xdr:col>
                    <xdr:colOff>0</xdr:colOff>
                    <xdr:row>700</xdr:row>
                    <xdr:rowOff>0</xdr:rowOff>
                  </from>
                  <to>
                    <xdr:col>22</xdr:col>
                    <xdr:colOff>184150</xdr:colOff>
                    <xdr:row>700</xdr:row>
                    <xdr:rowOff>184150</xdr:rowOff>
                  </to>
                </anchor>
              </controlPr>
            </control>
          </mc:Choice>
        </mc:AlternateContent>
        <mc:AlternateContent xmlns:mc="http://schemas.openxmlformats.org/markup-compatibility/2006">
          <mc:Choice Requires="x14">
            <control shapeId="5177" r:id="rId35" name="Check Box 57">
              <controlPr locked="0" defaultSize="0" autoFill="0" autoLine="0" autoPict="0">
                <anchor moveWithCells="1" sizeWithCells="1">
                  <from>
                    <xdr:col>22</xdr:col>
                    <xdr:colOff>0</xdr:colOff>
                    <xdr:row>703</xdr:row>
                    <xdr:rowOff>0</xdr:rowOff>
                  </from>
                  <to>
                    <xdr:col>22</xdr:col>
                    <xdr:colOff>184150</xdr:colOff>
                    <xdr:row>703</xdr:row>
                    <xdr:rowOff>184150</xdr:rowOff>
                  </to>
                </anchor>
              </controlPr>
            </control>
          </mc:Choice>
        </mc:AlternateContent>
        <mc:AlternateContent xmlns:mc="http://schemas.openxmlformats.org/markup-compatibility/2006">
          <mc:Choice Requires="x14">
            <control shapeId="5178" r:id="rId36" name="Check Box 58">
              <controlPr locked="0" defaultSize="0" autoFill="0" autoLine="0" autoPict="0">
                <anchor moveWithCells="1" sizeWithCells="1">
                  <from>
                    <xdr:col>22</xdr:col>
                    <xdr:colOff>0</xdr:colOff>
                    <xdr:row>705</xdr:row>
                    <xdr:rowOff>0</xdr:rowOff>
                  </from>
                  <to>
                    <xdr:col>22</xdr:col>
                    <xdr:colOff>184150</xdr:colOff>
                    <xdr:row>705</xdr:row>
                    <xdr:rowOff>184150</xdr:rowOff>
                  </to>
                </anchor>
              </controlPr>
            </control>
          </mc:Choice>
        </mc:AlternateContent>
        <mc:AlternateContent xmlns:mc="http://schemas.openxmlformats.org/markup-compatibility/2006">
          <mc:Choice Requires="x14">
            <control shapeId="5179" r:id="rId37" name="Check Box 59">
              <controlPr locked="0" defaultSize="0" autoFill="0" autoLine="0" autoPict="0">
                <anchor moveWithCells="1" sizeWithCells="1">
                  <from>
                    <xdr:col>22</xdr:col>
                    <xdr:colOff>0</xdr:colOff>
                    <xdr:row>707</xdr:row>
                    <xdr:rowOff>0</xdr:rowOff>
                  </from>
                  <to>
                    <xdr:col>22</xdr:col>
                    <xdr:colOff>184150</xdr:colOff>
                    <xdr:row>707</xdr:row>
                    <xdr:rowOff>184150</xdr:rowOff>
                  </to>
                </anchor>
              </controlPr>
            </control>
          </mc:Choice>
        </mc:AlternateContent>
        <mc:AlternateContent xmlns:mc="http://schemas.openxmlformats.org/markup-compatibility/2006">
          <mc:Choice Requires="x14">
            <control shapeId="5181" r:id="rId38" name="Check Box 61">
              <controlPr locked="0" defaultSize="0" autoFill="0" autoLine="0" autoPict="0">
                <anchor moveWithCells="1" sizeWithCells="1">
                  <from>
                    <xdr:col>22</xdr:col>
                    <xdr:colOff>0</xdr:colOff>
                    <xdr:row>724</xdr:row>
                    <xdr:rowOff>0</xdr:rowOff>
                  </from>
                  <to>
                    <xdr:col>22</xdr:col>
                    <xdr:colOff>184150</xdr:colOff>
                    <xdr:row>724</xdr:row>
                    <xdr:rowOff>184150</xdr:rowOff>
                  </to>
                </anchor>
              </controlPr>
            </control>
          </mc:Choice>
        </mc:AlternateContent>
        <mc:AlternateContent xmlns:mc="http://schemas.openxmlformats.org/markup-compatibility/2006">
          <mc:Choice Requires="x14">
            <control shapeId="5182" r:id="rId39" name="Check Box 62">
              <controlPr locked="0" defaultSize="0" autoFill="0" autoLine="0" autoPict="0">
                <anchor moveWithCells="1" sizeWithCells="1">
                  <from>
                    <xdr:col>22</xdr:col>
                    <xdr:colOff>0</xdr:colOff>
                    <xdr:row>732</xdr:row>
                    <xdr:rowOff>0</xdr:rowOff>
                  </from>
                  <to>
                    <xdr:col>22</xdr:col>
                    <xdr:colOff>184150</xdr:colOff>
                    <xdr:row>732</xdr:row>
                    <xdr:rowOff>184150</xdr:rowOff>
                  </to>
                </anchor>
              </controlPr>
            </control>
          </mc:Choice>
        </mc:AlternateContent>
        <mc:AlternateContent xmlns:mc="http://schemas.openxmlformats.org/markup-compatibility/2006">
          <mc:Choice Requires="x14">
            <control shapeId="5185" r:id="rId40" name="Check Box 65">
              <controlPr locked="0" defaultSize="0" autoFill="0" autoLine="0" autoPict="0">
                <anchor moveWithCells="1" sizeWithCells="1">
                  <from>
                    <xdr:col>22</xdr:col>
                    <xdr:colOff>0</xdr:colOff>
                    <xdr:row>728</xdr:row>
                    <xdr:rowOff>0</xdr:rowOff>
                  </from>
                  <to>
                    <xdr:col>22</xdr:col>
                    <xdr:colOff>184150</xdr:colOff>
                    <xdr:row>728</xdr:row>
                    <xdr:rowOff>184150</xdr:rowOff>
                  </to>
                </anchor>
              </controlPr>
            </control>
          </mc:Choice>
        </mc:AlternateContent>
        <mc:AlternateContent xmlns:mc="http://schemas.openxmlformats.org/markup-compatibility/2006">
          <mc:Choice Requires="x14">
            <control shapeId="5186" r:id="rId41" name="Check Box 66">
              <controlPr locked="0" defaultSize="0" autoFill="0" autoLine="0" autoPict="0">
                <anchor moveWithCells="1" sizeWithCells="1">
                  <from>
                    <xdr:col>22</xdr:col>
                    <xdr:colOff>0</xdr:colOff>
                    <xdr:row>729</xdr:row>
                    <xdr:rowOff>0</xdr:rowOff>
                  </from>
                  <to>
                    <xdr:col>22</xdr:col>
                    <xdr:colOff>184150</xdr:colOff>
                    <xdr:row>729</xdr:row>
                    <xdr:rowOff>184150</xdr:rowOff>
                  </to>
                </anchor>
              </controlPr>
            </control>
          </mc:Choice>
        </mc:AlternateContent>
        <mc:AlternateContent xmlns:mc="http://schemas.openxmlformats.org/markup-compatibility/2006">
          <mc:Choice Requires="x14">
            <control shapeId="5187" r:id="rId42" name="Check Box 67">
              <controlPr locked="0" defaultSize="0" autoFill="0" autoLine="0" autoPict="0">
                <anchor moveWithCells="1" sizeWithCells="1">
                  <from>
                    <xdr:col>22</xdr:col>
                    <xdr:colOff>0</xdr:colOff>
                    <xdr:row>740</xdr:row>
                    <xdr:rowOff>0</xdr:rowOff>
                  </from>
                  <to>
                    <xdr:col>22</xdr:col>
                    <xdr:colOff>184150</xdr:colOff>
                    <xdr:row>740</xdr:row>
                    <xdr:rowOff>184150</xdr:rowOff>
                  </to>
                </anchor>
              </controlPr>
            </control>
          </mc:Choice>
        </mc:AlternateContent>
        <mc:AlternateContent xmlns:mc="http://schemas.openxmlformats.org/markup-compatibility/2006">
          <mc:Choice Requires="x14">
            <control shapeId="5190" r:id="rId43" name="Check Box 70">
              <controlPr locked="0" defaultSize="0" autoFill="0" autoLine="0" autoPict="0">
                <anchor moveWithCells="1" sizeWithCells="1">
                  <from>
                    <xdr:col>22</xdr:col>
                    <xdr:colOff>0</xdr:colOff>
                    <xdr:row>560</xdr:row>
                    <xdr:rowOff>0</xdr:rowOff>
                  </from>
                  <to>
                    <xdr:col>22</xdr:col>
                    <xdr:colOff>184150</xdr:colOff>
                    <xdr:row>560</xdr:row>
                    <xdr:rowOff>184150</xdr:rowOff>
                  </to>
                </anchor>
              </controlPr>
            </control>
          </mc:Choice>
        </mc:AlternateContent>
        <mc:AlternateContent xmlns:mc="http://schemas.openxmlformats.org/markup-compatibility/2006">
          <mc:Choice Requires="x14">
            <control shapeId="5192" r:id="rId44" name="Check Box 72">
              <controlPr locked="0" defaultSize="0" autoFill="0" autoLine="0" autoPict="0">
                <anchor moveWithCells="1" sizeWithCells="1">
                  <from>
                    <xdr:col>22</xdr:col>
                    <xdr:colOff>0</xdr:colOff>
                    <xdr:row>577</xdr:row>
                    <xdr:rowOff>0</xdr:rowOff>
                  </from>
                  <to>
                    <xdr:col>22</xdr:col>
                    <xdr:colOff>184150</xdr:colOff>
                    <xdr:row>577</xdr:row>
                    <xdr:rowOff>184150</xdr:rowOff>
                  </to>
                </anchor>
              </controlPr>
            </control>
          </mc:Choice>
        </mc:AlternateContent>
        <mc:AlternateContent xmlns:mc="http://schemas.openxmlformats.org/markup-compatibility/2006">
          <mc:Choice Requires="x14">
            <control shapeId="5193" r:id="rId45" name="Check Box 73">
              <controlPr locked="0" defaultSize="0" autoFill="0" autoLine="0" autoPict="0">
                <anchor moveWithCells="1" sizeWithCells="1">
                  <from>
                    <xdr:col>22</xdr:col>
                    <xdr:colOff>0</xdr:colOff>
                    <xdr:row>580</xdr:row>
                    <xdr:rowOff>0</xdr:rowOff>
                  </from>
                  <to>
                    <xdr:col>22</xdr:col>
                    <xdr:colOff>184150</xdr:colOff>
                    <xdr:row>580</xdr:row>
                    <xdr:rowOff>184150</xdr:rowOff>
                  </to>
                </anchor>
              </controlPr>
            </control>
          </mc:Choice>
        </mc:AlternateContent>
        <mc:AlternateContent xmlns:mc="http://schemas.openxmlformats.org/markup-compatibility/2006">
          <mc:Choice Requires="x14">
            <control shapeId="5195" r:id="rId46" name="Check Box 75">
              <controlPr locked="0" defaultSize="0" autoFill="0" autoLine="0" autoPict="0">
                <anchor moveWithCells="1" sizeWithCells="1">
                  <from>
                    <xdr:col>22</xdr:col>
                    <xdr:colOff>0</xdr:colOff>
                    <xdr:row>585</xdr:row>
                    <xdr:rowOff>0</xdr:rowOff>
                  </from>
                  <to>
                    <xdr:col>22</xdr:col>
                    <xdr:colOff>184150</xdr:colOff>
                    <xdr:row>585</xdr:row>
                    <xdr:rowOff>184150</xdr:rowOff>
                  </to>
                </anchor>
              </controlPr>
            </control>
          </mc:Choice>
        </mc:AlternateContent>
        <mc:AlternateContent xmlns:mc="http://schemas.openxmlformats.org/markup-compatibility/2006">
          <mc:Choice Requires="x14">
            <control shapeId="5196" r:id="rId47" name="Check Box 76">
              <controlPr locked="0" defaultSize="0" autoFill="0" autoLine="0" autoPict="0">
                <anchor moveWithCells="1" sizeWithCells="1">
                  <from>
                    <xdr:col>22</xdr:col>
                    <xdr:colOff>0</xdr:colOff>
                    <xdr:row>586</xdr:row>
                    <xdr:rowOff>0</xdr:rowOff>
                  </from>
                  <to>
                    <xdr:col>22</xdr:col>
                    <xdr:colOff>184150</xdr:colOff>
                    <xdr:row>586</xdr:row>
                    <xdr:rowOff>184150</xdr:rowOff>
                  </to>
                </anchor>
              </controlPr>
            </control>
          </mc:Choice>
        </mc:AlternateContent>
        <mc:AlternateContent xmlns:mc="http://schemas.openxmlformats.org/markup-compatibility/2006">
          <mc:Choice Requires="x14">
            <control shapeId="5198" r:id="rId48" name="Check Box 78">
              <controlPr locked="0" defaultSize="0" autoFill="0" autoLine="0" autoPict="0">
                <anchor moveWithCells="1" sizeWithCells="1">
                  <from>
                    <xdr:col>22</xdr:col>
                    <xdr:colOff>0</xdr:colOff>
                    <xdr:row>596</xdr:row>
                    <xdr:rowOff>0</xdr:rowOff>
                  </from>
                  <to>
                    <xdr:col>22</xdr:col>
                    <xdr:colOff>184150</xdr:colOff>
                    <xdr:row>596</xdr:row>
                    <xdr:rowOff>184150</xdr:rowOff>
                  </to>
                </anchor>
              </controlPr>
            </control>
          </mc:Choice>
        </mc:AlternateContent>
        <mc:AlternateContent xmlns:mc="http://schemas.openxmlformats.org/markup-compatibility/2006">
          <mc:Choice Requires="x14">
            <control shapeId="5201" r:id="rId49" name="Check Box 81">
              <controlPr locked="0" defaultSize="0" autoFill="0" autoLine="0" autoPict="0">
                <anchor moveWithCells="1" sizeWithCells="1">
                  <from>
                    <xdr:col>22</xdr:col>
                    <xdr:colOff>0</xdr:colOff>
                    <xdr:row>625</xdr:row>
                    <xdr:rowOff>0</xdr:rowOff>
                  </from>
                  <to>
                    <xdr:col>22</xdr:col>
                    <xdr:colOff>184150</xdr:colOff>
                    <xdr:row>625</xdr:row>
                    <xdr:rowOff>184150</xdr:rowOff>
                  </to>
                </anchor>
              </controlPr>
            </control>
          </mc:Choice>
        </mc:AlternateContent>
        <mc:AlternateContent xmlns:mc="http://schemas.openxmlformats.org/markup-compatibility/2006">
          <mc:Choice Requires="x14">
            <control shapeId="5205" r:id="rId50" name="Check Box 85">
              <controlPr locked="0" defaultSize="0" autoFill="0" autoLine="0" autoPict="0">
                <anchor moveWithCells="1" sizeWithCells="1">
                  <from>
                    <xdr:col>22</xdr:col>
                    <xdr:colOff>0</xdr:colOff>
                    <xdr:row>642</xdr:row>
                    <xdr:rowOff>0</xdr:rowOff>
                  </from>
                  <to>
                    <xdr:col>22</xdr:col>
                    <xdr:colOff>184150</xdr:colOff>
                    <xdr:row>642</xdr:row>
                    <xdr:rowOff>184150</xdr:rowOff>
                  </to>
                </anchor>
              </controlPr>
            </control>
          </mc:Choice>
        </mc:AlternateContent>
        <mc:AlternateContent xmlns:mc="http://schemas.openxmlformats.org/markup-compatibility/2006">
          <mc:Choice Requires="x14">
            <control shapeId="5206" r:id="rId51" name="Check Box 86">
              <controlPr locked="0" defaultSize="0" autoFill="0" autoLine="0" autoPict="0">
                <anchor moveWithCells="1" sizeWithCells="1">
                  <from>
                    <xdr:col>22</xdr:col>
                    <xdr:colOff>0</xdr:colOff>
                    <xdr:row>654</xdr:row>
                    <xdr:rowOff>0</xdr:rowOff>
                  </from>
                  <to>
                    <xdr:col>22</xdr:col>
                    <xdr:colOff>184150</xdr:colOff>
                    <xdr:row>654</xdr:row>
                    <xdr:rowOff>184150</xdr:rowOff>
                  </to>
                </anchor>
              </controlPr>
            </control>
          </mc:Choice>
        </mc:AlternateContent>
        <mc:AlternateContent xmlns:mc="http://schemas.openxmlformats.org/markup-compatibility/2006">
          <mc:Choice Requires="x14">
            <control shapeId="5207" r:id="rId52" name="Check Box 87">
              <controlPr locked="0" defaultSize="0" autoFill="0" autoLine="0" autoPict="0">
                <anchor moveWithCells="1" sizeWithCells="1">
                  <from>
                    <xdr:col>22</xdr:col>
                    <xdr:colOff>0</xdr:colOff>
                    <xdr:row>656</xdr:row>
                    <xdr:rowOff>0</xdr:rowOff>
                  </from>
                  <to>
                    <xdr:col>22</xdr:col>
                    <xdr:colOff>184150</xdr:colOff>
                    <xdr:row>656</xdr:row>
                    <xdr:rowOff>184150</xdr:rowOff>
                  </to>
                </anchor>
              </controlPr>
            </control>
          </mc:Choice>
        </mc:AlternateContent>
        <mc:AlternateContent xmlns:mc="http://schemas.openxmlformats.org/markup-compatibility/2006">
          <mc:Choice Requires="x14">
            <control shapeId="5208" r:id="rId53" name="Check Box 88">
              <controlPr locked="0" defaultSize="0" autoFill="0" autoLine="0" autoPict="0">
                <anchor moveWithCells="1" sizeWithCells="1">
                  <from>
                    <xdr:col>22</xdr:col>
                    <xdr:colOff>0</xdr:colOff>
                    <xdr:row>658</xdr:row>
                    <xdr:rowOff>0</xdr:rowOff>
                  </from>
                  <to>
                    <xdr:col>22</xdr:col>
                    <xdr:colOff>184150</xdr:colOff>
                    <xdr:row>658</xdr:row>
                    <xdr:rowOff>184150</xdr:rowOff>
                  </to>
                </anchor>
              </controlPr>
            </control>
          </mc:Choice>
        </mc:AlternateContent>
        <mc:AlternateContent xmlns:mc="http://schemas.openxmlformats.org/markup-compatibility/2006">
          <mc:Choice Requires="x14">
            <control shapeId="5210" r:id="rId54" name="Check Box 90">
              <controlPr locked="0" defaultSize="0" autoFill="0" autoLine="0" autoPict="0">
                <anchor moveWithCells="1" sizeWithCells="1">
                  <from>
                    <xdr:col>22</xdr:col>
                    <xdr:colOff>0</xdr:colOff>
                    <xdr:row>459</xdr:row>
                    <xdr:rowOff>0</xdr:rowOff>
                  </from>
                  <to>
                    <xdr:col>22</xdr:col>
                    <xdr:colOff>184150</xdr:colOff>
                    <xdr:row>459</xdr:row>
                    <xdr:rowOff>184150</xdr:rowOff>
                  </to>
                </anchor>
              </controlPr>
            </control>
          </mc:Choice>
        </mc:AlternateContent>
        <mc:AlternateContent xmlns:mc="http://schemas.openxmlformats.org/markup-compatibility/2006">
          <mc:Choice Requires="x14">
            <control shapeId="5211" r:id="rId55" name="Check Box 91">
              <controlPr locked="0" defaultSize="0" autoFill="0" autoLine="0" autoPict="0">
                <anchor moveWithCells="1" sizeWithCells="1">
                  <from>
                    <xdr:col>22</xdr:col>
                    <xdr:colOff>0</xdr:colOff>
                    <xdr:row>454</xdr:row>
                    <xdr:rowOff>0</xdr:rowOff>
                  </from>
                  <to>
                    <xdr:col>22</xdr:col>
                    <xdr:colOff>184150</xdr:colOff>
                    <xdr:row>454</xdr:row>
                    <xdr:rowOff>184150</xdr:rowOff>
                  </to>
                </anchor>
              </controlPr>
            </control>
          </mc:Choice>
        </mc:AlternateContent>
        <mc:AlternateContent xmlns:mc="http://schemas.openxmlformats.org/markup-compatibility/2006">
          <mc:Choice Requires="x14">
            <control shapeId="5212" r:id="rId56" name="Check Box 92">
              <controlPr locked="0" defaultSize="0" autoFill="0" autoLine="0" autoPict="0">
                <anchor moveWithCells="1" sizeWithCells="1">
                  <from>
                    <xdr:col>22</xdr:col>
                    <xdr:colOff>0</xdr:colOff>
                    <xdr:row>455</xdr:row>
                    <xdr:rowOff>0</xdr:rowOff>
                  </from>
                  <to>
                    <xdr:col>22</xdr:col>
                    <xdr:colOff>184150</xdr:colOff>
                    <xdr:row>455</xdr:row>
                    <xdr:rowOff>184150</xdr:rowOff>
                  </to>
                </anchor>
              </controlPr>
            </control>
          </mc:Choice>
        </mc:AlternateContent>
        <mc:AlternateContent xmlns:mc="http://schemas.openxmlformats.org/markup-compatibility/2006">
          <mc:Choice Requires="x14">
            <control shapeId="5213" r:id="rId57" name="Check Box 93">
              <controlPr locked="0" defaultSize="0" autoFill="0" autoLine="0" autoPict="0">
                <anchor moveWithCells="1" sizeWithCells="1">
                  <from>
                    <xdr:col>22</xdr:col>
                    <xdr:colOff>0</xdr:colOff>
                    <xdr:row>456</xdr:row>
                    <xdr:rowOff>0</xdr:rowOff>
                  </from>
                  <to>
                    <xdr:col>22</xdr:col>
                    <xdr:colOff>184150</xdr:colOff>
                    <xdr:row>456</xdr:row>
                    <xdr:rowOff>184150</xdr:rowOff>
                  </to>
                </anchor>
              </controlPr>
            </control>
          </mc:Choice>
        </mc:AlternateContent>
        <mc:AlternateContent xmlns:mc="http://schemas.openxmlformats.org/markup-compatibility/2006">
          <mc:Choice Requires="x14">
            <control shapeId="5214" r:id="rId58" name="Check Box 94">
              <controlPr locked="0" defaultSize="0" autoFill="0" autoLine="0" autoPict="0">
                <anchor moveWithCells="1" sizeWithCells="1">
                  <from>
                    <xdr:col>22</xdr:col>
                    <xdr:colOff>0</xdr:colOff>
                    <xdr:row>486</xdr:row>
                    <xdr:rowOff>0</xdr:rowOff>
                  </from>
                  <to>
                    <xdr:col>22</xdr:col>
                    <xdr:colOff>184150</xdr:colOff>
                    <xdr:row>486</xdr:row>
                    <xdr:rowOff>184150</xdr:rowOff>
                  </to>
                </anchor>
              </controlPr>
            </control>
          </mc:Choice>
        </mc:AlternateContent>
        <mc:AlternateContent xmlns:mc="http://schemas.openxmlformats.org/markup-compatibility/2006">
          <mc:Choice Requires="x14">
            <control shapeId="5216" r:id="rId59" name="Check Box 96">
              <controlPr locked="0" defaultSize="0" autoFill="0" autoLine="0" autoPict="0">
                <anchor moveWithCells="1" sizeWithCells="1">
                  <from>
                    <xdr:col>22</xdr:col>
                    <xdr:colOff>0</xdr:colOff>
                    <xdr:row>494</xdr:row>
                    <xdr:rowOff>0</xdr:rowOff>
                  </from>
                  <to>
                    <xdr:col>22</xdr:col>
                    <xdr:colOff>184150</xdr:colOff>
                    <xdr:row>494</xdr:row>
                    <xdr:rowOff>184150</xdr:rowOff>
                  </to>
                </anchor>
              </controlPr>
            </control>
          </mc:Choice>
        </mc:AlternateContent>
        <mc:AlternateContent xmlns:mc="http://schemas.openxmlformats.org/markup-compatibility/2006">
          <mc:Choice Requires="x14">
            <control shapeId="5217" r:id="rId60" name="Check Box 97">
              <controlPr locked="0" defaultSize="0" autoFill="0" autoLine="0" autoPict="0">
                <anchor moveWithCells="1" sizeWithCells="1">
                  <from>
                    <xdr:col>22</xdr:col>
                    <xdr:colOff>0</xdr:colOff>
                    <xdr:row>496</xdr:row>
                    <xdr:rowOff>0</xdr:rowOff>
                  </from>
                  <to>
                    <xdr:col>22</xdr:col>
                    <xdr:colOff>184150</xdr:colOff>
                    <xdr:row>496</xdr:row>
                    <xdr:rowOff>184150</xdr:rowOff>
                  </to>
                </anchor>
              </controlPr>
            </control>
          </mc:Choice>
        </mc:AlternateContent>
        <mc:AlternateContent xmlns:mc="http://schemas.openxmlformats.org/markup-compatibility/2006">
          <mc:Choice Requires="x14">
            <control shapeId="5218" r:id="rId61" name="Check Box 98">
              <controlPr locked="0" defaultSize="0" autoFill="0" autoLine="0" autoPict="0">
                <anchor moveWithCells="1" sizeWithCells="1">
                  <from>
                    <xdr:col>22</xdr:col>
                    <xdr:colOff>0</xdr:colOff>
                    <xdr:row>497</xdr:row>
                    <xdr:rowOff>0</xdr:rowOff>
                  </from>
                  <to>
                    <xdr:col>22</xdr:col>
                    <xdr:colOff>184150</xdr:colOff>
                    <xdr:row>497</xdr:row>
                    <xdr:rowOff>184150</xdr:rowOff>
                  </to>
                </anchor>
              </controlPr>
            </control>
          </mc:Choice>
        </mc:AlternateContent>
        <mc:AlternateContent xmlns:mc="http://schemas.openxmlformats.org/markup-compatibility/2006">
          <mc:Choice Requires="x14">
            <control shapeId="5219" r:id="rId62" name="Check Box 99">
              <controlPr locked="0" defaultSize="0" autoFill="0" autoLine="0" autoPict="0">
                <anchor moveWithCells="1" sizeWithCells="1">
                  <from>
                    <xdr:col>22</xdr:col>
                    <xdr:colOff>0</xdr:colOff>
                    <xdr:row>498</xdr:row>
                    <xdr:rowOff>0</xdr:rowOff>
                  </from>
                  <to>
                    <xdr:col>22</xdr:col>
                    <xdr:colOff>184150</xdr:colOff>
                    <xdr:row>498</xdr:row>
                    <xdr:rowOff>184150</xdr:rowOff>
                  </to>
                </anchor>
              </controlPr>
            </control>
          </mc:Choice>
        </mc:AlternateContent>
        <mc:AlternateContent xmlns:mc="http://schemas.openxmlformats.org/markup-compatibility/2006">
          <mc:Choice Requires="x14">
            <control shapeId="5220" r:id="rId63" name="Check Box 100">
              <controlPr locked="0" defaultSize="0" autoFill="0" autoLine="0" autoPict="0">
                <anchor moveWithCells="1" sizeWithCells="1">
                  <from>
                    <xdr:col>22</xdr:col>
                    <xdr:colOff>0</xdr:colOff>
                    <xdr:row>500</xdr:row>
                    <xdr:rowOff>0</xdr:rowOff>
                  </from>
                  <to>
                    <xdr:col>22</xdr:col>
                    <xdr:colOff>184150</xdr:colOff>
                    <xdr:row>500</xdr:row>
                    <xdr:rowOff>184150</xdr:rowOff>
                  </to>
                </anchor>
              </controlPr>
            </control>
          </mc:Choice>
        </mc:AlternateContent>
        <mc:AlternateContent xmlns:mc="http://schemas.openxmlformats.org/markup-compatibility/2006">
          <mc:Choice Requires="x14">
            <control shapeId="5221" r:id="rId64" name="Check Box 101">
              <controlPr locked="0" defaultSize="0" autoFill="0" autoLine="0" autoPict="0">
                <anchor moveWithCells="1" sizeWithCells="1">
                  <from>
                    <xdr:col>22</xdr:col>
                    <xdr:colOff>0</xdr:colOff>
                    <xdr:row>503</xdr:row>
                    <xdr:rowOff>0</xdr:rowOff>
                  </from>
                  <to>
                    <xdr:col>22</xdr:col>
                    <xdr:colOff>184150</xdr:colOff>
                    <xdr:row>503</xdr:row>
                    <xdr:rowOff>184150</xdr:rowOff>
                  </to>
                </anchor>
              </controlPr>
            </control>
          </mc:Choice>
        </mc:AlternateContent>
        <mc:AlternateContent xmlns:mc="http://schemas.openxmlformats.org/markup-compatibility/2006">
          <mc:Choice Requires="x14">
            <control shapeId="5222" r:id="rId65" name="Check Box 102">
              <controlPr locked="0" defaultSize="0" autoFill="0" autoLine="0" autoPict="0">
                <anchor moveWithCells="1" sizeWithCells="1">
                  <from>
                    <xdr:col>22</xdr:col>
                    <xdr:colOff>0</xdr:colOff>
                    <xdr:row>505</xdr:row>
                    <xdr:rowOff>0</xdr:rowOff>
                  </from>
                  <to>
                    <xdr:col>22</xdr:col>
                    <xdr:colOff>184150</xdr:colOff>
                    <xdr:row>505</xdr:row>
                    <xdr:rowOff>184150</xdr:rowOff>
                  </to>
                </anchor>
              </controlPr>
            </control>
          </mc:Choice>
        </mc:AlternateContent>
        <mc:AlternateContent xmlns:mc="http://schemas.openxmlformats.org/markup-compatibility/2006">
          <mc:Choice Requires="x14">
            <control shapeId="5223" r:id="rId66" name="Check Box 103">
              <controlPr locked="0" defaultSize="0" autoFill="0" autoLine="0" autoPict="0">
                <anchor moveWithCells="1" sizeWithCells="1">
                  <from>
                    <xdr:col>22</xdr:col>
                    <xdr:colOff>0</xdr:colOff>
                    <xdr:row>510</xdr:row>
                    <xdr:rowOff>0</xdr:rowOff>
                  </from>
                  <to>
                    <xdr:col>22</xdr:col>
                    <xdr:colOff>184150</xdr:colOff>
                    <xdr:row>510</xdr:row>
                    <xdr:rowOff>184150</xdr:rowOff>
                  </to>
                </anchor>
              </controlPr>
            </control>
          </mc:Choice>
        </mc:AlternateContent>
        <mc:AlternateContent xmlns:mc="http://schemas.openxmlformats.org/markup-compatibility/2006">
          <mc:Choice Requires="x14">
            <control shapeId="5224" r:id="rId67" name="Check Box 104">
              <controlPr locked="0" defaultSize="0" autoFill="0" autoLine="0" autoPict="0">
                <anchor moveWithCells="1" sizeWithCells="1">
                  <from>
                    <xdr:col>22</xdr:col>
                    <xdr:colOff>0</xdr:colOff>
                    <xdr:row>512</xdr:row>
                    <xdr:rowOff>0</xdr:rowOff>
                  </from>
                  <to>
                    <xdr:col>22</xdr:col>
                    <xdr:colOff>184150</xdr:colOff>
                    <xdr:row>512</xdr:row>
                    <xdr:rowOff>184150</xdr:rowOff>
                  </to>
                </anchor>
              </controlPr>
            </control>
          </mc:Choice>
        </mc:AlternateContent>
        <mc:AlternateContent xmlns:mc="http://schemas.openxmlformats.org/markup-compatibility/2006">
          <mc:Choice Requires="x14">
            <control shapeId="5225" r:id="rId68" name="Check Box 105">
              <controlPr locked="0" defaultSize="0" autoFill="0" autoLine="0" autoPict="0">
                <anchor moveWithCells="1" sizeWithCells="1">
                  <from>
                    <xdr:col>22</xdr:col>
                    <xdr:colOff>0</xdr:colOff>
                    <xdr:row>514</xdr:row>
                    <xdr:rowOff>0</xdr:rowOff>
                  </from>
                  <to>
                    <xdr:col>22</xdr:col>
                    <xdr:colOff>184150</xdr:colOff>
                    <xdr:row>514</xdr:row>
                    <xdr:rowOff>184150</xdr:rowOff>
                  </to>
                </anchor>
              </controlPr>
            </control>
          </mc:Choice>
        </mc:AlternateContent>
        <mc:AlternateContent xmlns:mc="http://schemas.openxmlformats.org/markup-compatibility/2006">
          <mc:Choice Requires="x14">
            <control shapeId="5226" r:id="rId69" name="Check Box 106">
              <controlPr locked="0" defaultSize="0" autoFill="0" autoLine="0" autoPict="0">
                <anchor moveWithCells="1" sizeWithCells="1">
                  <from>
                    <xdr:col>22</xdr:col>
                    <xdr:colOff>0</xdr:colOff>
                    <xdr:row>516</xdr:row>
                    <xdr:rowOff>0</xdr:rowOff>
                  </from>
                  <to>
                    <xdr:col>22</xdr:col>
                    <xdr:colOff>184150</xdr:colOff>
                    <xdr:row>516</xdr:row>
                    <xdr:rowOff>184150</xdr:rowOff>
                  </to>
                </anchor>
              </controlPr>
            </control>
          </mc:Choice>
        </mc:AlternateContent>
        <mc:AlternateContent xmlns:mc="http://schemas.openxmlformats.org/markup-compatibility/2006">
          <mc:Choice Requires="x14">
            <control shapeId="5228" r:id="rId70" name="Check Box 108">
              <controlPr locked="0" defaultSize="0" autoFill="0" autoLine="0" autoPict="0">
                <anchor moveWithCells="1" sizeWithCells="1">
                  <from>
                    <xdr:col>22</xdr:col>
                    <xdr:colOff>0</xdr:colOff>
                    <xdr:row>447</xdr:row>
                    <xdr:rowOff>0</xdr:rowOff>
                  </from>
                  <to>
                    <xdr:col>22</xdr:col>
                    <xdr:colOff>184150</xdr:colOff>
                    <xdr:row>447</xdr:row>
                    <xdr:rowOff>184150</xdr:rowOff>
                  </to>
                </anchor>
              </controlPr>
            </control>
          </mc:Choice>
        </mc:AlternateContent>
        <mc:AlternateContent xmlns:mc="http://schemas.openxmlformats.org/markup-compatibility/2006">
          <mc:Choice Requires="x14">
            <control shapeId="5229" r:id="rId71" name="Check Box 109">
              <controlPr locked="0" defaultSize="0" autoFill="0" autoLine="0" autoPict="0">
                <anchor moveWithCells="1" sizeWithCells="1">
                  <from>
                    <xdr:col>22</xdr:col>
                    <xdr:colOff>0</xdr:colOff>
                    <xdr:row>449</xdr:row>
                    <xdr:rowOff>0</xdr:rowOff>
                  </from>
                  <to>
                    <xdr:col>22</xdr:col>
                    <xdr:colOff>184150</xdr:colOff>
                    <xdr:row>449</xdr:row>
                    <xdr:rowOff>184150</xdr:rowOff>
                  </to>
                </anchor>
              </controlPr>
            </control>
          </mc:Choice>
        </mc:AlternateContent>
        <mc:AlternateContent xmlns:mc="http://schemas.openxmlformats.org/markup-compatibility/2006">
          <mc:Choice Requires="x14">
            <control shapeId="5230" r:id="rId72" name="Check Box 110">
              <controlPr locked="0" defaultSize="0" autoFill="0" autoLine="0" autoPict="0">
                <anchor moveWithCells="1" sizeWithCells="1">
                  <from>
                    <xdr:col>22</xdr:col>
                    <xdr:colOff>0</xdr:colOff>
                    <xdr:row>451</xdr:row>
                    <xdr:rowOff>0</xdr:rowOff>
                  </from>
                  <to>
                    <xdr:col>22</xdr:col>
                    <xdr:colOff>184150</xdr:colOff>
                    <xdr:row>451</xdr:row>
                    <xdr:rowOff>184150</xdr:rowOff>
                  </to>
                </anchor>
              </controlPr>
            </control>
          </mc:Choice>
        </mc:AlternateContent>
        <mc:AlternateContent xmlns:mc="http://schemas.openxmlformats.org/markup-compatibility/2006">
          <mc:Choice Requires="x14">
            <control shapeId="5232" r:id="rId73" name="Check Box 112">
              <controlPr locked="0" defaultSize="0" autoFill="0" autoLine="0" autoPict="0">
                <anchor moveWithCells="1" sizeWithCells="1">
                  <from>
                    <xdr:col>22</xdr:col>
                    <xdr:colOff>0</xdr:colOff>
                    <xdr:row>424</xdr:row>
                    <xdr:rowOff>0</xdr:rowOff>
                  </from>
                  <to>
                    <xdr:col>22</xdr:col>
                    <xdr:colOff>184150</xdr:colOff>
                    <xdr:row>424</xdr:row>
                    <xdr:rowOff>184150</xdr:rowOff>
                  </to>
                </anchor>
              </controlPr>
            </control>
          </mc:Choice>
        </mc:AlternateContent>
        <mc:AlternateContent xmlns:mc="http://schemas.openxmlformats.org/markup-compatibility/2006">
          <mc:Choice Requires="x14">
            <control shapeId="5233" r:id="rId74" name="Check Box 113">
              <controlPr locked="0" defaultSize="0" autoFill="0" autoLine="0" autoPict="0">
                <anchor moveWithCells="1" sizeWithCells="1">
                  <from>
                    <xdr:col>22</xdr:col>
                    <xdr:colOff>0</xdr:colOff>
                    <xdr:row>426</xdr:row>
                    <xdr:rowOff>0</xdr:rowOff>
                  </from>
                  <to>
                    <xdr:col>22</xdr:col>
                    <xdr:colOff>184150</xdr:colOff>
                    <xdr:row>426</xdr:row>
                    <xdr:rowOff>184150</xdr:rowOff>
                  </to>
                </anchor>
              </controlPr>
            </control>
          </mc:Choice>
        </mc:AlternateContent>
        <mc:AlternateContent xmlns:mc="http://schemas.openxmlformats.org/markup-compatibility/2006">
          <mc:Choice Requires="x14">
            <control shapeId="5234" r:id="rId75" name="Check Box 114">
              <controlPr locked="0" defaultSize="0" autoFill="0" autoLine="0" autoPict="0">
                <anchor moveWithCells="1" sizeWithCells="1">
                  <from>
                    <xdr:col>22</xdr:col>
                    <xdr:colOff>0</xdr:colOff>
                    <xdr:row>422</xdr:row>
                    <xdr:rowOff>0</xdr:rowOff>
                  </from>
                  <to>
                    <xdr:col>22</xdr:col>
                    <xdr:colOff>184150</xdr:colOff>
                    <xdr:row>422</xdr:row>
                    <xdr:rowOff>184150</xdr:rowOff>
                  </to>
                </anchor>
              </controlPr>
            </control>
          </mc:Choice>
        </mc:AlternateContent>
        <mc:AlternateContent xmlns:mc="http://schemas.openxmlformats.org/markup-compatibility/2006">
          <mc:Choice Requires="x14">
            <control shapeId="5240" r:id="rId76" name="Check Box 120">
              <controlPr locked="0" defaultSize="0" autoFill="0" autoLine="0" autoPict="0">
                <anchor moveWithCells="1" sizeWithCells="1">
                  <from>
                    <xdr:col>22</xdr:col>
                    <xdr:colOff>0</xdr:colOff>
                    <xdr:row>353</xdr:row>
                    <xdr:rowOff>0</xdr:rowOff>
                  </from>
                  <to>
                    <xdr:col>22</xdr:col>
                    <xdr:colOff>184150</xdr:colOff>
                    <xdr:row>353</xdr:row>
                    <xdr:rowOff>184150</xdr:rowOff>
                  </to>
                </anchor>
              </controlPr>
            </control>
          </mc:Choice>
        </mc:AlternateContent>
        <mc:AlternateContent xmlns:mc="http://schemas.openxmlformats.org/markup-compatibility/2006">
          <mc:Choice Requires="x14">
            <control shapeId="5241" r:id="rId77" name="Check Box 121">
              <controlPr locked="0" defaultSize="0" autoFill="0" autoLine="0" autoPict="0">
                <anchor moveWithCells="1" sizeWithCells="1">
                  <from>
                    <xdr:col>22</xdr:col>
                    <xdr:colOff>0</xdr:colOff>
                    <xdr:row>355</xdr:row>
                    <xdr:rowOff>0</xdr:rowOff>
                  </from>
                  <to>
                    <xdr:col>22</xdr:col>
                    <xdr:colOff>184150</xdr:colOff>
                    <xdr:row>355</xdr:row>
                    <xdr:rowOff>184150</xdr:rowOff>
                  </to>
                </anchor>
              </controlPr>
            </control>
          </mc:Choice>
        </mc:AlternateContent>
        <mc:AlternateContent xmlns:mc="http://schemas.openxmlformats.org/markup-compatibility/2006">
          <mc:Choice Requires="x14">
            <control shapeId="5242" r:id="rId78" name="Check Box 122">
              <controlPr locked="0" defaultSize="0" autoFill="0" autoLine="0" autoPict="0">
                <anchor moveWithCells="1" sizeWithCells="1">
                  <from>
                    <xdr:col>22</xdr:col>
                    <xdr:colOff>0</xdr:colOff>
                    <xdr:row>358</xdr:row>
                    <xdr:rowOff>0</xdr:rowOff>
                  </from>
                  <to>
                    <xdr:col>22</xdr:col>
                    <xdr:colOff>184150</xdr:colOff>
                    <xdr:row>358</xdr:row>
                    <xdr:rowOff>184150</xdr:rowOff>
                  </to>
                </anchor>
              </controlPr>
            </control>
          </mc:Choice>
        </mc:AlternateContent>
        <mc:AlternateContent xmlns:mc="http://schemas.openxmlformats.org/markup-compatibility/2006">
          <mc:Choice Requires="x14">
            <control shapeId="5243" r:id="rId79" name="Check Box 123">
              <controlPr locked="0" defaultSize="0" autoFill="0" autoLine="0" autoPict="0">
                <anchor moveWithCells="1" sizeWithCells="1">
                  <from>
                    <xdr:col>22</xdr:col>
                    <xdr:colOff>0</xdr:colOff>
                    <xdr:row>359</xdr:row>
                    <xdr:rowOff>0</xdr:rowOff>
                  </from>
                  <to>
                    <xdr:col>22</xdr:col>
                    <xdr:colOff>184150</xdr:colOff>
                    <xdr:row>359</xdr:row>
                    <xdr:rowOff>184150</xdr:rowOff>
                  </to>
                </anchor>
              </controlPr>
            </control>
          </mc:Choice>
        </mc:AlternateContent>
        <mc:AlternateContent xmlns:mc="http://schemas.openxmlformats.org/markup-compatibility/2006">
          <mc:Choice Requires="x14">
            <control shapeId="5244" r:id="rId80" name="Check Box 124">
              <controlPr locked="0" defaultSize="0" autoFill="0" autoLine="0" autoPict="0">
                <anchor moveWithCells="1" sizeWithCells="1">
                  <from>
                    <xdr:col>22</xdr:col>
                    <xdr:colOff>0</xdr:colOff>
                    <xdr:row>361</xdr:row>
                    <xdr:rowOff>0</xdr:rowOff>
                  </from>
                  <to>
                    <xdr:col>22</xdr:col>
                    <xdr:colOff>184150</xdr:colOff>
                    <xdr:row>361</xdr:row>
                    <xdr:rowOff>184150</xdr:rowOff>
                  </to>
                </anchor>
              </controlPr>
            </control>
          </mc:Choice>
        </mc:AlternateContent>
        <mc:AlternateContent xmlns:mc="http://schemas.openxmlformats.org/markup-compatibility/2006">
          <mc:Choice Requires="x14">
            <control shapeId="5246" r:id="rId81" name="Check Box 126">
              <controlPr locked="0" defaultSize="0" autoFill="0" autoLine="0" autoPict="0">
                <anchor moveWithCells="1" sizeWithCells="1">
                  <from>
                    <xdr:col>22</xdr:col>
                    <xdr:colOff>0</xdr:colOff>
                    <xdr:row>347</xdr:row>
                    <xdr:rowOff>0</xdr:rowOff>
                  </from>
                  <to>
                    <xdr:col>22</xdr:col>
                    <xdr:colOff>184150</xdr:colOff>
                    <xdr:row>347</xdr:row>
                    <xdr:rowOff>184150</xdr:rowOff>
                  </to>
                </anchor>
              </controlPr>
            </control>
          </mc:Choice>
        </mc:AlternateContent>
        <mc:AlternateContent xmlns:mc="http://schemas.openxmlformats.org/markup-compatibility/2006">
          <mc:Choice Requires="x14">
            <control shapeId="5254" r:id="rId82" name="Check Box 134">
              <controlPr locked="0" defaultSize="0" autoFill="0" autoLine="0" autoPict="0">
                <anchor moveWithCells="1" sizeWithCells="1">
                  <from>
                    <xdr:col>22</xdr:col>
                    <xdr:colOff>0</xdr:colOff>
                    <xdr:row>283</xdr:row>
                    <xdr:rowOff>0</xdr:rowOff>
                  </from>
                  <to>
                    <xdr:col>22</xdr:col>
                    <xdr:colOff>184150</xdr:colOff>
                    <xdr:row>283</xdr:row>
                    <xdr:rowOff>184150</xdr:rowOff>
                  </to>
                </anchor>
              </controlPr>
            </control>
          </mc:Choice>
        </mc:AlternateContent>
        <mc:AlternateContent xmlns:mc="http://schemas.openxmlformats.org/markup-compatibility/2006">
          <mc:Choice Requires="x14">
            <control shapeId="5257" r:id="rId83" name="Check Box 137">
              <controlPr locked="0" defaultSize="0" autoFill="0" autoLine="0" autoPict="0">
                <anchor moveWithCells="1" sizeWithCells="1">
                  <from>
                    <xdr:col>22</xdr:col>
                    <xdr:colOff>0</xdr:colOff>
                    <xdr:row>327</xdr:row>
                    <xdr:rowOff>0</xdr:rowOff>
                  </from>
                  <to>
                    <xdr:col>22</xdr:col>
                    <xdr:colOff>184150</xdr:colOff>
                    <xdr:row>327</xdr:row>
                    <xdr:rowOff>184150</xdr:rowOff>
                  </to>
                </anchor>
              </controlPr>
            </control>
          </mc:Choice>
        </mc:AlternateContent>
        <mc:AlternateContent xmlns:mc="http://schemas.openxmlformats.org/markup-compatibility/2006">
          <mc:Choice Requires="x14">
            <control shapeId="5259" r:id="rId84" name="Check Box 139">
              <controlPr locked="0" defaultSize="0" autoFill="0" autoLine="0" autoPict="0">
                <anchor moveWithCells="1" sizeWithCells="1">
                  <from>
                    <xdr:col>22</xdr:col>
                    <xdr:colOff>0</xdr:colOff>
                    <xdr:row>330</xdr:row>
                    <xdr:rowOff>0</xdr:rowOff>
                  </from>
                  <to>
                    <xdr:col>22</xdr:col>
                    <xdr:colOff>184150</xdr:colOff>
                    <xdr:row>330</xdr:row>
                    <xdr:rowOff>184150</xdr:rowOff>
                  </to>
                </anchor>
              </controlPr>
            </control>
          </mc:Choice>
        </mc:AlternateContent>
        <mc:AlternateContent xmlns:mc="http://schemas.openxmlformats.org/markup-compatibility/2006">
          <mc:Choice Requires="x14">
            <control shapeId="5261" r:id="rId85" name="Check Box 141">
              <controlPr locked="0" defaultSize="0" autoFill="0" autoLine="0" autoPict="0">
                <anchor moveWithCells="1" sizeWithCells="1">
                  <from>
                    <xdr:col>22</xdr:col>
                    <xdr:colOff>0</xdr:colOff>
                    <xdr:row>340</xdr:row>
                    <xdr:rowOff>0</xdr:rowOff>
                  </from>
                  <to>
                    <xdr:col>22</xdr:col>
                    <xdr:colOff>184150</xdr:colOff>
                    <xdr:row>340</xdr:row>
                    <xdr:rowOff>184150</xdr:rowOff>
                  </to>
                </anchor>
              </controlPr>
            </control>
          </mc:Choice>
        </mc:AlternateContent>
        <mc:AlternateContent xmlns:mc="http://schemas.openxmlformats.org/markup-compatibility/2006">
          <mc:Choice Requires="x14">
            <control shapeId="5263" r:id="rId86" name="Check Box 143">
              <controlPr locked="0" defaultSize="0" autoFill="0" autoLine="0" autoPict="0">
                <anchor moveWithCells="1" sizeWithCells="1">
                  <from>
                    <xdr:col>22</xdr:col>
                    <xdr:colOff>0</xdr:colOff>
                    <xdr:row>644</xdr:row>
                    <xdr:rowOff>0</xdr:rowOff>
                  </from>
                  <to>
                    <xdr:col>22</xdr:col>
                    <xdr:colOff>184150</xdr:colOff>
                    <xdr:row>644</xdr:row>
                    <xdr:rowOff>184150</xdr:rowOff>
                  </to>
                </anchor>
              </controlPr>
            </control>
          </mc:Choice>
        </mc:AlternateContent>
        <mc:AlternateContent xmlns:mc="http://schemas.openxmlformats.org/markup-compatibility/2006">
          <mc:Choice Requires="x14">
            <control shapeId="5268" r:id="rId87" name="Check Box 148">
              <controlPr locked="0" defaultSize="0" autoFill="0" autoLine="0" autoPict="0">
                <anchor moveWithCells="1" sizeWithCells="1">
                  <from>
                    <xdr:col>22</xdr:col>
                    <xdr:colOff>0</xdr:colOff>
                    <xdr:row>40</xdr:row>
                    <xdr:rowOff>0</xdr:rowOff>
                  </from>
                  <to>
                    <xdr:col>22</xdr:col>
                    <xdr:colOff>184150</xdr:colOff>
                    <xdr:row>40</xdr:row>
                    <xdr:rowOff>184150</xdr:rowOff>
                  </to>
                </anchor>
              </controlPr>
            </control>
          </mc:Choice>
        </mc:AlternateContent>
        <mc:AlternateContent xmlns:mc="http://schemas.openxmlformats.org/markup-compatibility/2006">
          <mc:Choice Requires="x14">
            <control shapeId="5269" r:id="rId88" name="Check Box 149">
              <controlPr locked="0" defaultSize="0" autoFill="0" autoLine="0" autoPict="0">
                <anchor moveWithCells="1" sizeWithCells="1">
                  <from>
                    <xdr:col>22</xdr:col>
                    <xdr:colOff>0</xdr:colOff>
                    <xdr:row>41</xdr:row>
                    <xdr:rowOff>0</xdr:rowOff>
                  </from>
                  <to>
                    <xdr:col>22</xdr:col>
                    <xdr:colOff>184150</xdr:colOff>
                    <xdr:row>41</xdr:row>
                    <xdr:rowOff>184150</xdr:rowOff>
                  </to>
                </anchor>
              </controlPr>
            </control>
          </mc:Choice>
        </mc:AlternateContent>
        <mc:AlternateContent xmlns:mc="http://schemas.openxmlformats.org/markup-compatibility/2006">
          <mc:Choice Requires="x14">
            <control shapeId="5271" r:id="rId89" name="Check Box 151">
              <controlPr locked="0" defaultSize="0" autoFill="0" autoLine="0" autoPict="0">
                <anchor moveWithCells="1" sizeWithCells="1">
                  <from>
                    <xdr:col>22</xdr:col>
                    <xdr:colOff>0</xdr:colOff>
                    <xdr:row>44</xdr:row>
                    <xdr:rowOff>0</xdr:rowOff>
                  </from>
                  <to>
                    <xdr:col>22</xdr:col>
                    <xdr:colOff>184150</xdr:colOff>
                    <xdr:row>44</xdr:row>
                    <xdr:rowOff>184150</xdr:rowOff>
                  </to>
                </anchor>
              </controlPr>
            </control>
          </mc:Choice>
        </mc:AlternateContent>
        <mc:AlternateContent xmlns:mc="http://schemas.openxmlformats.org/markup-compatibility/2006">
          <mc:Choice Requires="x14">
            <control shapeId="5272" r:id="rId90" name="Check Box 152">
              <controlPr locked="0" defaultSize="0" autoFill="0" autoLine="0" autoPict="0">
                <anchor moveWithCells="1" sizeWithCells="1">
                  <from>
                    <xdr:col>22</xdr:col>
                    <xdr:colOff>0</xdr:colOff>
                    <xdr:row>49</xdr:row>
                    <xdr:rowOff>0</xdr:rowOff>
                  </from>
                  <to>
                    <xdr:col>22</xdr:col>
                    <xdr:colOff>184150</xdr:colOff>
                    <xdr:row>49</xdr:row>
                    <xdr:rowOff>184150</xdr:rowOff>
                  </to>
                </anchor>
              </controlPr>
            </control>
          </mc:Choice>
        </mc:AlternateContent>
        <mc:AlternateContent xmlns:mc="http://schemas.openxmlformats.org/markup-compatibility/2006">
          <mc:Choice Requires="x14">
            <control shapeId="5273" r:id="rId91" name="Check Box 153">
              <controlPr locked="0" defaultSize="0" autoFill="0" autoLine="0" autoPict="0">
                <anchor moveWithCells="1" sizeWithCells="1">
                  <from>
                    <xdr:col>22</xdr:col>
                    <xdr:colOff>0</xdr:colOff>
                    <xdr:row>50</xdr:row>
                    <xdr:rowOff>0</xdr:rowOff>
                  </from>
                  <to>
                    <xdr:col>22</xdr:col>
                    <xdr:colOff>184150</xdr:colOff>
                    <xdr:row>50</xdr:row>
                    <xdr:rowOff>184150</xdr:rowOff>
                  </to>
                </anchor>
              </controlPr>
            </control>
          </mc:Choice>
        </mc:AlternateContent>
        <mc:AlternateContent xmlns:mc="http://schemas.openxmlformats.org/markup-compatibility/2006">
          <mc:Choice Requires="x14">
            <control shapeId="5274" r:id="rId92" name="Check Box 154">
              <controlPr locked="0" defaultSize="0" autoFill="0" autoLine="0" autoPict="0">
                <anchor moveWithCells="1" sizeWithCells="1">
                  <from>
                    <xdr:col>22</xdr:col>
                    <xdr:colOff>0</xdr:colOff>
                    <xdr:row>51</xdr:row>
                    <xdr:rowOff>0</xdr:rowOff>
                  </from>
                  <to>
                    <xdr:col>22</xdr:col>
                    <xdr:colOff>184150</xdr:colOff>
                    <xdr:row>51</xdr:row>
                    <xdr:rowOff>184150</xdr:rowOff>
                  </to>
                </anchor>
              </controlPr>
            </control>
          </mc:Choice>
        </mc:AlternateContent>
        <mc:AlternateContent xmlns:mc="http://schemas.openxmlformats.org/markup-compatibility/2006">
          <mc:Choice Requires="x14">
            <control shapeId="5275" r:id="rId93" name="Check Box 155">
              <controlPr locked="0" defaultSize="0" autoFill="0" autoLine="0" autoPict="0">
                <anchor moveWithCells="1" sizeWithCells="1">
                  <from>
                    <xdr:col>22</xdr:col>
                    <xdr:colOff>0</xdr:colOff>
                    <xdr:row>53</xdr:row>
                    <xdr:rowOff>0</xdr:rowOff>
                  </from>
                  <to>
                    <xdr:col>22</xdr:col>
                    <xdr:colOff>184150</xdr:colOff>
                    <xdr:row>53</xdr:row>
                    <xdr:rowOff>184150</xdr:rowOff>
                  </to>
                </anchor>
              </controlPr>
            </control>
          </mc:Choice>
        </mc:AlternateContent>
        <mc:AlternateContent xmlns:mc="http://schemas.openxmlformats.org/markup-compatibility/2006">
          <mc:Choice Requires="x14">
            <control shapeId="5276" r:id="rId94" name="Check Box 156">
              <controlPr locked="0" defaultSize="0" autoFill="0" autoLine="0" autoPict="0">
                <anchor moveWithCells="1" sizeWithCells="1">
                  <from>
                    <xdr:col>22</xdr:col>
                    <xdr:colOff>0</xdr:colOff>
                    <xdr:row>54</xdr:row>
                    <xdr:rowOff>0</xdr:rowOff>
                  </from>
                  <to>
                    <xdr:col>22</xdr:col>
                    <xdr:colOff>184150</xdr:colOff>
                    <xdr:row>54</xdr:row>
                    <xdr:rowOff>184150</xdr:rowOff>
                  </to>
                </anchor>
              </controlPr>
            </control>
          </mc:Choice>
        </mc:AlternateContent>
        <mc:AlternateContent xmlns:mc="http://schemas.openxmlformats.org/markup-compatibility/2006">
          <mc:Choice Requires="x14">
            <control shapeId="5277" r:id="rId95" name="Check Box 157">
              <controlPr locked="0" defaultSize="0" autoFill="0" autoLine="0" autoPict="0">
                <anchor moveWithCells="1" sizeWithCells="1">
                  <from>
                    <xdr:col>22</xdr:col>
                    <xdr:colOff>0</xdr:colOff>
                    <xdr:row>55</xdr:row>
                    <xdr:rowOff>0</xdr:rowOff>
                  </from>
                  <to>
                    <xdr:col>22</xdr:col>
                    <xdr:colOff>184150</xdr:colOff>
                    <xdr:row>55</xdr:row>
                    <xdr:rowOff>184150</xdr:rowOff>
                  </to>
                </anchor>
              </controlPr>
            </control>
          </mc:Choice>
        </mc:AlternateContent>
        <mc:AlternateContent xmlns:mc="http://schemas.openxmlformats.org/markup-compatibility/2006">
          <mc:Choice Requires="x14">
            <control shapeId="5278" r:id="rId96" name="Check Box 158">
              <controlPr locked="0" defaultSize="0" autoFill="0" autoLine="0" autoPict="0">
                <anchor moveWithCells="1" sizeWithCells="1">
                  <from>
                    <xdr:col>22</xdr:col>
                    <xdr:colOff>0</xdr:colOff>
                    <xdr:row>56</xdr:row>
                    <xdr:rowOff>0</xdr:rowOff>
                  </from>
                  <to>
                    <xdr:col>22</xdr:col>
                    <xdr:colOff>184150</xdr:colOff>
                    <xdr:row>56</xdr:row>
                    <xdr:rowOff>184150</xdr:rowOff>
                  </to>
                </anchor>
              </controlPr>
            </control>
          </mc:Choice>
        </mc:AlternateContent>
        <mc:AlternateContent xmlns:mc="http://schemas.openxmlformats.org/markup-compatibility/2006">
          <mc:Choice Requires="x14">
            <control shapeId="5279" r:id="rId97" name="Check Box 159">
              <controlPr locked="0" defaultSize="0" autoFill="0" autoLine="0" autoPict="0">
                <anchor moveWithCells="1" sizeWithCells="1">
                  <from>
                    <xdr:col>22</xdr:col>
                    <xdr:colOff>0</xdr:colOff>
                    <xdr:row>58</xdr:row>
                    <xdr:rowOff>0</xdr:rowOff>
                  </from>
                  <to>
                    <xdr:col>22</xdr:col>
                    <xdr:colOff>184150</xdr:colOff>
                    <xdr:row>58</xdr:row>
                    <xdr:rowOff>184150</xdr:rowOff>
                  </to>
                </anchor>
              </controlPr>
            </control>
          </mc:Choice>
        </mc:AlternateContent>
        <mc:AlternateContent xmlns:mc="http://schemas.openxmlformats.org/markup-compatibility/2006">
          <mc:Choice Requires="x14">
            <control shapeId="5288" r:id="rId98" name="Check Box 168">
              <controlPr locked="0" defaultSize="0" autoFill="0" autoLine="0" autoPict="0">
                <anchor moveWithCells="1" sizeWithCells="1">
                  <from>
                    <xdr:col>22</xdr:col>
                    <xdr:colOff>0</xdr:colOff>
                    <xdr:row>591</xdr:row>
                    <xdr:rowOff>0</xdr:rowOff>
                  </from>
                  <to>
                    <xdr:col>22</xdr:col>
                    <xdr:colOff>184150</xdr:colOff>
                    <xdr:row>591</xdr:row>
                    <xdr:rowOff>184150</xdr:rowOff>
                  </to>
                </anchor>
              </controlPr>
            </control>
          </mc:Choice>
        </mc:AlternateContent>
        <mc:AlternateContent xmlns:mc="http://schemas.openxmlformats.org/markup-compatibility/2006">
          <mc:Choice Requires="x14">
            <control shapeId="5289" r:id="rId99" name="Check Box 169">
              <controlPr locked="0" defaultSize="0" autoFill="0" autoLine="0" autoPict="0">
                <anchor moveWithCells="1" sizeWithCells="1">
                  <from>
                    <xdr:col>22</xdr:col>
                    <xdr:colOff>0</xdr:colOff>
                    <xdr:row>594</xdr:row>
                    <xdr:rowOff>0</xdr:rowOff>
                  </from>
                  <to>
                    <xdr:col>22</xdr:col>
                    <xdr:colOff>184150</xdr:colOff>
                    <xdr:row>594</xdr:row>
                    <xdr:rowOff>184150</xdr:rowOff>
                  </to>
                </anchor>
              </controlPr>
            </control>
          </mc:Choice>
        </mc:AlternateContent>
        <mc:AlternateContent xmlns:mc="http://schemas.openxmlformats.org/markup-compatibility/2006">
          <mc:Choice Requires="x14">
            <control shapeId="5292" r:id="rId100" name="Check Box 172">
              <controlPr locked="0" defaultSize="0" autoFill="0" autoLine="0" autoPict="0">
                <anchor moveWithCells="1" sizeWithCells="1">
                  <from>
                    <xdr:col>22</xdr:col>
                    <xdr:colOff>0</xdr:colOff>
                    <xdr:row>605</xdr:row>
                    <xdr:rowOff>0</xdr:rowOff>
                  </from>
                  <to>
                    <xdr:col>22</xdr:col>
                    <xdr:colOff>184150</xdr:colOff>
                    <xdr:row>605</xdr:row>
                    <xdr:rowOff>184150</xdr:rowOff>
                  </to>
                </anchor>
              </controlPr>
            </control>
          </mc:Choice>
        </mc:AlternateContent>
        <mc:AlternateContent xmlns:mc="http://schemas.openxmlformats.org/markup-compatibility/2006">
          <mc:Choice Requires="x14">
            <control shapeId="5293" r:id="rId101" name="Check Box 173">
              <controlPr locked="0" defaultSize="0" autoFill="0" autoLine="0" autoPict="0">
                <anchor moveWithCells="1" sizeWithCells="1">
                  <from>
                    <xdr:col>22</xdr:col>
                    <xdr:colOff>0</xdr:colOff>
                    <xdr:row>607</xdr:row>
                    <xdr:rowOff>0</xdr:rowOff>
                  </from>
                  <to>
                    <xdr:col>22</xdr:col>
                    <xdr:colOff>184150</xdr:colOff>
                    <xdr:row>607</xdr:row>
                    <xdr:rowOff>184150</xdr:rowOff>
                  </to>
                </anchor>
              </controlPr>
            </control>
          </mc:Choice>
        </mc:AlternateContent>
        <mc:AlternateContent xmlns:mc="http://schemas.openxmlformats.org/markup-compatibility/2006">
          <mc:Choice Requires="x14">
            <control shapeId="5295" r:id="rId102" name="Check Box 175">
              <controlPr locked="0" defaultSize="0" autoFill="0" autoLine="0" autoPict="0">
                <anchor moveWithCells="1" sizeWithCells="1">
                  <from>
                    <xdr:col>22</xdr:col>
                    <xdr:colOff>0</xdr:colOff>
                    <xdr:row>631</xdr:row>
                    <xdr:rowOff>0</xdr:rowOff>
                  </from>
                  <to>
                    <xdr:col>22</xdr:col>
                    <xdr:colOff>184150</xdr:colOff>
                    <xdr:row>631</xdr:row>
                    <xdr:rowOff>184150</xdr:rowOff>
                  </to>
                </anchor>
              </controlPr>
            </control>
          </mc:Choice>
        </mc:AlternateContent>
        <mc:AlternateContent xmlns:mc="http://schemas.openxmlformats.org/markup-compatibility/2006">
          <mc:Choice Requires="x14">
            <control shapeId="5296" r:id="rId103" name="Check Box 176">
              <controlPr locked="0" defaultSize="0" autoFill="0" autoLine="0" autoPict="0">
                <anchor moveWithCells="1" sizeWithCells="1">
                  <from>
                    <xdr:col>22</xdr:col>
                    <xdr:colOff>0</xdr:colOff>
                    <xdr:row>633</xdr:row>
                    <xdr:rowOff>0</xdr:rowOff>
                  </from>
                  <to>
                    <xdr:col>22</xdr:col>
                    <xdr:colOff>184150</xdr:colOff>
                    <xdr:row>633</xdr:row>
                    <xdr:rowOff>184150</xdr:rowOff>
                  </to>
                </anchor>
              </controlPr>
            </control>
          </mc:Choice>
        </mc:AlternateContent>
        <mc:AlternateContent xmlns:mc="http://schemas.openxmlformats.org/markup-compatibility/2006">
          <mc:Choice Requires="x14">
            <control shapeId="5298" r:id="rId104" name="Check Box 178">
              <controlPr locked="0" defaultSize="0" autoFill="0" autoLine="0" autoPict="0">
                <anchor moveWithCells="1" sizeWithCells="1">
                  <from>
                    <xdr:col>22</xdr:col>
                    <xdr:colOff>0</xdr:colOff>
                    <xdr:row>710</xdr:row>
                    <xdr:rowOff>0</xdr:rowOff>
                  </from>
                  <to>
                    <xdr:col>22</xdr:col>
                    <xdr:colOff>184150</xdr:colOff>
                    <xdr:row>710</xdr:row>
                    <xdr:rowOff>184150</xdr:rowOff>
                  </to>
                </anchor>
              </controlPr>
            </control>
          </mc:Choice>
        </mc:AlternateContent>
        <mc:AlternateContent xmlns:mc="http://schemas.openxmlformats.org/markup-compatibility/2006">
          <mc:Choice Requires="x14">
            <control shapeId="5300" r:id="rId105" name="Check Box 180">
              <controlPr locked="0" defaultSize="0" autoFill="0" autoLine="0" autoPict="0">
                <anchor moveWithCells="1" sizeWithCells="1">
                  <from>
                    <xdr:col>22</xdr:col>
                    <xdr:colOff>0</xdr:colOff>
                    <xdr:row>745</xdr:row>
                    <xdr:rowOff>0</xdr:rowOff>
                  </from>
                  <to>
                    <xdr:col>22</xdr:col>
                    <xdr:colOff>184150</xdr:colOff>
                    <xdr:row>745</xdr:row>
                    <xdr:rowOff>184150</xdr:rowOff>
                  </to>
                </anchor>
              </controlPr>
            </control>
          </mc:Choice>
        </mc:AlternateContent>
        <mc:AlternateContent xmlns:mc="http://schemas.openxmlformats.org/markup-compatibility/2006">
          <mc:Choice Requires="x14">
            <control shapeId="5301" r:id="rId106" name="Check Box 181">
              <controlPr locked="0" defaultSize="0" autoFill="0" autoLine="0" autoPict="0">
                <anchor moveWithCells="1" sizeWithCells="1">
                  <from>
                    <xdr:col>22</xdr:col>
                    <xdr:colOff>0</xdr:colOff>
                    <xdr:row>747</xdr:row>
                    <xdr:rowOff>0</xdr:rowOff>
                  </from>
                  <to>
                    <xdr:col>22</xdr:col>
                    <xdr:colOff>184150</xdr:colOff>
                    <xdr:row>747</xdr:row>
                    <xdr:rowOff>184150</xdr:rowOff>
                  </to>
                </anchor>
              </controlPr>
            </control>
          </mc:Choice>
        </mc:AlternateContent>
        <mc:AlternateContent xmlns:mc="http://schemas.openxmlformats.org/markup-compatibility/2006">
          <mc:Choice Requires="x14">
            <control shapeId="5302" r:id="rId107" name="Check Box 182">
              <controlPr locked="0" defaultSize="0" autoFill="0" autoLine="0" autoPict="0">
                <anchor moveWithCells="1" sizeWithCells="1">
                  <from>
                    <xdr:col>22</xdr:col>
                    <xdr:colOff>0</xdr:colOff>
                    <xdr:row>756</xdr:row>
                    <xdr:rowOff>0</xdr:rowOff>
                  </from>
                  <to>
                    <xdr:col>22</xdr:col>
                    <xdr:colOff>184150</xdr:colOff>
                    <xdr:row>756</xdr:row>
                    <xdr:rowOff>184150</xdr:rowOff>
                  </to>
                </anchor>
              </controlPr>
            </control>
          </mc:Choice>
        </mc:AlternateContent>
        <mc:AlternateContent xmlns:mc="http://schemas.openxmlformats.org/markup-compatibility/2006">
          <mc:Choice Requires="x14">
            <control shapeId="5303" r:id="rId108" name="Check Box 183">
              <controlPr locked="0" defaultSize="0" autoFill="0" autoLine="0" autoPict="0">
                <anchor moveWithCells="1" sizeWithCells="1">
                  <from>
                    <xdr:col>22</xdr:col>
                    <xdr:colOff>0</xdr:colOff>
                    <xdr:row>760</xdr:row>
                    <xdr:rowOff>0</xdr:rowOff>
                  </from>
                  <to>
                    <xdr:col>22</xdr:col>
                    <xdr:colOff>184150</xdr:colOff>
                    <xdr:row>760</xdr:row>
                    <xdr:rowOff>184150</xdr:rowOff>
                  </to>
                </anchor>
              </controlPr>
            </control>
          </mc:Choice>
        </mc:AlternateContent>
        <mc:AlternateContent xmlns:mc="http://schemas.openxmlformats.org/markup-compatibility/2006">
          <mc:Choice Requires="x14">
            <control shapeId="5304" r:id="rId109" name="Check Box 184">
              <controlPr locked="0" defaultSize="0" autoFill="0" autoLine="0" autoPict="0">
                <anchor moveWithCells="1" sizeWithCells="1">
                  <from>
                    <xdr:col>22</xdr:col>
                    <xdr:colOff>0</xdr:colOff>
                    <xdr:row>765</xdr:row>
                    <xdr:rowOff>0</xdr:rowOff>
                  </from>
                  <to>
                    <xdr:col>22</xdr:col>
                    <xdr:colOff>184150</xdr:colOff>
                    <xdr:row>765</xdr:row>
                    <xdr:rowOff>184150</xdr:rowOff>
                  </to>
                </anchor>
              </controlPr>
            </control>
          </mc:Choice>
        </mc:AlternateContent>
        <mc:AlternateContent xmlns:mc="http://schemas.openxmlformats.org/markup-compatibility/2006">
          <mc:Choice Requires="x14">
            <control shapeId="5305" r:id="rId110" name="Check Box 185">
              <controlPr locked="0" defaultSize="0" autoFill="0" autoLine="0" autoPict="0">
                <anchor moveWithCells="1" sizeWithCells="1">
                  <from>
                    <xdr:col>22</xdr:col>
                    <xdr:colOff>0</xdr:colOff>
                    <xdr:row>766</xdr:row>
                    <xdr:rowOff>0</xdr:rowOff>
                  </from>
                  <to>
                    <xdr:col>22</xdr:col>
                    <xdr:colOff>184150</xdr:colOff>
                    <xdr:row>766</xdr:row>
                    <xdr:rowOff>184150</xdr:rowOff>
                  </to>
                </anchor>
              </controlPr>
            </control>
          </mc:Choice>
        </mc:AlternateContent>
        <mc:AlternateContent xmlns:mc="http://schemas.openxmlformats.org/markup-compatibility/2006">
          <mc:Choice Requires="x14">
            <control shapeId="5306" r:id="rId111" name="Check Box 186">
              <controlPr locked="0" defaultSize="0" autoFill="0" autoLine="0" autoPict="0">
                <anchor moveWithCells="1" sizeWithCells="1">
                  <from>
                    <xdr:col>22</xdr:col>
                    <xdr:colOff>0</xdr:colOff>
                    <xdr:row>735</xdr:row>
                    <xdr:rowOff>0</xdr:rowOff>
                  </from>
                  <to>
                    <xdr:col>22</xdr:col>
                    <xdr:colOff>184150</xdr:colOff>
                    <xdr:row>735</xdr:row>
                    <xdr:rowOff>184150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4" id="{B3734636-9693-4863-B6F8-D31FD7A9C7D9}">
            <xm:f>'Overview (Design)'!$G$28&gt;=2400</xm:f>
            <x14:dxf>
              <font>
                <color theme="1"/>
              </font>
              <fill>
                <patternFill>
                  <bgColor rgb="FFFF0000"/>
                </patternFill>
              </fill>
              <border>
                <left style="thin">
                  <color auto="1"/>
                </left>
                <right style="thin">
                  <color auto="1"/>
                </right>
                <top style="thin">
                  <color auto="1"/>
                </top>
                <vertical/>
                <horizontal/>
              </border>
            </x14:dxf>
          </x14:cfRule>
          <xm:sqref>L36</xm:sqref>
        </x14:conditionalFormatting>
        <x14:conditionalFormatting xmlns:xm="http://schemas.microsoft.com/office/excel/2006/main">
          <x14:cfRule type="expression" priority="13" id="{24D92E19-97FB-4943-B963-49BB27B76C31}">
            <xm:f>'Overview (Design)'!$G$28&gt;=2400</xm:f>
            <x14:dxf>
              <font>
                <color theme="1"/>
              </font>
              <fill>
                <patternFill>
                  <bgColor rgb="FFFF0000"/>
                </patternFill>
              </fill>
              <border>
                <left style="thin">
                  <color auto="1"/>
                </left>
                <right style="thin">
                  <color auto="1"/>
                </right>
                <top style="thin">
                  <color auto="1"/>
                </top>
                <bottom style="thin">
                  <color auto="1"/>
                </bottom>
                <vertical/>
                <horizontal/>
              </border>
            </x14:dxf>
          </x14:cfRule>
          <xm:sqref>L40</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pageSetUpPr fitToPage="1"/>
  </sheetPr>
  <dimension ref="A1:BI247"/>
  <sheetViews>
    <sheetView showGridLines="0" zoomScaleNormal="100" zoomScaleSheetLayoutView="70" workbookViewId="0">
      <pane ySplit="7" topLeftCell="A124" activePane="bottomLeft" state="frozen"/>
      <selection activeCell="S48" sqref="S48"/>
      <selection pane="bottomLeft" activeCell="S48" sqref="S48"/>
    </sheetView>
  </sheetViews>
  <sheetFormatPr defaultColWidth="9.1796875" defaultRowHeight="14.5" x14ac:dyDescent="0.35"/>
  <cols>
    <col min="1" max="1" width="9.1796875" style="12" hidden="1" customWidth="1"/>
    <col min="2" max="2" width="7.26953125" style="12" hidden="1" customWidth="1"/>
    <col min="3" max="7" width="3.81640625" style="12" hidden="1" customWidth="1"/>
    <col min="8" max="8" width="3.81640625" style="12" customWidth="1"/>
    <col min="9" max="9" width="10.453125" customWidth="1"/>
    <col min="10" max="10" width="3.81640625" style="2" customWidth="1"/>
    <col min="11" max="11" width="3.81640625" customWidth="1"/>
    <col min="12" max="12" width="71.7265625" customWidth="1"/>
    <col min="13" max="13" width="13.54296875" style="33" customWidth="1"/>
    <col min="14" max="14" width="7.7265625" hidden="1" customWidth="1"/>
    <col min="15" max="15" width="7.7265625" style="41" customWidth="1"/>
    <col min="16" max="21" width="8.81640625" hidden="1" customWidth="1"/>
    <col min="22" max="22" width="3" hidden="1" customWidth="1"/>
    <col min="23" max="23" width="21.453125" customWidth="1"/>
    <col min="24" max="24" width="69" customWidth="1"/>
    <col min="25" max="26" width="34.81640625" hidden="1" customWidth="1"/>
    <col min="27" max="28" width="9.1796875" hidden="1" customWidth="1"/>
    <col min="29" max="29" width="8.54296875" hidden="1" customWidth="1"/>
    <col min="30" max="30" width="6.1796875" hidden="1" customWidth="1"/>
    <col min="31" max="31" width="10.453125" hidden="1" customWidth="1"/>
    <col min="32" max="37" width="9.1796875" hidden="1" customWidth="1"/>
    <col min="38" max="38" width="16.453125" hidden="1" customWidth="1"/>
    <col min="39" max="39" width="4.7265625" hidden="1" customWidth="1"/>
    <col min="40" max="40" width="14.26953125" hidden="1" customWidth="1"/>
    <col min="41" max="41" width="5.54296875" hidden="1" customWidth="1"/>
    <col min="42" max="42" width="14.26953125" hidden="1" customWidth="1"/>
    <col min="43" max="43" width="6.1796875" hidden="1" customWidth="1"/>
    <col min="44" max="44" width="14.1796875" hidden="1" customWidth="1"/>
    <col min="45" max="45" width="4.1796875" hidden="1" customWidth="1"/>
    <col min="46" max="61" width="9.1796875" hidden="1" customWidth="1"/>
  </cols>
  <sheetData>
    <row r="1" spans="1:61" ht="15" customHeight="1" x14ac:dyDescent="0.35">
      <c r="H1" s="856" t="s">
        <v>4088</v>
      </c>
      <c r="I1" s="867" t="str">
        <f ca="1">IF(OR(AG3,AI3),"Errors on page, no Level reached","Current Chapter level: "&amp;AG1&amp;"                                            Total Points: "&amp;AG2)</f>
        <v>Current Chapter level: Silver                                            Total Points: 42</v>
      </c>
      <c r="J1" s="867"/>
      <c r="K1" s="867"/>
      <c r="L1" s="867"/>
      <c r="M1" s="857"/>
      <c r="N1" s="857"/>
      <c r="O1" s="857"/>
      <c r="P1" s="857"/>
      <c r="Q1" s="857"/>
      <c r="R1" s="857"/>
      <c r="S1" s="857"/>
      <c r="T1" s="857"/>
      <c r="U1" s="857"/>
      <c r="V1" s="857"/>
      <c r="W1" s="857"/>
      <c r="X1" s="716" t="s">
        <v>4063</v>
      </c>
      <c r="AF1" s="6" t="s">
        <v>745</v>
      </c>
      <c r="AG1" t="str">
        <f ca="1">IF(OR(AG3,AI3),"None",Ch8Level)</f>
        <v>Silver</v>
      </c>
    </row>
    <row r="2" spans="1:61" x14ac:dyDescent="0.35">
      <c r="H2" s="856"/>
      <c r="I2" s="868" t="str">
        <f ca="1">"Points away from:  Bronze: "&amp;MAX(Points!C18-Ch8Points,0)&amp;",  Silver: "&amp;IF(Points!N12&lt;2,"N/A",MAX(Points!D18-Ch8Points,0))&amp;",  Gold: "&amp;IF(Points!N12&lt;3,"N/A",MAX(Points!E18-Ch8Points,0))&amp;",  Emerald: "&amp;IF(Points!N12&lt;4,"N/A",MAX(Points!F18-Ch8Points,0))</f>
        <v>Points away from:  Bronze: 0,  Silver: 0,  Gold: N/A,  Emerald: N/A</v>
      </c>
      <c r="J2" s="868"/>
      <c r="K2" s="868"/>
      <c r="L2" s="868"/>
      <c r="M2" s="857"/>
      <c r="N2" s="857"/>
      <c r="O2" s="857"/>
      <c r="P2" s="857"/>
      <c r="Q2" s="857"/>
      <c r="R2" s="857"/>
      <c r="S2" s="857"/>
      <c r="T2" s="857"/>
      <c r="U2" s="857"/>
      <c r="V2" s="857"/>
      <c r="W2" s="857"/>
      <c r="X2" s="716" t="s">
        <v>3504</v>
      </c>
      <c r="AF2" s="6" t="s">
        <v>746</v>
      </c>
      <c r="AG2">
        <f ca="1">INDIRECT(AF2)</f>
        <v>42</v>
      </c>
      <c r="AH2" t="s">
        <v>749</v>
      </c>
      <c r="AI2">
        <f ca="1">INDIRECT(AH2)</f>
        <v>25</v>
      </c>
    </row>
    <row r="3" spans="1:61" x14ac:dyDescent="0.35">
      <c r="H3" s="856"/>
      <c r="I3" s="868" t="str">
        <f ca="1">"Add'l pts earned above:  Bronze: "&amp; MAX(0,Ch8Points-Points!C18) &amp;",  Silver: " &amp;IF(Points!N12&lt;2,"N/A",MAX(0,Ch8Points-Points!D18)) &amp;",  Gold: " &amp; IF(Points!N12&lt;3,"N/A",MAX(0,Ch8Points-Points!E18)) &amp;",  Emerald: " &amp; IF(Points!N12&lt;4,"N/A",MAX(0,Ch8Points-Points!F18))</f>
        <v>Add'l pts earned above:  Bronze: 17,  Silver: 3,  Gold: N/A,  Emerald: N/A</v>
      </c>
      <c r="J3" s="868"/>
      <c r="K3" s="868"/>
      <c r="L3" s="868"/>
      <c r="M3" s="857"/>
      <c r="N3" s="857"/>
      <c r="O3" s="857"/>
      <c r="P3" s="857"/>
      <c r="Q3" s="857"/>
      <c r="R3" s="857"/>
      <c r="S3" s="857"/>
      <c r="T3" s="857"/>
      <c r="U3" s="857"/>
      <c r="V3" s="857"/>
      <c r="W3" s="857"/>
      <c r="X3" s="716" t="s">
        <v>3503</v>
      </c>
      <c r="AF3" s="6" t="s">
        <v>747</v>
      </c>
      <c r="AG3" t="b">
        <f>OR(AE:AE)</f>
        <v>0</v>
      </c>
      <c r="AH3" s="6" t="s">
        <v>748</v>
      </c>
      <c r="AI3" t="b">
        <f ca="1">OR(AD:AD)</f>
        <v>0</v>
      </c>
    </row>
    <row r="4" spans="1:61" x14ac:dyDescent="0.35">
      <c r="H4" s="856"/>
      <c r="I4" s="871" t="str">
        <f ca="1">"Total Chapter Points needed for:  Bronze: "&amp;Points!C18&amp;",  Silver: "&amp;IF(Points!N12&lt;2,"N/A",Points!D18)&amp;",  Gold: "&amp;IF(Points!N12&lt;3,"N/A",Points!E18)&amp;",  Emerald: "&amp;IF(Points!N12&lt;4,"N/A",Points!F18)</f>
        <v>Total Chapter Points needed for:  Bronze: 25,  Silver: 39,  Gold: N/A,  Emerald: N/A</v>
      </c>
      <c r="J4" s="872"/>
      <c r="K4" s="872"/>
      <c r="L4" s="873"/>
      <c r="M4" s="857"/>
      <c r="N4" s="857"/>
      <c r="O4" s="857"/>
      <c r="P4" s="857"/>
      <c r="Q4" s="857"/>
      <c r="R4" s="857"/>
      <c r="S4" s="857"/>
      <c r="T4" s="857"/>
      <c r="U4" s="857"/>
      <c r="V4" s="857"/>
      <c r="W4" s="857"/>
      <c r="X4" s="762" t="s">
        <v>4873</v>
      </c>
      <c r="AF4" s="6"/>
      <c r="AH4" s="6"/>
    </row>
    <row r="5" spans="1:61" x14ac:dyDescent="0.35">
      <c r="H5" s="856"/>
      <c r="I5" s="874" t="str">
        <f>"Revision Date:  "&amp;TEXT('Info &amp; Intro'!E7,"m/d/yyyy")</f>
        <v>Revision Date:  5/25/2023</v>
      </c>
      <c r="J5" s="875"/>
      <c r="K5" s="875"/>
      <c r="L5" s="876"/>
      <c r="M5" s="857"/>
      <c r="N5" s="857"/>
      <c r="O5" s="857"/>
      <c r="P5" s="857"/>
      <c r="Q5" s="857"/>
      <c r="R5" s="857"/>
      <c r="S5" s="857"/>
      <c r="T5" s="857"/>
      <c r="U5" s="857"/>
      <c r="V5" s="857"/>
      <c r="W5" s="857"/>
      <c r="X5" s="762"/>
      <c r="AF5" s="6"/>
      <c r="AH5" s="6"/>
    </row>
    <row r="6" spans="1:61" x14ac:dyDescent="0.35">
      <c r="H6" s="856"/>
      <c r="I6" s="877" t="s">
        <v>248</v>
      </c>
      <c r="J6" s="878"/>
      <c r="K6" s="879"/>
      <c r="L6" s="860" t="s">
        <v>1110</v>
      </c>
      <c r="M6" s="860" t="s">
        <v>249</v>
      </c>
      <c r="N6" s="860"/>
      <c r="O6" s="23" t="s">
        <v>318</v>
      </c>
      <c r="P6" s="860" t="s">
        <v>4101</v>
      </c>
      <c r="Q6" s="860" t="s">
        <v>309</v>
      </c>
      <c r="R6" s="860" t="s">
        <v>250</v>
      </c>
      <c r="S6" s="860" t="s">
        <v>251</v>
      </c>
      <c r="T6" s="860" t="s">
        <v>0</v>
      </c>
      <c r="U6" s="860" t="s">
        <v>4102</v>
      </c>
      <c r="V6" s="860"/>
      <c r="W6" s="860" t="s">
        <v>252</v>
      </c>
      <c r="X6" s="869" t="s">
        <v>1</v>
      </c>
      <c r="AC6" s="2" t="s">
        <v>307</v>
      </c>
      <c r="AD6" s="2" t="s">
        <v>0</v>
      </c>
      <c r="AE6" s="2" t="s">
        <v>306</v>
      </c>
    </row>
    <row r="7" spans="1:61" x14ac:dyDescent="0.35">
      <c r="H7" s="856"/>
      <c r="I7" s="877"/>
      <c r="J7" s="878"/>
      <c r="K7" s="879"/>
      <c r="L7" s="860"/>
      <c r="M7" s="860"/>
      <c r="N7" s="860"/>
      <c r="O7" s="23" t="s">
        <v>319</v>
      </c>
      <c r="P7" s="860"/>
      <c r="Q7" s="860"/>
      <c r="R7" s="860"/>
      <c r="S7" s="860"/>
      <c r="T7" s="860"/>
      <c r="U7" s="860"/>
      <c r="V7" s="860"/>
      <c r="W7" s="860"/>
      <c r="X7" s="870"/>
      <c r="AC7" s="2" t="s">
        <v>307</v>
      </c>
      <c r="AD7" s="2" t="s">
        <v>0</v>
      </c>
      <c r="AE7" s="2" t="s">
        <v>306</v>
      </c>
    </row>
    <row r="8" spans="1:61" hidden="1" x14ac:dyDescent="0.35">
      <c r="I8" s="451"/>
      <c r="J8" s="505"/>
      <c r="K8" s="451"/>
      <c r="L8" s="22"/>
      <c r="M8" s="22"/>
      <c r="N8" s="22"/>
      <c r="O8" s="23"/>
      <c r="P8" s="22"/>
      <c r="Q8" s="22"/>
      <c r="R8" s="22"/>
      <c r="S8" s="22"/>
      <c r="T8" s="22"/>
      <c r="U8" s="22"/>
      <c r="V8" s="22"/>
      <c r="W8" s="22"/>
      <c r="X8" s="451"/>
      <c r="AC8" s="2"/>
      <c r="AD8" s="2"/>
      <c r="AE8" s="2"/>
    </row>
    <row r="9" spans="1:61" ht="18.5" x14ac:dyDescent="0.45">
      <c r="A9" s="12" t="s">
        <v>247</v>
      </c>
      <c r="B9" s="12" t="s">
        <v>247</v>
      </c>
      <c r="C9" s="12" t="s">
        <v>247</v>
      </c>
      <c r="D9" s="12" t="s">
        <v>247</v>
      </c>
      <c r="E9" s="12" t="s">
        <v>247</v>
      </c>
      <c r="F9" s="12" t="s">
        <v>247</v>
      </c>
      <c r="G9" s="12" t="s">
        <v>247</v>
      </c>
      <c r="H9" s="455"/>
      <c r="I9" s="14" t="s">
        <v>771</v>
      </c>
      <c r="J9" s="445"/>
      <c r="K9" s="14"/>
      <c r="L9" s="15"/>
      <c r="M9" s="16"/>
      <c r="N9" t="s">
        <v>247</v>
      </c>
      <c r="O9" s="16"/>
      <c r="P9" t="s">
        <v>247</v>
      </c>
      <c r="Q9" t="s">
        <v>247</v>
      </c>
      <c r="R9" t="s">
        <v>247</v>
      </c>
      <c r="S9" t="s">
        <v>247</v>
      </c>
      <c r="T9" t="s">
        <v>247</v>
      </c>
      <c r="U9" t="s">
        <v>247</v>
      </c>
      <c r="V9" t="s">
        <v>247</v>
      </c>
      <c r="W9" s="15"/>
      <c r="X9" s="15"/>
      <c r="Y9" s="21" t="s">
        <v>247</v>
      </c>
      <c r="Z9" s="21" t="s">
        <v>247</v>
      </c>
      <c r="AA9" s="21" t="s">
        <v>247</v>
      </c>
      <c r="AB9" s="21" t="s">
        <v>247</v>
      </c>
      <c r="AC9" s="21" t="s">
        <v>247</v>
      </c>
      <c r="AD9" s="21" t="s">
        <v>247</v>
      </c>
      <c r="AE9" s="21" t="s">
        <v>247</v>
      </c>
      <c r="AF9" s="21" t="s">
        <v>247</v>
      </c>
      <c r="AG9" s="21" t="s">
        <v>247</v>
      </c>
      <c r="AH9" s="21" t="s">
        <v>247</v>
      </c>
      <c r="AI9" s="21" t="s">
        <v>247</v>
      </c>
      <c r="AJ9" s="21" t="s">
        <v>247</v>
      </c>
      <c r="AK9" s="21" t="s">
        <v>247</v>
      </c>
      <c r="AL9" s="21" t="s">
        <v>247</v>
      </c>
      <c r="AM9" s="21" t="s">
        <v>247</v>
      </c>
      <c r="AN9" s="21" t="s">
        <v>247</v>
      </c>
      <c r="AO9" s="21" t="s">
        <v>247</v>
      </c>
      <c r="AP9" s="21" t="s">
        <v>247</v>
      </c>
      <c r="AQ9" s="21" t="s">
        <v>247</v>
      </c>
      <c r="AR9" s="21" t="s">
        <v>247</v>
      </c>
      <c r="AS9" s="21" t="s">
        <v>247</v>
      </c>
      <c r="AT9" s="21" t="s">
        <v>247</v>
      </c>
      <c r="AU9" s="21" t="s">
        <v>247</v>
      </c>
      <c r="AV9" s="21" t="s">
        <v>247</v>
      </c>
      <c r="AW9" s="21" t="s">
        <v>247</v>
      </c>
      <c r="AX9" s="21" t="s">
        <v>247</v>
      </c>
      <c r="AY9" s="21" t="s">
        <v>247</v>
      </c>
      <c r="AZ9" s="21" t="s">
        <v>247</v>
      </c>
      <c r="BA9" s="21" t="s">
        <v>247</v>
      </c>
      <c r="BB9" s="21" t="s">
        <v>247</v>
      </c>
      <c r="BC9" s="21" t="s">
        <v>247</v>
      </c>
      <c r="BD9" s="21" t="s">
        <v>247</v>
      </c>
      <c r="BE9" s="21" t="s">
        <v>247</v>
      </c>
      <c r="BF9" s="21" t="s">
        <v>247</v>
      </c>
      <c r="BG9" s="21" t="s">
        <v>247</v>
      </c>
      <c r="BH9" s="21" t="s">
        <v>247</v>
      </c>
      <c r="BI9" s="21" t="s">
        <v>247</v>
      </c>
    </row>
    <row r="10" spans="1:61" x14ac:dyDescent="0.35">
      <c r="B10" s="510" t="s">
        <v>772</v>
      </c>
      <c r="C10" s="13"/>
      <c r="D10" s="13"/>
      <c r="E10" s="13"/>
      <c r="F10" s="13"/>
      <c r="G10" s="13"/>
      <c r="H10" s="453"/>
      <c r="I10" s="38" t="s">
        <v>772</v>
      </c>
      <c r="J10" s="93"/>
      <c r="K10" s="4"/>
      <c r="L10" s="838" t="s">
        <v>4372</v>
      </c>
      <c r="M10" s="40"/>
    </row>
    <row r="11" spans="1:61" x14ac:dyDescent="0.35">
      <c r="B11" s="510" t="s">
        <v>772</v>
      </c>
      <c r="C11" s="13"/>
      <c r="D11" s="13"/>
      <c r="E11" s="13"/>
      <c r="F11" s="13"/>
      <c r="G11" s="13"/>
      <c r="H11" s="453"/>
      <c r="I11" s="38"/>
      <c r="J11" s="93"/>
      <c r="K11" s="4"/>
      <c r="L11" s="838"/>
      <c r="M11" s="40"/>
      <c r="AX11" s="6" t="str">
        <f>'Overview (Design)'!A10</f>
        <v>Builder Name:</v>
      </c>
      <c r="AY11" t="str">
        <f>'Overview (Design)'!G10</f>
        <v>ABC Builder</v>
      </c>
    </row>
    <row r="12" spans="1:61" x14ac:dyDescent="0.35">
      <c r="B12" s="510" t="s">
        <v>772</v>
      </c>
      <c r="C12" s="13"/>
      <c r="D12" s="13"/>
      <c r="E12" s="13"/>
      <c r="F12" s="13"/>
      <c r="G12" s="13"/>
      <c r="H12" s="453"/>
      <c r="I12" s="497"/>
      <c r="J12" s="320"/>
      <c r="K12" s="133"/>
      <c r="L12" s="889"/>
      <c r="M12" s="40"/>
      <c r="AX12" s="6" t="str">
        <f>'Overview (Design)'!A11</f>
        <v>Physical Address of Home:</v>
      </c>
      <c r="AY12" t="str">
        <f>'Overview (Design)'!G11</f>
        <v>123 Example Drive</v>
      </c>
    </row>
    <row r="13" spans="1:61" x14ac:dyDescent="0.35">
      <c r="B13" s="510">
        <v>801.1</v>
      </c>
      <c r="C13" s="13"/>
      <c r="D13" s="13"/>
      <c r="E13" s="13"/>
      <c r="F13" s="13"/>
      <c r="G13" s="13"/>
      <c r="H13" s="453"/>
      <c r="I13" s="30">
        <v>801.1</v>
      </c>
      <c r="J13" s="93"/>
      <c r="K13" s="4"/>
      <c r="L13" s="953" t="s">
        <v>4819</v>
      </c>
      <c r="M13" s="40"/>
      <c r="P13" t="b">
        <v>1</v>
      </c>
      <c r="Q13" t="b">
        <v>0</v>
      </c>
      <c r="R13" t="b">
        <v>1</v>
      </c>
      <c r="S13" t="b">
        <v>1</v>
      </c>
      <c r="T13" t="b">
        <v>0</v>
      </c>
      <c r="U13" t="str">
        <f>SUBSTITUTE(SUBSTITUTE(SUBSTITUTE("dd"&amp;B13&amp;C13&amp;D13&amp;E13&amp;F13,".","_"),"(","_"),")","")</f>
        <v>dd801_1</v>
      </c>
      <c r="W13" s="9" t="s">
        <v>2990</v>
      </c>
      <c r="X13" s="817"/>
      <c r="AP13" t="str">
        <f>SUBSTITUTE(SUBSTITUTE(SUBSTITUTE("dch"&amp;$B13&amp;$C13&amp;$D13&amp;$E13,".","_"),"(","_"),")","")</f>
        <v>dch801_1</v>
      </c>
      <c r="AQ13" t="str">
        <f>IF(LEN(W13)=0,"",W13)</f>
        <v>Prescriptive Path</v>
      </c>
      <c r="AR13" t="str">
        <f>SUBSTITUTE(SUBSTITUTE(SUBSTITUTE("dnt"&amp;$B13&amp;$C13&amp;$D13&amp;$E13,".","_"),"(","_"),")","")</f>
        <v>dnt801_1</v>
      </c>
      <c r="AS13" t="str">
        <f>IF(LEN(X13)=0,"",X13)</f>
        <v/>
      </c>
      <c r="AX13" s="6" t="str">
        <f>'Overview (Design)'!A12</f>
        <v>Community/Lot #:</v>
      </c>
      <c r="AY13" t="str">
        <f>'Overview (Design)'!G12</f>
        <v>Lot 1A</v>
      </c>
    </row>
    <row r="14" spans="1:61" x14ac:dyDescent="0.35">
      <c r="B14" s="510">
        <v>801.1</v>
      </c>
      <c r="C14" s="13"/>
      <c r="D14" s="13"/>
      <c r="E14" s="13"/>
      <c r="F14" s="13"/>
      <c r="G14" s="13"/>
      <c r="H14" s="453"/>
      <c r="I14" s="38"/>
      <c r="J14" s="93"/>
      <c r="K14" s="4"/>
      <c r="L14" s="953"/>
      <c r="M14" s="40"/>
      <c r="R14" t="s">
        <v>3380</v>
      </c>
      <c r="S14">
        <f ca="1">IFERROR(MATCH(W13,INDIRECT(U13),0),0)</f>
        <v>2</v>
      </c>
      <c r="X14" s="817"/>
      <c r="AX14" s="6" t="str">
        <f>'Overview (Design)'!A13</f>
        <v>City:</v>
      </c>
      <c r="AY14" t="str">
        <f>'Overview (Design)'!G13</f>
        <v>Durham</v>
      </c>
    </row>
    <row r="15" spans="1:61" x14ac:dyDescent="0.35">
      <c r="B15" s="510">
        <v>801.1</v>
      </c>
      <c r="C15" s="13"/>
      <c r="D15" s="13"/>
      <c r="E15" s="13"/>
      <c r="F15" s="13"/>
      <c r="G15" s="13"/>
      <c r="H15" s="453"/>
      <c r="I15" s="38"/>
      <c r="J15" s="93"/>
      <c r="K15" s="4"/>
      <c r="L15" s="953"/>
      <c r="M15" s="40"/>
      <c r="X15" s="817"/>
      <c r="AX15" s="6" t="str">
        <f>'Overview (Design)'!A14</f>
        <v>State:</v>
      </c>
      <c r="AY15" t="str">
        <f>'Overview (Design)'!G14</f>
        <v>North Carolina</v>
      </c>
      <c r="BC15" t="str">
        <f>'Overview (Design)'!K14</f>
        <v>State</v>
      </c>
      <c r="BD15" t="str">
        <f>'Overview (Design)'!L14</f>
        <v>County</v>
      </c>
      <c r="BE15" t="str">
        <f>'Overview (Design)'!M14</f>
        <v>Radon</v>
      </c>
      <c r="BF15" t="str">
        <f>'Overview (Design)'!N14</f>
        <v>Climate</v>
      </c>
      <c r="BG15" t="str">
        <f>'Overview (Design)'!O14</f>
        <v>Moist</v>
      </c>
      <c r="BH15" t="str">
        <f>'Overview (Design)'!P14</f>
        <v>WarmHumid</v>
      </c>
      <c r="BI15" t="str">
        <f>'Overview (Design)'!Q14</f>
        <v>Tropical</v>
      </c>
    </row>
    <row r="16" spans="1:61" x14ac:dyDescent="0.35">
      <c r="B16" s="510">
        <v>801.1</v>
      </c>
      <c r="C16" s="13"/>
      <c r="D16" s="13"/>
      <c r="E16" s="13"/>
      <c r="F16" s="13"/>
      <c r="G16" s="13"/>
      <c r="H16" s="453"/>
      <c r="I16" s="38"/>
      <c r="J16" s="93"/>
      <c r="K16" s="4"/>
      <c r="L16" s="953"/>
      <c r="M16" s="40"/>
      <c r="X16" s="817"/>
      <c r="AX16" s="6" t="str">
        <f>'Overview (Design)'!A15</f>
        <v>County:</v>
      </c>
      <c r="AY16" t="str">
        <f>'Overview (Design)'!G15</f>
        <v xml:space="preserve">Chatham  </v>
      </c>
      <c r="BC16" t="str">
        <f>'Overview (Design)'!K15</f>
        <v>North Carolina</v>
      </c>
      <c r="BD16" t="str">
        <f>'Overview (Design)'!L15</f>
        <v xml:space="preserve">Chatham  </v>
      </c>
      <c r="BE16">
        <f>'Overview (Design)'!M15</f>
        <v>3</v>
      </c>
      <c r="BF16">
        <f>'Overview (Design)'!N15</f>
        <v>4</v>
      </c>
      <c r="BG16" t="str">
        <f>'Overview (Design)'!O15</f>
        <v>Moist</v>
      </c>
      <c r="BH16" t="str">
        <f>'Overview (Design)'!P15</f>
        <v xml:space="preserve"> </v>
      </c>
      <c r="BI16" t="str">
        <f>'Overview (Design)'!Q15</f>
        <v xml:space="preserve"> </v>
      </c>
    </row>
    <row r="17" spans="2:51" x14ac:dyDescent="0.35">
      <c r="B17" s="510">
        <v>801.1</v>
      </c>
      <c r="C17" s="13"/>
      <c r="D17" s="13"/>
      <c r="E17" s="13"/>
      <c r="F17" s="13"/>
      <c r="G17" s="13"/>
      <c r="H17" s="453"/>
      <c r="I17" s="38"/>
      <c r="J17" s="93"/>
      <c r="K17" s="4"/>
      <c r="L17" s="953"/>
      <c r="M17" s="40"/>
      <c r="X17" s="817"/>
      <c r="AX17" s="6" t="str">
        <f>'Overview (Design)'!A16</f>
        <v>Zip:</v>
      </c>
      <c r="AY17" t="str">
        <f>'Overview (Design)'!G16</f>
        <v>27703</v>
      </c>
    </row>
    <row r="18" spans="2:51" ht="15" thickBot="1" x14ac:dyDescent="0.4">
      <c r="B18" s="510">
        <v>801.1</v>
      </c>
      <c r="C18" s="13"/>
      <c r="D18" s="13"/>
      <c r="E18" s="13"/>
      <c r="F18" s="13"/>
      <c r="G18" s="13"/>
      <c r="H18" s="453"/>
      <c r="I18" s="230"/>
      <c r="J18" s="294"/>
      <c r="K18" s="160"/>
      <c r="L18" s="954"/>
      <c r="M18" s="270"/>
      <c r="N18" s="55"/>
      <c r="O18" s="72"/>
      <c r="P18" s="55"/>
      <c r="Q18" s="55"/>
      <c r="R18" s="55"/>
      <c r="S18" s="55"/>
      <c r="T18" s="55"/>
      <c r="U18" s="55"/>
      <c r="V18" s="55"/>
      <c r="W18" s="55"/>
      <c r="X18" s="817"/>
      <c r="AX18" s="6"/>
    </row>
    <row r="19" spans="2:51" ht="19" thickTop="1" x14ac:dyDescent="0.45">
      <c r="B19" s="412" t="s">
        <v>4395</v>
      </c>
      <c r="C19" s="13"/>
      <c r="D19" s="13"/>
      <c r="E19" s="13"/>
      <c r="F19" s="13"/>
      <c r="G19" s="13"/>
      <c r="H19" s="453"/>
      <c r="I19" s="10" t="s">
        <v>4396</v>
      </c>
      <c r="J19" s="10"/>
      <c r="K19" s="15"/>
      <c r="L19" s="151"/>
      <c r="M19" s="307"/>
      <c r="N19" s="311"/>
      <c r="O19" s="307"/>
      <c r="P19" s="15"/>
      <c r="Q19" s="15"/>
      <c r="R19" s="15"/>
      <c r="S19" s="15"/>
      <c r="T19" s="15"/>
      <c r="U19" s="15"/>
      <c r="V19" s="15"/>
      <c r="W19" s="15"/>
      <c r="X19" s="15"/>
      <c r="AX19" s="6" t="str">
        <f>'Overview (Design)'!A18</f>
        <v>Single-Family or Multifamily:</v>
      </c>
      <c r="AY19" t="str">
        <f>'Overview (Design)'!G18</f>
        <v>Single-Family</v>
      </c>
    </row>
    <row r="20" spans="2:51" x14ac:dyDescent="0.35">
      <c r="B20" s="412">
        <v>802.1</v>
      </c>
      <c r="C20" s="13"/>
      <c r="D20" s="13"/>
      <c r="E20" s="13"/>
      <c r="F20" s="13"/>
      <c r="G20" s="13"/>
      <c r="H20" s="453"/>
      <c r="I20" s="30">
        <v>802.1</v>
      </c>
      <c r="J20" s="93"/>
      <c r="K20" s="4"/>
      <c r="L20" s="838" t="s">
        <v>4394</v>
      </c>
      <c r="M20" s="40"/>
      <c r="N20" s="4"/>
      <c r="O20" s="832">
        <f ca="1">IFERROR(INDEX({8,12,20,24,28,9},MATCH(W21,INDIRECT(U21),0)),0)*S21*NOT(T21)</f>
        <v>0</v>
      </c>
      <c r="AN20" t="str">
        <f>SUBSTITUTE(SUBSTITUTE(SUBSTITUTE("dpc"&amp;$B20&amp;$C20&amp;$D20&amp;$E20,".","_"),"(","_"),")","")</f>
        <v>dpc802_1</v>
      </c>
      <c r="AO20">
        <f ca="1">O20</f>
        <v>0</v>
      </c>
      <c r="AX20" s="6" t="str">
        <f>'Overview (Design)'!A19</f>
        <v>Number of Units:</v>
      </c>
      <c r="AY20">
        <f>'Overview (Design)'!G19</f>
        <v>0</v>
      </c>
    </row>
    <row r="21" spans="2:51" x14ac:dyDescent="0.35">
      <c r="B21" s="412">
        <v>802.1</v>
      </c>
      <c r="C21" s="13"/>
      <c r="D21" s="13"/>
      <c r="E21" s="13"/>
      <c r="F21" s="13"/>
      <c r="G21" s="13"/>
      <c r="H21" s="453"/>
      <c r="I21" s="30"/>
      <c r="J21" s="93"/>
      <c r="K21" s="4"/>
      <c r="L21" s="838"/>
      <c r="M21" s="40"/>
      <c r="N21" s="4"/>
      <c r="O21" s="832"/>
      <c r="P21" t="b">
        <v>1</v>
      </c>
      <c r="Q21" t="b">
        <v>1</v>
      </c>
      <c r="R21" t="b">
        <v>0</v>
      </c>
      <c r="S21" t="b">
        <f ca="1">AND(S23,S24=TRUE,S14=2)</f>
        <v>0</v>
      </c>
      <c r="T21" t="b">
        <f ca="1">OR(IF(AND(NOT(S21),LEN(W21)&gt;0),TRUE,FALSE),AND(W21=INDEX(INDIRECT(U21),6),NOT(AY19=INDEX(ddSingleOrMulti,2))))</f>
        <v>0</v>
      </c>
      <c r="U21" t="str">
        <f>SUBSTITUTE(SUBSTITUTE(SUBSTITUTE("dd"&amp;B21&amp;C21&amp;D21&amp;E21&amp;F21,".","_"),"(","_"),")","")</f>
        <v>dd802_1</v>
      </c>
      <c r="W21" s="9"/>
      <c r="AC21" t="b">
        <f ca="1">OR(AD21:AE21)</f>
        <v>0</v>
      </c>
      <c r="AD21" t="b">
        <f ca="1">T21</f>
        <v>0</v>
      </c>
      <c r="AP21" t="str">
        <f>SUBSTITUTE(SUBSTITUTE(SUBSTITUTE("dch"&amp;$B21&amp;$C21&amp;$D21&amp;$E21,".","_"),"(","_"),")","")</f>
        <v>dch802_1</v>
      </c>
      <c r="AQ21" t="str">
        <f>IF(LEN(W21)=0,"",W21)</f>
        <v/>
      </c>
      <c r="AX21" s="6" t="str">
        <f>'Overview (Design)'!A20</f>
        <v>Building includes commercial space pursuing Commercial Space certification?</v>
      </c>
      <c r="AY21">
        <f>'Overview (Design)'!G20</f>
        <v>0</v>
      </c>
    </row>
    <row r="22" spans="2:51" x14ac:dyDescent="0.35">
      <c r="B22" s="412">
        <v>802.1</v>
      </c>
      <c r="C22" s="13"/>
      <c r="D22" s="13"/>
      <c r="E22" s="13"/>
      <c r="F22" s="13"/>
      <c r="G22" s="13"/>
      <c r="H22" s="453"/>
      <c r="I22" s="30"/>
      <c r="J22" s="93"/>
      <c r="K22" s="4"/>
      <c r="L22" s="838"/>
      <c r="M22" s="40"/>
      <c r="N22" s="4"/>
      <c r="O22" s="832"/>
    </row>
    <row r="23" spans="2:51" x14ac:dyDescent="0.35">
      <c r="B23" s="412">
        <v>802.1</v>
      </c>
      <c r="C23" s="13"/>
      <c r="D23" s="13"/>
      <c r="E23" s="13"/>
      <c r="F23" s="13"/>
      <c r="G23" s="13"/>
      <c r="H23" s="453"/>
      <c r="I23" s="30"/>
      <c r="J23" s="93"/>
      <c r="K23" s="4"/>
      <c r="L23" s="838"/>
      <c r="M23" s="40"/>
      <c r="N23" s="4"/>
      <c r="O23" s="832"/>
      <c r="S23" s="1" t="b">
        <f>'Ch7'!S643</f>
        <v>1</v>
      </c>
    </row>
    <row r="24" spans="2:51" x14ac:dyDescent="0.35">
      <c r="B24" s="412">
        <v>802.1</v>
      </c>
      <c r="C24" s="13"/>
      <c r="D24" s="13"/>
      <c r="E24" s="13"/>
      <c r="F24" s="13"/>
      <c r="G24" s="13"/>
      <c r="H24" s="453"/>
      <c r="I24" s="30"/>
      <c r="J24" s="93"/>
      <c r="K24" s="4"/>
      <c r="L24" s="838"/>
      <c r="M24" s="40"/>
      <c r="N24" s="4"/>
      <c r="O24" s="832"/>
      <c r="S24" s="1">
        <f>'Ch7'!W643</f>
        <v>0</v>
      </c>
      <c r="AX24" s="6" t="str">
        <f>'Overview (Design)'!A23</f>
        <v>Project Name:</v>
      </c>
      <c r="AY24">
        <f>'Overview (Design)'!G23</f>
        <v>0</v>
      </c>
    </row>
    <row r="25" spans="2:51" x14ac:dyDescent="0.35">
      <c r="B25" s="412">
        <v>802.1</v>
      </c>
      <c r="C25" s="13"/>
      <c r="D25" s="13"/>
      <c r="E25" s="13"/>
      <c r="F25" s="13"/>
      <c r="G25" s="13"/>
      <c r="H25" s="453"/>
      <c r="I25" s="30"/>
      <c r="J25" s="93"/>
      <c r="K25" s="4"/>
      <c r="L25" s="955" t="s">
        <v>773</v>
      </c>
      <c r="M25" s="40"/>
      <c r="N25" s="4"/>
      <c r="O25" s="75"/>
      <c r="AX25" s="6"/>
    </row>
    <row r="26" spans="2:51" x14ac:dyDescent="0.35">
      <c r="B26" s="412">
        <v>802.1</v>
      </c>
      <c r="C26" s="13"/>
      <c r="D26" s="13"/>
      <c r="E26" s="13"/>
      <c r="F26" s="13"/>
      <c r="G26" s="13"/>
      <c r="H26" s="453"/>
      <c r="I26" s="30"/>
      <c r="J26" s="93"/>
      <c r="K26" s="4"/>
      <c r="L26" s="955"/>
      <c r="M26" s="40"/>
      <c r="N26" s="4"/>
      <c r="O26" s="75"/>
      <c r="AX26" s="6" t="str">
        <f>'Overview (Design)'!A25</f>
        <v>Above grade plane finished floor area:</v>
      </c>
      <c r="AY26">
        <f>'Overview (Design)'!G25</f>
        <v>2644</v>
      </c>
    </row>
    <row r="27" spans="2:51" x14ac:dyDescent="0.35">
      <c r="B27" s="412">
        <v>802.1</v>
      </c>
      <c r="C27" s="13"/>
      <c r="D27" s="13"/>
      <c r="E27" s="13"/>
      <c r="F27" s="13"/>
      <c r="G27" s="13"/>
      <c r="H27" s="453"/>
      <c r="I27" s="30"/>
      <c r="J27" s="93"/>
      <c r="K27" s="4"/>
      <c r="L27" s="955"/>
      <c r="M27" s="40"/>
      <c r="N27" s="4"/>
      <c r="O27" s="75"/>
      <c r="AX27" s="6" t="str">
        <f>'Overview (Design)'!A26</f>
        <v>Total conditioned floor area:</v>
      </c>
      <c r="AY27">
        <f>'Overview (Design)'!G26</f>
        <v>2644</v>
      </c>
    </row>
    <row r="28" spans="2:51" ht="15" customHeight="1" x14ac:dyDescent="0.35">
      <c r="B28" s="412">
        <v>802.1</v>
      </c>
      <c r="C28" s="13"/>
      <c r="D28" s="13"/>
      <c r="E28" s="13"/>
      <c r="F28" s="13"/>
      <c r="G28" s="13"/>
      <c r="H28" s="453"/>
      <c r="I28" s="30"/>
      <c r="J28" s="93"/>
      <c r="K28" s="4"/>
      <c r="L28" s="955" t="s">
        <v>774</v>
      </c>
      <c r="M28" s="40"/>
      <c r="N28" s="4"/>
      <c r="O28" s="75"/>
      <c r="AX28" s="6" t="str">
        <f>'Overview (Design)'!A27</f>
        <v>Stories above grade:</v>
      </c>
      <c r="AY28">
        <f>'Overview (Design)'!G27</f>
        <v>2</v>
      </c>
    </row>
    <row r="29" spans="2:51" x14ac:dyDescent="0.35">
      <c r="B29" s="412">
        <v>802.1</v>
      </c>
      <c r="C29" s="13"/>
      <c r="D29" s="13"/>
      <c r="E29" s="13"/>
      <c r="F29" s="13"/>
      <c r="G29" s="13"/>
      <c r="H29" s="453"/>
      <c r="I29" s="30"/>
      <c r="J29" s="93"/>
      <c r="K29" s="4"/>
      <c r="L29" s="955"/>
      <c r="M29" s="40"/>
      <c r="N29" s="4"/>
      <c r="O29" s="75"/>
      <c r="AX29" s="6" t="str">
        <f>'Overview (Design)'!A28</f>
        <v>Project Elevation (ft. above sea level):</v>
      </c>
      <c r="AY29">
        <f>'Overview (Design)'!G28</f>
        <v>0</v>
      </c>
    </row>
    <row r="30" spans="2:51" x14ac:dyDescent="0.35">
      <c r="B30" s="412">
        <v>802.1</v>
      </c>
      <c r="C30" s="13"/>
      <c r="D30" s="13"/>
      <c r="E30" s="13"/>
      <c r="F30" s="13"/>
      <c r="G30" s="13"/>
      <c r="H30" s="453"/>
      <c r="I30" s="30"/>
      <c r="J30" s="93"/>
      <c r="K30" s="4"/>
      <c r="L30" s="955"/>
      <c r="M30" s="40"/>
      <c r="N30" s="4"/>
      <c r="O30" s="75"/>
    </row>
    <row r="31" spans="2:51" x14ac:dyDescent="0.35">
      <c r="B31" s="412">
        <v>802.1</v>
      </c>
      <c r="C31" s="13"/>
      <c r="D31" s="13"/>
      <c r="E31" s="13"/>
      <c r="F31" s="13"/>
      <c r="G31" s="13"/>
      <c r="H31" s="453"/>
      <c r="I31" s="30"/>
      <c r="J31" s="93"/>
      <c r="K31" s="4"/>
      <c r="L31" s="218" t="s">
        <v>775</v>
      </c>
      <c r="M31" s="40"/>
      <c r="N31" s="4"/>
      <c r="O31" s="75"/>
      <c r="AX31" s="6" t="str">
        <f>'Overview (Design)'!A30</f>
        <v xml:space="preserve">Project Description (optional): </v>
      </c>
      <c r="AY31">
        <f>'Overview (Design)'!G30</f>
        <v>0</v>
      </c>
    </row>
    <row r="32" spans="2:51" x14ac:dyDescent="0.35">
      <c r="B32" s="412">
        <v>802.1</v>
      </c>
      <c r="C32" s="13"/>
      <c r="D32" s="13"/>
      <c r="E32" s="13"/>
      <c r="F32" s="13"/>
      <c r="G32" s="13"/>
      <c r="H32" s="453"/>
      <c r="I32" s="30"/>
      <c r="J32" s="93"/>
      <c r="K32" s="4"/>
      <c r="L32" s="276" t="s">
        <v>4582</v>
      </c>
      <c r="M32" s="40"/>
      <c r="N32" s="4"/>
      <c r="O32" s="75"/>
    </row>
    <row r="33" spans="2:51" x14ac:dyDescent="0.35">
      <c r="B33" s="412">
        <v>802.1</v>
      </c>
      <c r="C33" s="13"/>
      <c r="D33" s="13"/>
      <c r="E33" s="13"/>
      <c r="F33" s="13"/>
      <c r="G33" s="13"/>
      <c r="H33" s="453"/>
      <c r="I33" s="30"/>
      <c r="J33" s="93"/>
      <c r="K33" s="4"/>
      <c r="L33" s="276" t="s">
        <v>4583</v>
      </c>
      <c r="M33" s="40"/>
      <c r="N33" s="4"/>
      <c r="O33" s="75"/>
      <c r="AX33" s="6" t="str">
        <f>'Overview (Design)'!A32</f>
        <v>Foundation Type:</v>
      </c>
      <c r="AY33" t="str">
        <f>'Overview (Design)'!G32</f>
        <v>Conditioned crawlspace</v>
      </c>
    </row>
    <row r="34" spans="2:51" x14ac:dyDescent="0.35">
      <c r="B34" s="412">
        <v>802.1</v>
      </c>
      <c r="C34" s="13" t="s">
        <v>256</v>
      </c>
      <c r="D34" s="13"/>
      <c r="E34" s="13"/>
      <c r="F34" s="453"/>
      <c r="G34" s="13"/>
      <c r="H34" s="453"/>
      <c r="I34" s="30"/>
      <c r="J34" s="38" t="s">
        <v>256</v>
      </c>
      <c r="K34" s="4"/>
      <c r="L34" s="814" t="s">
        <v>776</v>
      </c>
      <c r="M34" s="818">
        <v>8</v>
      </c>
      <c r="N34" s="4"/>
      <c r="O34" s="75"/>
      <c r="X34" s="817"/>
      <c r="AL34" t="str">
        <f>SUBSTITUTE(SUBSTITUTE(SUBSTITUTE("dpa"&amp;$B34&amp;$C34&amp;$D34&amp;$E34,".","_"),"(","_"),")","")</f>
        <v>dpa802_1_1</v>
      </c>
      <c r="AM34">
        <f>M34</f>
        <v>8</v>
      </c>
      <c r="AR34" t="str">
        <f>SUBSTITUTE(SUBSTITUTE(SUBSTITUTE("dnt"&amp;$B34&amp;$C34&amp;$D34&amp;$E34,".","_"),"(","_"),")","")</f>
        <v>dnt802_1_1</v>
      </c>
      <c r="AS34" t="str">
        <f>IF(LEN(X34)=0,"",X34)</f>
        <v/>
      </c>
      <c r="AX34" s="6"/>
    </row>
    <row r="35" spans="2:51" x14ac:dyDescent="0.35">
      <c r="B35" s="412">
        <v>802.1</v>
      </c>
      <c r="C35" s="13" t="s">
        <v>256</v>
      </c>
      <c r="D35" s="13"/>
      <c r="E35" s="13"/>
      <c r="F35" s="453"/>
      <c r="G35" s="13"/>
      <c r="H35" s="453"/>
      <c r="I35" s="30"/>
      <c r="J35" s="497"/>
      <c r="K35" s="133"/>
      <c r="L35" s="815"/>
      <c r="M35" s="819"/>
      <c r="N35" s="4"/>
      <c r="O35" s="75"/>
      <c r="X35" s="817"/>
      <c r="AX35" s="6" t="str">
        <f>'Overview (Design)'!A34</f>
        <v>Type of Heating System (main system):</v>
      </c>
      <c r="AY35" t="str">
        <f>'Overview (Design)'!G34</f>
        <v>Furnace</v>
      </c>
    </row>
    <row r="36" spans="2:51" x14ac:dyDescent="0.35">
      <c r="B36" s="412">
        <v>802.1</v>
      </c>
      <c r="C36" s="13" t="s">
        <v>258</v>
      </c>
      <c r="D36" s="13"/>
      <c r="E36" s="13"/>
      <c r="F36" s="453"/>
      <c r="G36" s="13"/>
      <c r="H36" s="453"/>
      <c r="I36" s="30"/>
      <c r="J36" s="38" t="s">
        <v>258</v>
      </c>
      <c r="K36" s="4"/>
      <c r="L36" s="814" t="s">
        <v>777</v>
      </c>
      <c r="M36" s="818">
        <v>12</v>
      </c>
      <c r="N36" s="4"/>
      <c r="O36" s="75"/>
      <c r="X36" s="817"/>
      <c r="AL36" t="str">
        <f>SUBSTITUTE(SUBSTITUTE(SUBSTITUTE("dpa"&amp;$B36&amp;$C36&amp;$D36&amp;$E36,".","_"),"(","_"),")","")</f>
        <v>dpa802_1_2</v>
      </c>
      <c r="AM36">
        <f>M36</f>
        <v>12</v>
      </c>
      <c r="AX36" s="6" t="str">
        <f>'Overview (Design)'!A35</f>
        <v>Type of Heating System (system 2):</v>
      </c>
      <c r="AY36">
        <f>'Overview (Design)'!G35</f>
        <v>0</v>
      </c>
    </row>
    <row r="37" spans="2:51" x14ac:dyDescent="0.35">
      <c r="B37" s="412">
        <v>802.1</v>
      </c>
      <c r="C37" s="13" t="s">
        <v>258</v>
      </c>
      <c r="D37" s="13"/>
      <c r="E37" s="13"/>
      <c r="F37" s="453"/>
      <c r="G37" s="13"/>
      <c r="H37" s="453"/>
      <c r="I37" s="30"/>
      <c r="J37" s="497"/>
      <c r="K37" s="133"/>
      <c r="L37" s="815"/>
      <c r="M37" s="819"/>
      <c r="N37" s="4"/>
      <c r="O37" s="75"/>
      <c r="X37" s="817"/>
      <c r="AX37" s="6" t="str">
        <f>'Overview (Design)'!A36</f>
        <v>Type of Heating System (system 3):</v>
      </c>
      <c r="AY37">
        <f>'Overview (Design)'!G36</f>
        <v>0</v>
      </c>
    </row>
    <row r="38" spans="2:51" x14ac:dyDescent="0.35">
      <c r="B38" s="412">
        <v>802.1</v>
      </c>
      <c r="C38" s="13" t="s">
        <v>260</v>
      </c>
      <c r="D38" s="13"/>
      <c r="E38" s="13"/>
      <c r="F38" s="453"/>
      <c r="G38" s="13"/>
      <c r="H38" s="453"/>
      <c r="I38" s="30"/>
      <c r="J38" s="38" t="s">
        <v>260</v>
      </c>
      <c r="K38" s="4"/>
      <c r="L38" s="814" t="s">
        <v>778</v>
      </c>
      <c r="M38" s="818">
        <v>20</v>
      </c>
      <c r="N38" s="4"/>
      <c r="O38" s="75"/>
      <c r="X38" s="817"/>
      <c r="AL38" t="str">
        <f>SUBSTITUTE(SUBSTITUTE(SUBSTITUTE("dpa"&amp;$B38&amp;$C38&amp;$D38&amp;$E38,".","_"),"(","_"),")","")</f>
        <v>dpa802_1_3</v>
      </c>
      <c r="AM38">
        <f>M38</f>
        <v>20</v>
      </c>
      <c r="AX38" s="6" t="str">
        <f>'Overview (Design)'!A37</f>
        <v>Primary Heating Fuel:</v>
      </c>
      <c r="AY38">
        <f>'Overview (Design)'!G37</f>
        <v>0</v>
      </c>
    </row>
    <row r="39" spans="2:51" x14ac:dyDescent="0.35">
      <c r="B39" s="412">
        <v>802.1</v>
      </c>
      <c r="C39" s="13" t="s">
        <v>260</v>
      </c>
      <c r="D39" s="13"/>
      <c r="E39" s="13"/>
      <c r="F39" s="453"/>
      <c r="G39" s="13"/>
      <c r="H39" s="453"/>
      <c r="I39" s="30"/>
      <c r="J39" s="497"/>
      <c r="K39" s="133"/>
      <c r="L39" s="815"/>
      <c r="M39" s="819"/>
      <c r="N39" s="4"/>
      <c r="O39" s="75"/>
      <c r="X39" s="817"/>
      <c r="AX39" s="6" t="str">
        <f>'Overview (Design)'!A38</f>
        <v>Heating Ducts:</v>
      </c>
      <c r="AY39" t="str">
        <f>'Overview (Design)'!G38</f>
        <v>Ducted</v>
      </c>
    </row>
    <row r="40" spans="2:51" x14ac:dyDescent="0.35">
      <c r="B40" s="412">
        <v>802.1</v>
      </c>
      <c r="C40" s="13" t="s">
        <v>269</v>
      </c>
      <c r="D40" s="13"/>
      <c r="E40" s="13"/>
      <c r="F40" s="453"/>
      <c r="G40" s="13"/>
      <c r="H40" s="453"/>
      <c r="I40" s="30"/>
      <c r="J40" s="38" t="s">
        <v>269</v>
      </c>
      <c r="K40" s="4"/>
      <c r="L40" s="814" t="s">
        <v>779</v>
      </c>
      <c r="M40" s="818">
        <v>24</v>
      </c>
      <c r="N40" s="4"/>
      <c r="O40" s="75"/>
      <c r="X40" s="817"/>
      <c r="AL40" t="str">
        <f>SUBSTITUTE(SUBSTITUTE(SUBSTITUTE("dpa"&amp;$B40&amp;$C40&amp;$D40&amp;$E40,".","_"),"(","_"),")","")</f>
        <v>dpa802_1_4</v>
      </c>
      <c r="AM40">
        <f>M40</f>
        <v>24</v>
      </c>
      <c r="AX40" s="6" t="str">
        <f>'Overview (Design)'!A39</f>
        <v>Type of Cooling System (main system):</v>
      </c>
      <c r="AY40" t="str">
        <f>'Overview (Design)'!G39</f>
        <v>Electric Air Conditiner</v>
      </c>
    </row>
    <row r="41" spans="2:51" x14ac:dyDescent="0.35">
      <c r="B41" s="412">
        <v>802.1</v>
      </c>
      <c r="C41" s="13" t="s">
        <v>269</v>
      </c>
      <c r="D41" s="13"/>
      <c r="E41" s="13"/>
      <c r="F41" s="453"/>
      <c r="G41" s="13"/>
      <c r="H41" s="453"/>
      <c r="I41" s="30"/>
      <c r="J41" s="93"/>
      <c r="K41" s="4"/>
      <c r="L41" s="814"/>
      <c r="M41" s="818"/>
      <c r="N41" s="4"/>
      <c r="O41" s="75"/>
      <c r="X41" s="817"/>
      <c r="AX41" s="6" t="str">
        <f>'Overview (Design)'!A40</f>
        <v>Type of Cooling System (system 2):</v>
      </c>
      <c r="AY41">
        <f>'Overview (Design)'!G40</f>
        <v>0</v>
      </c>
    </row>
    <row r="42" spans="2:51" x14ac:dyDescent="0.35">
      <c r="B42" s="412">
        <v>802.1</v>
      </c>
      <c r="C42" s="13" t="s">
        <v>269</v>
      </c>
      <c r="D42" s="13"/>
      <c r="E42" s="13"/>
      <c r="F42" s="453"/>
      <c r="G42" s="13"/>
      <c r="H42" s="453"/>
      <c r="I42" s="30"/>
      <c r="J42" s="93"/>
      <c r="K42" s="4"/>
      <c r="L42" s="814"/>
      <c r="M42" s="818"/>
      <c r="N42" s="4"/>
      <c r="O42" s="75"/>
      <c r="X42" s="817"/>
      <c r="AX42" s="6" t="str">
        <f>'Overview (Design)'!A41</f>
        <v>Type of Cooling System (system 3):</v>
      </c>
      <c r="AY42">
        <f>'Overview (Design)'!G41</f>
        <v>0</v>
      </c>
    </row>
    <row r="43" spans="2:51" x14ac:dyDescent="0.35">
      <c r="B43" s="412">
        <v>802.1</v>
      </c>
      <c r="C43" s="13" t="s">
        <v>269</v>
      </c>
      <c r="D43" s="13" t="s">
        <v>121</v>
      </c>
      <c r="E43" s="13"/>
      <c r="F43" s="453"/>
      <c r="G43" s="13"/>
      <c r="H43" s="453"/>
      <c r="I43" s="4"/>
      <c r="J43" s="93"/>
      <c r="K43" s="19" t="s">
        <v>121</v>
      </c>
      <c r="L43" s="814" t="s">
        <v>780</v>
      </c>
      <c r="M43" s="818" t="s">
        <v>781</v>
      </c>
      <c r="N43" s="4"/>
      <c r="O43" s="75"/>
      <c r="X43" s="817"/>
      <c r="AL43" t="str">
        <f>SUBSTITUTE(SUBSTITUTE(SUBSTITUTE("dpa"&amp;$B43&amp;$C43&amp;$D43&amp;$E43,".","_"),"(","_"),")","")</f>
        <v>dpa802_1_4_a</v>
      </c>
      <c r="AM43" t="str">
        <f>M43</f>
        <v>4 Additional</v>
      </c>
      <c r="AX43" s="6" t="str">
        <f>'Overview (Design)'!A42</f>
        <v>Cooling Ducts:</v>
      </c>
      <c r="AY43" t="str">
        <f>'Overview (Design)'!G42</f>
        <v>Ducted</v>
      </c>
    </row>
    <row r="44" spans="2:51" x14ac:dyDescent="0.35">
      <c r="B44" s="412">
        <v>802.1</v>
      </c>
      <c r="C44" s="13" t="s">
        <v>269</v>
      </c>
      <c r="D44" s="13" t="s">
        <v>121</v>
      </c>
      <c r="E44" s="13"/>
      <c r="F44" s="453"/>
      <c r="G44" s="13"/>
      <c r="H44" s="453"/>
      <c r="I44" s="30"/>
      <c r="J44" s="320"/>
      <c r="K44" s="133"/>
      <c r="L44" s="815"/>
      <c r="M44" s="819"/>
      <c r="N44" s="4"/>
      <c r="O44" s="75"/>
      <c r="X44" s="817"/>
      <c r="AX44" s="6">
        <f>'Overview (Design)'!A43</f>
        <v>0</v>
      </c>
      <c r="AY44">
        <f>'Overview (Design)'!G43</f>
        <v>0</v>
      </c>
    </row>
    <row r="45" spans="2:51" x14ac:dyDescent="0.35">
      <c r="B45" s="412">
        <v>802.1</v>
      </c>
      <c r="C45" s="13" t="s">
        <v>275</v>
      </c>
      <c r="D45" s="13"/>
      <c r="E45" s="13"/>
      <c r="F45" s="453"/>
      <c r="G45" s="13"/>
      <c r="H45" s="453"/>
      <c r="I45" s="30"/>
      <c r="J45" s="38" t="s">
        <v>275</v>
      </c>
      <c r="K45" s="4"/>
      <c r="L45" s="814" t="s">
        <v>782</v>
      </c>
      <c r="M45" s="818">
        <v>9</v>
      </c>
      <c r="N45" s="4"/>
      <c r="O45" s="75"/>
      <c r="X45" s="817"/>
      <c r="AL45" t="str">
        <f>SUBSTITUTE(SUBSTITUTE(SUBSTITUTE("dpa"&amp;$B45&amp;$C45&amp;$D45&amp;$E45,".","_"),"(","_"),")","")</f>
        <v>dpa802_1_5</v>
      </c>
      <c r="AM45">
        <f>M45</f>
        <v>9</v>
      </c>
      <c r="AR45" t="str">
        <f>SUBSTITUTE(SUBSTITUTE(SUBSTITUTE("dnt"&amp;$B45&amp;$C45&amp;$D45&amp;$E45,".","_"),"(","_"),")","")</f>
        <v>dnt802_1_5</v>
      </c>
      <c r="AS45" t="str">
        <f>IF(LEN(X45)=0,"",X45)</f>
        <v/>
      </c>
      <c r="AX45" s="6" t="str">
        <f>'Overview (Design)'!A44</f>
        <v>Maximum window and door SHGC:</v>
      </c>
      <c r="AY45">
        <f>'Overview (Design)'!G44</f>
        <v>0.22</v>
      </c>
    </row>
    <row r="46" spans="2:51" x14ac:dyDescent="0.35">
      <c r="B46" s="412">
        <v>802.1</v>
      </c>
      <c r="C46" s="13" t="s">
        <v>275</v>
      </c>
      <c r="D46" s="13"/>
      <c r="E46" s="13"/>
      <c r="F46" s="453"/>
      <c r="G46" s="13"/>
      <c r="H46" s="453"/>
      <c r="I46" s="30"/>
      <c r="J46" s="93"/>
      <c r="K46" s="4"/>
      <c r="L46" s="814"/>
      <c r="M46" s="818"/>
      <c r="N46" s="4"/>
      <c r="O46" s="75"/>
      <c r="X46" s="817"/>
      <c r="AX46" s="6" t="str">
        <f>'Overview (Design)'!A45</f>
        <v>Maximum skylight SHGC:</v>
      </c>
      <c r="AY46">
        <f>'Overview (Design)'!G45</f>
        <v>0</v>
      </c>
    </row>
    <row r="47" spans="2:51" x14ac:dyDescent="0.35">
      <c r="B47" s="412">
        <v>802.1</v>
      </c>
      <c r="C47" s="13" t="s">
        <v>275</v>
      </c>
      <c r="D47" s="13"/>
      <c r="E47" s="13"/>
      <c r="F47" s="453"/>
      <c r="G47" s="13"/>
      <c r="H47" s="453"/>
      <c r="I47" s="30"/>
      <c r="J47" s="93"/>
      <c r="K47" s="4"/>
      <c r="L47" s="814"/>
      <c r="M47" s="818"/>
      <c r="N47" s="4"/>
      <c r="O47" s="75"/>
      <c r="X47" s="817"/>
      <c r="AX47" s="6" t="str">
        <f>'Overview (Design)'!A46</f>
        <v>Maximum window and door U-value:</v>
      </c>
      <c r="AY47">
        <f>'Overview (Design)'!G46</f>
        <v>0.32</v>
      </c>
    </row>
    <row r="48" spans="2:51" x14ac:dyDescent="0.35">
      <c r="B48" s="412">
        <v>802.1</v>
      </c>
      <c r="C48" s="13" t="s">
        <v>275</v>
      </c>
      <c r="D48" s="13"/>
      <c r="E48" s="13"/>
      <c r="F48" s="453"/>
      <c r="G48" s="13"/>
      <c r="H48" s="453"/>
      <c r="I48" s="30"/>
      <c r="J48" s="93"/>
      <c r="K48" s="4"/>
      <c r="L48" s="814"/>
      <c r="M48" s="818"/>
      <c r="N48" s="4"/>
      <c r="O48" s="75"/>
      <c r="X48" s="817"/>
      <c r="AX48" s="6" t="str">
        <f>'Overview (Design)'!A47</f>
        <v>Maximum skylight U-value:</v>
      </c>
      <c r="AY48">
        <f>'Overview (Design)'!G47</f>
        <v>0</v>
      </c>
    </row>
    <row r="49" spans="2:51" x14ac:dyDescent="0.35">
      <c r="B49" s="412">
        <v>802.1</v>
      </c>
      <c r="C49" s="13" t="s">
        <v>275</v>
      </c>
      <c r="D49" s="13"/>
      <c r="E49" s="13"/>
      <c r="F49" s="453"/>
      <c r="G49" s="13"/>
      <c r="H49" s="453"/>
      <c r="I49" s="30"/>
      <c r="J49" s="320"/>
      <c r="K49" s="133"/>
      <c r="L49" s="815"/>
      <c r="M49" s="819"/>
      <c r="N49" s="133"/>
      <c r="O49" s="309"/>
      <c r="X49" s="817"/>
      <c r="AX49" s="6" t="str">
        <f>'Overview (Design)'!A48</f>
        <v>Renewable Energy:</v>
      </c>
      <c r="AY49">
        <f>'Overview (Design)'!G48</f>
        <v>0</v>
      </c>
    </row>
    <row r="50" spans="2:51" x14ac:dyDescent="0.35">
      <c r="B50" s="412">
        <v>802.1</v>
      </c>
      <c r="C50" s="13" t="s">
        <v>277</v>
      </c>
      <c r="D50" s="13"/>
      <c r="E50" s="13"/>
      <c r="F50" s="453"/>
      <c r="G50" s="13"/>
      <c r="H50" s="453"/>
      <c r="I50" s="30"/>
      <c r="J50" s="38" t="s">
        <v>277</v>
      </c>
      <c r="K50" s="4"/>
      <c r="L50" s="814" t="s">
        <v>783</v>
      </c>
      <c r="M50" s="818" t="s">
        <v>794</v>
      </c>
      <c r="N50" s="4"/>
      <c r="O50" s="832">
        <f ca="1">1*S50*W50</f>
        <v>0</v>
      </c>
      <c r="P50" t="b">
        <v>1</v>
      </c>
      <c r="Q50" t="b">
        <v>1</v>
      </c>
      <c r="R50" t="b">
        <v>0</v>
      </c>
      <c r="S50" t="b">
        <f ca="1">AND(S21,NOT(W21=""),S14=2)</f>
        <v>0</v>
      </c>
      <c r="T50" t="b">
        <f ca="1">IF(AND(NOT(S50),W50=TRUE),TRUE,FALSE)</f>
        <v>0</v>
      </c>
      <c r="W50" s="17"/>
      <c r="X50" s="817"/>
      <c r="AC50" t="b">
        <f ca="1">OR(AD50:AE50)</f>
        <v>0</v>
      </c>
      <c r="AD50" t="b">
        <f ca="1">T50</f>
        <v>0</v>
      </c>
      <c r="AL50" t="str">
        <f>SUBSTITUTE(SUBSTITUTE(SUBSTITUTE("dpa"&amp;$B50&amp;$C50&amp;$D50&amp;$E50,".","_"),"(","_"),")","")</f>
        <v>dpa802_1_6</v>
      </c>
      <c r="AM50" t="str">
        <f>M50</f>
        <v>1 Additional</v>
      </c>
      <c r="AN50" t="str">
        <f>SUBSTITUTE(SUBSTITUTE(SUBSTITUTE("dpc"&amp;$B50&amp;$C50&amp;$D50&amp;$E50,".","_"),"(","_"),")","")</f>
        <v>dpc802_1_6</v>
      </c>
      <c r="AO50">
        <f ca="1">O50</f>
        <v>0</v>
      </c>
      <c r="AP50" t="str">
        <f>SUBSTITUTE(SUBSTITUTE(SUBSTITUTE("dch"&amp;$B50&amp;$C50&amp;$D50&amp;$E50,".","_"),"(","_"),")","")</f>
        <v>dch802_1_6</v>
      </c>
      <c r="AQ50" t="str">
        <f>IF(LEN(W50)=0,"",W50)</f>
        <v/>
      </c>
      <c r="AR50" t="str">
        <f>SUBSTITUTE(SUBSTITUTE(SUBSTITUTE("dnt"&amp;$B50&amp;$C50&amp;$D50&amp;$E50,".","_"),"(","_"),")","")</f>
        <v>dnt802_1_6</v>
      </c>
      <c r="AS50" t="str">
        <f>IF(LEN(X50)=0,"",X50)</f>
        <v/>
      </c>
      <c r="AX50" s="6" t="str">
        <f>'Overview (Design)'!A49</f>
        <v>Thermal Envelope Insulation:</v>
      </c>
      <c r="AY50">
        <f>'Overview (Design)'!G49</f>
        <v>0</v>
      </c>
    </row>
    <row r="51" spans="2:51" x14ac:dyDescent="0.35">
      <c r="B51" s="412">
        <v>802.1</v>
      </c>
      <c r="C51" s="13" t="s">
        <v>277</v>
      </c>
      <c r="D51" s="13"/>
      <c r="E51" s="13"/>
      <c r="F51" s="453"/>
      <c r="G51" s="13"/>
      <c r="H51" s="453"/>
      <c r="I51" s="30"/>
      <c r="J51" s="93"/>
      <c r="K51" s="4"/>
      <c r="L51" s="814"/>
      <c r="M51" s="818"/>
      <c r="N51" s="4"/>
      <c r="O51" s="832"/>
      <c r="X51" s="817"/>
      <c r="AX51" s="6" t="str">
        <f>'Overview (Design)'!A50</f>
        <v>Attic Type:</v>
      </c>
      <c r="AY51" t="str">
        <f>'Overview (Design)'!G50</f>
        <v>Vented</v>
      </c>
    </row>
    <row r="52" spans="2:51" ht="15" thickBot="1" x14ac:dyDescent="0.4">
      <c r="B52" s="412">
        <v>802.1</v>
      </c>
      <c r="C52" s="13" t="s">
        <v>277</v>
      </c>
      <c r="D52" s="13"/>
      <c r="E52" s="13"/>
      <c r="F52" s="453"/>
      <c r="G52" s="13"/>
      <c r="H52" s="453"/>
      <c r="I52" s="114"/>
      <c r="J52" s="294"/>
      <c r="K52" s="160"/>
      <c r="L52" s="839"/>
      <c r="M52" s="827"/>
      <c r="N52" s="160"/>
      <c r="O52" s="833"/>
      <c r="P52" s="55"/>
      <c r="Q52" s="55"/>
      <c r="R52" s="55"/>
      <c r="S52" s="55"/>
      <c r="T52" s="55"/>
      <c r="U52" s="55"/>
      <c r="V52" s="55"/>
      <c r="W52" s="55"/>
      <c r="X52" s="829"/>
      <c r="AX52" s="6" t="str">
        <f>'Overview (Design)'!A51</f>
        <v>Attached Garage:</v>
      </c>
      <c r="AY52" t="str">
        <f>'Overview (Design)'!G51</f>
        <v>Yes</v>
      </c>
    </row>
    <row r="53" spans="2:51" ht="15" thickTop="1" x14ac:dyDescent="0.35">
      <c r="B53" s="412">
        <v>802.2</v>
      </c>
      <c r="C53" s="13"/>
      <c r="D53" s="13"/>
      <c r="E53" s="13"/>
      <c r="F53" s="453"/>
      <c r="G53" s="13"/>
      <c r="H53" s="453"/>
      <c r="I53" s="30">
        <v>802.2</v>
      </c>
      <c r="J53" s="93"/>
      <c r="K53" s="4"/>
      <c r="L53" s="838" t="s">
        <v>4373</v>
      </c>
      <c r="M53" s="40"/>
      <c r="N53" s="4"/>
      <c r="O53" s="75"/>
      <c r="AX53" s="6" t="str">
        <f>'Overview (Design)'!A52</f>
        <v>Recessed Lighting:</v>
      </c>
      <c r="AY53">
        <f>'Overview (Design)'!G52</f>
        <v>0</v>
      </c>
    </row>
    <row r="54" spans="2:51" x14ac:dyDescent="0.35">
      <c r="B54" s="412">
        <v>802.2</v>
      </c>
      <c r="C54" s="13"/>
      <c r="D54" s="13"/>
      <c r="E54" s="13"/>
      <c r="F54" s="453"/>
      <c r="G54" s="13"/>
      <c r="H54" s="453"/>
      <c r="I54" s="30"/>
      <c r="J54" s="93"/>
      <c r="K54" s="4"/>
      <c r="L54" s="838"/>
      <c r="M54" s="40"/>
      <c r="N54" s="4"/>
      <c r="O54" s="75"/>
      <c r="AX54" s="6"/>
    </row>
    <row r="55" spans="2:51" x14ac:dyDescent="0.35">
      <c r="B55" s="412">
        <v>802.2</v>
      </c>
      <c r="C55" s="13" t="s">
        <v>256</v>
      </c>
      <c r="D55" s="13"/>
      <c r="E55" s="13"/>
      <c r="F55" s="453"/>
      <c r="G55" s="13"/>
      <c r="H55" s="453"/>
      <c r="I55" s="30"/>
      <c r="J55" s="497" t="s">
        <v>256</v>
      </c>
      <c r="K55" s="133"/>
      <c r="L55" s="228" t="s">
        <v>784</v>
      </c>
      <c r="M55" s="268">
        <v>2</v>
      </c>
      <c r="N55" s="133"/>
      <c r="O55" s="309">
        <f ca="1">2*S55*W55</f>
        <v>2</v>
      </c>
      <c r="P55" t="b">
        <v>0</v>
      </c>
      <c r="Q55" t="b">
        <v>1</v>
      </c>
      <c r="R55" t="b">
        <v>0</v>
      </c>
      <c r="S55" t="b">
        <f ca="1">S14=2</f>
        <v>1</v>
      </c>
      <c r="T55" t="b">
        <f ca="1">IF(AND(NOT(S55),W55=TRUE),TRUE,FALSE)</f>
        <v>0</v>
      </c>
      <c r="W55" s="17" t="b">
        <v>1</v>
      </c>
      <c r="X55" s="36"/>
      <c r="AC55" t="b">
        <f ca="1">OR(AD55:AE55)</f>
        <v>0</v>
      </c>
      <c r="AD55" t="b">
        <f ca="1">T55</f>
        <v>0</v>
      </c>
      <c r="AL55" t="str">
        <f>SUBSTITUTE(SUBSTITUTE(SUBSTITUTE("dpa"&amp;$B55&amp;$C55&amp;$D55&amp;$E55,".","_"),"(","_"),")","")</f>
        <v>dpa802_2_1</v>
      </c>
      <c r="AM55">
        <f>M55</f>
        <v>2</v>
      </c>
      <c r="AN55" t="str">
        <f>SUBSTITUTE(SUBSTITUTE(SUBSTITUTE("dpc"&amp;$B55&amp;$C55&amp;$D55&amp;$E55,".","_"),"(","_"),")","")</f>
        <v>dpc802_2_1</v>
      </c>
      <c r="AO55">
        <f ca="1">O55</f>
        <v>2</v>
      </c>
      <c r="AP55" t="str">
        <f>SUBSTITUTE(SUBSTITUTE(SUBSTITUTE("dch"&amp;$B55&amp;$C55&amp;$D55&amp;$E55,".","_"),"(","_"),")","")</f>
        <v>dch802_2_1</v>
      </c>
      <c r="AQ55" t="b">
        <f>IF(LEN(W55)=0,"",W55)</f>
        <v>1</v>
      </c>
      <c r="AR55" t="str">
        <f>SUBSTITUTE(SUBSTITUTE(SUBSTITUTE("dnt"&amp;$B55&amp;$C55&amp;$D55&amp;$E55,".","_"),"(","_"),")","")</f>
        <v>dnt802_2_1</v>
      </c>
      <c r="AS55" t="str">
        <f>IF(LEN(X55)=0,"",X55)</f>
        <v/>
      </c>
      <c r="AX55" s="6" t="str">
        <f>'Overview (Design)'!A54</f>
        <v>Special Design Features:</v>
      </c>
      <c r="AY55">
        <f>'Overview (Design)'!G54</f>
        <v>0</v>
      </c>
    </row>
    <row r="56" spans="2:51" ht="15" customHeight="1" x14ac:dyDescent="0.35">
      <c r="B56" s="412">
        <v>802.2</v>
      </c>
      <c r="C56" s="13" t="s">
        <v>258</v>
      </c>
      <c r="D56" s="13"/>
      <c r="E56" s="13"/>
      <c r="F56" s="453"/>
      <c r="G56" s="13"/>
      <c r="H56" s="453"/>
      <c r="I56" s="30"/>
      <c r="J56" s="497" t="s">
        <v>258</v>
      </c>
      <c r="K56" s="133"/>
      <c r="L56" s="228" t="s">
        <v>4397</v>
      </c>
      <c r="M56" s="268">
        <v>13</v>
      </c>
      <c r="N56" s="4"/>
      <c r="O56" s="832">
        <f ca="1">IFERROR(INDEX({13,18},MATCH(W56,INDIRECT(U56),0)),0)</f>
        <v>13</v>
      </c>
      <c r="P56" t="b">
        <v>0</v>
      </c>
      <c r="Q56" t="b">
        <v>1</v>
      </c>
      <c r="R56" t="b">
        <v>0</v>
      </c>
      <c r="S56" t="b">
        <f ca="1">S14=2</f>
        <v>1</v>
      </c>
      <c r="T56" t="b">
        <f ca="1">IF(AND(NOT(S56),LEN(W56)&gt;0),TRUE,FALSE)</f>
        <v>0</v>
      </c>
      <c r="U56" t="str">
        <f>SUBSTITUTE(SUBSTITUTE(SUBSTITUTE("dd"&amp;B56&amp;C56&amp;D56&amp;E56&amp;F56,".","_"),"(","_"),")","")</f>
        <v>dd802_2_2</v>
      </c>
      <c r="W56" s="461" t="s">
        <v>258</v>
      </c>
      <c r="X56" s="817"/>
      <c r="AC56" t="b">
        <f ca="1">OR(AD56:AE56)</f>
        <v>0</v>
      </c>
      <c r="AD56" t="b">
        <f ca="1">T56</f>
        <v>0</v>
      </c>
      <c r="AL56" t="str">
        <f>SUBSTITUTE(SUBSTITUTE(SUBSTITUTE("dpa"&amp;$B56&amp;$C56&amp;$D56&amp;$E56,".","_"),"(","_"),")","")</f>
        <v>dpa802_2_2</v>
      </c>
      <c r="AM56">
        <f>M56</f>
        <v>13</v>
      </c>
      <c r="AN56" t="str">
        <f>SUBSTITUTE(SUBSTITUTE(SUBSTITUTE("dpc"&amp;$B56&amp;$C56&amp;$D56&amp;$E56,".","_"),"(","_"),")","")</f>
        <v>dpc802_2_2</v>
      </c>
      <c r="AO56">
        <f ca="1">O56</f>
        <v>13</v>
      </c>
      <c r="AP56" t="str">
        <f>SUBSTITUTE(SUBSTITUTE(SUBSTITUTE("dch"&amp;$B56&amp;$C56&amp;$D56&amp;$E56,".","_"),"(","_"),")","")</f>
        <v>dch802_2_2</v>
      </c>
      <c r="AQ56" t="str">
        <f>IF(LEN(W56)=0,"",W56)</f>
        <v>(2)</v>
      </c>
      <c r="AR56" t="str">
        <f>SUBSTITUTE(SUBSTITUTE(SUBSTITUTE("dnt"&amp;$B56&amp;$C56&amp;$D56&amp;$E56,".","_"),"(","_"),")","")</f>
        <v>dnt802_2_2</v>
      </c>
      <c r="AS56" t="str">
        <f>IF(LEN(X56)=0,"",X56)</f>
        <v/>
      </c>
      <c r="AX56" s="6" t="str">
        <f>'Overview (Design)'!A55</f>
        <v>Passive Solar:</v>
      </c>
      <c r="AY56">
        <f>'Overview (Design)'!G55</f>
        <v>0</v>
      </c>
    </row>
    <row r="57" spans="2:51" x14ac:dyDescent="0.35">
      <c r="B57" s="412">
        <v>802.2</v>
      </c>
      <c r="C57" s="13" t="s">
        <v>260</v>
      </c>
      <c r="D57" s="13"/>
      <c r="E57" s="13"/>
      <c r="F57" s="453"/>
      <c r="G57" s="13"/>
      <c r="H57" s="453"/>
      <c r="I57" s="30"/>
      <c r="J57" s="38" t="s">
        <v>260</v>
      </c>
      <c r="K57" s="4"/>
      <c r="L57" s="90" t="s">
        <v>4398</v>
      </c>
      <c r="M57" s="40">
        <v>18</v>
      </c>
      <c r="N57" s="4"/>
      <c r="O57" s="832"/>
      <c r="X57" s="817"/>
      <c r="AL57" t="str">
        <f>SUBSTITUTE(SUBSTITUTE(SUBSTITUTE("dpa"&amp;$B57&amp;$C57&amp;$D57&amp;$E57,".","_"),"(","_"),")","")</f>
        <v>dpa802_2_3</v>
      </c>
      <c r="AM57">
        <f>M57</f>
        <v>18</v>
      </c>
      <c r="AX57" s="6" t="str">
        <f>'Overview (Design)'!A56</f>
        <v>Mass Walls:</v>
      </c>
      <c r="AY57">
        <f>'Overview (Design)'!G56</f>
        <v>0</v>
      </c>
    </row>
    <row r="58" spans="2:51" ht="15" customHeight="1" x14ac:dyDescent="0.35">
      <c r="B58" s="412">
        <v>802.2</v>
      </c>
      <c r="C58" s="13"/>
      <c r="D58" s="13"/>
      <c r="E58" s="13"/>
      <c r="F58" s="13"/>
      <c r="G58" s="13"/>
      <c r="H58" s="453"/>
      <c r="I58" s="30"/>
      <c r="J58" s="38"/>
      <c r="K58" s="4"/>
      <c r="L58" s="893" t="s">
        <v>3585</v>
      </c>
      <c r="M58" s="40"/>
      <c r="N58" s="4"/>
      <c r="O58" s="75"/>
      <c r="X58" s="817"/>
      <c r="AX58" s="6" t="str">
        <f>'Overview (Design)'!A57</f>
        <v>Radiant/Hydronic:</v>
      </c>
      <c r="AY58">
        <f>'Overview (Design)'!G57</f>
        <v>0</v>
      </c>
    </row>
    <row r="59" spans="2:51" x14ac:dyDescent="0.35">
      <c r="B59" s="412">
        <v>802.2</v>
      </c>
      <c r="C59" s="13"/>
      <c r="D59" s="13"/>
      <c r="E59" s="13"/>
      <c r="F59" s="13"/>
      <c r="G59" s="13"/>
      <c r="H59" s="453"/>
      <c r="I59" s="30"/>
      <c r="J59" s="38"/>
      <c r="K59" s="4"/>
      <c r="L59" s="902"/>
      <c r="M59" s="40"/>
      <c r="N59" s="4"/>
      <c r="O59" s="75"/>
      <c r="X59" s="817"/>
      <c r="AX59" s="6" t="str">
        <f>'Overview (Design)'!A58</f>
        <v>Tankless Water Heater:</v>
      </c>
      <c r="AY59">
        <f>'Overview (Design)'!G58</f>
        <v>0</v>
      </c>
    </row>
    <row r="60" spans="2:51" ht="15" customHeight="1" x14ac:dyDescent="0.35">
      <c r="B60" s="412">
        <v>802.2</v>
      </c>
      <c r="C60" s="13"/>
      <c r="D60" s="13"/>
      <c r="E60" s="13"/>
      <c r="F60" s="13"/>
      <c r="G60" s="13"/>
      <c r="H60" s="453"/>
      <c r="I60" s="30"/>
      <c r="L60" s="855" t="s">
        <v>3586</v>
      </c>
      <c r="M60" s="301"/>
      <c r="N60" s="4"/>
      <c r="O60" s="75"/>
      <c r="X60" s="817"/>
      <c r="AX60" s="6" t="str">
        <f>'Overview (Design)'!A59</f>
        <v>Composting Toilet:</v>
      </c>
      <c r="AY60">
        <f>'Overview (Design)'!G59</f>
        <v>0</v>
      </c>
    </row>
    <row r="61" spans="2:51" ht="15" thickBot="1" x14ac:dyDescent="0.4">
      <c r="B61" s="412">
        <v>802.2</v>
      </c>
      <c r="C61" s="13"/>
      <c r="D61" s="13"/>
      <c r="E61" s="13"/>
      <c r="F61" s="13"/>
      <c r="G61" s="13"/>
      <c r="H61" s="453"/>
      <c r="I61" s="114"/>
      <c r="J61" s="506"/>
      <c r="K61" s="55"/>
      <c r="L61" s="922"/>
      <c r="M61" s="313"/>
      <c r="N61" s="160"/>
      <c r="O61" s="161"/>
      <c r="P61" s="55"/>
      <c r="Q61" s="55"/>
      <c r="R61" s="55"/>
      <c r="S61" s="55"/>
      <c r="T61" s="55"/>
      <c r="U61" s="55"/>
      <c r="V61" s="55"/>
      <c r="W61" s="55"/>
      <c r="X61" s="829"/>
      <c r="AX61" s="6"/>
    </row>
    <row r="62" spans="2:51" customFormat="1" ht="15" thickTop="1" x14ac:dyDescent="0.35">
      <c r="B62" s="510">
        <v>802.3</v>
      </c>
      <c r="C62" s="12"/>
      <c r="D62" s="12"/>
      <c r="E62" s="12"/>
      <c r="F62" s="12"/>
      <c r="G62" s="12"/>
      <c r="I62" s="500">
        <v>802.3</v>
      </c>
      <c r="J62" s="402"/>
      <c r="K62" s="481"/>
      <c r="L62" s="495" t="s">
        <v>4399</v>
      </c>
      <c r="M62" s="40"/>
      <c r="N62" s="4"/>
      <c r="O62" s="75"/>
      <c r="AX62" s="6" t="str">
        <f>'Overview (Design)'!A61</f>
        <v>Local Energy Code:</v>
      </c>
      <c r="AY62">
        <f>'Overview (Design)'!G61</f>
        <v>0</v>
      </c>
    </row>
    <row r="63" spans="2:51" customFormat="1" x14ac:dyDescent="0.35">
      <c r="B63" s="510">
        <v>802.3</v>
      </c>
      <c r="C63" s="467" t="s">
        <v>256</v>
      </c>
      <c r="D63" s="467"/>
      <c r="E63" s="12"/>
      <c r="G63" s="12"/>
      <c r="I63" s="500"/>
      <c r="J63" s="402" t="s">
        <v>256</v>
      </c>
      <c r="K63" s="481"/>
      <c r="L63" s="499" t="s">
        <v>4400</v>
      </c>
      <c r="M63" s="40"/>
      <c r="N63" s="4"/>
      <c r="O63" s="75"/>
      <c r="AX63" s="6" t="str">
        <f>'Overview (Design)'!A62</f>
        <v>Local Building Code:</v>
      </c>
      <c r="AY63">
        <f>'Overview (Design)'!G62</f>
        <v>0</v>
      </c>
    </row>
    <row r="64" spans="2:51" customFormat="1" ht="15" customHeight="1" x14ac:dyDescent="0.35">
      <c r="B64" s="510">
        <v>802.3</v>
      </c>
      <c r="C64" s="467" t="s">
        <v>256</v>
      </c>
      <c r="D64" s="467" t="s">
        <v>121</v>
      </c>
      <c r="E64" s="12"/>
      <c r="G64" s="12"/>
      <c r="I64" s="500"/>
      <c r="J64" s="402"/>
      <c r="K64" s="481" t="s">
        <v>121</v>
      </c>
      <c r="L64" s="814" t="s">
        <v>4401</v>
      </c>
      <c r="M64" s="906" t="s">
        <v>4404</v>
      </c>
      <c r="N64" s="4"/>
      <c r="O64" s="832">
        <f ca="1">W64*2*S64</f>
        <v>0</v>
      </c>
      <c r="P64" t="b">
        <v>0</v>
      </c>
      <c r="Q64" t="b">
        <v>1</v>
      </c>
      <c r="R64" t="b">
        <v>0</v>
      </c>
      <c r="S64" t="b">
        <f ca="1">AND(AY19=INDEX(INDIRECT("ddSingleOrMulti"),1),S14=2)</f>
        <v>1</v>
      </c>
      <c r="T64" t="b">
        <f ca="1">IF(AND(NOT(S64),LEN(W64)&gt;0),TRUE,FALSE)</f>
        <v>0</v>
      </c>
      <c r="W64" s="501"/>
      <c r="X64" s="817"/>
      <c r="AC64" t="b">
        <f ca="1">OR(AD64:AE64)</f>
        <v>0</v>
      </c>
      <c r="AD64" t="b">
        <f ca="1">T64</f>
        <v>0</v>
      </c>
      <c r="AL64" t="str">
        <f>SUBSTITUTE(SUBSTITUTE(SUBSTITUTE("dpa"&amp;$B64&amp;$C64&amp;$D64&amp;$E64,".","_"),"(","_"),")","")</f>
        <v>dpa802_3_1_a</v>
      </c>
      <c r="AM64" t="str">
        <f>M64</f>
        <v>2 per unique meter</v>
      </c>
      <c r="AN64" t="str">
        <f>SUBSTITUTE(SUBSTITUTE(SUBSTITUTE("dpc"&amp;$B64&amp;$C64&amp;$D64&amp;$E64,".","_"),"(","_"),")","")</f>
        <v>dpc802_3_1_a</v>
      </c>
      <c r="AO64">
        <f ca="1">O64</f>
        <v>0</v>
      </c>
      <c r="AP64" t="str">
        <f>SUBSTITUTE(SUBSTITUTE(SUBSTITUTE("dch"&amp;$B64&amp;$C64&amp;$D64&amp;$E64,".","_"),"(","_"),")","")</f>
        <v>dch802_3_1_a</v>
      </c>
      <c r="AQ64" t="str">
        <f>IF(LEN(W64)=0,"",W64)</f>
        <v/>
      </c>
      <c r="AR64" t="str">
        <f>SUBSTITUTE(SUBSTITUTE(SUBSTITUTE("dnt"&amp;$B64&amp;$C64&amp;$D64&amp;$E64,".","_"),"(","_"),")","")</f>
        <v>dnt802_3_1_a</v>
      </c>
      <c r="AS64" t="str">
        <f>IF(LEN(X64)=0,"",X64)</f>
        <v/>
      </c>
    </row>
    <row r="65" spans="2:45" customFormat="1" x14ac:dyDescent="0.35">
      <c r="B65" s="510">
        <v>802.3</v>
      </c>
      <c r="C65" s="467" t="s">
        <v>256</v>
      </c>
      <c r="D65" s="467" t="s">
        <v>121</v>
      </c>
      <c r="E65" s="12"/>
      <c r="G65" s="12"/>
      <c r="I65" s="500"/>
      <c r="J65" s="402"/>
      <c r="K65" s="482"/>
      <c r="L65" s="815"/>
      <c r="M65" s="906"/>
      <c r="N65" s="4"/>
      <c r="O65" s="824"/>
      <c r="X65" s="817"/>
    </row>
    <row r="66" spans="2:45" customFormat="1" ht="15" customHeight="1" x14ac:dyDescent="0.35">
      <c r="B66" s="510">
        <v>802.3</v>
      </c>
      <c r="C66" s="467" t="s">
        <v>256</v>
      </c>
      <c r="D66" s="467" t="s">
        <v>122</v>
      </c>
      <c r="E66" s="12"/>
      <c r="G66" s="12"/>
      <c r="I66" s="500"/>
      <c r="J66" s="402"/>
      <c r="K66" s="481" t="s">
        <v>122</v>
      </c>
      <c r="L66" s="814" t="s">
        <v>4402</v>
      </c>
      <c r="M66" s="917" t="s">
        <v>4405</v>
      </c>
      <c r="N66" s="4"/>
      <c r="O66" s="832">
        <f ca="1">W66*2*S66</f>
        <v>0</v>
      </c>
      <c r="P66" t="b">
        <v>0</v>
      </c>
      <c r="Q66" t="b">
        <v>1</v>
      </c>
      <c r="R66" t="b">
        <v>0</v>
      </c>
      <c r="S66" t="b">
        <f ca="1">AND(AY19=INDEX(INDIRECT("ddSingleOrMulti"),1),S14=2)</f>
        <v>1</v>
      </c>
      <c r="T66" t="b">
        <f ca="1">IF(AND(NOT(S66),LEN(W66)&gt;0),TRUE,FALSE)</f>
        <v>0</v>
      </c>
      <c r="W66" s="502"/>
      <c r="X66" s="817"/>
      <c r="AC66" t="b">
        <f ca="1">OR(AD66:AE66)</f>
        <v>0</v>
      </c>
      <c r="AD66" t="b">
        <f ca="1">T66</f>
        <v>0</v>
      </c>
      <c r="AL66" t="str">
        <f>SUBSTITUTE(SUBSTITUTE(SUBSTITUTE("dpa"&amp;$B66&amp;$C66&amp;$D66&amp;$E66,".","_"),"(","_"),")","")</f>
        <v>dpa802_3_1_b</v>
      </c>
      <c r="AM66" t="str">
        <f>M66</f>
        <v>2 per sensor package</v>
      </c>
      <c r="AN66" t="str">
        <f>SUBSTITUTE(SUBSTITUTE(SUBSTITUTE("dpc"&amp;$B66&amp;$C66&amp;$D66&amp;$E66,".","_"),"(","_"),")","")</f>
        <v>dpc802_3_1_b</v>
      </c>
      <c r="AO66">
        <f ca="1">O66</f>
        <v>0</v>
      </c>
      <c r="AP66" t="str">
        <f>SUBSTITUTE(SUBSTITUTE(SUBSTITUTE("dch"&amp;$B66&amp;$C66&amp;$D66&amp;$E66,".","_"),"(","_"),")","")</f>
        <v>dch802_3_1_b</v>
      </c>
      <c r="AQ66" t="str">
        <f>IF(LEN(W66)=0,"",W66)</f>
        <v/>
      </c>
      <c r="AR66" t="str">
        <f>SUBSTITUTE(SUBSTITUTE(SUBSTITUTE("dnt"&amp;$B66&amp;$C66&amp;$D66&amp;$E66,".","_"),"(","_"),")","")</f>
        <v>dnt802_3_1_b</v>
      </c>
      <c r="AS66" t="str">
        <f>IF(LEN(X66)=0,"",X66)</f>
        <v/>
      </c>
    </row>
    <row r="67" spans="2:45" customFormat="1" x14ac:dyDescent="0.35">
      <c r="B67" s="510">
        <v>802.3</v>
      </c>
      <c r="C67" s="467" t="s">
        <v>256</v>
      </c>
      <c r="D67" s="467" t="s">
        <v>122</v>
      </c>
      <c r="E67" s="12"/>
      <c r="G67" s="12"/>
      <c r="I67" s="500"/>
      <c r="J67" s="402"/>
      <c r="K67" s="481"/>
      <c r="L67" s="814"/>
      <c r="M67" s="843"/>
      <c r="N67" s="4"/>
      <c r="O67" s="832"/>
      <c r="X67" s="817"/>
    </row>
    <row r="68" spans="2:45" customFormat="1" x14ac:dyDescent="0.35">
      <c r="B68" s="510">
        <v>802.3</v>
      </c>
      <c r="C68" s="467" t="s">
        <v>256</v>
      </c>
      <c r="D68" s="467" t="s">
        <v>122</v>
      </c>
      <c r="E68" s="12"/>
      <c r="G68" s="12"/>
      <c r="I68" s="500"/>
      <c r="J68" s="402"/>
      <c r="K68" s="481"/>
      <c r="L68" s="814"/>
      <c r="M68" s="843"/>
      <c r="N68" s="4"/>
      <c r="O68" s="832"/>
      <c r="X68" s="817"/>
    </row>
    <row r="69" spans="2:45" customFormat="1" x14ac:dyDescent="0.35">
      <c r="B69" s="510">
        <v>802.3</v>
      </c>
      <c r="C69" s="467" t="s">
        <v>256</v>
      </c>
      <c r="D69" s="467" t="s">
        <v>122</v>
      </c>
      <c r="E69" s="12"/>
      <c r="G69" s="12"/>
      <c r="I69" s="500"/>
      <c r="J69" s="416"/>
      <c r="K69" s="482"/>
      <c r="L69" s="815"/>
      <c r="M69" s="906"/>
      <c r="N69" s="133"/>
      <c r="O69" s="824"/>
      <c r="X69" s="817"/>
    </row>
    <row r="70" spans="2:45" customFormat="1" ht="15" customHeight="1" x14ac:dyDescent="0.35">
      <c r="B70" s="510">
        <v>802.3</v>
      </c>
      <c r="C70" s="467" t="s">
        <v>258</v>
      </c>
      <c r="D70" s="467"/>
      <c r="E70" s="12"/>
      <c r="G70" s="12"/>
      <c r="I70" s="500"/>
      <c r="J70" s="402" t="s">
        <v>258</v>
      </c>
      <c r="K70" s="481"/>
      <c r="L70" s="266" t="s">
        <v>4403</v>
      </c>
      <c r="P70" s="1"/>
      <c r="Q70" s="242" t="s">
        <v>4823</v>
      </c>
      <c r="R70" s="5">
        <f ca="1">SUM(O20:O69)+SUM(O80:O235)</f>
        <v>42</v>
      </c>
    </row>
    <row r="71" spans="2:45" customFormat="1" x14ac:dyDescent="0.35">
      <c r="B71" s="510">
        <v>802.3</v>
      </c>
      <c r="C71" s="467" t="s">
        <v>258</v>
      </c>
      <c r="D71" s="467"/>
      <c r="E71" s="12"/>
      <c r="G71" s="12"/>
      <c r="I71" s="500"/>
      <c r="J71" s="402"/>
      <c r="L71" s="838" t="s">
        <v>4407</v>
      </c>
      <c r="M71" s="949" t="s">
        <v>4826</v>
      </c>
      <c r="P71" s="1"/>
      <c r="Q71" s="242" t="s">
        <v>4824</v>
      </c>
      <c r="R71" s="1" t="b">
        <f ca="1">OR(O73&lt;R74,O75&lt;R76)</f>
        <v>0</v>
      </c>
    </row>
    <row r="72" spans="2:45" customFormat="1" ht="15" customHeight="1" x14ac:dyDescent="0.35">
      <c r="B72" s="510">
        <v>802.3</v>
      </c>
      <c r="C72" s="467" t="s">
        <v>258</v>
      </c>
      <c r="D72" s="467"/>
      <c r="E72" s="12"/>
      <c r="G72" s="12"/>
      <c r="I72" s="500"/>
      <c r="J72" s="402"/>
      <c r="L72" s="838"/>
      <c r="M72" s="950"/>
    </row>
    <row r="73" spans="2:45" customFormat="1" ht="15" customHeight="1" x14ac:dyDescent="0.35">
      <c r="B73" s="510">
        <v>802.3</v>
      </c>
      <c r="C73" s="467" t="s">
        <v>258</v>
      </c>
      <c r="D73" s="467" t="s">
        <v>121</v>
      </c>
      <c r="E73" s="12"/>
      <c r="G73" s="12"/>
      <c r="I73" s="500"/>
      <c r="J73" s="402"/>
      <c r="K73" s="481" t="s">
        <v>121</v>
      </c>
      <c r="L73" s="814" t="s">
        <v>4401</v>
      </c>
      <c r="M73" s="906" t="s">
        <v>4406</v>
      </c>
      <c r="N73" s="4"/>
      <c r="O73" s="832">
        <f ca="1">IF((R76+R74)&lt;=R70,R74,IF(R74&lt;=R76,MIN(R70/2,R74),(R70-O75)))</f>
        <v>0</v>
      </c>
      <c r="P73" t="b">
        <v>0</v>
      </c>
      <c r="Q73" t="b">
        <v>1</v>
      </c>
      <c r="R73" t="b">
        <v>0</v>
      </c>
      <c r="S73" t="b">
        <f ca="1">AND(AY19=INDEX(INDIRECT("ddSingleOrMulti"),2),S14=2)</f>
        <v>0</v>
      </c>
      <c r="T73" t="b">
        <f ca="1">IF(AND(NOT(S73),LEN(W73)&gt;0),TRUE,FALSE)</f>
        <v>0</v>
      </c>
      <c r="W73" s="501"/>
      <c r="X73" s="817"/>
      <c r="AC73" t="b">
        <f ca="1">OR(AD73:AE73)</f>
        <v>0</v>
      </c>
      <c r="AD73" t="b">
        <f ca="1">T73</f>
        <v>0</v>
      </c>
      <c r="AL73" t="str">
        <f>SUBSTITUTE(SUBSTITUTE(SUBSTITUTE("dpa"&amp;$B73&amp;$C73&amp;$D73&amp;$E73,".","_"),"(","_"),")","")</f>
        <v>dpa802_3_2_a</v>
      </c>
      <c r="AM73" t="str">
        <f>M73</f>
        <v>2 per unique use meter</v>
      </c>
      <c r="AN73" t="str">
        <f>SUBSTITUTE(SUBSTITUTE(SUBSTITUTE("dpc"&amp;$B73&amp;$C73&amp;$D73&amp;$E73,".","_"),"(","_"),")","")</f>
        <v>dpc802_3_2_a</v>
      </c>
      <c r="AO73">
        <f ca="1">O73</f>
        <v>0</v>
      </c>
      <c r="AP73" t="str">
        <f>SUBSTITUTE(SUBSTITUTE(SUBSTITUTE("dch"&amp;$B73&amp;$C73&amp;$D73&amp;$E73,".","_"),"(","_"),")","")</f>
        <v>dch802_3_2_a</v>
      </c>
      <c r="AQ73" t="str">
        <f>IF(LEN(W73)=0,"",W73)</f>
        <v/>
      </c>
      <c r="AR73" t="str">
        <f>SUBSTITUTE(SUBSTITUTE(SUBSTITUTE("dnt"&amp;$B73&amp;$C73&amp;$D73&amp;$E73,".","_"),"(","_"),")","")</f>
        <v>dnt802_3_2_a</v>
      </c>
      <c r="AS73" t="str">
        <f>IF(LEN(X73)=0,"",X73)</f>
        <v/>
      </c>
    </row>
    <row r="74" spans="2:45" customFormat="1" x14ac:dyDescent="0.35">
      <c r="B74" s="510">
        <v>802.3</v>
      </c>
      <c r="C74" s="467" t="s">
        <v>258</v>
      </c>
      <c r="D74" s="467" t="s">
        <v>121</v>
      </c>
      <c r="E74" s="12"/>
      <c r="G74" s="12"/>
      <c r="I74" s="500"/>
      <c r="J74" s="402"/>
      <c r="K74" s="482"/>
      <c r="L74" s="815"/>
      <c r="M74" s="906"/>
      <c r="N74" s="4"/>
      <c r="O74" s="824"/>
      <c r="P74" s="1"/>
      <c r="Q74" s="242" t="s">
        <v>4825</v>
      </c>
      <c r="R74" s="5">
        <f ca="1">W73*2*S73</f>
        <v>0</v>
      </c>
      <c r="X74" s="817"/>
    </row>
    <row r="75" spans="2:45" customFormat="1" ht="15" customHeight="1" x14ac:dyDescent="0.35">
      <c r="B75" s="510">
        <v>802.3</v>
      </c>
      <c r="C75" s="467" t="s">
        <v>258</v>
      </c>
      <c r="D75" s="467" t="s">
        <v>122</v>
      </c>
      <c r="E75" s="12"/>
      <c r="G75" s="12"/>
      <c r="I75" s="500"/>
      <c r="J75" s="402"/>
      <c r="K75" s="481" t="s">
        <v>122</v>
      </c>
      <c r="L75" s="814" t="s">
        <v>4402</v>
      </c>
      <c r="M75" s="917" t="s">
        <v>4405</v>
      </c>
      <c r="N75" s="4"/>
      <c r="O75" s="832">
        <f ca="1">IF((R76+R74)&lt;=R70,R76,IF(R76&lt;=R74,MIN(R70/2,R76),(R70-O73)))</f>
        <v>0</v>
      </c>
      <c r="P75" t="b">
        <v>0</v>
      </c>
      <c r="Q75" t="b">
        <v>1</v>
      </c>
      <c r="R75" t="b">
        <v>0</v>
      </c>
      <c r="S75" t="b">
        <f ca="1">AND(AY19=INDEX(INDIRECT("ddSingleOrMulti"),2),S14=2)</f>
        <v>0</v>
      </c>
      <c r="T75" t="b">
        <f ca="1">IF(AND(NOT(S75),LEN(W75)&gt;0),TRUE,FALSE)</f>
        <v>0</v>
      </c>
      <c r="W75" s="502"/>
      <c r="X75" s="817"/>
      <c r="AC75" t="b">
        <f ca="1">OR(AD75:AE75)</f>
        <v>0</v>
      </c>
      <c r="AD75" t="b">
        <f ca="1">T75</f>
        <v>0</v>
      </c>
      <c r="AL75" t="str">
        <f>SUBSTITUTE(SUBSTITUTE(SUBSTITUTE("dpa"&amp;$B75&amp;$C75&amp;$D75&amp;$E75,".","_"),"(","_"),")","")</f>
        <v>dpa802_3_2_b</v>
      </c>
      <c r="AM75" t="str">
        <f>M75</f>
        <v>2 per sensor package</v>
      </c>
      <c r="AN75" t="str">
        <f>SUBSTITUTE(SUBSTITUTE(SUBSTITUTE("dpc"&amp;$B75&amp;$C75&amp;$D75&amp;$E75,".","_"),"(","_"),")","")</f>
        <v>dpc802_3_2_b</v>
      </c>
      <c r="AO75">
        <f ca="1">O75</f>
        <v>0</v>
      </c>
      <c r="AP75" t="str">
        <f>SUBSTITUTE(SUBSTITUTE(SUBSTITUTE("dch"&amp;$B75&amp;$C75&amp;$D75&amp;$E75,".","_"),"(","_"),")","")</f>
        <v>dch802_3_2_b</v>
      </c>
      <c r="AQ75" t="str">
        <f>IF(LEN(W75)=0,"",W75)</f>
        <v/>
      </c>
      <c r="AR75" t="str">
        <f>SUBSTITUTE(SUBSTITUTE(SUBSTITUTE("dnt"&amp;$B75&amp;$C75&amp;$D75&amp;$E75,".","_"),"(","_"),")","")</f>
        <v>dnt802_3_2_b</v>
      </c>
      <c r="AS75" t="str">
        <f>IF(LEN(X75)=0,"",X75)</f>
        <v/>
      </c>
    </row>
    <row r="76" spans="2:45" customFormat="1" ht="15" customHeight="1" x14ac:dyDescent="0.35">
      <c r="B76" s="510">
        <v>802.3</v>
      </c>
      <c r="C76" s="467" t="s">
        <v>258</v>
      </c>
      <c r="D76" s="467" t="s">
        <v>122</v>
      </c>
      <c r="E76" s="12"/>
      <c r="G76" s="12"/>
      <c r="I76" s="500"/>
      <c r="J76" s="402"/>
      <c r="K76" s="481"/>
      <c r="L76" s="814"/>
      <c r="M76" s="843"/>
      <c r="N76" s="4"/>
      <c r="O76" s="832"/>
      <c r="P76" s="1"/>
      <c r="Q76" s="242" t="s">
        <v>4825</v>
      </c>
      <c r="R76" s="5">
        <f ca="1">W75*2*S75</f>
        <v>0</v>
      </c>
      <c r="X76" s="817"/>
    </row>
    <row r="77" spans="2:45" customFormat="1" x14ac:dyDescent="0.35">
      <c r="B77" s="510">
        <v>802.3</v>
      </c>
      <c r="C77" s="467" t="s">
        <v>258</v>
      </c>
      <c r="D77" s="467" t="s">
        <v>122</v>
      </c>
      <c r="E77" s="12"/>
      <c r="G77" s="12"/>
      <c r="I77" s="500"/>
      <c r="J77" s="402"/>
      <c r="K77" s="481"/>
      <c r="L77" s="814"/>
      <c r="M77" s="843"/>
      <c r="N77" s="4"/>
      <c r="O77" s="832"/>
      <c r="X77" s="817"/>
    </row>
    <row r="78" spans="2:45" customFormat="1" ht="15" thickBot="1" x14ac:dyDescent="0.4">
      <c r="B78" s="510">
        <v>802.3</v>
      </c>
      <c r="C78" s="467" t="s">
        <v>258</v>
      </c>
      <c r="D78" s="467" t="s">
        <v>122</v>
      </c>
      <c r="E78" s="12"/>
      <c r="G78" s="12"/>
      <c r="I78" s="503"/>
      <c r="J78" s="407"/>
      <c r="K78" s="491"/>
      <c r="L78" s="839"/>
      <c r="M78" s="945"/>
      <c r="N78" s="160"/>
      <c r="O78" s="833"/>
      <c r="P78" s="55"/>
      <c r="Q78" s="55"/>
      <c r="R78" s="55"/>
      <c r="S78" s="55"/>
      <c r="T78" s="55"/>
      <c r="U78" s="55"/>
      <c r="V78" s="55"/>
      <c r="W78" s="55"/>
      <c r="X78" s="829"/>
    </row>
    <row r="79" spans="2:45" ht="15" thickTop="1" x14ac:dyDescent="0.35">
      <c r="B79" s="412" t="s">
        <v>4408</v>
      </c>
      <c r="C79" s="13"/>
      <c r="D79" s="13"/>
      <c r="E79" s="13"/>
      <c r="F79" s="13"/>
      <c r="G79" s="13"/>
      <c r="H79" s="453"/>
      <c r="I79" s="30">
        <v>802.4</v>
      </c>
      <c r="J79" s="93"/>
      <c r="K79" s="4"/>
      <c r="L79" s="95" t="s">
        <v>4409</v>
      </c>
      <c r="M79" s="301"/>
      <c r="N79" s="4"/>
      <c r="O79" s="75"/>
      <c r="W79" t="s">
        <v>3587</v>
      </c>
    </row>
    <row r="80" spans="2:45" x14ac:dyDescent="0.35">
      <c r="B80" s="412" t="s">
        <v>4408</v>
      </c>
      <c r="C80" s="13" t="s">
        <v>256</v>
      </c>
      <c r="D80" s="13"/>
      <c r="E80" s="13"/>
      <c r="F80" s="13"/>
      <c r="G80" s="13"/>
      <c r="H80" s="453"/>
      <c r="I80" s="30"/>
      <c r="J80" s="38" t="s">
        <v>256</v>
      </c>
      <c r="K80" s="4"/>
      <c r="L80" s="814" t="s">
        <v>4412</v>
      </c>
      <c r="M80" s="891" t="s">
        <v>785</v>
      </c>
      <c r="N80" s="4"/>
      <c r="O80" s="832">
        <f ca="1">IFERROR(INDEX({4,5,6,7},MATCH(W80,INDIRECT(U80),0)),0)*S80</f>
        <v>0</v>
      </c>
      <c r="P80" t="b">
        <v>0</v>
      </c>
      <c r="Q80" t="b">
        <v>1</v>
      </c>
      <c r="R80" t="b">
        <v>0</v>
      </c>
      <c r="S80" t="b">
        <f ca="1">S14=2</f>
        <v>1</v>
      </c>
      <c r="T80" t="b">
        <f ca="1">IF(AND(NOT(S80),LEN(W80)&gt;0),TRUE,FALSE)</f>
        <v>0</v>
      </c>
      <c r="U80" t="str">
        <f>SUBSTITUTE(SUBSTITUTE(SUBSTITUTE("dd"&amp;B80&amp;C80&amp;D80&amp;E80&amp;F80,".","_"),"(","_"),")","")</f>
        <v>dd802_4_1</v>
      </c>
      <c r="W80" s="227"/>
      <c r="X80" s="817"/>
      <c r="AC80" t="b">
        <f ca="1">OR(AD80:AE80)</f>
        <v>0</v>
      </c>
      <c r="AD80" t="b">
        <f ca="1">T80</f>
        <v>0</v>
      </c>
      <c r="AL80" t="str">
        <f>SUBSTITUTE(SUBSTITUTE(SUBSTITUTE("dpa"&amp;$B80&amp;$C80&amp;$D80&amp;$E80,".","_"),"(","_"),")","")</f>
        <v>dpa802_4_1</v>
      </c>
      <c r="AM80" t="str">
        <f>M80</f>
        <v xml:space="preserve">4 for first compartment </v>
      </c>
      <c r="AN80" t="str">
        <f>SUBSTITUTE(SUBSTITUTE(SUBSTITUTE("dpc"&amp;$B80&amp;$C80&amp;$D80&amp;$E80,".","_"),"(","_"),")","")</f>
        <v>dpc802_4_1</v>
      </c>
      <c r="AO80">
        <f ca="1">O80</f>
        <v>0</v>
      </c>
      <c r="AP80" t="str">
        <f>SUBSTITUTE(SUBSTITUTE(SUBSTITUTE("dch"&amp;$B80&amp;$C80&amp;$D80&amp;$E80,".","_"),"(","_"),")","")</f>
        <v>dch802_4_1</v>
      </c>
      <c r="AQ80" t="str">
        <f>IF(LEN(W80)=0,"",W80)</f>
        <v/>
      </c>
      <c r="AR80" t="str">
        <f>SUBSTITUTE(SUBSTITUTE(SUBSTITUTE("dnt"&amp;$B80&amp;$C80&amp;$D80&amp;$E80,".","_"),"(","_"),")","")</f>
        <v>dnt802_4_1</v>
      </c>
      <c r="AS80" t="str">
        <f>IF(LEN(X80)=0,"",X80)</f>
        <v/>
      </c>
    </row>
    <row r="81" spans="2:45" x14ac:dyDescent="0.35">
      <c r="B81" s="412" t="s">
        <v>4408</v>
      </c>
      <c r="C81" s="13" t="s">
        <v>256</v>
      </c>
      <c r="D81" s="13"/>
      <c r="E81" s="13"/>
      <c r="F81" s="13"/>
      <c r="G81" s="13"/>
      <c r="H81" s="453"/>
      <c r="I81" s="30"/>
      <c r="J81" s="93"/>
      <c r="K81" s="4"/>
      <c r="L81" s="814"/>
      <c r="M81" s="891"/>
      <c r="N81" s="4"/>
      <c r="O81" s="832"/>
      <c r="X81" s="817"/>
    </row>
    <row r="82" spans="2:45" x14ac:dyDescent="0.35">
      <c r="B82" s="412" t="s">
        <v>4408</v>
      </c>
      <c r="C82" s="13" t="s">
        <v>256</v>
      </c>
      <c r="D82" s="13" t="s">
        <v>256</v>
      </c>
      <c r="E82" s="13"/>
      <c r="F82" s="13"/>
      <c r="G82" s="13"/>
      <c r="H82" s="453"/>
      <c r="I82" s="30"/>
      <c r="J82" s="93"/>
      <c r="K82" s="4"/>
      <c r="L82" s="814"/>
      <c r="M82" s="891" t="s">
        <v>786</v>
      </c>
      <c r="N82" s="4"/>
      <c r="O82" s="832"/>
      <c r="X82" s="817"/>
      <c r="AL82" t="str">
        <f>SUBSTITUTE(SUBSTITUTE(SUBSTITUTE("dpa"&amp;$B82&amp;$C82&amp;$D82&amp;$E82,".","_"),"(","_"),")","")</f>
        <v>dpa802_4_1_1</v>
      </c>
      <c r="AM82" t="str">
        <f>M82</f>
        <v>1 for each additional compartment in dwelling</v>
      </c>
    </row>
    <row r="83" spans="2:45" x14ac:dyDescent="0.35">
      <c r="B83" s="412" t="s">
        <v>4408</v>
      </c>
      <c r="C83" s="13" t="s">
        <v>256</v>
      </c>
      <c r="D83" s="13"/>
      <c r="E83" s="13"/>
      <c r="F83" s="13"/>
      <c r="G83" s="13"/>
      <c r="H83" s="453"/>
      <c r="I83" s="30"/>
      <c r="J83" s="93"/>
      <c r="K83" s="4"/>
      <c r="L83" s="814"/>
      <c r="M83" s="891"/>
      <c r="N83" s="4"/>
      <c r="O83" s="832"/>
      <c r="X83" s="817"/>
    </row>
    <row r="84" spans="2:45" x14ac:dyDescent="0.35">
      <c r="B84" s="412" t="s">
        <v>4408</v>
      </c>
      <c r="C84" s="13" t="s">
        <v>256</v>
      </c>
      <c r="D84" s="13"/>
      <c r="E84" s="13"/>
      <c r="F84" s="13"/>
      <c r="G84" s="13"/>
      <c r="H84" s="453"/>
      <c r="I84" s="30"/>
      <c r="J84" s="93"/>
      <c r="K84" s="4"/>
      <c r="L84" s="814"/>
      <c r="M84" s="891"/>
      <c r="N84" s="4"/>
      <c r="O84" s="832"/>
      <c r="X84" s="817"/>
    </row>
    <row r="85" spans="2:45" x14ac:dyDescent="0.35">
      <c r="B85" s="412" t="s">
        <v>4408</v>
      </c>
      <c r="C85" s="13" t="s">
        <v>256</v>
      </c>
      <c r="D85" s="13"/>
      <c r="E85" s="13"/>
      <c r="F85" s="13"/>
      <c r="G85" s="13"/>
      <c r="H85" s="453"/>
      <c r="I85" s="30"/>
      <c r="J85" s="93"/>
      <c r="K85" s="4"/>
      <c r="L85" s="814"/>
      <c r="M85" s="891"/>
      <c r="N85" s="4"/>
      <c r="O85" s="832"/>
      <c r="X85" s="817"/>
    </row>
    <row r="86" spans="2:45" x14ac:dyDescent="0.35">
      <c r="B86" s="412" t="s">
        <v>4408</v>
      </c>
      <c r="C86" s="13" t="s">
        <v>256</v>
      </c>
      <c r="D86" s="13"/>
      <c r="E86" s="13"/>
      <c r="F86" s="13"/>
      <c r="G86" s="13"/>
      <c r="H86" s="453"/>
      <c r="I86" s="30"/>
      <c r="J86" s="93"/>
      <c r="K86" s="4"/>
      <c r="L86" s="814"/>
      <c r="M86" s="891"/>
      <c r="N86" s="4"/>
      <c r="O86" s="832"/>
      <c r="X86" s="817"/>
    </row>
    <row r="87" spans="2:45" x14ac:dyDescent="0.35">
      <c r="B87" s="412" t="s">
        <v>4408</v>
      </c>
      <c r="C87" s="13" t="s">
        <v>256</v>
      </c>
      <c r="D87" s="13"/>
      <c r="E87" s="13"/>
      <c r="F87" s="13"/>
      <c r="G87" s="13"/>
      <c r="H87" s="453"/>
      <c r="I87" s="30"/>
      <c r="J87" s="93"/>
      <c r="K87" s="4"/>
      <c r="L87" s="814"/>
      <c r="M87" s="891"/>
      <c r="N87" s="4"/>
      <c r="O87" s="832"/>
      <c r="X87" s="817"/>
    </row>
    <row r="88" spans="2:45" x14ac:dyDescent="0.35">
      <c r="B88" s="412" t="s">
        <v>4408</v>
      </c>
      <c r="C88" s="13" t="s">
        <v>256</v>
      </c>
      <c r="D88" s="13"/>
      <c r="E88" s="13"/>
      <c r="F88" s="13"/>
      <c r="G88" s="13"/>
      <c r="H88" s="453"/>
      <c r="I88" s="30"/>
      <c r="J88" s="93"/>
      <c r="K88" s="4"/>
      <c r="L88" s="814"/>
      <c r="M88" s="891"/>
      <c r="N88" s="4"/>
      <c r="O88" s="832"/>
      <c r="X88" s="817"/>
    </row>
    <row r="89" spans="2:45" x14ac:dyDescent="0.35">
      <c r="B89" s="412" t="s">
        <v>4408</v>
      </c>
      <c r="C89" s="13" t="s">
        <v>256</v>
      </c>
      <c r="D89" s="13" t="s">
        <v>258</v>
      </c>
      <c r="E89" s="13"/>
      <c r="F89" s="13"/>
      <c r="G89" s="13"/>
      <c r="H89" s="453"/>
      <c r="I89" s="30"/>
      <c r="J89" s="93"/>
      <c r="K89" s="4"/>
      <c r="L89" s="895" t="s">
        <v>4413</v>
      </c>
      <c r="M89" s="818" t="s">
        <v>787</v>
      </c>
      <c r="N89" s="4"/>
      <c r="O89" s="75"/>
      <c r="X89" s="817"/>
      <c r="AL89" t="str">
        <f>SUBSTITUTE(SUBSTITUTE(SUBSTITUTE("dpa"&amp;$B89&amp;$C89&amp;$D89&amp;$E89,".","_"),"(","_"),")","")</f>
        <v>dpa802_4_1_2</v>
      </c>
      <c r="AM89" t="str">
        <f>M89</f>
        <v>7 Max</v>
      </c>
    </row>
    <row r="90" spans="2:45" x14ac:dyDescent="0.35">
      <c r="B90" s="412" t="s">
        <v>4408</v>
      </c>
      <c r="C90" s="13" t="s">
        <v>256</v>
      </c>
      <c r="D90" s="13"/>
      <c r="E90" s="13"/>
      <c r="F90" s="13"/>
      <c r="G90" s="13"/>
      <c r="H90" s="453"/>
      <c r="I90" s="30"/>
      <c r="J90" s="93"/>
      <c r="K90" s="4"/>
      <c r="L90" s="895"/>
      <c r="M90" s="818"/>
      <c r="N90" s="4"/>
      <c r="O90" s="75"/>
      <c r="X90" s="817"/>
    </row>
    <row r="91" spans="2:45" x14ac:dyDescent="0.35">
      <c r="B91" s="412" t="s">
        <v>4408</v>
      </c>
      <c r="C91" s="13" t="s">
        <v>256</v>
      </c>
      <c r="D91" s="13"/>
      <c r="E91" s="13"/>
      <c r="F91" s="13"/>
      <c r="G91" s="13"/>
      <c r="H91" s="453"/>
      <c r="I91" s="30"/>
      <c r="J91" s="320"/>
      <c r="K91" s="133"/>
      <c r="L91" s="948"/>
      <c r="M91" s="819"/>
      <c r="N91" s="133"/>
      <c r="O91" s="309"/>
      <c r="X91" s="817"/>
    </row>
    <row r="92" spans="2:45" x14ac:dyDescent="0.35">
      <c r="B92" s="412" t="s">
        <v>4408</v>
      </c>
      <c r="C92" s="13" t="s">
        <v>258</v>
      </c>
      <c r="D92" s="13"/>
      <c r="E92" s="13"/>
      <c r="F92" s="13"/>
      <c r="G92" s="13"/>
      <c r="H92" s="453"/>
      <c r="I92" s="30"/>
      <c r="J92" s="38" t="s">
        <v>258</v>
      </c>
      <c r="K92" s="4"/>
      <c r="L92" s="814" t="s">
        <v>5850</v>
      </c>
      <c r="M92" s="40"/>
      <c r="N92" s="4"/>
      <c r="O92" s="832">
        <f ca="1">IFERROR(INDEX({6,10},MATCH(W92,INDIRECT(U92),0)),0)*S92</f>
        <v>0</v>
      </c>
      <c r="P92" t="b">
        <v>0</v>
      </c>
      <c r="Q92" t="b">
        <v>1</v>
      </c>
      <c r="R92" t="b">
        <v>0</v>
      </c>
      <c r="S92" t="b">
        <f ca="1">AND(LEN(W80)&gt;0,S14=2)</f>
        <v>0</v>
      </c>
      <c r="T92" t="b">
        <f ca="1">IF(AND(NOT(S92),LEN(W92)&gt;0),TRUE,FALSE)</f>
        <v>0</v>
      </c>
      <c r="U92" t="str">
        <f>SUBSTITUTE(SUBSTITUTE(SUBSTITUTE("dd"&amp;B92&amp;C92&amp;D92&amp;E92&amp;F92,".","_"),"(","_"),")","")</f>
        <v>dd802_4_2</v>
      </c>
      <c r="W92" s="9"/>
      <c r="X92" s="817"/>
      <c r="AC92" t="b">
        <f ca="1">OR(AD92:AE92)</f>
        <v>0</v>
      </c>
      <c r="AD92" t="b">
        <f ca="1">T92</f>
        <v>0</v>
      </c>
      <c r="AN92" t="str">
        <f>SUBSTITUTE(SUBSTITUTE(SUBSTITUTE("dpc"&amp;$B92&amp;$C92&amp;$D92&amp;$E92,".","_"),"(","_"),")","")</f>
        <v>dpc802_4_2</v>
      </c>
      <c r="AO92">
        <f ca="1">O92</f>
        <v>0</v>
      </c>
      <c r="AP92" t="str">
        <f>SUBSTITUTE(SUBSTITUTE(SUBSTITUTE("dch"&amp;$B92&amp;$C92&amp;$D92&amp;$E92,".","_"),"(","_"),")","")</f>
        <v>dch802_4_2</v>
      </c>
      <c r="AQ92" t="str">
        <f>IF(LEN(W92)=0,"",W92)</f>
        <v/>
      </c>
      <c r="AR92" t="str">
        <f>SUBSTITUTE(SUBSTITUTE(SUBSTITUTE("dnt"&amp;$B92&amp;$C92&amp;$D92&amp;$E92,".","_"),"(","_"),")","")</f>
        <v>dnt802_4_2</v>
      </c>
      <c r="AS92" t="str">
        <f>IF(LEN(X92)=0,"",X92)</f>
        <v/>
      </c>
    </row>
    <row r="93" spans="2:45" x14ac:dyDescent="0.35">
      <c r="B93" s="412" t="s">
        <v>4408</v>
      </c>
      <c r="C93" s="13" t="s">
        <v>258</v>
      </c>
      <c r="D93" s="13"/>
      <c r="E93" s="13"/>
      <c r="F93" s="13"/>
      <c r="G93" s="13"/>
      <c r="H93" s="453"/>
      <c r="I93" s="30"/>
      <c r="J93" s="38"/>
      <c r="K93" s="4"/>
      <c r="L93" s="814"/>
      <c r="M93" s="40"/>
      <c r="N93" s="4"/>
      <c r="O93" s="832"/>
      <c r="X93" s="817"/>
    </row>
    <row r="94" spans="2:45" ht="15" customHeight="1" x14ac:dyDescent="0.35">
      <c r="B94" s="412" t="s">
        <v>4408</v>
      </c>
      <c r="C94" s="13" t="s">
        <v>258</v>
      </c>
      <c r="D94" s="13"/>
      <c r="E94" s="13"/>
      <c r="F94" s="13"/>
      <c r="G94" s="13"/>
      <c r="H94" s="453"/>
      <c r="I94" s="30"/>
      <c r="J94" s="93"/>
      <c r="K94" s="4"/>
      <c r="L94" s="814"/>
      <c r="M94" s="40"/>
      <c r="N94" s="4"/>
      <c r="O94" s="832"/>
      <c r="X94" s="817"/>
    </row>
    <row r="95" spans="2:45" x14ac:dyDescent="0.35">
      <c r="B95" s="412" t="s">
        <v>4408</v>
      </c>
      <c r="C95" s="13" t="s">
        <v>258</v>
      </c>
      <c r="D95" s="13" t="s">
        <v>121</v>
      </c>
      <c r="E95" s="13"/>
      <c r="F95" s="13"/>
      <c r="G95" s="13"/>
      <c r="H95" s="453"/>
      <c r="I95" s="4"/>
      <c r="J95" s="93"/>
      <c r="K95" s="19" t="s">
        <v>121</v>
      </c>
      <c r="L95" s="266" t="s">
        <v>4414</v>
      </c>
      <c r="M95" s="40" t="s">
        <v>788</v>
      </c>
      <c r="N95" s="4"/>
      <c r="O95" s="75"/>
      <c r="X95" s="817"/>
      <c r="AL95" t="str">
        <f>SUBSTITUTE(SUBSTITUTE(SUBSTITUTE("dpa"&amp;$B95&amp;$C95&amp;$D95&amp;$E95,".","_"),"(","_"),")","")</f>
        <v>dpa802_4_2_a</v>
      </c>
      <c r="AM95" t="str">
        <f>M95</f>
        <v xml:space="preserve">6 Additional </v>
      </c>
    </row>
    <row r="96" spans="2:45" x14ac:dyDescent="0.35">
      <c r="B96" s="412" t="s">
        <v>4408</v>
      </c>
      <c r="C96" s="13" t="s">
        <v>258</v>
      </c>
      <c r="D96" s="13" t="s">
        <v>122</v>
      </c>
      <c r="E96" s="13"/>
      <c r="F96" s="13"/>
      <c r="G96" s="13"/>
      <c r="H96" s="453"/>
      <c r="I96" s="4"/>
      <c r="J96" s="320"/>
      <c r="K96" s="129" t="s">
        <v>122</v>
      </c>
      <c r="L96" s="281" t="s">
        <v>4415</v>
      </c>
      <c r="M96" s="268" t="s">
        <v>789</v>
      </c>
      <c r="N96" s="4"/>
      <c r="O96" s="309"/>
      <c r="X96" s="817"/>
      <c r="AL96" t="str">
        <f>SUBSTITUTE(SUBSTITUTE(SUBSTITUTE("dpa"&amp;$B96&amp;$C96&amp;$D96&amp;$E96,".","_"),"(","_"),")","")</f>
        <v>dpa802_4_2_b</v>
      </c>
      <c r="AM96" t="str">
        <f>M96</f>
        <v xml:space="preserve">10 Additional </v>
      </c>
    </row>
    <row r="97" spans="1:45" ht="15" customHeight="1" x14ac:dyDescent="0.35">
      <c r="B97" s="412" t="s">
        <v>4408</v>
      </c>
      <c r="C97" s="13" t="s">
        <v>260</v>
      </c>
      <c r="D97" s="13"/>
      <c r="E97" s="13"/>
      <c r="F97" s="13"/>
      <c r="G97" s="13"/>
      <c r="H97" s="453"/>
      <c r="I97" s="30"/>
      <c r="J97" s="38" t="s">
        <v>260</v>
      </c>
      <c r="K97" s="4"/>
      <c r="L97" s="90" t="s">
        <v>790</v>
      </c>
      <c r="M97" s="843" t="s">
        <v>3595</v>
      </c>
      <c r="N97" s="4"/>
      <c r="O97" s="832">
        <f ca="1">IFERROR(MATCH(W97,INDIRECT(U97),0),0)*S97</f>
        <v>0</v>
      </c>
      <c r="P97" t="b">
        <v>0</v>
      </c>
      <c r="Q97" t="b">
        <v>1</v>
      </c>
      <c r="R97" t="b">
        <v>0</v>
      </c>
      <c r="S97" t="b">
        <f ca="1">S14=2</f>
        <v>1</v>
      </c>
      <c r="T97" t="b">
        <f ca="1">IF(AND(NOT(S97),LEN(W97)&gt;0),TRUE,FALSE)</f>
        <v>0</v>
      </c>
      <c r="U97" t="str">
        <f>SUBSTITUTE(SUBSTITUTE(SUBSTITUTE("dd"&amp;B97&amp;C97&amp;D97&amp;E97&amp;F97,".","_"),"(","_"),")","")</f>
        <v>dd802_4_3</v>
      </c>
      <c r="W97" s="9"/>
      <c r="X97" s="817"/>
      <c r="AC97" t="b">
        <f ca="1">OR(AD97:AE97)</f>
        <v>0</v>
      </c>
      <c r="AD97" t="b">
        <f ca="1">T97</f>
        <v>0</v>
      </c>
      <c r="AL97" t="str">
        <f>SUBSTITUTE(SUBSTITUTE(SUBSTITUTE("dpa"&amp;$B97&amp;$C97&amp;$D97&amp;$E97,".","_"),"(","_"),")","")</f>
        <v>dpa802_4_3</v>
      </c>
      <c r="AM97" t="str">
        <f>M97</f>
        <v>1
3 Max</v>
      </c>
      <c r="AN97" t="str">
        <f>SUBSTITUTE(SUBSTITUTE(SUBSTITUTE("dpc"&amp;$B97&amp;$C97&amp;$D97&amp;$E97,".","_"),"(","_"),")","")</f>
        <v>dpc802_4_3</v>
      </c>
      <c r="AO97">
        <f ca="1">O97</f>
        <v>0</v>
      </c>
      <c r="AP97" t="str">
        <f>SUBSTITUTE(SUBSTITUTE(SUBSTITUTE("dch"&amp;$B97&amp;$C97&amp;$D97&amp;$E97,".","_"),"(","_"),")","")</f>
        <v>dch802_4_3</v>
      </c>
      <c r="AQ97" t="str">
        <f>IF(LEN(W97)=0,"",W97)</f>
        <v/>
      </c>
      <c r="AR97" t="str">
        <f>SUBSTITUTE(SUBSTITUTE(SUBSTITUTE("dnt"&amp;$B97&amp;$C97&amp;$D97&amp;$E97,".","_"),"(","_"),")","")</f>
        <v>dnt802_4_3</v>
      </c>
      <c r="AS97" t="str">
        <f>IF(LEN(X97)=0,"",X97)</f>
        <v/>
      </c>
    </row>
    <row r="98" spans="1:45" ht="15" thickBot="1" x14ac:dyDescent="0.4">
      <c r="B98" s="412" t="s">
        <v>4408</v>
      </c>
      <c r="C98" s="13" t="s">
        <v>260</v>
      </c>
      <c r="D98" s="13"/>
      <c r="E98" s="13"/>
      <c r="F98" s="13"/>
      <c r="G98" s="13"/>
      <c r="H98" s="453"/>
      <c r="I98" s="114"/>
      <c r="J98" s="294"/>
      <c r="K98" s="160"/>
      <c r="L98" s="231" t="s">
        <v>791</v>
      </c>
      <c r="M98" s="945"/>
      <c r="N98" s="160"/>
      <c r="O98" s="833"/>
      <c r="P98" s="55"/>
      <c r="Q98" s="55"/>
      <c r="R98" s="55"/>
      <c r="S98" s="55"/>
      <c r="T98" s="55"/>
      <c r="U98" s="55"/>
      <c r="V98" s="55"/>
      <c r="W98" s="55"/>
      <c r="X98" s="829"/>
    </row>
    <row r="99" spans="1:45" ht="15" thickTop="1" x14ac:dyDescent="0.35">
      <c r="B99" s="412" t="s">
        <v>4418</v>
      </c>
      <c r="C99" s="13"/>
      <c r="D99" s="13"/>
      <c r="E99" s="13"/>
      <c r="F99" s="13"/>
      <c r="G99" s="13"/>
      <c r="H99" s="453"/>
      <c r="I99" s="106">
        <v>802.5</v>
      </c>
      <c r="J99" s="507"/>
      <c r="K99" s="107"/>
      <c r="L99" s="274" t="s">
        <v>4416</v>
      </c>
      <c r="M99" s="267"/>
      <c r="N99" s="107"/>
      <c r="O99" s="308"/>
      <c r="P99" s="59"/>
      <c r="Q99" s="59"/>
      <c r="R99" s="59"/>
      <c r="S99" s="59"/>
      <c r="T99" s="59"/>
      <c r="U99" s="59"/>
      <c r="V99" s="59"/>
      <c r="W99" s="59"/>
      <c r="X99" s="59"/>
    </row>
    <row r="100" spans="1:45" ht="15" customHeight="1" x14ac:dyDescent="0.35">
      <c r="B100" s="412" t="s">
        <v>4410</v>
      </c>
      <c r="C100" s="13" t="s">
        <v>2970</v>
      </c>
      <c r="D100" s="13"/>
      <c r="E100" s="13"/>
      <c r="F100" s="13"/>
      <c r="G100" s="13"/>
      <c r="H100" s="453"/>
      <c r="I100" s="30" t="s">
        <v>4410</v>
      </c>
      <c r="J100" s="93"/>
      <c r="K100" s="4"/>
      <c r="L100" s="838" t="s">
        <v>4417</v>
      </c>
      <c r="M100" s="40"/>
      <c r="N100" s="4"/>
      <c r="O100" s="832">
        <f ca="1">(S101*S103+IFERROR(INDEX({0,0,6,8,12},MATCH(W102,INDIRECT(U102),0)),0))*S100</f>
        <v>0</v>
      </c>
      <c r="P100" t="b">
        <v>0</v>
      </c>
      <c r="Q100" t="b">
        <v>1</v>
      </c>
      <c r="R100" t="b">
        <v>0</v>
      </c>
      <c r="S100" t="b">
        <f ca="1">S14=2</f>
        <v>1</v>
      </c>
      <c r="T100" t="b">
        <f ca="1">IF(AND(NOT(S100),LEN(W100)&gt;0),TRUE,FALSE)</f>
        <v>0</v>
      </c>
      <c r="U100" t="str">
        <f>SUBSTITUTE(SUBSTITUTE(SUBSTITUTE("dd"&amp;B100&amp;C100&amp;D100&amp;E100&amp;F100,".","_"),"(","_"),")","")</f>
        <v>dd802_5_1a</v>
      </c>
      <c r="W100" s="9"/>
      <c r="X100" s="817"/>
      <c r="AC100" t="b">
        <f ca="1">OR(AD100:AE100)</f>
        <v>0</v>
      </c>
      <c r="AD100" t="b">
        <f ca="1">T100</f>
        <v>0</v>
      </c>
      <c r="AN100" t="str">
        <f>SUBSTITUTE(SUBSTITUTE(SUBSTITUTE("dpc"&amp;$B100&amp;$C100&amp;$D100&amp;$E100,".","_"),"(","_"),")","")</f>
        <v>dpc802_5_1a</v>
      </c>
      <c r="AO100">
        <f ca="1">O100</f>
        <v>0</v>
      </c>
      <c r="AP100" t="str">
        <f>SUBSTITUTE(SUBSTITUTE(SUBSTITUTE("dch"&amp;$B100&amp;$C100&amp;$D100&amp;$E100,".","_"),"(","_"),")","")</f>
        <v>dch802_5_1a</v>
      </c>
      <c r="AQ100" t="str">
        <f>IF(LEN(W100)=0,"",W100)</f>
        <v/>
      </c>
      <c r="AR100" t="str">
        <f>SUBSTITUTE(SUBSTITUTE(SUBSTITUTE("dnt"&amp;$B100&amp;$C100&amp;$D100&amp;$E100,".","_"),"(","_"),")","")</f>
        <v>dnt802_5_1a</v>
      </c>
      <c r="AS100" t="str">
        <f>IF(LEN(X100)=0,"",X100)</f>
        <v/>
      </c>
    </row>
    <row r="101" spans="1:45" x14ac:dyDescent="0.35">
      <c r="B101" s="412" t="s">
        <v>4410</v>
      </c>
      <c r="C101" s="13"/>
      <c r="D101" s="13"/>
      <c r="E101" s="13"/>
      <c r="F101" s="13"/>
      <c r="G101" s="13"/>
      <c r="H101" s="453"/>
      <c r="I101" s="30"/>
      <c r="J101" s="93"/>
      <c r="K101" s="4"/>
      <c r="L101" s="838"/>
      <c r="M101" s="40"/>
      <c r="N101" s="4"/>
      <c r="O101" s="832"/>
      <c r="S101" s="1">
        <f ca="1">IFERROR(MATCH(W100,INDIRECT(U100),0),0)</f>
        <v>0</v>
      </c>
      <c r="X101" s="817"/>
    </row>
    <row r="102" spans="1:45" x14ac:dyDescent="0.35">
      <c r="B102" s="412" t="s">
        <v>4410</v>
      </c>
      <c r="C102" s="13" t="s">
        <v>2971</v>
      </c>
      <c r="D102" s="13"/>
      <c r="E102" s="13"/>
      <c r="F102" s="13"/>
      <c r="G102" s="13"/>
      <c r="H102" s="453"/>
      <c r="I102" s="30"/>
      <c r="J102" s="93"/>
      <c r="K102" s="4"/>
      <c r="L102" s="838"/>
      <c r="M102" s="40"/>
      <c r="N102" s="4"/>
      <c r="O102" s="832"/>
      <c r="P102" t="b">
        <v>0</v>
      </c>
      <c r="Q102" t="b">
        <v>1</v>
      </c>
      <c r="R102" s="104" t="b">
        <v>0</v>
      </c>
      <c r="S102" s="104" t="b">
        <f ca="1">AND(LEN(W100)&gt;0,S14=2)</f>
        <v>0</v>
      </c>
      <c r="T102" t="b">
        <f ca="1">IF(AND(NOT(S102),LEN(W102)&gt;0),TRUE,FALSE)</f>
        <v>0</v>
      </c>
      <c r="U102" t="str">
        <f>SUBSTITUTE(SUBSTITUTE(SUBSTITUTE("dd"&amp;B102&amp;C102&amp;D102&amp;E102&amp;F102,".","_"),"(","_"),")","")</f>
        <v>dd802_5_1b</v>
      </c>
      <c r="W102" s="9"/>
      <c r="X102" s="817"/>
      <c r="AC102" t="b">
        <f ca="1">OR(AD102:AE102)</f>
        <v>0</v>
      </c>
      <c r="AD102" t="b">
        <f ca="1">T102</f>
        <v>0</v>
      </c>
      <c r="AP102" t="str">
        <f>SUBSTITUTE(SUBSTITUTE(SUBSTITUTE("dch"&amp;$B102&amp;$C102&amp;$D102&amp;$E102,".","_"),"(","_"),")","")</f>
        <v>dch802_5_1b</v>
      </c>
      <c r="AQ102" t="str">
        <f>IF(LEN(W102)=0,"",W102)</f>
        <v/>
      </c>
    </row>
    <row r="103" spans="1:45" x14ac:dyDescent="0.35">
      <c r="B103" s="412" t="s">
        <v>4410</v>
      </c>
      <c r="C103" s="13" t="s">
        <v>256</v>
      </c>
      <c r="D103" s="13"/>
      <c r="E103" s="13"/>
      <c r="F103" s="13"/>
      <c r="G103" s="13"/>
      <c r="H103" s="453"/>
      <c r="I103" s="30"/>
      <c r="J103" s="38" t="s">
        <v>256</v>
      </c>
      <c r="K103" s="4"/>
      <c r="L103" s="90" t="s">
        <v>4428</v>
      </c>
      <c r="M103" s="843" t="s">
        <v>3595</v>
      </c>
      <c r="N103" s="4"/>
      <c r="O103" s="75"/>
      <c r="S103" s="1">
        <f ca="1">MIN(2,(IFERROR(MATCH(W102,INDIRECT(U102),0),0)))</f>
        <v>0</v>
      </c>
      <c r="X103" s="817"/>
      <c r="AL103" t="str">
        <f>SUBSTITUTE(SUBSTITUTE(SUBSTITUTE("dpa"&amp;$B103&amp;$C103&amp;$D103&amp;$E103,".","_"),"(","_"),")","")</f>
        <v>dpa802_5_1_1</v>
      </c>
      <c r="AM103" t="str">
        <f>M103</f>
        <v>1
3 Max</v>
      </c>
    </row>
    <row r="104" spans="1:45" x14ac:dyDescent="0.35">
      <c r="B104" s="412" t="s">
        <v>4410</v>
      </c>
      <c r="C104" s="13" t="s">
        <v>256</v>
      </c>
      <c r="D104" s="13"/>
      <c r="E104" s="13"/>
      <c r="F104" s="13"/>
      <c r="G104" s="13"/>
      <c r="H104" s="453"/>
      <c r="I104" s="30"/>
      <c r="J104" s="93"/>
      <c r="K104" s="4"/>
      <c r="L104" s="895" t="s">
        <v>4430</v>
      </c>
      <c r="M104" s="818"/>
      <c r="N104" s="4"/>
      <c r="O104"/>
      <c r="X104" s="817"/>
    </row>
    <row r="105" spans="1:45" x14ac:dyDescent="0.35">
      <c r="B105" s="412" t="s">
        <v>4410</v>
      </c>
      <c r="C105" s="13" t="s">
        <v>256</v>
      </c>
      <c r="D105" s="13"/>
      <c r="E105" s="13"/>
      <c r="F105" s="13"/>
      <c r="G105" s="13"/>
      <c r="H105" s="453"/>
      <c r="I105" s="30"/>
      <c r="J105" s="93"/>
      <c r="K105" s="4"/>
      <c r="L105" s="895"/>
      <c r="M105" s="818"/>
      <c r="N105" s="4"/>
      <c r="O105"/>
      <c r="X105" s="817"/>
    </row>
    <row r="106" spans="1:45" x14ac:dyDescent="0.35">
      <c r="B106" s="412" t="s">
        <v>4410</v>
      </c>
      <c r="C106" s="13" t="s">
        <v>256</v>
      </c>
      <c r="D106" s="13"/>
      <c r="E106" s="13"/>
      <c r="F106" s="13"/>
      <c r="G106" s="13"/>
      <c r="H106" s="453"/>
      <c r="I106" s="30"/>
      <c r="J106" s="320"/>
      <c r="K106" s="133"/>
      <c r="L106" s="948"/>
      <c r="M106" s="819"/>
      <c r="N106" s="133"/>
      <c r="O106"/>
      <c r="X106" s="817"/>
    </row>
    <row r="107" spans="1:45" x14ac:dyDescent="0.35">
      <c r="B107" s="412" t="s">
        <v>4410</v>
      </c>
      <c r="C107" s="13" t="s">
        <v>258</v>
      </c>
      <c r="D107" s="13"/>
      <c r="E107" s="13"/>
      <c r="F107" s="13"/>
      <c r="G107" s="13"/>
      <c r="H107" s="453"/>
      <c r="I107" s="30"/>
      <c r="J107" s="422" t="s">
        <v>258</v>
      </c>
      <c r="K107" s="509"/>
      <c r="L107" s="178" t="s">
        <v>4429</v>
      </c>
      <c r="M107" s="291" t="s">
        <v>4431</v>
      </c>
      <c r="N107" s="133"/>
      <c r="O107"/>
      <c r="X107" s="817"/>
      <c r="AL107" t="str">
        <f>SUBSTITUTE(SUBSTITUTE(SUBSTITUTE("dpa"&amp;$B107&amp;$C107&amp;$D107&amp;$E107,".","_"),"(","_"),")","")</f>
        <v>dpa802_5_1_2</v>
      </c>
      <c r="AM107" t="str">
        <f>M107</f>
        <v xml:space="preserve">2 (6 Max) </v>
      </c>
    </row>
    <row r="108" spans="1:45" x14ac:dyDescent="0.35">
      <c r="A108"/>
      <c r="B108" s="412" t="s">
        <v>4410</v>
      </c>
      <c r="C108" s="13" t="s">
        <v>260</v>
      </c>
      <c r="H108"/>
      <c r="J108" s="416" t="s">
        <v>260</v>
      </c>
      <c r="K108" s="472"/>
      <c r="L108" s="281" t="s">
        <v>4425</v>
      </c>
      <c r="M108" s="291" t="s">
        <v>788</v>
      </c>
      <c r="O108"/>
      <c r="X108" s="817"/>
      <c r="AL108" t="str">
        <f>SUBSTITUTE(SUBSTITUTE(SUBSTITUTE("dpa"&amp;$B108&amp;$C108&amp;$D108&amp;$E108,".","_"),"(","_"),")","")</f>
        <v>dpa802_5_1_3</v>
      </c>
      <c r="AM108" t="str">
        <f>M108</f>
        <v xml:space="preserve">6 Additional </v>
      </c>
    </row>
    <row r="109" spans="1:45" x14ac:dyDescent="0.35">
      <c r="A109"/>
      <c r="B109" s="412" t="s">
        <v>4410</v>
      </c>
      <c r="C109" s="13" t="s">
        <v>269</v>
      </c>
      <c r="H109"/>
      <c r="J109" s="402" t="s">
        <v>269</v>
      </c>
      <c r="K109" s="467"/>
      <c r="L109" s="814" t="s">
        <v>4426</v>
      </c>
      <c r="M109" s="822" t="s">
        <v>4432</v>
      </c>
      <c r="O109"/>
      <c r="X109" s="817"/>
      <c r="AL109" t="str">
        <f>SUBSTITUTE(SUBSTITUTE(SUBSTITUTE("dpa"&amp;$B109&amp;$C109&amp;$D109&amp;$E109,".","_"),"(","_"),")","")</f>
        <v>dpa802_5_1_4</v>
      </c>
      <c r="AM109" t="str">
        <f>M109</f>
        <v xml:space="preserve">8 Additional </v>
      </c>
    </row>
    <row r="110" spans="1:45" x14ac:dyDescent="0.35">
      <c r="A110"/>
      <c r="B110" s="412" t="s">
        <v>4410</v>
      </c>
      <c r="C110" s="13" t="s">
        <v>269</v>
      </c>
      <c r="H110"/>
      <c r="J110" s="416"/>
      <c r="K110" s="472"/>
      <c r="L110" s="815"/>
      <c r="M110" s="819"/>
      <c r="O110"/>
      <c r="X110" s="817"/>
    </row>
    <row r="111" spans="1:45" x14ac:dyDescent="0.35">
      <c r="A111"/>
      <c r="B111" s="412" t="s">
        <v>4410</v>
      </c>
      <c r="C111" s="13" t="s">
        <v>275</v>
      </c>
      <c r="H111"/>
      <c r="I111" s="104"/>
      <c r="J111" s="416" t="s">
        <v>275</v>
      </c>
      <c r="K111" s="472"/>
      <c r="L111" s="281" t="s">
        <v>4427</v>
      </c>
      <c r="M111" s="291" t="s">
        <v>4433</v>
      </c>
      <c r="N111" s="104"/>
      <c r="O111" s="104"/>
      <c r="P111" s="104"/>
      <c r="Q111" s="104"/>
      <c r="R111" s="104"/>
      <c r="S111" s="104"/>
      <c r="T111" s="104"/>
      <c r="U111" s="104"/>
      <c r="V111" s="104"/>
      <c r="W111" s="104"/>
      <c r="X111" s="817"/>
      <c r="AL111" t="str">
        <f>SUBSTITUTE(SUBSTITUTE(SUBSTITUTE("dpa"&amp;$B111&amp;$C111&amp;$D111&amp;$E111,".","_"),"(","_"),")","")</f>
        <v>dpa802_5_1_5</v>
      </c>
      <c r="AM111" t="str">
        <f>M111</f>
        <v xml:space="preserve">12 Additional </v>
      </c>
    </row>
    <row r="112" spans="1:45" x14ac:dyDescent="0.35">
      <c r="A112"/>
      <c r="B112" s="412" t="s">
        <v>4411</v>
      </c>
      <c r="H112"/>
      <c r="I112" s="500" t="s">
        <v>4411</v>
      </c>
      <c r="J112" s="402"/>
      <c r="K112" s="481"/>
      <c r="L112" s="838" t="s">
        <v>4419</v>
      </c>
      <c r="M112" s="40"/>
      <c r="N112" s="4"/>
      <c r="O112" s="832">
        <f ca="1">IFERROR(INDEX({3,4},MATCH(W112,INDIRECT(U112),0)),0)*S112</f>
        <v>4</v>
      </c>
      <c r="P112" t="b">
        <v>0</v>
      </c>
      <c r="Q112" t="b">
        <v>1</v>
      </c>
      <c r="R112" t="b">
        <v>0</v>
      </c>
      <c r="S112" t="b">
        <f ca="1">S14=2</f>
        <v>1</v>
      </c>
      <c r="T112" t="b">
        <f ca="1">IF(AND(NOT(S112),LEN(W112)&gt;0),TRUE,FALSE)</f>
        <v>0</v>
      </c>
      <c r="U112" t="str">
        <f>SUBSTITUTE(SUBSTITUTE(SUBSTITUTE("dd"&amp;B112&amp;C112&amp;D112&amp;E112&amp;F112,".","_"),"(","_"),")","")</f>
        <v>dd802_5_2</v>
      </c>
      <c r="W112" s="754" t="s">
        <v>258</v>
      </c>
      <c r="X112" s="816"/>
      <c r="AC112" t="b">
        <f ca="1">OR(AD112:AE112)</f>
        <v>0</v>
      </c>
      <c r="AD112" t="b">
        <f ca="1">T112</f>
        <v>0</v>
      </c>
      <c r="AN112" t="str">
        <f>SUBSTITUTE(SUBSTITUTE(SUBSTITUTE("dpc"&amp;$B112&amp;$C112&amp;$D112&amp;$E112,".","_"),"(","_"),")","")</f>
        <v>dpc802_5_2</v>
      </c>
      <c r="AO112">
        <f ca="1">O112</f>
        <v>4</v>
      </c>
      <c r="AP112" t="str">
        <f>SUBSTITUTE(SUBSTITUTE(SUBSTITUTE("dch"&amp;$B112&amp;$C112&amp;$D112&amp;$E112,".","_"),"(","_"),")","")</f>
        <v>dch802_5_2</v>
      </c>
      <c r="AQ112" t="str">
        <f>IF(LEN(W112)=0,"",W112)</f>
        <v>(2)</v>
      </c>
      <c r="AR112" t="str">
        <f>SUBSTITUTE(SUBSTITUTE(SUBSTITUTE("dnt"&amp;$B112&amp;$C112&amp;$D112&amp;$E112,".","_"),"(","_"),")","")</f>
        <v>dnt802_5_2</v>
      </c>
      <c r="AS112" t="str">
        <f>IF(LEN(X112)=0,"",X112)</f>
        <v/>
      </c>
    </row>
    <row r="113" spans="1:45" x14ac:dyDescent="0.35">
      <c r="A113"/>
      <c r="B113" s="412" t="s">
        <v>4411</v>
      </c>
      <c r="H113"/>
      <c r="I113" s="500"/>
      <c r="J113" s="402"/>
      <c r="K113" s="481"/>
      <c r="L113" s="838"/>
      <c r="M113" s="40"/>
      <c r="N113" s="4"/>
      <c r="O113" s="832"/>
      <c r="X113" s="817"/>
    </row>
    <row r="114" spans="1:45" x14ac:dyDescent="0.35">
      <c r="A114"/>
      <c r="B114" s="412" t="s">
        <v>4411</v>
      </c>
      <c r="H114"/>
      <c r="I114" s="500"/>
      <c r="J114" s="402"/>
      <c r="K114" s="481"/>
      <c r="L114" s="838"/>
      <c r="M114" s="40"/>
      <c r="N114" s="4"/>
      <c r="O114" s="832"/>
      <c r="X114" s="817"/>
    </row>
    <row r="115" spans="1:45" x14ac:dyDescent="0.35">
      <c r="A115"/>
      <c r="B115" s="412" t="s">
        <v>4411</v>
      </c>
      <c r="C115" s="13" t="s">
        <v>256</v>
      </c>
      <c r="H115"/>
      <c r="I115" s="500"/>
      <c r="J115" s="402" t="s">
        <v>256</v>
      </c>
      <c r="K115" s="481"/>
      <c r="L115" s="266" t="s">
        <v>4420</v>
      </c>
      <c r="M115" s="40">
        <v>3</v>
      </c>
      <c r="N115" s="4"/>
      <c r="O115" s="75"/>
      <c r="X115" s="817"/>
      <c r="AL115" t="str">
        <f>SUBSTITUTE(SUBSTITUTE(SUBSTITUTE("dpa"&amp;$B115&amp;$C115&amp;$D115&amp;$E115,".","_"),"(","_"),")","")</f>
        <v>dpa802_5_2_1</v>
      </c>
      <c r="AM115">
        <f>M115</f>
        <v>3</v>
      </c>
    </row>
    <row r="116" spans="1:45" x14ac:dyDescent="0.35">
      <c r="A116"/>
      <c r="B116" s="412" t="s">
        <v>4411</v>
      </c>
      <c r="C116" s="13" t="s">
        <v>258</v>
      </c>
      <c r="H116"/>
      <c r="I116" s="504"/>
      <c r="J116" s="416" t="s">
        <v>258</v>
      </c>
      <c r="K116" s="482"/>
      <c r="L116" s="281" t="s">
        <v>4421</v>
      </c>
      <c r="M116" s="268" t="s">
        <v>4424</v>
      </c>
      <c r="N116" s="4"/>
      <c r="O116" s="309"/>
      <c r="P116" s="104"/>
      <c r="Q116" s="104"/>
      <c r="R116" s="104"/>
      <c r="S116" s="104"/>
      <c r="T116" s="104"/>
      <c r="U116" s="104"/>
      <c r="V116" s="104"/>
      <c r="W116" s="104"/>
      <c r="X116" s="817"/>
      <c r="AL116" t="str">
        <f>SUBSTITUTE(SUBSTITUTE(SUBSTITUTE("dpa"&amp;$B116&amp;$C116&amp;$D116&amp;$E116,".","_"),"(","_"),")","")</f>
        <v>dpa802_5_2_2</v>
      </c>
      <c r="AM116" t="str">
        <f>M116</f>
        <v xml:space="preserve">1 Additional </v>
      </c>
    </row>
    <row r="117" spans="1:45" x14ac:dyDescent="0.35">
      <c r="B117" s="412" t="s">
        <v>4422</v>
      </c>
      <c r="C117" s="13"/>
      <c r="D117" s="13"/>
      <c r="E117" s="13"/>
      <c r="F117" s="13"/>
      <c r="G117" s="13"/>
      <c r="H117" s="453"/>
      <c r="I117" s="30" t="s">
        <v>4422</v>
      </c>
      <c r="J117" s="93"/>
      <c r="K117" s="4"/>
      <c r="L117" s="838" t="s">
        <v>4423</v>
      </c>
      <c r="M117" s="843" t="s">
        <v>3595</v>
      </c>
      <c r="N117" s="4"/>
      <c r="O117" s="832">
        <f ca="1">IFERROR(MATCH(W117,INDIRECT(U117),0),0)*S117</f>
        <v>0</v>
      </c>
      <c r="P117" t="b">
        <v>0</v>
      </c>
      <c r="Q117" t="b">
        <v>1</v>
      </c>
      <c r="R117" t="b">
        <v>0</v>
      </c>
      <c r="S117" t="b">
        <f ca="1">S14=2</f>
        <v>1</v>
      </c>
      <c r="T117" t="b">
        <f ca="1">IF(AND(NOT(S117),LEN(W117)&gt;0),TRUE,FALSE)</f>
        <v>0</v>
      </c>
      <c r="U117" t="str">
        <f>SUBSTITUTE(SUBSTITUTE(SUBSTITUTE("dd"&amp;B117&amp;C117&amp;D117&amp;E117&amp;F117,".","_"),"(","_"),")","")</f>
        <v>dd802_5_3</v>
      </c>
      <c r="W117" s="167"/>
      <c r="X117" s="816"/>
      <c r="AC117" t="b">
        <f ca="1">OR(AD117:AE117)</f>
        <v>0</v>
      </c>
      <c r="AD117" t="b">
        <f ca="1">T117</f>
        <v>0</v>
      </c>
      <c r="AL117" t="str">
        <f>SUBSTITUTE(SUBSTITUTE(SUBSTITUTE("dpa"&amp;$B117&amp;$C117&amp;$D117&amp;$E117,".","_"),"(","_"),")","")</f>
        <v>dpa802_5_3</v>
      </c>
      <c r="AM117" t="str">
        <f>M117</f>
        <v>1
3 Max</v>
      </c>
      <c r="AN117" t="str">
        <f>SUBSTITUTE(SUBSTITUTE(SUBSTITUTE("dpc"&amp;$B117&amp;$C117&amp;$D117&amp;$E117,".","_"),"(","_"),")","")</f>
        <v>dpc802_5_3</v>
      </c>
      <c r="AO117">
        <f ca="1">O117</f>
        <v>0</v>
      </c>
      <c r="AP117" t="str">
        <f>SUBSTITUTE(SUBSTITUTE(SUBSTITUTE("dch"&amp;$B117&amp;$C117&amp;$D117&amp;$E117,".","_"),"(","_"),")","")</f>
        <v>dch802_5_3</v>
      </c>
      <c r="AQ117" t="str">
        <f>IF(LEN(W117)=0,"",W117)</f>
        <v/>
      </c>
      <c r="AR117" t="str">
        <f>SUBSTITUTE(SUBSTITUTE(SUBSTITUTE("dnt"&amp;$B117&amp;$C117&amp;$D117&amp;$E117,".","_"),"(","_"),")","")</f>
        <v>dnt802_5_3</v>
      </c>
      <c r="AS117" t="str">
        <f>IF(LEN(X117)=0,"",X117)</f>
        <v/>
      </c>
    </row>
    <row r="118" spans="1:45" x14ac:dyDescent="0.35">
      <c r="B118" s="412" t="s">
        <v>4422</v>
      </c>
      <c r="C118" s="13"/>
      <c r="D118" s="13"/>
      <c r="E118" s="13"/>
      <c r="F118" s="13"/>
      <c r="G118" s="13"/>
      <c r="H118" s="453"/>
      <c r="I118" s="30"/>
      <c r="J118" s="93"/>
      <c r="K118" s="4"/>
      <c r="L118" s="838"/>
      <c r="M118" s="843"/>
      <c r="N118" s="4"/>
      <c r="O118" s="832"/>
      <c r="X118" s="817"/>
    </row>
    <row r="119" spans="1:45" ht="15" thickBot="1" x14ac:dyDescent="0.4">
      <c r="B119" s="412" t="s">
        <v>4422</v>
      </c>
      <c r="C119" s="13"/>
      <c r="D119" s="13"/>
      <c r="E119" s="13"/>
      <c r="F119" s="13"/>
      <c r="G119" s="13"/>
      <c r="H119" s="453"/>
      <c r="I119" s="114"/>
      <c r="J119" s="294"/>
      <c r="K119" s="160"/>
      <c r="L119" s="231" t="s">
        <v>793</v>
      </c>
      <c r="M119" s="945"/>
      <c r="N119" s="160"/>
      <c r="O119" s="833"/>
      <c r="P119" s="55"/>
      <c r="Q119" s="55"/>
      <c r="R119" s="55"/>
      <c r="S119" s="55"/>
      <c r="T119" s="55"/>
      <c r="U119" s="55"/>
      <c r="V119" s="55"/>
      <c r="W119" s="55"/>
      <c r="X119" s="829"/>
    </row>
    <row r="120" spans="1:45" ht="15" thickTop="1" x14ac:dyDescent="0.35">
      <c r="B120" s="412" t="s">
        <v>4434</v>
      </c>
      <c r="C120" s="13"/>
      <c r="D120" s="13"/>
      <c r="E120" s="13"/>
      <c r="F120" s="13"/>
      <c r="G120" s="13"/>
      <c r="H120" s="453"/>
      <c r="I120" s="30" t="s">
        <v>4434</v>
      </c>
      <c r="J120" s="93"/>
      <c r="K120" s="4"/>
      <c r="L120" s="919" t="s">
        <v>4435</v>
      </c>
      <c r="M120" s="40"/>
      <c r="N120" s="4"/>
      <c r="O120" s="75"/>
    </row>
    <row r="121" spans="1:45" x14ac:dyDescent="0.35">
      <c r="B121" s="412" t="s">
        <v>4434</v>
      </c>
      <c r="C121" s="13"/>
      <c r="D121" s="13"/>
      <c r="E121" s="13"/>
      <c r="F121" s="13"/>
      <c r="G121" s="13"/>
      <c r="H121" s="453"/>
      <c r="I121" s="30"/>
      <c r="J121" s="93"/>
      <c r="K121" s="4"/>
      <c r="L121" s="919"/>
      <c r="M121" s="40"/>
      <c r="N121" s="4"/>
      <c r="O121" s="75"/>
    </row>
    <row r="122" spans="1:45" x14ac:dyDescent="0.35">
      <c r="B122" s="412" t="s">
        <v>4434</v>
      </c>
      <c r="C122" s="13" t="s">
        <v>256</v>
      </c>
      <c r="D122" s="13"/>
      <c r="E122" s="13"/>
      <c r="F122" s="453"/>
      <c r="G122" s="13"/>
      <c r="H122" s="453"/>
      <c r="I122" s="30"/>
      <c r="J122" s="38" t="s">
        <v>256</v>
      </c>
      <c r="K122" s="4"/>
      <c r="L122" s="848" t="s">
        <v>4438</v>
      </c>
      <c r="M122" s="941" t="str">
        <f ca="1">IF(O131&gt;0,"Met","Gold/Emerald not available")</f>
        <v>Gold/Emerald not available</v>
      </c>
      <c r="N122" s="4"/>
      <c r="O122" s="75"/>
      <c r="X122" s="817"/>
      <c r="AR122" t="str">
        <f>SUBSTITUTE(SUBSTITUTE(SUBSTITUTE("dnt"&amp;$B122&amp;$C122&amp;$D122&amp;$E122,".","_"),"(","_"),")","")</f>
        <v>dnt802_5_4_1</v>
      </c>
      <c r="AS122" t="str">
        <f>IF(LEN(X122)=0,"",X122)</f>
        <v/>
      </c>
    </row>
    <row r="123" spans="1:45" x14ac:dyDescent="0.35">
      <c r="B123" s="412" t="s">
        <v>4434</v>
      </c>
      <c r="C123" s="13" t="s">
        <v>256</v>
      </c>
      <c r="D123" s="13"/>
      <c r="E123" s="13"/>
      <c r="F123" s="453"/>
      <c r="G123" s="13"/>
      <c r="H123" s="453"/>
      <c r="I123" s="30"/>
      <c r="J123" s="497"/>
      <c r="K123" s="133"/>
      <c r="L123" s="821"/>
      <c r="M123" s="942"/>
      <c r="N123" s="133"/>
      <c r="O123" s="309"/>
      <c r="X123" s="817"/>
    </row>
    <row r="124" spans="1:45" x14ac:dyDescent="0.35">
      <c r="B124" s="412" t="s">
        <v>4434</v>
      </c>
      <c r="C124" s="13" t="s">
        <v>258</v>
      </c>
      <c r="D124" s="13"/>
      <c r="E124" s="13"/>
      <c r="F124" s="453"/>
      <c r="G124" s="13"/>
      <c r="H124" s="453"/>
      <c r="I124" s="30"/>
      <c r="J124" s="38" t="s">
        <v>258</v>
      </c>
      <c r="K124" s="4"/>
      <c r="L124" s="814" t="s">
        <v>4894</v>
      </c>
      <c r="M124" s="891" t="s">
        <v>4440</v>
      </c>
      <c r="N124" s="4"/>
      <c r="O124" s="832">
        <f ca="1">IFERROR(4*MATCH(W124,INDIRECT(U124),0),0)*S124</f>
        <v>8</v>
      </c>
      <c r="P124" t="b">
        <v>0</v>
      </c>
      <c r="Q124" t="b">
        <v>1</v>
      </c>
      <c r="R124" t="b">
        <v>0</v>
      </c>
      <c r="S124" t="b">
        <f ca="1">S14=2</f>
        <v>1</v>
      </c>
      <c r="T124" t="b">
        <f ca="1">IF(AND(NOT(S124),LEN(W124)&gt;0),TRUE,FALSE)</f>
        <v>0</v>
      </c>
      <c r="U124" t="str">
        <f>SUBSTITUTE(SUBSTITUTE(SUBSTITUTE("dd"&amp;B124&amp;C124&amp;D124&amp;E124&amp;F124,".","_"),"(","_"),")","")</f>
        <v>dd802_5_4_2</v>
      </c>
      <c r="W124" s="9" t="s">
        <v>3597</v>
      </c>
      <c r="X124" s="817" t="s">
        <v>6099</v>
      </c>
      <c r="AC124" t="b">
        <f ca="1">OR(AD124:AE124)</f>
        <v>0</v>
      </c>
      <c r="AD124" t="b">
        <f ca="1">T124</f>
        <v>0</v>
      </c>
      <c r="AL124" t="str">
        <f>SUBSTITUTE(SUBSTITUTE(SUBSTITUTE("dpa"&amp;$B124&amp;$C124&amp;$D124&amp;$E124,".","_"),"(","_"),")","")</f>
        <v>dpa802_5_4_2</v>
      </c>
      <c r="AM124" t="str">
        <f>M124</f>
        <v>4 
12 Max</v>
      </c>
      <c r="AN124" t="str">
        <f>SUBSTITUTE(SUBSTITUTE(SUBSTITUTE("dpc"&amp;$B124&amp;$C124&amp;$D124&amp;$E124,".","_"),"(","_"),")","")</f>
        <v>dpc802_5_4_2</v>
      </c>
      <c r="AO124">
        <f ca="1">O124</f>
        <v>8</v>
      </c>
      <c r="AP124" t="str">
        <f>SUBSTITUTE(SUBSTITUTE(SUBSTITUTE("dch"&amp;$B124&amp;$C124&amp;$D124&amp;$E124,".","_"),"(","_"),")","")</f>
        <v>dch802_5_4_2</v>
      </c>
      <c r="AQ124" t="str">
        <f>IF(LEN(W124)=0,"",W124)</f>
        <v>2 fixtures</v>
      </c>
      <c r="AR124" t="str">
        <f>SUBSTITUTE(SUBSTITUTE(SUBSTITUTE("dnt"&amp;$B124&amp;$C124&amp;$D124&amp;$E124,".","_"),"(","_"),")","")</f>
        <v>dnt802_5_4_2</v>
      </c>
      <c r="AS124" t="str">
        <f>IF(LEN(X124)=0,"",X124)</f>
        <v>Niagara Corp. Toilets</v>
      </c>
    </row>
    <row r="125" spans="1:45" x14ac:dyDescent="0.35">
      <c r="B125" s="412" t="s">
        <v>4434</v>
      </c>
      <c r="C125" s="13" t="s">
        <v>258</v>
      </c>
      <c r="D125" s="13"/>
      <c r="E125" s="13"/>
      <c r="F125" s="453"/>
      <c r="G125" s="13"/>
      <c r="H125" s="453"/>
      <c r="I125" s="30"/>
      <c r="J125" s="93"/>
      <c r="K125" s="4"/>
      <c r="L125" s="814"/>
      <c r="M125" s="891"/>
      <c r="N125" s="4"/>
      <c r="O125" s="832"/>
      <c r="X125" s="817"/>
    </row>
    <row r="126" spans="1:45" x14ac:dyDescent="0.35">
      <c r="B126" s="412" t="s">
        <v>4434</v>
      </c>
      <c r="C126" s="13" t="s">
        <v>258</v>
      </c>
      <c r="D126" s="13"/>
      <c r="E126" s="13"/>
      <c r="F126" s="453"/>
      <c r="G126" s="13"/>
      <c r="H126" s="453"/>
      <c r="I126" s="30"/>
      <c r="J126" s="93"/>
      <c r="K126" s="4"/>
      <c r="L126" s="814"/>
      <c r="M126" s="891"/>
      <c r="N126" s="4"/>
      <c r="O126" s="832"/>
      <c r="X126" s="817"/>
    </row>
    <row r="127" spans="1:45" x14ac:dyDescent="0.35">
      <c r="B127" s="412" t="s">
        <v>4434</v>
      </c>
      <c r="C127" s="13" t="s">
        <v>258</v>
      </c>
      <c r="D127" s="13"/>
      <c r="E127" s="13"/>
      <c r="F127" s="453"/>
      <c r="G127" s="13"/>
      <c r="H127" s="453"/>
      <c r="I127" s="30"/>
      <c r="J127" s="93"/>
      <c r="K127" s="4"/>
      <c r="L127" s="814"/>
      <c r="M127" s="891"/>
      <c r="N127" s="4"/>
      <c r="O127" s="832"/>
      <c r="X127" s="817"/>
    </row>
    <row r="128" spans="1:45" x14ac:dyDescent="0.35">
      <c r="B128" s="412" t="s">
        <v>4434</v>
      </c>
      <c r="C128" s="13" t="s">
        <v>258</v>
      </c>
      <c r="D128" s="13"/>
      <c r="E128" s="13"/>
      <c r="F128" s="453"/>
      <c r="G128" s="13"/>
      <c r="H128" s="453"/>
      <c r="I128" s="30"/>
      <c r="J128" s="93"/>
      <c r="K128" s="4"/>
      <c r="L128" s="895" t="s">
        <v>4439</v>
      </c>
      <c r="M128" s="40"/>
      <c r="N128" s="4"/>
      <c r="O128" s="75"/>
      <c r="X128" s="817"/>
    </row>
    <row r="129" spans="1:45" x14ac:dyDescent="0.35">
      <c r="B129" s="412" t="s">
        <v>4434</v>
      </c>
      <c r="C129" s="13" t="s">
        <v>258</v>
      </c>
      <c r="D129" s="13"/>
      <c r="E129" s="13"/>
      <c r="F129" s="453"/>
      <c r="G129" s="13"/>
      <c r="H129" s="453"/>
      <c r="I129" s="30"/>
      <c r="J129" s="93"/>
      <c r="K129" s="4"/>
      <c r="L129" s="895"/>
      <c r="M129" s="40"/>
      <c r="N129" s="4"/>
      <c r="O129" s="75"/>
      <c r="X129" s="817"/>
    </row>
    <row r="130" spans="1:45" x14ac:dyDescent="0.35">
      <c r="B130" s="412" t="s">
        <v>4434</v>
      </c>
      <c r="C130" s="13" t="s">
        <v>258</v>
      </c>
      <c r="D130" s="13"/>
      <c r="E130" s="13"/>
      <c r="F130" s="453"/>
      <c r="G130" s="13"/>
      <c r="H130" s="453"/>
      <c r="I130" s="30"/>
      <c r="J130" s="320"/>
      <c r="K130" s="133"/>
      <c r="L130" s="948"/>
      <c r="M130" s="268"/>
      <c r="N130" s="4"/>
      <c r="O130" s="309"/>
      <c r="X130" s="817"/>
    </row>
    <row r="131" spans="1:45" x14ac:dyDescent="0.35">
      <c r="B131" s="412" t="s">
        <v>4434</v>
      </c>
      <c r="C131" s="13" t="s">
        <v>260</v>
      </c>
      <c r="D131" s="13"/>
      <c r="E131" s="13"/>
      <c r="F131" s="453"/>
      <c r="G131" s="13"/>
      <c r="H131" s="453"/>
      <c r="I131" s="30"/>
      <c r="J131" s="497" t="s">
        <v>260</v>
      </c>
      <c r="K131" s="133"/>
      <c r="L131" s="228" t="s">
        <v>4436</v>
      </c>
      <c r="M131" s="238">
        <f ca="1">17-O124</f>
        <v>9</v>
      </c>
      <c r="N131" s="133"/>
      <c r="O131" s="309">
        <f ca="1">M131*W131*S131</f>
        <v>0</v>
      </c>
      <c r="P131" t="b">
        <v>0</v>
      </c>
      <c r="Q131" t="b">
        <v>1</v>
      </c>
      <c r="R131" t="b">
        <v>0</v>
      </c>
      <c r="S131" t="b">
        <f ca="1">AND(LEN(W124)&gt;0,S14=2)</f>
        <v>1</v>
      </c>
      <c r="T131" t="b">
        <f ca="1">IF(AND(NOT(S131),W131=TRUE),TRUE,FALSE)</f>
        <v>0</v>
      </c>
      <c r="W131" s="17"/>
      <c r="X131" s="36"/>
      <c r="AC131" t="b">
        <f ca="1">OR(AD131:AE131)</f>
        <v>0</v>
      </c>
      <c r="AD131" t="b">
        <f ca="1">T131</f>
        <v>0</v>
      </c>
      <c r="AL131" t="str">
        <f>SUBSTITUTE(SUBSTITUTE(SUBSTITUTE("dpa"&amp;$B131&amp;$C131&amp;$D131&amp;$E131,".","_"),"(","_"),")","")</f>
        <v>dpa802_5_4_3</v>
      </c>
      <c r="AM131">
        <f ca="1">M131</f>
        <v>9</v>
      </c>
      <c r="AN131" t="str">
        <f>SUBSTITUTE(SUBSTITUTE(SUBSTITUTE("dpc"&amp;$B131&amp;$C131&amp;$D131&amp;$E131,".","_"),"(","_"),")","")</f>
        <v>dpc802_5_4_3</v>
      </c>
      <c r="AO131">
        <f ca="1">O131</f>
        <v>0</v>
      </c>
      <c r="AP131" t="str">
        <f>SUBSTITUTE(SUBSTITUTE(SUBSTITUTE("dch"&amp;$B131&amp;$C131&amp;$D131&amp;$E131,".","_"),"(","_"),")","")</f>
        <v>dch802_5_4_3</v>
      </c>
      <c r="AQ131" t="str">
        <f>IF(LEN(W131)=0,"",W131)</f>
        <v/>
      </c>
      <c r="AR131" t="str">
        <f>SUBSTITUTE(SUBSTITUTE(SUBSTITUTE("dnt"&amp;$B131&amp;$C131&amp;$D131&amp;$E131,".","_"),"(","_"),")","")</f>
        <v>dnt802_5_4_3</v>
      </c>
      <c r="AS131" t="str">
        <f>IF(LEN(X131)=0,"",X131)</f>
        <v/>
      </c>
    </row>
    <row r="132" spans="1:45" x14ac:dyDescent="0.35">
      <c r="B132" s="412" t="s">
        <v>4434</v>
      </c>
      <c r="C132" s="13" t="s">
        <v>269</v>
      </c>
      <c r="D132" s="13"/>
      <c r="E132" s="13"/>
      <c r="F132" s="453"/>
      <c r="G132" s="13"/>
      <c r="H132" s="453"/>
      <c r="I132" s="30"/>
      <c r="J132" s="38" t="s">
        <v>269</v>
      </c>
      <c r="K132" s="4"/>
      <c r="L132" s="814" t="s">
        <v>4437</v>
      </c>
      <c r="M132" s="40"/>
      <c r="N132" s="4"/>
      <c r="O132" s="75"/>
    </row>
    <row r="133" spans="1:45" x14ac:dyDescent="0.35">
      <c r="B133" s="412" t="s">
        <v>4434</v>
      </c>
      <c r="C133" s="13" t="s">
        <v>269</v>
      </c>
      <c r="D133" s="13"/>
      <c r="E133" s="13"/>
      <c r="F133" s="453"/>
      <c r="G133" s="13"/>
      <c r="H133" s="453"/>
      <c r="I133" s="30"/>
      <c r="J133" s="93"/>
      <c r="K133" s="4"/>
      <c r="L133" s="814"/>
      <c r="M133" s="40"/>
      <c r="N133" s="4"/>
      <c r="O133" s="75"/>
    </row>
    <row r="134" spans="1:45" x14ac:dyDescent="0.35">
      <c r="B134" s="412" t="s">
        <v>4434</v>
      </c>
      <c r="C134" s="13" t="s">
        <v>269</v>
      </c>
      <c r="D134" s="13" t="s">
        <v>121</v>
      </c>
      <c r="E134" s="13"/>
      <c r="F134" s="453"/>
      <c r="G134" s="13"/>
      <c r="H134" s="453"/>
      <c r="I134" s="4"/>
      <c r="J134" s="93"/>
      <c r="K134" s="19" t="s">
        <v>121</v>
      </c>
      <c r="L134" s="90" t="s">
        <v>4445</v>
      </c>
      <c r="M134" s="891" t="s">
        <v>4441</v>
      </c>
      <c r="N134" s="4"/>
      <c r="O134" s="832">
        <f ca="1">IFERROR(MATCH(W134,INDIRECT(U134),0),0)*S134*2</f>
        <v>0</v>
      </c>
      <c r="P134" t="b">
        <v>0</v>
      </c>
      <c r="Q134" t="b">
        <v>1</v>
      </c>
      <c r="R134" t="b">
        <v>0</v>
      </c>
      <c r="S134" t="b">
        <f ca="1">AND(W131=TRUE,S131,S14=2)</f>
        <v>0</v>
      </c>
      <c r="T134" t="b">
        <f ca="1">IF(AND(NOT(S134),LEN(W134)&gt;0),TRUE,FALSE)</f>
        <v>0</v>
      </c>
      <c r="U134" t="str">
        <f>SUBSTITUTE(SUBSTITUTE(SUBSTITUTE("dd"&amp;B134&amp;C134&amp;D134&amp;E134&amp;F134,".","_"),"(","_"),")","")</f>
        <v>dd802_5_4_4_a</v>
      </c>
      <c r="W134" s="9"/>
      <c r="X134" s="817"/>
      <c r="AC134" t="b">
        <f ca="1">OR(AD134:AE134)</f>
        <v>0</v>
      </c>
      <c r="AD134" t="b">
        <f ca="1">T134</f>
        <v>0</v>
      </c>
      <c r="AL134" t="str">
        <f>SUBSTITUTE(SUBSTITUTE(SUBSTITUTE("dpa"&amp;$B134&amp;$C134&amp;$D134&amp;$E134,".","_"),"(","_"),")","")</f>
        <v>dpa802_5_4_4_a</v>
      </c>
      <c r="AM134" t="str">
        <f>M134</f>
        <v>2 Additional
6 Max</v>
      </c>
      <c r="AN134" t="str">
        <f>SUBSTITUTE(SUBSTITUTE(SUBSTITUTE("dpc"&amp;$B134&amp;$C134&amp;$D134&amp;$E134,".","_"),"(","_"),")","")</f>
        <v>dpc802_5_4_4_a</v>
      </c>
      <c r="AO134">
        <f ca="1">O134</f>
        <v>0</v>
      </c>
      <c r="AP134" t="str">
        <f>SUBSTITUTE(SUBSTITUTE(SUBSTITUTE("dch"&amp;$B134&amp;$C134&amp;$D134&amp;$E134,".","_"),"(","_"),")","")</f>
        <v>dch802_5_4_4_a</v>
      </c>
      <c r="AQ134" t="str">
        <f>IF(LEN(W134)=0,"",W134)</f>
        <v/>
      </c>
      <c r="AR134" t="str">
        <f>SUBSTITUTE(SUBSTITUTE(SUBSTITUTE("dnt"&amp;$B134&amp;$C134&amp;$D134&amp;$E134,".","_"),"(","_"),")","")</f>
        <v>dnt802_5_4_4_a</v>
      </c>
      <c r="AS134" t="str">
        <f>IF(LEN(X134)=0,"",X134)</f>
        <v/>
      </c>
    </row>
    <row r="135" spans="1:45" x14ac:dyDescent="0.35">
      <c r="B135" s="412" t="s">
        <v>4434</v>
      </c>
      <c r="C135" s="13" t="s">
        <v>269</v>
      </c>
      <c r="D135" s="13" t="s">
        <v>121</v>
      </c>
      <c r="E135" s="13"/>
      <c r="F135" s="453"/>
      <c r="G135" s="13"/>
      <c r="H135" s="453"/>
      <c r="I135" s="4"/>
      <c r="J135" s="93"/>
      <c r="K135" s="4"/>
      <c r="L135" s="895" t="s">
        <v>4446</v>
      </c>
      <c r="M135" s="951"/>
      <c r="N135" s="4"/>
      <c r="O135" s="832"/>
      <c r="X135" s="817"/>
    </row>
    <row r="136" spans="1:45" x14ac:dyDescent="0.35">
      <c r="B136" s="412" t="s">
        <v>4434</v>
      </c>
      <c r="C136" s="13" t="s">
        <v>269</v>
      </c>
      <c r="D136" s="13" t="s">
        <v>121</v>
      </c>
      <c r="E136" s="13"/>
      <c r="F136" s="453"/>
      <c r="G136" s="13"/>
      <c r="H136" s="453"/>
      <c r="I136" s="4"/>
      <c r="J136" s="93"/>
      <c r="K136" s="4"/>
      <c r="L136" s="895"/>
      <c r="M136" s="951"/>
      <c r="N136" s="4"/>
      <c r="O136" s="832"/>
      <c r="X136" s="817"/>
    </row>
    <row r="137" spans="1:45" x14ac:dyDescent="0.35">
      <c r="B137" s="412" t="s">
        <v>4434</v>
      </c>
      <c r="C137" s="13" t="s">
        <v>269</v>
      </c>
      <c r="D137" s="13" t="s">
        <v>121</v>
      </c>
      <c r="E137" s="13"/>
      <c r="F137" s="453"/>
      <c r="G137" s="13"/>
      <c r="H137" s="453"/>
      <c r="I137" s="4"/>
      <c r="J137" s="93"/>
      <c r="K137" s="133"/>
      <c r="L137" s="948"/>
      <c r="M137" s="952"/>
      <c r="N137" s="133"/>
      <c r="O137" s="824"/>
      <c r="X137" s="817"/>
    </row>
    <row r="138" spans="1:45" x14ac:dyDescent="0.35">
      <c r="B138" s="412" t="s">
        <v>4434</v>
      </c>
      <c r="C138" s="13" t="s">
        <v>269</v>
      </c>
      <c r="D138" s="13" t="s">
        <v>122</v>
      </c>
      <c r="E138" s="13"/>
      <c r="F138" s="453"/>
      <c r="G138" s="13"/>
      <c r="H138" s="453"/>
      <c r="I138" s="4"/>
      <c r="J138" s="93"/>
      <c r="K138" s="19" t="s">
        <v>122</v>
      </c>
      <c r="L138" s="814" t="s">
        <v>4444</v>
      </c>
      <c r="M138" s="818" t="s">
        <v>4442</v>
      </c>
      <c r="N138" s="4"/>
      <c r="O138" s="832">
        <f ca="1">2*W138*S138</f>
        <v>0</v>
      </c>
      <c r="P138" t="b">
        <v>0</v>
      </c>
      <c r="Q138" t="b">
        <v>1</v>
      </c>
      <c r="R138" t="b">
        <v>0</v>
      </c>
      <c r="S138" t="b">
        <f ca="1">AND(W131=TRUE,S131,S14=2)</f>
        <v>0</v>
      </c>
      <c r="T138" t="b">
        <f ca="1">IF(AND(NOT(S138),W138=TRUE),TRUE,FALSE)</f>
        <v>0</v>
      </c>
      <c r="W138" s="17"/>
      <c r="X138" s="817"/>
      <c r="AC138" t="b">
        <f ca="1">OR(AD138:AE138)</f>
        <v>0</v>
      </c>
      <c r="AD138" t="b">
        <f ca="1">T138</f>
        <v>0</v>
      </c>
      <c r="AL138" t="str">
        <f>SUBSTITUTE(SUBSTITUTE(SUBSTITUTE("dpa"&amp;$B138&amp;$C138&amp;$D138&amp;$E138,".","_"),"(","_"),")","")</f>
        <v>dpa802_5_4_4_b</v>
      </c>
      <c r="AM138" t="str">
        <f>M138</f>
        <v>2 Additional</v>
      </c>
      <c r="AN138" t="str">
        <f>SUBSTITUTE(SUBSTITUTE(SUBSTITUTE("dpc"&amp;$B138&amp;$C138&amp;$D138&amp;$E138,".","_"),"(","_"),")","")</f>
        <v>dpc802_5_4_4_b</v>
      </c>
      <c r="AO138">
        <f ca="1">O138</f>
        <v>0</v>
      </c>
      <c r="AP138" t="str">
        <f>SUBSTITUTE(SUBSTITUTE(SUBSTITUTE("dch"&amp;$B138&amp;$C138&amp;$D138&amp;$E138,".","_"),"(","_"),")","")</f>
        <v>dch802_5_4_4_b</v>
      </c>
      <c r="AQ138" t="str">
        <f>IF(LEN(W138)=0,"",W138)</f>
        <v/>
      </c>
      <c r="AR138" t="str">
        <f>SUBSTITUTE(SUBSTITUTE(SUBSTITUTE("dnt"&amp;$B138&amp;$C138&amp;$D138&amp;$E138,".","_"),"(","_"),")","")</f>
        <v>dnt802_5_4_4_b</v>
      </c>
      <c r="AS138" t="str">
        <f>IF(LEN(X138)=0,"",X138)</f>
        <v/>
      </c>
    </row>
    <row r="139" spans="1:45" x14ac:dyDescent="0.35">
      <c r="B139" s="412" t="s">
        <v>4434</v>
      </c>
      <c r="C139" s="13" t="s">
        <v>269</v>
      </c>
      <c r="D139" s="13" t="s">
        <v>122</v>
      </c>
      <c r="E139" s="13"/>
      <c r="F139" s="453"/>
      <c r="G139" s="13"/>
      <c r="H139" s="453"/>
      <c r="I139" s="4"/>
      <c r="J139" s="93"/>
      <c r="K139" s="129"/>
      <c r="L139" s="815"/>
      <c r="M139" s="819"/>
      <c r="N139" s="133"/>
      <c r="O139" s="824"/>
      <c r="X139" s="817"/>
    </row>
    <row r="140" spans="1:45" x14ac:dyDescent="0.35">
      <c r="B140" s="412" t="s">
        <v>4434</v>
      </c>
      <c r="C140" s="13" t="s">
        <v>269</v>
      </c>
      <c r="D140" s="13" t="s">
        <v>123</v>
      </c>
      <c r="E140" s="13"/>
      <c r="F140" s="453"/>
      <c r="G140" s="13"/>
      <c r="H140" s="453"/>
      <c r="I140" s="4"/>
      <c r="J140" s="93"/>
      <c r="K140" s="19" t="s">
        <v>123</v>
      </c>
      <c r="L140" s="814" t="s">
        <v>4447</v>
      </c>
      <c r="M140" s="822" t="s">
        <v>4443</v>
      </c>
      <c r="N140" s="4"/>
      <c r="O140" s="823">
        <f ca="1">12*S140*W140</f>
        <v>0</v>
      </c>
      <c r="P140" t="b">
        <v>0</v>
      </c>
      <c r="Q140" t="b">
        <v>1</v>
      </c>
      <c r="R140" t="b">
        <v>0</v>
      </c>
      <c r="S140" t="b">
        <f ca="1">AND(W131=TRUE,S131,S14=2)</f>
        <v>0</v>
      </c>
      <c r="T140" t="b">
        <f ca="1">IF(AND(NOT(S140),W140=TRUE),TRUE,FALSE)</f>
        <v>0</v>
      </c>
      <c r="W140" s="17"/>
      <c r="X140" s="817"/>
      <c r="AC140" t="b">
        <f ca="1">OR(AD140:AE140)</f>
        <v>0</v>
      </c>
      <c r="AD140" t="b">
        <f ca="1">T140</f>
        <v>0</v>
      </c>
      <c r="AL140" t="str">
        <f>SUBSTITUTE(SUBSTITUTE(SUBSTITUTE("dpa"&amp;$B140&amp;$C140&amp;$D140&amp;$E140,".","_"),"(","_"),")","")</f>
        <v>dpa802_5_4_4_c</v>
      </c>
      <c r="AM140" t="str">
        <f>M140</f>
        <v>12 Additional</v>
      </c>
      <c r="AN140" t="str">
        <f>SUBSTITUTE(SUBSTITUTE(SUBSTITUTE("dpc"&amp;$B140&amp;$C140&amp;$D140&amp;$E140,".","_"),"(","_"),")","")</f>
        <v>dpc802_5_4_4_c</v>
      </c>
      <c r="AO140">
        <f ca="1">O140</f>
        <v>0</v>
      </c>
      <c r="AP140" t="str">
        <f>SUBSTITUTE(SUBSTITUTE(SUBSTITUTE("dch"&amp;$B140&amp;$C140&amp;$D140&amp;$E140,".","_"),"(","_"),")","")</f>
        <v>dch802_5_4_4_c</v>
      </c>
      <c r="AQ140" t="str">
        <f>IF(LEN(W140)=0,"",W140)</f>
        <v/>
      </c>
      <c r="AR140" t="str">
        <f>SUBSTITUTE(SUBSTITUTE(SUBSTITUTE("dnt"&amp;$B140&amp;$C140&amp;$D140&amp;$E140,".","_"),"(","_"),")","")</f>
        <v>dnt802_5_4_4_c</v>
      </c>
      <c r="AS140" t="str">
        <f>IF(LEN(X140)=0,"",X140)</f>
        <v/>
      </c>
    </row>
    <row r="141" spans="1:45" ht="15.75" customHeight="1" thickBot="1" x14ac:dyDescent="0.4">
      <c r="A141"/>
      <c r="B141" s="412" t="s">
        <v>4434</v>
      </c>
      <c r="C141" s="13" t="s">
        <v>269</v>
      </c>
      <c r="D141" s="13" t="s">
        <v>123</v>
      </c>
      <c r="E141"/>
      <c r="F141"/>
      <c r="G141"/>
      <c r="H141"/>
      <c r="I141" s="55"/>
      <c r="J141" s="55"/>
      <c r="K141" s="55"/>
      <c r="L141" s="839"/>
      <c r="M141" s="827"/>
      <c r="N141" s="55"/>
      <c r="O141" s="833"/>
      <c r="P141" s="55"/>
      <c r="Q141" s="55"/>
      <c r="R141" s="55"/>
      <c r="S141" s="55"/>
      <c r="T141" s="55"/>
      <c r="U141" s="55"/>
      <c r="V141" s="55"/>
      <c r="W141" s="511"/>
      <c r="X141" s="829"/>
    </row>
    <row r="142" spans="1:45" ht="15.75" customHeight="1" thickTop="1" x14ac:dyDescent="0.35">
      <c r="B142" s="412">
        <v>802.6</v>
      </c>
      <c r="C142" s="13"/>
      <c r="D142" s="13"/>
      <c r="E142" s="13"/>
      <c r="F142" s="13"/>
      <c r="G142" s="13"/>
      <c r="H142" s="453"/>
      <c r="I142" s="30">
        <v>802.6</v>
      </c>
      <c r="J142" s="93"/>
      <c r="K142" s="4"/>
      <c r="L142" s="95" t="s">
        <v>4375</v>
      </c>
      <c r="M142" s="40"/>
      <c r="N142" s="4"/>
      <c r="O142" s="75"/>
      <c r="W142" s="104"/>
    </row>
    <row r="143" spans="1:45" x14ac:dyDescent="0.35">
      <c r="B143" s="412" t="s">
        <v>4374</v>
      </c>
      <c r="C143" s="13"/>
      <c r="D143" s="13"/>
      <c r="E143" s="13"/>
      <c r="F143" s="13"/>
      <c r="G143" s="13"/>
      <c r="H143" s="453"/>
      <c r="I143" s="30" t="s">
        <v>4374</v>
      </c>
      <c r="J143" s="93"/>
      <c r="K143" s="4"/>
      <c r="L143" s="838" t="s">
        <v>4448</v>
      </c>
      <c r="M143" s="885" t="str">
        <f>IF(R143,"Mandatory","N/A")</f>
        <v>N/A</v>
      </c>
      <c r="N143" s="4"/>
      <c r="O143" s="75"/>
      <c r="P143" t="b">
        <v>0</v>
      </c>
      <c r="Q143" t="b">
        <v>1</v>
      </c>
      <c r="R143" t="b">
        <f>NOT(W158=TRUE)</f>
        <v>0</v>
      </c>
      <c r="S143" t="b">
        <v>1</v>
      </c>
      <c r="T143" t="b">
        <v>0</v>
      </c>
      <c r="U143" t="str">
        <f>SUBSTITUTE(SUBSTITUTE(SUBSTITUTE("dd"&amp;B143&amp;C143&amp;D143&amp;E143&amp;F143,".","_"),"(","_"),")","")</f>
        <v>dd802_6_1</v>
      </c>
      <c r="W143" s="9"/>
      <c r="X143" s="817"/>
      <c r="AC143" t="b">
        <f>OR(AD143:AE143)</f>
        <v>0</v>
      </c>
      <c r="AD143" t="b">
        <f>T143</f>
        <v>0</v>
      </c>
      <c r="AE143" t="b">
        <f>AND(R143,NOT(W143="Met"),NOT(W143="N/A"))</f>
        <v>0</v>
      </c>
      <c r="AL143" t="str">
        <f>SUBSTITUTE(SUBSTITUTE(SUBSTITUTE("dpa"&amp;$B143&amp;$C143&amp;$D143&amp;$E143,".","_"),"(","_"),")","")</f>
        <v>dpa802_6_1</v>
      </c>
      <c r="AM143" t="str">
        <f>M143</f>
        <v>N/A</v>
      </c>
      <c r="AP143" t="str">
        <f>SUBSTITUTE(SUBSTITUTE(SUBSTITUTE("dch"&amp;$B143&amp;$C143&amp;$D143&amp;$E143,".","_"),"(","_"),")","")</f>
        <v>dch802_6_1</v>
      </c>
      <c r="AQ143" t="str">
        <f>IF(LEN(W143)=0,"",W143)</f>
        <v/>
      </c>
      <c r="AR143" t="str">
        <f>SUBSTITUTE(SUBSTITUTE(SUBSTITUTE("dnt"&amp;$B143&amp;$C143&amp;$D143&amp;$E143,".","_"),"(","_"),")","")</f>
        <v>dnt802_6_1</v>
      </c>
      <c r="AS143" t="str">
        <f>IF(LEN(X143)=0,"",X143)</f>
        <v/>
      </c>
    </row>
    <row r="144" spans="1:45" x14ac:dyDescent="0.35">
      <c r="B144" s="412" t="s">
        <v>4374</v>
      </c>
      <c r="C144" s="13"/>
      <c r="D144" s="13"/>
      <c r="E144" s="13"/>
      <c r="F144" s="13"/>
      <c r="G144" s="13"/>
      <c r="H144" s="453"/>
      <c r="I144" s="138"/>
      <c r="J144" s="320"/>
      <c r="K144" s="133"/>
      <c r="L144" s="889"/>
      <c r="M144" s="890"/>
      <c r="N144" s="133"/>
      <c r="O144" s="309"/>
      <c r="P144" s="104"/>
      <c r="Q144" s="104"/>
      <c r="R144" s="104"/>
      <c r="S144" s="104"/>
      <c r="T144" s="104"/>
      <c r="U144" s="104"/>
      <c r="V144" s="104"/>
      <c r="W144" s="488"/>
      <c r="X144" s="817"/>
    </row>
    <row r="145" spans="1:45" ht="15" customHeight="1" x14ac:dyDescent="0.35">
      <c r="B145" s="412" t="s">
        <v>4376</v>
      </c>
      <c r="C145" s="13"/>
      <c r="D145" s="13"/>
      <c r="E145" s="13"/>
      <c r="F145" s="13"/>
      <c r="G145" s="13"/>
      <c r="H145" s="453"/>
      <c r="I145" s="30" t="s">
        <v>4376</v>
      </c>
      <c r="J145" s="93"/>
      <c r="K145" s="4"/>
      <c r="L145" s="905" t="s">
        <v>4449</v>
      </c>
      <c r="M145" s="818">
        <v>6</v>
      </c>
      <c r="N145" s="4"/>
      <c r="O145" s="832">
        <f ca="1">6*S145*W145</f>
        <v>0</v>
      </c>
      <c r="P145" t="b">
        <v>0</v>
      </c>
      <c r="Q145" t="b">
        <v>1</v>
      </c>
      <c r="R145" t="b">
        <v>0</v>
      </c>
      <c r="S145" t="b">
        <f ca="1">AND(NOT(W158=TRUE),S14=2)</f>
        <v>0</v>
      </c>
      <c r="T145" t="b">
        <f ca="1">IF(AND(NOT(S145),W145=TRUE),TRUE,FALSE)</f>
        <v>0</v>
      </c>
      <c r="W145" s="17"/>
      <c r="X145" s="817"/>
      <c r="AC145" t="b">
        <f ca="1">OR(AD145:AE145)</f>
        <v>0</v>
      </c>
      <c r="AD145" t="b">
        <f ca="1">T145</f>
        <v>0</v>
      </c>
      <c r="AL145" t="str">
        <f>SUBSTITUTE(SUBSTITUTE(SUBSTITUTE("dpa"&amp;$B145&amp;$C145&amp;$D145&amp;$E145,".","_"),"(","_"),")","")</f>
        <v>dpa802_6_2</v>
      </c>
      <c r="AM145">
        <f>M145</f>
        <v>6</v>
      </c>
      <c r="AN145" t="str">
        <f>SUBSTITUTE(SUBSTITUTE(SUBSTITUTE("dpc"&amp;$B145&amp;$C145&amp;$D145&amp;$E145,".","_"),"(","_"),")","")</f>
        <v>dpc802_6_2</v>
      </c>
      <c r="AO145">
        <f ca="1">O145</f>
        <v>0</v>
      </c>
      <c r="AP145" t="str">
        <f>SUBSTITUTE(SUBSTITUTE(SUBSTITUTE("dch"&amp;$B145&amp;$C145&amp;$D145&amp;$E145,".","_"),"(","_"),")","")</f>
        <v>dch802_6_2</v>
      </c>
      <c r="AQ145" t="str">
        <f>IF(LEN(W145)=0,"",W145)</f>
        <v/>
      </c>
      <c r="AR145" t="str">
        <f>SUBSTITUTE(SUBSTITUTE(SUBSTITUTE("dnt"&amp;$B145&amp;$C145&amp;$D145&amp;$E145,".","_"),"(","_"),")","")</f>
        <v>dnt802_6_2</v>
      </c>
      <c r="AS145" t="str">
        <f>IF(LEN(X145)=0,"",X145)</f>
        <v/>
      </c>
    </row>
    <row r="146" spans="1:45" x14ac:dyDescent="0.35">
      <c r="B146" s="412" t="s">
        <v>4376</v>
      </c>
      <c r="C146" s="13"/>
      <c r="D146" s="13"/>
      <c r="E146" s="13"/>
      <c r="F146" s="13"/>
      <c r="G146" s="13"/>
      <c r="H146" s="453"/>
      <c r="I146" s="30"/>
      <c r="J146" s="93"/>
      <c r="K146" s="4"/>
      <c r="L146" s="838"/>
      <c r="M146" s="818"/>
      <c r="N146" s="4"/>
      <c r="O146" s="832"/>
      <c r="X146" s="817"/>
    </row>
    <row r="147" spans="1:45" x14ac:dyDescent="0.35">
      <c r="B147" s="412" t="s">
        <v>4376</v>
      </c>
      <c r="C147" s="13"/>
      <c r="D147" s="13"/>
      <c r="E147" s="13"/>
      <c r="F147" s="13"/>
      <c r="G147" s="13"/>
      <c r="H147" s="453"/>
      <c r="I147" s="138"/>
      <c r="J147" s="320"/>
      <c r="K147" s="133"/>
      <c r="L147" s="889"/>
      <c r="M147" s="819"/>
      <c r="N147" s="133"/>
      <c r="O147" s="824"/>
      <c r="P147" s="104"/>
      <c r="Q147" s="104"/>
      <c r="R147" s="104"/>
      <c r="S147" s="104"/>
      <c r="T147" s="104"/>
      <c r="U147" s="104"/>
      <c r="V147" s="104"/>
      <c r="X147" s="817"/>
    </row>
    <row r="148" spans="1:45" x14ac:dyDescent="0.35">
      <c r="B148" s="412" t="s">
        <v>4377</v>
      </c>
      <c r="C148" s="13"/>
      <c r="D148" s="13"/>
      <c r="E148" s="13"/>
      <c r="F148" s="13"/>
      <c r="G148" s="13"/>
      <c r="H148" s="453"/>
      <c r="I148" s="30" t="s">
        <v>4377</v>
      </c>
      <c r="J148" s="93"/>
      <c r="K148" s="4"/>
      <c r="L148" s="95" t="s">
        <v>4450</v>
      </c>
      <c r="M148" s="40"/>
      <c r="N148" s="4"/>
      <c r="O148" s="75"/>
    </row>
    <row r="149" spans="1:45" x14ac:dyDescent="0.35">
      <c r="B149" s="412" t="s">
        <v>4377</v>
      </c>
      <c r="C149" s="13" t="s">
        <v>256</v>
      </c>
      <c r="D149" s="13"/>
      <c r="E149" s="13"/>
      <c r="F149" s="13"/>
      <c r="G149" s="13"/>
      <c r="H149" s="453"/>
      <c r="I149" s="30"/>
      <c r="J149" s="497" t="s">
        <v>256</v>
      </c>
      <c r="K149" s="133"/>
      <c r="L149" s="228" t="s">
        <v>795</v>
      </c>
      <c r="M149" s="268">
        <v>4</v>
      </c>
      <c r="N149" s="133"/>
      <c r="O149" s="309">
        <f ca="1">M149*S149*W149</f>
        <v>0</v>
      </c>
      <c r="P149" t="b">
        <v>0</v>
      </c>
      <c r="Q149" t="b">
        <v>1</v>
      </c>
      <c r="R149" t="b">
        <v>0</v>
      </c>
      <c r="S149" t="b">
        <f ca="1">AND(NOT(W158=TRUE),S14=2)</f>
        <v>0</v>
      </c>
      <c r="T149" t="b">
        <f ca="1">IF(AND(NOT(S149),W149=TRUE),TRUE,FALSE)</f>
        <v>0</v>
      </c>
      <c r="W149" s="17"/>
      <c r="X149" s="36"/>
      <c r="AC149" t="b">
        <f ca="1">OR(AD149:AE149)</f>
        <v>0</v>
      </c>
      <c r="AD149" t="b">
        <f ca="1">T149</f>
        <v>0</v>
      </c>
      <c r="AL149" t="str">
        <f>SUBSTITUTE(SUBSTITUTE(SUBSTITUTE("dpa"&amp;$B149&amp;$C149&amp;$D149&amp;$E149,".","_"),"(","_"),")","")</f>
        <v>dpa802_6_3_1</v>
      </c>
      <c r="AM149">
        <f>M149</f>
        <v>4</v>
      </c>
      <c r="AN149" t="str">
        <f>SUBSTITUTE(SUBSTITUTE(SUBSTITUTE("dpc"&amp;$B149&amp;$C149&amp;$D149&amp;$E149,".","_"),"(","_"),")","")</f>
        <v>dpc802_6_3_1</v>
      </c>
      <c r="AO149">
        <f ca="1">O149</f>
        <v>0</v>
      </c>
      <c r="AP149" t="str">
        <f>SUBSTITUTE(SUBSTITUTE(SUBSTITUTE("dch"&amp;$B149&amp;$C149&amp;$D149&amp;$E149,".","_"),"(","_"),")","")</f>
        <v>dch802_6_3_1</v>
      </c>
      <c r="AQ149" t="str">
        <f>IF(LEN(W149)=0,"",W149)</f>
        <v/>
      </c>
      <c r="AR149" t="str">
        <f>SUBSTITUTE(SUBSTITUTE(SUBSTITUTE("dnt"&amp;$B149&amp;$C149&amp;$D149&amp;$E149,".","_"),"(","_"),")","")</f>
        <v>dnt802_6_3_1</v>
      </c>
      <c r="AS149" t="str">
        <f>IF(LEN(X149)=0,"",X149)</f>
        <v/>
      </c>
    </row>
    <row r="150" spans="1:45" x14ac:dyDescent="0.35">
      <c r="B150" s="412" t="s">
        <v>4377</v>
      </c>
      <c r="C150" s="13" t="s">
        <v>258</v>
      </c>
      <c r="D150" s="13"/>
      <c r="E150" s="13"/>
      <c r="F150" s="13"/>
      <c r="G150" s="13"/>
      <c r="H150" s="453"/>
      <c r="I150" s="30"/>
      <c r="J150" s="497" t="s">
        <v>258</v>
      </c>
      <c r="K150" s="133"/>
      <c r="L150" s="228" t="s">
        <v>796</v>
      </c>
      <c r="M150" s="268">
        <v>4</v>
      </c>
      <c r="N150" s="133"/>
      <c r="O150" s="309">
        <f ca="1">M150*S150*W150</f>
        <v>0</v>
      </c>
      <c r="P150" t="b">
        <v>0</v>
      </c>
      <c r="Q150" t="b">
        <v>1</v>
      </c>
      <c r="R150" t="b">
        <v>0</v>
      </c>
      <c r="S150" t="b">
        <f ca="1">AND(NOT(W158=TRUE),S14=2)</f>
        <v>0</v>
      </c>
      <c r="T150" t="b">
        <f ca="1">IF(AND(NOT(S150),W150=TRUE),TRUE,FALSE)</f>
        <v>0</v>
      </c>
      <c r="W150" s="17"/>
      <c r="X150" s="36"/>
      <c r="AC150" t="b">
        <f ca="1">OR(AD150:AE150)</f>
        <v>0</v>
      </c>
      <c r="AD150" t="b">
        <f ca="1">T150</f>
        <v>0</v>
      </c>
      <c r="AL150" t="str">
        <f>SUBSTITUTE(SUBSTITUTE(SUBSTITUTE("dpa"&amp;$B150&amp;$C150&amp;$D150&amp;$E150,".","_"),"(","_"),")","")</f>
        <v>dpa802_6_3_2</v>
      </c>
      <c r="AM150">
        <f>M150</f>
        <v>4</v>
      </c>
      <c r="AN150" t="str">
        <f>SUBSTITUTE(SUBSTITUTE(SUBSTITUTE("dpc"&amp;$B150&amp;$C150&amp;$D150&amp;$E150,".","_"),"(","_"),")","")</f>
        <v>dpc802_6_3_2</v>
      </c>
      <c r="AO150">
        <f ca="1">O150</f>
        <v>0</v>
      </c>
      <c r="AP150" t="str">
        <f>SUBSTITUTE(SUBSTITUTE(SUBSTITUTE("dch"&amp;$B150&amp;$C150&amp;$D150&amp;$E150,".","_"),"(","_"),")","")</f>
        <v>dch802_6_3_2</v>
      </c>
      <c r="AQ150" t="str">
        <f>IF(LEN(W150)=0,"",W150)</f>
        <v/>
      </c>
      <c r="AR150" t="str">
        <f>SUBSTITUTE(SUBSTITUTE(SUBSTITUTE("dnt"&amp;$B150&amp;$C150&amp;$D150&amp;$E150,".","_"),"(","_"),")","")</f>
        <v>dnt802_6_3_2</v>
      </c>
      <c r="AS150" t="str">
        <f>IF(LEN(X150)=0,"",X150)</f>
        <v/>
      </c>
    </row>
    <row r="151" spans="1:45" x14ac:dyDescent="0.35">
      <c r="B151" s="412" t="s">
        <v>4377</v>
      </c>
      <c r="C151" s="13" t="s">
        <v>260</v>
      </c>
      <c r="D151" s="13"/>
      <c r="E151" s="13"/>
      <c r="F151" s="13"/>
      <c r="G151" s="13"/>
      <c r="H151" s="453"/>
      <c r="I151" s="30"/>
      <c r="J151" s="38" t="s">
        <v>260</v>
      </c>
      <c r="K151" s="4"/>
      <c r="L151" s="814" t="s">
        <v>797</v>
      </c>
      <c r="M151" s="818">
        <v>5</v>
      </c>
      <c r="N151" s="4"/>
      <c r="O151" s="832">
        <f ca="1">M151*S151*W151</f>
        <v>0</v>
      </c>
      <c r="P151" t="b">
        <v>0</v>
      </c>
      <c r="Q151" t="b">
        <v>1</v>
      </c>
      <c r="R151" t="b">
        <v>0</v>
      </c>
      <c r="S151" t="b">
        <f ca="1">AND(W149=TRUE,NOT(W158=TRUE),S14=2)</f>
        <v>0</v>
      </c>
      <c r="T151" t="b">
        <f ca="1">IF(AND(NOT(S151),W151=TRUE),TRUE,FALSE)</f>
        <v>0</v>
      </c>
      <c r="W151" s="17"/>
      <c r="X151" s="817"/>
      <c r="AC151" t="b">
        <f ca="1">OR(AD151:AE151)</f>
        <v>0</v>
      </c>
      <c r="AD151" t="b">
        <f ca="1">T151</f>
        <v>0</v>
      </c>
      <c r="AL151" t="str">
        <f>SUBSTITUTE(SUBSTITUTE(SUBSTITUTE("dpa"&amp;$B151&amp;$C151&amp;$D151&amp;$E151,".","_"),"(","_"),")","")</f>
        <v>dpa802_6_3_3</v>
      </c>
      <c r="AM151">
        <f>M151</f>
        <v>5</v>
      </c>
      <c r="AN151" t="str">
        <f>SUBSTITUTE(SUBSTITUTE(SUBSTITUTE("dpc"&amp;$B151&amp;$C151&amp;$D151&amp;$E151,".","_"),"(","_"),")","")</f>
        <v>dpc802_6_3_3</v>
      </c>
      <c r="AO151">
        <f ca="1">O151</f>
        <v>0</v>
      </c>
      <c r="AP151" t="str">
        <f>SUBSTITUTE(SUBSTITUTE(SUBSTITUTE("dch"&amp;$B151&amp;$C151&amp;$D151&amp;$E151,".","_"),"(","_"),")","")</f>
        <v>dch802_6_3_3</v>
      </c>
      <c r="AQ151" t="str">
        <f>IF(LEN(W151)=0,"",W151)</f>
        <v/>
      </c>
      <c r="AR151" t="str">
        <f>SUBSTITUTE(SUBSTITUTE(SUBSTITUTE("dnt"&amp;$B151&amp;$C151&amp;$D151&amp;$E151,".","_"),"(","_"),")","")</f>
        <v>dnt802_6_3_3</v>
      </c>
      <c r="AS151" t="str">
        <f>IF(LEN(X151)=0,"",X151)</f>
        <v/>
      </c>
    </row>
    <row r="152" spans="1:45" x14ac:dyDescent="0.35">
      <c r="B152" s="412" t="s">
        <v>4377</v>
      </c>
      <c r="C152" s="13" t="s">
        <v>260</v>
      </c>
      <c r="D152" s="13"/>
      <c r="E152" s="13"/>
      <c r="F152" s="13"/>
      <c r="G152" s="13"/>
      <c r="H152" s="453"/>
      <c r="I152" s="138"/>
      <c r="J152" s="320"/>
      <c r="K152" s="133"/>
      <c r="L152" s="815"/>
      <c r="M152" s="819"/>
      <c r="N152" s="133"/>
      <c r="O152" s="824"/>
      <c r="P152" s="104"/>
      <c r="Q152" s="104"/>
      <c r="R152" s="104"/>
      <c r="S152" s="104"/>
      <c r="T152" s="104"/>
      <c r="U152" s="104"/>
      <c r="V152" s="104"/>
      <c r="W152" s="104"/>
      <c r="X152" s="817"/>
    </row>
    <row r="153" spans="1:45" x14ac:dyDescent="0.35">
      <c r="B153" s="412" t="s">
        <v>4378</v>
      </c>
      <c r="C153" s="13"/>
      <c r="D153" s="13"/>
      <c r="E153" s="13"/>
      <c r="F153" s="13"/>
      <c r="G153" s="13"/>
      <c r="H153" s="453"/>
      <c r="I153" s="30" t="s">
        <v>4378</v>
      </c>
      <c r="J153" s="93"/>
      <c r="K153" s="4"/>
      <c r="L153" s="919" t="s">
        <v>4379</v>
      </c>
      <c r="M153" s="40"/>
      <c r="N153" s="4"/>
      <c r="O153" s="75"/>
    </row>
    <row r="154" spans="1:45" x14ac:dyDescent="0.35">
      <c r="B154" s="412" t="s">
        <v>4378</v>
      </c>
      <c r="C154" s="13"/>
      <c r="D154" s="13"/>
      <c r="E154" s="13"/>
      <c r="F154" s="13"/>
      <c r="G154" s="13"/>
      <c r="H154" s="453"/>
      <c r="I154" s="30"/>
      <c r="J154" s="93"/>
      <c r="K154" s="4"/>
      <c r="L154" s="919"/>
      <c r="M154" s="40"/>
      <c r="N154" s="4"/>
      <c r="O154" s="75"/>
    </row>
    <row r="155" spans="1:45" x14ac:dyDescent="0.35">
      <c r="B155" s="412" t="s">
        <v>4378</v>
      </c>
      <c r="C155" s="13"/>
      <c r="D155" s="13"/>
      <c r="E155" s="13"/>
      <c r="F155" s="13"/>
      <c r="G155" s="13"/>
      <c r="H155" s="453"/>
      <c r="I155" s="30"/>
      <c r="J155" s="93"/>
      <c r="K155" s="4"/>
      <c r="L155" s="92" t="s">
        <v>798</v>
      </c>
      <c r="M155" s="40"/>
      <c r="N155" s="4"/>
      <c r="O155" s="75"/>
    </row>
    <row r="156" spans="1:45" x14ac:dyDescent="0.35">
      <c r="B156" s="412" t="s">
        <v>4378</v>
      </c>
      <c r="C156" s="13" t="s">
        <v>256</v>
      </c>
      <c r="D156" s="13"/>
      <c r="E156" s="13"/>
      <c r="F156" s="13"/>
      <c r="G156" s="13"/>
      <c r="H156" s="453"/>
      <c r="I156" s="30"/>
      <c r="J156" s="38" t="s">
        <v>256</v>
      </c>
      <c r="K156" s="4"/>
      <c r="L156" s="814" t="s">
        <v>4451</v>
      </c>
      <c r="M156" s="818">
        <v>10</v>
      </c>
      <c r="N156" s="4"/>
      <c r="O156" s="832">
        <f ca="1">M156*S156*W156</f>
        <v>0</v>
      </c>
      <c r="P156" t="b">
        <v>0</v>
      </c>
      <c r="Q156" t="b">
        <v>1</v>
      </c>
      <c r="R156" t="b">
        <v>0</v>
      </c>
      <c r="S156" t="b">
        <f ca="1">AND(NOT(W158=TRUE),S14=2)</f>
        <v>0</v>
      </c>
      <c r="T156" t="b">
        <f ca="1">IF(AND(NOT(S156),W156=TRUE),TRUE,FALSE)</f>
        <v>0</v>
      </c>
      <c r="W156" s="17"/>
      <c r="X156" s="36"/>
      <c r="AC156" t="b">
        <f ca="1">OR(AD156:AE156)</f>
        <v>0</v>
      </c>
      <c r="AD156" t="b">
        <f ca="1">T156</f>
        <v>0</v>
      </c>
      <c r="AL156" t="str">
        <f>SUBSTITUTE(SUBSTITUTE(SUBSTITUTE("dpa"&amp;$B156&amp;$C156&amp;$D156&amp;$E156,".","_"),"(","_"),")","")</f>
        <v>dpa802_6_4_1</v>
      </c>
      <c r="AM156">
        <f>M156</f>
        <v>10</v>
      </c>
      <c r="AN156" t="str">
        <f>SUBSTITUTE(SUBSTITUTE(SUBSTITUTE("dpc"&amp;$B156&amp;$C156&amp;$D156&amp;$E156,".","_"),"(","_"),")","")</f>
        <v>dpc802_6_4_1</v>
      </c>
      <c r="AO156">
        <f ca="1">O156</f>
        <v>0</v>
      </c>
      <c r="AP156" t="str">
        <f>SUBSTITUTE(SUBSTITUTE(SUBSTITUTE("dch"&amp;$B156&amp;$C156&amp;$D156&amp;$E156,".","_"),"(","_"),")","")</f>
        <v>dch802_6_4_1</v>
      </c>
      <c r="AQ156" t="str">
        <f>IF(LEN(W156)=0,"",W156)</f>
        <v/>
      </c>
      <c r="AR156" t="str">
        <f>SUBSTITUTE(SUBSTITUTE(SUBSTITUTE("dnt"&amp;$B156&amp;$C156&amp;$D156&amp;$E156,".","_"),"(","_"),")","")</f>
        <v>dnt802_6_4_1</v>
      </c>
      <c r="AS156" t="str">
        <f>IF(LEN(X156)=0,"",X156)</f>
        <v/>
      </c>
    </row>
    <row r="157" spans="1:45" x14ac:dyDescent="0.35">
      <c r="A157"/>
      <c r="B157" s="412" t="s">
        <v>4378</v>
      </c>
      <c r="C157" s="13" t="s">
        <v>256</v>
      </c>
      <c r="D157"/>
      <c r="E157"/>
      <c r="F157"/>
      <c r="G157"/>
      <c r="H157"/>
      <c r="J157" s="104"/>
      <c r="K157" s="104"/>
      <c r="L157" s="815"/>
      <c r="M157" s="819"/>
      <c r="N157" s="104"/>
      <c r="O157" s="824"/>
    </row>
    <row r="158" spans="1:45" ht="15" customHeight="1" x14ac:dyDescent="0.35">
      <c r="B158" s="412" t="s">
        <v>4378</v>
      </c>
      <c r="C158" s="13" t="s">
        <v>258</v>
      </c>
      <c r="D158" s="13"/>
      <c r="E158" s="13"/>
      <c r="F158" s="13"/>
      <c r="G158" s="13"/>
      <c r="H158" s="453"/>
      <c r="I158" s="30"/>
      <c r="J158" s="38" t="s">
        <v>258</v>
      </c>
      <c r="K158" s="4"/>
      <c r="L158" s="814" t="s">
        <v>4452</v>
      </c>
      <c r="M158" s="818">
        <v>15</v>
      </c>
      <c r="N158" s="4"/>
      <c r="O158" s="832">
        <f ca="1">M158*S158*W158</f>
        <v>15</v>
      </c>
      <c r="P158" t="b">
        <v>0</v>
      </c>
      <c r="Q158" t="b">
        <v>1</v>
      </c>
      <c r="R158" t="b">
        <v>0</v>
      </c>
      <c r="S158" t="b">
        <f ca="1">AND(NOT(W145=TRUE),NOT(W149=TRUE),NOT(W150=TRUE),NOT(W151=TRUE),NOT(W143="Met"),NOT(W156=TRUE),NOT(W164=TRUE),S160,S14=2)</f>
        <v>1</v>
      </c>
      <c r="T158" t="b">
        <f ca="1">IF(AND(NOT(S158),W158=TRUE),TRUE,FALSE)</f>
        <v>0</v>
      </c>
      <c r="W158" s="17" t="b">
        <v>1</v>
      </c>
      <c r="X158" s="817"/>
      <c r="AC158" t="b">
        <f ca="1">OR(AD158:AE158)</f>
        <v>0</v>
      </c>
      <c r="AD158" t="b">
        <f ca="1">T158</f>
        <v>0</v>
      </c>
      <c r="AL158" t="str">
        <f>SUBSTITUTE(SUBSTITUTE(SUBSTITUTE("dpa"&amp;$B158&amp;$C158&amp;$D158&amp;$E158,".","_"),"(","_"),")","")</f>
        <v>dpa802_6_4_2</v>
      </c>
      <c r="AM158">
        <f>M158</f>
        <v>15</v>
      </c>
      <c r="AN158" t="str">
        <f>SUBSTITUTE(SUBSTITUTE(SUBSTITUTE("dpc"&amp;$B158&amp;$C158&amp;$D158&amp;$E158,".","_"),"(","_"),")","")</f>
        <v>dpc802_6_4_2</v>
      </c>
      <c r="AO158">
        <f ca="1">O158</f>
        <v>15</v>
      </c>
      <c r="AP158" t="str">
        <f>SUBSTITUTE(SUBSTITUTE(SUBSTITUTE("dch"&amp;$B158&amp;$C158&amp;$D158&amp;$E158,".","_"),"(","_"),")","")</f>
        <v>dch802_6_4_2</v>
      </c>
      <c r="AQ158" t="b">
        <f>IF(LEN(W158)=0,"",W158)</f>
        <v>1</v>
      </c>
      <c r="AR158" t="str">
        <f>SUBSTITUTE(SUBSTITUTE(SUBSTITUTE("dnt"&amp;$B158&amp;$C158&amp;$D158&amp;$E158,".","_"),"(","_"),")","")</f>
        <v>dnt802_6_4_2</v>
      </c>
      <c r="AS158" t="str">
        <f>IF(LEN(X158)=0,"",X158)</f>
        <v/>
      </c>
    </row>
    <row r="159" spans="1:45" x14ac:dyDescent="0.35">
      <c r="B159" s="412" t="s">
        <v>4378</v>
      </c>
      <c r="C159" s="13" t="s">
        <v>258</v>
      </c>
      <c r="D159" s="13"/>
      <c r="E159" s="13"/>
      <c r="F159" s="13"/>
      <c r="G159" s="13"/>
      <c r="H159" s="453"/>
      <c r="I159" s="30"/>
      <c r="J159" s="93"/>
      <c r="K159" s="4"/>
      <c r="L159" s="814"/>
      <c r="M159" s="818"/>
      <c r="N159" s="4"/>
      <c r="O159" s="832"/>
      <c r="X159" s="817"/>
    </row>
    <row r="160" spans="1:45" x14ac:dyDescent="0.35">
      <c r="B160" s="412" t="s">
        <v>4378</v>
      </c>
      <c r="C160" s="13" t="s">
        <v>258</v>
      </c>
      <c r="D160" s="13"/>
      <c r="E160" s="13"/>
      <c r="F160" s="13"/>
      <c r="G160" s="13"/>
      <c r="H160" s="453"/>
      <c r="I160" s="30"/>
      <c r="J160" s="93"/>
      <c r="K160" s="4"/>
      <c r="L160" s="855" t="s">
        <v>5621</v>
      </c>
      <c r="M160" s="40"/>
      <c r="N160" s="4"/>
      <c r="O160" s="75"/>
      <c r="S160" s="1" t="b">
        <f ca="1">IFERROR(AND(MATCH('Ch5'!W148,INDIRECT('Ch5'!U148),0)=3,SUM('Ch5'!O150:O171)&gt;=5),FALSE)</f>
        <v>1</v>
      </c>
      <c r="X160" s="817"/>
    </row>
    <row r="161" spans="1:45" x14ac:dyDescent="0.35">
      <c r="B161" s="412" t="s">
        <v>4378</v>
      </c>
      <c r="C161" s="13" t="s">
        <v>258</v>
      </c>
      <c r="D161" s="13"/>
      <c r="E161" s="13"/>
      <c r="F161" s="13"/>
      <c r="G161" s="13"/>
      <c r="H161" s="453"/>
      <c r="I161" s="138"/>
      <c r="J161" s="320"/>
      <c r="K161" s="133"/>
      <c r="L161" s="903"/>
      <c r="M161" s="268"/>
      <c r="N161" s="133"/>
      <c r="O161" s="309"/>
      <c r="P161" s="104"/>
      <c r="Q161" s="104"/>
      <c r="R161" s="104"/>
      <c r="S161" s="104"/>
      <c r="T161" s="104"/>
      <c r="U161" s="104"/>
      <c r="V161" s="104"/>
      <c r="W161" s="104"/>
      <c r="X161" s="817"/>
    </row>
    <row r="162" spans="1:45" x14ac:dyDescent="0.35">
      <c r="A162"/>
      <c r="B162" s="412" t="s">
        <v>4380</v>
      </c>
      <c r="C162"/>
      <c r="D162"/>
      <c r="E162"/>
      <c r="F162"/>
      <c r="G162"/>
      <c r="H162"/>
      <c r="I162" s="30" t="s">
        <v>4380</v>
      </c>
      <c r="J162"/>
      <c r="L162" s="838" t="s">
        <v>4453</v>
      </c>
      <c r="M162"/>
      <c r="O162"/>
    </row>
    <row r="163" spans="1:45" x14ac:dyDescent="0.35">
      <c r="A163"/>
      <c r="B163" s="412" t="s">
        <v>4380</v>
      </c>
      <c r="C163"/>
      <c r="D163"/>
      <c r="E163"/>
      <c r="F163"/>
      <c r="G163"/>
      <c r="H163"/>
      <c r="J163"/>
      <c r="L163" s="838"/>
      <c r="M163"/>
      <c r="O163"/>
      <c r="W163" s="104"/>
    </row>
    <row r="164" spans="1:45" ht="15" customHeight="1" x14ac:dyDescent="0.35">
      <c r="B164" s="412" t="s">
        <v>4380</v>
      </c>
      <c r="C164" s="13" t="s">
        <v>256</v>
      </c>
      <c r="D164" s="13"/>
      <c r="E164" s="13"/>
      <c r="F164" s="13"/>
      <c r="G164" s="13"/>
      <c r="H164" s="453"/>
      <c r="I164" s="30"/>
      <c r="J164" s="481" t="s">
        <v>256</v>
      </c>
      <c r="K164" s="467"/>
      <c r="L164" s="814" t="s">
        <v>4454</v>
      </c>
      <c r="M164" s="40">
        <v>3</v>
      </c>
      <c r="N164" s="4"/>
      <c r="O164" s="75">
        <f ca="1">M164*S164*W164</f>
        <v>0</v>
      </c>
      <c r="P164" t="b">
        <v>0</v>
      </c>
      <c r="Q164" t="b">
        <v>1</v>
      </c>
      <c r="R164" t="b">
        <v>0</v>
      </c>
      <c r="S164" t="b">
        <f ca="1">AND(NOT(W158=TRUE),S14=2)</f>
        <v>0</v>
      </c>
      <c r="T164" t="b">
        <f ca="1">IF(AND(NOT(S164),W164=TRUE),TRUE,FALSE)</f>
        <v>0</v>
      </c>
      <c r="W164" s="69"/>
      <c r="X164" s="817"/>
      <c r="AC164" t="b">
        <f ca="1">OR(AD164:AE164)</f>
        <v>0</v>
      </c>
      <c r="AD164" t="b">
        <f ca="1">T164</f>
        <v>0</v>
      </c>
      <c r="AL164" t="str">
        <f>SUBSTITUTE(SUBSTITUTE(SUBSTITUTE("dpa"&amp;$B164&amp;$C164&amp;$D164&amp;$E164,".","_"),"(","_"),")","")</f>
        <v>dpa802_6_5_1</v>
      </c>
      <c r="AM164">
        <f>M164</f>
        <v>3</v>
      </c>
      <c r="AN164" t="str">
        <f>SUBSTITUTE(SUBSTITUTE(SUBSTITUTE("dpc"&amp;$B164&amp;$C164&amp;$D164&amp;$E164,".","_"),"(","_"),")","")</f>
        <v>dpc802_6_5_1</v>
      </c>
      <c r="AO164">
        <f ca="1">O164</f>
        <v>0</v>
      </c>
      <c r="AP164" t="str">
        <f>SUBSTITUTE(SUBSTITUTE(SUBSTITUTE("dch"&amp;$B164&amp;$C164&amp;$D164&amp;$E164,".","_"),"(","_"),")","")</f>
        <v>dch802_6_5_1</v>
      </c>
      <c r="AQ164" t="str">
        <f>IF(LEN(W164)=0,"",W164)</f>
        <v/>
      </c>
      <c r="AR164" t="str">
        <f>SUBSTITUTE(SUBSTITUTE(SUBSTITUTE("dnt"&amp;$B164&amp;$C164&amp;$D164&amp;$E164,".","_"),"(","_"),")","")</f>
        <v>dnt802_6_5_1</v>
      </c>
      <c r="AS164" t="str">
        <f>IF(LEN(X164)=0,"",X164)</f>
        <v/>
      </c>
    </row>
    <row r="165" spans="1:45" x14ac:dyDescent="0.35">
      <c r="B165" s="412" t="s">
        <v>4380</v>
      </c>
      <c r="C165" s="13" t="s">
        <v>256</v>
      </c>
      <c r="D165" s="13"/>
      <c r="E165" s="13"/>
      <c r="F165" s="13"/>
      <c r="G165" s="13"/>
      <c r="H165" s="453"/>
      <c r="I165" s="30"/>
      <c r="J165" s="482"/>
      <c r="K165" s="472"/>
      <c r="L165" s="815"/>
      <c r="M165" s="268"/>
      <c r="N165" s="133"/>
      <c r="O165" s="309"/>
      <c r="X165" s="817"/>
    </row>
    <row r="166" spans="1:45" x14ac:dyDescent="0.35">
      <c r="B166" s="412" t="s">
        <v>4380</v>
      </c>
      <c r="C166" s="13" t="s">
        <v>258</v>
      </c>
      <c r="D166" s="13"/>
      <c r="E166" s="13"/>
      <c r="F166" s="13"/>
      <c r="G166" s="13"/>
      <c r="H166" s="453"/>
      <c r="I166" s="30"/>
      <c r="J166" s="527" t="s">
        <v>258</v>
      </c>
      <c r="K166" s="471"/>
      <c r="L166" s="836" t="s">
        <v>4455</v>
      </c>
      <c r="M166" s="282">
        <v>3</v>
      </c>
      <c r="N166" s="118"/>
      <c r="O166" s="165">
        <f ca="1">M166*S166*W166</f>
        <v>0</v>
      </c>
      <c r="P166" t="b">
        <v>0</v>
      </c>
      <c r="Q166" t="b">
        <v>1</v>
      </c>
      <c r="R166" t="b">
        <v>0</v>
      </c>
      <c r="S166" t="b">
        <f ca="1">AND(NOT(W158=TRUE),S14=2)</f>
        <v>0</v>
      </c>
      <c r="T166" t="b">
        <f ca="1">IF(AND(NOT(S166),W166=TRUE),TRUE,FALSE)</f>
        <v>0</v>
      </c>
      <c r="W166" s="17"/>
      <c r="X166" s="817"/>
      <c r="AC166" t="b">
        <f ca="1">OR(AD166:AE166)</f>
        <v>0</v>
      </c>
      <c r="AD166" t="b">
        <f ca="1">T166</f>
        <v>0</v>
      </c>
      <c r="AL166" t="str">
        <f>SUBSTITUTE(SUBSTITUTE(SUBSTITUTE("dpa"&amp;$B166&amp;$C166&amp;$D166&amp;$E166,".","_"),"(","_"),")","")</f>
        <v>dpa802_6_5_2</v>
      </c>
      <c r="AM166">
        <f>M166</f>
        <v>3</v>
      </c>
      <c r="AN166" t="str">
        <f>SUBSTITUTE(SUBSTITUTE(SUBSTITUTE("dpc"&amp;$B166&amp;$C166&amp;$D166&amp;$E166,".","_"),"(","_"),")","")</f>
        <v>dpc802_6_5_2</v>
      </c>
      <c r="AO166">
        <f ca="1">O166</f>
        <v>0</v>
      </c>
      <c r="AP166" t="str">
        <f>SUBSTITUTE(SUBSTITUTE(SUBSTITUTE("dch"&amp;$B166&amp;$C166&amp;$D166&amp;$E166,".","_"),"(","_"),")","")</f>
        <v>dch802_6_5_2</v>
      </c>
      <c r="AQ166" t="str">
        <f>IF(LEN(W166)=0,"",W166)</f>
        <v/>
      </c>
      <c r="AR166" t="str">
        <f>SUBSTITUTE(SUBSTITUTE(SUBSTITUTE("dnt"&amp;$B166&amp;$C166&amp;$D166&amp;$E166,".","_"),"(","_"),")","")</f>
        <v>dnt802_6_5_2</v>
      </c>
      <c r="AS166" t="str">
        <f>IF(LEN(X166)=0,"",X166)</f>
        <v/>
      </c>
    </row>
    <row r="167" spans="1:45" x14ac:dyDescent="0.35">
      <c r="B167" s="412" t="s">
        <v>4380</v>
      </c>
      <c r="C167" s="13" t="s">
        <v>258</v>
      </c>
      <c r="D167" s="13"/>
      <c r="E167" s="13"/>
      <c r="F167" s="13"/>
      <c r="G167" s="13"/>
      <c r="H167" s="453"/>
      <c r="I167" s="30"/>
      <c r="J167" s="482"/>
      <c r="K167" s="472"/>
      <c r="L167" s="815"/>
      <c r="M167" s="268"/>
      <c r="N167" s="133"/>
      <c r="O167" s="309"/>
      <c r="X167" s="817"/>
    </row>
    <row r="168" spans="1:45" x14ac:dyDescent="0.35">
      <c r="B168" s="412" t="s">
        <v>4380</v>
      </c>
      <c r="C168" s="13" t="s">
        <v>260</v>
      </c>
      <c r="D168" s="13"/>
      <c r="E168" s="13"/>
      <c r="F168" s="13"/>
      <c r="G168" s="13"/>
      <c r="H168" s="453"/>
      <c r="I168" s="30"/>
      <c r="J168" s="528" t="s">
        <v>260</v>
      </c>
      <c r="K168" s="509"/>
      <c r="L168" s="177" t="s">
        <v>4456</v>
      </c>
      <c r="M168" s="278">
        <v>3</v>
      </c>
      <c r="N168" s="163"/>
      <c r="O168" s="277">
        <f ca="1">M168*S168*W168</f>
        <v>0</v>
      </c>
      <c r="P168" t="b">
        <v>0</v>
      </c>
      <c r="Q168" t="b">
        <v>1</v>
      </c>
      <c r="R168" t="b">
        <v>0</v>
      </c>
      <c r="S168" t="b">
        <f ca="1">AND(NOT(W158=TRUE),S14=2)</f>
        <v>0</v>
      </c>
      <c r="T168" t="b">
        <f ca="1">IF(AND(NOT(S168),W168=TRUE),TRUE,FALSE)</f>
        <v>0</v>
      </c>
      <c r="W168" s="17"/>
      <c r="X168" s="36"/>
      <c r="AC168" t="b">
        <f ca="1">OR(AD168:AE168)</f>
        <v>0</v>
      </c>
      <c r="AD168" t="b">
        <f ca="1">T168</f>
        <v>0</v>
      </c>
      <c r="AL168" t="str">
        <f>SUBSTITUTE(SUBSTITUTE(SUBSTITUTE("dpa"&amp;$B168&amp;$C168&amp;$D168&amp;$E168,".","_"),"(","_"),")","")</f>
        <v>dpa802_6_5_3</v>
      </c>
      <c r="AM168">
        <f>M168</f>
        <v>3</v>
      </c>
      <c r="AN168" t="str">
        <f>SUBSTITUTE(SUBSTITUTE(SUBSTITUTE("dpc"&amp;$B168&amp;$C168&amp;$D168&amp;$E168,".","_"),"(","_"),")","")</f>
        <v>dpc802_6_5_3</v>
      </c>
      <c r="AO168">
        <f ca="1">O168</f>
        <v>0</v>
      </c>
      <c r="AP168" t="str">
        <f>SUBSTITUTE(SUBSTITUTE(SUBSTITUTE("dch"&amp;$B168&amp;$C168&amp;$D168&amp;$E168,".","_"),"(","_"),")","")</f>
        <v>dch802_6_5_3</v>
      </c>
      <c r="AQ168" t="str">
        <f>IF(LEN(W168)=0,"",W168)</f>
        <v/>
      </c>
      <c r="AR168" t="str">
        <f>SUBSTITUTE(SUBSTITUTE(SUBSTITUTE("dnt"&amp;$B168&amp;$C168&amp;$D168&amp;$E168,".","_"),"(","_"),")","")</f>
        <v>dnt802_6_5_3</v>
      </c>
      <c r="AS168" t="str">
        <f>IF(LEN(X168)=0,"",X168)</f>
        <v/>
      </c>
    </row>
    <row r="169" spans="1:45" x14ac:dyDescent="0.35">
      <c r="B169" s="412" t="s">
        <v>4380</v>
      </c>
      <c r="C169" s="13" t="s">
        <v>269</v>
      </c>
      <c r="D169" s="13"/>
      <c r="E169" s="13"/>
      <c r="F169" s="13"/>
      <c r="G169" s="13"/>
      <c r="H169" s="453"/>
      <c r="I169" s="30"/>
      <c r="J169" s="527" t="s">
        <v>269</v>
      </c>
      <c r="K169" s="471"/>
      <c r="L169" s="836" t="s">
        <v>4457</v>
      </c>
      <c r="M169" s="282">
        <v>3</v>
      </c>
      <c r="N169" s="118"/>
      <c r="O169" s="165">
        <f ca="1">M169*S169*W169</f>
        <v>0</v>
      </c>
      <c r="P169" t="b">
        <v>0</v>
      </c>
      <c r="Q169" t="b">
        <v>1</v>
      </c>
      <c r="R169" t="b">
        <v>0</v>
      </c>
      <c r="S169" t="b">
        <f ca="1">AND(NOT(W158=TRUE),S14=2)</f>
        <v>0</v>
      </c>
      <c r="T169" t="b">
        <f ca="1">IF(AND(NOT(S169),W169=TRUE),TRUE,FALSE)</f>
        <v>0</v>
      </c>
      <c r="W169" s="17"/>
      <c r="X169" s="817"/>
      <c r="AC169" t="b">
        <f ca="1">OR(AD169:AE169)</f>
        <v>0</v>
      </c>
      <c r="AD169" t="b">
        <f ca="1">T169</f>
        <v>0</v>
      </c>
      <c r="AL169" t="str">
        <f>SUBSTITUTE(SUBSTITUTE(SUBSTITUTE("dpa"&amp;$B169&amp;$C169&amp;$D169&amp;$E169,".","_"),"(","_"),")","")</f>
        <v>dpa802_6_5_4</v>
      </c>
      <c r="AM169">
        <f>M169</f>
        <v>3</v>
      </c>
      <c r="AN169" t="str">
        <f>SUBSTITUTE(SUBSTITUTE(SUBSTITUTE("dpc"&amp;$B169&amp;$C169&amp;$D169&amp;$E169,".","_"),"(","_"),")","")</f>
        <v>dpc802_6_5_4</v>
      </c>
      <c r="AO169">
        <f ca="1">O169</f>
        <v>0</v>
      </c>
      <c r="AP169" t="str">
        <f>SUBSTITUTE(SUBSTITUTE(SUBSTITUTE("dch"&amp;$B169&amp;$C169&amp;$D169&amp;$E169,".","_"),"(","_"),")","")</f>
        <v>dch802_6_5_4</v>
      </c>
      <c r="AQ169" t="str">
        <f>IF(LEN(W169)=0,"",W169)</f>
        <v/>
      </c>
      <c r="AR169" t="str">
        <f>SUBSTITUTE(SUBSTITUTE(SUBSTITUTE("dnt"&amp;$B169&amp;$C169&amp;$D169&amp;$E169,".","_"),"(","_"),")","")</f>
        <v>dnt802_6_5_4</v>
      </c>
      <c r="AS169" t="str">
        <f>IF(LEN(X169)=0,"",X169)</f>
        <v/>
      </c>
    </row>
    <row r="170" spans="1:45" x14ac:dyDescent="0.35">
      <c r="B170" s="412" t="s">
        <v>4380</v>
      </c>
      <c r="C170" s="13" t="s">
        <v>269</v>
      </c>
      <c r="D170" s="13"/>
      <c r="E170" s="13"/>
      <c r="F170" s="13"/>
      <c r="G170" s="13"/>
      <c r="H170" s="453"/>
      <c r="I170" s="30"/>
      <c r="J170" s="482"/>
      <c r="K170" s="472"/>
      <c r="L170" s="815"/>
      <c r="M170" s="268"/>
      <c r="N170" s="133"/>
      <c r="O170" s="309"/>
      <c r="X170" s="817"/>
    </row>
    <row r="171" spans="1:45" x14ac:dyDescent="0.35">
      <c r="B171" s="412" t="s">
        <v>4380</v>
      </c>
      <c r="C171" s="13" t="s">
        <v>275</v>
      </c>
      <c r="D171" s="13"/>
      <c r="E171" s="13"/>
      <c r="F171" s="13"/>
      <c r="G171" s="13"/>
      <c r="H171" s="453"/>
      <c r="I171" s="30"/>
      <c r="J171" s="481" t="s">
        <v>275</v>
      </c>
      <c r="K171" s="467"/>
      <c r="L171" s="814" t="s">
        <v>4458</v>
      </c>
      <c r="M171" s="40">
        <v>3</v>
      </c>
      <c r="N171" s="4"/>
      <c r="O171" s="75">
        <f ca="1">M171*S171*W171</f>
        <v>0</v>
      </c>
      <c r="P171" t="b">
        <v>0</v>
      </c>
      <c r="Q171" t="b">
        <v>1</v>
      </c>
      <c r="R171" t="b">
        <v>0</v>
      </c>
      <c r="S171" t="b">
        <f ca="1">AND(NOT(W158=TRUE),S14=2)</f>
        <v>0</v>
      </c>
      <c r="T171" t="b">
        <f ca="1">IF(AND(NOT(S171),W171=TRUE),TRUE,FALSE)</f>
        <v>0</v>
      </c>
      <c r="W171" s="17"/>
      <c r="X171" s="817"/>
      <c r="AC171" t="b">
        <f ca="1">OR(AD171:AE171)</f>
        <v>0</v>
      </c>
      <c r="AD171" t="b">
        <f ca="1">T171</f>
        <v>0</v>
      </c>
      <c r="AL171" t="str">
        <f>SUBSTITUTE(SUBSTITUTE(SUBSTITUTE("dpa"&amp;$B171&amp;$C171&amp;$D171&amp;$E171,".","_"),"(","_"),")","")</f>
        <v>dpa802_6_5_5</v>
      </c>
      <c r="AM171">
        <f>M171</f>
        <v>3</v>
      </c>
      <c r="AN171" t="str">
        <f>SUBSTITUTE(SUBSTITUTE(SUBSTITUTE("dpc"&amp;$B171&amp;$C171&amp;$D171&amp;$E171,".","_"),"(","_"),")","")</f>
        <v>dpc802_6_5_5</v>
      </c>
      <c r="AO171">
        <f ca="1">O171</f>
        <v>0</v>
      </c>
      <c r="AP171" t="str">
        <f>SUBSTITUTE(SUBSTITUTE(SUBSTITUTE("dch"&amp;$B171&amp;$C171&amp;$D171&amp;$E171,".","_"),"(","_"),")","")</f>
        <v>dch802_6_5_5</v>
      </c>
      <c r="AQ171" t="str">
        <f>IF(LEN(W171)=0,"",W171)</f>
        <v/>
      </c>
      <c r="AR171" t="str">
        <f>SUBSTITUTE(SUBSTITUTE(SUBSTITUTE("dnt"&amp;$B171&amp;$C171&amp;$D171&amp;$E171,".","_"),"(","_"),")","")</f>
        <v>dnt802_6_5_5</v>
      </c>
      <c r="AS171" t="str">
        <f>IF(LEN(X171)=0,"",X171)</f>
        <v/>
      </c>
    </row>
    <row r="172" spans="1:45" ht="15" thickBot="1" x14ac:dyDescent="0.4">
      <c r="B172" s="412" t="s">
        <v>4380</v>
      </c>
      <c r="C172" s="13" t="s">
        <v>275</v>
      </c>
      <c r="D172" s="13"/>
      <c r="E172" s="13"/>
      <c r="F172" s="13"/>
      <c r="G172" s="13"/>
      <c r="H172" s="453"/>
      <c r="I172" s="30"/>
      <c r="J172" s="467"/>
      <c r="K172" s="467"/>
      <c r="L172" s="814"/>
      <c r="M172" s="40"/>
      <c r="N172" s="4"/>
      <c r="O172" s="75"/>
      <c r="X172" s="817"/>
    </row>
    <row r="173" spans="1:45" ht="15" thickTop="1" x14ac:dyDescent="0.35">
      <c r="B173" s="412">
        <v>802.7</v>
      </c>
      <c r="C173" s="13"/>
      <c r="D173" s="13"/>
      <c r="E173" s="13"/>
      <c r="F173" s="13"/>
      <c r="G173" s="13"/>
      <c r="H173" s="453"/>
      <c r="I173" s="106">
        <v>802.7</v>
      </c>
      <c r="J173" s="507"/>
      <c r="K173" s="107"/>
      <c r="L173" s="943" t="s">
        <v>4381</v>
      </c>
      <c r="M173" s="267"/>
      <c r="N173" s="107"/>
      <c r="O173" s="308"/>
      <c r="P173" s="59"/>
      <c r="Q173" s="59"/>
      <c r="R173" s="59"/>
      <c r="S173" s="59"/>
      <c r="T173" s="59"/>
      <c r="U173" s="59"/>
      <c r="V173" s="59"/>
      <c r="W173" s="59"/>
      <c r="X173" s="59"/>
    </row>
    <row r="174" spans="1:45" x14ac:dyDescent="0.35">
      <c r="B174" s="412">
        <v>802.7</v>
      </c>
      <c r="C174" s="13"/>
      <c r="D174" s="13"/>
      <c r="E174" s="13"/>
      <c r="F174" s="13"/>
      <c r="G174" s="13"/>
      <c r="H174" s="453"/>
      <c r="I174" s="30"/>
      <c r="J174" s="93"/>
      <c r="K174" s="4"/>
      <c r="L174" s="944"/>
      <c r="M174" s="40"/>
      <c r="N174" s="4"/>
      <c r="O174" s="75"/>
    </row>
    <row r="175" spans="1:45" x14ac:dyDescent="0.35">
      <c r="B175" s="412" t="s">
        <v>4382</v>
      </c>
      <c r="C175" s="13"/>
      <c r="D175" s="13"/>
      <c r="E175" s="13"/>
      <c r="F175" s="13"/>
      <c r="G175" s="13"/>
      <c r="H175" s="453"/>
      <c r="I175" s="30" t="s">
        <v>4382</v>
      </c>
      <c r="J175" s="93"/>
      <c r="K175" s="4"/>
      <c r="L175" s="319" t="s">
        <v>4383</v>
      </c>
      <c r="M175" s="40"/>
      <c r="N175" s="4"/>
      <c r="O175" s="75">
        <f ca="1">IFERROR(INDEX({5,5,10,15,25},MATCH(W175,INDIRECT(U175),0)),0)*S175</f>
        <v>0</v>
      </c>
      <c r="P175" t="b">
        <v>0</v>
      </c>
      <c r="Q175" t="b">
        <v>1</v>
      </c>
      <c r="R175" t="b">
        <v>0</v>
      </c>
      <c r="S175" t="b">
        <f ca="1">S14=2</f>
        <v>1</v>
      </c>
      <c r="T175" t="b">
        <f ca="1">IF(AND(NOT(S175),LEN(W175)&gt;0),TRUE,FALSE)</f>
        <v>0</v>
      </c>
      <c r="U175" t="str">
        <f>SUBSTITUTE(SUBSTITUTE(SUBSTITUTE("dd"&amp;B175&amp;C175&amp;D175&amp;E175&amp;F175,".","_"),"(","_"),")","")</f>
        <v>dd802_7_1</v>
      </c>
      <c r="W175" s="9"/>
      <c r="X175" s="817"/>
      <c r="AC175" t="b">
        <f ca="1">OR(AD175:AE175)</f>
        <v>0</v>
      </c>
      <c r="AD175" t="b">
        <f ca="1">T175</f>
        <v>0</v>
      </c>
      <c r="AN175" t="str">
        <f>SUBSTITUTE(SUBSTITUTE(SUBSTITUTE("dpc"&amp;$B175&amp;$C175&amp;$D175&amp;$E175,".","_"),"(","_"),")","")</f>
        <v>dpc802_7_1</v>
      </c>
      <c r="AO175">
        <f ca="1">O175</f>
        <v>0</v>
      </c>
      <c r="AP175" t="str">
        <f>SUBSTITUTE(SUBSTITUTE(SUBSTITUTE("dch"&amp;$B175&amp;$C175&amp;$D175&amp;$E175,".","_"),"(","_"),")","")</f>
        <v>dch802_7_1</v>
      </c>
      <c r="AQ175" t="str">
        <f>IF(LEN(W175)=0,"",W175)</f>
        <v/>
      </c>
      <c r="AR175" t="str">
        <f>SUBSTITUTE(SUBSTITUTE(SUBSTITUTE("dnt"&amp;$B175&amp;$C175&amp;$D175&amp;$E175,".","_"),"(","_"),")","")</f>
        <v>dnt802_7_1</v>
      </c>
      <c r="AS175" t="str">
        <f>IF(LEN(X175)=0,"",X175)</f>
        <v/>
      </c>
    </row>
    <row r="176" spans="1:45" x14ac:dyDescent="0.35">
      <c r="B176" s="412" t="s">
        <v>4382</v>
      </c>
      <c r="C176" s="13" t="s">
        <v>256</v>
      </c>
      <c r="D176" s="13"/>
      <c r="E176" s="13"/>
      <c r="F176" s="453"/>
      <c r="G176" s="13"/>
      <c r="H176" s="453"/>
      <c r="I176" s="30"/>
      <c r="J176" s="497" t="s">
        <v>256</v>
      </c>
      <c r="K176" s="133"/>
      <c r="L176" s="228" t="s">
        <v>799</v>
      </c>
      <c r="M176" s="268">
        <v>5</v>
      </c>
      <c r="N176" s="4"/>
      <c r="O176" s="75"/>
      <c r="X176" s="817"/>
      <c r="AL176" t="str">
        <f>SUBSTITUTE(SUBSTITUTE(SUBSTITUTE("dpa"&amp;$B176&amp;$C176&amp;$D176&amp;$E176,".","_"),"(","_"),")","")</f>
        <v>dpa802_7_1_1</v>
      </c>
      <c r="AM176">
        <f>M176</f>
        <v>5</v>
      </c>
    </row>
    <row r="177" spans="2:45" x14ac:dyDescent="0.35">
      <c r="B177" s="412" t="s">
        <v>4382</v>
      </c>
      <c r="C177" s="13" t="s">
        <v>258</v>
      </c>
      <c r="D177" s="13"/>
      <c r="E177" s="13"/>
      <c r="F177" s="453"/>
      <c r="G177" s="13"/>
      <c r="H177" s="453"/>
      <c r="I177" s="30"/>
      <c r="J177" s="38" t="s">
        <v>258</v>
      </c>
      <c r="K177" s="4"/>
      <c r="L177" s="814" t="s">
        <v>800</v>
      </c>
      <c r="M177" s="40"/>
      <c r="N177" s="4"/>
      <c r="O177" s="75"/>
      <c r="X177" s="817"/>
    </row>
    <row r="178" spans="2:45" x14ac:dyDescent="0.35">
      <c r="B178" s="412" t="s">
        <v>4382</v>
      </c>
      <c r="C178" s="13" t="s">
        <v>258</v>
      </c>
      <c r="D178" s="13"/>
      <c r="E178" s="13"/>
      <c r="F178" s="453"/>
      <c r="G178" s="13"/>
      <c r="H178" s="453"/>
      <c r="I178" s="30"/>
      <c r="J178" s="93"/>
      <c r="K178" s="4"/>
      <c r="L178" s="814"/>
      <c r="M178" s="40"/>
      <c r="N178" s="4"/>
      <c r="O178" s="75"/>
      <c r="X178" s="817"/>
    </row>
    <row r="179" spans="2:45" x14ac:dyDescent="0.35">
      <c r="B179" s="412" t="s">
        <v>4382</v>
      </c>
      <c r="C179" s="13" t="s">
        <v>258</v>
      </c>
      <c r="D179" s="13" t="s">
        <v>121</v>
      </c>
      <c r="E179" s="13"/>
      <c r="F179" s="453"/>
      <c r="G179" s="13"/>
      <c r="H179" s="453"/>
      <c r="I179" s="4"/>
      <c r="J179" s="93"/>
      <c r="K179" s="129" t="s">
        <v>121</v>
      </c>
      <c r="L179" s="228" t="s">
        <v>801</v>
      </c>
      <c r="M179" s="268">
        <v>5</v>
      </c>
      <c r="N179" s="4"/>
      <c r="O179" s="75"/>
      <c r="X179" s="817"/>
      <c r="AL179" t="str">
        <f>SUBSTITUTE(SUBSTITUTE(SUBSTITUTE("dpa"&amp;$B179&amp;$C179&amp;$D179&amp;$E179,".","_"),"(","_"),")","")</f>
        <v>dpa802_7_1_2_a</v>
      </c>
      <c r="AM179">
        <f>M179</f>
        <v>5</v>
      </c>
    </row>
    <row r="180" spans="2:45" x14ac:dyDescent="0.35">
      <c r="B180" s="412" t="s">
        <v>4382</v>
      </c>
      <c r="C180" s="13" t="s">
        <v>258</v>
      </c>
      <c r="D180" s="13" t="s">
        <v>122</v>
      </c>
      <c r="E180" s="13"/>
      <c r="F180" s="453"/>
      <c r="G180" s="13"/>
      <c r="H180" s="453"/>
      <c r="I180" s="4"/>
      <c r="J180" s="93"/>
      <c r="K180" s="129" t="s">
        <v>122</v>
      </c>
      <c r="L180" s="228" t="s">
        <v>802</v>
      </c>
      <c r="M180" s="268">
        <v>10</v>
      </c>
      <c r="N180" s="4"/>
      <c r="O180" s="75"/>
      <c r="X180" s="817"/>
      <c r="AL180" t="str">
        <f>SUBSTITUTE(SUBSTITUTE(SUBSTITUTE("dpa"&amp;$B180&amp;$C180&amp;$D180&amp;$E180,".","_"),"(","_"),")","")</f>
        <v>dpa802_7_1_2_b</v>
      </c>
      <c r="AM180">
        <f>M180</f>
        <v>10</v>
      </c>
    </row>
    <row r="181" spans="2:45" x14ac:dyDescent="0.35">
      <c r="B181" s="412" t="s">
        <v>4382</v>
      </c>
      <c r="C181" s="13" t="s">
        <v>258</v>
      </c>
      <c r="D181" s="13" t="s">
        <v>123</v>
      </c>
      <c r="E181" s="13"/>
      <c r="F181" s="453"/>
      <c r="G181" s="13"/>
      <c r="H181" s="453"/>
      <c r="I181" s="4"/>
      <c r="J181" s="93"/>
      <c r="K181" s="19" t="s">
        <v>123</v>
      </c>
      <c r="L181" s="814" t="s">
        <v>803</v>
      </c>
      <c r="M181" s="818">
        <v>15</v>
      </c>
      <c r="N181" s="4"/>
      <c r="O181" s="75"/>
      <c r="X181" s="817"/>
      <c r="AL181" t="str">
        <f>SUBSTITUTE(SUBSTITUTE(SUBSTITUTE("dpa"&amp;$B181&amp;$C181&amp;$D181&amp;$E181,".","_"),"(","_"),")","")</f>
        <v>dpa802_7_1_2_c</v>
      </c>
      <c r="AM181">
        <f>M181</f>
        <v>15</v>
      </c>
    </row>
    <row r="182" spans="2:45" x14ac:dyDescent="0.35">
      <c r="B182" s="412" t="s">
        <v>4382</v>
      </c>
      <c r="C182" s="13" t="s">
        <v>258</v>
      </c>
      <c r="D182" s="13" t="s">
        <v>123</v>
      </c>
      <c r="E182" s="13"/>
      <c r="F182" s="453"/>
      <c r="G182" s="13"/>
      <c r="H182" s="453"/>
      <c r="I182" s="4"/>
      <c r="J182" s="93"/>
      <c r="K182" s="133"/>
      <c r="L182" s="815"/>
      <c r="M182" s="819"/>
      <c r="N182" s="4"/>
      <c r="O182" s="75"/>
      <c r="X182" s="817"/>
    </row>
    <row r="183" spans="2:45" x14ac:dyDescent="0.35">
      <c r="B183" s="412" t="s">
        <v>4382</v>
      </c>
      <c r="C183" s="13" t="s">
        <v>258</v>
      </c>
      <c r="D183" s="13" t="s">
        <v>401</v>
      </c>
      <c r="E183" s="13"/>
      <c r="F183" s="453"/>
      <c r="G183" s="13"/>
      <c r="H183" s="453"/>
      <c r="I183" s="4"/>
      <c r="J183" s="93"/>
      <c r="K183" s="19" t="s">
        <v>401</v>
      </c>
      <c r="L183" s="814" t="s">
        <v>804</v>
      </c>
      <c r="M183" s="818">
        <v>25</v>
      </c>
      <c r="N183" s="4"/>
      <c r="O183" s="75"/>
      <c r="X183" s="817"/>
      <c r="AL183" t="str">
        <f>SUBSTITUTE(SUBSTITUTE(SUBSTITUTE("dpa"&amp;$B183&amp;$C183&amp;$D183&amp;$E183,".","_"),"(","_"),")","")</f>
        <v>dpa802_7_1_2_d</v>
      </c>
      <c r="AM183">
        <f>M183</f>
        <v>25</v>
      </c>
    </row>
    <row r="184" spans="2:45" ht="15" customHeight="1" x14ac:dyDescent="0.35">
      <c r="B184" s="412" t="s">
        <v>4382</v>
      </c>
      <c r="C184" s="13" t="s">
        <v>258</v>
      </c>
      <c r="D184" s="13" t="s">
        <v>401</v>
      </c>
      <c r="E184" s="13"/>
      <c r="F184" s="453"/>
      <c r="G184" s="13"/>
      <c r="H184" s="453"/>
      <c r="I184" s="30"/>
      <c r="J184" s="93"/>
      <c r="K184" s="4"/>
      <c r="L184" s="814"/>
      <c r="M184" s="818"/>
      <c r="N184" s="4"/>
      <c r="O184" s="75"/>
      <c r="X184" s="817"/>
    </row>
    <row r="185" spans="2:45" x14ac:dyDescent="0.35">
      <c r="B185" s="412" t="s">
        <v>4382</v>
      </c>
      <c r="C185" s="13" t="s">
        <v>258</v>
      </c>
      <c r="D185" s="13" t="s">
        <v>401</v>
      </c>
      <c r="E185" s="13"/>
      <c r="F185" s="453"/>
      <c r="G185" s="13"/>
      <c r="H185" s="453"/>
      <c r="I185" s="138"/>
      <c r="J185" s="320"/>
      <c r="K185" s="133"/>
      <c r="L185" s="815"/>
      <c r="M185" s="819"/>
      <c r="N185" s="133"/>
      <c r="O185" s="309"/>
      <c r="P185" s="104"/>
      <c r="Q185" s="104"/>
      <c r="R185" s="104"/>
      <c r="S185" s="104"/>
      <c r="T185" s="104"/>
      <c r="U185" s="104"/>
      <c r="V185" s="104"/>
      <c r="W185" s="104"/>
      <c r="X185" s="817"/>
    </row>
    <row r="186" spans="2:45" x14ac:dyDescent="0.35">
      <c r="B186" s="412" t="s">
        <v>4384</v>
      </c>
      <c r="C186" s="13"/>
      <c r="D186" s="13"/>
      <c r="E186" s="13"/>
      <c r="F186" s="453"/>
      <c r="G186" s="13"/>
      <c r="H186" s="453"/>
      <c r="I186" s="30" t="s">
        <v>4384</v>
      </c>
      <c r="J186" s="93"/>
      <c r="K186" s="4"/>
      <c r="L186" s="838" t="s">
        <v>4385</v>
      </c>
      <c r="M186" s="40"/>
      <c r="N186" s="4"/>
      <c r="O186" s="832">
        <f ca="1">MAX(IFERROR(5*MATCH(W189,INDIRECT(U189),0),0)*S189,M191*S191*W191)*S189</f>
        <v>0</v>
      </c>
      <c r="AN186" t="str">
        <f>SUBSTITUTE(SUBSTITUTE(SUBSTITUTE("dpc"&amp;$B186&amp;$C186&amp;$D186&amp;$E186,".","_"),"(","_"),")","")</f>
        <v>dpc802_7_2</v>
      </c>
      <c r="AO186">
        <f ca="1">O186</f>
        <v>0</v>
      </c>
    </row>
    <row r="187" spans="2:45" x14ac:dyDescent="0.35">
      <c r="B187" s="412" t="s">
        <v>4384</v>
      </c>
      <c r="C187" s="13"/>
      <c r="D187" s="13"/>
      <c r="E187" s="13"/>
      <c r="F187" s="453"/>
      <c r="G187" s="13"/>
      <c r="H187" s="453"/>
      <c r="I187" s="30"/>
      <c r="J187" s="93"/>
      <c r="K187" s="4"/>
      <c r="L187" s="838"/>
      <c r="M187" s="40"/>
      <c r="N187" s="4"/>
      <c r="O187" s="832"/>
    </row>
    <row r="188" spans="2:45" x14ac:dyDescent="0.35">
      <c r="B188" s="412" t="s">
        <v>4384</v>
      </c>
      <c r="C188" s="13"/>
      <c r="D188" s="13"/>
      <c r="E188" s="13"/>
      <c r="F188" s="453"/>
      <c r="G188" s="13"/>
      <c r="H188" s="453"/>
      <c r="I188" s="30"/>
      <c r="J188" s="93"/>
      <c r="K188" s="4"/>
      <c r="L188" s="838"/>
      <c r="M188" s="40"/>
      <c r="N188" s="4"/>
      <c r="O188" s="832"/>
    </row>
    <row r="189" spans="2:45" ht="15" customHeight="1" x14ac:dyDescent="0.35">
      <c r="B189" s="412" t="s">
        <v>4384</v>
      </c>
      <c r="C189" s="13" t="s">
        <v>256</v>
      </c>
      <c r="D189" s="13"/>
      <c r="E189" s="13"/>
      <c r="F189" s="453"/>
      <c r="G189" s="13"/>
      <c r="H189" s="453"/>
      <c r="I189" s="30"/>
      <c r="J189" s="38" t="s">
        <v>256</v>
      </c>
      <c r="K189" s="4"/>
      <c r="L189" s="90" t="s">
        <v>805</v>
      </c>
      <c r="M189" s="843" t="s">
        <v>3607</v>
      </c>
      <c r="N189" s="4"/>
      <c r="O189" s="75"/>
      <c r="P189" t="b">
        <v>0</v>
      </c>
      <c r="Q189" t="b">
        <v>1</v>
      </c>
      <c r="R189" t="b">
        <v>0</v>
      </c>
      <c r="S189" t="b">
        <f ca="1">S14=2</f>
        <v>1</v>
      </c>
      <c r="T189" t="b">
        <f ca="1">IF(AND(NOT(S189),LEN(W189)&gt;0),TRUE,FALSE)</f>
        <v>0</v>
      </c>
      <c r="U189" t="str">
        <f>SUBSTITUTE(SUBSTITUTE(SUBSTITUTE("dd"&amp;B189&amp;C189&amp;D189&amp;E189&amp;F189,".","_"),"(","_"),")","")</f>
        <v>dd802_7_2_1</v>
      </c>
      <c r="W189" s="9"/>
      <c r="X189" s="817"/>
      <c r="AC189" t="b">
        <f ca="1">OR(AD189:AE189)</f>
        <v>0</v>
      </c>
      <c r="AD189" t="b">
        <f ca="1">T189</f>
        <v>0</v>
      </c>
      <c r="AL189" t="str">
        <f>SUBSTITUTE(SUBSTITUTE(SUBSTITUTE("dpa"&amp;$B189&amp;$C189&amp;$D189&amp;$E189,".","_"),"(","_"),")","")</f>
        <v>dpa802_7_2_1</v>
      </c>
      <c r="AM189" t="str">
        <f>M189</f>
        <v>5
15 Max</v>
      </c>
      <c r="AP189" t="str">
        <f>SUBSTITUTE(SUBSTITUTE(SUBSTITUTE("dch"&amp;$B189&amp;$C189&amp;$D189&amp;$E189,".","_"),"(","_"),")","")</f>
        <v>dch802_7_2_1</v>
      </c>
      <c r="AQ189" t="str">
        <f>IF(LEN(W189)=0,"",W189)</f>
        <v/>
      </c>
      <c r="AR189" t="str">
        <f>SUBSTITUTE(SUBSTITUTE(SUBSTITUTE("dnt"&amp;$B189&amp;$C189&amp;$D189&amp;$E189,".","_"),"(","_"),")","")</f>
        <v>dnt802_7_2_1</v>
      </c>
      <c r="AS189" t="str">
        <f>IF(LEN(X189)=0,"",X189)</f>
        <v/>
      </c>
    </row>
    <row r="190" spans="2:45" x14ac:dyDescent="0.35">
      <c r="B190" s="412" t="s">
        <v>4384</v>
      </c>
      <c r="C190" s="13" t="s">
        <v>256</v>
      </c>
      <c r="D190" s="13"/>
      <c r="E190" s="13"/>
      <c r="F190" s="453"/>
      <c r="G190" s="13"/>
      <c r="H190" s="453"/>
      <c r="I190" s="30"/>
      <c r="J190" s="320"/>
      <c r="K190" s="133"/>
      <c r="L190" s="142" t="s">
        <v>806</v>
      </c>
      <c r="M190" s="819"/>
      <c r="N190" s="4"/>
      <c r="O190" s="75"/>
      <c r="X190" s="817"/>
    </row>
    <row r="191" spans="2:45" ht="15" thickBot="1" x14ac:dyDescent="0.4">
      <c r="B191" s="412" t="s">
        <v>4384</v>
      </c>
      <c r="C191" s="13" t="s">
        <v>258</v>
      </c>
      <c r="D191" s="13"/>
      <c r="E191" s="13"/>
      <c r="F191" s="453"/>
      <c r="G191" s="13"/>
      <c r="H191" s="453"/>
      <c r="I191" s="114"/>
      <c r="J191" s="230" t="s">
        <v>258</v>
      </c>
      <c r="K191" s="160"/>
      <c r="L191" s="229" t="s">
        <v>807</v>
      </c>
      <c r="M191" s="270">
        <v>25</v>
      </c>
      <c r="N191" s="160"/>
      <c r="O191" s="161"/>
      <c r="P191" t="b">
        <v>0</v>
      </c>
      <c r="Q191" t="b">
        <v>1</v>
      </c>
      <c r="R191" s="55" t="b">
        <v>0</v>
      </c>
      <c r="S191" s="55" t="b">
        <f ca="1">S14=2</f>
        <v>1</v>
      </c>
      <c r="T191" t="b">
        <f ca="1">IF(AND(NOT(S191),W191=TRUE),TRUE,FALSE)</f>
        <v>0</v>
      </c>
      <c r="U191" s="55"/>
      <c r="V191" s="55"/>
      <c r="W191" s="56"/>
      <c r="X191" s="98"/>
      <c r="AC191" t="b">
        <f ca="1">OR(AD191:AE191)</f>
        <v>0</v>
      </c>
      <c r="AD191" t="b">
        <f ca="1">T191</f>
        <v>0</v>
      </c>
      <c r="AL191" t="str">
        <f>SUBSTITUTE(SUBSTITUTE(SUBSTITUTE("dpa"&amp;$B191&amp;$C191&amp;$D191&amp;$E191,".","_"),"(","_"),")","")</f>
        <v>dpa802_7_2_2</v>
      </c>
      <c r="AM191">
        <f>M191</f>
        <v>25</v>
      </c>
      <c r="AP191" t="str">
        <f>SUBSTITUTE(SUBSTITUTE(SUBSTITUTE("dch"&amp;$B191&amp;$C191&amp;$D191&amp;$E191,".","_"),"(","_"),")","")</f>
        <v>dch802_7_2_2</v>
      </c>
      <c r="AQ191" t="str">
        <f>IF(LEN(W191)=0,"",W191)</f>
        <v/>
      </c>
      <c r="AR191" t="str">
        <f>SUBSTITUTE(SUBSTITUTE(SUBSTITUTE("dnt"&amp;$B191&amp;$C191&amp;$D191&amp;$E191,".","_"),"(","_"),")","")</f>
        <v>dnt802_7_2_2</v>
      </c>
      <c r="AS191" t="str">
        <f>IF(LEN(X191)=0,"",X191)</f>
        <v/>
      </c>
    </row>
    <row r="192" spans="2:45" ht="15" thickTop="1" x14ac:dyDescent="0.35">
      <c r="B192" s="412">
        <v>802.8</v>
      </c>
      <c r="C192" s="13"/>
      <c r="D192" s="13"/>
      <c r="E192" s="13"/>
      <c r="F192" s="13"/>
      <c r="G192" s="13"/>
      <c r="H192" s="453"/>
      <c r="I192" s="38">
        <v>802.8</v>
      </c>
      <c r="J192" s="37"/>
      <c r="K192" s="4"/>
      <c r="L192" s="838" t="s">
        <v>4459</v>
      </c>
      <c r="M192" s="830">
        <v>1</v>
      </c>
      <c r="N192" s="4"/>
      <c r="O192" s="831">
        <f ca="1">M192*S192*W192</f>
        <v>0</v>
      </c>
      <c r="P192" t="b">
        <v>0</v>
      </c>
      <c r="Q192" t="b">
        <v>1</v>
      </c>
      <c r="R192" t="b">
        <v>0</v>
      </c>
      <c r="S192" t="b">
        <f ca="1">S14=2</f>
        <v>1</v>
      </c>
      <c r="T192" t="b">
        <f ca="1">IF(AND(NOT(S192),W192=TRUE),TRUE,FALSE)</f>
        <v>0</v>
      </c>
      <c r="W192" s="69"/>
      <c r="X192" s="816"/>
      <c r="AC192" t="b">
        <f ca="1">OR(AD192:AE192)</f>
        <v>0</v>
      </c>
      <c r="AD192" t="b">
        <f ca="1">T192</f>
        <v>0</v>
      </c>
      <c r="AL192" t="str">
        <f>SUBSTITUTE(SUBSTITUTE(SUBSTITUTE("dpa"&amp;$B192&amp;$C192&amp;$D192&amp;$E192,".","_"),"(","_"),")","")</f>
        <v>dpa802_8</v>
      </c>
      <c r="AM192">
        <f>M192</f>
        <v>1</v>
      </c>
      <c r="AN192" t="str">
        <f>SUBSTITUTE(SUBSTITUTE(SUBSTITUTE("dpc"&amp;$B192&amp;$C192&amp;$D192&amp;$E192,".","_"),"(","_"),")","")</f>
        <v>dpc802_8</v>
      </c>
      <c r="AO192">
        <f ca="1">O192</f>
        <v>0</v>
      </c>
      <c r="AP192" t="str">
        <f>SUBSTITUTE(SUBSTITUTE(SUBSTITUTE("dch"&amp;$B192&amp;$C192&amp;$D192&amp;$E192,".","_"),"(","_"),")","")</f>
        <v>dch802_8</v>
      </c>
      <c r="AQ192" t="str">
        <f>IF(LEN(W192)=0,"",W192)</f>
        <v/>
      </c>
      <c r="AR192" t="str">
        <f>SUBSTITUTE(SUBSTITUTE(SUBSTITUTE("dnt"&amp;$B192&amp;$C192&amp;$D192&amp;$E192,".","_"),"(","_"),")","")</f>
        <v>dnt802_8</v>
      </c>
      <c r="AS192" t="str">
        <f>IF(LEN(X192)=0,"",X192)</f>
        <v/>
      </c>
    </row>
    <row r="193" spans="2:45" ht="15" thickBot="1" x14ac:dyDescent="0.4">
      <c r="B193" s="412">
        <v>802.8</v>
      </c>
      <c r="C193" s="13"/>
      <c r="D193" s="13"/>
      <c r="E193" s="13"/>
      <c r="F193" s="13"/>
      <c r="G193" s="13"/>
      <c r="H193" s="453"/>
      <c r="I193" s="230"/>
      <c r="J193" s="512"/>
      <c r="K193" s="160"/>
      <c r="L193" s="849"/>
      <c r="M193" s="827"/>
      <c r="N193" s="160"/>
      <c r="O193" s="833"/>
      <c r="P193" s="55"/>
      <c r="Q193" s="55"/>
      <c r="R193" s="55"/>
      <c r="S193" s="55"/>
      <c r="T193" s="55"/>
      <c r="U193" s="55"/>
      <c r="V193" s="55"/>
      <c r="W193" s="55"/>
      <c r="X193" s="829"/>
    </row>
    <row r="194" spans="2:45" customFormat="1" ht="15" thickTop="1" x14ac:dyDescent="0.35">
      <c r="B194" s="496">
        <v>802.9</v>
      </c>
      <c r="E194" s="467"/>
      <c r="I194" s="513">
        <v>802.9</v>
      </c>
      <c r="J194" s="481"/>
      <c r="K194" s="467"/>
      <c r="L194" s="487" t="s">
        <v>4460</v>
      </c>
      <c r="M194" s="267"/>
      <c r="N194" s="107"/>
      <c r="O194" s="308"/>
    </row>
    <row r="195" spans="2:45" customFormat="1" ht="15" customHeight="1" x14ac:dyDescent="0.35">
      <c r="B195" s="496" t="s">
        <v>4461</v>
      </c>
      <c r="E195" s="467"/>
      <c r="I195" s="513" t="s">
        <v>4461</v>
      </c>
      <c r="J195" s="481"/>
      <c r="K195" s="467"/>
      <c r="L195" s="838" t="s">
        <v>4462</v>
      </c>
      <c r="M195" s="40"/>
      <c r="N195" s="4"/>
      <c r="O195" s="832">
        <f ca="1">IFERROR(INDEX({5,2},MATCH(W195,INDIRECT(U195),0)),0)*S195</f>
        <v>0</v>
      </c>
      <c r="P195" t="b">
        <v>0</v>
      </c>
      <c r="Q195" t="b">
        <v>1</v>
      </c>
      <c r="R195" t="b">
        <v>0</v>
      </c>
      <c r="S195" t="b">
        <f ca="1">S14=2</f>
        <v>1</v>
      </c>
      <c r="T195" t="b">
        <f ca="1">IF(AND(NOT(S195),LEN(W195)&gt;0),TRUE,FALSE)</f>
        <v>0</v>
      </c>
      <c r="U195" t="str">
        <f>SUBSTITUTE(SUBSTITUTE(SUBSTITUTE("dd"&amp;B195&amp;C195&amp;D195&amp;E195&amp;F195,".","_"),"(","_"),")","")</f>
        <v>dd802_9_1</v>
      </c>
      <c r="W195" s="9"/>
      <c r="X195" s="817"/>
      <c r="AC195" t="b">
        <f ca="1">OR(AD195:AE195)</f>
        <v>0</v>
      </c>
      <c r="AD195" t="b">
        <f ca="1">T195</f>
        <v>0</v>
      </c>
      <c r="AN195" t="str">
        <f>SUBSTITUTE(SUBSTITUTE(SUBSTITUTE("dpc"&amp;$B195&amp;$C195&amp;$D195&amp;$E195,".","_"),"(","_"),")","")</f>
        <v>dpc802_9_1</v>
      </c>
      <c r="AO195">
        <f ca="1">O195</f>
        <v>0</v>
      </c>
      <c r="AP195" t="str">
        <f>SUBSTITUTE(SUBSTITUTE(SUBSTITUTE("dch"&amp;$B195&amp;$C195&amp;$D195&amp;$E195,".","_"),"(","_"),")","")</f>
        <v>dch802_9_1</v>
      </c>
      <c r="AQ195" t="str">
        <f>IF(LEN(W195)=0,"",W195)</f>
        <v/>
      </c>
      <c r="AR195" t="str">
        <f>SUBSTITUTE(SUBSTITUTE(SUBSTITUTE("dnt"&amp;$B195&amp;$C195&amp;$D195&amp;$E195,".","_"),"(","_"),")","")</f>
        <v>dnt802_9_1</v>
      </c>
      <c r="AS195" t="str">
        <f>IF(LEN(X195)=0,"",X195)</f>
        <v/>
      </c>
    </row>
    <row r="196" spans="2:45" customFormat="1" x14ac:dyDescent="0.35">
      <c r="B196" s="496" t="s">
        <v>4461</v>
      </c>
      <c r="E196" s="467"/>
      <c r="I196" s="513"/>
      <c r="J196" s="481"/>
      <c r="K196" s="467"/>
      <c r="L196" s="838"/>
      <c r="M196" s="40"/>
      <c r="N196" s="4"/>
      <c r="O196" s="832"/>
      <c r="X196" s="817"/>
    </row>
    <row r="197" spans="2:45" customFormat="1" x14ac:dyDescent="0.35">
      <c r="B197" s="496" t="s">
        <v>4461</v>
      </c>
      <c r="E197" s="467"/>
      <c r="I197" s="513"/>
      <c r="J197" s="481"/>
      <c r="K197" s="467"/>
      <c r="L197" s="838"/>
      <c r="M197" s="40"/>
      <c r="N197" s="4"/>
      <c r="O197" s="832"/>
      <c r="X197" s="817"/>
    </row>
    <row r="198" spans="2:45" customFormat="1" x14ac:dyDescent="0.35">
      <c r="B198" s="496" t="s">
        <v>4461</v>
      </c>
      <c r="E198" s="467"/>
      <c r="I198" s="513"/>
      <c r="J198" s="481"/>
      <c r="K198" s="467"/>
      <c r="L198" s="838"/>
      <c r="M198" s="40"/>
      <c r="N198" s="4"/>
      <c r="O198" s="832"/>
      <c r="X198" s="817"/>
    </row>
    <row r="199" spans="2:45" customFormat="1" x14ac:dyDescent="0.35">
      <c r="B199" s="496" t="s">
        <v>4461</v>
      </c>
      <c r="E199" s="467"/>
      <c r="I199" s="513"/>
      <c r="J199" s="481"/>
      <c r="K199" s="467"/>
      <c r="L199" s="838"/>
      <c r="M199" s="40"/>
      <c r="N199" s="4"/>
      <c r="O199" s="832"/>
      <c r="X199" s="817"/>
    </row>
    <row r="200" spans="2:45" customFormat="1" x14ac:dyDescent="0.35">
      <c r="B200" s="496" t="s">
        <v>4461</v>
      </c>
      <c r="E200" s="467"/>
      <c r="I200" s="513"/>
      <c r="J200" s="481"/>
      <c r="K200" s="467"/>
      <c r="L200" s="838"/>
      <c r="M200" s="40"/>
      <c r="N200" s="4"/>
      <c r="O200" s="75"/>
      <c r="X200" s="817"/>
    </row>
    <row r="201" spans="2:45" customFormat="1" x14ac:dyDescent="0.35">
      <c r="B201" s="496" t="s">
        <v>4461</v>
      </c>
      <c r="C201" s="467" t="s">
        <v>256</v>
      </c>
      <c r="I201" s="513"/>
      <c r="J201" s="482" t="s">
        <v>256</v>
      </c>
      <c r="K201" s="472"/>
      <c r="L201" s="281" t="s">
        <v>4463</v>
      </c>
      <c r="M201" s="268">
        <v>5</v>
      </c>
      <c r="N201" s="4"/>
      <c r="O201" s="75"/>
      <c r="X201" s="817"/>
      <c r="AL201" t="str">
        <f>SUBSTITUTE(SUBSTITUTE(SUBSTITUTE("dpa"&amp;$B201&amp;$C201&amp;$D201&amp;$E201,".","_"),"(","_"),")","")</f>
        <v>dpa802_9_1_1</v>
      </c>
      <c r="AM201">
        <f>M201</f>
        <v>5</v>
      </c>
    </row>
    <row r="202" spans="2:45" customFormat="1" x14ac:dyDescent="0.35">
      <c r="B202" s="496" t="s">
        <v>4461</v>
      </c>
      <c r="C202" s="467" t="s">
        <v>258</v>
      </c>
      <c r="I202" s="515"/>
      <c r="J202" s="482" t="s">
        <v>258</v>
      </c>
      <c r="K202" s="472"/>
      <c r="L202" s="281" t="s">
        <v>4464</v>
      </c>
      <c r="M202" s="268">
        <v>2</v>
      </c>
      <c r="N202" s="133"/>
      <c r="O202" s="309"/>
      <c r="X202" s="817"/>
      <c r="AL202" t="str">
        <f>SUBSTITUTE(SUBSTITUTE(SUBSTITUTE("dpa"&amp;$B202&amp;$C202&amp;$D202&amp;$E202,".","_"),"(","_"),")","")</f>
        <v>dpa802_9_1_2</v>
      </c>
      <c r="AM202">
        <f>M202</f>
        <v>2</v>
      </c>
    </row>
    <row r="203" spans="2:45" customFormat="1" ht="15" customHeight="1" x14ac:dyDescent="0.35">
      <c r="B203" s="496" t="s">
        <v>4465</v>
      </c>
      <c r="C203" s="467"/>
      <c r="I203" s="513" t="s">
        <v>4465</v>
      </c>
      <c r="J203" s="481"/>
      <c r="K203" s="467"/>
      <c r="L203" s="838" t="s">
        <v>4466</v>
      </c>
      <c r="O203" s="823">
        <f ca="1">IFERROR(INDEX({3,1},MATCH(W203,INDIRECT(U203),0)),0)*S203</f>
        <v>0</v>
      </c>
      <c r="P203" t="b">
        <v>0</v>
      </c>
      <c r="Q203" t="b">
        <v>1</v>
      </c>
      <c r="R203" t="b">
        <v>0</v>
      </c>
      <c r="S203" t="b">
        <f ca="1">S14=2</f>
        <v>1</v>
      </c>
      <c r="T203" t="b">
        <f ca="1">IF(AND(NOT(S203),LEN(W203)&gt;0),TRUE,FALSE)</f>
        <v>0</v>
      </c>
      <c r="U203" t="str">
        <f>SUBSTITUTE(SUBSTITUTE(SUBSTITUTE("dd"&amp;B203&amp;C203&amp;D203&amp;E203&amp;F203,".","_"),"(","_"),")","")</f>
        <v>dd802_9_2</v>
      </c>
      <c r="W203" s="9"/>
      <c r="X203" s="817"/>
      <c r="AC203" t="b">
        <f ca="1">OR(AD203:AE203)</f>
        <v>0</v>
      </c>
      <c r="AD203" t="b">
        <f ca="1">T203</f>
        <v>0</v>
      </c>
      <c r="AN203" t="str">
        <f>SUBSTITUTE(SUBSTITUTE(SUBSTITUTE("dpc"&amp;$B203&amp;$C203&amp;$D203&amp;$E203,".","_"),"(","_"),")","")</f>
        <v>dpc802_9_2</v>
      </c>
      <c r="AO203">
        <f ca="1">O203</f>
        <v>0</v>
      </c>
      <c r="AP203" t="str">
        <f>SUBSTITUTE(SUBSTITUTE(SUBSTITUTE("dch"&amp;$B203&amp;$C203&amp;$D203&amp;$E203,".","_"),"(","_"),")","")</f>
        <v>dch802_9_2</v>
      </c>
      <c r="AQ203" t="str">
        <f>IF(LEN(W203)=0,"",W203)</f>
        <v/>
      </c>
      <c r="AR203" t="str">
        <f>SUBSTITUTE(SUBSTITUTE(SUBSTITUTE("dnt"&amp;$B203&amp;$C203&amp;$D203&amp;$E203,".","_"),"(","_"),")","")</f>
        <v>dnt802_9_2</v>
      </c>
      <c r="AS203" t="str">
        <f>IF(LEN(X203)=0,"",X203)</f>
        <v/>
      </c>
    </row>
    <row r="204" spans="2:45" customFormat="1" x14ac:dyDescent="0.35">
      <c r="B204" s="496" t="s">
        <v>4465</v>
      </c>
      <c r="C204" s="467"/>
      <c r="I204" s="513"/>
      <c r="J204" s="481"/>
      <c r="K204" s="467"/>
      <c r="L204" s="838"/>
      <c r="O204" s="832"/>
      <c r="X204" s="817"/>
    </row>
    <row r="205" spans="2:45" customFormat="1" x14ac:dyDescent="0.35">
      <c r="B205" s="496" t="s">
        <v>4465</v>
      </c>
      <c r="C205" s="467" t="s">
        <v>256</v>
      </c>
      <c r="I205" s="513"/>
      <c r="J205" s="482" t="s">
        <v>256</v>
      </c>
      <c r="K205" s="472"/>
      <c r="L205" s="281" t="s">
        <v>4467</v>
      </c>
      <c r="M205" s="268">
        <v>3</v>
      </c>
      <c r="N205" s="4"/>
      <c r="O205" s="75"/>
      <c r="X205" s="817"/>
      <c r="AL205" t="str">
        <f>SUBSTITUTE(SUBSTITUTE(SUBSTITUTE("dpa"&amp;$B205&amp;$C205&amp;$D205&amp;$E205,".","_"),"(","_"),")","")</f>
        <v>dpa802_9_2_1</v>
      </c>
      <c r="AM205">
        <f>M205</f>
        <v>3</v>
      </c>
    </row>
    <row r="206" spans="2:45" customFormat="1" ht="15" thickBot="1" x14ac:dyDescent="0.4">
      <c r="B206" s="496" t="s">
        <v>4465</v>
      </c>
      <c r="C206" s="467" t="s">
        <v>258</v>
      </c>
      <c r="I206" s="514"/>
      <c r="J206" s="491" t="s">
        <v>258</v>
      </c>
      <c r="K206" s="473"/>
      <c r="L206" s="486" t="s">
        <v>4468</v>
      </c>
      <c r="M206" s="270">
        <v>1</v>
      </c>
      <c r="N206" s="160"/>
      <c r="O206" s="161"/>
      <c r="P206" s="55"/>
      <c r="Q206" s="55"/>
      <c r="R206" s="55"/>
      <c r="S206" s="55"/>
      <c r="T206" s="55"/>
      <c r="U206" s="55"/>
      <c r="V206" s="55"/>
      <c r="W206" s="55"/>
      <c r="X206" s="829"/>
      <c r="AL206" t="str">
        <f>SUBSTITUTE(SUBSTITUTE(SUBSTITUTE("dpa"&amp;$B206&amp;$C206&amp;$D206&amp;$E206,".","_"),"(","_"),")","")</f>
        <v>dpa802_9_2_2</v>
      </c>
      <c r="AM206">
        <f>M206</f>
        <v>1</v>
      </c>
    </row>
    <row r="207" spans="2:45" customFormat="1" ht="15" thickTop="1" x14ac:dyDescent="0.35">
      <c r="B207" s="496">
        <v>802.1</v>
      </c>
      <c r="C207" s="467"/>
      <c r="I207" s="513" t="s">
        <v>4473</v>
      </c>
      <c r="J207" s="481"/>
      <c r="K207" s="467"/>
      <c r="L207" s="487" t="s">
        <v>4469</v>
      </c>
      <c r="M207" s="40"/>
      <c r="N207" s="4"/>
      <c r="O207" s="75"/>
    </row>
    <row r="208" spans="2:45" customFormat="1" ht="15" customHeight="1" x14ac:dyDescent="0.35">
      <c r="B208" s="496" t="s">
        <v>4470</v>
      </c>
      <c r="C208" s="467"/>
      <c r="I208" s="513" t="s">
        <v>4470</v>
      </c>
      <c r="J208" s="481"/>
      <c r="K208" s="467"/>
      <c r="L208" s="838" t="s">
        <v>4471</v>
      </c>
      <c r="M208" s="885" t="str">
        <f>IF(R208,"Mandatory","N/A")</f>
        <v>Mandatory</v>
      </c>
      <c r="N208" s="4"/>
      <c r="O208" s="75"/>
      <c r="P208" t="b">
        <v>0</v>
      </c>
      <c r="Q208" t="b">
        <v>1</v>
      </c>
      <c r="R208" t="b">
        <f>S208</f>
        <v>1</v>
      </c>
      <c r="S208" t="b">
        <v>1</v>
      </c>
      <c r="T208" t="b">
        <f>IF(AND(NOT(S208),LEN(W208)&gt;0),TRUE,FALSE)</f>
        <v>0</v>
      </c>
      <c r="U208" t="str">
        <f>SUBSTITUTE(SUBSTITUTE(SUBSTITUTE("dd"&amp;B208&amp;C208&amp;D208&amp;E208&amp;F208,".","_"),"(","_"),")","")</f>
        <v>dd802_10_1</v>
      </c>
      <c r="W208" s="9" t="s">
        <v>3040</v>
      </c>
      <c r="X208" s="817"/>
      <c r="AC208" t="b">
        <f>OR(AD208:AE208)</f>
        <v>0</v>
      </c>
      <c r="AD208" t="b">
        <f>T208</f>
        <v>0</v>
      </c>
      <c r="AE208" t="b">
        <f>AND(R208,NOT(W208="Met"),NOT(W208="N/A"))</f>
        <v>0</v>
      </c>
      <c r="AL208" t="str">
        <f>SUBSTITUTE(SUBSTITUTE(SUBSTITUTE("dpa"&amp;$B208&amp;$C208&amp;$D208&amp;$E208,".","_"),"(","_"),")","")</f>
        <v>dpa802_10_1</v>
      </c>
      <c r="AM208" t="str">
        <f>M208</f>
        <v>Mandatory</v>
      </c>
      <c r="AP208" t="str">
        <f>SUBSTITUTE(SUBSTITUTE(SUBSTITUTE("dch"&amp;$B208&amp;$C208&amp;$D208&amp;$E208,".","_"),"(","_"),")","")</f>
        <v>dch802_10_1</v>
      </c>
      <c r="AQ208" t="str">
        <f>IF(LEN(W208)=0,"",W208)</f>
        <v>N/A</v>
      </c>
      <c r="AR208" t="str">
        <f>SUBSTITUTE(SUBSTITUTE(SUBSTITUTE("dnt"&amp;$B208&amp;$C208&amp;$D208&amp;$E208,".","_"),"(","_"),")","")</f>
        <v>dnt802_10_1</v>
      </c>
      <c r="AS208" t="str">
        <f>IF(LEN(X208)=0,"",X208)</f>
        <v/>
      </c>
    </row>
    <row r="209" spans="2:45" customFormat="1" x14ac:dyDescent="0.35">
      <c r="B209" s="496" t="s">
        <v>4470</v>
      </c>
      <c r="C209" s="467"/>
      <c r="I209" s="513"/>
      <c r="J209" s="481"/>
      <c r="K209" s="467"/>
      <c r="L209" s="838"/>
      <c r="M209" s="885"/>
      <c r="N209" s="4"/>
      <c r="O209" s="75"/>
      <c r="X209" s="817"/>
    </row>
    <row r="210" spans="2:45" customFormat="1" x14ac:dyDescent="0.35">
      <c r="B210" s="496" t="s">
        <v>4470</v>
      </c>
      <c r="C210" s="467"/>
      <c r="I210" s="513"/>
      <c r="J210" s="481"/>
      <c r="K210" s="467"/>
      <c r="L210" s="838"/>
      <c r="M210" s="885"/>
      <c r="N210" s="4"/>
      <c r="O210" s="75"/>
      <c r="X210" s="817"/>
    </row>
    <row r="211" spans="2:45" customFormat="1" x14ac:dyDescent="0.35">
      <c r="B211" s="496" t="s">
        <v>4470</v>
      </c>
      <c r="C211" s="467" t="s">
        <v>256</v>
      </c>
      <c r="I211" s="513"/>
      <c r="J211" s="481" t="s">
        <v>256</v>
      </c>
      <c r="K211" s="467"/>
      <c r="L211" s="266" t="s">
        <v>4472</v>
      </c>
      <c r="M211" s="40">
        <v>10</v>
      </c>
      <c r="N211" s="4"/>
      <c r="O211" s="75">
        <f ca="1">M211*W211*S211</f>
        <v>0</v>
      </c>
      <c r="P211" t="b">
        <v>0</v>
      </c>
      <c r="Q211" t="b">
        <v>1</v>
      </c>
      <c r="R211" t="b">
        <v>0</v>
      </c>
      <c r="S211" t="b">
        <f ca="1">S14=2</f>
        <v>1</v>
      </c>
      <c r="T211" t="b">
        <f ca="1">IF(AND(NOT(S211),W211=TRUE),TRUE,FALSE)</f>
        <v>0</v>
      </c>
      <c r="W211" s="17"/>
      <c r="X211" s="36"/>
      <c r="AC211" t="b">
        <f ca="1">OR(AD211:AE211)</f>
        <v>0</v>
      </c>
      <c r="AD211" t="b">
        <f ca="1">T211</f>
        <v>0</v>
      </c>
      <c r="AL211" t="str">
        <f>SUBSTITUTE(SUBSTITUTE(SUBSTITUTE("dpa"&amp;$B211&amp;$C211&amp;$D211&amp;$E211,".","_"),"(","_"),")","")</f>
        <v>dpa802_10_1_1</v>
      </c>
      <c r="AM211">
        <f>M211</f>
        <v>10</v>
      </c>
      <c r="AN211" t="str">
        <f>SUBSTITUTE(SUBSTITUTE(SUBSTITUTE("dpc"&amp;$B211&amp;$C211&amp;$D211&amp;$E211,".","_"),"(","_"),")","")</f>
        <v>dpc802_10_1_1</v>
      </c>
      <c r="AO211">
        <f ca="1">O211</f>
        <v>0</v>
      </c>
      <c r="AP211" t="str">
        <f>SUBSTITUTE(SUBSTITUTE(SUBSTITUTE("dch"&amp;$B211&amp;$C211&amp;$D211&amp;$E211,".","_"),"(","_"),")","")</f>
        <v>dch802_10_1_1</v>
      </c>
      <c r="AQ211" t="str">
        <f>IF(LEN(W211)=0,"",W211)</f>
        <v/>
      </c>
      <c r="AR211" t="str">
        <f>SUBSTITUTE(SUBSTITUTE(SUBSTITUTE("dnt"&amp;$B211&amp;$C211&amp;$D211&amp;$E211,".","_"),"(","_"),")","")</f>
        <v>dnt802_10_1_1</v>
      </c>
      <c r="AS211" t="str">
        <f>IF(LEN(X211)=0,"",X211)</f>
        <v/>
      </c>
    </row>
    <row r="212" spans="2:45" ht="18.5" x14ac:dyDescent="0.45">
      <c r="B212" s="412">
        <v>803</v>
      </c>
      <c r="C212" s="13"/>
      <c r="D212" s="13"/>
      <c r="E212" s="13"/>
      <c r="F212" s="13"/>
      <c r="G212" s="13"/>
      <c r="H212" s="453"/>
      <c r="I212" s="10" t="s">
        <v>4386</v>
      </c>
      <c r="J212" s="10"/>
      <c r="K212" s="15"/>
      <c r="L212" s="151"/>
      <c r="M212" s="307"/>
      <c r="N212" s="311"/>
      <c r="O212" s="307"/>
      <c r="P212" s="15"/>
      <c r="Q212" s="15"/>
      <c r="R212" s="15"/>
      <c r="S212" s="15"/>
      <c r="T212" s="15"/>
      <c r="U212" s="15"/>
      <c r="V212" s="15"/>
      <c r="W212" s="15"/>
      <c r="X212" s="15"/>
    </row>
    <row r="213" spans="2:45" x14ac:dyDescent="0.35">
      <c r="B213" s="412">
        <v>803.1</v>
      </c>
      <c r="C213" s="13"/>
      <c r="D213" s="13"/>
      <c r="E213" s="13"/>
      <c r="F213" s="13"/>
      <c r="G213" s="13"/>
      <c r="H213" s="453"/>
      <c r="I213" s="30">
        <v>803.1</v>
      </c>
      <c r="J213" s="93"/>
      <c r="K213" s="4"/>
      <c r="L213" s="838" t="s">
        <v>4387</v>
      </c>
      <c r="M213" s="40"/>
      <c r="N213" s="4"/>
      <c r="O213" s="832">
        <f ca="1">MAX(IFERROR(5*MATCH(W217,INDIRECT(U217),0),0)*S217,M219*S219*W219)*S217</f>
        <v>0</v>
      </c>
      <c r="AN213" t="str">
        <f>SUBSTITUTE(SUBSTITUTE(SUBSTITUTE("dpc"&amp;$B213&amp;$C213&amp;$D213&amp;$E213,".","_"),"(","_"),")","")</f>
        <v>dpc803_1</v>
      </c>
      <c r="AO213">
        <f ca="1">O213</f>
        <v>0</v>
      </c>
    </row>
    <row r="214" spans="2:45" x14ac:dyDescent="0.35">
      <c r="B214" s="412">
        <v>803.1</v>
      </c>
      <c r="C214" s="13"/>
      <c r="D214" s="13"/>
      <c r="E214" s="13"/>
      <c r="F214" s="13"/>
      <c r="G214" s="13"/>
      <c r="H214" s="453"/>
      <c r="I214" s="30"/>
      <c r="J214" s="93"/>
      <c r="K214" s="4"/>
      <c r="L214" s="838"/>
      <c r="M214" s="40"/>
      <c r="N214" s="4"/>
      <c r="O214" s="832"/>
    </row>
    <row r="215" spans="2:45" x14ac:dyDescent="0.35">
      <c r="B215" s="412">
        <v>803.1</v>
      </c>
      <c r="C215" s="13"/>
      <c r="D215" s="13"/>
      <c r="E215" s="13"/>
      <c r="F215" s="13"/>
      <c r="G215" s="13"/>
      <c r="H215" s="453"/>
      <c r="I215" s="30"/>
      <c r="J215" s="93"/>
      <c r="K215" s="4"/>
      <c r="L215" s="92" t="s">
        <v>4474</v>
      </c>
      <c r="M215" s="40"/>
      <c r="N215" s="4"/>
      <c r="O215" s="832"/>
    </row>
    <row r="216" spans="2:45" x14ac:dyDescent="0.35">
      <c r="B216" s="412">
        <v>803.1</v>
      </c>
      <c r="C216" s="13"/>
      <c r="D216" s="13"/>
      <c r="E216" s="13"/>
      <c r="F216" s="13"/>
      <c r="G216" s="13"/>
      <c r="H216" s="453"/>
      <c r="I216" s="30"/>
      <c r="J216" s="93"/>
      <c r="K216" s="4"/>
      <c r="L216" s="92" t="s">
        <v>4475</v>
      </c>
      <c r="M216" s="40"/>
      <c r="N216" s="4"/>
      <c r="O216" s="75"/>
    </row>
    <row r="217" spans="2:45" x14ac:dyDescent="0.35">
      <c r="B217" s="412">
        <v>803.1</v>
      </c>
      <c r="C217" s="13" t="s">
        <v>256</v>
      </c>
      <c r="D217" s="13"/>
      <c r="E217" s="13"/>
      <c r="F217" s="13"/>
      <c r="G217" s="13"/>
      <c r="H217" s="453"/>
      <c r="I217" s="30"/>
      <c r="J217" s="38" t="s">
        <v>256</v>
      </c>
      <c r="K217" s="4"/>
      <c r="L217" s="90" t="s">
        <v>808</v>
      </c>
      <c r="M217" s="843" t="s">
        <v>3612</v>
      </c>
      <c r="N217" s="4"/>
      <c r="O217" s="75"/>
      <c r="P217" t="b">
        <v>1</v>
      </c>
      <c r="Q217" t="b">
        <v>1</v>
      </c>
      <c r="R217" t="b">
        <v>0</v>
      </c>
      <c r="S217" t="b">
        <f ca="1">AND(NOT(W233),S14=2)</f>
        <v>1</v>
      </c>
      <c r="T217" t="b">
        <f ca="1">IF(AND(NOT(S217),LEN(W217)&gt;0),TRUE,FALSE)</f>
        <v>0</v>
      </c>
      <c r="U217" t="str">
        <f>SUBSTITUTE(SUBSTITUTE(SUBSTITUTE("dd"&amp;B217&amp;C217&amp;D217&amp;E217&amp;F217,".","_"),"(","_"),")","")</f>
        <v>dd803_1_1</v>
      </c>
      <c r="W217" s="9"/>
      <c r="X217" s="817"/>
      <c r="AC217" t="b">
        <f ca="1">OR(AD217:AE217)</f>
        <v>0</v>
      </c>
      <c r="AD217" t="b">
        <f ca="1">T217</f>
        <v>0</v>
      </c>
      <c r="AL217" t="str">
        <f>SUBSTITUTE(SUBSTITUTE(SUBSTITUTE("dpa"&amp;$B217&amp;$C217&amp;$D217&amp;$E217,".","_"),"(","_"),")","")</f>
        <v>dpa803_1_1</v>
      </c>
      <c r="AM217" t="str">
        <f>M217</f>
        <v>5
20 Max</v>
      </c>
      <c r="AP217" t="str">
        <f>SUBSTITUTE(SUBSTITUTE(SUBSTITUTE("dch"&amp;$B217&amp;$C217&amp;$D217&amp;$E217,".","_"),"(","_"),")","")</f>
        <v>dch803_1_1</v>
      </c>
      <c r="AQ217" t="str">
        <f>IF(LEN(W217)=0,"",W217)</f>
        <v/>
      </c>
      <c r="AR217" t="str">
        <f>SUBSTITUTE(SUBSTITUTE(SUBSTITUTE("dnt"&amp;$B217&amp;$C217&amp;$D217&amp;$E217,".","_"),"(","_"),")","")</f>
        <v>dnt803_1_1</v>
      </c>
      <c r="AS217" t="str">
        <f>IF(LEN(X217)=0,"",X217)</f>
        <v/>
      </c>
    </row>
    <row r="218" spans="2:45" x14ac:dyDescent="0.35">
      <c r="B218" s="412">
        <v>803.1</v>
      </c>
      <c r="C218" s="13" t="s">
        <v>256</v>
      </c>
      <c r="D218" s="13"/>
      <c r="E218" s="13"/>
      <c r="F218" s="13"/>
      <c r="G218" s="13"/>
      <c r="H218" s="453"/>
      <c r="I218" s="30"/>
      <c r="J218" s="320"/>
      <c r="K218" s="133"/>
      <c r="L218" s="142" t="s">
        <v>809</v>
      </c>
      <c r="M218" s="819"/>
      <c r="N218" s="4"/>
      <c r="O218" s="75"/>
      <c r="X218" s="817"/>
    </row>
    <row r="219" spans="2:45" ht="15" thickBot="1" x14ac:dyDescent="0.4">
      <c r="B219" s="412">
        <v>803.1</v>
      </c>
      <c r="C219" s="13" t="s">
        <v>258</v>
      </c>
      <c r="D219" s="13"/>
      <c r="E219" s="13"/>
      <c r="F219" s="13"/>
      <c r="G219" s="13"/>
      <c r="H219" s="453"/>
      <c r="I219" s="114"/>
      <c r="J219" s="230" t="s">
        <v>258</v>
      </c>
      <c r="K219" s="160"/>
      <c r="L219" s="229" t="s">
        <v>810</v>
      </c>
      <c r="M219" s="270">
        <v>10</v>
      </c>
      <c r="N219" s="160"/>
      <c r="O219" s="161"/>
      <c r="P219" t="b">
        <v>1</v>
      </c>
      <c r="Q219" t="b">
        <v>1</v>
      </c>
      <c r="R219" s="55" t="b">
        <v>0</v>
      </c>
      <c r="S219" s="55" t="b">
        <f ca="1">AND(NOT(W233),S14=2)</f>
        <v>1</v>
      </c>
      <c r="T219" s="55" t="b">
        <f ca="1">IF(AND(NOT(S219),W219=TRUE),TRUE,FALSE)</f>
        <v>0</v>
      </c>
      <c r="U219" s="55"/>
      <c r="V219" s="55"/>
      <c r="W219" s="56"/>
      <c r="X219" s="98"/>
      <c r="AC219" t="b">
        <f ca="1">OR(AD219:AE219)</f>
        <v>0</v>
      </c>
      <c r="AD219" t="b">
        <f ca="1">T219</f>
        <v>0</v>
      </c>
      <c r="AL219" t="str">
        <f>SUBSTITUTE(SUBSTITUTE(SUBSTITUTE("dpa"&amp;$B219&amp;$C219&amp;$D219&amp;$E219,".","_"),"(","_"),")","")</f>
        <v>dpa803_1_2</v>
      </c>
      <c r="AM219">
        <f>M219</f>
        <v>10</v>
      </c>
      <c r="AP219" t="str">
        <f>SUBSTITUTE(SUBSTITUTE(SUBSTITUTE("dch"&amp;$B219&amp;$C219&amp;$D219&amp;$E219,".","_"),"(","_"),")","")</f>
        <v>dch803_1_2</v>
      </c>
      <c r="AQ219" t="str">
        <f>IF(LEN(W219)=0,"",W219)</f>
        <v/>
      </c>
      <c r="AR219" t="str">
        <f>SUBSTITUTE(SUBSTITUTE(SUBSTITUTE("dnt"&amp;$B219&amp;$C219&amp;$D219&amp;$E219,".","_"),"(","_"),")","")</f>
        <v>dnt803_1_2</v>
      </c>
      <c r="AS219" t="str">
        <f>IF(LEN(X219)=0,"",X219)</f>
        <v/>
      </c>
    </row>
    <row r="220" spans="2:45" ht="15" thickTop="1" x14ac:dyDescent="0.35">
      <c r="B220" s="412">
        <v>803.2</v>
      </c>
      <c r="C220" s="13"/>
      <c r="D220" s="13"/>
      <c r="E220" s="13"/>
      <c r="F220" s="13"/>
      <c r="G220" s="13"/>
      <c r="H220" s="453"/>
      <c r="I220" s="106">
        <v>803.2</v>
      </c>
      <c r="J220" s="507"/>
      <c r="K220" s="107"/>
      <c r="L220" s="837" t="s">
        <v>4388</v>
      </c>
      <c r="M220" s="892" t="s">
        <v>811</v>
      </c>
      <c r="N220" s="107"/>
      <c r="O220" s="831">
        <f>W221*3</f>
        <v>0</v>
      </c>
      <c r="P220" s="59"/>
      <c r="Q220" s="59"/>
      <c r="R220" s="59"/>
      <c r="S220" s="59"/>
      <c r="T220" s="59"/>
      <c r="U220" s="59"/>
      <c r="V220" s="59"/>
      <c r="W220" s="59" t="s">
        <v>3611</v>
      </c>
      <c r="X220" s="840"/>
      <c r="AL220" t="str">
        <f>SUBSTITUTE(SUBSTITUTE(SUBSTITUTE("dpa"&amp;$B220&amp;$C220&amp;$D220&amp;$E220,".","_"),"(","_"),")","")</f>
        <v>dpa803_2</v>
      </c>
      <c r="AM220" t="str">
        <f>M220</f>
        <v>3 per roughed in system</v>
      </c>
      <c r="AN220" t="str">
        <f>SUBSTITUTE(SUBSTITUTE(SUBSTITUTE("dpc"&amp;$B220&amp;$C220&amp;$D220&amp;$E220,".","_"),"(","_"),")","")</f>
        <v>dpc803_2</v>
      </c>
      <c r="AO220">
        <f>O220</f>
        <v>0</v>
      </c>
      <c r="AR220" t="str">
        <f>SUBSTITUTE(SUBSTITUTE(SUBSTITUTE("dnt"&amp;$B220&amp;$C220&amp;$D220&amp;$E220,".","_"),"(","_"),")","")</f>
        <v>dnt803_2</v>
      </c>
      <c r="AS220" t="str">
        <f>IF(LEN(X220)=0,"",X220)</f>
        <v/>
      </c>
    </row>
    <row r="221" spans="2:45" x14ac:dyDescent="0.35">
      <c r="B221" s="412">
        <v>803.2</v>
      </c>
      <c r="C221" s="13"/>
      <c r="D221" s="13"/>
      <c r="E221" s="13"/>
      <c r="F221" s="13"/>
      <c r="G221" s="13"/>
      <c r="H221" s="453"/>
      <c r="I221" s="30"/>
      <c r="J221" s="93"/>
      <c r="K221" s="4"/>
      <c r="L221" s="838"/>
      <c r="M221" s="843"/>
      <c r="N221" s="4"/>
      <c r="O221" s="832"/>
      <c r="P221" t="b">
        <v>1</v>
      </c>
      <c r="Q221" t="b">
        <v>1</v>
      </c>
      <c r="R221" t="b">
        <v>0</v>
      </c>
      <c r="S221" t="b">
        <f ca="1">S14=2</f>
        <v>1</v>
      </c>
      <c r="T221" t="b">
        <f ca="1">IF(AND(NOT(S221),LEN(W221)&gt;0),TRUE,FALSE)</f>
        <v>0</v>
      </c>
      <c r="W221" s="237"/>
      <c r="X221" s="817"/>
      <c r="AC221" t="b">
        <f ca="1">OR(AD221:AE221)</f>
        <v>0</v>
      </c>
      <c r="AD221" t="b">
        <f ca="1">T221</f>
        <v>0</v>
      </c>
      <c r="AP221" t="str">
        <f>SUBSTITUTE(SUBSTITUTE(SUBSTITUTE("dch"&amp;$B221&amp;$C221&amp;$D221&amp;$E221,".","_"),"(","_"),")","")</f>
        <v>dch803_2</v>
      </c>
      <c r="AQ221" t="str">
        <f>IF(LEN(W221)=0,"",W221)</f>
        <v/>
      </c>
    </row>
    <row r="222" spans="2:45" ht="15" thickBot="1" x14ac:dyDescent="0.4">
      <c r="B222" s="412">
        <v>803.2</v>
      </c>
      <c r="C222" s="13"/>
      <c r="D222" s="13"/>
      <c r="E222" s="13"/>
      <c r="F222" s="13"/>
      <c r="G222" s="13"/>
      <c r="H222" s="453"/>
      <c r="I222" s="114"/>
      <c r="J222" s="294"/>
      <c r="K222" s="160"/>
      <c r="L222" s="849"/>
      <c r="M222" s="945"/>
      <c r="N222" s="160"/>
      <c r="O222" s="833"/>
      <c r="P222" s="55"/>
      <c r="Q222" s="55"/>
      <c r="R222" s="55"/>
      <c r="S222" s="55"/>
      <c r="T222" s="55"/>
      <c r="U222" s="55"/>
      <c r="V222" s="55"/>
      <c r="W222" s="55"/>
      <c r="X222" s="829"/>
    </row>
    <row r="223" spans="2:45" ht="15.75" customHeight="1" thickTop="1" x14ac:dyDescent="0.35">
      <c r="B223" s="412">
        <v>803.3</v>
      </c>
      <c r="C223" s="13"/>
      <c r="D223" s="13"/>
      <c r="E223" s="13"/>
      <c r="F223" s="13"/>
      <c r="G223" s="13"/>
      <c r="H223" s="453"/>
      <c r="I223" s="30">
        <v>803.3</v>
      </c>
      <c r="J223" s="93"/>
      <c r="K223" s="4"/>
      <c r="L223" s="838" t="s">
        <v>4476</v>
      </c>
      <c r="M223" s="818">
        <v>2</v>
      </c>
      <c r="N223" s="4"/>
      <c r="O223" s="832">
        <f ca="1">2*(LEN(W223)&gt;0)*S223</f>
        <v>0</v>
      </c>
      <c r="P223" t="b">
        <v>0</v>
      </c>
      <c r="Q223" t="b">
        <v>1</v>
      </c>
      <c r="R223" t="b">
        <v>0</v>
      </c>
      <c r="S223" t="b">
        <f ca="1">S14=2</f>
        <v>1</v>
      </c>
      <c r="T223" t="b">
        <f ca="1">IF(AND(NOT(S223),LEN(W223)&gt;0),TRUE,FALSE)</f>
        <v>0</v>
      </c>
      <c r="U223" t="str">
        <f>SUBSTITUTE(SUBSTITUTE(SUBSTITUTE("dd"&amp;B223&amp;C223&amp;D223&amp;E223&amp;F223,".","_"),"(","_"),")","")</f>
        <v>dd803_3</v>
      </c>
      <c r="W223" s="9"/>
      <c r="X223" s="817"/>
      <c r="AC223" t="b">
        <f ca="1">OR(AD223:AE223)</f>
        <v>0</v>
      </c>
      <c r="AD223" t="b">
        <f ca="1">T223</f>
        <v>0</v>
      </c>
      <c r="AL223" t="str">
        <f>SUBSTITUTE(SUBSTITUTE(SUBSTITUTE("dpa"&amp;$B223&amp;$C223&amp;$D223&amp;$E223,".","_"),"(","_"),")","")</f>
        <v>dpa803_3</v>
      </c>
      <c r="AM223">
        <f>M223</f>
        <v>2</v>
      </c>
      <c r="AN223" t="str">
        <f>SUBSTITUTE(SUBSTITUTE(SUBSTITUTE("dpc"&amp;$B223&amp;$C223&amp;$D223&amp;$E223,".","_"),"(","_"),")","")</f>
        <v>dpc803_3</v>
      </c>
      <c r="AO223">
        <f ca="1">O223</f>
        <v>0</v>
      </c>
      <c r="AP223" t="str">
        <f>SUBSTITUTE(SUBSTITUTE(SUBSTITUTE("dch"&amp;$B223&amp;$C223&amp;$D223&amp;$E223,".","_"),"(","_"),")","")</f>
        <v>dch803_3</v>
      </c>
      <c r="AQ223" t="str">
        <f>IF(LEN(W223)=0,"",W223)</f>
        <v/>
      </c>
      <c r="AR223" t="str">
        <f>SUBSTITUTE(SUBSTITUTE(SUBSTITUTE("dnt"&amp;$B223&amp;$C223&amp;$D223&amp;$E223,".","_"),"(","_"),")","")</f>
        <v>dnt803_3</v>
      </c>
      <c r="AS223" t="str">
        <f>IF(LEN(X223)=0,"",X223)</f>
        <v/>
      </c>
    </row>
    <row r="224" spans="2:45" x14ac:dyDescent="0.35">
      <c r="B224" s="412">
        <v>803.3</v>
      </c>
      <c r="C224" s="13"/>
      <c r="D224" s="13"/>
      <c r="E224" s="13"/>
      <c r="F224" s="13"/>
      <c r="G224" s="13"/>
      <c r="H224" s="453"/>
      <c r="I224" s="30"/>
      <c r="J224" s="93"/>
      <c r="K224" s="4"/>
      <c r="L224" s="838"/>
      <c r="M224" s="818"/>
      <c r="N224" s="4"/>
      <c r="O224" s="832"/>
      <c r="X224" s="817"/>
    </row>
    <row r="225" spans="2:45" x14ac:dyDescent="0.35">
      <c r="B225" s="412">
        <v>803.3</v>
      </c>
      <c r="C225" s="13"/>
      <c r="D225" s="13"/>
      <c r="E225" s="13"/>
      <c r="F225" s="13"/>
      <c r="G225" s="13"/>
      <c r="H225" s="453"/>
      <c r="I225" s="30"/>
      <c r="J225" s="93"/>
      <c r="K225" s="4"/>
      <c r="L225" s="838"/>
      <c r="M225" s="818"/>
      <c r="N225" s="4"/>
      <c r="O225" s="832"/>
      <c r="X225" s="817"/>
    </row>
    <row r="226" spans="2:45" x14ac:dyDescent="0.35">
      <c r="B226" s="412">
        <v>803.3</v>
      </c>
      <c r="C226" s="13" t="s">
        <v>256</v>
      </c>
      <c r="D226" s="13"/>
      <c r="E226" s="13"/>
      <c r="F226" s="13"/>
      <c r="G226" s="13"/>
      <c r="H226" s="453"/>
      <c r="I226" s="30"/>
      <c r="J226" s="497" t="s">
        <v>256</v>
      </c>
      <c r="K226" s="133"/>
      <c r="L226" s="281" t="s">
        <v>4477</v>
      </c>
      <c r="M226" s="40"/>
      <c r="N226" s="4"/>
      <c r="O226" s="75"/>
      <c r="X226" s="817"/>
    </row>
    <row r="227" spans="2:45" ht="15" thickBot="1" x14ac:dyDescent="0.4">
      <c r="B227" s="412">
        <v>803.3</v>
      </c>
      <c r="C227" s="13" t="s">
        <v>258</v>
      </c>
      <c r="D227" s="13"/>
      <c r="E227" s="13"/>
      <c r="F227" s="13"/>
      <c r="G227" s="13"/>
      <c r="H227" s="453"/>
      <c r="I227" s="114"/>
      <c r="J227" s="230" t="s">
        <v>258</v>
      </c>
      <c r="K227" s="160"/>
      <c r="L227" s="266" t="s">
        <v>4478</v>
      </c>
      <c r="M227" s="270"/>
      <c r="N227" s="160"/>
      <c r="O227" s="161"/>
      <c r="P227" s="55"/>
      <c r="Q227" s="55"/>
      <c r="R227" s="55"/>
      <c r="S227" s="55"/>
      <c r="T227" s="55"/>
      <c r="U227" s="55"/>
      <c r="V227" s="55"/>
      <c r="X227" s="817"/>
    </row>
    <row r="228" spans="2:45" ht="15" thickTop="1" x14ac:dyDescent="0.35">
      <c r="B228" s="412">
        <v>803.4</v>
      </c>
      <c r="C228" s="13"/>
      <c r="D228" s="13"/>
      <c r="E228" s="13"/>
      <c r="F228" s="13"/>
      <c r="G228" s="13"/>
      <c r="H228" s="453"/>
      <c r="I228" s="106">
        <v>803.4</v>
      </c>
      <c r="J228" s="507"/>
      <c r="K228" s="107"/>
      <c r="L228" s="837" t="s">
        <v>4389</v>
      </c>
      <c r="M228" s="830">
        <v>20</v>
      </c>
      <c r="N228" s="107"/>
      <c r="O228" s="831">
        <f ca="1">M228*S228*W228</f>
        <v>0</v>
      </c>
      <c r="P228" t="b">
        <v>0</v>
      </c>
      <c r="Q228" t="b">
        <v>1</v>
      </c>
      <c r="R228" s="59" t="b">
        <v>0</v>
      </c>
      <c r="S228" s="59" t="b">
        <f ca="1">S14=2</f>
        <v>1</v>
      </c>
      <c r="T228" s="59" t="b">
        <f ca="1">IF(AND(NOT(S228),W228=TRUE),TRUE,FALSE)</f>
        <v>0</v>
      </c>
      <c r="U228" s="59"/>
      <c r="V228" s="59"/>
      <c r="W228" s="236"/>
      <c r="X228" s="840"/>
      <c r="AC228" t="b">
        <f ca="1">OR(AD228:AE228)</f>
        <v>0</v>
      </c>
      <c r="AD228" t="b">
        <f ca="1">T228</f>
        <v>0</v>
      </c>
      <c r="AL228" t="str">
        <f>SUBSTITUTE(SUBSTITUTE(SUBSTITUTE("dpa"&amp;$B228&amp;$C228&amp;$D228&amp;$E228,".","_"),"(","_"),")","")</f>
        <v>dpa803_4</v>
      </c>
      <c r="AM228">
        <f>M228</f>
        <v>20</v>
      </c>
      <c r="AN228" t="str">
        <f>SUBSTITUTE(SUBSTITUTE(SUBSTITUTE("dpc"&amp;$B228&amp;$C228&amp;$D228&amp;$E228,".","_"),"(","_"),")","")</f>
        <v>dpc803_4</v>
      </c>
      <c r="AO228">
        <f ca="1">O228</f>
        <v>0</v>
      </c>
      <c r="AP228" t="str">
        <f>SUBSTITUTE(SUBSTITUTE(SUBSTITUTE("dch"&amp;$B228&amp;$C228&amp;$D228&amp;$E228,".","_"),"(","_"),")","")</f>
        <v>dch803_4</v>
      </c>
      <c r="AQ228" t="str">
        <f>IF(LEN(W228)=0,"",W228)</f>
        <v/>
      </c>
      <c r="AR228" t="str">
        <f>SUBSTITUTE(SUBSTITUTE(SUBSTITUTE("dnt"&amp;$B228&amp;$C228&amp;$D228&amp;$E228,".","_"),"(","_"),")","")</f>
        <v>dnt803_4</v>
      </c>
      <c r="AS228" t="str">
        <f>IF(LEN(X228)=0,"",X228)</f>
        <v/>
      </c>
    </row>
    <row r="229" spans="2:45" x14ac:dyDescent="0.35">
      <c r="B229" s="412">
        <v>803.4</v>
      </c>
      <c r="C229" s="13"/>
      <c r="D229" s="13"/>
      <c r="E229" s="13"/>
      <c r="F229" s="13"/>
      <c r="G229" s="13"/>
      <c r="H229" s="453"/>
      <c r="I229" s="30"/>
      <c r="J229" s="93"/>
      <c r="K229" s="4"/>
      <c r="L229" s="838"/>
      <c r="M229" s="818"/>
      <c r="N229" s="4"/>
      <c r="O229" s="832"/>
      <c r="X229" s="817"/>
    </row>
    <row r="230" spans="2:45" ht="15" thickBot="1" x14ac:dyDescent="0.4">
      <c r="B230" s="412">
        <v>803.4</v>
      </c>
      <c r="C230" s="13"/>
      <c r="D230" s="13"/>
      <c r="E230" s="13"/>
      <c r="F230" s="13"/>
      <c r="G230" s="13"/>
      <c r="H230" s="453"/>
      <c r="I230" s="114"/>
      <c r="J230" s="294"/>
      <c r="K230" s="160"/>
      <c r="L230" s="849"/>
      <c r="M230" s="827"/>
      <c r="N230" s="160"/>
      <c r="O230" s="833"/>
      <c r="P230" s="55"/>
      <c r="Q230" s="55"/>
      <c r="R230" s="55"/>
      <c r="S230" s="55"/>
      <c r="T230" s="55"/>
      <c r="U230" s="55"/>
      <c r="V230" s="55"/>
      <c r="W230" s="55"/>
      <c r="X230" s="829"/>
    </row>
    <row r="231" spans="2:45" ht="15" thickTop="1" x14ac:dyDescent="0.35">
      <c r="B231" s="412" t="s">
        <v>4392</v>
      </c>
      <c r="C231" s="13"/>
      <c r="D231" s="13"/>
      <c r="E231" s="13"/>
      <c r="F231" s="13"/>
      <c r="G231" s="13"/>
      <c r="H231" s="453"/>
      <c r="I231" s="106">
        <v>803.5</v>
      </c>
      <c r="J231" s="507"/>
      <c r="K231" s="107"/>
      <c r="L231" s="946" t="s">
        <v>4390</v>
      </c>
      <c r="M231" s="830">
        <v>1</v>
      </c>
      <c r="N231" s="107"/>
      <c r="O231" s="831">
        <f ca="1">M231*S231*W231</f>
        <v>0</v>
      </c>
      <c r="P231" t="b">
        <v>0</v>
      </c>
      <c r="Q231" t="b">
        <v>1</v>
      </c>
      <c r="R231" s="59" t="b">
        <v>0</v>
      </c>
      <c r="S231" s="59" t="b">
        <f ca="1">S14=2</f>
        <v>1</v>
      </c>
      <c r="T231" s="59" t="b">
        <f ca="1">IF(AND(NOT(S231),W231=TRUE),TRUE,FALSE)</f>
        <v>0</v>
      </c>
      <c r="U231" s="59"/>
      <c r="V231" s="59"/>
      <c r="W231" s="236"/>
      <c r="X231" s="840"/>
      <c r="AC231" t="b">
        <f ca="1">OR(AD231:AE231)</f>
        <v>0</v>
      </c>
      <c r="AD231" t="b">
        <f ca="1">T231</f>
        <v>0</v>
      </c>
      <c r="AL231" t="str">
        <f>SUBSTITUTE(SUBSTITUTE(SUBSTITUTE("dpa"&amp;$B231&amp;$C231&amp;$D231&amp;$E231,".","_"),"(","_"),")","")</f>
        <v>dpa803_5</v>
      </c>
      <c r="AM231">
        <f>M231</f>
        <v>1</v>
      </c>
      <c r="AN231" t="str">
        <f>SUBSTITUTE(SUBSTITUTE(SUBSTITUTE("dpc"&amp;$B231&amp;$C231&amp;$D231&amp;$E231,".","_"),"(","_"),")","")</f>
        <v>dpc803_5</v>
      </c>
      <c r="AO231">
        <f ca="1">O231</f>
        <v>0</v>
      </c>
      <c r="AP231" t="str">
        <f>SUBSTITUTE(SUBSTITUTE(SUBSTITUTE("dch"&amp;$B231&amp;$C231&amp;$D231&amp;$E231,".","_"),"(","_"),")","")</f>
        <v>dch803_5</v>
      </c>
      <c r="AQ231" t="str">
        <f>IF(LEN(W231)=0,"",W231)</f>
        <v/>
      </c>
      <c r="AR231" t="str">
        <f>SUBSTITUTE(SUBSTITUTE(SUBSTITUTE("dnt"&amp;$B231&amp;$C231&amp;$D231&amp;$E231,".","_"),"(","_"),")","")</f>
        <v>dnt803_5</v>
      </c>
      <c r="AS231" t="str">
        <f>IF(LEN(X231)=0,"",X231)</f>
        <v/>
      </c>
    </row>
    <row r="232" spans="2:45" ht="15" thickBot="1" x14ac:dyDescent="0.4">
      <c r="B232" s="412" t="s">
        <v>4392</v>
      </c>
      <c r="C232" s="13"/>
      <c r="D232" s="13"/>
      <c r="E232" s="13"/>
      <c r="F232" s="13"/>
      <c r="G232" s="13"/>
      <c r="H232" s="453"/>
      <c r="I232" s="114"/>
      <c r="J232" s="294"/>
      <c r="K232" s="160"/>
      <c r="L232" s="947"/>
      <c r="M232" s="827"/>
      <c r="N232" s="160"/>
      <c r="O232" s="833"/>
      <c r="P232" s="55"/>
      <c r="Q232" s="55"/>
      <c r="R232" s="55"/>
      <c r="S232" s="55"/>
      <c r="T232" s="55"/>
      <c r="U232" s="55"/>
      <c r="V232" s="55"/>
      <c r="W232" s="55"/>
      <c r="X232" s="829"/>
    </row>
    <row r="233" spans="2:45" ht="15" thickTop="1" x14ac:dyDescent="0.35">
      <c r="B233" s="412" t="s">
        <v>4393</v>
      </c>
      <c r="C233" s="13"/>
      <c r="D233" s="13"/>
      <c r="E233" s="13"/>
      <c r="F233" s="13"/>
      <c r="G233" s="13"/>
      <c r="H233" s="453"/>
      <c r="I233" s="30">
        <v>803.6</v>
      </c>
      <c r="J233" s="93"/>
      <c r="K233" s="4"/>
      <c r="L233" s="838" t="s">
        <v>4391</v>
      </c>
      <c r="M233" s="818">
        <v>20</v>
      </c>
      <c r="N233" s="4"/>
      <c r="O233" s="832">
        <f ca="1">M233*S233*W233</f>
        <v>0</v>
      </c>
      <c r="P233" t="b">
        <v>0</v>
      </c>
      <c r="Q233" t="b">
        <v>1</v>
      </c>
      <c r="R233" t="b">
        <v>0</v>
      </c>
      <c r="S233" t="b">
        <f ca="1">AND(NOT(OR(LEN(W217)&gt;0,W219)),S14=2)</f>
        <v>1</v>
      </c>
      <c r="T233" t="b">
        <f ca="1">IF(AND(NOT(S233),W233=TRUE),TRUE,FALSE)</f>
        <v>0</v>
      </c>
      <c r="W233" s="69"/>
      <c r="X233" s="816"/>
      <c r="AC233" t="b">
        <f ca="1">OR(AD233:AE233)</f>
        <v>0</v>
      </c>
      <c r="AD233" t="b">
        <f ca="1">T233</f>
        <v>0</v>
      </c>
      <c r="AL233" t="str">
        <f>SUBSTITUTE(SUBSTITUTE(SUBSTITUTE("dpa"&amp;$B233&amp;$C233&amp;$D233&amp;$E233,".","_"),"(","_"),")","")</f>
        <v>dpa803_6</v>
      </c>
      <c r="AM233">
        <f>M233</f>
        <v>20</v>
      </c>
      <c r="AN233" t="str">
        <f>SUBSTITUTE(SUBSTITUTE(SUBSTITUTE("dpc"&amp;$B233&amp;$C233&amp;$D233&amp;$E233,".","_"),"(","_"),")","")</f>
        <v>dpc803_6</v>
      </c>
      <c r="AO233">
        <f ca="1">O233</f>
        <v>0</v>
      </c>
      <c r="AP233" t="str">
        <f>SUBSTITUTE(SUBSTITUTE(SUBSTITUTE("dch"&amp;$B233&amp;$C233&amp;$D233&amp;$E233,".","_"),"(","_"),")","")</f>
        <v>dch803_6</v>
      </c>
      <c r="AQ233" t="str">
        <f>IF(LEN(W233)=0,"",W233)</f>
        <v/>
      </c>
      <c r="AR233" t="str">
        <f>SUBSTITUTE(SUBSTITUTE(SUBSTITUTE("dnt"&amp;$B233&amp;$C233&amp;$D233&amp;$E233,".","_"),"(","_"),")","")</f>
        <v>dnt803_6</v>
      </c>
      <c r="AS233" t="str">
        <f>IF(LEN(X233)=0,"",X233)</f>
        <v/>
      </c>
    </row>
    <row r="234" spans="2:45" x14ac:dyDescent="0.35">
      <c r="B234" s="412" t="s">
        <v>4393</v>
      </c>
      <c r="C234" s="13"/>
      <c r="D234" s="13"/>
      <c r="E234" s="13"/>
      <c r="F234" s="13"/>
      <c r="G234" s="13"/>
      <c r="H234" s="453"/>
      <c r="I234" s="30"/>
      <c r="J234" s="93"/>
      <c r="K234" s="4"/>
      <c r="L234" s="838"/>
      <c r="M234" s="818"/>
      <c r="N234" s="4"/>
      <c r="O234" s="832"/>
      <c r="X234" s="817"/>
    </row>
    <row r="235" spans="2:45" x14ac:dyDescent="0.35">
      <c r="B235" s="412" t="s">
        <v>4393</v>
      </c>
      <c r="C235" s="13"/>
      <c r="D235" s="13"/>
      <c r="E235" s="13"/>
      <c r="F235" s="13"/>
      <c r="G235" s="13"/>
      <c r="H235" s="453"/>
      <c r="I235" s="30"/>
      <c r="J235" s="93"/>
      <c r="K235" s="4"/>
      <c r="L235" s="92" t="s">
        <v>4475</v>
      </c>
      <c r="M235" s="818"/>
      <c r="N235" s="4"/>
      <c r="O235" s="832"/>
      <c r="X235" s="817"/>
    </row>
    <row r="236" spans="2:45" customFormat="1" ht="18.5" x14ac:dyDescent="0.45">
      <c r="B236" s="496">
        <v>804</v>
      </c>
      <c r="I236" s="10" t="s">
        <v>4483</v>
      </c>
      <c r="J236" s="516"/>
      <c r="K236" s="516"/>
      <c r="L236" s="150"/>
      <c r="M236" s="15"/>
      <c r="N236" s="15"/>
      <c r="O236" s="15"/>
      <c r="P236" s="15"/>
      <c r="Q236" s="15"/>
      <c r="R236" s="15"/>
      <c r="S236" s="15"/>
      <c r="T236" s="15"/>
      <c r="U236" s="15"/>
      <c r="V236" s="15"/>
      <c r="W236" s="15"/>
      <c r="X236" s="15"/>
    </row>
    <row r="237" spans="2:45" customFormat="1" x14ac:dyDescent="0.35">
      <c r="B237" s="496">
        <v>804.1</v>
      </c>
      <c r="I237" s="500">
        <v>804.1</v>
      </c>
      <c r="J237" s="467"/>
      <c r="K237" s="467"/>
      <c r="L237" s="838" t="s">
        <v>5586</v>
      </c>
      <c r="M237" s="956" t="str">
        <f>IFERROR(IF(W239&gt;0,INDEX(R240:R243,MATCH(W239,S240:S243,-1)),"None"),"None")</f>
        <v>None</v>
      </c>
    </row>
    <row r="238" spans="2:45" customFormat="1" x14ac:dyDescent="0.35">
      <c r="B238" s="496">
        <v>804.1</v>
      </c>
      <c r="I238" s="504"/>
      <c r="J238" s="472"/>
      <c r="K238" s="472"/>
      <c r="L238" s="889"/>
      <c r="M238" s="938"/>
      <c r="W238" t="s">
        <v>4484</v>
      </c>
    </row>
    <row r="239" spans="2:45" customFormat="1" x14ac:dyDescent="0.35">
      <c r="B239" s="496">
        <v>804.2</v>
      </c>
      <c r="I239" s="526">
        <v>804.2</v>
      </c>
      <c r="J239" s="471"/>
      <c r="K239" s="471"/>
      <c r="L239" s="905" t="s">
        <v>4479</v>
      </c>
      <c r="M239" s="938"/>
      <c r="P239" t="b">
        <v>0</v>
      </c>
      <c r="Q239" t="b">
        <v>1</v>
      </c>
      <c r="R239" t="b">
        <f ca="1">S239</f>
        <v>0</v>
      </c>
      <c r="S239" t="b">
        <f ca="1">S14=1</f>
        <v>0</v>
      </c>
      <c r="T239" t="b">
        <f ca="1">AND(LEN(W239)&gt;0,NOT(S239))</f>
        <v>0</v>
      </c>
      <c r="W239" s="314"/>
      <c r="X239" s="817"/>
      <c r="AC239" t="b">
        <f ca="1">OR(AD239:AE239)</f>
        <v>0</v>
      </c>
      <c r="AD239" t="b">
        <f ca="1">T239</f>
        <v>0</v>
      </c>
      <c r="AP239" t="str">
        <f>SUBSTITUTE(SUBSTITUTE(SUBSTITUTE("dch"&amp;$B239&amp;$C239&amp;$D239&amp;$E239,".","_"),"(","_"),")","")</f>
        <v>dch804_2</v>
      </c>
      <c r="AQ239" t="str">
        <f>IF(LEN(W239)=0,"",W239)</f>
        <v/>
      </c>
      <c r="AR239" t="str">
        <f>SUBSTITUTE(SUBSTITUTE(SUBSTITUTE("dnt"&amp;$B239&amp;$C239&amp;$D239&amp;$E239,".","_"),"(","_"),")","")</f>
        <v>dnt804_2</v>
      </c>
      <c r="AS239" t="str">
        <f>IF(LEN(X239)=0,"",X239)</f>
        <v/>
      </c>
    </row>
    <row r="240" spans="2:45" customFormat="1" x14ac:dyDescent="0.35">
      <c r="B240" s="496">
        <v>804.2</v>
      </c>
      <c r="I240" s="504"/>
      <c r="J240" s="472"/>
      <c r="K240" s="472"/>
      <c r="L240" s="889"/>
      <c r="M240" s="938"/>
      <c r="R240" s="1" t="s">
        <v>292</v>
      </c>
      <c r="S240" s="1">
        <v>70</v>
      </c>
      <c r="X240" s="817"/>
    </row>
    <row r="241" spans="2:41" customFormat="1" x14ac:dyDescent="0.35">
      <c r="B241" s="496">
        <v>804.3</v>
      </c>
      <c r="I241" s="500">
        <v>804.3</v>
      </c>
      <c r="J241" s="467"/>
      <c r="K241" s="467"/>
      <c r="L241" s="838" t="s">
        <v>4480</v>
      </c>
      <c r="M241" s="489"/>
      <c r="O241" s="834">
        <f ca="1">ROUND(IF(LEN(W239)=0,0,(W239*-2.29)+181.7),0)*S239</f>
        <v>0</v>
      </c>
      <c r="R241" s="1" t="s">
        <v>293</v>
      </c>
      <c r="S241" s="1">
        <v>60</v>
      </c>
      <c r="AN241" t="str">
        <f>SUBSTITUTE(SUBSTITUTE(SUBSTITUTE("dpc"&amp;$B241&amp;$C241&amp;$D241&amp;$E241,".","_"),"(","_"),")","")</f>
        <v>dpc804_3</v>
      </c>
      <c r="AO241">
        <f ca="1">O241</f>
        <v>0</v>
      </c>
    </row>
    <row r="242" spans="2:41" customFormat="1" x14ac:dyDescent="0.35">
      <c r="B242" s="496">
        <v>804.3</v>
      </c>
      <c r="I242" s="496"/>
      <c r="J242" s="467"/>
      <c r="K242" s="467"/>
      <c r="L242" s="838"/>
      <c r="M242" s="489"/>
      <c r="O242" s="834"/>
      <c r="R242" s="1" t="s">
        <v>294</v>
      </c>
      <c r="S242" s="1">
        <v>50</v>
      </c>
    </row>
    <row r="243" spans="2:41" customFormat="1" x14ac:dyDescent="0.35">
      <c r="B243" s="496">
        <v>804.3</v>
      </c>
      <c r="I243" s="496"/>
      <c r="J243" s="467"/>
      <c r="K243" s="467"/>
      <c r="L243" s="838"/>
      <c r="M243" s="489"/>
      <c r="O243" s="834"/>
      <c r="R243" s="1" t="s">
        <v>290</v>
      </c>
      <c r="S243" s="1">
        <v>40</v>
      </c>
    </row>
    <row r="244" spans="2:41" customFormat="1" x14ac:dyDescent="0.35">
      <c r="B244" s="496">
        <v>804.3</v>
      </c>
      <c r="I244" s="496"/>
      <c r="J244" s="467"/>
      <c r="K244" s="467"/>
      <c r="L244" s="159" t="s">
        <v>4481</v>
      </c>
      <c r="M244" s="489"/>
      <c r="O244" s="834"/>
    </row>
    <row r="245" spans="2:41" customFormat="1" ht="15" thickBot="1" x14ac:dyDescent="0.4">
      <c r="B245" s="496">
        <v>804.3</v>
      </c>
      <c r="I245" s="496"/>
      <c r="J245" s="467"/>
      <c r="K245" s="467"/>
      <c r="L245" s="159" t="s">
        <v>4482</v>
      </c>
      <c r="M245" s="464"/>
      <c r="O245" s="863"/>
    </row>
    <row r="246" spans="2:41" ht="15.5" thickTop="1" thickBot="1" x14ac:dyDescent="0.4">
      <c r="I246" s="123" t="s">
        <v>3615</v>
      </c>
      <c r="J246" s="508"/>
      <c r="K246" s="124"/>
      <c r="L246" s="124"/>
      <c r="M246" s="125"/>
      <c r="N246" s="124"/>
      <c r="O246" s="126"/>
      <c r="P246" s="124"/>
      <c r="Q246" s="124"/>
      <c r="R246" s="124"/>
      <c r="S246" s="124"/>
      <c r="T246" s="124"/>
      <c r="U246" s="124"/>
      <c r="V246" s="124"/>
      <c r="W246" s="124"/>
      <c r="X246" s="169" t="s">
        <v>3616</v>
      </c>
    </row>
    <row r="247" spans="2:41" ht="15" thickTop="1" x14ac:dyDescent="0.35"/>
  </sheetData>
  <sheetProtection algorithmName="SHA-512" hashValue="Cv2imO5eT7b+NNvbkThSWnN3ZZCljanazNS7yWQXzp7YEBjubRvBUM7t1oJcRScPlpG4+H+1f1F5Ud1xZwg/nw==" saltValue="x/fvgfQfoNu6u1S+hsVhJQ==" spinCount="100000" sheet="1" objects="1" scenarios="1" selectLockedCells="1" autoFilter="0"/>
  <mergeCells count="201">
    <mergeCell ref="M237:M240"/>
    <mergeCell ref="O241:O245"/>
    <mergeCell ref="X223:X227"/>
    <mergeCell ref="H1:H7"/>
    <mergeCell ref="X231:X232"/>
    <mergeCell ref="X233:X235"/>
    <mergeCell ref="X56:X61"/>
    <mergeCell ref="X189:X190"/>
    <mergeCell ref="X192:X193"/>
    <mergeCell ref="X217:X218"/>
    <mergeCell ref="X220:X222"/>
    <mergeCell ref="X228:X230"/>
    <mergeCell ref="X143:X144"/>
    <mergeCell ref="X158:X161"/>
    <mergeCell ref="X164:X165"/>
    <mergeCell ref="X175:X185"/>
    <mergeCell ref="X124:X130"/>
    <mergeCell ref="X134:X137"/>
    <mergeCell ref="X138:X139"/>
    <mergeCell ref="X145:X147"/>
    <mergeCell ref="X151:X152"/>
    <mergeCell ref="X92:X96"/>
    <mergeCell ref="X97:X98"/>
    <mergeCell ref="X117:X119"/>
    <mergeCell ref="M233:M235"/>
    <mergeCell ref="M231:M232"/>
    <mergeCell ref="M228:M230"/>
    <mergeCell ref="M140:M141"/>
    <mergeCell ref="O140:O141"/>
    <mergeCell ref="M158:M159"/>
    <mergeCell ref="M156:M157"/>
    <mergeCell ref="O145:O147"/>
    <mergeCell ref="O158:O159"/>
    <mergeCell ref="O151:O152"/>
    <mergeCell ref="M151:M152"/>
    <mergeCell ref="M143:M144"/>
    <mergeCell ref="M145:M147"/>
    <mergeCell ref="O213:O215"/>
    <mergeCell ref="M181:M182"/>
    <mergeCell ref="M183:M185"/>
    <mergeCell ref="M189:M190"/>
    <mergeCell ref="O186:O188"/>
    <mergeCell ref="M192:M193"/>
    <mergeCell ref="O192:O193"/>
    <mergeCell ref="O231:O232"/>
    <mergeCell ref="M208:M210"/>
    <mergeCell ref="O228:O230"/>
    <mergeCell ref="I1:L1"/>
    <mergeCell ref="M1:W5"/>
    <mergeCell ref="I2:L2"/>
    <mergeCell ref="I3:L3"/>
    <mergeCell ref="I4:L4"/>
    <mergeCell ref="I5:L5"/>
    <mergeCell ref="V6:V7"/>
    <mergeCell ref="W6:W7"/>
    <mergeCell ref="U6:U7"/>
    <mergeCell ref="I6:K7"/>
    <mergeCell ref="L6:L7"/>
    <mergeCell ref="M6:M7"/>
    <mergeCell ref="N6:N7"/>
    <mergeCell ref="P6:P7"/>
    <mergeCell ref="M89:M91"/>
    <mergeCell ref="L80:L88"/>
    <mergeCell ref="M82:M88"/>
    <mergeCell ref="L89:L91"/>
    <mergeCell ref="L60:L61"/>
    <mergeCell ref="X80:X91"/>
    <mergeCell ref="L75:L78"/>
    <mergeCell ref="O80:O88"/>
    <mergeCell ref="L66:L69"/>
    <mergeCell ref="L73:L74"/>
    <mergeCell ref="L71:L72"/>
    <mergeCell ref="X4:X5"/>
    <mergeCell ref="Q6:Q7"/>
    <mergeCell ref="X6:X7"/>
    <mergeCell ref="R6:R7"/>
    <mergeCell ref="S6:S7"/>
    <mergeCell ref="T6:T7"/>
    <mergeCell ref="X34:X44"/>
    <mergeCell ref="X45:X49"/>
    <mergeCell ref="X50:X52"/>
    <mergeCell ref="L10:L12"/>
    <mergeCell ref="L13:L18"/>
    <mergeCell ref="X13:X18"/>
    <mergeCell ref="L64:L65"/>
    <mergeCell ref="L20:L24"/>
    <mergeCell ref="L25:L27"/>
    <mergeCell ref="L34:L35"/>
    <mergeCell ref="L36:L37"/>
    <mergeCell ref="L28:L30"/>
    <mergeCell ref="O20:O24"/>
    <mergeCell ref="M34:M35"/>
    <mergeCell ref="M36:M37"/>
    <mergeCell ref="M38:M39"/>
    <mergeCell ref="M40:M42"/>
    <mergeCell ref="O50:O52"/>
    <mergeCell ref="O56:O57"/>
    <mergeCell ref="X64:X65"/>
    <mergeCell ref="L38:L39"/>
    <mergeCell ref="L40:L42"/>
    <mergeCell ref="L43:L44"/>
    <mergeCell ref="L50:L52"/>
    <mergeCell ref="L45:L49"/>
    <mergeCell ref="L53:L54"/>
    <mergeCell ref="L58:L59"/>
    <mergeCell ref="O92:O94"/>
    <mergeCell ref="M75:M78"/>
    <mergeCell ref="O75:O78"/>
    <mergeCell ref="M43:M44"/>
    <mergeCell ref="M45:M49"/>
    <mergeCell ref="M50:M52"/>
    <mergeCell ref="M80:M81"/>
    <mergeCell ref="M138:M139"/>
    <mergeCell ref="X66:X69"/>
    <mergeCell ref="X73:X74"/>
    <mergeCell ref="X75:X78"/>
    <mergeCell ref="M64:M65"/>
    <mergeCell ref="O64:O65"/>
    <mergeCell ref="M66:M69"/>
    <mergeCell ref="O66:O69"/>
    <mergeCell ref="M73:M74"/>
    <mergeCell ref="O73:O74"/>
    <mergeCell ref="M71:M72"/>
    <mergeCell ref="O117:O119"/>
    <mergeCell ref="M117:M119"/>
    <mergeCell ref="M109:M110"/>
    <mergeCell ref="M134:M137"/>
    <mergeCell ref="O134:O137"/>
    <mergeCell ref="O138:O139"/>
    <mergeCell ref="M103:M106"/>
    <mergeCell ref="O97:O98"/>
    <mergeCell ref="M97:M98"/>
    <mergeCell ref="L92:L94"/>
    <mergeCell ref="O223:O225"/>
    <mergeCell ref="L112:L114"/>
    <mergeCell ref="O112:O114"/>
    <mergeCell ref="X112:X116"/>
    <mergeCell ref="L109:L110"/>
    <mergeCell ref="O100:O102"/>
    <mergeCell ref="X100:X111"/>
    <mergeCell ref="L140:L141"/>
    <mergeCell ref="X140:X141"/>
    <mergeCell ref="L162:L163"/>
    <mergeCell ref="L100:L102"/>
    <mergeCell ref="L104:L106"/>
    <mergeCell ref="L117:L118"/>
    <mergeCell ref="L124:L127"/>
    <mergeCell ref="L120:L121"/>
    <mergeCell ref="L122:L123"/>
    <mergeCell ref="L128:L130"/>
    <mergeCell ref="L132:L133"/>
    <mergeCell ref="L135:L137"/>
    <mergeCell ref="L138:L139"/>
    <mergeCell ref="L241:L243"/>
    <mergeCell ref="O156:O157"/>
    <mergeCell ref="X166:X167"/>
    <mergeCell ref="X169:X170"/>
    <mergeCell ref="X171:X172"/>
    <mergeCell ref="L195:L200"/>
    <mergeCell ref="L203:L204"/>
    <mergeCell ref="L208:L210"/>
    <mergeCell ref="O195:O199"/>
    <mergeCell ref="X195:X202"/>
    <mergeCell ref="X203:X206"/>
    <mergeCell ref="O203:O204"/>
    <mergeCell ref="L166:L167"/>
    <mergeCell ref="L169:L170"/>
    <mergeCell ref="L171:L172"/>
    <mergeCell ref="M223:M225"/>
    <mergeCell ref="M217:M218"/>
    <mergeCell ref="L231:L232"/>
    <mergeCell ref="L233:L234"/>
    <mergeCell ref="L192:L193"/>
    <mergeCell ref="L213:L214"/>
    <mergeCell ref="L220:L222"/>
    <mergeCell ref="L223:L225"/>
    <mergeCell ref="L156:L157"/>
    <mergeCell ref="M122:M123"/>
    <mergeCell ref="M124:M127"/>
    <mergeCell ref="O124:O127"/>
    <mergeCell ref="X239:X240"/>
    <mergeCell ref="X208:X210"/>
    <mergeCell ref="L237:L238"/>
    <mergeCell ref="L239:L240"/>
    <mergeCell ref="L151:L152"/>
    <mergeCell ref="L143:L144"/>
    <mergeCell ref="L158:L159"/>
    <mergeCell ref="L186:L188"/>
    <mergeCell ref="L173:L174"/>
    <mergeCell ref="L164:L165"/>
    <mergeCell ref="L177:L178"/>
    <mergeCell ref="L181:L182"/>
    <mergeCell ref="L183:L185"/>
    <mergeCell ref="L153:L154"/>
    <mergeCell ref="L160:L161"/>
    <mergeCell ref="L228:L230"/>
    <mergeCell ref="L145:L147"/>
    <mergeCell ref="X122:X123"/>
    <mergeCell ref="O233:O235"/>
    <mergeCell ref="O220:O222"/>
    <mergeCell ref="M220:M222"/>
  </mergeCells>
  <conditionalFormatting sqref="I1">
    <cfRule type="expression" dxfId="4073" priority="99">
      <formula>$AG$1="Gold"</formula>
    </cfRule>
    <cfRule type="expression" dxfId="4072" priority="100">
      <formula>$AG$1="Silver"</formula>
    </cfRule>
    <cfRule type="expression" dxfId="4071" priority="101">
      <formula>$AG$1="Bronze"</formula>
    </cfRule>
    <cfRule type="expression" dxfId="4070" priority="102">
      <formula>$AG$1="Emerald"</formula>
    </cfRule>
  </conditionalFormatting>
  <conditionalFormatting sqref="M71:M72">
    <cfRule type="expression" dxfId="4069" priority="17">
      <formula>R70</formula>
    </cfRule>
  </conditionalFormatting>
  <conditionalFormatting sqref="M122:M123">
    <cfRule type="expression" dxfId="4068" priority="195">
      <formula>NOT(O131&gt;0)</formula>
    </cfRule>
  </conditionalFormatting>
  <conditionalFormatting sqref="M237">
    <cfRule type="expression" dxfId="4067" priority="7">
      <formula>M237="Bronze"</formula>
    </cfRule>
    <cfRule type="expression" dxfId="4066" priority="5">
      <formula>M237="Gold"</formula>
    </cfRule>
    <cfRule type="expression" dxfId="4065" priority="6">
      <formula>M237="Silver"</formula>
    </cfRule>
    <cfRule type="expression" dxfId="4064" priority="8">
      <formula>M237="Emerald"</formula>
    </cfRule>
  </conditionalFormatting>
  <conditionalFormatting sqref="W13">
    <cfRule type="expression" dxfId="4063" priority="92">
      <formula>AND($W$13&lt;&gt;"Not Met",LEN(TRIM($W$13))&gt;0)</formula>
    </cfRule>
    <cfRule type="expression" dxfId="4062" priority="93">
      <formula>AND($R$13,$S$13)</formula>
    </cfRule>
    <cfRule type="expression" dxfId="4061" priority="91">
      <formula>$S$13 = FALSE</formula>
    </cfRule>
    <cfRule type="expression" dxfId="4060" priority="90">
      <formula>OR($T$13 = TRUE, AND(LEN(TRIM($W$13))&gt;0, $S$13 = FALSE))</formula>
    </cfRule>
  </conditionalFormatting>
  <conditionalFormatting sqref="W21">
    <cfRule type="expression" dxfId="4059" priority="232">
      <formula>OR($T$21 = TRUE, AND(LEN(TRIM($W$21))&gt;0, $S$21 = FALSE))</formula>
    </cfRule>
    <cfRule type="expression" dxfId="4058" priority="235">
      <formula>AND($R$21,$S$21)</formula>
    </cfRule>
    <cfRule type="expression" dxfId="4057" priority="234">
      <formula>AND($W$21&lt;&gt;"Not Met",LEN(TRIM($W$21))&gt;0)</formula>
    </cfRule>
    <cfRule type="expression" dxfId="4056" priority="233">
      <formula>$S$21 = FALSE</formula>
    </cfRule>
  </conditionalFormatting>
  <conditionalFormatting sqref="W50">
    <cfRule type="expression" dxfId="4055" priority="231">
      <formula>AND($R$50,$S$50)</formula>
    </cfRule>
    <cfRule type="expression" dxfId="4054" priority="230">
      <formula>AND(IF($R$50,$W$50,TRUE),LEN(TRIM($W$50))&gt;0)</formula>
    </cfRule>
    <cfRule type="expression" dxfId="4053" priority="229">
      <formula>$S$50 = FALSE</formula>
    </cfRule>
    <cfRule type="expression" dxfId="4052" priority="228">
      <formula>OR($T$50 = TRUE, AND($W$50 = TRUE, $S$50 = FALSE))</formula>
    </cfRule>
  </conditionalFormatting>
  <conditionalFormatting sqref="W55">
    <cfRule type="expression" dxfId="4051" priority="243">
      <formula>AND($R$55,$S$55)</formula>
    </cfRule>
    <cfRule type="expression" dxfId="4050" priority="240">
      <formula>OR($T$55 = TRUE, AND($W$55 = TRUE, $S$55 = FALSE))</formula>
    </cfRule>
    <cfRule type="expression" dxfId="4049" priority="241">
      <formula>$S$55 = FALSE</formula>
    </cfRule>
    <cfRule type="expression" dxfId="4048" priority="242">
      <formula>AND(IF($R$55,$W$55,TRUE),LEN(TRIM($W$55))&gt;0)</formula>
    </cfRule>
  </conditionalFormatting>
  <conditionalFormatting sqref="W56">
    <cfRule type="expression" dxfId="4047" priority="227">
      <formula>AND($R$56,$S$56)</formula>
    </cfRule>
    <cfRule type="expression" dxfId="4046" priority="226">
      <formula>AND($W$56&lt;&gt;"Not Met",LEN(TRIM($W$56))&gt;0)</formula>
    </cfRule>
    <cfRule type="expression" dxfId="4045" priority="224">
      <formula>OR($T$56 = TRUE, AND(LEN(TRIM($W$56))&gt;0, $S$56 = FALSE))</formula>
    </cfRule>
    <cfRule type="expression" dxfId="4044" priority="225">
      <formula>$S$56 = FALSE</formula>
    </cfRule>
  </conditionalFormatting>
  <conditionalFormatting sqref="W64">
    <cfRule type="expression" dxfId="4043" priority="86">
      <formula>OR(T64 = TRUE, AND(W64 &gt; 0, S64 = FALSE))</formula>
    </cfRule>
    <cfRule type="expression" dxfId="4042" priority="89">
      <formula>AND(R64,S64)</formula>
    </cfRule>
    <cfRule type="expression" dxfId="4041" priority="88">
      <formula>AND(R64,LEN(TRIM(W64))&gt;0)</formula>
    </cfRule>
    <cfRule type="expression" dxfId="4040" priority="87">
      <formula>S64 = FALSE</formula>
    </cfRule>
  </conditionalFormatting>
  <conditionalFormatting sqref="W66">
    <cfRule type="expression" dxfId="4039" priority="83">
      <formula>S66 = FALSE</formula>
    </cfRule>
    <cfRule type="expression" dxfId="4038" priority="84">
      <formula>AND(R66,LEN(TRIM(W66))&gt;0)</formula>
    </cfRule>
    <cfRule type="expression" dxfId="4037" priority="85">
      <formula>AND(R66,S66)</formula>
    </cfRule>
    <cfRule type="expression" dxfId="4036" priority="82">
      <formula>OR(T66 = TRUE, AND(W66 &gt; 0, S66 = FALSE))</formula>
    </cfRule>
  </conditionalFormatting>
  <conditionalFormatting sqref="W73">
    <cfRule type="expression" dxfId="4035" priority="79">
      <formula>S73 = FALSE</formula>
    </cfRule>
    <cfRule type="expression" dxfId="4034" priority="78">
      <formula>OR(T73 = TRUE, AND(W73 &gt; 0, S73 = FALSE))</formula>
    </cfRule>
    <cfRule type="expression" dxfId="4033" priority="81">
      <formula>AND(R73,S73)</formula>
    </cfRule>
    <cfRule type="expression" dxfId="4032" priority="80">
      <formula>AND(R73,LEN(TRIM(W73))&gt;0)</formula>
    </cfRule>
  </conditionalFormatting>
  <conditionalFormatting sqref="W75">
    <cfRule type="expression" dxfId="4031" priority="74">
      <formula>OR(T75 = TRUE, AND(W75 &gt; 0, S75 = FALSE))</formula>
    </cfRule>
    <cfRule type="expression" dxfId="4030" priority="75">
      <formula>S75 = FALSE</formula>
    </cfRule>
    <cfRule type="expression" dxfId="4029" priority="77">
      <formula>AND(R75,S75)</formula>
    </cfRule>
    <cfRule type="expression" dxfId="4028" priority="76">
      <formula>AND(R75,LEN(TRIM(W75))&gt;0)</formula>
    </cfRule>
  </conditionalFormatting>
  <conditionalFormatting sqref="W80">
    <cfRule type="expression" dxfId="4027" priority="222">
      <formula>AND($W$80&lt;&gt;"Not Met",LEN(TRIM($W$80))&gt;0)</formula>
    </cfRule>
    <cfRule type="expression" dxfId="4026" priority="220">
      <formula>OR($T$80 = TRUE, AND(LEN(TRIM($W$80))&gt;0, $S$80 = FALSE))</formula>
    </cfRule>
    <cfRule type="expression" dxfId="4025" priority="221">
      <formula>$S$80 = FALSE</formula>
    </cfRule>
    <cfRule type="expression" dxfId="4024" priority="223">
      <formula>AND($R$80,$S$80)</formula>
    </cfRule>
  </conditionalFormatting>
  <conditionalFormatting sqref="W92">
    <cfRule type="expression" dxfId="4023" priority="216">
      <formula>OR($T$92 = TRUE, AND(LEN(TRIM($W$92))&gt;0, $S$92 = FALSE))</formula>
    </cfRule>
    <cfRule type="expression" dxfId="4022" priority="218">
      <formula>AND($W$92&lt;&gt;"Not Met",LEN(TRIM($W$92))&gt;0)</formula>
    </cfRule>
    <cfRule type="expression" dxfId="4021" priority="219">
      <formula>AND($R$92,$S$92)</formula>
    </cfRule>
    <cfRule type="expression" dxfId="4020" priority="217">
      <formula>$S$92 = FALSE</formula>
    </cfRule>
  </conditionalFormatting>
  <conditionalFormatting sqref="W97">
    <cfRule type="expression" dxfId="4019" priority="212">
      <formula>OR($T$97 = TRUE, AND(LEN(TRIM($W$97))&gt;0, $S$97 = FALSE))</formula>
    </cfRule>
    <cfRule type="expression" dxfId="4018" priority="213">
      <formula>$S$97 = FALSE</formula>
    </cfRule>
    <cfRule type="expression" dxfId="4017" priority="214">
      <formula>AND($W$97&lt;&gt;"Not Met",LEN(TRIM($W$97))&gt;0)</formula>
    </cfRule>
    <cfRule type="expression" dxfId="4016" priority="215">
      <formula>AND($R$97,$S$97)</formula>
    </cfRule>
  </conditionalFormatting>
  <conditionalFormatting sqref="W100">
    <cfRule type="expression" dxfId="4015" priority="66">
      <formula>OR($T$100 = TRUE, AND(LEN(TRIM($W$100))&gt;0, $S$100 = FALSE))</formula>
    </cfRule>
    <cfRule type="expression" dxfId="4014" priority="67">
      <formula>$S$100 = FALSE</formula>
    </cfRule>
    <cfRule type="expression" dxfId="4013" priority="68">
      <formula>AND($W$100&lt;&gt;"Not Met",LEN(TRIM($W$100))&gt;0)</formula>
    </cfRule>
    <cfRule type="expression" dxfId="4012" priority="69">
      <formula>AND($R$100,$S$100)</formula>
    </cfRule>
  </conditionalFormatting>
  <conditionalFormatting sqref="W102">
    <cfRule type="expression" dxfId="4011" priority="62">
      <formula>OR($T$102 = TRUE, AND(LEN(TRIM($W$102))&gt;0, $S$102 = FALSE))</formula>
    </cfRule>
    <cfRule type="expression" dxfId="4010" priority="63">
      <formula>$S$102 = FALSE</formula>
    </cfRule>
    <cfRule type="expression" dxfId="4009" priority="64">
      <formula>AND($W$102&lt;&gt;"Not Met",LEN(TRIM($W$102))&gt;0)</formula>
    </cfRule>
    <cfRule type="expression" dxfId="4008" priority="65">
      <formula>AND($R$102,$S$102)</formula>
    </cfRule>
  </conditionalFormatting>
  <conditionalFormatting sqref="W112">
    <cfRule type="expression" dxfId="4007" priority="70">
      <formula>OR($T$112 = TRUE, AND(LEN(TRIM($W$112))&gt;0, $S$112 = FALSE))</formula>
    </cfRule>
    <cfRule type="expression" dxfId="4006" priority="71">
      <formula>$S$112 = FALSE</formula>
    </cfRule>
    <cfRule type="expression" dxfId="4005" priority="73">
      <formula>AND($R$112,$S$112)</formula>
    </cfRule>
    <cfRule type="expression" dxfId="4004" priority="72">
      <formula>AND($W$112&lt;&gt;"Not Met",LEN(TRIM($W$112))&gt;0)</formula>
    </cfRule>
  </conditionalFormatting>
  <conditionalFormatting sqref="W117">
    <cfRule type="expression" dxfId="4003" priority="197">
      <formula>$S$117 = FALSE</formula>
    </cfRule>
    <cfRule type="expression" dxfId="4002" priority="196">
      <formula>OR($T$117 = TRUE, AND(LEN(TRIM($W$117))&gt;0, $S$117 = FALSE))</formula>
    </cfRule>
    <cfRule type="expression" dxfId="4001" priority="198">
      <formula>AND($W$117&lt;&gt;"Not Met",LEN(TRIM($W$117))&gt;0)</formula>
    </cfRule>
    <cfRule type="expression" dxfId="4000" priority="199">
      <formula>AND($R$117,$S$117)</formula>
    </cfRule>
  </conditionalFormatting>
  <conditionalFormatting sqref="W124">
    <cfRule type="expression" dxfId="3999" priority="179">
      <formula>OR($T$124 = TRUE, AND(LEN(TRIM($W$124))&gt;0, $S$124 = FALSE))</formula>
    </cfRule>
    <cfRule type="expression" dxfId="3998" priority="180">
      <formula>$S$124 = FALSE</formula>
    </cfRule>
    <cfRule type="expression" dxfId="3997" priority="181">
      <formula>AND($W$124&lt;&gt;"Not Met",LEN(TRIM($W$124))&gt;0)</formula>
    </cfRule>
    <cfRule type="expression" dxfId="3996" priority="182">
      <formula>AND($R$124,$S$124)</formula>
    </cfRule>
  </conditionalFormatting>
  <conditionalFormatting sqref="W131">
    <cfRule type="expression" dxfId="3995" priority="191">
      <formula>OR($T$131 = TRUE, AND($W$131 = TRUE, $S$131 = FALSE))</formula>
    </cfRule>
    <cfRule type="expression" dxfId="3994" priority="192">
      <formula>$S$131 = FALSE</formula>
    </cfRule>
    <cfRule type="expression" dxfId="3993" priority="193">
      <formula>AND(IF($R$131,$W$131,TRUE),LEN(TRIM($W$131))&gt;0)</formula>
    </cfRule>
    <cfRule type="expression" dxfId="3992" priority="194">
      <formula>AND($R$131,$S$131)</formula>
    </cfRule>
  </conditionalFormatting>
  <conditionalFormatting sqref="W134">
    <cfRule type="expression" dxfId="3991" priority="177">
      <formula>AND($W$134&lt;&gt;"Not Met",LEN(TRIM($W$134))&gt;0)</formula>
    </cfRule>
    <cfRule type="expression" dxfId="3990" priority="175">
      <formula>OR($T$134 = TRUE, AND(LEN(TRIM($W$134))&gt;0, $S$134 = FALSE))</formula>
    </cfRule>
    <cfRule type="expression" dxfId="3989" priority="176">
      <formula>$S$134 = FALSE</formula>
    </cfRule>
    <cfRule type="expression" dxfId="3988" priority="178">
      <formula>AND($R$134,$S$134)</formula>
    </cfRule>
  </conditionalFormatting>
  <conditionalFormatting sqref="W138">
    <cfRule type="expression" dxfId="3987" priority="188">
      <formula>$S$138 = FALSE</formula>
    </cfRule>
    <cfRule type="expression" dxfId="3986" priority="189">
      <formula>AND(IF($R$138,$W$138,TRUE),LEN(TRIM($W$138))&gt;0)</formula>
    </cfRule>
    <cfRule type="expression" dxfId="3985" priority="187">
      <formula>OR($T$138 = TRUE, AND($W$138 = TRUE, $S$138 = FALSE))</formula>
    </cfRule>
    <cfRule type="expression" dxfId="3984" priority="190">
      <formula>AND($R$138,$S$138)</formula>
    </cfRule>
  </conditionalFormatting>
  <conditionalFormatting sqref="W140">
    <cfRule type="expression" dxfId="3983" priority="185">
      <formula>AND(IF($R$140,$W$140,TRUE),LEN(TRIM($W$140))&gt;0)</formula>
    </cfRule>
    <cfRule type="expression" dxfId="3982" priority="186">
      <formula>AND($R$140,$S$140)</formula>
    </cfRule>
    <cfRule type="expression" dxfId="3981" priority="183">
      <formula>OR($T$140 = TRUE, AND($W$140 = TRUE, $S$140 = FALSE))</formula>
    </cfRule>
    <cfRule type="expression" dxfId="3980" priority="184">
      <formula>$S$140 = FALSE</formula>
    </cfRule>
  </conditionalFormatting>
  <conditionalFormatting sqref="W143">
    <cfRule type="expression" dxfId="3979" priority="97">
      <formula>AND($R$143,$S$143)</formula>
    </cfRule>
    <cfRule type="expression" dxfId="3978" priority="94">
      <formula>OR($T$143 = TRUE, AND(LEN(TRIM($W$143))&gt;0, $S$143 = FALSE))</formula>
    </cfRule>
    <cfRule type="expression" dxfId="3977" priority="95">
      <formula>$S$143 = FALSE</formula>
    </cfRule>
    <cfRule type="expression" dxfId="3976" priority="96">
      <formula>AND($W$143&lt;&gt;"Not Met",LEN(TRIM($W$143))&gt;0)</formula>
    </cfRule>
  </conditionalFormatting>
  <conditionalFormatting sqref="W145">
    <cfRule type="expression" dxfId="3975" priority="58">
      <formula>OR($T$145 = TRUE, AND($W$145 = TRUE, $S$145 = FALSE))</formula>
    </cfRule>
    <cfRule type="expression" dxfId="3974" priority="61">
      <formula>AND($R$145,$S$145)</formula>
    </cfRule>
    <cfRule type="expression" dxfId="3973" priority="60">
      <formula>AND(IF($R$145,$W$145,TRUE),LEN(TRIM($W$145))&gt;0)</formula>
    </cfRule>
    <cfRule type="expression" dxfId="3972" priority="59">
      <formula>$S$145 = FALSE</formula>
    </cfRule>
  </conditionalFormatting>
  <conditionalFormatting sqref="W149">
    <cfRule type="expression" dxfId="3971" priority="54">
      <formula>OR($T$149 = TRUE, AND($W$149 = TRUE, $S$149 = FALSE))</formula>
    </cfRule>
    <cfRule type="expression" dxfId="3970" priority="55">
      <formula>$S$149 = FALSE</formula>
    </cfRule>
    <cfRule type="expression" dxfId="3969" priority="56">
      <formula>AND(IF($R$149,$W$149,TRUE),LEN(TRIM($W$149))&gt;0)</formula>
    </cfRule>
    <cfRule type="expression" dxfId="3968" priority="57">
      <formula>AND($R$149,$S$149)</formula>
    </cfRule>
  </conditionalFormatting>
  <conditionalFormatting sqref="W150">
    <cfRule type="expression" dxfId="3967" priority="50">
      <formula>OR($T$150 = TRUE, AND($W$150 = TRUE, $S$150 = FALSE))</formula>
    </cfRule>
    <cfRule type="expression" dxfId="3966" priority="51">
      <formula>$S$150 = FALSE</formula>
    </cfRule>
    <cfRule type="expression" dxfId="3965" priority="52">
      <formula>AND(IF($R$150,$W$150,TRUE),LEN(TRIM($W$150))&gt;0)</formula>
    </cfRule>
    <cfRule type="expression" dxfId="3964" priority="53">
      <formula>AND($R$150,$S$150)</formula>
    </cfRule>
  </conditionalFormatting>
  <conditionalFormatting sqref="W151">
    <cfRule type="expression" dxfId="3963" priority="46">
      <formula>OR($T$151 = TRUE, AND($W$151 = TRUE, $S$151 = FALSE))</formula>
    </cfRule>
    <cfRule type="expression" dxfId="3962" priority="47">
      <formula>$S$151 = FALSE</formula>
    </cfRule>
    <cfRule type="expression" dxfId="3961" priority="48">
      <formula>AND(IF($R$151,$W$151,TRUE),LEN(TRIM($W$151))&gt;0)</formula>
    </cfRule>
    <cfRule type="expression" dxfId="3960" priority="49">
      <formula>AND($R$151,$S$151)</formula>
    </cfRule>
  </conditionalFormatting>
  <conditionalFormatting sqref="W156">
    <cfRule type="expression" dxfId="3959" priority="162">
      <formula>AND($R$156,$S$156)</formula>
    </cfRule>
    <cfRule type="expression" dxfId="3958" priority="161">
      <formula>AND(IF($R$156,$W$156,TRUE),LEN(TRIM($W$156))&gt;0)</formula>
    </cfRule>
    <cfRule type="expression" dxfId="3957" priority="160">
      <formula>$S$156 = FALSE</formula>
    </cfRule>
    <cfRule type="expression" dxfId="3956" priority="159">
      <formula>OR($T$156 = TRUE, AND($W$156 = TRUE, $S$156 = FALSE))</formula>
    </cfRule>
  </conditionalFormatting>
  <conditionalFormatting sqref="W158">
    <cfRule type="expression" dxfId="3955" priority="155">
      <formula>OR($T$158 = TRUE, AND($W$158 = TRUE, $S$158 = FALSE))</formula>
    </cfRule>
    <cfRule type="expression" dxfId="3954" priority="157">
      <formula>AND(IF($R$158,$W$158,TRUE),LEN(TRIM($W$158))&gt;0)</formula>
    </cfRule>
    <cfRule type="expression" dxfId="3953" priority="158">
      <formula>AND($R$158,$S$158)</formula>
    </cfRule>
    <cfRule type="expression" dxfId="3952" priority="156">
      <formula>$S$158 = FALSE</formula>
    </cfRule>
  </conditionalFormatting>
  <conditionalFormatting sqref="W164">
    <cfRule type="expression" dxfId="3951" priority="151">
      <formula>OR($T$164 = TRUE, AND($W$164 = TRUE, $S$164 = FALSE))</formula>
    </cfRule>
    <cfRule type="expression" dxfId="3950" priority="152">
      <formula>$S$164 = FALSE</formula>
    </cfRule>
    <cfRule type="expression" dxfId="3949" priority="153">
      <formula>AND(IF($R$164,$W$164,TRUE),LEN(TRIM($W$164))&gt;0)</formula>
    </cfRule>
    <cfRule type="expression" dxfId="3948" priority="154">
      <formula>AND($R$164,$S$164)</formula>
    </cfRule>
  </conditionalFormatting>
  <conditionalFormatting sqref="W166">
    <cfRule type="expression" dxfId="3947" priority="43">
      <formula>$S$166 = FALSE</formula>
    </cfRule>
    <cfRule type="expression" dxfId="3946" priority="42">
      <formula>OR($T$166 = TRUE, AND($W$166 = TRUE, $S$166 = FALSE))</formula>
    </cfRule>
    <cfRule type="expression" dxfId="3945" priority="45">
      <formula>AND($R$166,$S$166)</formula>
    </cfRule>
    <cfRule type="expression" dxfId="3944" priority="44">
      <formula>AND(IF($R$166,$W$166,TRUE),LEN(TRIM($W$166))&gt;0)</formula>
    </cfRule>
  </conditionalFormatting>
  <conditionalFormatting sqref="W168">
    <cfRule type="expression" dxfId="3943" priority="38">
      <formula>OR($T$168 = TRUE, AND($W$168 = TRUE, $S$168 = FALSE))</formula>
    </cfRule>
    <cfRule type="expression" dxfId="3942" priority="40">
      <formula>AND(IF($R$168,$W$168,TRUE),LEN(TRIM($W$168))&gt;0)</formula>
    </cfRule>
    <cfRule type="expression" dxfId="3941" priority="41">
      <formula>AND($R$168,$S$168)</formula>
    </cfRule>
    <cfRule type="expression" dxfId="3940" priority="39">
      <formula>$S$168 = FALSE</formula>
    </cfRule>
  </conditionalFormatting>
  <conditionalFormatting sqref="W169">
    <cfRule type="expression" dxfId="3939" priority="34">
      <formula>OR($T$169 = TRUE, AND($W$169 = TRUE, $S$169 = FALSE))</formula>
    </cfRule>
    <cfRule type="expression" dxfId="3938" priority="35">
      <formula>$S$169 = FALSE</formula>
    </cfRule>
    <cfRule type="expression" dxfId="3937" priority="36">
      <formula>AND(IF($R$169,$W$169,TRUE),LEN(TRIM($W$169))&gt;0)</formula>
    </cfRule>
    <cfRule type="expression" dxfId="3936" priority="37">
      <formula>AND($R$169,$S$169)</formula>
    </cfRule>
  </conditionalFormatting>
  <conditionalFormatting sqref="W171">
    <cfRule type="expression" dxfId="3935" priority="31">
      <formula>$S$171 = FALSE</formula>
    </cfRule>
    <cfRule type="expression" dxfId="3934" priority="32">
      <formula>AND(IF($R$171,$W$171,TRUE),LEN(TRIM($W$171))&gt;0)</formula>
    </cfRule>
    <cfRule type="expression" dxfId="3933" priority="33">
      <formula>AND($R$171,$S$171)</formula>
    </cfRule>
    <cfRule type="expression" dxfId="3932" priority="30">
      <formula>OR($T$171 = TRUE, AND($W$171 = TRUE, $S$171 = FALSE))</formula>
    </cfRule>
  </conditionalFormatting>
  <conditionalFormatting sqref="W175">
    <cfRule type="expression" dxfId="3931" priority="150">
      <formula>AND($R$175,$S$175)</formula>
    </cfRule>
    <cfRule type="expression" dxfId="3930" priority="149">
      <formula>AND($W$175&lt;&gt;"Not Met",LEN(TRIM($W$175))&gt;0)</formula>
    </cfRule>
    <cfRule type="expression" dxfId="3929" priority="148">
      <formula>$S$175 = FALSE</formula>
    </cfRule>
    <cfRule type="expression" dxfId="3928" priority="147">
      <formula>OR($T$175 = TRUE, AND(LEN(TRIM($W$175))&gt;0, $S$175 = FALSE))</formula>
    </cfRule>
  </conditionalFormatting>
  <conditionalFormatting sqref="W189">
    <cfRule type="expression" dxfId="3927" priority="138">
      <formula>AND($R$189,$S$189)</formula>
    </cfRule>
    <cfRule type="expression" dxfId="3926" priority="135">
      <formula>OR($T$189 = TRUE, AND(LEN(TRIM($W$189))&gt;0, $S$189 = FALSE))</formula>
    </cfRule>
    <cfRule type="expression" dxfId="3925" priority="136">
      <formula>$S$189 = FALSE</formula>
    </cfRule>
    <cfRule type="expression" dxfId="3924" priority="137">
      <formula>AND($W$189&lt;&gt;"Not Met",LEN(TRIM($W$189))&gt;0)</formula>
    </cfRule>
  </conditionalFormatting>
  <conditionalFormatting sqref="W191">
    <cfRule type="expression" dxfId="3923" priority="141">
      <formula>AND(IF($R$191,$W$191,TRUE),LEN(TRIM($W$191))&gt;0)</formula>
    </cfRule>
    <cfRule type="expression" dxfId="3922" priority="142">
      <formula>AND($R$191,$S$191)</formula>
    </cfRule>
    <cfRule type="expression" dxfId="3921" priority="139">
      <formula>OR($T$191 = TRUE, AND($W$191 = TRUE, $S$191 = FALSE))</formula>
    </cfRule>
    <cfRule type="expression" dxfId="3920" priority="140">
      <formula>$S$191 = FALSE</formula>
    </cfRule>
  </conditionalFormatting>
  <conditionalFormatting sqref="W192">
    <cfRule type="expression" dxfId="3919" priority="146">
      <formula>AND($R$192,$S$192)</formula>
    </cfRule>
    <cfRule type="expression" dxfId="3918" priority="145">
      <formula>AND(IF($R$192,$W$192,TRUE),LEN(TRIM($W$192))&gt;0)</formula>
    </cfRule>
    <cfRule type="expression" dxfId="3917" priority="144">
      <formula>$S$192 = FALSE</formula>
    </cfRule>
    <cfRule type="expression" dxfId="3916" priority="143">
      <formula>OR($T$192 = TRUE, AND($W$192 = TRUE, $S$192 = FALSE))</formula>
    </cfRule>
  </conditionalFormatting>
  <conditionalFormatting sqref="W195">
    <cfRule type="expression" dxfId="3915" priority="26">
      <formula>OR($T$195 = TRUE, AND(LEN(TRIM($W$195))&gt;0, $S$195 = FALSE))</formula>
    </cfRule>
    <cfRule type="expression" dxfId="3914" priority="28">
      <formula>AND($W$195&lt;&gt;"Not Met",LEN(TRIM($W$195))&gt;0)</formula>
    </cfRule>
    <cfRule type="expression" dxfId="3913" priority="29">
      <formula>AND($R$195,$S$195)</formula>
    </cfRule>
    <cfRule type="expression" dxfId="3912" priority="27">
      <formula>$S$195 = FALSE</formula>
    </cfRule>
  </conditionalFormatting>
  <conditionalFormatting sqref="W203">
    <cfRule type="expression" dxfId="3911" priority="22">
      <formula>OR($T$203 = TRUE, AND(LEN(TRIM($W$203))&gt;0, $S$203 = FALSE))</formula>
    </cfRule>
    <cfRule type="expression" dxfId="3910" priority="23">
      <formula>$S$203 = FALSE</formula>
    </cfRule>
    <cfRule type="expression" dxfId="3909" priority="24">
      <formula>AND($W$203&lt;&gt;"Not Met",LEN(TRIM($W$203))&gt;0)</formula>
    </cfRule>
    <cfRule type="expression" dxfId="3908" priority="25">
      <formula>AND($R$203,$S$203)</formula>
    </cfRule>
  </conditionalFormatting>
  <conditionalFormatting sqref="W208">
    <cfRule type="expression" dxfId="3907" priority="11">
      <formula>AND($W$208&lt;&gt;"Not Met",LEN(TRIM($W$208))&gt;0)</formula>
    </cfRule>
    <cfRule type="expression" dxfId="3906" priority="10">
      <formula>$S$208 = FALSE</formula>
    </cfRule>
    <cfRule type="expression" dxfId="3905" priority="9">
      <formula>OR($T$208 = TRUE, AND(LEN(TRIM($W$208))&gt;0, $S$208 = FALSE))</formula>
    </cfRule>
    <cfRule type="expression" dxfId="3904" priority="12">
      <formula>AND($R$208,$S$208)</formula>
    </cfRule>
  </conditionalFormatting>
  <conditionalFormatting sqref="W211">
    <cfRule type="expression" dxfId="3903" priority="21">
      <formula>AND($R$211,$S$211)</formula>
    </cfRule>
    <cfRule type="expression" dxfId="3902" priority="20">
      <formula>AND(IF($R$211,$W$211,TRUE),LEN(TRIM($W$211))&gt;0)</formula>
    </cfRule>
    <cfRule type="expression" dxfId="3901" priority="19">
      <formula>$S$211 = FALSE</formula>
    </cfRule>
    <cfRule type="expression" dxfId="3900" priority="18">
      <formula>OR($T$211 = TRUE, AND($W$211 = TRUE, $S$211 = FALSE))</formula>
    </cfRule>
  </conditionalFormatting>
  <conditionalFormatting sqref="W217">
    <cfRule type="expression" dxfId="3899" priority="106">
      <formula>AND($R$217,$S$217)</formula>
    </cfRule>
    <cfRule type="expression" dxfId="3898" priority="105">
      <formula>AND($W$217&lt;&gt;"Not Met",LEN(TRIM($W$217))&gt;0)</formula>
    </cfRule>
    <cfRule type="expression" dxfId="3897" priority="104">
      <formula>$S$217 = FALSE</formula>
    </cfRule>
    <cfRule type="expression" dxfId="3896" priority="103">
      <formula>OR($T$217 = TRUE, AND(LEN(TRIM($W$217))&gt;0, $S$217 = FALSE))</formula>
    </cfRule>
  </conditionalFormatting>
  <conditionalFormatting sqref="W219">
    <cfRule type="expression" dxfId="3895" priority="111">
      <formula>OR($T$219 = TRUE, AND($W$219 = TRUE, $S$219 = FALSE))</formula>
    </cfRule>
    <cfRule type="expression" dxfId="3894" priority="112">
      <formula>$S$219 = FALSE</formula>
    </cfRule>
    <cfRule type="expression" dxfId="3893" priority="113">
      <formula>AND(IF($R$219,$W$219,TRUE),LEN(TRIM($W$219))&gt;0)</formula>
    </cfRule>
    <cfRule type="expression" dxfId="3892" priority="114">
      <formula>AND($R$219,$S$219)</formula>
    </cfRule>
  </conditionalFormatting>
  <conditionalFormatting sqref="W221">
    <cfRule type="expression" dxfId="3891" priority="109">
      <formula>AND(R221,LEN(TRIM(W221))&gt;0)</formula>
    </cfRule>
    <cfRule type="expression" dxfId="3890" priority="110">
      <formula>AND(R221,S221)</formula>
    </cfRule>
    <cfRule type="expression" dxfId="3889" priority="108">
      <formula>S221 = FALSE</formula>
    </cfRule>
    <cfRule type="expression" dxfId="3888" priority="107">
      <formula>OR(T221 = TRUE, AND(W221 &gt; 0, S221 = FALSE))</formula>
    </cfRule>
  </conditionalFormatting>
  <conditionalFormatting sqref="W223">
    <cfRule type="expression" dxfId="3887" priority="15">
      <formula>AND($W$223&lt;&gt;"Not Met",LEN(TRIM($W$223))&gt;0)</formula>
    </cfRule>
    <cfRule type="expression" dxfId="3886" priority="14">
      <formula>$S$223 = FALSE</formula>
    </cfRule>
    <cfRule type="expression" dxfId="3885" priority="13">
      <formula>OR($T$223 = TRUE, AND(LEN(TRIM($W$223))&gt;0, $S$223 = FALSE))</formula>
    </cfRule>
    <cfRule type="expression" dxfId="3884" priority="16">
      <formula>AND($R$223,$S$223)</formula>
    </cfRule>
  </conditionalFormatting>
  <conditionalFormatting sqref="W228">
    <cfRule type="expression" dxfId="3883" priority="126">
      <formula>AND($R$228,$S$228)</formula>
    </cfRule>
    <cfRule type="expression" dxfId="3882" priority="125">
      <formula>AND(IF($R$228,$W$228,TRUE),LEN(TRIM($W$228))&gt;0)</formula>
    </cfRule>
    <cfRule type="expression" dxfId="3881" priority="124">
      <formula>$S$228 = FALSE</formula>
    </cfRule>
    <cfRule type="expression" dxfId="3880" priority="123">
      <formula>OR($T$228 = TRUE, AND($W$228 = TRUE, $S$228 = FALSE))</formula>
    </cfRule>
  </conditionalFormatting>
  <conditionalFormatting sqref="W231">
    <cfRule type="expression" dxfId="3879" priority="127">
      <formula>OR($T$231 = TRUE, AND($W$231 = TRUE, $S$231 = FALSE))</formula>
    </cfRule>
    <cfRule type="expression" dxfId="3878" priority="130">
      <formula>AND($R$231,$S$231)</formula>
    </cfRule>
    <cfRule type="expression" dxfId="3877" priority="129">
      <formula>AND(IF($R$231,$W$231,TRUE),LEN(TRIM($W$231))&gt;0)</formula>
    </cfRule>
    <cfRule type="expression" dxfId="3876" priority="128">
      <formula>$S$231 = FALSE</formula>
    </cfRule>
  </conditionalFormatting>
  <conditionalFormatting sqref="W233">
    <cfRule type="expression" dxfId="3875" priority="134">
      <formula>AND($R$233,$S$233)</formula>
    </cfRule>
    <cfRule type="expression" dxfId="3874" priority="133">
      <formula>AND(IF($R$233,$W$233,TRUE),LEN(TRIM($W$233))&gt;0)</formula>
    </cfRule>
    <cfRule type="expression" dxfId="3873" priority="131">
      <formula>OR($T$233 = TRUE, AND($W$233 = TRUE, $S$233 = FALSE))</formula>
    </cfRule>
    <cfRule type="expression" dxfId="3872" priority="132">
      <formula>$S$233 = FALSE</formula>
    </cfRule>
  </conditionalFormatting>
  <conditionalFormatting sqref="W239">
    <cfRule type="expression" dxfId="3871" priority="2">
      <formula>S239 = FALSE</formula>
    </cfRule>
    <cfRule type="expression" dxfId="3870" priority="3">
      <formula>AND(R239,LEN(TRIM(W239))&gt;0)</formula>
    </cfRule>
    <cfRule type="expression" dxfId="3869" priority="4">
      <formula>AND(R239,S239)</formula>
    </cfRule>
    <cfRule type="expression" dxfId="3868" priority="1">
      <formula>OR(T239 = TRUE, AND(W239 &gt; 0, S239 = FALSE))</formula>
    </cfRule>
  </conditionalFormatting>
  <conditionalFormatting sqref="X1">
    <cfRule type="expression" dxfId="3867" priority="98">
      <formula>startError</formula>
    </cfRule>
  </conditionalFormatting>
  <conditionalFormatting sqref="X2">
    <cfRule type="expression" dxfId="3866" priority="277">
      <formula>$AG$3</formula>
    </cfRule>
  </conditionalFormatting>
  <conditionalFormatting sqref="X3">
    <cfRule type="expression" dxfId="3865" priority="278">
      <formula>$AI$3</formula>
    </cfRule>
  </conditionalFormatting>
  <dataValidations count="27">
    <dataValidation type="list" allowBlank="1" showDropDown="1" showInputMessage="1" showErrorMessage="1" error="Use Checkbox" prompt="Use Checkbox" sqref="W50 W55 W231 W211 W145 W219 W140 W233 W138 W131 W191:W192 W164 W149:W151 W156 W158 W171 W168:W169 W166 W228" xr:uid="{00000000-0002-0000-0600-000000000000}">
      <formula1>TorF</formula1>
    </dataValidation>
    <dataValidation type="list" allowBlank="1" showInputMessage="1" showErrorMessage="1" error="Please use the dropdown." sqref="W21" xr:uid="{00000000-0002-0000-0600-000001000000}">
      <formula1>INDIRECT($U$21)</formula1>
    </dataValidation>
    <dataValidation type="list" allowBlank="1" showInputMessage="1" showErrorMessage="1" error="Please use the dropdown." sqref="W56" xr:uid="{00000000-0002-0000-0600-000002000000}">
      <formula1>INDIRECT($U$56)</formula1>
    </dataValidation>
    <dataValidation type="list" allowBlank="1" showInputMessage="1" showErrorMessage="1" error="Please use the dropdown." sqref="W80" xr:uid="{00000000-0002-0000-0600-000003000000}">
      <formula1>INDIRECT($U$80)</formula1>
    </dataValidation>
    <dataValidation type="list" allowBlank="1" showInputMessage="1" showErrorMessage="1" error="Please use the dropdown." sqref="W92" xr:uid="{00000000-0002-0000-0600-000004000000}">
      <formula1>INDIRECT($U$92)</formula1>
    </dataValidation>
    <dataValidation type="list" allowBlank="1" showInputMessage="1" showErrorMessage="1" error="Please use the dropdown." sqref="W97" xr:uid="{00000000-0002-0000-0600-000005000000}">
      <formula1>INDIRECT($U$97)</formula1>
    </dataValidation>
    <dataValidation type="list" allowBlank="1" showInputMessage="1" showErrorMessage="1" error="Please use the dropdown." sqref="W117" xr:uid="{00000000-0002-0000-0600-000007000000}">
      <formula1>INDIRECT($U$117)</formula1>
    </dataValidation>
    <dataValidation type="list" allowBlank="1" showInputMessage="1" showErrorMessage="1" error="Please use the dropdown." sqref="W124" xr:uid="{00000000-0002-0000-0600-000008000000}">
      <formula1>INDIRECT($U$124)</formula1>
    </dataValidation>
    <dataValidation type="list" allowBlank="1" showInputMessage="1" showErrorMessage="1" error="Please use the dropdown." sqref="W134" xr:uid="{00000000-0002-0000-0600-000009000000}">
      <formula1>INDIRECT($U$134)</formula1>
    </dataValidation>
    <dataValidation type="list" allowBlank="1" showInputMessage="1" showErrorMessage="1" error="Please use the dropdown." sqref="W175" xr:uid="{00000000-0002-0000-0600-00000A000000}">
      <formula1>INDIRECT($U$175)</formula1>
    </dataValidation>
    <dataValidation type="list" allowBlank="1" showInputMessage="1" showErrorMessage="1" error="Please use the dropdown." sqref="W189" xr:uid="{00000000-0002-0000-0600-00000B000000}">
      <formula1>INDIRECT($U$189)</formula1>
    </dataValidation>
    <dataValidation type="whole" allowBlank="1" showDropDown="1" showInputMessage="1" showErrorMessage="1" error="Enter a whole number" prompt="Enter number of systems" sqref="W221" xr:uid="{00000000-0002-0000-0600-00000C000000}">
      <formula1>0</formula1>
      <formula2>5</formula2>
    </dataValidation>
    <dataValidation type="list" allowBlank="1" showInputMessage="1" showErrorMessage="1" error="Please use the dropdown." sqref="W217" xr:uid="{00000000-0002-0000-0600-00000D000000}">
      <formula1>INDIRECT($U$217)</formula1>
    </dataValidation>
    <dataValidation type="list" allowBlank="1" showInputMessage="1" showErrorMessage="1" error="Please use the dropdown." sqref="W143" xr:uid="{00000000-0002-0000-0600-00000E000000}">
      <formula1>INDIRECT($U$143)</formula1>
    </dataValidation>
    <dataValidation type="list" allowBlank="1" showInputMessage="1" showErrorMessage="1" error="Please use the dropdown." sqref="W13" xr:uid="{D00C0528-A002-4EE5-9842-382791DFD4F4}">
      <formula1>INDIRECT($U$13)</formula1>
    </dataValidation>
    <dataValidation type="whole" allowBlank="1" showDropDown="1" showInputMessage="1" showErrorMessage="1" error="Enter a whole number" prompt="Enter number of meters" sqref="W64" xr:uid="{846EF3F8-AEC1-4828-9B43-7C0643743FFD}">
      <formula1>0</formula1>
      <formula2>10</formula2>
    </dataValidation>
    <dataValidation type="whole" allowBlank="1" showDropDown="1" showInputMessage="1" showErrorMessage="1" error="Enter a whole number" prompt="Enter number of meters" sqref="W73" xr:uid="{C71A5EC6-E35B-48B2-B2AE-19F11A08532B}">
      <formula1>0</formula1>
      <formula2>700</formula2>
    </dataValidation>
    <dataValidation type="whole" allowBlank="1" showDropDown="1" showInputMessage="1" showErrorMessage="1" error="Enter a whole number" prompt="Enter number of sensor packages" sqref="W66" xr:uid="{DB652BD9-BE92-4401-B2EB-0B196208F6DF}">
      <formula1>0</formula1>
      <formula2>10</formula2>
    </dataValidation>
    <dataValidation type="whole" allowBlank="1" showDropDown="1" showInputMessage="1" showErrorMessage="1" error="Enter a whole number" prompt="Enter number of sensor packages" sqref="W75" xr:uid="{778410AF-4722-435C-9914-2E87958943BC}">
      <formula1>0</formula1>
      <formula2>700</formula2>
    </dataValidation>
    <dataValidation type="list" allowBlank="1" showInputMessage="1" showErrorMessage="1" error="Please use the dropdown." sqref="W112" xr:uid="{B27DBB4B-2918-4694-BCD9-259111F912A3}">
      <formula1>INDIRECT($U$112)</formula1>
    </dataValidation>
    <dataValidation type="list" allowBlank="1" showInputMessage="1" showErrorMessage="1" error="Please use the dropdown." sqref="W100" xr:uid="{2EADE2D3-5D52-4EAB-86C8-BFD98B2D9F53}">
      <formula1>INDIRECT($U$100)</formula1>
    </dataValidation>
    <dataValidation type="list" allowBlank="1" showInputMessage="1" showErrorMessage="1" error="Please use the dropdown." sqref="W102" xr:uid="{2BD9A3B1-3C2D-498B-8BD3-F4B274CF1094}">
      <formula1>INDIRECT($U$102)</formula1>
    </dataValidation>
    <dataValidation type="list" allowBlank="1" showInputMessage="1" showErrorMessage="1" error="Please use the dropdown." sqref="W195" xr:uid="{439A7F06-C241-436E-B11B-1331BEB31515}">
      <formula1>INDIRECT($U$195)</formula1>
    </dataValidation>
    <dataValidation type="list" allowBlank="1" showInputMessage="1" showErrorMessage="1" error="Please use the dropdown." sqref="W203" xr:uid="{F53A6861-9842-4662-9993-35C2480D6D8A}">
      <formula1>INDIRECT($U$203)</formula1>
    </dataValidation>
    <dataValidation type="list" allowBlank="1" showInputMessage="1" showErrorMessage="1" error="Please use the dropdown." sqref="W223" xr:uid="{CD0B320C-56F4-479A-980F-D054632E4AC2}">
      <formula1>INDIRECT($U$223)</formula1>
    </dataValidation>
    <dataValidation type="list" allowBlank="1" showInputMessage="1" showErrorMessage="1" error="Please use the dropdown." sqref="W208" xr:uid="{AF52F623-4728-4BA3-BC9E-25EE2461C5A2}">
      <formula1>INDIRECT($U$208)</formula1>
    </dataValidation>
    <dataValidation type="whole" allowBlank="1" showDropDown="1" showInputMessage="1" showErrorMessage="1" error="Enter a whole number" prompt="Enter WRI Score" sqref="W239" xr:uid="{7EEA401E-CF81-4137-BDB7-3028B8F376A3}">
      <formula1>0</formula1>
      <formula2>100</formula2>
    </dataValidation>
  </dataValidations>
  <hyperlinks>
    <hyperlink ref="L32" location="'Table 801.1(1)'!A1" display="See Table 801.1(1)" xr:uid="{00000000-0004-0000-0600-000000000000}"/>
    <hyperlink ref="L33" location="'Table 801.1(2)'!A1" display="See Table 801.1(2)" xr:uid="{00000000-0004-0000-0600-000001000000}"/>
    <hyperlink ref="X246" location="'Ch9'!A1" display="CLICK TO PROCEED TO CHAPTER 9 &gt;&gt;" xr:uid="{00000000-0004-0000-0600-000002000000}"/>
  </hyperlinks>
  <pageMargins left="0.7" right="0.7" top="0.75" bottom="0.75" header="0.3" footer="0.3"/>
  <pageSetup scale="44" fitToHeight="0" orientation="portrait" r:id="rId1"/>
  <rowBreaks count="2" manualBreakCount="2">
    <brk id="98" max="23" man="1"/>
    <brk id="191" max="23" man="1"/>
  </rowBreaks>
  <ignoredErrors>
    <ignoredError sqref="AQ13 AQ21 AQ50 AQ211 AQ55:AQ56 AQ64 AQ66 AQ73 AQ75 AQ80 AQ92 AQ97 AQ100 AQ102 AQ112 AQ117 AQ124 AQ131 AQ134 AQ138 AQ140 AQ143 AQ145 AQ149:AQ151 AQ156 AQ158 AQ164 AQ166 AQ168:AQ169 AQ171 AQ175 AQ189 AQ191:AQ192 AQ195 AQ203 AQ217 AQ219 AQ221 AQ223 AQ228 AQ231 AQ233 AS13 AS34 AS45 AS50 AS211 AS55:AS56 AS64 AS66 AS73 AS75 AS80 AS92 AS97 AS100 AS112 AS117 AS122 AS124 AS131 AS134 AS138 AS140 AS143 AS145 AS149:AS151 AS156 AS158 AS164 AS166 AS168:AS169 AS171 AS175 AS189 AS191:AS192 AS195 AS203 AS217 AS219:AS220 AS223 AS228 AS231 AS233"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6154" r:id="rId4" name="Check Box 10">
              <controlPr locked="0" defaultSize="0" autoFill="0" autoLine="0" autoPict="0">
                <anchor moveWithCells="1" sizeWithCells="1">
                  <from>
                    <xdr:col>22</xdr:col>
                    <xdr:colOff>0</xdr:colOff>
                    <xdr:row>54</xdr:row>
                    <xdr:rowOff>0</xdr:rowOff>
                  </from>
                  <to>
                    <xdr:col>22</xdr:col>
                    <xdr:colOff>184150</xdr:colOff>
                    <xdr:row>54</xdr:row>
                    <xdr:rowOff>184150</xdr:rowOff>
                  </to>
                </anchor>
              </controlPr>
            </control>
          </mc:Choice>
        </mc:AlternateContent>
        <mc:AlternateContent xmlns:mc="http://schemas.openxmlformats.org/markup-compatibility/2006">
          <mc:Choice Requires="x14">
            <control shapeId="6156" r:id="rId5" name="Check Box 12">
              <controlPr locked="0" defaultSize="0" autoFill="0" autoLine="0" autoPict="0">
                <anchor moveWithCells="1" sizeWithCells="1">
                  <from>
                    <xdr:col>22</xdr:col>
                    <xdr:colOff>0</xdr:colOff>
                    <xdr:row>49</xdr:row>
                    <xdr:rowOff>0</xdr:rowOff>
                  </from>
                  <to>
                    <xdr:col>22</xdr:col>
                    <xdr:colOff>184150</xdr:colOff>
                    <xdr:row>49</xdr:row>
                    <xdr:rowOff>184150</xdr:rowOff>
                  </to>
                </anchor>
              </controlPr>
            </control>
          </mc:Choice>
        </mc:AlternateContent>
        <mc:AlternateContent xmlns:mc="http://schemas.openxmlformats.org/markup-compatibility/2006">
          <mc:Choice Requires="x14">
            <control shapeId="6163" r:id="rId6" name="Check Box 19">
              <controlPr locked="0" defaultSize="0" autoFill="0" autoLine="0" autoPict="0">
                <anchor moveWithCells="1" sizeWithCells="1">
                  <from>
                    <xdr:col>22</xdr:col>
                    <xdr:colOff>0</xdr:colOff>
                    <xdr:row>130</xdr:row>
                    <xdr:rowOff>0</xdr:rowOff>
                  </from>
                  <to>
                    <xdr:col>22</xdr:col>
                    <xdr:colOff>184150</xdr:colOff>
                    <xdr:row>130</xdr:row>
                    <xdr:rowOff>184150</xdr:rowOff>
                  </to>
                </anchor>
              </controlPr>
            </control>
          </mc:Choice>
        </mc:AlternateContent>
        <mc:AlternateContent xmlns:mc="http://schemas.openxmlformats.org/markup-compatibility/2006">
          <mc:Choice Requires="x14">
            <control shapeId="6164" r:id="rId7" name="Check Box 20">
              <controlPr locked="0" defaultSize="0" autoFill="0" autoLine="0" autoPict="0">
                <anchor moveWithCells="1" sizeWithCells="1">
                  <from>
                    <xdr:col>22</xdr:col>
                    <xdr:colOff>0</xdr:colOff>
                    <xdr:row>137</xdr:row>
                    <xdr:rowOff>0</xdr:rowOff>
                  </from>
                  <to>
                    <xdr:col>22</xdr:col>
                    <xdr:colOff>184150</xdr:colOff>
                    <xdr:row>137</xdr:row>
                    <xdr:rowOff>184150</xdr:rowOff>
                  </to>
                </anchor>
              </controlPr>
            </control>
          </mc:Choice>
        </mc:AlternateContent>
        <mc:AlternateContent xmlns:mc="http://schemas.openxmlformats.org/markup-compatibility/2006">
          <mc:Choice Requires="x14">
            <control shapeId="6165" r:id="rId8" name="Check Box 21">
              <controlPr locked="0" defaultSize="0" autoFill="0" autoLine="0" autoPict="0">
                <anchor moveWithCells="1" sizeWithCells="1">
                  <from>
                    <xdr:col>22</xdr:col>
                    <xdr:colOff>0</xdr:colOff>
                    <xdr:row>139</xdr:row>
                    <xdr:rowOff>0</xdr:rowOff>
                  </from>
                  <to>
                    <xdr:col>22</xdr:col>
                    <xdr:colOff>184150</xdr:colOff>
                    <xdr:row>139</xdr:row>
                    <xdr:rowOff>184150</xdr:rowOff>
                  </to>
                </anchor>
              </controlPr>
            </control>
          </mc:Choice>
        </mc:AlternateContent>
        <mc:AlternateContent xmlns:mc="http://schemas.openxmlformats.org/markup-compatibility/2006">
          <mc:Choice Requires="x14">
            <control shapeId="6172" r:id="rId9" name="Check Box 28">
              <controlPr locked="0" defaultSize="0" autoFill="0" autoLine="0" autoPict="0">
                <anchor moveWithCells="1" sizeWithCells="1">
                  <from>
                    <xdr:col>22</xdr:col>
                    <xdr:colOff>0</xdr:colOff>
                    <xdr:row>155</xdr:row>
                    <xdr:rowOff>0</xdr:rowOff>
                  </from>
                  <to>
                    <xdr:col>22</xdr:col>
                    <xdr:colOff>184150</xdr:colOff>
                    <xdr:row>155</xdr:row>
                    <xdr:rowOff>184150</xdr:rowOff>
                  </to>
                </anchor>
              </controlPr>
            </control>
          </mc:Choice>
        </mc:AlternateContent>
        <mc:AlternateContent xmlns:mc="http://schemas.openxmlformats.org/markup-compatibility/2006">
          <mc:Choice Requires="x14">
            <control shapeId="6173" r:id="rId10" name="Check Box 29">
              <controlPr locked="0" defaultSize="0" autoFill="0" autoLine="0" autoPict="0">
                <anchor moveWithCells="1" sizeWithCells="1">
                  <from>
                    <xdr:col>22</xdr:col>
                    <xdr:colOff>0</xdr:colOff>
                    <xdr:row>157</xdr:row>
                    <xdr:rowOff>0</xdr:rowOff>
                  </from>
                  <to>
                    <xdr:col>22</xdr:col>
                    <xdr:colOff>184150</xdr:colOff>
                    <xdr:row>157</xdr:row>
                    <xdr:rowOff>184150</xdr:rowOff>
                  </to>
                </anchor>
              </controlPr>
            </control>
          </mc:Choice>
        </mc:AlternateContent>
        <mc:AlternateContent xmlns:mc="http://schemas.openxmlformats.org/markup-compatibility/2006">
          <mc:Choice Requires="x14">
            <control shapeId="6175" r:id="rId11" name="Check Box 31">
              <controlPr locked="0" defaultSize="0" autoFill="0" autoLine="0" autoPict="0">
                <anchor moveWithCells="1" sizeWithCells="1">
                  <from>
                    <xdr:col>22</xdr:col>
                    <xdr:colOff>0</xdr:colOff>
                    <xdr:row>163</xdr:row>
                    <xdr:rowOff>0</xdr:rowOff>
                  </from>
                  <to>
                    <xdr:col>22</xdr:col>
                    <xdr:colOff>184150</xdr:colOff>
                    <xdr:row>163</xdr:row>
                    <xdr:rowOff>184150</xdr:rowOff>
                  </to>
                </anchor>
              </controlPr>
            </control>
          </mc:Choice>
        </mc:AlternateContent>
        <mc:AlternateContent xmlns:mc="http://schemas.openxmlformats.org/markup-compatibility/2006">
          <mc:Choice Requires="x14">
            <control shapeId="6177" r:id="rId12" name="Check Box 33">
              <controlPr locked="0" defaultSize="0" autoFill="0" autoLine="0" autoPict="0">
                <anchor moveWithCells="1" sizeWithCells="1">
                  <from>
                    <xdr:col>22</xdr:col>
                    <xdr:colOff>0</xdr:colOff>
                    <xdr:row>191</xdr:row>
                    <xdr:rowOff>0</xdr:rowOff>
                  </from>
                  <to>
                    <xdr:col>22</xdr:col>
                    <xdr:colOff>184150</xdr:colOff>
                    <xdr:row>191</xdr:row>
                    <xdr:rowOff>184150</xdr:rowOff>
                  </to>
                </anchor>
              </controlPr>
            </control>
          </mc:Choice>
        </mc:AlternateContent>
        <mc:AlternateContent xmlns:mc="http://schemas.openxmlformats.org/markup-compatibility/2006">
          <mc:Choice Requires="x14">
            <control shapeId="6178" r:id="rId13" name="Check Box 34">
              <controlPr locked="0" defaultSize="0" autoFill="0" autoLine="0" autoPict="0">
                <anchor moveWithCells="1" sizeWithCells="1">
                  <from>
                    <xdr:col>22</xdr:col>
                    <xdr:colOff>0</xdr:colOff>
                    <xdr:row>190</xdr:row>
                    <xdr:rowOff>0</xdr:rowOff>
                  </from>
                  <to>
                    <xdr:col>22</xdr:col>
                    <xdr:colOff>184150</xdr:colOff>
                    <xdr:row>190</xdr:row>
                    <xdr:rowOff>184150</xdr:rowOff>
                  </to>
                </anchor>
              </controlPr>
            </control>
          </mc:Choice>
        </mc:AlternateContent>
        <mc:AlternateContent xmlns:mc="http://schemas.openxmlformats.org/markup-compatibility/2006">
          <mc:Choice Requires="x14">
            <control shapeId="6180" r:id="rId14" name="Check Box 36">
              <controlPr locked="0" defaultSize="0" autoFill="0" autoLine="0" autoPict="0">
                <anchor moveWithCells="1" sizeWithCells="1">
                  <from>
                    <xdr:col>22</xdr:col>
                    <xdr:colOff>0</xdr:colOff>
                    <xdr:row>232</xdr:row>
                    <xdr:rowOff>0</xdr:rowOff>
                  </from>
                  <to>
                    <xdr:col>22</xdr:col>
                    <xdr:colOff>184150</xdr:colOff>
                    <xdr:row>232</xdr:row>
                    <xdr:rowOff>184150</xdr:rowOff>
                  </to>
                </anchor>
              </controlPr>
            </control>
          </mc:Choice>
        </mc:AlternateContent>
        <mc:AlternateContent xmlns:mc="http://schemas.openxmlformats.org/markup-compatibility/2006">
          <mc:Choice Requires="x14">
            <control shapeId="6181" r:id="rId15" name="Check Box 37">
              <controlPr locked="0" defaultSize="0" autoFill="0" autoLine="0" autoPict="0">
                <anchor moveWithCells="1" sizeWithCells="1">
                  <from>
                    <xdr:col>22</xdr:col>
                    <xdr:colOff>0</xdr:colOff>
                    <xdr:row>230</xdr:row>
                    <xdr:rowOff>0</xdr:rowOff>
                  </from>
                  <to>
                    <xdr:col>22</xdr:col>
                    <xdr:colOff>184150</xdr:colOff>
                    <xdr:row>230</xdr:row>
                    <xdr:rowOff>184150</xdr:rowOff>
                  </to>
                </anchor>
              </controlPr>
            </control>
          </mc:Choice>
        </mc:AlternateContent>
        <mc:AlternateContent xmlns:mc="http://schemas.openxmlformats.org/markup-compatibility/2006">
          <mc:Choice Requires="x14">
            <control shapeId="6182" r:id="rId16" name="Check Box 38">
              <controlPr locked="0" defaultSize="0" autoFill="0" autoLine="0" autoPict="0">
                <anchor moveWithCells="1" sizeWithCells="1">
                  <from>
                    <xdr:col>22</xdr:col>
                    <xdr:colOff>0</xdr:colOff>
                    <xdr:row>227</xdr:row>
                    <xdr:rowOff>0</xdr:rowOff>
                  </from>
                  <to>
                    <xdr:col>22</xdr:col>
                    <xdr:colOff>184150</xdr:colOff>
                    <xdr:row>227</xdr:row>
                    <xdr:rowOff>184150</xdr:rowOff>
                  </to>
                </anchor>
              </controlPr>
            </control>
          </mc:Choice>
        </mc:AlternateContent>
        <mc:AlternateContent xmlns:mc="http://schemas.openxmlformats.org/markup-compatibility/2006">
          <mc:Choice Requires="x14">
            <control shapeId="6186" r:id="rId17" name="Check Box 42">
              <controlPr locked="0" defaultSize="0" autoFill="0" autoLine="0" autoPict="0">
                <anchor moveWithCells="1" sizeWithCells="1">
                  <from>
                    <xdr:col>22</xdr:col>
                    <xdr:colOff>0</xdr:colOff>
                    <xdr:row>218</xdr:row>
                    <xdr:rowOff>0</xdr:rowOff>
                  </from>
                  <to>
                    <xdr:col>22</xdr:col>
                    <xdr:colOff>184150</xdr:colOff>
                    <xdr:row>218</xdr:row>
                    <xdr:rowOff>184150</xdr:rowOff>
                  </to>
                </anchor>
              </controlPr>
            </control>
          </mc:Choice>
        </mc:AlternateContent>
        <mc:AlternateContent xmlns:mc="http://schemas.openxmlformats.org/markup-compatibility/2006">
          <mc:Choice Requires="x14">
            <control shapeId="6200" r:id="rId18" name="Check Box 56">
              <controlPr locked="0" defaultSize="0" autoFill="0" autoLine="0" autoPict="0">
                <anchor moveWithCells="1" sizeWithCells="1">
                  <from>
                    <xdr:col>22</xdr:col>
                    <xdr:colOff>0</xdr:colOff>
                    <xdr:row>144</xdr:row>
                    <xdr:rowOff>0</xdr:rowOff>
                  </from>
                  <to>
                    <xdr:col>22</xdr:col>
                    <xdr:colOff>184150</xdr:colOff>
                    <xdr:row>144</xdr:row>
                    <xdr:rowOff>184150</xdr:rowOff>
                  </to>
                </anchor>
              </controlPr>
            </control>
          </mc:Choice>
        </mc:AlternateContent>
        <mc:AlternateContent xmlns:mc="http://schemas.openxmlformats.org/markup-compatibility/2006">
          <mc:Choice Requires="x14">
            <control shapeId="6201" r:id="rId19" name="Check Box 57">
              <controlPr locked="0" defaultSize="0" autoFill="0" autoLine="0" autoPict="0">
                <anchor moveWithCells="1" sizeWithCells="1">
                  <from>
                    <xdr:col>22</xdr:col>
                    <xdr:colOff>0</xdr:colOff>
                    <xdr:row>148</xdr:row>
                    <xdr:rowOff>0</xdr:rowOff>
                  </from>
                  <to>
                    <xdr:col>22</xdr:col>
                    <xdr:colOff>184150</xdr:colOff>
                    <xdr:row>148</xdr:row>
                    <xdr:rowOff>184150</xdr:rowOff>
                  </to>
                </anchor>
              </controlPr>
            </control>
          </mc:Choice>
        </mc:AlternateContent>
        <mc:AlternateContent xmlns:mc="http://schemas.openxmlformats.org/markup-compatibility/2006">
          <mc:Choice Requires="x14">
            <control shapeId="6202" r:id="rId20" name="Check Box 58">
              <controlPr locked="0" defaultSize="0" autoFill="0" autoLine="0" autoPict="0">
                <anchor moveWithCells="1" sizeWithCells="1">
                  <from>
                    <xdr:col>22</xdr:col>
                    <xdr:colOff>0</xdr:colOff>
                    <xdr:row>149</xdr:row>
                    <xdr:rowOff>0</xdr:rowOff>
                  </from>
                  <to>
                    <xdr:col>22</xdr:col>
                    <xdr:colOff>184150</xdr:colOff>
                    <xdr:row>149</xdr:row>
                    <xdr:rowOff>184150</xdr:rowOff>
                  </to>
                </anchor>
              </controlPr>
            </control>
          </mc:Choice>
        </mc:AlternateContent>
        <mc:AlternateContent xmlns:mc="http://schemas.openxmlformats.org/markup-compatibility/2006">
          <mc:Choice Requires="x14">
            <control shapeId="6203" r:id="rId21" name="Check Box 59">
              <controlPr locked="0" defaultSize="0" autoFill="0" autoLine="0" autoPict="0">
                <anchor moveWithCells="1" sizeWithCells="1">
                  <from>
                    <xdr:col>22</xdr:col>
                    <xdr:colOff>0</xdr:colOff>
                    <xdr:row>150</xdr:row>
                    <xdr:rowOff>0</xdr:rowOff>
                  </from>
                  <to>
                    <xdr:col>22</xdr:col>
                    <xdr:colOff>184150</xdr:colOff>
                    <xdr:row>150</xdr:row>
                    <xdr:rowOff>184150</xdr:rowOff>
                  </to>
                </anchor>
              </controlPr>
            </control>
          </mc:Choice>
        </mc:AlternateContent>
        <mc:AlternateContent xmlns:mc="http://schemas.openxmlformats.org/markup-compatibility/2006">
          <mc:Choice Requires="x14">
            <control shapeId="6205" r:id="rId22" name="Check Box 61">
              <controlPr locked="0" defaultSize="0" autoFill="0" autoLine="0" autoPict="0">
                <anchor moveWithCells="1" sizeWithCells="1">
                  <from>
                    <xdr:col>22</xdr:col>
                    <xdr:colOff>0</xdr:colOff>
                    <xdr:row>165</xdr:row>
                    <xdr:rowOff>0</xdr:rowOff>
                  </from>
                  <to>
                    <xdr:col>22</xdr:col>
                    <xdr:colOff>184150</xdr:colOff>
                    <xdr:row>165</xdr:row>
                    <xdr:rowOff>184150</xdr:rowOff>
                  </to>
                </anchor>
              </controlPr>
            </control>
          </mc:Choice>
        </mc:AlternateContent>
        <mc:AlternateContent xmlns:mc="http://schemas.openxmlformats.org/markup-compatibility/2006">
          <mc:Choice Requires="x14">
            <control shapeId="6206" r:id="rId23" name="Check Box 62">
              <controlPr locked="0" defaultSize="0" autoFill="0" autoLine="0" autoPict="0">
                <anchor moveWithCells="1" sizeWithCells="1">
                  <from>
                    <xdr:col>22</xdr:col>
                    <xdr:colOff>0</xdr:colOff>
                    <xdr:row>167</xdr:row>
                    <xdr:rowOff>0</xdr:rowOff>
                  </from>
                  <to>
                    <xdr:col>22</xdr:col>
                    <xdr:colOff>184150</xdr:colOff>
                    <xdr:row>167</xdr:row>
                    <xdr:rowOff>184150</xdr:rowOff>
                  </to>
                </anchor>
              </controlPr>
            </control>
          </mc:Choice>
        </mc:AlternateContent>
        <mc:AlternateContent xmlns:mc="http://schemas.openxmlformats.org/markup-compatibility/2006">
          <mc:Choice Requires="x14">
            <control shapeId="6207" r:id="rId24" name="Check Box 63">
              <controlPr locked="0" defaultSize="0" autoFill="0" autoLine="0" autoPict="0">
                <anchor moveWithCells="1" sizeWithCells="1">
                  <from>
                    <xdr:col>22</xdr:col>
                    <xdr:colOff>0</xdr:colOff>
                    <xdr:row>168</xdr:row>
                    <xdr:rowOff>0</xdr:rowOff>
                  </from>
                  <to>
                    <xdr:col>22</xdr:col>
                    <xdr:colOff>184150</xdr:colOff>
                    <xdr:row>168</xdr:row>
                    <xdr:rowOff>184150</xdr:rowOff>
                  </to>
                </anchor>
              </controlPr>
            </control>
          </mc:Choice>
        </mc:AlternateContent>
        <mc:AlternateContent xmlns:mc="http://schemas.openxmlformats.org/markup-compatibility/2006">
          <mc:Choice Requires="x14">
            <control shapeId="6208" r:id="rId25" name="Check Box 64">
              <controlPr locked="0" defaultSize="0" autoFill="0" autoLine="0" autoPict="0">
                <anchor moveWithCells="1" sizeWithCells="1">
                  <from>
                    <xdr:col>22</xdr:col>
                    <xdr:colOff>0</xdr:colOff>
                    <xdr:row>170</xdr:row>
                    <xdr:rowOff>0</xdr:rowOff>
                  </from>
                  <to>
                    <xdr:col>22</xdr:col>
                    <xdr:colOff>184150</xdr:colOff>
                    <xdr:row>170</xdr:row>
                    <xdr:rowOff>184150</xdr:rowOff>
                  </to>
                </anchor>
              </controlPr>
            </control>
          </mc:Choice>
        </mc:AlternateContent>
        <mc:AlternateContent xmlns:mc="http://schemas.openxmlformats.org/markup-compatibility/2006">
          <mc:Choice Requires="x14">
            <control shapeId="6211" r:id="rId26" name="Check Box 67">
              <controlPr locked="0" defaultSize="0" autoFill="0" autoLine="0" autoPict="0">
                <anchor moveWithCells="1" sizeWithCells="1">
                  <from>
                    <xdr:col>22</xdr:col>
                    <xdr:colOff>0</xdr:colOff>
                    <xdr:row>210</xdr:row>
                    <xdr:rowOff>0</xdr:rowOff>
                  </from>
                  <to>
                    <xdr:col>22</xdr:col>
                    <xdr:colOff>184150</xdr:colOff>
                    <xdr:row>210</xdr:row>
                    <xdr:rowOff>184150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BI387"/>
  <sheetViews>
    <sheetView showGridLines="0" zoomScaleNormal="100" workbookViewId="0">
      <pane ySplit="7" topLeftCell="A349" activePane="bottomLeft" state="frozen"/>
      <selection activeCell="S48" sqref="S48"/>
      <selection pane="bottomLeft" activeCell="S48" sqref="S48"/>
    </sheetView>
  </sheetViews>
  <sheetFormatPr defaultColWidth="9.1796875" defaultRowHeight="14.5" x14ac:dyDescent="0.35"/>
  <cols>
    <col min="1" max="1" width="9.1796875" style="12" hidden="1" customWidth="1"/>
    <col min="2" max="2" width="7.26953125" style="12" hidden="1" customWidth="1"/>
    <col min="3" max="7" width="3.81640625" style="12" hidden="1" customWidth="1"/>
    <col min="8" max="8" width="3.81640625" style="12" customWidth="1"/>
    <col min="9" max="9" width="10.453125" customWidth="1"/>
    <col min="10" max="11" width="3.81640625" customWidth="1"/>
    <col min="12" max="12" width="71.7265625" customWidth="1"/>
    <col min="13" max="13" width="13.54296875" style="33" customWidth="1"/>
    <col min="14" max="14" width="7.7265625" hidden="1" customWidth="1"/>
    <col min="15" max="15" width="7.7265625" customWidth="1"/>
    <col min="16" max="21" width="8.81640625" hidden="1" customWidth="1"/>
    <col min="22" max="22" width="3" hidden="1" customWidth="1"/>
    <col min="23" max="23" width="21.453125" customWidth="1"/>
    <col min="24" max="24" width="69" customWidth="1"/>
    <col min="25" max="26" width="34.81640625" hidden="1" customWidth="1"/>
    <col min="27" max="28" width="9.1796875" hidden="1" customWidth="1"/>
    <col min="29" max="29" width="8.54296875" hidden="1" customWidth="1"/>
    <col min="30" max="30" width="6.1796875" hidden="1" customWidth="1"/>
    <col min="31" max="31" width="10.453125" hidden="1" customWidth="1"/>
    <col min="32" max="37" width="9.1796875" hidden="1" customWidth="1"/>
    <col min="38" max="38" width="16.453125" hidden="1" customWidth="1"/>
    <col min="39" max="39" width="2.1796875" hidden="1" customWidth="1"/>
    <col min="40" max="40" width="14.26953125" hidden="1" customWidth="1"/>
    <col min="41" max="41" width="2.1796875" hidden="1" customWidth="1"/>
    <col min="42" max="42" width="14.26953125" hidden="1" customWidth="1"/>
    <col min="43" max="43" width="2.1796875" hidden="1" customWidth="1"/>
    <col min="44" max="44" width="14.1796875" hidden="1" customWidth="1"/>
    <col min="45" max="45" width="2.1796875" hidden="1" customWidth="1"/>
    <col min="46" max="61" width="9.1796875" hidden="1" customWidth="1"/>
  </cols>
  <sheetData>
    <row r="1" spans="1:61" x14ac:dyDescent="0.35">
      <c r="H1" s="856" t="s">
        <v>4088</v>
      </c>
      <c r="I1" s="867" t="str">
        <f ca="1">IF(OR(AG3,AI3),"Errors on page, no Level reached","Current Chapter level: "&amp;AG1&amp;"                                            Total Points: "&amp;AG2)</f>
        <v>Current Chapter level: Bronze                                            Total Points: 31</v>
      </c>
      <c r="J1" s="867"/>
      <c r="K1" s="867"/>
      <c r="L1" s="867"/>
      <c r="M1" s="857"/>
      <c r="N1" s="857"/>
      <c r="O1" s="857"/>
      <c r="P1" s="857"/>
      <c r="Q1" s="857"/>
      <c r="R1" s="857"/>
      <c r="S1" s="857"/>
      <c r="T1" s="857"/>
      <c r="U1" s="857"/>
      <c r="V1" s="857"/>
      <c r="W1" s="857"/>
      <c r="X1" s="716" t="s">
        <v>4063</v>
      </c>
      <c r="AF1" s="6" t="s">
        <v>751</v>
      </c>
      <c r="AG1" t="str">
        <f ca="1">IF(OR(AG3,AI3),"None",Ch9Level)</f>
        <v>Bronze</v>
      </c>
    </row>
    <row r="2" spans="1:61" x14ac:dyDescent="0.35">
      <c r="H2" s="856"/>
      <c r="I2" s="868" t="str">
        <f ca="1">"Points away from:  Bronze: "&amp;MAX(Points!C19-Ch9Points,0)&amp;",  Silver: "&amp;MAX(Points!D19-Ch9Points,0)&amp;",  Gold: "&amp;MAX(Points!E19-Ch9Points,0)&amp;",  Emerald: "&amp;MAX(Points!F19-Ch9Points,0)</f>
        <v>Points away from:  Bronze: 0,  Silver: 11,  Gold: 38,  Emerald: 66</v>
      </c>
      <c r="J2" s="868"/>
      <c r="K2" s="868"/>
      <c r="L2" s="868"/>
      <c r="M2" s="857"/>
      <c r="N2" s="857"/>
      <c r="O2" s="857"/>
      <c r="P2" s="857"/>
      <c r="Q2" s="857"/>
      <c r="R2" s="857"/>
      <c r="S2" s="857"/>
      <c r="T2" s="857"/>
      <c r="U2" s="857"/>
      <c r="V2" s="857"/>
      <c r="W2" s="857"/>
      <c r="X2" s="716" t="s">
        <v>3504</v>
      </c>
      <c r="AF2" s="6" t="s">
        <v>752</v>
      </c>
      <c r="AG2">
        <f ca="1">INDIRECT(AF2)</f>
        <v>31</v>
      </c>
      <c r="AH2" t="s">
        <v>754</v>
      </c>
      <c r="AI2">
        <f ca="1">INDIRECT(AH2)</f>
        <v>11</v>
      </c>
    </row>
    <row r="3" spans="1:61" x14ac:dyDescent="0.35">
      <c r="H3" s="856"/>
      <c r="I3" s="868" t="str">
        <f ca="1">"Add'l pts earned above:  Bronze: "&amp; MAX(0,Ch9Points-Points!C19) &amp;",  Silver: " &amp; MAX(0,Ch9Points-Points!D19) &amp;",  Gold: " &amp; MAX(0,Ch9Points-Points!E19) &amp;",  Emerald: " &amp; MAX(0,Ch9Points-Points!F19)</f>
        <v>Add'l pts earned above:  Bronze: 6,  Silver: 0,  Gold: 0,  Emerald: 0</v>
      </c>
      <c r="J3" s="868"/>
      <c r="K3" s="868"/>
      <c r="L3" s="868"/>
      <c r="M3" s="857"/>
      <c r="N3" s="857"/>
      <c r="O3" s="857"/>
      <c r="P3" s="857"/>
      <c r="Q3" s="857"/>
      <c r="R3" s="857"/>
      <c r="S3" s="857"/>
      <c r="T3" s="857"/>
      <c r="U3" s="857"/>
      <c r="V3" s="857"/>
      <c r="W3" s="857"/>
      <c r="X3" s="716" t="s">
        <v>3503</v>
      </c>
      <c r="AF3" s="6" t="s">
        <v>753</v>
      </c>
      <c r="AG3" t="b">
        <f>OR(AE:AE)</f>
        <v>0</v>
      </c>
      <c r="AH3" s="6" t="s">
        <v>755</v>
      </c>
      <c r="AI3" t="b">
        <f ca="1">OR(AD:AD)</f>
        <v>0</v>
      </c>
    </row>
    <row r="4" spans="1:61" x14ac:dyDescent="0.35">
      <c r="H4" s="856"/>
      <c r="I4" s="871" t="str">
        <f>"Total Chapter Points needed for:  Bronze: "&amp;Points!C19&amp;",  Silver: "&amp;Points!D19&amp;",  Gold: "&amp;Points!E19&amp;",  Emerald: "&amp;Points!F19</f>
        <v>Total Chapter Points needed for:  Bronze: 25,  Silver: 42,  Gold: 69,  Emerald: 97</v>
      </c>
      <c r="J4" s="872"/>
      <c r="K4" s="872"/>
      <c r="L4" s="873"/>
      <c r="M4" s="857"/>
      <c r="N4" s="857"/>
      <c r="O4" s="857"/>
      <c r="P4" s="857"/>
      <c r="Q4" s="857"/>
      <c r="R4" s="857"/>
      <c r="S4" s="857"/>
      <c r="T4" s="857"/>
      <c r="U4" s="857"/>
      <c r="V4" s="857"/>
      <c r="W4" s="857"/>
      <c r="X4" s="762" t="s">
        <v>4873</v>
      </c>
      <c r="AF4" s="6"/>
      <c r="AH4" s="6"/>
    </row>
    <row r="5" spans="1:61" x14ac:dyDescent="0.35">
      <c r="H5" s="856"/>
      <c r="I5" s="874" t="str">
        <f>"Revision Date:  "&amp;TEXT('Info &amp; Intro'!E7,"m/d/yyyy")</f>
        <v>Revision Date:  5/25/2023</v>
      </c>
      <c r="J5" s="875"/>
      <c r="K5" s="875"/>
      <c r="L5" s="876"/>
      <c r="M5" s="857"/>
      <c r="N5" s="857"/>
      <c r="O5" s="857"/>
      <c r="P5" s="857"/>
      <c r="Q5" s="857"/>
      <c r="R5" s="857"/>
      <c r="S5" s="857"/>
      <c r="T5" s="857"/>
      <c r="U5" s="857"/>
      <c r="V5" s="857"/>
      <c r="W5" s="857"/>
      <c r="X5" s="762"/>
      <c r="AF5" s="6"/>
      <c r="AH5" s="6"/>
    </row>
    <row r="6" spans="1:61" x14ac:dyDescent="0.35">
      <c r="H6" s="856"/>
      <c r="I6" s="877" t="s">
        <v>248</v>
      </c>
      <c r="J6" s="878"/>
      <c r="K6" s="879"/>
      <c r="L6" s="860" t="s">
        <v>1111</v>
      </c>
      <c r="M6" s="860" t="s">
        <v>249</v>
      </c>
      <c r="N6" s="860"/>
      <c r="O6" s="23" t="s">
        <v>318</v>
      </c>
      <c r="P6" s="860" t="s">
        <v>4101</v>
      </c>
      <c r="Q6" s="860" t="s">
        <v>309</v>
      </c>
      <c r="R6" s="860" t="s">
        <v>250</v>
      </c>
      <c r="S6" s="860" t="s">
        <v>251</v>
      </c>
      <c r="T6" s="860" t="s">
        <v>0</v>
      </c>
      <c r="U6" s="860" t="s">
        <v>4102</v>
      </c>
      <c r="V6" s="860"/>
      <c r="W6" s="860" t="s">
        <v>252</v>
      </c>
      <c r="X6" s="869" t="s">
        <v>1</v>
      </c>
      <c r="AC6" s="2" t="s">
        <v>307</v>
      </c>
      <c r="AD6" s="2" t="s">
        <v>0</v>
      </c>
      <c r="AE6" s="2" t="s">
        <v>306</v>
      </c>
    </row>
    <row r="7" spans="1:61" x14ac:dyDescent="0.35">
      <c r="H7" s="856"/>
      <c r="I7" s="877"/>
      <c r="J7" s="878"/>
      <c r="K7" s="879"/>
      <c r="L7" s="860"/>
      <c r="M7" s="860"/>
      <c r="N7" s="860"/>
      <c r="O7" s="23" t="s">
        <v>319</v>
      </c>
      <c r="P7" s="860"/>
      <c r="Q7" s="860"/>
      <c r="R7" s="860"/>
      <c r="S7" s="860"/>
      <c r="T7" s="860"/>
      <c r="U7" s="860"/>
      <c r="V7" s="860"/>
      <c r="W7" s="860"/>
      <c r="X7" s="870"/>
      <c r="AC7" s="2" t="s">
        <v>307</v>
      </c>
      <c r="AD7" s="2" t="s">
        <v>0</v>
      </c>
      <c r="AE7" s="2" t="s">
        <v>306</v>
      </c>
    </row>
    <row r="8" spans="1:61" hidden="1" x14ac:dyDescent="0.35">
      <c r="I8" s="451"/>
      <c r="J8" s="451"/>
      <c r="K8" s="451"/>
      <c r="L8" s="22"/>
      <c r="M8" s="22"/>
      <c r="N8" s="22"/>
      <c r="O8" s="23"/>
      <c r="P8" s="22"/>
      <c r="Q8" s="22"/>
      <c r="R8" s="22"/>
      <c r="S8" s="22"/>
      <c r="T8" s="22"/>
      <c r="U8" s="22"/>
      <c r="V8" s="22"/>
      <c r="W8" s="22"/>
      <c r="X8" s="451"/>
      <c r="AC8" s="2"/>
      <c r="AD8" s="2"/>
      <c r="AE8" s="2"/>
    </row>
    <row r="9" spans="1:61" ht="18.5" x14ac:dyDescent="0.45">
      <c r="A9" s="12" t="s">
        <v>247</v>
      </c>
      <c r="B9" s="12" t="s">
        <v>247</v>
      </c>
      <c r="C9" s="12" t="s">
        <v>247</v>
      </c>
      <c r="D9" s="12" t="s">
        <v>247</v>
      </c>
      <c r="E9" s="12" t="s">
        <v>247</v>
      </c>
      <c r="F9" s="12" t="s">
        <v>247</v>
      </c>
      <c r="G9" s="12" t="s">
        <v>247</v>
      </c>
      <c r="H9" s="455"/>
      <c r="I9" s="14" t="s">
        <v>4892</v>
      </c>
      <c r="J9" s="14"/>
      <c r="K9" s="14"/>
      <c r="L9" s="15"/>
      <c r="M9" s="16"/>
      <c r="N9" t="s">
        <v>247</v>
      </c>
      <c r="O9" s="16"/>
      <c r="P9" t="s">
        <v>247</v>
      </c>
      <c r="Q9" t="s">
        <v>247</v>
      </c>
      <c r="R9" t="s">
        <v>247</v>
      </c>
      <c r="S9" t="s">
        <v>247</v>
      </c>
      <c r="T9" t="s">
        <v>247</v>
      </c>
      <c r="U9" t="s">
        <v>247</v>
      </c>
      <c r="V9" t="s">
        <v>247</v>
      </c>
      <c r="W9" s="15"/>
      <c r="X9" s="15"/>
      <c r="Y9" s="21" t="s">
        <v>247</v>
      </c>
      <c r="Z9" s="21" t="s">
        <v>247</v>
      </c>
      <c r="AA9" s="21" t="s">
        <v>247</v>
      </c>
      <c r="AB9" s="21" t="s">
        <v>247</v>
      </c>
      <c r="AC9" s="21" t="s">
        <v>247</v>
      </c>
      <c r="AD9" s="21" t="s">
        <v>247</v>
      </c>
      <c r="AE9" s="21" t="s">
        <v>247</v>
      </c>
      <c r="AF9" s="21" t="s">
        <v>247</v>
      </c>
      <c r="AG9" s="21" t="s">
        <v>247</v>
      </c>
      <c r="AH9" s="21" t="s">
        <v>247</v>
      </c>
      <c r="AI9" s="21" t="s">
        <v>247</v>
      </c>
      <c r="AJ9" s="21" t="s">
        <v>247</v>
      </c>
      <c r="AK9" s="21" t="s">
        <v>247</v>
      </c>
      <c r="AL9" s="21" t="s">
        <v>247</v>
      </c>
      <c r="AM9" s="21" t="s">
        <v>247</v>
      </c>
      <c r="AN9" s="21" t="s">
        <v>247</v>
      </c>
      <c r="AO9" s="21" t="s">
        <v>247</v>
      </c>
      <c r="AP9" s="21" t="s">
        <v>247</v>
      </c>
      <c r="AQ9" s="21" t="s">
        <v>247</v>
      </c>
      <c r="AR9" s="21" t="s">
        <v>247</v>
      </c>
      <c r="AS9" s="21" t="s">
        <v>247</v>
      </c>
      <c r="AT9" s="21" t="s">
        <v>247</v>
      </c>
      <c r="AU9" s="21" t="s">
        <v>247</v>
      </c>
      <c r="AV9" s="21" t="s">
        <v>247</v>
      </c>
      <c r="AW9" s="21" t="s">
        <v>247</v>
      </c>
      <c r="AX9" s="21" t="s">
        <v>247</v>
      </c>
      <c r="AY9" s="21" t="s">
        <v>247</v>
      </c>
      <c r="AZ9" s="21" t="s">
        <v>247</v>
      </c>
      <c r="BA9" s="21" t="s">
        <v>247</v>
      </c>
      <c r="BB9" s="21" t="s">
        <v>247</v>
      </c>
      <c r="BC9" s="21" t="s">
        <v>247</v>
      </c>
      <c r="BD9" s="21" t="s">
        <v>247</v>
      </c>
      <c r="BE9" s="21" t="s">
        <v>247</v>
      </c>
      <c r="BF9" s="21" t="s">
        <v>247</v>
      </c>
      <c r="BG9" s="21" t="s">
        <v>247</v>
      </c>
      <c r="BH9" s="21" t="s">
        <v>247</v>
      </c>
      <c r="BI9" s="21" t="s">
        <v>247</v>
      </c>
    </row>
    <row r="10" spans="1:61" x14ac:dyDescent="0.35">
      <c r="B10" s="412" t="s">
        <v>3986</v>
      </c>
      <c r="C10" s="13"/>
      <c r="D10" s="13"/>
      <c r="E10" s="13"/>
      <c r="F10" s="13"/>
      <c r="G10" s="13"/>
      <c r="H10" s="453"/>
      <c r="I10" s="38" t="s">
        <v>3986</v>
      </c>
      <c r="J10" s="4"/>
      <c r="K10" s="4"/>
      <c r="L10" s="95" t="s">
        <v>3143</v>
      </c>
      <c r="M10" s="94"/>
      <c r="O10" s="40"/>
    </row>
    <row r="11" spans="1:61" x14ac:dyDescent="0.35">
      <c r="B11" s="412">
        <v>901.1</v>
      </c>
      <c r="C11" s="13"/>
      <c r="D11" s="13"/>
      <c r="E11" s="13"/>
      <c r="F11" s="13"/>
      <c r="G11" s="13"/>
      <c r="H11" s="453"/>
      <c r="I11" s="143">
        <v>901.1</v>
      </c>
      <c r="J11" s="4"/>
      <c r="K11" s="4"/>
      <c r="L11" s="95" t="s">
        <v>3144</v>
      </c>
      <c r="M11" s="94"/>
      <c r="O11" s="40"/>
      <c r="AX11" s="6" t="str">
        <f>'Overview (Design)'!A10</f>
        <v>Builder Name:</v>
      </c>
      <c r="AY11" t="str">
        <f>'Overview (Design)'!G10</f>
        <v>ABC Builder</v>
      </c>
    </row>
    <row r="12" spans="1:61" x14ac:dyDescent="0.35">
      <c r="B12" s="412" t="s">
        <v>3145</v>
      </c>
      <c r="C12" s="13"/>
      <c r="D12" s="13"/>
      <c r="E12" s="13"/>
      <c r="F12" s="13"/>
      <c r="G12" s="13"/>
      <c r="H12" s="453"/>
      <c r="I12" s="143" t="s">
        <v>3145</v>
      </c>
      <c r="J12" s="4"/>
      <c r="K12" s="4"/>
      <c r="L12" s="838" t="s">
        <v>3146</v>
      </c>
      <c r="M12" s="818">
        <v>5</v>
      </c>
      <c r="N12" s="4"/>
      <c r="O12" s="832">
        <f>M12*S12*W12</f>
        <v>5</v>
      </c>
      <c r="P12" t="b">
        <v>1</v>
      </c>
      <c r="Q12" t="b">
        <v>1</v>
      </c>
      <c r="R12" t="b">
        <v>0</v>
      </c>
      <c r="S12" t="b">
        <v>1</v>
      </c>
      <c r="T12" t="b">
        <v>0</v>
      </c>
      <c r="W12" s="17" t="b">
        <v>1</v>
      </c>
      <c r="X12" s="817"/>
      <c r="AL12" t="str">
        <f>SUBSTITUTE(SUBSTITUTE(SUBSTITUTE("dpa"&amp;$B12&amp;$C12&amp;$D12&amp;$E12,".","_"),"(","_"),")","")</f>
        <v>dpa901_1_1</v>
      </c>
      <c r="AM12">
        <f>M12</f>
        <v>5</v>
      </c>
      <c r="AN12" t="str">
        <f>SUBSTITUTE(SUBSTITUTE(SUBSTITUTE("dpc"&amp;$B12&amp;$C12&amp;$D12&amp;$E12,".","_"),"(","_"),")","")</f>
        <v>dpc901_1_1</v>
      </c>
      <c r="AO12">
        <f>O12</f>
        <v>5</v>
      </c>
      <c r="AP12" t="str">
        <f>SUBSTITUTE(SUBSTITUTE(SUBSTITUTE("dch"&amp;$B12&amp;$C12&amp;$D12&amp;$E12,".","_"),"(","_"),")","")</f>
        <v>dch901_1_1</v>
      </c>
      <c r="AQ12" t="b">
        <f>IF(LEN(W12)=0,"",W12)</f>
        <v>1</v>
      </c>
      <c r="AR12" t="str">
        <f>SUBSTITUTE(SUBSTITUTE(SUBSTITUTE("dnt"&amp;$B12&amp;$C12&amp;$D12&amp;$E12,".","_"),"(","_"),")","")</f>
        <v>dnt901_1_1</v>
      </c>
      <c r="AS12" t="str">
        <f>IF(LEN(X12)=0,"",X12)</f>
        <v/>
      </c>
      <c r="AX12" s="6" t="str">
        <f>'Overview (Design)'!A11</f>
        <v>Physical Address of Home:</v>
      </c>
      <c r="AY12" t="str">
        <f>'Overview (Design)'!G11</f>
        <v>123 Example Drive</v>
      </c>
    </row>
    <row r="13" spans="1:61" x14ac:dyDescent="0.35">
      <c r="B13" s="412" t="s">
        <v>3145</v>
      </c>
      <c r="C13" s="13"/>
      <c r="D13" s="13"/>
      <c r="E13" s="13"/>
      <c r="F13" s="13"/>
      <c r="G13" s="13"/>
      <c r="H13" s="453"/>
      <c r="I13" s="93"/>
      <c r="J13" s="4"/>
      <c r="K13" s="4"/>
      <c r="L13" s="838"/>
      <c r="M13" s="818"/>
      <c r="N13" s="4"/>
      <c r="O13" s="832"/>
      <c r="X13" s="817"/>
      <c r="AX13" s="6" t="str">
        <f>'Overview (Design)'!A12</f>
        <v>Community/Lot #:</v>
      </c>
      <c r="AY13" t="str">
        <f>'Overview (Design)'!G12</f>
        <v>Lot 1A</v>
      </c>
    </row>
    <row r="14" spans="1:61" x14ac:dyDescent="0.35">
      <c r="B14" s="412" t="s">
        <v>3145</v>
      </c>
      <c r="C14" s="13"/>
      <c r="D14" s="13"/>
      <c r="E14" s="13"/>
      <c r="F14" s="13"/>
      <c r="G14" s="13"/>
      <c r="H14" s="453"/>
      <c r="I14" s="93"/>
      <c r="J14" s="4"/>
      <c r="K14" s="4"/>
      <c r="L14" s="838"/>
      <c r="M14" s="818"/>
      <c r="N14" s="4"/>
      <c r="O14" s="832"/>
      <c r="X14" s="817"/>
      <c r="AX14" s="6" t="str">
        <f>'Overview (Design)'!A13</f>
        <v>City:</v>
      </c>
      <c r="AY14" t="str">
        <f>'Overview (Design)'!G13</f>
        <v>Durham</v>
      </c>
    </row>
    <row r="15" spans="1:61" x14ac:dyDescent="0.35">
      <c r="B15" s="412" t="s">
        <v>3145</v>
      </c>
      <c r="C15" s="13"/>
      <c r="D15" s="13"/>
      <c r="E15" s="13"/>
      <c r="F15" s="13"/>
      <c r="G15" s="13"/>
      <c r="H15" s="453"/>
      <c r="I15" s="93"/>
      <c r="J15" s="4"/>
      <c r="K15" s="4"/>
      <c r="L15" s="838"/>
      <c r="M15" s="818"/>
      <c r="N15" s="4"/>
      <c r="O15" s="832"/>
      <c r="X15" s="817"/>
      <c r="AX15" s="6" t="str">
        <f>'Overview (Design)'!A14</f>
        <v>State:</v>
      </c>
      <c r="AY15" t="str">
        <f>'Overview (Design)'!G14</f>
        <v>North Carolina</v>
      </c>
      <c r="BC15" t="str">
        <f>'Overview (Design)'!K14</f>
        <v>State</v>
      </c>
      <c r="BD15" t="str">
        <f>'Overview (Design)'!L14</f>
        <v>County</v>
      </c>
      <c r="BE15" t="str">
        <f>'Overview (Design)'!M14</f>
        <v>Radon</v>
      </c>
      <c r="BF15" t="str">
        <f>'Overview (Design)'!N14</f>
        <v>Climate</v>
      </c>
      <c r="BG15" t="str">
        <f>'Overview (Design)'!O14</f>
        <v>Moist</v>
      </c>
      <c r="BH15" t="str">
        <f>'Overview (Design)'!P14</f>
        <v>WarmHumid</v>
      </c>
      <c r="BI15" t="str">
        <f>'Overview (Design)'!Q14</f>
        <v>Tropical</v>
      </c>
    </row>
    <row r="16" spans="1:61" x14ac:dyDescent="0.35">
      <c r="B16" s="412" t="s">
        <v>3145</v>
      </c>
      <c r="C16" s="13"/>
      <c r="D16" s="13"/>
      <c r="E16" s="13"/>
      <c r="F16" s="13"/>
      <c r="G16" s="13"/>
      <c r="H16" s="453"/>
      <c r="I16" s="93"/>
      <c r="J16" s="4"/>
      <c r="K16" s="4"/>
      <c r="L16" s="955" t="s">
        <v>3378</v>
      </c>
      <c r="M16" s="818"/>
      <c r="N16" s="4"/>
      <c r="O16" s="832"/>
      <c r="X16" s="817"/>
      <c r="AX16" s="6" t="str">
        <f>'Overview (Design)'!A15</f>
        <v>County:</v>
      </c>
      <c r="AY16" t="str">
        <f>'Overview (Design)'!G15</f>
        <v xml:space="preserve">Chatham  </v>
      </c>
      <c r="BC16" t="str">
        <f>'Overview (Design)'!K15</f>
        <v>North Carolina</v>
      </c>
      <c r="BD16" t="str">
        <f>'Overview (Design)'!L15</f>
        <v xml:space="preserve">Chatham  </v>
      </c>
      <c r="BE16">
        <f>'Overview (Design)'!M15</f>
        <v>3</v>
      </c>
      <c r="BF16">
        <f>'Overview (Design)'!N15</f>
        <v>4</v>
      </c>
      <c r="BG16" t="str">
        <f>'Overview (Design)'!O15</f>
        <v>Moist</v>
      </c>
      <c r="BH16" t="str">
        <f>'Overview (Design)'!P15</f>
        <v xml:space="preserve"> </v>
      </c>
      <c r="BI16" t="str">
        <f>'Overview (Design)'!Q15</f>
        <v xml:space="preserve"> </v>
      </c>
    </row>
    <row r="17" spans="2:51" x14ac:dyDescent="0.35">
      <c r="B17" s="412" t="s">
        <v>3145</v>
      </c>
      <c r="C17" s="13"/>
      <c r="D17" s="13"/>
      <c r="E17" s="13"/>
      <c r="F17" s="13"/>
      <c r="G17" s="13"/>
      <c r="H17" s="453"/>
      <c r="I17" s="320"/>
      <c r="J17" s="133"/>
      <c r="K17" s="133"/>
      <c r="L17" s="969"/>
      <c r="M17" s="819"/>
      <c r="N17" s="133"/>
      <c r="O17" s="824"/>
      <c r="P17" s="104"/>
      <c r="Q17" s="104"/>
      <c r="R17" s="104"/>
      <c r="S17" s="104"/>
      <c r="T17" s="104"/>
      <c r="U17" s="104"/>
      <c r="V17" s="104"/>
      <c r="W17" s="104"/>
      <c r="X17" s="817"/>
      <c r="AX17" s="6" t="str">
        <f>'Overview (Design)'!A16</f>
        <v>Zip:</v>
      </c>
      <c r="AY17" t="str">
        <f>'Overview (Design)'!G16</f>
        <v>27703</v>
      </c>
    </row>
    <row r="18" spans="2:51" x14ac:dyDescent="0.35">
      <c r="B18" s="412" t="s">
        <v>3147</v>
      </c>
      <c r="C18" s="13"/>
      <c r="D18" s="13"/>
      <c r="E18" s="13"/>
      <c r="F18" s="13"/>
      <c r="G18" s="13"/>
      <c r="H18" s="453"/>
      <c r="I18" s="117" t="s">
        <v>3147</v>
      </c>
      <c r="J18" s="118"/>
      <c r="K18" s="118"/>
      <c r="L18" s="905" t="s">
        <v>3148</v>
      </c>
      <c r="M18" s="822">
        <v>5</v>
      </c>
      <c r="N18" s="118"/>
      <c r="O18" s="823">
        <f>M18*S18*W18</f>
        <v>0</v>
      </c>
      <c r="P18" t="b">
        <v>1</v>
      </c>
      <c r="Q18" t="b">
        <v>0</v>
      </c>
      <c r="R18" s="120" t="b">
        <v>0</v>
      </c>
      <c r="S18" s="120" t="b">
        <v>1</v>
      </c>
      <c r="T18" s="120" t="b">
        <v>0</v>
      </c>
      <c r="U18" s="120"/>
      <c r="V18" s="120"/>
      <c r="W18" s="17"/>
      <c r="X18" s="817"/>
      <c r="AL18" t="str">
        <f>SUBSTITUTE(SUBSTITUTE(SUBSTITUTE("dpa"&amp;$B18&amp;$C18&amp;$D18&amp;$E18,".","_"),"(","_"),")","")</f>
        <v>dpa901_1_2</v>
      </c>
      <c r="AM18">
        <f>M18</f>
        <v>5</v>
      </c>
      <c r="AN18" t="str">
        <f>SUBSTITUTE(SUBSTITUTE(SUBSTITUTE("dpc"&amp;$B18&amp;$C18&amp;$D18&amp;$E18,".","_"),"(","_"),")","")</f>
        <v>dpc901_1_2</v>
      </c>
      <c r="AO18">
        <f>O18</f>
        <v>0</v>
      </c>
      <c r="AP18" t="str">
        <f>SUBSTITUTE(SUBSTITUTE(SUBSTITUTE("dch"&amp;$B18&amp;$C18&amp;$D18&amp;$E18,".","_"),"(","_"),")","")</f>
        <v>dch901_1_2</v>
      </c>
      <c r="AQ18" t="str">
        <f>IF(LEN(W18)=0,"",W18)</f>
        <v/>
      </c>
      <c r="AR18" t="str">
        <f>SUBSTITUTE(SUBSTITUTE(SUBSTITUTE("dnt"&amp;$B18&amp;$C18&amp;$D18&amp;$E18,".","_"),"(","_"),")","")</f>
        <v>dnt901_1_2</v>
      </c>
      <c r="AS18" t="str">
        <f>IF(LEN(X18)=0,"",X18)</f>
        <v/>
      </c>
      <c r="AX18" s="6"/>
    </row>
    <row r="19" spans="2:51" x14ac:dyDescent="0.35">
      <c r="B19" s="412" t="s">
        <v>3147</v>
      </c>
      <c r="C19" s="13"/>
      <c r="D19" s="13"/>
      <c r="E19" s="13"/>
      <c r="F19" s="13"/>
      <c r="G19" s="13"/>
      <c r="H19" s="453"/>
      <c r="I19" s="93"/>
      <c r="J19" s="4"/>
      <c r="K19" s="4"/>
      <c r="L19" s="838"/>
      <c r="M19" s="818"/>
      <c r="N19" s="4"/>
      <c r="O19" s="832"/>
      <c r="X19" s="817"/>
      <c r="AX19" s="6" t="str">
        <f>'Overview (Design)'!A18</f>
        <v>Single-Family or Multifamily:</v>
      </c>
      <c r="AY19" t="str">
        <f>'Overview (Design)'!G18</f>
        <v>Single-Family</v>
      </c>
    </row>
    <row r="20" spans="2:51" x14ac:dyDescent="0.35">
      <c r="B20" s="412" t="s">
        <v>3147</v>
      </c>
      <c r="C20" s="13"/>
      <c r="D20" s="13"/>
      <c r="E20" s="13"/>
      <c r="F20" s="13"/>
      <c r="G20" s="13"/>
      <c r="H20" s="453"/>
      <c r="I20" s="320"/>
      <c r="J20" s="133"/>
      <c r="K20" s="133"/>
      <c r="L20" s="284" t="s">
        <v>3660</v>
      </c>
      <c r="M20" s="268"/>
      <c r="N20" s="133"/>
      <c r="O20" s="309"/>
      <c r="P20" s="104"/>
      <c r="Q20" s="104"/>
      <c r="R20" s="104"/>
      <c r="S20" s="104"/>
      <c r="T20" s="104"/>
      <c r="U20" s="104"/>
      <c r="V20" s="104"/>
      <c r="W20" s="104"/>
      <c r="X20" s="817"/>
      <c r="AX20" s="6" t="str">
        <f>'Overview (Design)'!A19</f>
        <v>Number of Units:</v>
      </c>
      <c r="AY20">
        <f>'Overview (Design)'!G19</f>
        <v>0</v>
      </c>
    </row>
    <row r="21" spans="2:51" x14ac:dyDescent="0.35">
      <c r="B21" s="412" t="s">
        <v>3149</v>
      </c>
      <c r="C21" s="13"/>
      <c r="D21" s="13"/>
      <c r="E21" s="13"/>
      <c r="F21" s="13"/>
      <c r="G21" s="13"/>
      <c r="H21" s="453"/>
      <c r="I21" s="30" t="s">
        <v>3149</v>
      </c>
      <c r="J21" s="4"/>
      <c r="K21" s="4"/>
      <c r="L21" s="838" t="s">
        <v>3150</v>
      </c>
      <c r="M21" s="40"/>
      <c r="N21" s="4"/>
      <c r="O21" s="75"/>
      <c r="AX21" s="6" t="str">
        <f>'Overview (Design)'!A20</f>
        <v>Building includes commercial space pursuing Commercial Space certification?</v>
      </c>
      <c r="AY21">
        <f>'Overview (Design)'!G20</f>
        <v>0</v>
      </c>
    </row>
    <row r="22" spans="2:51" x14ac:dyDescent="0.35">
      <c r="B22" s="412" t="s">
        <v>3149</v>
      </c>
      <c r="C22" s="13"/>
      <c r="D22" s="13"/>
      <c r="E22" s="13"/>
      <c r="F22" s="13"/>
      <c r="G22" s="13"/>
      <c r="H22" s="453"/>
      <c r="I22" s="93"/>
      <c r="J22" s="4"/>
      <c r="K22" s="4"/>
      <c r="L22" s="838"/>
      <c r="M22" s="40"/>
      <c r="N22" s="4"/>
      <c r="O22" s="75"/>
    </row>
    <row r="23" spans="2:51" x14ac:dyDescent="0.35">
      <c r="B23" s="412" t="s">
        <v>3149</v>
      </c>
      <c r="C23" s="13" t="s">
        <v>256</v>
      </c>
      <c r="D23" s="13"/>
      <c r="E23" s="13"/>
      <c r="F23" s="13"/>
      <c r="G23" s="13"/>
      <c r="H23" s="453"/>
      <c r="I23" s="93"/>
      <c r="J23" s="19" t="s">
        <v>256</v>
      </c>
      <c r="K23" s="4"/>
      <c r="L23" s="90" t="s">
        <v>3151</v>
      </c>
      <c r="M23" s="40"/>
      <c r="N23" s="4"/>
      <c r="O23" s="75">
        <f ca="1">IFERROR(INDEX({3,5},MATCH(W23,INDIRECT(U23),0)),0)*S23</f>
        <v>5</v>
      </c>
      <c r="P23" t="b">
        <v>1</v>
      </c>
      <c r="Q23" t="b">
        <v>1</v>
      </c>
      <c r="R23" t="b">
        <v>0</v>
      </c>
      <c r="S23" t="b">
        <f>OR(AY35=INDEX(ddHeat1,1),AY35=INDEX(ddHeat1,2),AY36=INDEX(ddHeat2,1),AY36=INDEX(ddHeat2,2),AY37=INDEX(ddHeat3,1),AY37=INDEX(ddHeat3,2))</f>
        <v>1</v>
      </c>
      <c r="T23" t="b">
        <f>AND(NOT(S23),LEN(W23)&gt;0)</f>
        <v>0</v>
      </c>
      <c r="U23" t="str">
        <f>SUBSTITUTE(SUBSTITUTE(SUBSTITUTE("dd"&amp;B23&amp;C23&amp;D23&amp;E23&amp;F23,".","_"),"(","_"),")","")</f>
        <v>dd901_1_3_1</v>
      </c>
      <c r="W23" s="9" t="s">
        <v>122</v>
      </c>
      <c r="X23" s="817"/>
      <c r="AC23" t="b">
        <f>OR(AD23:AE23)</f>
        <v>0</v>
      </c>
      <c r="AD23" t="b">
        <f>T23</f>
        <v>0</v>
      </c>
      <c r="AN23" t="str">
        <f>SUBSTITUTE(SUBSTITUTE(SUBSTITUTE("dpc"&amp;$B23&amp;$C23&amp;$D23&amp;$E23,".","_"),"(","_"),")","")</f>
        <v>dpc901_1_3_1</v>
      </c>
      <c r="AO23">
        <f ca="1">O23</f>
        <v>5</v>
      </c>
      <c r="AP23" t="str">
        <f>SUBSTITUTE(SUBSTITUTE(SUBSTITUTE("dch"&amp;$B23&amp;$C23&amp;$D23&amp;$E23,".","_"),"(","_"),")","")</f>
        <v>dch901_1_3_1</v>
      </c>
      <c r="AQ23" t="str">
        <f>IF(LEN(W23)=0,"",W23)</f>
        <v>(b)</v>
      </c>
      <c r="AR23" t="str">
        <f>SUBSTITUTE(SUBSTITUTE(SUBSTITUTE("dnt"&amp;$B23&amp;$C23&amp;$D23&amp;$E23,".","_"),"(","_"),")","")</f>
        <v>dnt901_1_3_1</v>
      </c>
      <c r="AS23" t="str">
        <f>IF(LEN(X23)=0,"",X23)</f>
        <v/>
      </c>
    </row>
    <row r="24" spans="2:51" x14ac:dyDescent="0.35">
      <c r="B24" s="412" t="s">
        <v>3149</v>
      </c>
      <c r="C24" s="13" t="s">
        <v>256</v>
      </c>
      <c r="D24" s="37" t="s">
        <v>121</v>
      </c>
      <c r="E24" s="37"/>
      <c r="F24" s="37"/>
      <c r="G24" s="37"/>
      <c r="H24" s="456"/>
      <c r="I24" s="93"/>
      <c r="J24" s="19"/>
      <c r="K24" s="19" t="s">
        <v>121</v>
      </c>
      <c r="L24" s="90" t="s">
        <v>3152</v>
      </c>
      <c r="M24" s="40">
        <v>3</v>
      </c>
      <c r="N24" s="4"/>
      <c r="O24" s="75"/>
      <c r="X24" s="817"/>
      <c r="AL24" t="str">
        <f>SUBSTITUTE(SUBSTITUTE(SUBSTITUTE("dpa"&amp;$B24&amp;$C24&amp;$D24&amp;$E24,".","_"),"(","_"),")","")</f>
        <v>dpa901_1_3_1_a</v>
      </c>
      <c r="AM24">
        <f>M24</f>
        <v>3</v>
      </c>
      <c r="AX24" s="6" t="str">
        <f>'Overview (Design)'!A23</f>
        <v>Project Name:</v>
      </c>
      <c r="AY24">
        <f>'Overview (Design)'!G23</f>
        <v>0</v>
      </c>
    </row>
    <row r="25" spans="2:51" x14ac:dyDescent="0.35">
      <c r="B25" s="412" t="s">
        <v>3149</v>
      </c>
      <c r="C25" s="13" t="s">
        <v>256</v>
      </c>
      <c r="D25" s="37" t="s">
        <v>122</v>
      </c>
      <c r="E25" s="37"/>
      <c r="F25" s="37"/>
      <c r="G25" s="37"/>
      <c r="H25" s="456"/>
      <c r="I25" s="93"/>
      <c r="J25" s="129"/>
      <c r="K25" s="129" t="s">
        <v>122</v>
      </c>
      <c r="L25" s="228" t="s">
        <v>3153</v>
      </c>
      <c r="M25" s="268">
        <v>5</v>
      </c>
      <c r="N25" s="4"/>
      <c r="O25" s="309"/>
      <c r="X25" s="817"/>
      <c r="AL25" t="str">
        <f>SUBSTITUTE(SUBSTITUTE(SUBSTITUTE("dpa"&amp;$B25&amp;$C25&amp;$D25&amp;$E25,".","_"),"(","_"),")","")</f>
        <v>dpa901_1_3_1_b</v>
      </c>
      <c r="AM25">
        <f>M25</f>
        <v>5</v>
      </c>
      <c r="AX25" s="6"/>
    </row>
    <row r="26" spans="2:51" x14ac:dyDescent="0.35">
      <c r="B26" s="412" t="s">
        <v>3149</v>
      </c>
      <c r="C26" s="13" t="s">
        <v>258</v>
      </c>
      <c r="D26" s="37"/>
      <c r="E26" s="37"/>
      <c r="F26" s="37"/>
      <c r="G26" s="37"/>
      <c r="H26" s="456"/>
      <c r="I26" s="93"/>
      <c r="J26" s="19" t="s">
        <v>258</v>
      </c>
      <c r="K26" s="4"/>
      <c r="L26" s="90" t="s">
        <v>3154</v>
      </c>
      <c r="M26" s="40"/>
      <c r="N26" s="4"/>
      <c r="O26" s="75">
        <f ca="1">IFERROR(INDEX({3,5},MATCH(W26,INDIRECT(U26),0)),0)*S26</f>
        <v>0</v>
      </c>
      <c r="P26" t="b">
        <v>1</v>
      </c>
      <c r="Q26" t="b">
        <v>1</v>
      </c>
      <c r="R26" t="b">
        <v>0</v>
      </c>
      <c r="S26" t="b">
        <v>1</v>
      </c>
      <c r="T26" t="b">
        <v>0</v>
      </c>
      <c r="U26" t="str">
        <f>SUBSTITUTE(SUBSTITUTE(SUBSTITUTE("dd"&amp;B26&amp;C26&amp;D26&amp;E26&amp;F26,".","_"),"(","_"),")","")</f>
        <v>dd901_1_3_2</v>
      </c>
      <c r="W26" s="9"/>
      <c r="X26" s="817"/>
      <c r="AN26" t="str">
        <f>SUBSTITUTE(SUBSTITUTE(SUBSTITUTE("dpc"&amp;$B26&amp;$C26&amp;$D26&amp;$E26,".","_"),"(","_"),")","")</f>
        <v>dpc901_1_3_2</v>
      </c>
      <c r="AO26">
        <f ca="1">O26</f>
        <v>0</v>
      </c>
      <c r="AP26" t="str">
        <f>SUBSTITUTE(SUBSTITUTE(SUBSTITUTE("dch"&amp;$B26&amp;$C26&amp;$D26&amp;$E26,".","_"),"(","_"),")","")</f>
        <v>dch901_1_3_2</v>
      </c>
      <c r="AQ26" t="str">
        <f>IF(LEN(W26)=0,"",W26)</f>
        <v/>
      </c>
      <c r="AR26" t="str">
        <f>SUBSTITUTE(SUBSTITUTE(SUBSTITUTE("dnt"&amp;$B26&amp;$C26&amp;$D26&amp;$E26,".","_"),"(","_"),")","")</f>
        <v>dnt901_1_3_2</v>
      </c>
      <c r="AS26" t="str">
        <f>IF(LEN(X26)=0,"",X26)</f>
        <v/>
      </c>
      <c r="AX26" s="6" t="str">
        <f>'Overview (Design)'!A25</f>
        <v>Above grade plane finished floor area:</v>
      </c>
      <c r="AY26">
        <f>'Overview (Design)'!G25</f>
        <v>2644</v>
      </c>
    </row>
    <row r="27" spans="2:51" x14ac:dyDescent="0.35">
      <c r="B27" s="412" t="s">
        <v>3149</v>
      </c>
      <c r="C27" s="13" t="s">
        <v>258</v>
      </c>
      <c r="D27" s="37" t="s">
        <v>121</v>
      </c>
      <c r="E27" s="37"/>
      <c r="F27" s="37"/>
      <c r="G27" s="37"/>
      <c r="H27" s="456"/>
      <c r="I27" s="93"/>
      <c r="J27" s="4"/>
      <c r="K27" s="19" t="s">
        <v>121</v>
      </c>
      <c r="L27" s="90" t="s">
        <v>3155</v>
      </c>
      <c r="M27" s="40">
        <v>3</v>
      </c>
      <c r="N27" s="4"/>
      <c r="O27" s="75"/>
      <c r="X27" s="817"/>
      <c r="AL27" t="str">
        <f>SUBSTITUTE(SUBSTITUTE(SUBSTITUTE("dpa"&amp;$B27&amp;$C27&amp;$D27&amp;$E27,".","_"),"(","_"),")","")</f>
        <v>dpa901_1_3_2_a</v>
      </c>
      <c r="AM27">
        <f>M27</f>
        <v>3</v>
      </c>
      <c r="AX27" s="6" t="str">
        <f>'Overview (Design)'!A26</f>
        <v>Total conditioned floor area:</v>
      </c>
      <c r="AY27">
        <f>'Overview (Design)'!G26</f>
        <v>2644</v>
      </c>
    </row>
    <row r="28" spans="2:51" x14ac:dyDescent="0.35">
      <c r="B28" s="412" t="s">
        <v>3149</v>
      </c>
      <c r="C28" s="13" t="s">
        <v>258</v>
      </c>
      <c r="D28" s="37" t="s">
        <v>122</v>
      </c>
      <c r="E28" s="37"/>
      <c r="F28" s="37"/>
      <c r="G28" s="37"/>
      <c r="H28" s="456"/>
      <c r="I28" s="320"/>
      <c r="J28" s="133"/>
      <c r="K28" s="129" t="s">
        <v>122</v>
      </c>
      <c r="L28" s="228" t="s">
        <v>3156</v>
      </c>
      <c r="M28" s="268">
        <v>5</v>
      </c>
      <c r="N28" s="133"/>
      <c r="O28" s="309"/>
      <c r="P28" s="104"/>
      <c r="Q28" s="104"/>
      <c r="R28" s="104"/>
      <c r="S28" s="104"/>
      <c r="T28" s="104"/>
      <c r="U28" s="104"/>
      <c r="V28" s="104"/>
      <c r="W28" s="104"/>
      <c r="X28" s="817"/>
      <c r="AL28" t="str">
        <f>SUBSTITUTE(SUBSTITUTE(SUBSTITUTE("dpa"&amp;$B28&amp;$C28&amp;$D28&amp;$E28,".","_"),"(","_"),")","")</f>
        <v>dpa901_1_3_2_b</v>
      </c>
      <c r="AM28">
        <f>M28</f>
        <v>5</v>
      </c>
      <c r="AX28" s="6" t="str">
        <f>'Overview (Design)'!A27</f>
        <v>Stories above grade:</v>
      </c>
      <c r="AY28">
        <f>'Overview (Design)'!G27</f>
        <v>2</v>
      </c>
    </row>
    <row r="29" spans="2:51" x14ac:dyDescent="0.35">
      <c r="B29" s="412" t="s">
        <v>3157</v>
      </c>
      <c r="C29" s="13"/>
      <c r="D29" s="13"/>
      <c r="E29" s="13"/>
      <c r="F29" s="13"/>
      <c r="G29" s="13"/>
      <c r="H29" s="453"/>
      <c r="I29" s="30" t="s">
        <v>3157</v>
      </c>
      <c r="J29" s="4"/>
      <c r="K29" s="4"/>
      <c r="L29" s="838" t="s">
        <v>4485</v>
      </c>
      <c r="M29" s="885" t="str">
        <f>IF(R29,"Mandatory","N/A")</f>
        <v>Mandatory</v>
      </c>
      <c r="N29" s="4"/>
      <c r="O29" s="75"/>
      <c r="P29" t="b">
        <v>1</v>
      </c>
      <c r="Q29" t="b">
        <v>0</v>
      </c>
      <c r="R29" t="b">
        <f>S29</f>
        <v>1</v>
      </c>
      <c r="S29" t="b">
        <v>1</v>
      </c>
      <c r="T29" t="b">
        <v>0</v>
      </c>
      <c r="U29" t="str">
        <f>SUBSTITUTE(SUBSTITUTE(SUBSTITUTE("dd"&amp;B29&amp;C29&amp;D29&amp;E29&amp;F29,".","_"),"(","_"),")","")</f>
        <v>dd901_1_4</v>
      </c>
      <c r="W29" s="167" t="s">
        <v>3038</v>
      </c>
      <c r="X29" s="816"/>
      <c r="AC29" t="b">
        <f>OR(AD29:AE29)</f>
        <v>0</v>
      </c>
      <c r="AD29" t="b">
        <f>T29</f>
        <v>0</v>
      </c>
      <c r="AE29" t="b">
        <f>AND(R29,OR(W29="Not Met",W29=""))</f>
        <v>0</v>
      </c>
      <c r="AL29" t="str">
        <f>SUBSTITUTE(SUBSTITUTE(SUBSTITUTE("dpa"&amp;$B29&amp;$C29&amp;$D29&amp;$E29,".","_"),"(","_"),")","")</f>
        <v>dpa901_1_4</v>
      </c>
      <c r="AM29" t="str">
        <f>M29</f>
        <v>Mandatory</v>
      </c>
      <c r="AP29" t="str">
        <f>SUBSTITUTE(SUBSTITUTE(SUBSTITUTE("dch"&amp;$B29&amp;$C29&amp;$D29&amp;$E29,".","_"),"(","_"),")","")</f>
        <v>dch901_1_4</v>
      </c>
      <c r="AQ29" t="str">
        <f>IF(LEN(W29)=0,"",W29)</f>
        <v>Met</v>
      </c>
      <c r="AR29" t="str">
        <f>SUBSTITUTE(SUBSTITUTE(SUBSTITUTE("dnt"&amp;$B29&amp;$C29&amp;$D29&amp;$E29,".","_"),"(","_"),")","")</f>
        <v>dnt901_1_4</v>
      </c>
      <c r="AS29" t="str">
        <f>IF(LEN(X29)=0,"",X29)</f>
        <v/>
      </c>
      <c r="AX29" s="6" t="str">
        <f>'Overview (Design)'!A28</f>
        <v>Project Elevation (ft. above sea level):</v>
      </c>
      <c r="AY29">
        <f>'Overview (Design)'!G28</f>
        <v>0</v>
      </c>
    </row>
    <row r="30" spans="2:51" x14ac:dyDescent="0.35">
      <c r="B30" s="412" t="s">
        <v>3157</v>
      </c>
      <c r="C30" s="13"/>
      <c r="D30" s="13"/>
      <c r="E30" s="13"/>
      <c r="F30" s="13"/>
      <c r="G30" s="13"/>
      <c r="H30" s="453"/>
      <c r="I30" s="93"/>
      <c r="J30" s="4"/>
      <c r="K30" s="4"/>
      <c r="L30" s="838"/>
      <c r="M30" s="885"/>
      <c r="N30" s="4"/>
      <c r="O30" s="75"/>
      <c r="X30" s="817"/>
      <c r="AX30" s="6"/>
    </row>
    <row r="31" spans="2:51" x14ac:dyDescent="0.35">
      <c r="B31" s="412" t="s">
        <v>3157</v>
      </c>
      <c r="C31" s="13"/>
      <c r="D31" s="13"/>
      <c r="E31" s="13"/>
      <c r="F31" s="13"/>
      <c r="G31" s="13"/>
      <c r="H31" s="453"/>
      <c r="I31" s="93"/>
      <c r="J31" s="4"/>
      <c r="K31" s="4"/>
      <c r="L31" s="838"/>
      <c r="M31" s="885"/>
      <c r="N31" s="4"/>
      <c r="O31" s="75"/>
      <c r="X31" s="817"/>
      <c r="AX31" s="6" t="str">
        <f>'Overview (Design)'!A30</f>
        <v xml:space="preserve">Project Description (optional): </v>
      </c>
      <c r="AY31">
        <f>'Overview (Design)'!G30</f>
        <v>0</v>
      </c>
    </row>
    <row r="32" spans="2:51" x14ac:dyDescent="0.35">
      <c r="B32" s="412" t="s">
        <v>3157</v>
      </c>
      <c r="C32" s="13"/>
      <c r="D32" s="13"/>
      <c r="E32" s="13"/>
      <c r="F32" s="13"/>
      <c r="G32" s="13"/>
      <c r="H32" s="453"/>
      <c r="I32" s="93"/>
      <c r="J32" s="4"/>
      <c r="K32" s="4"/>
      <c r="L32" s="838"/>
      <c r="M32" s="885"/>
      <c r="N32" s="4"/>
      <c r="O32" s="75"/>
      <c r="X32" s="817"/>
      <c r="AX32" s="6"/>
    </row>
    <row r="33" spans="2:51" x14ac:dyDescent="0.35">
      <c r="B33" s="412" t="s">
        <v>3157</v>
      </c>
      <c r="C33" s="13"/>
      <c r="D33" s="13"/>
      <c r="E33" s="13"/>
      <c r="F33" s="13"/>
      <c r="G33" s="13"/>
      <c r="H33" s="453"/>
      <c r="I33" s="320"/>
      <c r="J33" s="133"/>
      <c r="K33" s="133"/>
      <c r="L33" s="889"/>
      <c r="M33" s="890"/>
      <c r="N33" s="133"/>
      <c r="O33" s="309"/>
      <c r="P33" s="104"/>
      <c r="Q33" s="104"/>
      <c r="R33" s="104"/>
      <c r="S33" s="104"/>
      <c r="T33" s="104"/>
      <c r="U33" s="104"/>
      <c r="V33" s="104"/>
      <c r="W33" s="104"/>
      <c r="X33" s="817"/>
      <c r="AX33" s="6" t="str">
        <f>'Overview (Design)'!A32</f>
        <v>Foundation Type:</v>
      </c>
      <c r="AY33" t="str">
        <f>'Overview (Design)'!G32</f>
        <v>Conditioned crawlspace</v>
      </c>
    </row>
    <row r="34" spans="2:51" x14ac:dyDescent="0.35">
      <c r="B34" s="412" t="s">
        <v>3158</v>
      </c>
      <c r="C34" s="13"/>
      <c r="D34" s="13"/>
      <c r="E34" s="13"/>
      <c r="F34" s="13"/>
      <c r="G34" s="13"/>
      <c r="H34" s="453"/>
      <c r="I34" s="30" t="s">
        <v>3158</v>
      </c>
      <c r="J34" s="4"/>
      <c r="K34" s="4"/>
      <c r="L34" s="838" t="s">
        <v>3159</v>
      </c>
      <c r="M34" s="818">
        <v>7</v>
      </c>
      <c r="N34" s="4"/>
      <c r="O34" s="832">
        <f>M34*S34*W34</f>
        <v>0</v>
      </c>
      <c r="P34" t="b">
        <v>1</v>
      </c>
      <c r="Q34" t="b">
        <v>1</v>
      </c>
      <c r="R34" t="b">
        <v>0</v>
      </c>
      <c r="S34" t="b">
        <f>NOT(W29="N/A")</f>
        <v>1</v>
      </c>
      <c r="T34" t="b">
        <f>AND(NOT(S34),W34=TRUE)</f>
        <v>0</v>
      </c>
      <c r="W34" s="69"/>
      <c r="X34" s="816"/>
      <c r="AC34" t="b">
        <f>OR(AD34:AE34)</f>
        <v>0</v>
      </c>
      <c r="AD34" t="b">
        <f>T34</f>
        <v>0</v>
      </c>
      <c r="AL34" t="str">
        <f>SUBSTITUTE(SUBSTITUTE(SUBSTITUTE("dpa"&amp;$B34&amp;$C34&amp;$D34&amp;$E34,".","_"),"(","_"),")","")</f>
        <v>dpa901_1_5</v>
      </c>
      <c r="AM34">
        <f>M34</f>
        <v>7</v>
      </c>
      <c r="AN34" t="str">
        <f>SUBSTITUTE(SUBSTITUTE(SUBSTITUTE("dpc"&amp;$B34&amp;$C34&amp;$D34&amp;$E34,".","_"),"(","_"),")","")</f>
        <v>dpc901_1_5</v>
      </c>
      <c r="AO34">
        <f>O34</f>
        <v>0</v>
      </c>
      <c r="AP34" t="str">
        <f>SUBSTITUTE(SUBSTITUTE(SUBSTITUTE("dch"&amp;$B34&amp;$C34&amp;$D34&amp;$E34,".","_"),"(","_"),")","")</f>
        <v>dch901_1_5</v>
      </c>
      <c r="AQ34" t="str">
        <f>IF(LEN(W34)=0,"",W34)</f>
        <v/>
      </c>
      <c r="AR34" t="str">
        <f>SUBSTITUTE(SUBSTITUTE(SUBSTITUTE("dnt"&amp;$B34&amp;$C34&amp;$D34&amp;$E34,".","_"),"(","_"),")","")</f>
        <v>dnt901_1_5</v>
      </c>
      <c r="AS34" t="str">
        <f>IF(LEN(X34)=0,"",X34)</f>
        <v/>
      </c>
      <c r="AX34" s="6"/>
    </row>
    <row r="35" spans="2:51" x14ac:dyDescent="0.35">
      <c r="B35" s="412" t="s">
        <v>3158</v>
      </c>
      <c r="C35" s="13"/>
      <c r="D35" s="13"/>
      <c r="E35" s="13"/>
      <c r="F35" s="13"/>
      <c r="G35" s="13"/>
      <c r="H35" s="453"/>
      <c r="I35" s="93"/>
      <c r="J35" s="4"/>
      <c r="K35" s="4"/>
      <c r="L35" s="838"/>
      <c r="M35" s="818"/>
      <c r="N35" s="4"/>
      <c r="O35" s="832"/>
      <c r="X35" s="817"/>
      <c r="AX35" s="6" t="str">
        <f>'Overview (Design)'!A34</f>
        <v>Type of Heating System (main system):</v>
      </c>
      <c r="AY35" t="str">
        <f>'Overview (Design)'!G34</f>
        <v>Furnace</v>
      </c>
    </row>
    <row r="36" spans="2:51" x14ac:dyDescent="0.35">
      <c r="B36" s="412" t="s">
        <v>3158</v>
      </c>
      <c r="C36" s="13"/>
      <c r="D36" s="13"/>
      <c r="E36" s="13"/>
      <c r="F36" s="13"/>
      <c r="G36" s="13"/>
      <c r="H36" s="453"/>
      <c r="I36" s="320"/>
      <c r="J36" s="133"/>
      <c r="K36" s="133"/>
      <c r="L36" s="889"/>
      <c r="M36" s="819"/>
      <c r="N36" s="133"/>
      <c r="O36" s="824"/>
      <c r="P36" s="104"/>
      <c r="Q36" s="104"/>
      <c r="R36" s="104"/>
      <c r="S36" s="104"/>
      <c r="T36" s="104"/>
      <c r="U36" s="104"/>
      <c r="V36" s="104"/>
      <c r="W36" s="104"/>
      <c r="X36" s="817"/>
      <c r="AX36" s="6" t="str">
        <f>'Overview (Design)'!A35</f>
        <v>Type of Heating System (system 2):</v>
      </c>
      <c r="AY36">
        <f>'Overview (Design)'!G35</f>
        <v>0</v>
      </c>
    </row>
    <row r="37" spans="2:51" x14ac:dyDescent="0.35">
      <c r="B37" s="412" t="s">
        <v>3160</v>
      </c>
      <c r="C37" s="13"/>
      <c r="D37" s="13"/>
      <c r="E37" s="13"/>
      <c r="F37" s="13"/>
      <c r="G37" s="13"/>
      <c r="H37" s="453"/>
      <c r="I37" s="30" t="s">
        <v>3160</v>
      </c>
      <c r="J37" s="4"/>
      <c r="K37" s="4"/>
      <c r="L37" s="95" t="s">
        <v>3161</v>
      </c>
      <c r="M37" s="40"/>
      <c r="N37" s="4"/>
      <c r="O37" s="75">
        <f ca="1">IFERROR(INDEX({2,5},MATCH(W37,INDIRECT(U37),0)),0)*S37</f>
        <v>0</v>
      </c>
      <c r="P37" t="b">
        <v>1</v>
      </c>
      <c r="Q37" t="b">
        <v>1</v>
      </c>
      <c r="R37" t="b">
        <v>0</v>
      </c>
      <c r="S37" t="b">
        <f>OR(AY35=INDEX(ddHeat1,3),AY35=INDEX(ddHeat1,5),AY36=INDEX(ddHeat2,3),AY36=INDEX(ddHeat2,5),AY37=INDEX(ddHeat3,3),AY37=INDEX(ddHeat3,5))</f>
        <v>0</v>
      </c>
      <c r="T37" t="b">
        <f>AND(NOT(S37),LEN(W37)&gt;0)</f>
        <v>0</v>
      </c>
      <c r="U37" t="str">
        <f>SUBSTITUTE(SUBSTITUTE(SUBSTITUTE("dd"&amp;B37&amp;C37&amp;D37&amp;E37&amp;F37,".","_"),"(","_"),")","")</f>
        <v>dd901_1_6</v>
      </c>
      <c r="W37" s="167"/>
      <c r="X37" s="816"/>
      <c r="AC37" t="b">
        <f>OR(AD37:AE37)</f>
        <v>0</v>
      </c>
      <c r="AD37" t="b">
        <f>T37</f>
        <v>0</v>
      </c>
      <c r="AN37" t="str">
        <f>SUBSTITUTE(SUBSTITUTE(SUBSTITUTE("dpc"&amp;$B37&amp;$C37&amp;$D37&amp;$E37,".","_"),"(","_"),")","")</f>
        <v>dpc901_1_6</v>
      </c>
      <c r="AO37">
        <f ca="1">O37</f>
        <v>0</v>
      </c>
      <c r="AP37" t="str">
        <f>SUBSTITUTE(SUBSTITUTE(SUBSTITUTE("dch"&amp;$B37&amp;$C37&amp;$D37&amp;$E37,".","_"),"(","_"),")","")</f>
        <v>dch901_1_6</v>
      </c>
      <c r="AQ37" t="str">
        <f>IF(LEN(W37)=0,"",W37)</f>
        <v/>
      </c>
      <c r="AR37" t="str">
        <f>SUBSTITUTE(SUBSTITUTE(SUBSTITUTE("dnt"&amp;$B37&amp;$C37&amp;$D37&amp;$E37,".","_"),"(","_"),")","")</f>
        <v>dnt901_1_6</v>
      </c>
      <c r="AS37" t="str">
        <f>IF(LEN(X37)=0,"",X37)</f>
        <v/>
      </c>
      <c r="AX37" s="6" t="str">
        <f>'Overview (Design)'!A36</f>
        <v>Type of Heating System (system 3):</v>
      </c>
      <c r="AY37">
        <f>'Overview (Design)'!G36</f>
        <v>0</v>
      </c>
    </row>
    <row r="38" spans="2:51" x14ac:dyDescent="0.35">
      <c r="B38" s="412" t="s">
        <v>3160</v>
      </c>
      <c r="C38" s="13" t="s">
        <v>256</v>
      </c>
      <c r="D38" s="13"/>
      <c r="E38" s="13"/>
      <c r="F38" s="13"/>
      <c r="G38" s="13"/>
      <c r="H38" s="453"/>
      <c r="I38" s="93"/>
      <c r="J38" s="129" t="s">
        <v>256</v>
      </c>
      <c r="K38" s="133"/>
      <c r="L38" s="228" t="s">
        <v>3162</v>
      </c>
      <c r="M38" s="268">
        <v>2</v>
      </c>
      <c r="N38" s="4"/>
      <c r="O38" s="75"/>
      <c r="X38" s="817"/>
      <c r="AL38" t="str">
        <f>SUBSTITUTE(SUBSTITUTE(SUBSTITUTE("dpa"&amp;$B38&amp;$C38&amp;$D38&amp;$E38,".","_"),"(","_"),")","")</f>
        <v>dpa901_1_6_1</v>
      </c>
      <c r="AM38">
        <f>M38</f>
        <v>2</v>
      </c>
      <c r="AX38" s="6" t="str">
        <f>'Overview (Design)'!A37</f>
        <v>Primary Heating Fuel:</v>
      </c>
      <c r="AY38">
        <f>'Overview (Design)'!G37</f>
        <v>0</v>
      </c>
    </row>
    <row r="39" spans="2:51" ht="15" thickBot="1" x14ac:dyDescent="0.4">
      <c r="B39" s="412" t="s">
        <v>3160</v>
      </c>
      <c r="C39" s="13" t="s">
        <v>258</v>
      </c>
      <c r="D39" s="13"/>
      <c r="E39" s="13"/>
      <c r="F39" s="13"/>
      <c r="G39" s="13"/>
      <c r="H39" s="453"/>
      <c r="I39" s="294"/>
      <c r="J39" s="115" t="s">
        <v>258</v>
      </c>
      <c r="K39" s="160"/>
      <c r="L39" s="229" t="s">
        <v>3163</v>
      </c>
      <c r="M39" s="270">
        <v>5</v>
      </c>
      <c r="N39" s="160"/>
      <c r="O39" s="161"/>
      <c r="P39" s="55"/>
      <c r="Q39" s="55"/>
      <c r="R39" s="55"/>
      <c r="S39" s="55"/>
      <c r="T39" s="55"/>
      <c r="U39" s="55"/>
      <c r="V39" s="55"/>
      <c r="W39" s="55"/>
      <c r="X39" s="829"/>
      <c r="AL39" t="str">
        <f>SUBSTITUTE(SUBSTITUTE(SUBSTITUTE("dpa"&amp;$B39&amp;$C39&amp;$D39&amp;$E39,".","_"),"(","_"),")","")</f>
        <v>dpa901_1_6_2</v>
      </c>
      <c r="AM39">
        <f>M39</f>
        <v>5</v>
      </c>
      <c r="AX39" s="6" t="str">
        <f>'Overview (Design)'!A38</f>
        <v>Heating Ducts:</v>
      </c>
      <c r="AY39" t="str">
        <f>'Overview (Design)'!G38</f>
        <v>Ducted</v>
      </c>
    </row>
    <row r="40" spans="2:51" ht="15" thickTop="1" x14ac:dyDescent="0.35">
      <c r="B40" s="412">
        <v>901.2</v>
      </c>
      <c r="C40" s="13"/>
      <c r="D40" s="13"/>
      <c r="E40" s="13"/>
      <c r="F40" s="13"/>
      <c r="G40" s="13"/>
      <c r="H40" s="453"/>
      <c r="I40" s="106">
        <v>901.2</v>
      </c>
      <c r="J40" s="107"/>
      <c r="K40" s="107"/>
      <c r="L40" s="274" t="s">
        <v>3164</v>
      </c>
      <c r="M40" s="267"/>
      <c r="N40" s="107"/>
      <c r="O40" s="308"/>
      <c r="P40" s="59"/>
      <c r="Q40" s="59"/>
      <c r="R40" s="59"/>
      <c r="S40" s="59"/>
      <c r="T40" s="59"/>
      <c r="U40" s="59"/>
      <c r="V40" s="59"/>
      <c r="W40" s="59"/>
      <c r="X40" s="59"/>
      <c r="AX40" s="6" t="str">
        <f>'Overview (Design)'!A39</f>
        <v>Type of Cooling System (main system):</v>
      </c>
      <c r="AY40" t="str">
        <f>'Overview (Design)'!G39</f>
        <v>Electric Air Conditiner</v>
      </c>
    </row>
    <row r="41" spans="2:51" x14ac:dyDescent="0.35">
      <c r="B41" s="412" t="s">
        <v>3165</v>
      </c>
      <c r="C41" s="13"/>
      <c r="D41" s="13"/>
      <c r="E41" s="13"/>
      <c r="F41" s="13"/>
      <c r="G41" s="13"/>
      <c r="H41" s="453"/>
      <c r="I41" s="30" t="s">
        <v>3165</v>
      </c>
      <c r="J41" s="4"/>
      <c r="K41" s="4"/>
      <c r="L41" s="838" t="s">
        <v>3166</v>
      </c>
      <c r="M41" s="40"/>
      <c r="N41" s="4"/>
      <c r="O41" s="75"/>
      <c r="AX41" s="6" t="str">
        <f>'Overview (Design)'!A40</f>
        <v>Type of Cooling System (system 2):</v>
      </c>
      <c r="AY41">
        <f>'Overview (Design)'!G40</f>
        <v>0</v>
      </c>
    </row>
    <row r="42" spans="2:51" x14ac:dyDescent="0.35">
      <c r="B42" s="412" t="s">
        <v>3165</v>
      </c>
      <c r="C42" s="13"/>
      <c r="D42" s="13"/>
      <c r="E42" s="13"/>
      <c r="F42" s="13"/>
      <c r="G42" s="13"/>
      <c r="H42" s="453"/>
      <c r="I42" s="93"/>
      <c r="J42" s="4"/>
      <c r="K42" s="4"/>
      <c r="L42" s="838"/>
      <c r="M42" s="40"/>
      <c r="N42" s="4"/>
      <c r="O42" s="75"/>
      <c r="AX42" s="6" t="str">
        <f>'Overview (Design)'!A41</f>
        <v>Type of Cooling System (system 3):</v>
      </c>
      <c r="AY42">
        <f>'Overview (Design)'!G41</f>
        <v>0</v>
      </c>
    </row>
    <row r="43" spans="2:51" x14ac:dyDescent="0.35">
      <c r="B43" s="412" t="s">
        <v>3165</v>
      </c>
      <c r="C43" s="13" t="s">
        <v>256</v>
      </c>
      <c r="D43" s="13"/>
      <c r="E43" s="13"/>
      <c r="F43" s="13" t="s">
        <v>4889</v>
      </c>
      <c r="G43" s="13"/>
      <c r="H43" s="453"/>
      <c r="I43" s="93"/>
      <c r="J43" s="19" t="s">
        <v>256</v>
      </c>
      <c r="K43" s="4"/>
      <c r="L43" s="814" t="s">
        <v>3167</v>
      </c>
      <c r="M43" s="459" t="str">
        <f>IF(R43,"Mandatory","N/A")</f>
        <v>Mandatory</v>
      </c>
      <c r="N43" s="4"/>
      <c r="O43" s="832">
        <f>M44*S43*(W43="Met")</f>
        <v>0</v>
      </c>
      <c r="P43" t="b">
        <v>1</v>
      </c>
      <c r="Q43" t="b">
        <v>1</v>
      </c>
      <c r="R43" t="b">
        <f>S43</f>
        <v>1</v>
      </c>
      <c r="S43" t="b">
        <f>NOT(W55)</f>
        <v>1</v>
      </c>
      <c r="T43" t="b">
        <f>AND(NOT(S43),LEN(W43)&gt;0,W43&lt;&gt;"N/A")</f>
        <v>0</v>
      </c>
      <c r="U43" t="str">
        <f>SUBSTITUTE(SUBSTITUTE(SUBSTITUTE("dd"&amp;B43&amp;C43&amp;D43&amp;E43&amp;F43,".","_"),"(","_"),")","")</f>
        <v>dd901_2_1_1_m</v>
      </c>
      <c r="W43" s="9" t="s">
        <v>3040</v>
      </c>
      <c r="X43" s="817"/>
      <c r="AC43" t="b">
        <f>OR(AD43:AE43)</f>
        <v>0</v>
      </c>
      <c r="AD43" t="b">
        <f>T43</f>
        <v>0</v>
      </c>
      <c r="AE43" t="b">
        <f>AND(R43,OR(W43="Not Met",W43=""))</f>
        <v>0</v>
      </c>
      <c r="AL43" s="1" t="str">
        <f>SUBSTITUTE(SUBSTITUTE(SUBSTITUTE("dpa"&amp;$B43&amp;$C43&amp;$D43&amp;$E43&amp;$F43,".","_"),"(","_"),")","")</f>
        <v>dpa901_2_1_1_m</v>
      </c>
      <c r="AM43" t="str">
        <f>M43</f>
        <v>Mandatory</v>
      </c>
      <c r="AN43" t="str">
        <f>SUBSTITUTE(SUBSTITUTE(SUBSTITUTE("dpc"&amp;$B43&amp;$C43&amp;$D43&amp;$E43,".","_"),"(","_"),")","")</f>
        <v>dpc901_2_1_1</v>
      </c>
      <c r="AO43">
        <f>O43</f>
        <v>0</v>
      </c>
      <c r="AP43" t="str">
        <f>SUBSTITUTE(SUBSTITUTE(SUBSTITUTE("dch"&amp;$B43&amp;$C43&amp;$D43&amp;$E43,".","_"),"(","_"),")","")</f>
        <v>dch901_2_1_1</v>
      </c>
      <c r="AQ43" t="str">
        <f>IF(LEN(W43)=0,"",W43)</f>
        <v>N/A</v>
      </c>
      <c r="AR43" t="str">
        <f>SUBSTITUTE(SUBSTITUTE(SUBSTITUTE("dnt"&amp;$B43&amp;$C43&amp;$D43&amp;$E43,".","_"),"(","_"),")","")</f>
        <v>dnt901_2_1_1</v>
      </c>
      <c r="AS43" t="str">
        <f>IF(LEN(X43)=0,"",X43)</f>
        <v/>
      </c>
      <c r="AX43" s="6" t="str">
        <f>'Overview (Design)'!A42</f>
        <v>Cooling Ducts:</v>
      </c>
      <c r="AY43" t="str">
        <f>'Overview (Design)'!G42</f>
        <v>Ducted</v>
      </c>
    </row>
    <row r="44" spans="2:51" x14ac:dyDescent="0.35">
      <c r="B44" s="412" t="s">
        <v>3165</v>
      </c>
      <c r="C44" s="13" t="s">
        <v>256</v>
      </c>
      <c r="D44" s="13"/>
      <c r="E44" s="13"/>
      <c r="F44" s="13"/>
      <c r="G44" s="13"/>
      <c r="H44" s="453"/>
      <c r="I44" s="93"/>
      <c r="J44" s="4"/>
      <c r="K44" s="4"/>
      <c r="L44" s="814"/>
      <c r="M44" s="818">
        <v>4</v>
      </c>
      <c r="N44" s="4"/>
      <c r="O44" s="832"/>
      <c r="X44" s="817"/>
      <c r="AL44" t="str">
        <f>SUBSTITUTE(SUBSTITUTE(SUBSTITUTE("dpa"&amp;$B44&amp;$C44&amp;$D44&amp;$E44,".","_"),"(","_"),")","")</f>
        <v>dpa901_2_1_1</v>
      </c>
      <c r="AM44">
        <f>M44</f>
        <v>4</v>
      </c>
      <c r="AX44" s="6"/>
    </row>
    <row r="45" spans="2:51" x14ac:dyDescent="0.35">
      <c r="B45" s="412" t="s">
        <v>3165</v>
      </c>
      <c r="C45" s="13" t="s">
        <v>256</v>
      </c>
      <c r="D45" s="13"/>
      <c r="E45" s="13"/>
      <c r="F45" s="13"/>
      <c r="G45" s="13"/>
      <c r="H45" s="453"/>
      <c r="I45" s="93"/>
      <c r="J45" s="133"/>
      <c r="K45" s="133"/>
      <c r="L45" s="815"/>
      <c r="M45" s="819"/>
      <c r="N45" s="133"/>
      <c r="O45" s="824"/>
      <c r="X45" s="817"/>
      <c r="AX45" s="6" t="str">
        <f>'Overview (Design)'!A44</f>
        <v>Maximum window and door SHGC:</v>
      </c>
      <c r="AY45">
        <f>'Overview (Design)'!G44</f>
        <v>0.22</v>
      </c>
    </row>
    <row r="46" spans="2:51" x14ac:dyDescent="0.35">
      <c r="B46" s="412" t="s">
        <v>3165</v>
      </c>
      <c r="C46" s="13" t="s">
        <v>258</v>
      </c>
      <c r="D46" s="13"/>
      <c r="E46" s="13"/>
      <c r="F46" s="13" t="s">
        <v>4889</v>
      </c>
      <c r="G46" s="13"/>
      <c r="H46" s="453"/>
      <c r="I46" s="93"/>
      <c r="J46" s="19" t="s">
        <v>258</v>
      </c>
      <c r="K46" s="4"/>
      <c r="L46" s="814" t="s">
        <v>4486</v>
      </c>
      <c r="M46" s="459" t="str">
        <f>IF(R46,"Mandatory","N/A")</f>
        <v>Mandatory</v>
      </c>
      <c r="N46" s="4"/>
      <c r="O46" s="832">
        <f>M47*S46*(W46="Met")</f>
        <v>0</v>
      </c>
      <c r="P46" t="b">
        <v>1</v>
      </c>
      <c r="Q46" t="b">
        <v>1</v>
      </c>
      <c r="R46" t="b">
        <f>S46</f>
        <v>1</v>
      </c>
      <c r="S46" t="b">
        <f>NOT(W55)</f>
        <v>1</v>
      </c>
      <c r="T46" t="b">
        <f>AND(NOT(S46),LEN(W46)&gt;0,W46&lt;&gt;"N/A")</f>
        <v>0</v>
      </c>
      <c r="U46" t="str">
        <f>SUBSTITUTE(SUBSTITUTE(SUBSTITUTE("dd"&amp;B46&amp;C46&amp;D46&amp;E46&amp;F46,".","_"),"(","_"),")","")</f>
        <v>dd901_2_1_2_m</v>
      </c>
      <c r="W46" s="9" t="s">
        <v>3040</v>
      </c>
      <c r="X46" s="817"/>
      <c r="AC46" t="b">
        <f>OR(AD46:AE46)</f>
        <v>0</v>
      </c>
      <c r="AD46" t="b">
        <f>T46</f>
        <v>0</v>
      </c>
      <c r="AE46" t="b">
        <f>AND(R46,OR(W46="Not Met",W46=""))</f>
        <v>0</v>
      </c>
      <c r="AL46" s="1" t="str">
        <f>SUBSTITUTE(SUBSTITUTE(SUBSTITUTE("dpa"&amp;$B46&amp;$C46&amp;$D46&amp;$E46&amp;$F46,".","_"),"(","_"),")","")</f>
        <v>dpa901_2_1_2_m</v>
      </c>
      <c r="AM46" t="str">
        <f>M46</f>
        <v>Mandatory</v>
      </c>
      <c r="AN46" t="str">
        <f>SUBSTITUTE(SUBSTITUTE(SUBSTITUTE("dpc"&amp;$B46&amp;$C46&amp;$D46&amp;$E46,".","_"),"(","_"),")","")</f>
        <v>dpc901_2_1_2</v>
      </c>
      <c r="AO46">
        <f>O46</f>
        <v>0</v>
      </c>
      <c r="AP46" t="str">
        <f>SUBSTITUTE(SUBSTITUTE(SUBSTITUTE("dch"&amp;$B46&amp;$C46&amp;$D46&amp;$E46,".","_"),"(","_"),")","")</f>
        <v>dch901_2_1_2</v>
      </c>
      <c r="AQ46" t="str">
        <f>IF(LEN(W46)=0,"",W46)</f>
        <v>N/A</v>
      </c>
      <c r="AR46" t="str">
        <f>SUBSTITUTE(SUBSTITUTE(SUBSTITUTE("dnt"&amp;$B46&amp;$C46&amp;$D46&amp;$E46,".","_"),"(","_"),")","")</f>
        <v>dnt901_2_1_2</v>
      </c>
      <c r="AS46" t="str">
        <f>IF(LEN(X46)=0,"",X46)</f>
        <v/>
      </c>
      <c r="AX46" s="6" t="str">
        <f>'Overview (Design)'!A45</f>
        <v>Maximum skylight SHGC:</v>
      </c>
      <c r="AY46">
        <f>'Overview (Design)'!G45</f>
        <v>0</v>
      </c>
    </row>
    <row r="47" spans="2:51" x14ac:dyDescent="0.35">
      <c r="B47" s="412" t="s">
        <v>3165</v>
      </c>
      <c r="C47" s="13" t="s">
        <v>258</v>
      </c>
      <c r="D47" s="13"/>
      <c r="E47" s="13"/>
      <c r="F47" s="13"/>
      <c r="G47" s="13"/>
      <c r="H47" s="453"/>
      <c r="I47" s="93"/>
      <c r="J47" s="129"/>
      <c r="K47" s="133"/>
      <c r="L47" s="815"/>
      <c r="M47" s="268">
        <v>6</v>
      </c>
      <c r="N47" s="133"/>
      <c r="O47" s="824"/>
      <c r="X47" s="817"/>
      <c r="AL47" t="str">
        <f>SUBSTITUTE(SUBSTITUTE(SUBSTITUTE("dpa"&amp;$B47&amp;$C47&amp;$D47&amp;$E47,".","_"),"(","_"),")","")</f>
        <v>dpa901_2_1_2</v>
      </c>
      <c r="AM47">
        <f>M47</f>
        <v>6</v>
      </c>
      <c r="AX47" s="6" t="str">
        <f>'Overview (Design)'!A46</f>
        <v>Maximum window and door U-value:</v>
      </c>
      <c r="AY47">
        <f>'Overview (Design)'!G46</f>
        <v>0.32</v>
      </c>
    </row>
    <row r="48" spans="2:51" x14ac:dyDescent="0.35">
      <c r="B48" s="412" t="s">
        <v>3165</v>
      </c>
      <c r="C48" s="13" t="s">
        <v>260</v>
      </c>
      <c r="D48" s="13"/>
      <c r="E48" s="13"/>
      <c r="F48" s="13" t="s">
        <v>4889</v>
      </c>
      <c r="G48" s="13"/>
      <c r="H48" s="453"/>
      <c r="I48" s="93"/>
      <c r="J48" s="19" t="s">
        <v>260</v>
      </c>
      <c r="K48" s="4"/>
      <c r="L48" s="814" t="s">
        <v>3168</v>
      </c>
      <c r="M48" s="459" t="str">
        <f>IF(R48,"Mandatory","N/A")</f>
        <v>Mandatory</v>
      </c>
      <c r="N48" s="4"/>
      <c r="O48" s="832">
        <f>M49*S48*(W48="Met")</f>
        <v>0</v>
      </c>
      <c r="P48" t="b">
        <v>1</v>
      </c>
      <c r="Q48" t="b">
        <v>1</v>
      </c>
      <c r="R48" t="b">
        <f>S48</f>
        <v>1</v>
      </c>
      <c r="S48" t="b">
        <f>NOT(W55)</f>
        <v>1</v>
      </c>
      <c r="T48" t="b">
        <f>AND(NOT(S48),LEN(W48)&gt;0,W48&lt;&gt;"N/A")</f>
        <v>0</v>
      </c>
      <c r="U48" t="str">
        <f>SUBSTITUTE(SUBSTITUTE(SUBSTITUTE("dd"&amp;B48&amp;C48&amp;D48&amp;E48&amp;F48,".","_"),"(","_"),")","")</f>
        <v>dd901_2_1_3_m</v>
      </c>
      <c r="W48" s="9" t="s">
        <v>3040</v>
      </c>
      <c r="X48" s="817"/>
      <c r="AC48" t="b">
        <f>OR(AD48:AE48)</f>
        <v>0</v>
      </c>
      <c r="AD48" t="b">
        <f>T48</f>
        <v>0</v>
      </c>
      <c r="AE48" t="b">
        <f>AND(R48,OR(W48="Not Met",W48=""))</f>
        <v>0</v>
      </c>
      <c r="AL48" s="1" t="str">
        <f>SUBSTITUTE(SUBSTITUTE(SUBSTITUTE("dpa"&amp;$B48&amp;$C48&amp;$D48&amp;$E48&amp;$F48,".","_"),"(","_"),")","")</f>
        <v>dpa901_2_1_3_m</v>
      </c>
      <c r="AM48" t="str">
        <f>M48</f>
        <v>Mandatory</v>
      </c>
      <c r="AN48" t="str">
        <f>SUBSTITUTE(SUBSTITUTE(SUBSTITUTE("dpc"&amp;$B48&amp;$C48&amp;$D48&amp;$E48,".","_"),"(","_"),")","")</f>
        <v>dpc901_2_1_3</v>
      </c>
      <c r="AO48">
        <f>O48</f>
        <v>0</v>
      </c>
      <c r="AP48" t="str">
        <f>SUBSTITUTE(SUBSTITUTE(SUBSTITUTE("dch"&amp;$B48&amp;$C48&amp;$D48&amp;$E48,".","_"),"(","_"),")","")</f>
        <v>dch901_2_1_3</v>
      </c>
      <c r="AQ48" t="str">
        <f>IF(LEN(W48)=0,"",W48)</f>
        <v>N/A</v>
      </c>
      <c r="AR48" t="str">
        <f>SUBSTITUTE(SUBSTITUTE(SUBSTITUTE("dnt"&amp;$B48&amp;$C48&amp;$D48&amp;$E48,".","_"),"(","_"),")","")</f>
        <v>dnt901_2_1_3</v>
      </c>
      <c r="AS48" t="str">
        <f>IF(LEN(X48)=0,"",X48)</f>
        <v/>
      </c>
      <c r="AX48" s="6" t="str">
        <f>'Overview (Design)'!A47</f>
        <v>Maximum skylight U-value:</v>
      </c>
      <c r="AY48">
        <f>'Overview (Design)'!G47</f>
        <v>0</v>
      </c>
    </row>
    <row r="49" spans="2:51" x14ac:dyDescent="0.35">
      <c r="B49" s="412" t="s">
        <v>3165</v>
      </c>
      <c r="C49" s="13" t="s">
        <v>260</v>
      </c>
      <c r="D49" s="13"/>
      <c r="E49" s="13"/>
      <c r="F49" s="13"/>
      <c r="G49" s="13"/>
      <c r="H49" s="453"/>
      <c r="I49" s="93"/>
      <c r="J49" s="19"/>
      <c r="K49" s="4"/>
      <c r="L49" s="814"/>
      <c r="M49" s="818">
        <v>6</v>
      </c>
      <c r="N49" s="4"/>
      <c r="O49" s="832"/>
      <c r="X49" s="817"/>
      <c r="AL49" t="str">
        <f>SUBSTITUTE(SUBSTITUTE(SUBSTITUTE("dpa"&amp;$B49&amp;$C49&amp;$D49&amp;$E49,".","_"),"(","_"),")","")</f>
        <v>dpa901_2_1_3</v>
      </c>
      <c r="AM49">
        <f>M49</f>
        <v>6</v>
      </c>
      <c r="AX49" s="6" t="str">
        <f>'Overview (Design)'!A48</f>
        <v>Renewable Energy:</v>
      </c>
      <c r="AY49">
        <f>'Overview (Design)'!G48</f>
        <v>0</v>
      </c>
    </row>
    <row r="50" spans="2:51" x14ac:dyDescent="0.35">
      <c r="B50" s="412" t="s">
        <v>3165</v>
      </c>
      <c r="C50" s="13" t="s">
        <v>260</v>
      </c>
      <c r="D50" s="13"/>
      <c r="E50" s="13"/>
      <c r="F50" s="13"/>
      <c r="G50" s="13"/>
      <c r="H50" s="453"/>
      <c r="I50" s="93"/>
      <c r="J50" s="129"/>
      <c r="K50" s="133"/>
      <c r="L50" s="815"/>
      <c r="M50" s="819"/>
      <c r="N50" s="133"/>
      <c r="O50" s="824"/>
      <c r="X50" s="817"/>
      <c r="AX50" s="6" t="str">
        <f>'Overview (Design)'!A49</f>
        <v>Thermal Envelope Insulation:</v>
      </c>
      <c r="AY50">
        <f>'Overview (Design)'!G49</f>
        <v>0</v>
      </c>
    </row>
    <row r="51" spans="2:51" x14ac:dyDescent="0.35">
      <c r="B51" s="412" t="s">
        <v>3165</v>
      </c>
      <c r="C51" s="13" t="s">
        <v>269</v>
      </c>
      <c r="D51" s="13"/>
      <c r="E51" s="13"/>
      <c r="F51" s="13" t="s">
        <v>4889</v>
      </c>
      <c r="G51" s="13"/>
      <c r="H51" s="453"/>
      <c r="I51" s="93"/>
      <c r="J51" s="19" t="s">
        <v>269</v>
      </c>
      <c r="K51" s="4"/>
      <c r="L51" s="848" t="s">
        <v>3169</v>
      </c>
      <c r="M51" s="459" t="str">
        <f>IF(R51,"Mandatory","N/A")</f>
        <v>Mandatory</v>
      </c>
      <c r="N51" s="4"/>
      <c r="O51" s="832">
        <f>M52*S51*(W51="Met")</f>
        <v>0</v>
      </c>
      <c r="P51" t="b">
        <v>1</v>
      </c>
      <c r="Q51" t="b">
        <v>1</v>
      </c>
      <c r="R51" t="b">
        <f>S51</f>
        <v>1</v>
      </c>
      <c r="S51" t="b">
        <f>NOT(W55)</f>
        <v>1</v>
      </c>
      <c r="T51" t="b">
        <f>AND(NOT(S51),LEN(W51)&gt;0,W51&lt;&gt;"N/A")</f>
        <v>0</v>
      </c>
      <c r="U51" t="str">
        <f>SUBSTITUTE(SUBSTITUTE(SUBSTITUTE("dd"&amp;B51&amp;C51&amp;D51&amp;E51&amp;F51,".","_"),"(","_"),")","")</f>
        <v>dd901_2_1_4_m</v>
      </c>
      <c r="W51" s="9" t="s">
        <v>3040</v>
      </c>
      <c r="X51" s="817"/>
      <c r="AC51" t="b">
        <f>OR(AD51:AE51)</f>
        <v>0</v>
      </c>
      <c r="AD51" t="b">
        <f>T51</f>
        <v>0</v>
      </c>
      <c r="AE51" t="b">
        <f>AND(R51,OR(W51="Not Met",W51=""))</f>
        <v>0</v>
      </c>
      <c r="AL51" s="1" t="str">
        <f>SUBSTITUTE(SUBSTITUTE(SUBSTITUTE("dpa"&amp;$B51&amp;$C51&amp;$D51&amp;$E51&amp;$F51,".","_"),"(","_"),")","")</f>
        <v>dpa901_2_1_4_m</v>
      </c>
      <c r="AM51" t="str">
        <f>M51</f>
        <v>Mandatory</v>
      </c>
      <c r="AN51" t="str">
        <f>SUBSTITUTE(SUBSTITUTE(SUBSTITUTE("dpc"&amp;$B51&amp;$C51&amp;$D51&amp;$E51,".","_"),"(","_"),")","")</f>
        <v>dpc901_2_1_4</v>
      </c>
      <c r="AO51">
        <f>O51</f>
        <v>0</v>
      </c>
      <c r="AP51" t="str">
        <f>SUBSTITUTE(SUBSTITUTE(SUBSTITUTE("dch"&amp;$B51&amp;$C51&amp;$D51&amp;$E51,".","_"),"(","_"),")","")</f>
        <v>dch901_2_1_4</v>
      </c>
      <c r="AQ51" t="str">
        <f>IF(LEN(W51)=0,"",W51)</f>
        <v>N/A</v>
      </c>
      <c r="AR51" t="str">
        <f>SUBSTITUTE(SUBSTITUTE(SUBSTITUTE("dnt"&amp;$B51&amp;$C51&amp;$D51&amp;$E51,".","_"),"(","_"),")","")</f>
        <v>dnt901_2_1_4</v>
      </c>
      <c r="AS51" t="str">
        <f>IF(LEN(X51)=0,"",X51)</f>
        <v/>
      </c>
      <c r="AX51" s="6" t="str">
        <f>'Overview (Design)'!A50</f>
        <v>Attic Type:</v>
      </c>
      <c r="AY51" t="str">
        <f>'Overview (Design)'!G50</f>
        <v>Vented</v>
      </c>
    </row>
    <row r="52" spans="2:51" x14ac:dyDescent="0.35">
      <c r="B52" s="412" t="s">
        <v>3165</v>
      </c>
      <c r="C52" s="13" t="s">
        <v>269</v>
      </c>
      <c r="D52" s="13"/>
      <c r="E52" s="13"/>
      <c r="F52" s="13"/>
      <c r="G52" s="13"/>
      <c r="H52" s="453"/>
      <c r="I52" s="93"/>
      <c r="J52" s="129"/>
      <c r="K52" s="133"/>
      <c r="L52" s="821"/>
      <c r="M52" s="268">
        <v>6</v>
      </c>
      <c r="N52" s="133"/>
      <c r="O52" s="824"/>
      <c r="X52" s="817"/>
      <c r="AL52" t="str">
        <f>SUBSTITUTE(SUBSTITUTE(SUBSTITUTE("dpa"&amp;$B52&amp;$C52&amp;$D52&amp;$E52,".","_"),"(","_"),")","")</f>
        <v>dpa901_2_1_4</v>
      </c>
      <c r="AM52">
        <f>M52</f>
        <v>6</v>
      </c>
      <c r="AX52" s="6" t="str">
        <f>'Overview (Design)'!A51</f>
        <v>Attached Garage:</v>
      </c>
      <c r="AY52" t="str">
        <f>'Overview (Design)'!G51</f>
        <v>Yes</v>
      </c>
    </row>
    <row r="53" spans="2:51" x14ac:dyDescent="0.35">
      <c r="B53" s="412" t="s">
        <v>3165</v>
      </c>
      <c r="C53" s="13" t="s">
        <v>275</v>
      </c>
      <c r="D53" s="13"/>
      <c r="E53" s="13"/>
      <c r="F53" s="13" t="s">
        <v>4889</v>
      </c>
      <c r="G53" s="13"/>
      <c r="H53" s="453"/>
      <c r="I53" s="93"/>
      <c r="J53" s="19" t="s">
        <v>275</v>
      </c>
      <c r="K53" s="4"/>
      <c r="L53" s="814" t="s">
        <v>3170</v>
      </c>
      <c r="M53" s="459" t="str">
        <f>IF(R53,"Mandatory","N/A")</f>
        <v>Mandatory</v>
      </c>
      <c r="N53" s="4"/>
      <c r="O53" s="832">
        <f>M54*S53*(W53="Met")</f>
        <v>0</v>
      </c>
      <c r="P53" t="b">
        <v>1</v>
      </c>
      <c r="Q53" t="b">
        <v>1</v>
      </c>
      <c r="R53" t="b">
        <f>S53</f>
        <v>1</v>
      </c>
      <c r="S53" t="b">
        <f>NOT(W55)</f>
        <v>1</v>
      </c>
      <c r="T53" t="b">
        <f>AND(NOT(S53),LEN(W53)&gt;0,W53&lt;&gt;"N/A")</f>
        <v>0</v>
      </c>
      <c r="U53" t="str">
        <f>SUBSTITUTE(SUBSTITUTE(SUBSTITUTE("dd"&amp;B53&amp;C53&amp;D53&amp;E53&amp;F53,".","_"),"(","_"),")","")</f>
        <v>dd901_2_1_5_m</v>
      </c>
      <c r="W53" s="9" t="s">
        <v>3040</v>
      </c>
      <c r="X53" s="817"/>
      <c r="AC53" t="b">
        <f>OR(AD53:AE53)</f>
        <v>0</v>
      </c>
      <c r="AD53" t="b">
        <f>T53</f>
        <v>0</v>
      </c>
      <c r="AE53" t="b">
        <f>AND(R53,OR(W53="Not Met",W53=""))</f>
        <v>0</v>
      </c>
      <c r="AL53" s="1" t="str">
        <f>SUBSTITUTE(SUBSTITUTE(SUBSTITUTE("dpa"&amp;$B53&amp;$C53&amp;$D53&amp;$E53&amp;$F53,".","_"),"(","_"),")","")</f>
        <v>dpa901_2_1_5_m</v>
      </c>
      <c r="AM53" t="str">
        <f>M53</f>
        <v>Mandatory</v>
      </c>
      <c r="AN53" t="str">
        <f>SUBSTITUTE(SUBSTITUTE(SUBSTITUTE("dpc"&amp;$B53&amp;$C53&amp;$D53&amp;$E53,".","_"),"(","_"),")","")</f>
        <v>dpc901_2_1_5</v>
      </c>
      <c r="AO53">
        <f>O53</f>
        <v>0</v>
      </c>
      <c r="AP53" t="str">
        <f>SUBSTITUTE(SUBSTITUTE(SUBSTITUTE("dch"&amp;$B53&amp;$C53&amp;$D53&amp;$E53,".","_"),"(","_"),")","")</f>
        <v>dch901_2_1_5</v>
      </c>
      <c r="AQ53" t="str">
        <f>IF(LEN(W53)=0,"",W53)</f>
        <v>N/A</v>
      </c>
      <c r="AR53" t="str">
        <f>SUBSTITUTE(SUBSTITUTE(SUBSTITUTE("dnt"&amp;$B53&amp;$C53&amp;$D53&amp;$E53,".","_"),"(","_"),")","")</f>
        <v>dnt901_2_1_5</v>
      </c>
      <c r="AS53" t="str">
        <f>IF(LEN(X53)=0,"",X53)</f>
        <v/>
      </c>
      <c r="AX53" s="6" t="str">
        <f>'Overview (Design)'!A52</f>
        <v>Recessed Lighting:</v>
      </c>
      <c r="AY53">
        <f>'Overview (Design)'!G52</f>
        <v>0</v>
      </c>
    </row>
    <row r="54" spans="2:51" x14ac:dyDescent="0.35">
      <c r="B54" s="412" t="s">
        <v>3165</v>
      </c>
      <c r="C54" s="13" t="s">
        <v>275</v>
      </c>
      <c r="D54" s="13"/>
      <c r="E54" s="13"/>
      <c r="F54" s="13"/>
      <c r="G54" s="13"/>
      <c r="H54" s="453"/>
      <c r="I54" s="320"/>
      <c r="J54" s="129"/>
      <c r="K54" s="133"/>
      <c r="L54" s="815"/>
      <c r="M54" s="268">
        <v>6</v>
      </c>
      <c r="N54" s="133"/>
      <c r="O54" s="824"/>
      <c r="P54" s="104"/>
      <c r="Q54" s="104"/>
      <c r="R54" s="104"/>
      <c r="S54" s="104"/>
      <c r="T54" s="104"/>
      <c r="U54" s="104"/>
      <c r="V54" s="104"/>
      <c r="W54" s="104"/>
      <c r="X54" s="817"/>
      <c r="AL54" t="str">
        <f>SUBSTITUTE(SUBSTITUTE(SUBSTITUTE("dpa"&amp;$B54&amp;$C54&amp;$D54&amp;$E54,".","_"),"(","_"),")","")</f>
        <v>dpa901_2_1_5</v>
      </c>
      <c r="AM54">
        <f>M54</f>
        <v>6</v>
      </c>
      <c r="AX54" s="6"/>
    </row>
    <row r="55" spans="2:51" ht="15" thickBot="1" x14ac:dyDescent="0.4">
      <c r="B55" s="412" t="s">
        <v>3171</v>
      </c>
      <c r="C55" s="13"/>
      <c r="D55" s="13"/>
      <c r="E55" s="13"/>
      <c r="F55" s="13"/>
      <c r="G55" s="13"/>
      <c r="H55" s="453"/>
      <c r="I55" s="114" t="s">
        <v>3171</v>
      </c>
      <c r="J55" s="160"/>
      <c r="K55" s="160"/>
      <c r="L55" s="321" t="s">
        <v>3172</v>
      </c>
      <c r="M55" s="270">
        <v>6</v>
      </c>
      <c r="N55" s="160"/>
      <c r="O55" s="161">
        <f>M55*S55*W55</f>
        <v>0</v>
      </c>
      <c r="P55" t="b">
        <v>1</v>
      </c>
      <c r="Q55" t="b">
        <v>1</v>
      </c>
      <c r="R55" s="55" t="b">
        <v>0</v>
      </c>
      <c r="S55" s="55" t="b">
        <f>(COUNTIF(W43:W53,"Met"))=0</f>
        <v>1</v>
      </c>
      <c r="T55" s="55" t="b">
        <f>AND(NOT(S55),W55=TRUE)</f>
        <v>0</v>
      </c>
      <c r="U55" s="55"/>
      <c r="V55" s="55"/>
      <c r="W55" s="322"/>
      <c r="X55" s="280"/>
      <c r="AC55" t="b">
        <f>OR(AD55:AE55)</f>
        <v>0</v>
      </c>
      <c r="AD55" t="b">
        <f>T55</f>
        <v>0</v>
      </c>
      <c r="AL55" t="str">
        <f>SUBSTITUTE(SUBSTITUTE(SUBSTITUTE("dpa"&amp;$B55&amp;$C55&amp;$D55&amp;$E55,".","_"),"(","_"),")","")</f>
        <v>dpa901_2_2</v>
      </c>
      <c r="AM55">
        <f>M55</f>
        <v>6</v>
      </c>
      <c r="AN55" t="str">
        <f>SUBSTITUTE(SUBSTITUTE(SUBSTITUTE("dpc"&amp;$B55&amp;$C55&amp;$D55&amp;$E55,".","_"),"(","_"),")","")</f>
        <v>dpc901_2_2</v>
      </c>
      <c r="AO55">
        <f>O55</f>
        <v>0</v>
      </c>
      <c r="AP55" t="str">
        <f>SUBSTITUTE(SUBSTITUTE(SUBSTITUTE("dch"&amp;$B55&amp;$C55&amp;$D55&amp;$E55,".","_"),"(","_"),")","")</f>
        <v>dch901_2_2</v>
      </c>
      <c r="AQ55" t="str">
        <f>IF(LEN(W55)=0,"",W55)</f>
        <v/>
      </c>
      <c r="AR55" t="str">
        <f>SUBSTITUTE(SUBSTITUTE(SUBSTITUTE("dnt"&amp;$B55&amp;$C55&amp;$D55&amp;$E55,".","_"),"(","_"),")","")</f>
        <v>dnt901_2_2</v>
      </c>
      <c r="AS55" t="str">
        <f>IF(LEN(X55)=0,"",X55)</f>
        <v/>
      </c>
      <c r="AX55" s="6" t="str">
        <f>'Overview (Design)'!A54</f>
        <v>Special Design Features:</v>
      </c>
      <c r="AY55">
        <f>'Overview (Design)'!G54</f>
        <v>0</v>
      </c>
    </row>
    <row r="56" spans="2:51" ht="15" thickTop="1" x14ac:dyDescent="0.35">
      <c r="B56" s="412">
        <v>901.3</v>
      </c>
      <c r="C56" s="13"/>
      <c r="D56" s="13"/>
      <c r="E56" s="13"/>
      <c r="F56" s="13"/>
      <c r="G56" s="13"/>
      <c r="H56" s="453"/>
      <c r="I56" s="30">
        <v>901.3</v>
      </c>
      <c r="J56" s="4"/>
      <c r="K56" s="4"/>
      <c r="L56" s="95" t="s">
        <v>3173</v>
      </c>
      <c r="M56" s="40"/>
      <c r="N56" s="4"/>
      <c r="O56" s="75"/>
      <c r="AX56" s="6" t="str">
        <f>'Overview (Design)'!A55</f>
        <v>Passive Solar:</v>
      </c>
      <c r="AY56">
        <f>'Overview (Design)'!G55</f>
        <v>0</v>
      </c>
    </row>
    <row r="57" spans="2:51" x14ac:dyDescent="0.35">
      <c r="B57" s="412">
        <v>901.3</v>
      </c>
      <c r="C57" s="13" t="s">
        <v>256</v>
      </c>
      <c r="D57" s="13"/>
      <c r="E57" s="13"/>
      <c r="F57" s="13"/>
      <c r="G57" s="13"/>
      <c r="H57" s="453"/>
      <c r="I57" s="93"/>
      <c r="J57" s="19" t="s">
        <v>256</v>
      </c>
      <c r="K57" s="4"/>
      <c r="L57" s="90" t="s">
        <v>3174</v>
      </c>
      <c r="M57" s="40"/>
      <c r="N57" s="4"/>
      <c r="O57" s="75"/>
      <c r="AX57" s="6" t="str">
        <f>'Overview (Design)'!A56</f>
        <v>Mass Walls:</v>
      </c>
      <c r="AY57">
        <f>'Overview (Design)'!G56</f>
        <v>0</v>
      </c>
    </row>
    <row r="58" spans="2:51" x14ac:dyDescent="0.35">
      <c r="B58" s="412">
        <v>901.3</v>
      </c>
      <c r="C58" s="13" t="s">
        <v>256</v>
      </c>
      <c r="D58" s="37" t="s">
        <v>121</v>
      </c>
      <c r="E58" s="13"/>
      <c r="F58" s="13" t="s">
        <v>4889</v>
      </c>
      <c r="G58" s="13"/>
      <c r="H58" s="456"/>
      <c r="I58" s="93"/>
      <c r="J58" s="4"/>
      <c r="K58" s="19" t="s">
        <v>121</v>
      </c>
      <c r="L58" s="814" t="s">
        <v>3175</v>
      </c>
      <c r="M58" s="459" t="str">
        <f>IF(R58,"Mandatory","N/A")</f>
        <v>Mandatory</v>
      </c>
      <c r="N58" s="4"/>
      <c r="O58" s="832">
        <f>M59*S58*(W58="Met")</f>
        <v>2</v>
      </c>
      <c r="P58" t="b">
        <v>0</v>
      </c>
      <c r="Q58" t="b">
        <v>1</v>
      </c>
      <c r="R58" t="b">
        <f>S58</f>
        <v>1</v>
      </c>
      <c r="S58" t="b">
        <f>NOT(OR(W68,W60="N/A"))</f>
        <v>1</v>
      </c>
      <c r="T58" t="b">
        <f>AND(NOT(S58),LEN(W58)&gt;0)</f>
        <v>0</v>
      </c>
      <c r="U58" t="str">
        <f>SUBSTITUTE(SUBSTITUTE(SUBSTITUTE("dd"&amp;B58&amp;C58&amp;D58&amp;E58&amp;F58,".","_"),"(","_"),")","")</f>
        <v>dd901_3_1_a_m</v>
      </c>
      <c r="W58" s="9" t="s">
        <v>3038</v>
      </c>
      <c r="X58" s="817"/>
      <c r="AC58" t="b">
        <f>OR(AD58:AE58)</f>
        <v>0</v>
      </c>
      <c r="AD58" t="b">
        <f>T58</f>
        <v>0</v>
      </c>
      <c r="AE58" t="b">
        <f>AND(R58,OR(W58="Not Met",W58=""))</f>
        <v>0</v>
      </c>
      <c r="AL58" s="1" t="str">
        <f>SUBSTITUTE(SUBSTITUTE(SUBSTITUTE("dpa"&amp;$B58&amp;$C58&amp;$D58&amp;$E58&amp;$F58,".","_"),"(","_"),")","")</f>
        <v>dpa901_3_1_a_m</v>
      </c>
      <c r="AM58" t="str">
        <f>M58</f>
        <v>Mandatory</v>
      </c>
      <c r="AN58" t="str">
        <f>SUBSTITUTE(SUBSTITUTE(SUBSTITUTE("dpc"&amp;$B58&amp;$C58&amp;$D58&amp;$E58,".","_"),"(","_"),")","")</f>
        <v>dpc901_3_1_a</v>
      </c>
      <c r="AO58">
        <f>O58</f>
        <v>2</v>
      </c>
      <c r="AP58" t="str">
        <f>SUBSTITUTE(SUBSTITUTE(SUBSTITUTE("dch"&amp;$B58&amp;$C58&amp;$D58&amp;$E58,".","_"),"(","_"),")","")</f>
        <v>dch901_3_1_a</v>
      </c>
      <c r="AQ58" t="str">
        <f>IF(LEN(W58)=0,"",W58)</f>
        <v>Met</v>
      </c>
      <c r="AR58" t="str">
        <f>SUBSTITUTE(SUBSTITUTE(SUBSTITUTE("dnt"&amp;$B58&amp;$C58&amp;$D58&amp;$E58,".","_"),"(","_"),")","")</f>
        <v>dnt901_3_1_a</v>
      </c>
      <c r="AS58" t="str">
        <f>IF(LEN(X58)=0,"",X58)</f>
        <v/>
      </c>
      <c r="AX58" s="6" t="str">
        <f>'Overview (Design)'!A57</f>
        <v>Radiant/Hydronic:</v>
      </c>
      <c r="AY58">
        <f>'Overview (Design)'!G57</f>
        <v>0</v>
      </c>
    </row>
    <row r="59" spans="2:51" x14ac:dyDescent="0.35">
      <c r="B59" s="412">
        <v>901.3</v>
      </c>
      <c r="C59" s="13" t="s">
        <v>256</v>
      </c>
      <c r="D59" s="37" t="s">
        <v>121</v>
      </c>
      <c r="E59" s="13"/>
      <c r="F59" s="37"/>
      <c r="G59" s="37"/>
      <c r="H59" s="456"/>
      <c r="I59" s="93"/>
      <c r="J59" s="4"/>
      <c r="K59" s="129"/>
      <c r="L59" s="815"/>
      <c r="M59" s="268">
        <v>2</v>
      </c>
      <c r="N59" s="133"/>
      <c r="O59" s="824"/>
      <c r="X59" s="817"/>
      <c r="AL59" t="str">
        <f>SUBSTITUTE(SUBSTITUTE(SUBSTITUTE("dpa"&amp;$B59&amp;$C59&amp;$D59&amp;$E59,".","_"),"(","_"),")","")</f>
        <v>dpa901_3_1_a</v>
      </c>
      <c r="AM59">
        <f>M59</f>
        <v>2</v>
      </c>
      <c r="AX59" s="6" t="str">
        <f>'Overview (Design)'!A58</f>
        <v>Tankless Water Heater:</v>
      </c>
      <c r="AY59">
        <f>'Overview (Design)'!G58</f>
        <v>0</v>
      </c>
    </row>
    <row r="60" spans="2:51" ht="15" customHeight="1" x14ac:dyDescent="0.35">
      <c r="B60" s="412">
        <v>901.3</v>
      </c>
      <c r="C60" s="13" t="s">
        <v>256</v>
      </c>
      <c r="D60" s="37" t="s">
        <v>122</v>
      </c>
      <c r="E60" s="13"/>
      <c r="F60" s="13" t="s">
        <v>4889</v>
      </c>
      <c r="G60" s="13"/>
      <c r="H60" s="456"/>
      <c r="I60" s="93"/>
      <c r="J60" s="4"/>
      <c r="K60" s="19" t="s">
        <v>122</v>
      </c>
      <c r="L60" s="814" t="s">
        <v>3176</v>
      </c>
      <c r="M60" s="459" t="str">
        <f>IF(R60,"Mandatory","N/A")</f>
        <v>Mandatory</v>
      </c>
      <c r="N60" s="4"/>
      <c r="O60" s="832">
        <f>M61*S60*(W60="Met")</f>
        <v>2</v>
      </c>
      <c r="P60" t="b">
        <v>1</v>
      </c>
      <c r="Q60" t="b">
        <v>0</v>
      </c>
      <c r="R60" t="b">
        <f>S60</f>
        <v>1</v>
      </c>
      <c r="S60" t="b">
        <f>NOT(OR(W68,W58="N/A"))</f>
        <v>1</v>
      </c>
      <c r="T60" t="b">
        <f>AND(NOT(S60),LEN(W60)&gt;0)</f>
        <v>0</v>
      </c>
      <c r="U60" t="str">
        <f>SUBSTITUTE(SUBSTITUTE(SUBSTITUTE("dd"&amp;B60&amp;C60&amp;D60&amp;E60&amp;F60,".","_"),"(","_"),")","")</f>
        <v>dd901_3_1_b_m</v>
      </c>
      <c r="W60" s="9" t="s">
        <v>3038</v>
      </c>
      <c r="X60" s="817" t="s">
        <v>6109</v>
      </c>
      <c r="AC60" t="b">
        <f>OR(AD60:AE60)</f>
        <v>0</v>
      </c>
      <c r="AD60" t="b">
        <f>T60</f>
        <v>0</v>
      </c>
      <c r="AE60" t="b">
        <f>AND(R60,OR(W60="Not Met",W60=""))</f>
        <v>0</v>
      </c>
      <c r="AL60" s="1" t="str">
        <f>SUBSTITUTE(SUBSTITUTE(SUBSTITUTE("dpa"&amp;$B60&amp;$C60&amp;$D60&amp;$E60&amp;$F60,".","_"),"(","_"),")","")</f>
        <v>dpa901_3_1_b_m</v>
      </c>
      <c r="AM60" t="str">
        <f>M60</f>
        <v>Mandatory</v>
      </c>
      <c r="AN60" t="str">
        <f>SUBSTITUTE(SUBSTITUTE(SUBSTITUTE("dpc"&amp;$B60&amp;$C60&amp;$D60&amp;$E60,".","_"),"(","_"),")","")</f>
        <v>dpc901_3_1_b</v>
      </c>
      <c r="AO60">
        <f>O60</f>
        <v>2</v>
      </c>
      <c r="AP60" t="str">
        <f>SUBSTITUTE(SUBSTITUTE(SUBSTITUTE("dch"&amp;$B60&amp;$C60&amp;$D60&amp;$E60,".","_"),"(","_"),")","")</f>
        <v>dch901_3_1_b</v>
      </c>
      <c r="AQ60" t="str">
        <f>IF(LEN(W60)=0,"",W60)</f>
        <v>Met</v>
      </c>
      <c r="AR60" t="str">
        <f>SUBSTITUTE(SUBSTITUTE(SUBSTITUTE("dnt"&amp;$B60&amp;$C60&amp;$D60&amp;$E60,".","_"),"(","_"),")","")</f>
        <v>dnt901_3_1_b</v>
      </c>
      <c r="AS60" t="str">
        <f>IF(LEN(X60)=0,"",X60)</f>
        <v>Hardie™ Weather Barrier</v>
      </c>
      <c r="AX60" s="6" t="str">
        <f>'Overview (Design)'!A59</f>
        <v>Composting Toilet:</v>
      </c>
      <c r="AY60">
        <f>'Overview (Design)'!G59</f>
        <v>0</v>
      </c>
    </row>
    <row r="61" spans="2:51" x14ac:dyDescent="0.35">
      <c r="B61" s="412">
        <v>901.3</v>
      </c>
      <c r="C61" s="13" t="s">
        <v>256</v>
      </c>
      <c r="D61" s="37" t="s">
        <v>122</v>
      </c>
      <c r="E61" s="13"/>
      <c r="F61" s="37"/>
      <c r="G61" s="37"/>
      <c r="H61" s="456"/>
      <c r="I61" s="93"/>
      <c r="J61" s="4"/>
      <c r="K61" s="133"/>
      <c r="L61" s="815"/>
      <c r="M61" s="268">
        <v>2</v>
      </c>
      <c r="N61" s="133"/>
      <c r="O61" s="824"/>
      <c r="X61" s="817"/>
      <c r="AL61" t="str">
        <f>SUBSTITUTE(SUBSTITUTE(SUBSTITUTE("dpa"&amp;$B61&amp;$C61&amp;$D61&amp;$E61,".","_"),"(","_"),")","")</f>
        <v>dpa901_3_1_b</v>
      </c>
      <c r="AM61">
        <f>M61</f>
        <v>2</v>
      </c>
      <c r="AX61" s="6"/>
    </row>
    <row r="62" spans="2:51" ht="15" customHeight="1" x14ac:dyDescent="0.35">
      <c r="B62" s="412">
        <v>901.3</v>
      </c>
      <c r="C62" s="13" t="s">
        <v>256</v>
      </c>
      <c r="D62" s="37" t="s">
        <v>123</v>
      </c>
      <c r="E62" s="13"/>
      <c r="F62" s="37"/>
      <c r="G62" s="37"/>
      <c r="H62" s="456"/>
      <c r="I62" s="93"/>
      <c r="J62" s="4"/>
      <c r="K62" s="19" t="s">
        <v>123</v>
      </c>
      <c r="L62" s="814" t="s">
        <v>5587</v>
      </c>
      <c r="M62" s="818">
        <v>8</v>
      </c>
      <c r="N62" s="4"/>
      <c r="O62" s="832">
        <f ca="1">M62*S62*W62</f>
        <v>0</v>
      </c>
      <c r="P62" t="b">
        <v>0</v>
      </c>
      <c r="Q62" t="b">
        <v>1</v>
      </c>
      <c r="R62" t="b">
        <v>0</v>
      </c>
      <c r="S62" t="b">
        <f ca="1">AND(NOT(W68),AY19=INDEX(INDIRECT("ddSingleOrMulti"),1))</f>
        <v>1</v>
      </c>
      <c r="T62" t="b">
        <f ca="1">AND(NOT(S62),W62=TRUE)</f>
        <v>0</v>
      </c>
      <c r="W62" s="17"/>
      <c r="X62" s="817"/>
      <c r="AC62" t="b">
        <f ca="1">OR(AD62:AE62)</f>
        <v>0</v>
      </c>
      <c r="AD62" t="b">
        <f ca="1">T62</f>
        <v>0</v>
      </c>
      <c r="AL62" t="str">
        <f>SUBSTITUTE(SUBSTITUTE(SUBSTITUTE("dpa"&amp;$B62&amp;$C62&amp;$D62&amp;$E62,".","_"),"(","_"),")","")</f>
        <v>dpa901_3_1_c</v>
      </c>
      <c r="AM62">
        <f>M62</f>
        <v>8</v>
      </c>
      <c r="AN62" t="str">
        <f>SUBSTITUTE(SUBSTITUTE(SUBSTITUTE("dpc"&amp;$B62&amp;$C62&amp;$D62&amp;$E62,".","_"),"(","_"),")","")</f>
        <v>dpc901_3_1_c</v>
      </c>
      <c r="AO62">
        <f ca="1">O62</f>
        <v>0</v>
      </c>
      <c r="AP62" t="str">
        <f>SUBSTITUTE(SUBSTITUTE(SUBSTITUTE("dch"&amp;$B62&amp;$C62&amp;$D62&amp;$E62,".","_"),"(","_"),")","")</f>
        <v>dch901_3_1_c</v>
      </c>
      <c r="AQ62" t="str">
        <f>IF(LEN(W62)=0,"",W62)</f>
        <v/>
      </c>
      <c r="AR62" t="str">
        <f>SUBSTITUTE(SUBSTITUTE(SUBSTITUTE("dnt"&amp;$B62&amp;$C62&amp;$D62&amp;$E62,".","_"),"(","_"),")","")</f>
        <v>dnt901_3_1_c</v>
      </c>
      <c r="AS62" t="str">
        <f>IF(LEN(X62)=0,"",X62)</f>
        <v/>
      </c>
      <c r="AX62" s="6" t="str">
        <f>'Overview (Design)'!A61</f>
        <v>Local Energy Code:</v>
      </c>
      <c r="AY62">
        <f>'Overview (Design)'!G61</f>
        <v>0</v>
      </c>
    </row>
    <row r="63" spans="2:51" x14ac:dyDescent="0.35">
      <c r="B63" s="412">
        <v>901.3</v>
      </c>
      <c r="C63" s="13" t="s">
        <v>256</v>
      </c>
      <c r="D63" s="37" t="s">
        <v>123</v>
      </c>
      <c r="E63" s="13"/>
      <c r="F63" s="37"/>
      <c r="G63" s="37"/>
      <c r="H63" s="456"/>
      <c r="I63" s="93"/>
      <c r="J63" s="4"/>
      <c r="K63" s="4"/>
      <c r="L63" s="814"/>
      <c r="M63" s="818"/>
      <c r="N63" s="4"/>
      <c r="O63" s="832"/>
      <c r="X63" s="817"/>
      <c r="AX63" s="6" t="str">
        <f>'Overview (Design)'!A62</f>
        <v>Local Building Code:</v>
      </c>
      <c r="AY63">
        <f>'Overview (Design)'!G62</f>
        <v>0</v>
      </c>
    </row>
    <row r="64" spans="2:51" x14ac:dyDescent="0.35">
      <c r="B64" s="412">
        <v>901.3</v>
      </c>
      <c r="C64" s="13" t="s">
        <v>256</v>
      </c>
      <c r="D64" s="37" t="s">
        <v>123</v>
      </c>
      <c r="E64" s="13"/>
      <c r="F64" s="37"/>
      <c r="G64" s="37"/>
      <c r="H64" s="456"/>
      <c r="I64" s="93"/>
      <c r="J64" s="4"/>
      <c r="K64" s="4"/>
      <c r="L64" s="814"/>
      <c r="M64" s="818"/>
      <c r="N64" s="4"/>
      <c r="O64" s="832"/>
      <c r="X64" s="817"/>
    </row>
    <row r="65" spans="2:45" ht="15" customHeight="1" x14ac:dyDescent="0.35">
      <c r="B65" s="412">
        <v>901.3</v>
      </c>
      <c r="C65" s="13" t="s">
        <v>256</v>
      </c>
      <c r="D65" s="37" t="s">
        <v>123</v>
      </c>
      <c r="E65" s="13"/>
      <c r="F65" s="37"/>
      <c r="G65" s="37"/>
      <c r="H65" s="456"/>
      <c r="I65" s="93"/>
      <c r="J65" s="4"/>
      <c r="K65" s="4"/>
      <c r="L65" s="814"/>
      <c r="M65" s="818"/>
      <c r="N65" s="4"/>
      <c r="O65" s="832"/>
      <c r="X65" s="817"/>
    </row>
    <row r="66" spans="2:45" ht="15" customHeight="1" x14ac:dyDescent="0.35">
      <c r="B66" s="412">
        <v>901.3</v>
      </c>
      <c r="C66" s="13" t="s">
        <v>256</v>
      </c>
      <c r="D66" s="37" t="s">
        <v>123</v>
      </c>
      <c r="E66" s="13"/>
      <c r="F66" s="37"/>
      <c r="G66" s="37"/>
      <c r="H66" s="456"/>
      <c r="I66" s="93"/>
      <c r="J66" s="4"/>
      <c r="K66" s="4"/>
      <c r="L66" s="814"/>
      <c r="M66" s="818"/>
      <c r="N66" s="4"/>
      <c r="O66" s="832"/>
      <c r="X66" s="817"/>
    </row>
    <row r="67" spans="2:45" ht="15" customHeight="1" x14ac:dyDescent="0.35">
      <c r="B67" s="412">
        <v>901.3</v>
      </c>
      <c r="C67" s="13" t="s">
        <v>256</v>
      </c>
      <c r="D67" s="37" t="s">
        <v>123</v>
      </c>
      <c r="E67" s="13"/>
      <c r="F67" s="37"/>
      <c r="G67" s="37"/>
      <c r="H67" s="456"/>
      <c r="I67" s="93"/>
      <c r="J67" s="133"/>
      <c r="K67" s="133"/>
      <c r="L67" s="815"/>
      <c r="M67" s="819"/>
      <c r="N67" s="133"/>
      <c r="O67" s="824"/>
      <c r="X67" s="817"/>
    </row>
    <row r="68" spans="2:45" ht="15.75" customHeight="1" thickBot="1" x14ac:dyDescent="0.4">
      <c r="B68" s="412">
        <v>901.3</v>
      </c>
      <c r="C68" s="13" t="s">
        <v>258</v>
      </c>
      <c r="D68" s="37"/>
      <c r="E68" s="13"/>
      <c r="F68" s="37"/>
      <c r="G68" s="37"/>
      <c r="H68" s="456"/>
      <c r="I68" s="294"/>
      <c r="J68" s="115" t="s">
        <v>258</v>
      </c>
      <c r="K68" s="160"/>
      <c r="L68" s="229" t="s">
        <v>3177</v>
      </c>
      <c r="M68" s="270">
        <v>10</v>
      </c>
      <c r="N68" s="160"/>
      <c r="O68" s="161">
        <f>M68*S68*W68</f>
        <v>0</v>
      </c>
      <c r="P68" t="b">
        <v>1</v>
      </c>
      <c r="Q68" t="b">
        <v>1</v>
      </c>
      <c r="R68" s="55" t="b">
        <v>0</v>
      </c>
      <c r="S68" s="55" t="b">
        <f>AND(NOT(W62),W58&lt;&gt;"Met",W60&lt;&gt;"Met")</f>
        <v>0</v>
      </c>
      <c r="T68" s="55" t="b">
        <f>AND(NOT(S68),W68=TRUE)</f>
        <v>0</v>
      </c>
      <c r="U68" s="55"/>
      <c r="V68" s="55"/>
      <c r="W68" s="56"/>
      <c r="X68" s="98"/>
      <c r="AC68" t="b">
        <f>OR(AD68:AE68)</f>
        <v>0</v>
      </c>
      <c r="AD68" t="b">
        <f>T68</f>
        <v>0</v>
      </c>
      <c r="AE68" t="b">
        <f>AND(R68,NOT(W68))</f>
        <v>0</v>
      </c>
      <c r="AL68" t="str">
        <f>SUBSTITUTE(SUBSTITUTE(SUBSTITUTE("dpa"&amp;$B68&amp;$C68&amp;$D68&amp;$E68,".","_"),"(","_"),")","")</f>
        <v>dpa901_3_2</v>
      </c>
      <c r="AM68">
        <f>M68</f>
        <v>10</v>
      </c>
      <c r="AN68" t="str">
        <f>SUBSTITUTE(SUBSTITUTE(SUBSTITUTE("dpc"&amp;$B68&amp;$C68&amp;$D68&amp;$E68,".","_"),"(","_"),")","")</f>
        <v>dpc901_3_2</v>
      </c>
      <c r="AO68">
        <f>O68</f>
        <v>0</v>
      </c>
      <c r="AP68" t="str">
        <f>SUBSTITUTE(SUBSTITUTE(SUBSTITUTE("dch"&amp;$B68&amp;$C68&amp;$D68&amp;$E68,".","_"),"(","_"),")","")</f>
        <v>dch901_3_2</v>
      </c>
      <c r="AQ68" t="str">
        <f>IF(LEN(W68)=0,"",W68)</f>
        <v/>
      </c>
      <c r="AR68" t="str">
        <f>SUBSTITUTE(SUBSTITUTE(SUBSTITUTE("dnt"&amp;$B68&amp;$C68&amp;$D68&amp;$E68,".","_"),"(","_"),")","")</f>
        <v>dnt901_3_2</v>
      </c>
      <c r="AS68" t="str">
        <f>IF(LEN(X68)=0,"",X68)</f>
        <v/>
      </c>
    </row>
    <row r="69" spans="2:45" ht="15" thickTop="1" x14ac:dyDescent="0.35">
      <c r="B69" s="412">
        <v>901.4</v>
      </c>
      <c r="C69" s="13"/>
      <c r="D69" s="13"/>
      <c r="E69" s="13"/>
      <c r="F69" s="13"/>
      <c r="G69" s="13"/>
      <c r="H69" s="453"/>
      <c r="I69" s="30">
        <v>901.4</v>
      </c>
      <c r="J69" s="4"/>
      <c r="K69" s="4"/>
      <c r="L69" s="814" t="s">
        <v>3178</v>
      </c>
      <c r="M69" s="818" t="s">
        <v>699</v>
      </c>
      <c r="N69" s="4"/>
      <c r="O69" s="831">
        <f ca="1">MIN(10,(IFERROR(INDEX({2,2,3,4,4},MATCH(W77,INDIRECT(U77),0)),0)+IFERROR(INDEX({2,2,3,4,4},MATCH(W78,INDIRECT(U78),0)),0)+IFERROR(INDEX({2,2,3,4,4},MATCH(W79,INDIRECT(U79),0)),0)+IFERROR(INDEX({2,2,3,4,4},MATCH(W80,INDIRECT(U80),0)),0)))*S77</f>
        <v>0</v>
      </c>
      <c r="AL69" t="str">
        <f>SUBSTITUTE(SUBSTITUTE(SUBSTITUTE("dpa"&amp;$B69&amp;$C69&amp;$D69&amp;$E69,".","_"),"(","_"),")","")</f>
        <v>dpa901_4</v>
      </c>
      <c r="AM69" t="str">
        <f>M69</f>
        <v>10 Max</v>
      </c>
      <c r="AN69" t="str">
        <f>SUBSTITUTE(SUBSTITUTE(SUBSTITUTE("dpc"&amp;$B69&amp;$C69&amp;$D69&amp;$E69,".","_"),"(","_"),")","")</f>
        <v>dpc901_4</v>
      </c>
      <c r="AO69">
        <f ca="1">O69</f>
        <v>0</v>
      </c>
    </row>
    <row r="70" spans="2:45" ht="15" customHeight="1" x14ac:dyDescent="0.35">
      <c r="B70" s="412">
        <v>901.4</v>
      </c>
      <c r="C70" s="13"/>
      <c r="D70" s="13"/>
      <c r="E70" s="13"/>
      <c r="F70" s="13"/>
      <c r="G70" s="13"/>
      <c r="H70" s="453"/>
      <c r="I70" s="93"/>
      <c r="J70" s="4"/>
      <c r="K70" s="4"/>
      <c r="L70" s="814"/>
      <c r="M70" s="818"/>
      <c r="N70" s="4"/>
      <c r="O70" s="832"/>
    </row>
    <row r="71" spans="2:45" x14ac:dyDescent="0.35">
      <c r="B71" s="412">
        <v>901.4</v>
      </c>
      <c r="C71" s="13"/>
      <c r="D71" s="13"/>
      <c r="E71" s="13"/>
      <c r="F71" s="13"/>
      <c r="G71" s="13"/>
      <c r="H71" s="453"/>
      <c r="I71" s="93"/>
      <c r="J71" s="4"/>
      <c r="K71" s="4"/>
      <c r="L71" s="814"/>
      <c r="M71" s="818"/>
      <c r="N71" s="4"/>
      <c r="O71" s="832"/>
    </row>
    <row r="72" spans="2:45" ht="15" customHeight="1" x14ac:dyDescent="0.35">
      <c r="B72" s="412">
        <v>901.4</v>
      </c>
      <c r="C72" s="13" t="s">
        <v>256</v>
      </c>
      <c r="D72" s="13"/>
      <c r="E72" s="13"/>
      <c r="F72" s="453"/>
      <c r="G72" s="13"/>
      <c r="H72" s="453"/>
      <c r="I72" s="93"/>
      <c r="J72" s="19" t="s">
        <v>256</v>
      </c>
      <c r="K72" s="4"/>
      <c r="L72" s="814" t="s">
        <v>3179</v>
      </c>
      <c r="M72" s="885" t="str">
        <f>IF(R72,"Mandatory","N/A")</f>
        <v>Mandatory</v>
      </c>
      <c r="N72" s="4"/>
      <c r="P72" t="b">
        <v>1</v>
      </c>
      <c r="Q72" t="b">
        <v>0</v>
      </c>
      <c r="R72" t="b">
        <f>S72</f>
        <v>1</v>
      </c>
      <c r="S72" t="b">
        <v>1</v>
      </c>
      <c r="T72" t="b">
        <v>0</v>
      </c>
      <c r="U72" t="str">
        <f>SUBSTITUTE(SUBSTITUTE(SUBSTITUTE("dd"&amp;B72&amp;C72&amp;D72&amp;E72&amp;F72,".","_"),"(","_"),")","")</f>
        <v>dd901_4_1</v>
      </c>
      <c r="W72" s="9" t="s">
        <v>3038</v>
      </c>
      <c r="X72" s="817" t="s">
        <v>6113</v>
      </c>
      <c r="AC72" t="b">
        <f>OR(AD72:AE72)</f>
        <v>0</v>
      </c>
      <c r="AD72" t="b">
        <f>T72</f>
        <v>0</v>
      </c>
      <c r="AE72" t="b">
        <f>OR(AND(W72="N/A",LEN(X72)=0),AND(R72,OR(W72="Not Met",W72="")))</f>
        <v>0</v>
      </c>
      <c r="AL72" t="str">
        <f>SUBSTITUTE(SUBSTITUTE(SUBSTITUTE("dpa"&amp;$B72&amp;$C72&amp;$D72&amp;$E72,".","_"),"(","_"),")","")</f>
        <v>dpa901_4_1</v>
      </c>
      <c r="AM72" t="str">
        <f>M72</f>
        <v>Mandatory</v>
      </c>
      <c r="AP72" t="str">
        <f>SUBSTITUTE(SUBSTITUTE(SUBSTITUTE("dch"&amp;$B72&amp;$C72&amp;$D72&amp;$E72,".","_"),"(","_"),")","")</f>
        <v>dch901_4_1</v>
      </c>
      <c r="AQ72" t="str">
        <f>IF(LEN(W72)=0,"",W72)</f>
        <v>Met</v>
      </c>
      <c r="AR72" t="str">
        <f>SUBSTITUTE(SUBSTITUTE(SUBSTITUTE("dnt"&amp;$B72&amp;$C72&amp;$D72&amp;$E72,".","_"),"(","_"),")","")</f>
        <v>dnt901_4_1</v>
      </c>
      <c r="AS72" t="str">
        <f>IF(LEN(X72)=0,"",X72)</f>
        <v>Boise Cascade BCI® Joists</v>
      </c>
    </row>
    <row r="73" spans="2:45" x14ac:dyDescent="0.35">
      <c r="B73" s="412">
        <v>901.4</v>
      </c>
      <c r="C73" s="13" t="s">
        <v>256</v>
      </c>
      <c r="D73" s="13"/>
      <c r="E73" s="13"/>
      <c r="F73" s="453"/>
      <c r="G73" s="13"/>
      <c r="H73" s="453"/>
      <c r="I73" s="93"/>
      <c r="J73" s="4"/>
      <c r="K73" s="4"/>
      <c r="L73" s="814"/>
      <c r="M73" s="885"/>
      <c r="N73" s="4"/>
      <c r="O73" s="75"/>
      <c r="X73" s="817"/>
    </row>
    <row r="74" spans="2:45" x14ac:dyDescent="0.35">
      <c r="B74" s="412">
        <v>901.4</v>
      </c>
      <c r="C74" s="13" t="s">
        <v>256</v>
      </c>
      <c r="D74" s="13"/>
      <c r="E74" s="13"/>
      <c r="F74" s="453"/>
      <c r="G74" s="13"/>
      <c r="H74" s="453"/>
      <c r="I74" s="93"/>
      <c r="J74" s="4"/>
      <c r="K74" s="4"/>
      <c r="L74" s="814"/>
      <c r="M74" s="885"/>
      <c r="N74" s="4"/>
      <c r="O74" s="75"/>
      <c r="X74" s="817"/>
    </row>
    <row r="75" spans="2:45" x14ac:dyDescent="0.35">
      <c r="B75" s="412">
        <v>901.4</v>
      </c>
      <c r="C75" s="13" t="s">
        <v>256</v>
      </c>
      <c r="D75" s="13"/>
      <c r="E75" s="13"/>
      <c r="F75" s="453"/>
      <c r="G75" s="13"/>
      <c r="H75" s="453"/>
      <c r="I75" s="93"/>
      <c r="J75" s="4"/>
      <c r="K75" s="4"/>
      <c r="L75" s="814"/>
      <c r="M75" s="885"/>
      <c r="N75" s="4"/>
      <c r="O75" s="75"/>
      <c r="X75" s="817"/>
    </row>
    <row r="76" spans="2:45" x14ac:dyDescent="0.35">
      <c r="B76" s="412">
        <v>901.4</v>
      </c>
      <c r="C76" s="13" t="s">
        <v>256</v>
      </c>
      <c r="D76" s="13"/>
      <c r="E76" s="13"/>
      <c r="F76" s="453"/>
      <c r="G76" s="13"/>
      <c r="H76" s="453"/>
      <c r="I76" s="93"/>
      <c r="J76" s="133"/>
      <c r="K76" s="133"/>
      <c r="L76" s="284" t="s">
        <v>3966</v>
      </c>
      <c r="M76" s="890"/>
      <c r="N76" s="4"/>
      <c r="O76" s="75"/>
      <c r="X76" s="817"/>
    </row>
    <row r="77" spans="2:45" x14ac:dyDescent="0.35">
      <c r="B77" s="412">
        <v>901.4</v>
      </c>
      <c r="C77" s="13"/>
      <c r="D77" s="37" t="s">
        <v>121</v>
      </c>
      <c r="E77" s="37"/>
      <c r="F77" s="456"/>
      <c r="G77" s="37"/>
      <c r="H77" s="456"/>
      <c r="I77" s="93"/>
      <c r="J77" s="4"/>
      <c r="K77" s="4"/>
      <c r="L77" s="90" t="s">
        <v>3645</v>
      </c>
      <c r="M77" s="273"/>
      <c r="N77" s="4"/>
      <c r="O77" s="75"/>
      <c r="P77" t="b">
        <v>1</v>
      </c>
      <c r="Q77" t="b">
        <v>1</v>
      </c>
      <c r="R77" t="b">
        <v>0</v>
      </c>
      <c r="S77" t="b">
        <v>1</v>
      </c>
      <c r="T77" t="b">
        <v>0</v>
      </c>
      <c r="U77" t="str">
        <f>SUBSTITUTE(SUBSTITUTE(SUBSTITUTE("dd"&amp;B77&amp;C77&amp;D77&amp;E77&amp;F77,".","_"),"(","_"),")","")</f>
        <v>dd901_4_a</v>
      </c>
      <c r="W77" s="9"/>
      <c r="X77" s="817"/>
      <c r="AP77" t="str">
        <f>SUBSTITUTE(SUBSTITUTE(SUBSTITUTE("dch"&amp;$B77&amp;$C77&amp;$D77&amp;$E77,".","_"),"(","_"),")","")</f>
        <v>dch901_4_a</v>
      </c>
      <c r="AQ77" t="str">
        <f>IF(LEN(W77)=0,"",W77)</f>
        <v/>
      </c>
      <c r="AR77" t="str">
        <f>SUBSTITUTE(SUBSTITUTE(SUBSTITUTE("dnt"&amp;$B77&amp;$C77&amp;$D77&amp;$E77,".","_"),"(","_"),")","")</f>
        <v>dnt901_4_a</v>
      </c>
      <c r="AS77" t="str">
        <f>IF(LEN(X77)=0,"",X77)</f>
        <v/>
      </c>
    </row>
    <row r="78" spans="2:45" x14ac:dyDescent="0.35">
      <c r="B78" s="412">
        <v>901.4</v>
      </c>
      <c r="C78" s="13"/>
      <c r="D78" s="37" t="s">
        <v>122</v>
      </c>
      <c r="E78" s="37"/>
      <c r="F78" s="456"/>
      <c r="G78" s="37"/>
      <c r="H78" s="456"/>
      <c r="I78" s="93"/>
      <c r="J78" s="4"/>
      <c r="K78" s="4"/>
      <c r="L78" s="90" t="s">
        <v>3646</v>
      </c>
      <c r="M78" s="273"/>
      <c r="N78" s="4"/>
      <c r="O78" s="75"/>
      <c r="P78" t="b">
        <v>1</v>
      </c>
      <c r="Q78" t="b">
        <v>1</v>
      </c>
      <c r="R78" t="b">
        <v>0</v>
      </c>
      <c r="S78" t="b">
        <v>1</v>
      </c>
      <c r="T78" t="b">
        <v>0</v>
      </c>
      <c r="U78" t="str">
        <f>SUBSTITUTE(SUBSTITUTE(SUBSTITUTE("dd"&amp;B78&amp;C78&amp;D78&amp;E78&amp;F78,".","_"),"(","_"),")","")</f>
        <v>dd901_4_b</v>
      </c>
      <c r="W78" s="9"/>
      <c r="X78" s="817"/>
      <c r="AP78" t="str">
        <f>SUBSTITUTE(SUBSTITUTE(SUBSTITUTE("dch"&amp;$B78&amp;$C78&amp;$D78&amp;$E78,".","_"),"(","_"),")","")</f>
        <v>dch901_4_b</v>
      </c>
      <c r="AQ78" t="str">
        <f>IF(LEN(W78)=0,"",W78)</f>
        <v/>
      </c>
    </row>
    <row r="79" spans="2:45" x14ac:dyDescent="0.35">
      <c r="B79" s="412">
        <v>901.4</v>
      </c>
      <c r="C79" s="13"/>
      <c r="D79" s="37" t="s">
        <v>123</v>
      </c>
      <c r="E79" s="37"/>
      <c r="F79" s="456"/>
      <c r="G79" s="37"/>
      <c r="H79" s="456"/>
      <c r="I79" s="93"/>
      <c r="J79" s="4"/>
      <c r="K79" s="4"/>
      <c r="L79" s="90" t="s">
        <v>3647</v>
      </c>
      <c r="M79" s="273"/>
      <c r="N79" s="4"/>
      <c r="O79" s="75"/>
      <c r="P79" t="b">
        <v>1</v>
      </c>
      <c r="Q79" t="b">
        <v>1</v>
      </c>
      <c r="R79" t="b">
        <v>0</v>
      </c>
      <c r="S79" t="b">
        <v>1</v>
      </c>
      <c r="T79" t="b">
        <v>0</v>
      </c>
      <c r="U79" t="str">
        <f>SUBSTITUTE(SUBSTITUTE(SUBSTITUTE("dd"&amp;B79&amp;C79&amp;D79&amp;E79&amp;F79,".","_"),"(","_"),")","")</f>
        <v>dd901_4_c</v>
      </c>
      <c r="W79" s="9"/>
      <c r="X79" s="817"/>
      <c r="AP79" t="str">
        <f>SUBSTITUTE(SUBSTITUTE(SUBSTITUTE("dch"&amp;$B79&amp;$C79&amp;$D79&amp;$E79,".","_"),"(","_"),")","")</f>
        <v>dch901_4_c</v>
      </c>
      <c r="AQ79" t="str">
        <f>IF(LEN(W79)=0,"",W79)</f>
        <v/>
      </c>
    </row>
    <row r="80" spans="2:45" x14ac:dyDescent="0.35">
      <c r="B80" s="412">
        <v>901.4</v>
      </c>
      <c r="C80" s="13"/>
      <c r="D80" s="37" t="s">
        <v>401</v>
      </c>
      <c r="E80" s="37"/>
      <c r="F80" s="456"/>
      <c r="G80" s="37"/>
      <c r="H80" s="456"/>
      <c r="I80" s="93"/>
      <c r="J80" s="4"/>
      <c r="K80" s="4"/>
      <c r="L80" s="90" t="s">
        <v>3648</v>
      </c>
      <c r="M80" s="273"/>
      <c r="N80" s="4"/>
      <c r="O80" s="75"/>
      <c r="P80" t="b">
        <v>1</v>
      </c>
      <c r="Q80" t="b">
        <v>1</v>
      </c>
      <c r="R80" t="b">
        <v>0</v>
      </c>
      <c r="S80" t="b">
        <v>1</v>
      </c>
      <c r="T80" t="b">
        <v>0</v>
      </c>
      <c r="U80" t="str">
        <f>SUBSTITUTE(SUBSTITUTE(SUBSTITUTE("dd"&amp;B80&amp;C80&amp;D80&amp;E80&amp;F80,".","_"),"(","_"),")","")</f>
        <v>dd901_4_d</v>
      </c>
      <c r="W80" s="9"/>
      <c r="X80" s="817"/>
      <c r="AP80" t="str">
        <f>SUBSTITUTE(SUBSTITUTE(SUBSTITUTE("dch"&amp;$B80&amp;$C80&amp;$D80&amp;$E80,".","_"),"(","_"),")","")</f>
        <v>dch901_4_d</v>
      </c>
      <c r="AQ80" t="str">
        <f>IF(LEN(W80)=0,"",W80)</f>
        <v/>
      </c>
    </row>
    <row r="81" spans="2:45" x14ac:dyDescent="0.35">
      <c r="B81" s="412">
        <v>901.4</v>
      </c>
      <c r="C81" s="13" t="s">
        <v>258</v>
      </c>
      <c r="D81" s="13"/>
      <c r="E81" s="13"/>
      <c r="F81" s="453"/>
      <c r="G81" s="13"/>
      <c r="H81" s="453"/>
      <c r="I81" s="93"/>
      <c r="J81" s="19" t="s">
        <v>258</v>
      </c>
      <c r="K81" s="4"/>
      <c r="L81" s="814" t="s">
        <v>3180</v>
      </c>
      <c r="M81" s="818">
        <v>2</v>
      </c>
      <c r="N81" s="4"/>
      <c r="O81" s="75"/>
      <c r="X81" s="817"/>
      <c r="AL81" t="str">
        <f>SUBSTITUTE(SUBSTITUTE(SUBSTITUTE("dpa"&amp;$B81&amp;$C81&amp;$D81&amp;$E81,".","_"),"(","_"),")","")</f>
        <v>dpa901_4_2</v>
      </c>
      <c r="AM81">
        <f>M81</f>
        <v>2</v>
      </c>
    </row>
    <row r="82" spans="2:45" x14ac:dyDescent="0.35">
      <c r="B82" s="412">
        <v>901.4</v>
      </c>
      <c r="C82" s="13" t="s">
        <v>258</v>
      </c>
      <c r="D82" s="13"/>
      <c r="E82" s="13"/>
      <c r="F82" s="453"/>
      <c r="G82" s="13"/>
      <c r="H82" s="453"/>
      <c r="I82" s="93"/>
      <c r="J82" s="133"/>
      <c r="K82" s="133"/>
      <c r="L82" s="815"/>
      <c r="M82" s="819"/>
      <c r="N82" s="4"/>
      <c r="O82" s="75"/>
      <c r="X82" s="817"/>
    </row>
    <row r="83" spans="2:45" x14ac:dyDescent="0.35">
      <c r="B83" s="412">
        <v>901.4</v>
      </c>
      <c r="C83" s="13" t="s">
        <v>260</v>
      </c>
      <c r="D83" s="13"/>
      <c r="E83" s="13"/>
      <c r="F83" s="453"/>
      <c r="G83" s="13"/>
      <c r="H83" s="453"/>
      <c r="I83" s="93"/>
      <c r="J83" s="129" t="s">
        <v>260</v>
      </c>
      <c r="K83" s="133"/>
      <c r="L83" s="228" t="s">
        <v>3181</v>
      </c>
      <c r="M83" s="268">
        <v>2</v>
      </c>
      <c r="N83" s="4"/>
      <c r="O83" s="75"/>
      <c r="X83" s="817"/>
      <c r="AL83" t="str">
        <f>SUBSTITUTE(SUBSTITUTE(SUBSTITUTE("dpa"&amp;$B83&amp;$C83&amp;$D83&amp;$E83,".","_"),"(","_"),")","")</f>
        <v>dpa901_4_3</v>
      </c>
      <c r="AM83">
        <f>M83</f>
        <v>2</v>
      </c>
    </row>
    <row r="84" spans="2:45" x14ac:dyDescent="0.35">
      <c r="B84" s="412">
        <v>901.4</v>
      </c>
      <c r="C84" s="13" t="s">
        <v>269</v>
      </c>
      <c r="D84" s="13"/>
      <c r="E84" s="13"/>
      <c r="F84" s="453"/>
      <c r="G84" s="13"/>
      <c r="H84" s="453"/>
      <c r="I84" s="93"/>
      <c r="J84" s="129" t="s">
        <v>269</v>
      </c>
      <c r="K84" s="133"/>
      <c r="L84" s="228" t="s">
        <v>3182</v>
      </c>
      <c r="M84" s="268">
        <v>3</v>
      </c>
      <c r="N84" s="4"/>
      <c r="O84" s="75"/>
      <c r="X84" s="817"/>
      <c r="AL84" t="str">
        <f>SUBSTITUTE(SUBSTITUTE(SUBSTITUTE("dpa"&amp;$B84&amp;$C84&amp;$D84&amp;$E84,".","_"),"(","_"),")","")</f>
        <v>dpa901_4_4</v>
      </c>
      <c r="AM84">
        <f>M84</f>
        <v>3</v>
      </c>
    </row>
    <row r="85" spans="2:45" x14ac:dyDescent="0.35">
      <c r="B85" s="412">
        <v>901.4</v>
      </c>
      <c r="C85" s="13" t="s">
        <v>275</v>
      </c>
      <c r="D85" s="13"/>
      <c r="E85" s="13"/>
      <c r="F85" s="453"/>
      <c r="G85" s="13"/>
      <c r="H85" s="453"/>
      <c r="I85" s="93"/>
      <c r="J85" s="19" t="s">
        <v>275</v>
      </c>
      <c r="K85" s="4"/>
      <c r="L85" s="814" t="s">
        <v>3183</v>
      </c>
      <c r="M85" s="818">
        <v>4</v>
      </c>
      <c r="N85" s="4"/>
      <c r="O85" s="75"/>
      <c r="X85" s="817"/>
      <c r="AL85" t="str">
        <f>SUBSTITUTE(SUBSTITUTE(SUBSTITUTE("dpa"&amp;$B85&amp;$C85&amp;$D85&amp;$E85,".","_"),"(","_"),")","")</f>
        <v>dpa901_4_5</v>
      </c>
      <c r="AM85">
        <f>M85</f>
        <v>4</v>
      </c>
    </row>
    <row r="86" spans="2:45" x14ac:dyDescent="0.35">
      <c r="B86" s="412">
        <v>901.4</v>
      </c>
      <c r="C86" s="13" t="s">
        <v>275</v>
      </c>
      <c r="D86" s="13"/>
      <c r="E86" s="13"/>
      <c r="F86" s="453"/>
      <c r="G86" s="13"/>
      <c r="H86" s="453"/>
      <c r="I86" s="93"/>
      <c r="J86" s="129"/>
      <c r="K86" s="133"/>
      <c r="L86" s="815"/>
      <c r="M86" s="819"/>
      <c r="N86" s="4"/>
      <c r="O86" s="75"/>
      <c r="X86" s="817"/>
    </row>
    <row r="87" spans="2:45" ht="15" thickBot="1" x14ac:dyDescent="0.4">
      <c r="B87" s="412">
        <v>901.4</v>
      </c>
      <c r="C87" s="13" t="s">
        <v>277</v>
      </c>
      <c r="D87" s="13"/>
      <c r="E87" s="13"/>
      <c r="F87" s="453"/>
      <c r="G87" s="13"/>
      <c r="H87" s="453"/>
      <c r="I87" s="294"/>
      <c r="J87" s="115" t="s">
        <v>277</v>
      </c>
      <c r="K87" s="160"/>
      <c r="L87" s="229" t="s">
        <v>3184</v>
      </c>
      <c r="M87" s="270">
        <v>4</v>
      </c>
      <c r="N87" s="160"/>
      <c r="O87" s="161"/>
      <c r="P87" s="55"/>
      <c r="Q87" s="55"/>
      <c r="R87" s="55"/>
      <c r="S87" s="55"/>
      <c r="T87" s="55"/>
      <c r="U87" s="55"/>
      <c r="V87" s="55"/>
      <c r="W87" s="55"/>
      <c r="X87" s="829"/>
      <c r="AL87" t="str">
        <f>SUBSTITUTE(SUBSTITUTE(SUBSTITUTE("dpa"&amp;$B87&amp;$C87&amp;$D87&amp;$E87,".","_"),"(","_"),")","")</f>
        <v>dpa901_4_6</v>
      </c>
      <c r="AM87">
        <f>M87</f>
        <v>4</v>
      </c>
    </row>
    <row r="88" spans="2:45" ht="15" thickTop="1" x14ac:dyDescent="0.35">
      <c r="B88" s="412">
        <v>901.5</v>
      </c>
      <c r="C88" s="13"/>
      <c r="D88" s="13"/>
      <c r="E88" s="13"/>
      <c r="F88" s="13"/>
      <c r="G88" s="13"/>
      <c r="H88" s="453"/>
      <c r="I88" s="30">
        <v>901.5</v>
      </c>
      <c r="J88" s="4"/>
      <c r="K88" s="4"/>
      <c r="L88" s="838" t="s">
        <v>3185</v>
      </c>
      <c r="M88" s="40"/>
      <c r="N88" s="4"/>
      <c r="O88" s="75"/>
    </row>
    <row r="89" spans="2:45" x14ac:dyDescent="0.35">
      <c r="B89" s="412">
        <v>901.5</v>
      </c>
      <c r="C89" s="13"/>
      <c r="D89" s="13"/>
      <c r="E89" s="13"/>
      <c r="F89" s="13"/>
      <c r="G89" s="13"/>
      <c r="H89" s="453"/>
      <c r="I89" s="93"/>
      <c r="J89" s="4"/>
      <c r="K89" s="4"/>
      <c r="L89" s="838"/>
      <c r="M89" s="40"/>
      <c r="N89" s="4"/>
      <c r="O89" s="75"/>
    </row>
    <row r="90" spans="2:45" x14ac:dyDescent="0.35">
      <c r="B90" s="412">
        <v>901.5</v>
      </c>
      <c r="C90" s="13"/>
      <c r="D90" s="13"/>
      <c r="E90" s="13"/>
      <c r="F90" s="13"/>
      <c r="G90" s="13"/>
      <c r="H90" s="453"/>
      <c r="I90" s="93"/>
      <c r="J90" s="4"/>
      <c r="K90" s="4"/>
      <c r="L90" s="92" t="s">
        <v>3186</v>
      </c>
      <c r="M90" s="40"/>
      <c r="N90" s="4"/>
      <c r="O90" s="75"/>
    </row>
    <row r="91" spans="2:45" x14ac:dyDescent="0.35">
      <c r="B91" s="412">
        <v>901.5</v>
      </c>
      <c r="C91" s="13" t="s">
        <v>256</v>
      </c>
      <c r="D91" s="13"/>
      <c r="E91" s="13"/>
      <c r="F91" s="13"/>
      <c r="G91" s="13"/>
      <c r="H91" s="453"/>
      <c r="I91" s="93"/>
      <c r="J91" s="19" t="s">
        <v>256</v>
      </c>
      <c r="K91" s="4"/>
      <c r="L91" s="814" t="s">
        <v>3187</v>
      </c>
      <c r="M91" s="818">
        <v>5</v>
      </c>
      <c r="N91" s="4"/>
      <c r="O91" s="832">
        <f>M91*S91*W91</f>
        <v>0</v>
      </c>
      <c r="P91" t="b">
        <v>0</v>
      </c>
      <c r="Q91" t="b">
        <v>1</v>
      </c>
      <c r="R91" t="b">
        <v>0</v>
      </c>
      <c r="S91" t="b">
        <v>1</v>
      </c>
      <c r="T91" t="b">
        <v>0</v>
      </c>
      <c r="W91" s="17"/>
      <c r="X91" s="817"/>
      <c r="AL91" t="str">
        <f>SUBSTITUTE(SUBSTITUTE(SUBSTITUTE("dpa"&amp;$B91&amp;$C91&amp;$D91&amp;$E91,".","_"),"(","_"),")","")</f>
        <v>dpa901_5_1</v>
      </c>
      <c r="AM91">
        <f>M91</f>
        <v>5</v>
      </c>
      <c r="AN91" t="str">
        <f>SUBSTITUTE(SUBSTITUTE(SUBSTITUTE("dpc"&amp;$B91&amp;$C91&amp;$D91&amp;$E91,".","_"),"(","_"),")","")</f>
        <v>dpc901_5_1</v>
      </c>
      <c r="AO91">
        <f>O91</f>
        <v>0</v>
      </c>
      <c r="AP91" t="str">
        <f>SUBSTITUTE(SUBSTITUTE(SUBSTITUTE("dch"&amp;$B91&amp;$C91&amp;$D91&amp;$E91,".","_"),"(","_"),")","")</f>
        <v>dch901_5_1</v>
      </c>
      <c r="AQ91" t="str">
        <f>IF(LEN(W91)=0,"",W91)</f>
        <v/>
      </c>
      <c r="AR91" t="str">
        <f>SUBSTITUTE(SUBSTITUTE(SUBSTITUTE("dnt"&amp;$B91&amp;$C91&amp;$D91&amp;$E91,".","_"),"(","_"),")","")</f>
        <v>dnt901_5_1</v>
      </c>
      <c r="AS91" t="str">
        <f>IF(LEN(X91)=0,"",X91)</f>
        <v/>
      </c>
    </row>
    <row r="92" spans="2:45" x14ac:dyDescent="0.35">
      <c r="B92" s="412">
        <v>901.5</v>
      </c>
      <c r="C92" s="13" t="s">
        <v>256</v>
      </c>
      <c r="D92" s="13"/>
      <c r="E92" s="13"/>
      <c r="F92" s="13"/>
      <c r="G92" s="13"/>
      <c r="H92" s="453"/>
      <c r="I92" s="93"/>
      <c r="J92" s="133"/>
      <c r="K92" s="133"/>
      <c r="L92" s="815"/>
      <c r="M92" s="819"/>
      <c r="N92" s="4"/>
      <c r="O92" s="824"/>
      <c r="X92" s="817"/>
    </row>
    <row r="93" spans="2:45" x14ac:dyDescent="0.35">
      <c r="B93" s="412">
        <v>901.5</v>
      </c>
      <c r="C93" s="13" t="s">
        <v>258</v>
      </c>
      <c r="D93" s="13"/>
      <c r="E93" s="13"/>
      <c r="F93" s="13"/>
      <c r="G93" s="13"/>
      <c r="H93" s="453"/>
      <c r="I93" s="93"/>
      <c r="J93" s="19" t="s">
        <v>258</v>
      </c>
      <c r="K93" s="4"/>
      <c r="L93" s="814" t="s">
        <v>5588</v>
      </c>
      <c r="M93" s="818">
        <v>3</v>
      </c>
      <c r="N93" s="4"/>
      <c r="O93" s="832">
        <f>M93*S93*W93</f>
        <v>3</v>
      </c>
      <c r="P93" t="b">
        <v>0</v>
      </c>
      <c r="Q93" t="b">
        <v>1</v>
      </c>
      <c r="R93" t="b">
        <v>0</v>
      </c>
      <c r="S93" t="b">
        <v>1</v>
      </c>
      <c r="T93" t="b">
        <v>0</v>
      </c>
      <c r="W93" s="17" t="b">
        <v>1</v>
      </c>
      <c r="X93" s="817" t="s">
        <v>6100</v>
      </c>
      <c r="AL93" t="str">
        <f>SUBSTITUTE(SUBSTITUTE(SUBSTITUTE("dpa"&amp;$B93&amp;$C93&amp;$D93&amp;$E93,".","_"),"(","_"),")","")</f>
        <v>dpa901_5_2</v>
      </c>
      <c r="AM93">
        <f>M93</f>
        <v>3</v>
      </c>
      <c r="AN93" t="str">
        <f>SUBSTITUTE(SUBSTITUTE(SUBSTITUTE("dpc"&amp;$B93&amp;$C93&amp;$D93&amp;$E93,".","_"),"(","_"),")","")</f>
        <v>dpc901_5_2</v>
      </c>
      <c r="AO93">
        <f>O93</f>
        <v>3</v>
      </c>
      <c r="AP93" t="str">
        <f>SUBSTITUTE(SUBSTITUTE(SUBSTITUTE("dch"&amp;$B93&amp;$C93&amp;$D93&amp;$E93,".","_"),"(","_"),")","")</f>
        <v>dch901_5_2</v>
      </c>
      <c r="AQ93" t="b">
        <f>IF(LEN(W93)=0,"",W93)</f>
        <v>1</v>
      </c>
      <c r="AR93" t="str">
        <f>SUBSTITUTE(SUBSTITUTE(SUBSTITUTE("dnt"&amp;$B93&amp;$C93&amp;$D93&amp;$E93,".","_"),"(","_"),")","")</f>
        <v>dnt901_5_2</v>
      </c>
      <c r="AS93" t="str">
        <f>IF(LEN(X93)=0,"",X93)</f>
        <v>Timberlake Kitchen and Bathroom Cabinetry</v>
      </c>
    </row>
    <row r="94" spans="2:45" x14ac:dyDescent="0.35">
      <c r="B94" s="412">
        <v>901.5</v>
      </c>
      <c r="C94" s="13" t="s">
        <v>258</v>
      </c>
      <c r="D94" s="13"/>
      <c r="E94" s="13"/>
      <c r="F94" s="13"/>
      <c r="G94" s="13"/>
      <c r="H94" s="453"/>
      <c r="I94" s="93"/>
      <c r="J94" s="4"/>
      <c r="K94" s="4"/>
      <c r="L94" s="814"/>
      <c r="M94" s="818"/>
      <c r="N94" s="4"/>
      <c r="O94" s="832"/>
      <c r="X94" s="817"/>
    </row>
    <row r="95" spans="2:45" ht="15" thickBot="1" x14ac:dyDescent="0.4">
      <c r="B95" s="412">
        <v>901.5</v>
      </c>
      <c r="C95" s="13" t="s">
        <v>258</v>
      </c>
      <c r="D95" s="13"/>
      <c r="E95" s="13"/>
      <c r="F95" s="13"/>
      <c r="G95" s="13"/>
      <c r="H95" s="453"/>
      <c r="I95" s="294"/>
      <c r="J95" s="160"/>
      <c r="K95" s="160"/>
      <c r="L95" s="839"/>
      <c r="M95" s="827"/>
      <c r="N95" s="160"/>
      <c r="O95" s="833"/>
      <c r="P95" s="55"/>
      <c r="Q95" s="55"/>
      <c r="R95" s="55"/>
      <c r="S95" s="55"/>
      <c r="T95" s="55"/>
      <c r="U95" s="55"/>
      <c r="V95" s="55"/>
      <c r="W95" s="55"/>
      <c r="X95" s="829"/>
    </row>
    <row r="96" spans="2:45" ht="15" thickTop="1" x14ac:dyDescent="0.35">
      <c r="B96" s="412">
        <v>901.6</v>
      </c>
      <c r="C96" s="13"/>
      <c r="D96" s="13"/>
      <c r="E96" s="13"/>
      <c r="F96" s="13"/>
      <c r="G96" s="13"/>
      <c r="H96" s="453"/>
      <c r="I96" s="106">
        <v>901.6</v>
      </c>
      <c r="J96" s="107"/>
      <c r="K96" s="107"/>
      <c r="L96" s="837" t="s">
        <v>3189</v>
      </c>
      <c r="M96" s="899" t="str">
        <f>IF(R96,"Mandatory","N/A")</f>
        <v>Mandatory</v>
      </c>
      <c r="N96" s="107"/>
      <c r="O96" s="308"/>
      <c r="P96" t="b">
        <v>0</v>
      </c>
      <c r="Q96" t="b">
        <v>1</v>
      </c>
      <c r="R96" s="59" t="b">
        <f>S96</f>
        <v>1</v>
      </c>
      <c r="S96" s="59" t="b">
        <v>1</v>
      </c>
      <c r="T96" s="59" t="b">
        <v>0</v>
      </c>
      <c r="U96" s="59"/>
      <c r="V96" s="59"/>
      <c r="W96" s="236" t="b">
        <v>1</v>
      </c>
      <c r="X96" s="840"/>
      <c r="AC96" t="b">
        <f>OR(AD96:AE96)</f>
        <v>0</v>
      </c>
      <c r="AD96" t="b">
        <v>0</v>
      </c>
      <c r="AE96" t="b">
        <f>AND(R96,NOT(W96))</f>
        <v>0</v>
      </c>
      <c r="AL96" t="str">
        <f>SUBSTITUTE(SUBSTITUTE(SUBSTITUTE("dpa"&amp;$B96&amp;$C96&amp;$D96&amp;$E96,".","_"),"(","_"),")","")</f>
        <v>dpa901_6</v>
      </c>
      <c r="AM96" t="str">
        <f>M96</f>
        <v>Mandatory</v>
      </c>
      <c r="AP96" t="str">
        <f>SUBSTITUTE(SUBSTITUTE(SUBSTITUTE("dch"&amp;$B96&amp;$C96&amp;$D96&amp;$E96,".","_"),"(","_"),")","")</f>
        <v>dch901_6</v>
      </c>
      <c r="AQ96" t="b">
        <f>IF(LEN(W96)=0,"",W96)</f>
        <v>1</v>
      </c>
      <c r="AR96" t="str">
        <f>SUBSTITUTE(SUBSTITUTE(SUBSTITUTE("dnt"&amp;$B96&amp;$C96&amp;$D96&amp;$E96,".","_"),"(","_"),")","")</f>
        <v>dnt901_6</v>
      </c>
      <c r="AS96" t="str">
        <f>IF(LEN(X96)=0,"",X96)</f>
        <v/>
      </c>
    </row>
    <row r="97" spans="2:45" ht="15" thickBot="1" x14ac:dyDescent="0.4">
      <c r="B97" s="412">
        <v>901.6</v>
      </c>
      <c r="C97" s="13"/>
      <c r="D97" s="13"/>
      <c r="E97" s="13"/>
      <c r="F97" s="13"/>
      <c r="G97" s="13"/>
      <c r="H97" s="453"/>
      <c r="I97" s="294"/>
      <c r="J97" s="160"/>
      <c r="K97" s="160"/>
      <c r="L97" s="849"/>
      <c r="M97" s="886"/>
      <c r="N97" s="160"/>
      <c r="O97" s="161"/>
      <c r="P97" s="55"/>
      <c r="Q97" s="55"/>
      <c r="R97" s="55"/>
      <c r="S97" s="55"/>
      <c r="T97" s="55"/>
      <c r="U97" s="55"/>
      <c r="V97" s="55"/>
      <c r="W97" s="55"/>
      <c r="X97" s="829"/>
    </row>
    <row r="98" spans="2:45" ht="15" thickTop="1" x14ac:dyDescent="0.35">
      <c r="B98" s="412">
        <v>901.7</v>
      </c>
      <c r="C98" s="13"/>
      <c r="D98" s="13"/>
      <c r="E98" s="13"/>
      <c r="F98" s="13"/>
      <c r="G98" s="13"/>
      <c r="H98" s="453"/>
      <c r="I98" s="30">
        <v>901.7</v>
      </c>
      <c r="J98" s="4"/>
      <c r="K98" s="4"/>
      <c r="L98" s="838" t="s">
        <v>5589</v>
      </c>
      <c r="M98" s="843" t="s">
        <v>3373</v>
      </c>
      <c r="N98" s="4"/>
      <c r="O98" s="832">
        <f>MIN(8,ROUNDDOWN(W105/0.1,0)+ROUNDDOWN(W115/0.1,0)+ROUNDDOWN(W116*1.33/0.1,0))</f>
        <v>0</v>
      </c>
      <c r="AL98" t="str">
        <f>SUBSTITUTE(SUBSTITUTE(SUBSTITUTE("dpa"&amp;$B98&amp;$C98&amp;$D98&amp;$E98,".","_"),"(","_"),")","")</f>
        <v>dpa901_7</v>
      </c>
      <c r="AM98" t="str">
        <f>M98</f>
        <v>1
8 Max</v>
      </c>
      <c r="AN98" t="str">
        <f>SUBSTITUTE(SUBSTITUTE(SUBSTITUTE("dpc"&amp;$B98&amp;$C98&amp;$D98&amp;$E98,".","_"),"(","_"),")","")</f>
        <v>dpc901_7</v>
      </c>
      <c r="AO98">
        <f>O98</f>
        <v>0</v>
      </c>
    </row>
    <row r="99" spans="2:45" x14ac:dyDescent="0.35">
      <c r="B99" s="412">
        <v>901.7</v>
      </c>
      <c r="C99" s="13"/>
      <c r="D99" s="13"/>
      <c r="E99" s="13"/>
      <c r="F99" s="13"/>
      <c r="G99" s="13"/>
      <c r="H99" s="453"/>
      <c r="I99" s="93"/>
      <c r="J99" s="4"/>
      <c r="K99" s="4"/>
      <c r="L99" s="838"/>
      <c r="M99" s="843"/>
      <c r="N99" s="4"/>
      <c r="O99" s="832"/>
    </row>
    <row r="100" spans="2:45" x14ac:dyDescent="0.35">
      <c r="B100" s="412">
        <v>901.7</v>
      </c>
      <c r="C100" s="13"/>
      <c r="D100" s="13"/>
      <c r="E100" s="13"/>
      <c r="F100" s="13"/>
      <c r="G100" s="13"/>
      <c r="H100" s="453"/>
      <c r="I100" s="93"/>
      <c r="J100" s="4"/>
      <c r="K100" s="4"/>
      <c r="L100" s="838"/>
      <c r="M100" s="843"/>
      <c r="N100" s="4"/>
      <c r="O100" s="832"/>
    </row>
    <row r="101" spans="2:45" x14ac:dyDescent="0.35">
      <c r="B101" s="412">
        <v>901.7</v>
      </c>
      <c r="C101" s="13"/>
      <c r="D101" s="13"/>
      <c r="E101" s="13"/>
      <c r="F101" s="13"/>
      <c r="G101" s="13"/>
      <c r="H101" s="453"/>
      <c r="I101" s="93"/>
      <c r="J101" s="4"/>
      <c r="K101" s="4"/>
      <c r="L101" s="838"/>
      <c r="M101" s="843"/>
      <c r="N101" s="4"/>
      <c r="O101" s="832"/>
    </row>
    <row r="102" spans="2:45" x14ac:dyDescent="0.35">
      <c r="B102" s="412">
        <v>901.7</v>
      </c>
      <c r="C102" s="13"/>
      <c r="D102" s="13"/>
      <c r="E102" s="13"/>
      <c r="F102" s="13"/>
      <c r="G102" s="13"/>
      <c r="H102" s="453"/>
      <c r="I102" s="93"/>
      <c r="J102" s="4"/>
      <c r="K102" s="4"/>
      <c r="L102" s="838"/>
      <c r="M102" s="843"/>
      <c r="N102" s="4"/>
      <c r="O102" s="832"/>
    </row>
    <row r="103" spans="2:45" x14ac:dyDescent="0.35">
      <c r="B103" s="412">
        <v>901.7</v>
      </c>
      <c r="C103" s="13"/>
      <c r="D103" s="13"/>
      <c r="E103" s="13"/>
      <c r="F103" s="13"/>
      <c r="G103" s="13"/>
      <c r="H103" s="453"/>
      <c r="I103" s="93"/>
      <c r="J103" s="4"/>
      <c r="K103" s="4"/>
      <c r="L103" s="895" t="s">
        <v>3191</v>
      </c>
      <c r="M103" s="843"/>
      <c r="N103" s="4"/>
      <c r="O103" s="832"/>
    </row>
    <row r="104" spans="2:45" x14ac:dyDescent="0.35">
      <c r="B104" s="412">
        <v>901.7</v>
      </c>
      <c r="C104" s="13"/>
      <c r="D104" s="13"/>
      <c r="E104" s="13"/>
      <c r="F104" s="13"/>
      <c r="G104" s="13"/>
      <c r="H104" s="453"/>
      <c r="I104" s="93"/>
      <c r="J104" s="4"/>
      <c r="K104" s="4"/>
      <c r="L104" s="895"/>
      <c r="M104" s="843"/>
      <c r="N104" s="4"/>
      <c r="O104" s="832"/>
      <c r="W104" t="s">
        <v>3661</v>
      </c>
    </row>
    <row r="105" spans="2:45" x14ac:dyDescent="0.35">
      <c r="B105" s="412">
        <v>901.7</v>
      </c>
      <c r="C105" s="13" t="s">
        <v>256</v>
      </c>
      <c r="D105" s="37"/>
      <c r="E105" s="37"/>
      <c r="F105" s="456"/>
      <c r="G105" s="37"/>
      <c r="H105" s="456"/>
      <c r="I105" s="93"/>
      <c r="J105" s="19" t="s">
        <v>256</v>
      </c>
      <c r="K105" s="4"/>
      <c r="L105" s="814" t="s">
        <v>3192</v>
      </c>
      <c r="M105" s="40"/>
      <c r="N105" s="4"/>
      <c r="O105" s="75"/>
      <c r="P105" t="b">
        <v>0</v>
      </c>
      <c r="Q105" t="b">
        <v>1</v>
      </c>
      <c r="R105" t="b">
        <v>0</v>
      </c>
      <c r="S105" t="b">
        <v>1</v>
      </c>
      <c r="T105" t="b">
        <f>SUM(W105,W115,W116)&gt;1</f>
        <v>0</v>
      </c>
      <c r="W105" s="245"/>
      <c r="X105" s="817"/>
      <c r="AC105" t="b">
        <f>OR(AD105:AE105)</f>
        <v>0</v>
      </c>
      <c r="AD105" t="b">
        <f>T105</f>
        <v>0</v>
      </c>
      <c r="AP105" t="str">
        <f>SUBSTITUTE(SUBSTITUTE(SUBSTITUTE("dch"&amp;$B105&amp;$C105&amp;$D105&amp;$E105,".","_"),"(","_"),")","")</f>
        <v>dch901_7_1</v>
      </c>
      <c r="AQ105" t="str">
        <f>IF(LEN(W105)=0,"",W105)</f>
        <v/>
      </c>
      <c r="AR105" t="str">
        <f>SUBSTITUTE(SUBSTITUTE(SUBSTITUTE("dnt"&amp;$B105&amp;$C105&amp;$D105&amp;$E105,".","_"),"(","_"),")","")</f>
        <v>dnt901_7_1</v>
      </c>
      <c r="AS105" t="str">
        <f>IF(LEN(X105)=0,"",X105)</f>
        <v/>
      </c>
    </row>
    <row r="106" spans="2:45" x14ac:dyDescent="0.35">
      <c r="B106" s="412">
        <v>901.7</v>
      </c>
      <c r="C106" s="13" t="s">
        <v>256</v>
      </c>
      <c r="D106" s="37"/>
      <c r="E106" s="37"/>
      <c r="F106" s="456"/>
      <c r="G106" s="37"/>
      <c r="H106" s="456"/>
      <c r="I106" s="93"/>
      <c r="J106" s="4"/>
      <c r="K106" s="4"/>
      <c r="L106" s="814"/>
      <c r="M106" s="40"/>
      <c r="N106" s="4"/>
      <c r="O106" s="75"/>
      <c r="X106" s="817"/>
    </row>
    <row r="107" spans="2:45" x14ac:dyDescent="0.35">
      <c r="B107" s="412">
        <v>901.7</v>
      </c>
      <c r="C107" s="13" t="s">
        <v>256</v>
      </c>
      <c r="D107" s="37"/>
      <c r="E107" s="37"/>
      <c r="F107" s="456"/>
      <c r="G107" s="37"/>
      <c r="H107" s="456"/>
      <c r="I107" s="93"/>
      <c r="J107" s="4"/>
      <c r="K107" s="4"/>
      <c r="L107" s="814"/>
      <c r="M107" s="40"/>
      <c r="N107" s="4"/>
      <c r="O107" s="75"/>
      <c r="X107" s="817"/>
    </row>
    <row r="108" spans="2:45" x14ac:dyDescent="0.35">
      <c r="B108" s="412">
        <v>901.7</v>
      </c>
      <c r="C108" s="13" t="s">
        <v>256</v>
      </c>
      <c r="D108" s="37"/>
      <c r="E108" s="37"/>
      <c r="F108" s="456"/>
      <c r="G108" s="37"/>
      <c r="H108" s="456"/>
      <c r="I108" s="93"/>
      <c r="J108" s="4"/>
      <c r="K108" s="4"/>
      <c r="L108" s="814"/>
      <c r="M108" s="40"/>
      <c r="N108" s="4"/>
      <c r="O108" s="75"/>
      <c r="X108" s="817"/>
    </row>
    <row r="109" spans="2:45" x14ac:dyDescent="0.35">
      <c r="B109" s="412">
        <v>901.7</v>
      </c>
      <c r="C109" s="13" t="s">
        <v>256</v>
      </c>
      <c r="D109" s="37" t="s">
        <v>121</v>
      </c>
      <c r="E109" s="37"/>
      <c r="F109" s="456"/>
      <c r="G109" s="37"/>
      <c r="H109" s="456"/>
      <c r="I109" s="93"/>
      <c r="J109" s="4"/>
      <c r="K109" s="19" t="s">
        <v>121</v>
      </c>
      <c r="L109" s="90" t="s">
        <v>3193</v>
      </c>
      <c r="M109" s="40"/>
      <c r="N109" s="4"/>
      <c r="O109" s="75"/>
      <c r="X109" s="817"/>
    </row>
    <row r="110" spans="2:45" x14ac:dyDescent="0.35">
      <c r="B110" s="412">
        <v>901.7</v>
      </c>
      <c r="C110" s="13" t="s">
        <v>256</v>
      </c>
      <c r="D110" s="37" t="s">
        <v>122</v>
      </c>
      <c r="E110" s="37"/>
      <c r="F110" s="456"/>
      <c r="G110" s="37"/>
      <c r="H110" s="456"/>
      <c r="I110" s="93"/>
      <c r="J110" s="4"/>
      <c r="K110" s="19" t="s">
        <v>122</v>
      </c>
      <c r="L110" s="90" t="s">
        <v>3194</v>
      </c>
      <c r="M110" s="40"/>
      <c r="N110" s="4"/>
      <c r="O110" s="75"/>
      <c r="X110" s="817"/>
    </row>
    <row r="111" spans="2:45" x14ac:dyDescent="0.35">
      <c r="B111" s="412">
        <v>901.7</v>
      </c>
      <c r="C111" s="13" t="s">
        <v>256</v>
      </c>
      <c r="D111" s="37" t="s">
        <v>123</v>
      </c>
      <c r="E111" s="37"/>
      <c r="F111" s="456"/>
      <c r="G111" s="37"/>
      <c r="H111" s="456"/>
      <c r="I111" s="93"/>
      <c r="J111" s="4"/>
      <c r="K111" s="19" t="s">
        <v>123</v>
      </c>
      <c r="L111" s="90" t="s">
        <v>3195</v>
      </c>
      <c r="M111" s="40"/>
      <c r="N111" s="4"/>
      <c r="O111" s="75"/>
      <c r="X111" s="817"/>
    </row>
    <row r="112" spans="2:45" x14ac:dyDescent="0.35">
      <c r="B112" s="412">
        <v>901.7</v>
      </c>
      <c r="C112" s="13" t="s">
        <v>256</v>
      </c>
      <c r="D112" s="37" t="s">
        <v>401</v>
      </c>
      <c r="E112" s="37"/>
      <c r="F112" s="456"/>
      <c r="G112" s="37"/>
      <c r="H112" s="456"/>
      <c r="I112" s="93"/>
      <c r="J112" s="4"/>
      <c r="K112" s="19" t="s">
        <v>401</v>
      </c>
      <c r="L112" s="90" t="s">
        <v>3196</v>
      </c>
      <c r="M112" s="40"/>
      <c r="N112" s="4"/>
      <c r="O112" s="75"/>
      <c r="X112" s="817"/>
    </row>
    <row r="113" spans="2:45" x14ac:dyDescent="0.35">
      <c r="B113" s="412">
        <v>901.7</v>
      </c>
      <c r="C113" s="13" t="s">
        <v>256</v>
      </c>
      <c r="D113" s="37" t="s">
        <v>539</v>
      </c>
      <c r="E113" s="37"/>
      <c r="F113" s="456"/>
      <c r="G113" s="37"/>
      <c r="H113" s="456"/>
      <c r="I113" s="93"/>
      <c r="J113" s="4"/>
      <c r="K113" s="19" t="s">
        <v>539</v>
      </c>
      <c r="L113" s="90" t="s">
        <v>3197</v>
      </c>
      <c r="M113" s="40"/>
      <c r="N113" s="4"/>
      <c r="O113" s="75"/>
      <c r="X113" s="817"/>
    </row>
    <row r="114" spans="2:45" x14ac:dyDescent="0.35">
      <c r="B114" s="412">
        <v>901.7</v>
      </c>
      <c r="C114" s="13" t="s">
        <v>256</v>
      </c>
      <c r="D114" s="37" t="s">
        <v>604</v>
      </c>
      <c r="E114" s="37"/>
      <c r="F114" s="456"/>
      <c r="G114" s="37"/>
      <c r="H114" s="456"/>
      <c r="I114" s="93"/>
      <c r="J114" s="133"/>
      <c r="K114" s="129" t="s">
        <v>604</v>
      </c>
      <c r="L114" s="228" t="s">
        <v>3198</v>
      </c>
      <c r="M114" s="40"/>
      <c r="N114" s="4"/>
      <c r="O114" s="75"/>
      <c r="W114" t="s">
        <v>3662</v>
      </c>
      <c r="X114" s="817"/>
    </row>
    <row r="115" spans="2:45" x14ac:dyDescent="0.35">
      <c r="B115" s="412">
        <v>901.7</v>
      </c>
      <c r="C115" s="13" t="s">
        <v>258</v>
      </c>
      <c r="D115" s="37"/>
      <c r="E115" s="37"/>
      <c r="F115" s="456"/>
      <c r="G115" s="37"/>
      <c r="H115" s="456"/>
      <c r="I115" s="93"/>
      <c r="J115" s="129" t="s">
        <v>258</v>
      </c>
      <c r="K115" s="133"/>
      <c r="L115" s="228" t="s">
        <v>3836</v>
      </c>
      <c r="M115" s="40"/>
      <c r="N115" s="4"/>
      <c r="O115" s="75"/>
      <c r="P115" t="b">
        <v>0</v>
      </c>
      <c r="Q115" t="b">
        <v>1</v>
      </c>
      <c r="R115" t="b">
        <v>0</v>
      </c>
      <c r="S115" t="b">
        <v>1</v>
      </c>
      <c r="T115" t="b">
        <f>SUM(W105,W115,W116)&gt;1</f>
        <v>0</v>
      </c>
      <c r="W115" s="245"/>
      <c r="X115" s="817"/>
      <c r="AC115" t="b">
        <f>OR(AD115:AE115)</f>
        <v>0</v>
      </c>
      <c r="AD115" t="b">
        <f>T115</f>
        <v>0</v>
      </c>
      <c r="AP115" t="str">
        <f>SUBSTITUTE(SUBSTITUTE(SUBSTITUTE("dch"&amp;$B115&amp;$C115&amp;$D115&amp;$E115,".","_"),"(","_"),")","")</f>
        <v>dch901_7_2</v>
      </c>
      <c r="AQ115" t="str">
        <f>IF(LEN(W115)=0,"",W115)</f>
        <v/>
      </c>
      <c r="AR115" t="str">
        <f>SUBSTITUTE(SUBSTITUTE(SUBSTITUTE("dnt"&amp;$B115&amp;$C115&amp;$D115&amp;$E115,".","_"),"(","_"),")","")</f>
        <v>dnt901_7_2</v>
      </c>
      <c r="AS115" t="str">
        <f>IF(LEN(X115)=0,"",X115)</f>
        <v/>
      </c>
    </row>
    <row r="116" spans="2:45" x14ac:dyDescent="0.35">
      <c r="B116" s="412">
        <v>901.7</v>
      </c>
      <c r="C116" s="13" t="s">
        <v>260</v>
      </c>
      <c r="D116" s="37"/>
      <c r="E116" s="37"/>
      <c r="F116" s="456"/>
      <c r="G116" s="37"/>
      <c r="H116" s="456"/>
      <c r="I116" s="93"/>
      <c r="J116" s="19" t="s">
        <v>260</v>
      </c>
      <c r="K116" s="4"/>
      <c r="L116" s="90" t="s">
        <v>3649</v>
      </c>
      <c r="M116" s="40"/>
      <c r="N116" s="4"/>
      <c r="O116" s="75"/>
      <c r="P116" t="b">
        <v>0</v>
      </c>
      <c r="Q116" t="b">
        <v>1</v>
      </c>
      <c r="R116" t="b">
        <v>0</v>
      </c>
      <c r="S116" t="b">
        <v>1</v>
      </c>
      <c r="T116" t="b">
        <f>SUM(W105,W115,W116)&gt;1</f>
        <v>0</v>
      </c>
      <c r="W116" s="245"/>
      <c r="X116" s="817"/>
      <c r="AC116" t="b">
        <f>OR(AD116:AE116)</f>
        <v>0</v>
      </c>
      <c r="AD116" t="b">
        <f>T116</f>
        <v>0</v>
      </c>
      <c r="AP116" t="str">
        <f>SUBSTITUTE(SUBSTITUTE(SUBSTITUTE("dch"&amp;$B116&amp;$C116&amp;$D116&amp;$E116,".","_"),"(","_"),")","")</f>
        <v>dch901_7_3</v>
      </c>
      <c r="AQ116" t="str">
        <f>IF(LEN(W116)=0,"",W116)</f>
        <v/>
      </c>
    </row>
    <row r="117" spans="2:45" x14ac:dyDescent="0.35">
      <c r="B117" s="412">
        <v>901.7</v>
      </c>
      <c r="C117" s="13" t="s">
        <v>260</v>
      </c>
      <c r="D117" s="13"/>
      <c r="E117" s="13"/>
      <c r="F117" s="453"/>
      <c r="G117" s="13"/>
      <c r="H117" s="453"/>
      <c r="I117" s="93"/>
      <c r="J117" s="4"/>
      <c r="K117" s="4"/>
      <c r="L117" s="895" t="s">
        <v>3199</v>
      </c>
      <c r="M117" s="40"/>
      <c r="N117" s="4"/>
      <c r="O117" s="75"/>
      <c r="X117" s="817"/>
    </row>
    <row r="118" spans="2:45" ht="15" thickBot="1" x14ac:dyDescent="0.4">
      <c r="B118" s="412">
        <v>901.7</v>
      </c>
      <c r="C118" s="13" t="s">
        <v>260</v>
      </c>
      <c r="D118" s="13"/>
      <c r="E118" s="13"/>
      <c r="F118" s="453"/>
      <c r="G118" s="13"/>
      <c r="H118" s="453"/>
      <c r="I118" s="294"/>
      <c r="J118" s="160"/>
      <c r="K118" s="160"/>
      <c r="L118" s="968"/>
      <c r="M118" s="270"/>
      <c r="N118" s="160"/>
      <c r="O118" s="161"/>
      <c r="P118" s="55"/>
      <c r="Q118" s="55"/>
      <c r="R118" s="55"/>
      <c r="S118" s="55"/>
      <c r="T118" s="55"/>
      <c r="U118" s="55"/>
      <c r="V118" s="55"/>
      <c r="W118" s="55"/>
      <c r="X118" s="829"/>
    </row>
    <row r="119" spans="2:45" ht="15" thickTop="1" x14ac:dyDescent="0.35">
      <c r="B119" s="412">
        <v>901.8</v>
      </c>
      <c r="C119" s="13"/>
      <c r="D119" s="13"/>
      <c r="E119" s="13"/>
      <c r="F119" s="13"/>
      <c r="G119" s="13"/>
      <c r="H119" s="453"/>
      <c r="I119" s="106">
        <v>901.8</v>
      </c>
      <c r="J119" s="107"/>
      <c r="K119" s="107"/>
      <c r="L119" s="837" t="s">
        <v>5590</v>
      </c>
      <c r="M119" s="830">
        <v>4</v>
      </c>
      <c r="N119" s="107"/>
      <c r="O119" s="831">
        <f>M119*S119*W119</f>
        <v>0</v>
      </c>
      <c r="P119" t="b">
        <v>0</v>
      </c>
      <c r="Q119" t="b">
        <v>1</v>
      </c>
      <c r="R119" s="59" t="b">
        <v>0</v>
      </c>
      <c r="S119" s="59" t="b">
        <v>1</v>
      </c>
      <c r="T119" s="59" t="b">
        <v>0</v>
      </c>
      <c r="U119" s="59"/>
      <c r="V119" s="59"/>
      <c r="W119" s="236"/>
      <c r="X119" s="840"/>
      <c r="AL119" t="str">
        <f>SUBSTITUTE(SUBSTITUTE(SUBSTITUTE("dpa"&amp;$B119&amp;$C119&amp;$D119&amp;$E119,".","_"),"(","_"),")","")</f>
        <v>dpa901_8</v>
      </c>
      <c r="AM119">
        <f>M119</f>
        <v>4</v>
      </c>
      <c r="AN119" t="str">
        <f>SUBSTITUTE(SUBSTITUTE(SUBSTITUTE("dpc"&amp;$B119&amp;$C119&amp;$D119&amp;$E119,".","_"),"(","_"),")","")</f>
        <v>dpc901_8</v>
      </c>
      <c r="AO119">
        <f>O119</f>
        <v>0</v>
      </c>
      <c r="AP119" t="str">
        <f>SUBSTITUTE(SUBSTITUTE(SUBSTITUTE("dch"&amp;$B119&amp;$C119&amp;$D119&amp;$E119,".","_"),"(","_"),")","")</f>
        <v>dch901_8</v>
      </c>
      <c r="AQ119" t="str">
        <f>IF(LEN(W119)=0,"",W119)</f>
        <v/>
      </c>
      <c r="AR119" t="str">
        <f>SUBSTITUTE(SUBSTITUTE(SUBSTITUTE("dnt"&amp;$B119&amp;$C119&amp;$D119&amp;$E119,".","_"),"(","_"),")","")</f>
        <v>dnt901_8</v>
      </c>
      <c r="AS119" t="str">
        <f>IF(LEN(X119)=0,"",X119)</f>
        <v/>
      </c>
    </row>
    <row r="120" spans="2:45" x14ac:dyDescent="0.35">
      <c r="B120" s="412">
        <v>901.8</v>
      </c>
      <c r="C120" s="13"/>
      <c r="D120" s="13"/>
      <c r="E120" s="13"/>
      <c r="F120" s="13"/>
      <c r="G120" s="13"/>
      <c r="H120" s="453"/>
      <c r="I120" s="93"/>
      <c r="J120" s="4"/>
      <c r="K120" s="4"/>
      <c r="L120" s="838"/>
      <c r="M120" s="818"/>
      <c r="N120" s="4"/>
      <c r="O120" s="832"/>
      <c r="X120" s="817"/>
    </row>
    <row r="121" spans="2:45" x14ac:dyDescent="0.35">
      <c r="B121" s="412">
        <v>901.8</v>
      </c>
      <c r="C121" s="13"/>
      <c r="D121" s="13"/>
      <c r="E121" s="13"/>
      <c r="F121" s="13"/>
      <c r="G121" s="13"/>
      <c r="H121" s="453"/>
      <c r="I121" s="93"/>
      <c r="J121" s="4"/>
      <c r="K121" s="4"/>
      <c r="L121" s="838"/>
      <c r="M121" s="818"/>
      <c r="N121" s="4"/>
      <c r="O121" s="832"/>
      <c r="X121" s="817"/>
    </row>
    <row r="122" spans="2:45" x14ac:dyDescent="0.35">
      <c r="B122" s="412">
        <v>901.8</v>
      </c>
      <c r="C122" s="13"/>
      <c r="D122" s="13"/>
      <c r="E122" s="13"/>
      <c r="F122" s="13"/>
      <c r="G122" s="13"/>
      <c r="H122" s="453"/>
      <c r="I122" s="93"/>
      <c r="J122" s="4"/>
      <c r="K122" s="4"/>
      <c r="L122" s="838"/>
      <c r="M122" s="818"/>
      <c r="N122" s="4"/>
      <c r="O122" s="832"/>
      <c r="X122" s="817"/>
    </row>
    <row r="123" spans="2:45" x14ac:dyDescent="0.35">
      <c r="B123" s="412">
        <v>901.8</v>
      </c>
      <c r="C123" s="13"/>
      <c r="D123" s="13"/>
      <c r="E123" s="13"/>
      <c r="F123" s="13"/>
      <c r="G123" s="13"/>
      <c r="H123" s="453"/>
      <c r="I123" s="93"/>
      <c r="J123" s="4"/>
      <c r="K123" s="4"/>
      <c r="L123" s="838"/>
      <c r="M123" s="818"/>
      <c r="N123" s="4"/>
      <c r="O123" s="832"/>
      <c r="X123" s="817"/>
    </row>
    <row r="124" spans="2:45" ht="15" thickBot="1" x14ac:dyDescent="0.4">
      <c r="B124" s="412">
        <v>901.8</v>
      </c>
      <c r="C124" s="13"/>
      <c r="D124" s="13"/>
      <c r="E124" s="13"/>
      <c r="F124" s="13"/>
      <c r="G124" s="13"/>
      <c r="H124" s="453"/>
      <c r="I124" s="294"/>
      <c r="J124" s="160"/>
      <c r="K124" s="160"/>
      <c r="L124" s="849"/>
      <c r="M124" s="827"/>
      <c r="N124" s="160"/>
      <c r="O124" s="833"/>
      <c r="P124" s="55"/>
      <c r="Q124" s="55"/>
      <c r="R124" s="55"/>
      <c r="S124" s="55"/>
      <c r="T124" s="55"/>
      <c r="U124" s="55"/>
      <c r="V124" s="55"/>
      <c r="W124" s="55"/>
      <c r="X124" s="829"/>
    </row>
    <row r="125" spans="2:45" ht="15" thickTop="1" x14ac:dyDescent="0.35">
      <c r="B125" s="412">
        <v>901.9</v>
      </c>
      <c r="C125" s="13"/>
      <c r="D125" s="13"/>
      <c r="E125" s="13"/>
      <c r="F125" s="13"/>
      <c r="G125" s="13"/>
      <c r="H125" s="453"/>
      <c r="I125" s="106">
        <v>901.9</v>
      </c>
      <c r="J125" s="107"/>
      <c r="K125" s="107"/>
      <c r="L125" s="837" t="s">
        <v>3201</v>
      </c>
      <c r="M125" s="267"/>
      <c r="N125" s="107"/>
      <c r="O125" s="308"/>
      <c r="P125" s="59"/>
      <c r="Q125" s="59"/>
      <c r="R125" s="59"/>
      <c r="S125" s="59"/>
      <c r="T125" s="59"/>
      <c r="U125" s="59"/>
      <c r="V125" s="59"/>
      <c r="W125" s="59"/>
      <c r="X125" s="817"/>
      <c r="AR125" t="str">
        <f>SUBSTITUTE(SUBSTITUTE(SUBSTITUTE("dnt"&amp;$B125&amp;$C125&amp;$D125&amp;$E125,".","_"),"(","_"),")","")</f>
        <v>dnt901_9</v>
      </c>
      <c r="AS125" t="str">
        <f>IF(LEN(X125)=0,"",X125)</f>
        <v/>
      </c>
    </row>
    <row r="126" spans="2:45" x14ac:dyDescent="0.35">
      <c r="B126" s="412">
        <v>901.9</v>
      </c>
      <c r="C126" s="13"/>
      <c r="D126" s="13"/>
      <c r="E126" s="13"/>
      <c r="F126" s="13"/>
      <c r="G126" s="13"/>
      <c r="H126" s="453"/>
      <c r="I126" s="93"/>
      <c r="J126" s="4"/>
      <c r="K126" s="4"/>
      <c r="L126" s="838"/>
      <c r="M126" s="40"/>
      <c r="N126" s="4"/>
      <c r="O126" s="75"/>
      <c r="X126" s="817"/>
    </row>
    <row r="127" spans="2:45" x14ac:dyDescent="0.35">
      <c r="B127" s="412">
        <v>901.9</v>
      </c>
      <c r="C127" s="13"/>
      <c r="D127" s="13"/>
      <c r="E127" s="13"/>
      <c r="F127" s="13"/>
      <c r="G127" s="13"/>
      <c r="H127" s="453"/>
      <c r="I127" s="93"/>
      <c r="J127" s="4"/>
      <c r="K127" s="4"/>
      <c r="L127" s="838"/>
      <c r="M127" s="40"/>
      <c r="N127" s="4"/>
      <c r="O127" s="75"/>
      <c r="X127" s="817"/>
    </row>
    <row r="128" spans="2:45" x14ac:dyDescent="0.35">
      <c r="B128" s="412" t="s">
        <v>3202</v>
      </c>
      <c r="C128" s="13"/>
      <c r="D128" s="13"/>
      <c r="E128" s="13"/>
      <c r="F128" s="13"/>
      <c r="G128" s="13"/>
      <c r="H128" s="453"/>
      <c r="I128" s="30" t="s">
        <v>3202</v>
      </c>
      <c r="J128" s="4"/>
      <c r="K128" s="4"/>
      <c r="L128" s="838" t="s">
        <v>3203</v>
      </c>
      <c r="M128" s="818">
        <v>5</v>
      </c>
      <c r="N128" s="4"/>
      <c r="O128" s="832">
        <f>M128*S130*IFERROR(OR(W130,W132,W133),0)</f>
        <v>0</v>
      </c>
      <c r="AL128" t="str">
        <f>SUBSTITUTE(SUBSTITUTE(SUBSTITUTE("dpa"&amp;$B128&amp;$C128&amp;$D128&amp;$E128,".","_"),"(","_"),")","")</f>
        <v>dpa901_9_1</v>
      </c>
      <c r="AM128">
        <f>M128</f>
        <v>5</v>
      </c>
      <c r="AN128" t="str">
        <f>SUBSTITUTE(SUBSTITUTE(SUBSTITUTE("dpc"&amp;$B128&amp;$C128&amp;$D128&amp;$E128,".","_"),"(","_"),")","")</f>
        <v>dpc901_9_1</v>
      </c>
      <c r="AO128">
        <f>O128</f>
        <v>0</v>
      </c>
    </row>
    <row r="129" spans="2:45" x14ac:dyDescent="0.35">
      <c r="B129" s="412" t="s">
        <v>3202</v>
      </c>
      <c r="C129" s="13"/>
      <c r="D129" s="13"/>
      <c r="E129" s="13"/>
      <c r="F129" s="13"/>
      <c r="G129" s="13"/>
      <c r="H129" s="453"/>
      <c r="I129" s="93"/>
      <c r="J129" s="4"/>
      <c r="K129" s="4"/>
      <c r="L129" s="838"/>
      <c r="M129" s="818"/>
      <c r="N129" s="4"/>
      <c r="O129" s="832"/>
    </row>
    <row r="130" spans="2:45" x14ac:dyDescent="0.35">
      <c r="B130" s="412" t="s">
        <v>3202</v>
      </c>
      <c r="C130" s="13" t="s">
        <v>256</v>
      </c>
      <c r="D130" s="13"/>
      <c r="E130" s="13"/>
      <c r="F130" s="13"/>
      <c r="G130" s="13"/>
      <c r="H130" s="453"/>
      <c r="I130" s="93"/>
      <c r="J130" s="19" t="s">
        <v>256</v>
      </c>
      <c r="K130" s="4"/>
      <c r="L130" s="814" t="s">
        <v>3204</v>
      </c>
      <c r="M130" s="40"/>
      <c r="N130" s="4"/>
      <c r="O130" s="75"/>
      <c r="P130" t="b">
        <v>0</v>
      </c>
      <c r="Q130" t="b">
        <v>1</v>
      </c>
      <c r="R130" t="b">
        <v>0</v>
      </c>
      <c r="S130" t="b">
        <f>NOT(W140)</f>
        <v>1</v>
      </c>
      <c r="T130" t="b">
        <f>AND(NOT(S130),W130=TRUE)</f>
        <v>0</v>
      </c>
      <c r="W130" s="17"/>
      <c r="X130" s="817"/>
      <c r="AC130" t="b">
        <f>OR(AD130:AE130)</f>
        <v>0</v>
      </c>
      <c r="AD130" t="b">
        <f>T130</f>
        <v>0</v>
      </c>
      <c r="AP130" t="str">
        <f>SUBSTITUTE(SUBSTITUTE(SUBSTITUTE("dch"&amp;$B130&amp;$C130&amp;$D130&amp;$E130,".","_"),"(","_"),")","")</f>
        <v>dch901_9_1_1</v>
      </c>
      <c r="AQ130" t="str">
        <f>IF(LEN(W130)=0,"",W130)</f>
        <v/>
      </c>
      <c r="AR130" t="str">
        <f>SUBSTITUTE(SUBSTITUTE(SUBSTITUTE("dnt"&amp;$B130&amp;$C130&amp;$D130&amp;$E130,".","_"),"(","_"),")","")</f>
        <v>dnt901_9_1_1</v>
      </c>
      <c r="AS130" t="str">
        <f>IF(LEN(X130)=0,"",X130)</f>
        <v/>
      </c>
    </row>
    <row r="131" spans="2:45" x14ac:dyDescent="0.35">
      <c r="B131" s="412" t="s">
        <v>3202</v>
      </c>
      <c r="C131" s="13" t="s">
        <v>256</v>
      </c>
      <c r="D131" s="13"/>
      <c r="E131" s="13"/>
      <c r="F131" s="13"/>
      <c r="G131" s="13"/>
      <c r="H131" s="453"/>
      <c r="I131" s="93"/>
      <c r="J131" s="133"/>
      <c r="K131" s="133"/>
      <c r="L131" s="815"/>
      <c r="M131" s="40"/>
      <c r="N131" s="4"/>
      <c r="O131" s="75"/>
      <c r="X131" s="817"/>
    </row>
    <row r="132" spans="2:45" x14ac:dyDescent="0.35">
      <c r="B132" s="412" t="s">
        <v>3202</v>
      </c>
      <c r="C132" s="13" t="s">
        <v>258</v>
      </c>
      <c r="D132" s="13"/>
      <c r="E132" s="13"/>
      <c r="F132" s="13"/>
      <c r="G132" s="13"/>
      <c r="H132" s="453"/>
      <c r="I132" s="93"/>
      <c r="J132" s="129" t="s">
        <v>258</v>
      </c>
      <c r="K132" s="133"/>
      <c r="L132" s="228" t="s">
        <v>3205</v>
      </c>
      <c r="M132" s="40"/>
      <c r="N132" s="4"/>
      <c r="O132" s="75"/>
      <c r="P132" t="b">
        <v>0</v>
      </c>
      <c r="Q132" t="b">
        <v>1</v>
      </c>
      <c r="R132" t="b">
        <v>0</v>
      </c>
      <c r="S132" t="b">
        <f>NOT(W140)</f>
        <v>1</v>
      </c>
      <c r="T132" t="b">
        <f>AND(NOT(S132),W132=TRUE)</f>
        <v>0</v>
      </c>
      <c r="W132" s="17"/>
      <c r="X132" s="36"/>
      <c r="AC132" t="b">
        <f>OR(AD132:AE132)</f>
        <v>0</v>
      </c>
      <c r="AD132" t="b">
        <f>T132</f>
        <v>0</v>
      </c>
      <c r="AP132" t="str">
        <f>SUBSTITUTE(SUBSTITUTE(SUBSTITUTE("dch"&amp;$B132&amp;$C132&amp;$D132&amp;$E132,".","_"),"(","_"),")","")</f>
        <v>dch901_9_1_2</v>
      </c>
      <c r="AQ132" t="str">
        <f>IF(LEN(W132)=0,"",W132)</f>
        <v/>
      </c>
      <c r="AR132" t="str">
        <f>SUBSTITUTE(SUBSTITUTE(SUBSTITUTE("dnt"&amp;$B132&amp;$C132&amp;$D132&amp;$E132,".","_"),"(","_"),")","")</f>
        <v>dnt901_9_1_2</v>
      </c>
      <c r="AS132" t="str">
        <f>IF(LEN(X132)=0,"",X132)</f>
        <v/>
      </c>
    </row>
    <row r="133" spans="2:45" x14ac:dyDescent="0.35">
      <c r="B133" s="412" t="s">
        <v>3202</v>
      </c>
      <c r="C133" s="13" t="s">
        <v>260</v>
      </c>
      <c r="D133" s="13"/>
      <c r="E133" s="13"/>
      <c r="F133" s="13"/>
      <c r="G133" s="13"/>
      <c r="H133" s="453"/>
      <c r="I133" s="93"/>
      <c r="J133" s="19" t="s">
        <v>260</v>
      </c>
      <c r="K133" s="4"/>
      <c r="L133" s="90" t="s">
        <v>3206</v>
      </c>
      <c r="M133" s="40"/>
      <c r="N133" s="4"/>
      <c r="O133" s="75"/>
      <c r="P133" t="b">
        <v>0</v>
      </c>
      <c r="Q133" t="b">
        <v>1</v>
      </c>
      <c r="R133" t="b">
        <v>0</v>
      </c>
      <c r="S133" t="b">
        <f>NOT(W140)</f>
        <v>1</v>
      </c>
      <c r="T133" t="b">
        <f>AND(NOT(S133),W133=TRUE)</f>
        <v>0</v>
      </c>
      <c r="W133" s="17"/>
      <c r="X133" s="817"/>
      <c r="AC133" t="b">
        <f>OR(AD133:AE133)</f>
        <v>0</v>
      </c>
      <c r="AD133" t="b">
        <f>T133</f>
        <v>0</v>
      </c>
      <c r="AP133" t="str">
        <f>SUBSTITUTE(SUBSTITUTE(SUBSTITUTE("dch"&amp;$B133&amp;$C133&amp;$D133&amp;$E133,".","_"),"(","_"),")","")</f>
        <v>dch901_9_1_3</v>
      </c>
      <c r="AQ133" t="str">
        <f>IF(LEN(W133)=0,"",W133)</f>
        <v/>
      </c>
      <c r="AR133" t="str">
        <f>SUBSTITUTE(SUBSTITUTE(SUBSTITUTE("dnt"&amp;$B133&amp;$C133&amp;$D133&amp;$E133,".","_"),"(","_"),")","")</f>
        <v>dnt901_9_1_3</v>
      </c>
      <c r="AS133" t="str">
        <f>IF(LEN(X133)=0,"",X133)</f>
        <v/>
      </c>
    </row>
    <row r="134" spans="2:45" x14ac:dyDescent="0.35">
      <c r="B134" s="412" t="s">
        <v>3202</v>
      </c>
      <c r="C134" s="13" t="s">
        <v>260</v>
      </c>
      <c r="H134" s="455"/>
      <c r="I134" s="104"/>
      <c r="J134" s="104"/>
      <c r="K134" s="104"/>
      <c r="L134" s="323" t="s">
        <v>3663</v>
      </c>
      <c r="M134" s="133"/>
      <c r="N134" s="133"/>
      <c r="O134" s="133"/>
      <c r="P134" s="104"/>
      <c r="Q134" s="104"/>
      <c r="R134" s="104"/>
      <c r="S134" s="104"/>
      <c r="T134" s="104"/>
      <c r="U134" s="104"/>
      <c r="V134" s="104"/>
      <c r="W134" s="104"/>
      <c r="X134" s="817"/>
    </row>
    <row r="135" spans="2:45" x14ac:dyDescent="0.35">
      <c r="B135" s="412" t="s">
        <v>3207</v>
      </c>
      <c r="C135" s="13"/>
      <c r="D135" s="13"/>
      <c r="E135" s="13"/>
      <c r="F135" s="13"/>
      <c r="G135" s="13"/>
      <c r="H135" s="453"/>
      <c r="I135" s="117" t="s">
        <v>3207</v>
      </c>
      <c r="J135" s="118"/>
      <c r="K135" s="118"/>
      <c r="L135" s="905" t="s">
        <v>3208</v>
      </c>
      <c r="M135" s="822">
        <v>1</v>
      </c>
      <c r="N135" s="118"/>
      <c r="O135" s="823">
        <f>M135*S135*W135</f>
        <v>0</v>
      </c>
      <c r="P135" t="b">
        <v>0</v>
      </c>
      <c r="Q135" t="b">
        <v>1</v>
      </c>
      <c r="R135" s="120" t="b">
        <v>0</v>
      </c>
      <c r="S135" s="120" t="b">
        <f>IFERROR(OR(AND(W130,W132,W133),W140),FALSE)</f>
        <v>0</v>
      </c>
      <c r="T135" s="120" t="b">
        <f>AND(NOT(S135),W135=TRUE)</f>
        <v>0</v>
      </c>
      <c r="U135" s="120"/>
      <c r="V135" s="120"/>
      <c r="W135" s="17"/>
      <c r="X135" s="817"/>
      <c r="AC135" t="b">
        <f>OR(AD135:AE135)</f>
        <v>0</v>
      </c>
      <c r="AD135" t="b">
        <f>T135</f>
        <v>0</v>
      </c>
      <c r="AL135" t="str">
        <f>SUBSTITUTE(SUBSTITUTE(SUBSTITUTE("dpa"&amp;$B135&amp;$C135&amp;$D135&amp;$E135,".","_"),"(","_"),")","")</f>
        <v>dpa901_9_2</v>
      </c>
      <c r="AM135">
        <f>M135</f>
        <v>1</v>
      </c>
      <c r="AN135" t="str">
        <f>SUBSTITUTE(SUBSTITUTE(SUBSTITUTE("dpc"&amp;$B135&amp;$C135&amp;$D135&amp;$E135,".","_"),"(","_"),")","")</f>
        <v>dpc901_9_2</v>
      </c>
      <c r="AO135">
        <f>O135</f>
        <v>0</v>
      </c>
      <c r="AP135" t="str">
        <f>SUBSTITUTE(SUBSTITUTE(SUBSTITUTE("dch"&amp;$B135&amp;$C135&amp;$D135&amp;$E135,".","_"),"(","_"),")","")</f>
        <v>dch901_9_2</v>
      </c>
      <c r="AQ135" t="str">
        <f>IF(LEN(W135)=0,"",W135)</f>
        <v/>
      </c>
      <c r="AR135" t="str">
        <f>SUBSTITUTE(SUBSTITUTE(SUBSTITUTE("dnt"&amp;$B135&amp;$C135&amp;$D135&amp;$E135,".","_"),"(","_"),")","")</f>
        <v>dnt901_9_2</v>
      </c>
      <c r="AS135" t="str">
        <f>IF(LEN(X135)=0,"",X135)</f>
        <v/>
      </c>
    </row>
    <row r="136" spans="2:45" x14ac:dyDescent="0.35">
      <c r="B136" s="412" t="s">
        <v>3207</v>
      </c>
      <c r="C136" s="13"/>
      <c r="D136" s="13"/>
      <c r="E136" s="13"/>
      <c r="F136" s="13"/>
      <c r="G136" s="13"/>
      <c r="H136" s="453"/>
      <c r="I136" s="93"/>
      <c r="J136" s="4"/>
      <c r="K136" s="4"/>
      <c r="L136" s="838"/>
      <c r="M136" s="818"/>
      <c r="N136" s="4"/>
      <c r="O136" s="832"/>
      <c r="X136" s="817"/>
    </row>
    <row r="137" spans="2:45" x14ac:dyDescent="0.35">
      <c r="B137" s="412" t="s">
        <v>3207</v>
      </c>
      <c r="C137" s="13"/>
      <c r="D137" s="13"/>
      <c r="E137" s="13"/>
      <c r="F137" s="13"/>
      <c r="G137" s="13"/>
      <c r="H137" s="453"/>
      <c r="I137" s="93"/>
      <c r="J137" s="4"/>
      <c r="K137" s="4"/>
      <c r="L137" s="955" t="s">
        <v>3209</v>
      </c>
      <c r="M137" s="818"/>
      <c r="N137" s="4"/>
      <c r="O137" s="832"/>
      <c r="X137" s="817"/>
    </row>
    <row r="138" spans="2:45" x14ac:dyDescent="0.35">
      <c r="B138" s="412" t="s">
        <v>3207</v>
      </c>
      <c r="C138" s="13"/>
      <c r="D138" s="13"/>
      <c r="E138" s="13"/>
      <c r="F138" s="13"/>
      <c r="G138" s="13"/>
      <c r="H138" s="453"/>
      <c r="I138" s="93"/>
      <c r="J138" s="4"/>
      <c r="K138" s="4"/>
      <c r="L138" s="955"/>
      <c r="M138" s="818"/>
      <c r="N138" s="4"/>
      <c r="O138" s="832"/>
      <c r="X138" s="817"/>
    </row>
    <row r="139" spans="2:45" x14ac:dyDescent="0.35">
      <c r="B139" s="412" t="s">
        <v>3207</v>
      </c>
      <c r="C139" s="13"/>
      <c r="D139" s="13"/>
      <c r="E139" s="13"/>
      <c r="F139" s="13"/>
      <c r="G139" s="13"/>
      <c r="H139" s="453"/>
      <c r="I139" s="320"/>
      <c r="J139" s="133"/>
      <c r="K139" s="133"/>
      <c r="L139" s="323" t="s">
        <v>3758</v>
      </c>
      <c r="M139" s="268"/>
      <c r="N139" s="133"/>
      <c r="O139" s="309"/>
      <c r="P139" s="104"/>
      <c r="Q139" s="104"/>
      <c r="R139" s="104"/>
      <c r="S139" s="104"/>
      <c r="T139" s="104"/>
      <c r="U139" s="104"/>
      <c r="V139" s="104"/>
      <c r="W139" s="104"/>
      <c r="X139" s="817"/>
    </row>
    <row r="140" spans="2:45" x14ac:dyDescent="0.35">
      <c r="B140" s="412" t="s">
        <v>3210</v>
      </c>
      <c r="C140" s="13"/>
      <c r="D140" s="13"/>
      <c r="E140" s="13"/>
      <c r="F140" s="13"/>
      <c r="G140" s="13"/>
      <c r="H140" s="453"/>
      <c r="I140" s="30" t="s">
        <v>3210</v>
      </c>
      <c r="J140" s="4"/>
      <c r="K140" s="4"/>
      <c r="L140" s="838" t="s">
        <v>5591</v>
      </c>
      <c r="M140" s="818">
        <v>8</v>
      </c>
      <c r="N140" s="4"/>
      <c r="O140" s="832">
        <f>M140*S140*W140</f>
        <v>0</v>
      </c>
      <c r="P140" t="b">
        <v>0</v>
      </c>
      <c r="Q140" t="b">
        <v>1</v>
      </c>
      <c r="R140" t="b">
        <v>0</v>
      </c>
      <c r="S140" t="b">
        <f>AND(NOT(W130),NOT(W132),NOT(W133))</f>
        <v>1</v>
      </c>
      <c r="T140" t="b">
        <f>AND(NOT(S140),W140=TRUE)</f>
        <v>0</v>
      </c>
      <c r="W140" s="69"/>
      <c r="X140" s="816"/>
      <c r="AC140" t="b">
        <f>OR(AD140:AE140)</f>
        <v>0</v>
      </c>
      <c r="AD140" t="b">
        <f>T140</f>
        <v>0</v>
      </c>
      <c r="AL140" t="str">
        <f>SUBSTITUTE(SUBSTITUTE(SUBSTITUTE("dpa"&amp;$B140&amp;$C140&amp;$D140&amp;$E140,".","_"),"(","_"),")","")</f>
        <v>dpa901_9_3</v>
      </c>
      <c r="AM140">
        <f>M140</f>
        <v>8</v>
      </c>
      <c r="AN140" t="str">
        <f>SUBSTITUTE(SUBSTITUTE(SUBSTITUTE("dpc"&amp;$B140&amp;$C140&amp;$D140&amp;$E140,".","_"),"(","_"),")","")</f>
        <v>dpc901_9_3</v>
      </c>
      <c r="AO140">
        <f>O140</f>
        <v>0</v>
      </c>
      <c r="AP140" t="str">
        <f>SUBSTITUTE(SUBSTITUTE(SUBSTITUTE("dch"&amp;$B140&amp;$C140&amp;$D140&amp;$E140,".","_"),"(","_"),")","")</f>
        <v>dch901_9_3</v>
      </c>
      <c r="AQ140" t="str">
        <f>IF(LEN(W140)=0,"",W140)</f>
        <v/>
      </c>
      <c r="AR140" t="str">
        <f>SUBSTITUTE(SUBSTITUTE(SUBSTITUTE("dnt"&amp;$B140&amp;$C140&amp;$D140&amp;$E140,".","_"),"(","_"),")","")</f>
        <v>dnt901_9_3</v>
      </c>
      <c r="AS140" t="str">
        <f>IF(LEN(X140)=0,"",X140)</f>
        <v/>
      </c>
    </row>
    <row r="141" spans="2:45" x14ac:dyDescent="0.35">
      <c r="B141" s="412" t="s">
        <v>3210</v>
      </c>
      <c r="C141" s="13"/>
      <c r="D141" s="13"/>
      <c r="E141" s="13"/>
      <c r="F141" s="13"/>
      <c r="G141" s="13"/>
      <c r="H141" s="453"/>
      <c r="I141" s="93"/>
      <c r="J141" s="4"/>
      <c r="K141" s="4"/>
      <c r="L141" s="838"/>
      <c r="M141" s="818"/>
      <c r="N141" s="4"/>
      <c r="O141" s="832"/>
      <c r="X141" s="817"/>
    </row>
    <row r="142" spans="2:45" x14ac:dyDescent="0.35">
      <c r="B142" s="412" t="s">
        <v>3210</v>
      </c>
      <c r="C142" s="13"/>
      <c r="D142" s="13"/>
      <c r="E142" s="13"/>
      <c r="F142" s="13"/>
      <c r="G142" s="13"/>
      <c r="H142" s="453"/>
      <c r="I142" s="93"/>
      <c r="J142" s="4"/>
      <c r="K142" s="4"/>
      <c r="L142" s="838"/>
      <c r="M142" s="818"/>
      <c r="N142" s="4"/>
      <c r="O142" s="832"/>
      <c r="X142" s="817"/>
    </row>
    <row r="143" spans="2:45" x14ac:dyDescent="0.35">
      <c r="B143" s="412" t="s">
        <v>3210</v>
      </c>
      <c r="C143" s="13"/>
      <c r="D143" s="13"/>
      <c r="E143" s="13"/>
      <c r="F143" s="13"/>
      <c r="G143" s="13"/>
      <c r="H143" s="453"/>
      <c r="I143" s="93"/>
      <c r="J143" s="4"/>
      <c r="K143" s="4"/>
      <c r="L143" s="838"/>
      <c r="M143" s="818"/>
      <c r="N143" s="4"/>
      <c r="O143" s="832"/>
      <c r="X143" s="817"/>
    </row>
    <row r="144" spans="2:45" x14ac:dyDescent="0.35">
      <c r="B144" s="412" t="s">
        <v>3210</v>
      </c>
      <c r="C144" s="13"/>
      <c r="D144" s="13"/>
      <c r="E144" s="13"/>
      <c r="F144" s="13"/>
      <c r="G144" s="13"/>
      <c r="H144" s="453"/>
      <c r="I144" s="93"/>
      <c r="J144" s="4"/>
      <c r="K144" s="4"/>
      <c r="L144" s="838"/>
      <c r="M144" s="818"/>
      <c r="N144" s="4"/>
      <c r="O144" s="832"/>
      <c r="X144" s="817"/>
    </row>
    <row r="145" spans="2:45" ht="15" thickBot="1" x14ac:dyDescent="0.4">
      <c r="B145" s="412" t="s">
        <v>3210</v>
      </c>
      <c r="C145" s="13"/>
      <c r="D145" s="13"/>
      <c r="E145" s="13"/>
      <c r="F145" s="13"/>
      <c r="G145" s="13"/>
      <c r="H145" s="453"/>
      <c r="I145" s="294"/>
      <c r="J145" s="160"/>
      <c r="K145" s="160"/>
      <c r="L145" s="849"/>
      <c r="M145" s="827"/>
      <c r="N145" s="160"/>
      <c r="O145" s="833"/>
      <c r="P145" s="55"/>
      <c r="Q145" s="55"/>
      <c r="R145" s="55"/>
      <c r="S145" s="55"/>
      <c r="T145" s="55"/>
      <c r="U145" s="55"/>
      <c r="V145" s="55"/>
      <c r="W145" s="55"/>
      <c r="X145" s="829"/>
    </row>
    <row r="146" spans="2:45" ht="15" thickTop="1" x14ac:dyDescent="0.35">
      <c r="B146" s="450" t="s">
        <v>3969</v>
      </c>
      <c r="C146" s="13"/>
      <c r="D146" s="13"/>
      <c r="E146" s="13"/>
      <c r="F146" s="13"/>
      <c r="G146" s="13"/>
      <c r="H146" s="453"/>
      <c r="I146" s="144">
        <v>901.1</v>
      </c>
      <c r="J146" s="4"/>
      <c r="K146" s="4"/>
      <c r="L146" s="838" t="s">
        <v>3212</v>
      </c>
      <c r="M146" s="40"/>
      <c r="N146" s="4"/>
      <c r="O146" s="832">
        <f>IF(W155=TRUE,5,IF(W154=TRUE,5,IF(W149=TRUE,8,0)))*S149</f>
        <v>0</v>
      </c>
      <c r="AN146" t="str">
        <f>SUBSTITUTE(SUBSTITUTE(SUBSTITUTE("dpc"&amp;$B146&amp;$C146&amp;$D146&amp;$E146,".","_"),"(","_"),")","")</f>
        <v>dpc901_10</v>
      </c>
      <c r="AO146">
        <f>O146</f>
        <v>0</v>
      </c>
    </row>
    <row r="147" spans="2:45" x14ac:dyDescent="0.35">
      <c r="B147" s="450" t="s">
        <v>3969</v>
      </c>
      <c r="C147" s="13"/>
      <c r="D147" s="13"/>
      <c r="E147" s="13"/>
      <c r="F147" s="13"/>
      <c r="G147" s="13"/>
      <c r="H147" s="453"/>
      <c r="I147" s="93"/>
      <c r="J147" s="4"/>
      <c r="K147" s="4"/>
      <c r="L147" s="838"/>
      <c r="M147" s="40"/>
      <c r="N147" s="4"/>
      <c r="O147" s="832"/>
    </row>
    <row r="148" spans="2:45" x14ac:dyDescent="0.35">
      <c r="B148" s="450" t="s">
        <v>3969</v>
      </c>
      <c r="C148" s="13"/>
      <c r="D148" s="13"/>
      <c r="E148" s="13"/>
      <c r="F148" s="13"/>
      <c r="G148" s="13"/>
      <c r="H148" s="453"/>
      <c r="I148" s="93"/>
      <c r="J148" s="4"/>
      <c r="K148" s="4"/>
      <c r="L148" s="838"/>
      <c r="M148" s="40"/>
      <c r="N148" s="4"/>
      <c r="O148" s="832"/>
    </row>
    <row r="149" spans="2:45" x14ac:dyDescent="0.35">
      <c r="B149" s="450" t="s">
        <v>3969</v>
      </c>
      <c r="C149" s="13" t="s">
        <v>256</v>
      </c>
      <c r="D149" s="13"/>
      <c r="E149" s="13"/>
      <c r="F149" s="13"/>
      <c r="G149" s="13"/>
      <c r="H149" s="453"/>
      <c r="I149" s="93"/>
      <c r="J149" s="19" t="s">
        <v>256</v>
      </c>
      <c r="K149" s="4"/>
      <c r="L149" s="814" t="s">
        <v>5592</v>
      </c>
      <c r="M149" s="818">
        <v>8</v>
      </c>
      <c r="N149" s="4"/>
      <c r="O149" s="75"/>
      <c r="P149" t="b">
        <v>0</v>
      </c>
      <c r="Q149" t="b">
        <v>1</v>
      </c>
      <c r="R149" t="b">
        <v>0</v>
      </c>
      <c r="S149" t="b">
        <v>1</v>
      </c>
      <c r="T149" t="b">
        <v>0</v>
      </c>
      <c r="W149" s="17"/>
      <c r="X149" s="817"/>
      <c r="AL149" t="str">
        <f>SUBSTITUTE(SUBSTITUTE(SUBSTITUTE("dpa"&amp;$B149&amp;$C149&amp;$D149&amp;$E149,".","_"),"(","_"),")","")</f>
        <v>dpa901_10_1</v>
      </c>
      <c r="AM149">
        <f>M149</f>
        <v>8</v>
      </c>
      <c r="AP149" t="str">
        <f>SUBSTITUTE(SUBSTITUTE(SUBSTITUTE("dch"&amp;$B149&amp;$C149&amp;$D149&amp;$E149,".","_"),"(","_"),")","")</f>
        <v>dch901_10_1</v>
      </c>
      <c r="AQ149" t="str">
        <f>IF(LEN(W149)=0,"",W149)</f>
        <v/>
      </c>
      <c r="AR149" t="str">
        <f>SUBSTITUTE(SUBSTITUTE(SUBSTITUTE("dnt"&amp;$B149&amp;$C149&amp;$D149&amp;$E149,".","_"),"(","_"),")","")</f>
        <v>dnt901_10_1</v>
      </c>
      <c r="AS149" t="str">
        <f>IF(LEN(X149)=0,"",X149)</f>
        <v/>
      </c>
    </row>
    <row r="150" spans="2:45" x14ac:dyDescent="0.35">
      <c r="B150" s="450" t="s">
        <v>3969</v>
      </c>
      <c r="C150" s="13" t="s">
        <v>256</v>
      </c>
      <c r="D150" s="13"/>
      <c r="E150" s="13"/>
      <c r="F150" s="13"/>
      <c r="G150" s="13"/>
      <c r="H150" s="453"/>
      <c r="I150" s="93"/>
      <c r="J150" s="4"/>
      <c r="K150" s="4"/>
      <c r="L150" s="814"/>
      <c r="M150" s="818"/>
      <c r="N150" s="4"/>
      <c r="O150" s="75"/>
      <c r="X150" s="817"/>
    </row>
    <row r="151" spans="2:45" x14ac:dyDescent="0.35">
      <c r="B151" s="450" t="s">
        <v>3969</v>
      </c>
      <c r="C151" s="13" t="s">
        <v>256</v>
      </c>
      <c r="D151" s="13"/>
      <c r="E151" s="13"/>
      <c r="F151" s="13"/>
      <c r="G151" s="13"/>
      <c r="H151" s="453"/>
      <c r="I151" s="93"/>
      <c r="J151" s="4"/>
      <c r="K151" s="4"/>
      <c r="L151" s="814"/>
      <c r="M151" s="818"/>
      <c r="N151" s="4"/>
      <c r="O151" s="75"/>
      <c r="X151" s="817"/>
    </row>
    <row r="152" spans="2:45" x14ac:dyDescent="0.35">
      <c r="B152" s="450" t="s">
        <v>3969</v>
      </c>
      <c r="C152" s="13" t="s">
        <v>256</v>
      </c>
      <c r="D152" s="13"/>
      <c r="E152" s="13"/>
      <c r="F152" s="13"/>
      <c r="G152" s="13"/>
      <c r="H152" s="453"/>
      <c r="I152" s="93"/>
      <c r="J152" s="4"/>
      <c r="K152" s="4"/>
      <c r="L152" s="814"/>
      <c r="M152" s="818"/>
      <c r="N152" s="4"/>
      <c r="O152" s="75"/>
      <c r="X152" s="817"/>
    </row>
    <row r="153" spans="2:45" x14ac:dyDescent="0.35">
      <c r="B153" s="450" t="s">
        <v>3969</v>
      </c>
      <c r="C153" s="13" t="s">
        <v>256</v>
      </c>
      <c r="D153" s="13"/>
      <c r="E153" s="13"/>
      <c r="F153" s="13"/>
      <c r="G153" s="13"/>
      <c r="H153" s="453"/>
      <c r="I153" s="93"/>
      <c r="J153" s="133"/>
      <c r="K153" s="133"/>
      <c r="L153" s="815"/>
      <c r="M153" s="819"/>
      <c r="N153" s="4"/>
      <c r="O153" s="75"/>
      <c r="X153" s="817"/>
    </row>
    <row r="154" spans="2:45" x14ac:dyDescent="0.35">
      <c r="B154" s="450" t="s">
        <v>3969</v>
      </c>
      <c r="C154" s="13" t="s">
        <v>258</v>
      </c>
      <c r="D154" s="13"/>
      <c r="E154" s="13"/>
      <c r="F154" s="13"/>
      <c r="G154" s="13"/>
      <c r="H154" s="453"/>
      <c r="I154" s="93"/>
      <c r="J154" s="129" t="s">
        <v>258</v>
      </c>
      <c r="K154" s="133"/>
      <c r="L154" s="228" t="s">
        <v>3214</v>
      </c>
      <c r="M154" s="268">
        <v>5</v>
      </c>
      <c r="N154" s="4"/>
      <c r="O154" s="75"/>
      <c r="P154" t="b">
        <v>0</v>
      </c>
      <c r="Q154" t="b">
        <v>1</v>
      </c>
      <c r="R154" t="b">
        <v>0</v>
      </c>
      <c r="S154" t="b">
        <v>1</v>
      </c>
      <c r="T154" t="b">
        <v>0</v>
      </c>
      <c r="W154" s="17"/>
      <c r="X154" s="36"/>
      <c r="AL154" t="str">
        <f>SUBSTITUTE(SUBSTITUTE(SUBSTITUTE("dpa"&amp;$B154&amp;$C154&amp;$D154&amp;$E154,".","_"),"(","_"),")","")</f>
        <v>dpa901_10_2</v>
      </c>
      <c r="AM154">
        <f>M154</f>
        <v>5</v>
      </c>
      <c r="AP154" t="str">
        <f>SUBSTITUTE(SUBSTITUTE(SUBSTITUTE("dch"&amp;$B154&amp;$C154&amp;$D154&amp;$E154,".","_"),"(","_"),")","")</f>
        <v>dch901_10_2</v>
      </c>
      <c r="AQ154" t="str">
        <f>IF(LEN(W154)=0,"",W154)</f>
        <v/>
      </c>
      <c r="AR154" t="str">
        <f>SUBSTITUTE(SUBSTITUTE(SUBSTITUTE("dnt"&amp;$B154&amp;$C154&amp;$D154&amp;$E154,".","_"),"(","_"),")","")</f>
        <v>dnt901_10_2</v>
      </c>
      <c r="AS154" t="str">
        <f>IF(LEN(X154)=0,"",X154)</f>
        <v/>
      </c>
    </row>
    <row r="155" spans="2:45" x14ac:dyDescent="0.35">
      <c r="B155" s="450" t="s">
        <v>3969</v>
      </c>
      <c r="C155" s="13" t="s">
        <v>260</v>
      </c>
      <c r="D155" s="13"/>
      <c r="E155" s="13"/>
      <c r="F155" s="13"/>
      <c r="G155" s="13"/>
      <c r="H155" s="453"/>
      <c r="I155" s="93"/>
      <c r="J155" s="19" t="s">
        <v>260</v>
      </c>
      <c r="K155" s="4"/>
      <c r="L155" s="814" t="s">
        <v>3215</v>
      </c>
      <c r="M155" s="818">
        <v>5</v>
      </c>
      <c r="N155" s="4"/>
      <c r="O155" s="75"/>
      <c r="P155" t="b">
        <v>0</v>
      </c>
      <c r="Q155" t="b">
        <v>1</v>
      </c>
      <c r="R155" t="b">
        <v>0</v>
      </c>
      <c r="S155" t="b">
        <v>1</v>
      </c>
      <c r="T155" t="b">
        <v>0</v>
      </c>
      <c r="W155" s="17"/>
      <c r="X155" s="817"/>
      <c r="AL155" t="str">
        <f>SUBSTITUTE(SUBSTITUTE(SUBSTITUTE("dpa"&amp;$B155&amp;$C155&amp;$D155&amp;$E155,".","_"),"(","_"),")","")</f>
        <v>dpa901_10_3</v>
      </c>
      <c r="AM155">
        <f>M155</f>
        <v>5</v>
      </c>
      <c r="AP155" t="str">
        <f>SUBSTITUTE(SUBSTITUTE(SUBSTITUTE("dch"&amp;$B155&amp;$C155&amp;$D155&amp;$E155,".","_"),"(","_"),")","")</f>
        <v>dch901_10_3</v>
      </c>
      <c r="AQ155" t="str">
        <f>IF(LEN(W155)=0,"",W155)</f>
        <v/>
      </c>
      <c r="AR155" t="str">
        <f>SUBSTITUTE(SUBSTITUTE(SUBSTITUTE("dnt"&amp;$B155&amp;$C155&amp;$D155&amp;$E155,".","_"),"(","_"),")","")</f>
        <v>dnt901_10_3</v>
      </c>
      <c r="AS155" t="str">
        <f>IF(LEN(X155)=0,"",X155)</f>
        <v/>
      </c>
    </row>
    <row r="156" spans="2:45" x14ac:dyDescent="0.35">
      <c r="B156" s="450" t="s">
        <v>3969</v>
      </c>
      <c r="C156" s="13" t="s">
        <v>260</v>
      </c>
      <c r="D156" s="13"/>
      <c r="E156" s="13"/>
      <c r="F156" s="13"/>
      <c r="G156" s="13"/>
      <c r="H156" s="453"/>
      <c r="I156" s="93"/>
      <c r="J156" s="4"/>
      <c r="K156" s="4"/>
      <c r="L156" s="814"/>
      <c r="M156" s="818"/>
      <c r="N156" s="4"/>
      <c r="O156" s="75"/>
      <c r="X156" s="817"/>
    </row>
    <row r="157" spans="2:45" x14ac:dyDescent="0.35">
      <c r="B157" s="450" t="s">
        <v>3969</v>
      </c>
      <c r="C157" s="13" t="s">
        <v>260</v>
      </c>
      <c r="D157" s="13"/>
      <c r="E157" s="13"/>
      <c r="F157" s="13"/>
      <c r="G157" s="13"/>
      <c r="H157" s="453"/>
      <c r="I157" s="93"/>
      <c r="J157" s="4"/>
      <c r="K157" s="4"/>
      <c r="L157" s="814"/>
      <c r="M157" s="818"/>
      <c r="N157" s="4"/>
      <c r="O157" s="75"/>
      <c r="X157" s="817"/>
    </row>
    <row r="158" spans="2:45" ht="15" thickBot="1" x14ac:dyDescent="0.4">
      <c r="B158" s="450" t="s">
        <v>3969</v>
      </c>
      <c r="C158" s="13" t="s">
        <v>260</v>
      </c>
      <c r="D158" s="13"/>
      <c r="E158" s="13"/>
      <c r="F158" s="13"/>
      <c r="G158" s="13"/>
      <c r="H158" s="453"/>
      <c r="I158" s="294"/>
      <c r="J158" s="160"/>
      <c r="K158" s="160"/>
      <c r="L158" s="295" t="s">
        <v>3759</v>
      </c>
      <c r="M158" s="270"/>
      <c r="N158" s="160"/>
      <c r="O158" s="161"/>
      <c r="P158" s="55"/>
      <c r="Q158" s="55"/>
      <c r="R158" s="55"/>
      <c r="S158" s="55"/>
      <c r="T158" s="55"/>
      <c r="U158" s="55"/>
      <c r="V158" s="55"/>
      <c r="W158" s="55"/>
      <c r="X158" s="829"/>
    </row>
    <row r="159" spans="2:45" ht="15" thickTop="1" x14ac:dyDescent="0.35">
      <c r="B159" s="412">
        <v>901.11</v>
      </c>
      <c r="C159" s="13"/>
      <c r="D159" s="13"/>
      <c r="E159" s="13"/>
      <c r="F159" s="13"/>
      <c r="G159" s="13"/>
      <c r="H159" s="453"/>
      <c r="I159" s="106">
        <v>901.11</v>
      </c>
      <c r="J159" s="107"/>
      <c r="K159" s="107"/>
      <c r="L159" s="837" t="s">
        <v>5593</v>
      </c>
      <c r="M159" s="830">
        <v>4</v>
      </c>
      <c r="N159" s="107"/>
      <c r="O159" s="831">
        <f>M159*S159*W159</f>
        <v>0</v>
      </c>
      <c r="P159" t="b">
        <v>1</v>
      </c>
      <c r="Q159" t="b">
        <v>1</v>
      </c>
      <c r="R159" s="59" t="b">
        <v>0</v>
      </c>
      <c r="S159" s="59" t="b">
        <v>1</v>
      </c>
      <c r="T159" s="59" t="b">
        <v>0</v>
      </c>
      <c r="U159" s="59"/>
      <c r="V159" s="59"/>
      <c r="W159" s="236"/>
      <c r="X159" s="840"/>
      <c r="AL159" t="str">
        <f>SUBSTITUTE(SUBSTITUTE(SUBSTITUTE("dpa"&amp;$B159&amp;$C159&amp;$D159&amp;$E159,".","_"),"(","_"),")","")</f>
        <v>dpa901_11</v>
      </c>
      <c r="AM159">
        <f>M159</f>
        <v>4</v>
      </c>
      <c r="AN159" t="str">
        <f>SUBSTITUTE(SUBSTITUTE(SUBSTITUTE("dpc"&amp;$B159&amp;$C159&amp;$D159&amp;$E159,".","_"),"(","_"),")","")</f>
        <v>dpc901_11</v>
      </c>
      <c r="AO159">
        <f>O159</f>
        <v>0</v>
      </c>
      <c r="AP159" t="str">
        <f>SUBSTITUTE(SUBSTITUTE(SUBSTITUTE("dch"&amp;$B159&amp;$C159&amp;$D159&amp;$E159,".","_"),"(","_"),")","")</f>
        <v>dch901_11</v>
      </c>
      <c r="AQ159" t="str">
        <f>IF(LEN(W159)=0,"",W159)</f>
        <v/>
      </c>
      <c r="AR159" t="str">
        <f>SUBSTITUTE(SUBSTITUTE(SUBSTITUTE("dnt"&amp;$B159&amp;$C159&amp;$D159&amp;$E159,".","_"),"(","_"),")","")</f>
        <v>dnt901_11</v>
      </c>
      <c r="AS159" t="str">
        <f>IF(LEN(X159)=0,"",X159)</f>
        <v/>
      </c>
    </row>
    <row r="160" spans="2:45" x14ac:dyDescent="0.35">
      <c r="B160" s="412">
        <v>901.11</v>
      </c>
      <c r="C160" s="13"/>
      <c r="D160" s="13"/>
      <c r="E160" s="13"/>
      <c r="F160" s="13"/>
      <c r="G160" s="13"/>
      <c r="H160" s="453"/>
      <c r="I160" s="93"/>
      <c r="J160" s="4"/>
      <c r="K160" s="4"/>
      <c r="L160" s="838"/>
      <c r="M160" s="818"/>
      <c r="N160" s="4"/>
      <c r="O160" s="832"/>
      <c r="X160" s="817"/>
    </row>
    <row r="161" spans="2:45" x14ac:dyDescent="0.35">
      <c r="B161" s="412">
        <v>901.11</v>
      </c>
      <c r="C161" s="13"/>
      <c r="D161" s="13"/>
      <c r="E161" s="13"/>
      <c r="F161" s="13"/>
      <c r="G161" s="13"/>
      <c r="H161" s="453"/>
      <c r="I161" s="93"/>
      <c r="J161" s="4"/>
      <c r="K161" s="4"/>
      <c r="L161" s="838"/>
      <c r="M161" s="818"/>
      <c r="N161" s="4"/>
      <c r="O161" s="832"/>
      <c r="X161" s="817"/>
    </row>
    <row r="162" spans="2:45" x14ac:dyDescent="0.35">
      <c r="B162" s="412">
        <v>901.11</v>
      </c>
      <c r="C162" s="13"/>
      <c r="D162" s="13"/>
      <c r="E162" s="13"/>
      <c r="F162" s="13"/>
      <c r="G162" s="13"/>
      <c r="H162" s="453"/>
      <c r="I162" s="93"/>
      <c r="J162" s="4"/>
      <c r="K162" s="4"/>
      <c r="L162" s="838"/>
      <c r="M162" s="818"/>
      <c r="N162" s="4"/>
      <c r="O162" s="832"/>
      <c r="X162" s="817"/>
    </row>
    <row r="163" spans="2:45" ht="15" thickBot="1" x14ac:dyDescent="0.4">
      <c r="B163" s="412">
        <v>901.11</v>
      </c>
      <c r="C163" s="13"/>
      <c r="D163" s="13"/>
      <c r="E163" s="13"/>
      <c r="F163" s="13"/>
      <c r="G163" s="13"/>
      <c r="H163" s="453"/>
      <c r="I163" s="294"/>
      <c r="J163" s="160"/>
      <c r="K163" s="160"/>
      <c r="L163" s="849"/>
      <c r="M163" s="827"/>
      <c r="N163" s="160"/>
      <c r="O163" s="833"/>
      <c r="P163" s="55"/>
      <c r="Q163" s="55"/>
      <c r="R163" s="55"/>
      <c r="S163" s="55"/>
      <c r="T163" s="55"/>
      <c r="U163" s="55"/>
      <c r="V163" s="55"/>
      <c r="W163" s="55"/>
      <c r="X163" s="829"/>
    </row>
    <row r="164" spans="2:45" ht="15" thickTop="1" x14ac:dyDescent="0.35">
      <c r="B164" s="412">
        <v>901.12</v>
      </c>
      <c r="C164" s="13"/>
      <c r="D164" s="13"/>
      <c r="E164" s="13"/>
      <c r="F164" s="13"/>
      <c r="G164" s="13"/>
      <c r="H164" s="453"/>
      <c r="I164" s="106">
        <v>901.12</v>
      </c>
      <c r="J164" s="4"/>
      <c r="K164" s="4"/>
      <c r="L164" s="967" t="s">
        <v>4487</v>
      </c>
      <c r="M164" s="964">
        <v>2</v>
      </c>
      <c r="N164" s="4"/>
      <c r="O164" s="831">
        <f ca="1">M164*S164*W164</f>
        <v>0</v>
      </c>
      <c r="P164" t="b">
        <v>0</v>
      </c>
      <c r="Q164" t="b">
        <v>1</v>
      </c>
      <c r="R164" t="b">
        <v>0</v>
      </c>
      <c r="S164" t="b">
        <f ca="1">AY19=INDEX(INDIRECT("ddSingleOrMulti"),2)</f>
        <v>0</v>
      </c>
      <c r="T164" t="b">
        <v>0</v>
      </c>
      <c r="W164" s="17"/>
      <c r="X164" s="864"/>
      <c r="AL164" t="str">
        <f>SUBSTITUTE(SUBSTITUTE(SUBSTITUTE("dpa"&amp;$B164&amp;$C164&amp;$D164&amp;$E164,".","_"),"(","_"),")","")</f>
        <v>dpa901_12</v>
      </c>
      <c r="AM164">
        <f>M164</f>
        <v>2</v>
      </c>
      <c r="AN164" t="str">
        <f>SUBSTITUTE(SUBSTITUTE(SUBSTITUTE("dpc"&amp;$B164&amp;$C164&amp;$D164&amp;$E164,".","_"),"(","_"),")","")</f>
        <v>dpc901_12</v>
      </c>
      <c r="AO164">
        <f ca="1">O164</f>
        <v>0</v>
      </c>
      <c r="AP164" t="str">
        <f>SUBSTITUTE(SUBSTITUTE(SUBSTITUTE("dch"&amp;$B164&amp;$C164&amp;$D164&amp;$E164,".","_"),"(","_"),")","")</f>
        <v>dch901_12</v>
      </c>
      <c r="AQ164" t="str">
        <f>IF(LEN(W164)=0,"",W164)</f>
        <v/>
      </c>
      <c r="AR164" t="str">
        <f>SUBSTITUTE(SUBSTITUTE(SUBSTITUTE("dnt"&amp;$B164&amp;$C164&amp;$D164&amp;$E164,".","_"),"(","_"),")","")</f>
        <v>dnt901_12</v>
      </c>
      <c r="AS164" t="str">
        <f>IF(LEN(X164)=0,"",X164)</f>
        <v/>
      </c>
    </row>
    <row r="165" spans="2:45" x14ac:dyDescent="0.35">
      <c r="B165" s="412">
        <v>901.12</v>
      </c>
      <c r="C165" s="13"/>
      <c r="D165" s="13"/>
      <c r="E165" s="13"/>
      <c r="F165" s="13"/>
      <c r="G165" s="13"/>
      <c r="H165" s="453"/>
      <c r="I165" s="93"/>
      <c r="J165" s="4"/>
      <c r="K165" s="4"/>
      <c r="L165" s="967"/>
      <c r="M165" s="965"/>
      <c r="N165" s="4"/>
      <c r="O165" s="832"/>
      <c r="X165" s="851"/>
    </row>
    <row r="166" spans="2:45" x14ac:dyDescent="0.35">
      <c r="B166" s="412">
        <v>901.12</v>
      </c>
      <c r="C166" s="13"/>
      <c r="D166" s="13"/>
      <c r="E166" s="13"/>
      <c r="F166" s="13"/>
      <c r="G166" s="13"/>
      <c r="H166" s="453"/>
      <c r="I166" s="93"/>
      <c r="J166" s="4"/>
      <c r="K166" s="4"/>
      <c r="L166" s="967"/>
      <c r="M166" s="965"/>
      <c r="N166" s="4"/>
      <c r="O166" s="832"/>
      <c r="X166" s="851"/>
    </row>
    <row r="167" spans="2:45" ht="15" thickBot="1" x14ac:dyDescent="0.4">
      <c r="B167" s="412">
        <v>901.12</v>
      </c>
      <c r="C167" s="13"/>
      <c r="D167" s="13"/>
      <c r="E167" s="13"/>
      <c r="F167" s="13"/>
      <c r="G167" s="13"/>
      <c r="H167" s="453"/>
      <c r="I167" s="93"/>
      <c r="J167" s="4"/>
      <c r="K167" s="4"/>
      <c r="L167" s="967"/>
      <c r="M167" s="966"/>
      <c r="N167" s="4"/>
      <c r="O167" s="833"/>
      <c r="W167" s="64"/>
      <c r="X167" s="852"/>
    </row>
    <row r="168" spans="2:45" ht="15" thickTop="1" x14ac:dyDescent="0.35">
      <c r="B168" s="412">
        <v>901.13</v>
      </c>
      <c r="C168" s="13"/>
      <c r="D168" s="13"/>
      <c r="E168" s="13"/>
      <c r="F168" s="13"/>
      <c r="G168" s="13"/>
      <c r="H168" s="453"/>
      <c r="I168" s="106">
        <v>901.13</v>
      </c>
      <c r="J168" s="107"/>
      <c r="K168" s="107"/>
      <c r="L168" s="837" t="s">
        <v>4490</v>
      </c>
      <c r="M168" s="899" t="str">
        <f>IF(R168,"Mandatory","N/A")</f>
        <v>Mandatory</v>
      </c>
      <c r="N168" s="107"/>
      <c r="O168" s="308"/>
      <c r="P168" t="b">
        <v>0</v>
      </c>
      <c r="Q168" t="b">
        <v>1</v>
      </c>
      <c r="R168" s="59" t="b">
        <f>S168</f>
        <v>1</v>
      </c>
      <c r="S168" s="59" t="b">
        <v>1</v>
      </c>
      <c r="T168" s="59" t="b">
        <f ca="1">AND(W168="Built to IBC",AY19=INDEX(INDIRECT("ddSingleOrMulti"),1))</f>
        <v>0</v>
      </c>
      <c r="U168" s="59" t="str">
        <f>SUBSTITUTE(SUBSTITUTE(SUBSTITUTE("dd"&amp;B168&amp;C168&amp;D168&amp;E168&amp;F168,".","_"),"(","_"),")","")</f>
        <v>dd901_13</v>
      </c>
      <c r="V168" s="59"/>
      <c r="W168" s="167" t="s">
        <v>3038</v>
      </c>
      <c r="X168" s="840"/>
      <c r="AC168" t="b">
        <f>OR(AD168:AE168)</f>
        <v>0</v>
      </c>
      <c r="AD168" t="b">
        <v>0</v>
      </c>
      <c r="AE168" t="b">
        <f>AND(R168,OR(LEN(W168)=0,W168="Not Met"))</f>
        <v>0</v>
      </c>
      <c r="AL168" t="str">
        <f>SUBSTITUTE(SUBSTITUTE(SUBSTITUTE("dpa"&amp;$B168&amp;$C168&amp;$D168&amp;$E168,".","_"),"(","_"),")","")</f>
        <v>dpa901_13</v>
      </c>
      <c r="AM168" t="str">
        <f>M168</f>
        <v>Mandatory</v>
      </c>
      <c r="AP168" t="str">
        <f>SUBSTITUTE(SUBSTITUTE(SUBSTITUTE("dch"&amp;$B168&amp;$C168&amp;$D168&amp;$E168,".","_"),"(","_"),")","")</f>
        <v>dch901_13</v>
      </c>
      <c r="AQ168" t="str">
        <f>IF(LEN(W168)=0,"",W168)</f>
        <v>Met</v>
      </c>
      <c r="AR168" t="str">
        <f>SUBSTITUTE(SUBSTITUTE(SUBSTITUTE("dnt"&amp;$B168&amp;$C168&amp;$D168&amp;$E168,".","_"),"(","_"),")","")</f>
        <v>dnt901_13</v>
      </c>
      <c r="AS168" t="str">
        <f>IF(LEN(X168)=0,"",X168)</f>
        <v/>
      </c>
    </row>
    <row r="169" spans="2:45" ht="15" thickBot="1" x14ac:dyDescent="0.4">
      <c r="B169" s="412">
        <v>901.13</v>
      </c>
      <c r="C169" s="13"/>
      <c r="D169" s="13"/>
      <c r="E169" s="13"/>
      <c r="F169" s="13"/>
      <c r="G169" s="13"/>
      <c r="H169" s="453"/>
      <c r="I169" s="294"/>
      <c r="J169" s="160"/>
      <c r="K169" s="160"/>
      <c r="L169" s="849"/>
      <c r="M169" s="886"/>
      <c r="N169" s="160"/>
      <c r="O169" s="161"/>
      <c r="P169" s="55"/>
      <c r="Q169" s="55"/>
      <c r="R169" s="55"/>
      <c r="S169" s="55"/>
      <c r="T169" s="55"/>
      <c r="U169" s="55"/>
      <c r="V169" s="55"/>
      <c r="W169" s="55"/>
      <c r="X169" s="829"/>
    </row>
    <row r="170" spans="2:45" ht="15" thickTop="1" x14ac:dyDescent="0.35">
      <c r="B170" s="412">
        <v>901.14</v>
      </c>
      <c r="C170" s="13"/>
      <c r="D170" s="13"/>
      <c r="E170" s="13"/>
      <c r="F170" s="13"/>
      <c r="G170" s="13"/>
      <c r="H170" s="453"/>
      <c r="I170" s="30">
        <v>901.14</v>
      </c>
      <c r="J170" s="107"/>
      <c r="K170" s="107"/>
      <c r="L170" s="837" t="s">
        <v>4489</v>
      </c>
      <c r="M170" s="267"/>
      <c r="N170" s="107"/>
      <c r="O170" s="831">
        <f ca="1">MIN(1,M172*S172*W172+M173*S173*W173)</f>
        <v>0</v>
      </c>
      <c r="P170" s="59"/>
      <c r="Q170" s="59"/>
      <c r="R170" s="59"/>
      <c r="S170" s="59"/>
      <c r="T170" s="59"/>
      <c r="U170" s="59"/>
      <c r="V170" s="59"/>
      <c r="W170" s="59"/>
      <c r="X170" s="840"/>
      <c r="AN170" t="str">
        <f>SUBSTITUTE(SUBSTITUTE(SUBSTITUTE("dpc"&amp;$B170&amp;$C170&amp;$D170&amp;$E170,".","_"),"(","_"),")","")</f>
        <v>dpc901_14</v>
      </c>
      <c r="AO170">
        <f ca="1">O170</f>
        <v>0</v>
      </c>
      <c r="AR170" t="str">
        <f>SUBSTITUTE(SUBSTITUTE(SUBSTITUTE("dnt"&amp;$B170&amp;$C170&amp;$D170&amp;$E170,".","_"),"(","_"),")","")</f>
        <v>dnt901_14</v>
      </c>
      <c r="AS170" t="str">
        <f>IF(LEN(X170)=0,"",X170)</f>
        <v/>
      </c>
    </row>
    <row r="171" spans="2:45" ht="15" customHeight="1" x14ac:dyDescent="0.35">
      <c r="B171" s="412">
        <v>901.14</v>
      </c>
      <c r="C171" s="13"/>
      <c r="D171" s="13"/>
      <c r="E171" s="13"/>
      <c r="F171" s="13"/>
      <c r="G171" s="13"/>
      <c r="H171" s="453"/>
      <c r="I171" s="93"/>
      <c r="J171" s="4"/>
      <c r="K171" s="4"/>
      <c r="L171" s="838"/>
      <c r="M171" s="40"/>
      <c r="N171" s="4"/>
      <c r="O171" s="832"/>
      <c r="X171" s="817"/>
    </row>
    <row r="172" spans="2:45" ht="15" customHeight="1" x14ac:dyDescent="0.35">
      <c r="B172" s="412">
        <v>901.14</v>
      </c>
      <c r="C172" s="13" t="s">
        <v>256</v>
      </c>
      <c r="D172" s="13"/>
      <c r="E172" s="13"/>
      <c r="F172" s="453"/>
      <c r="G172" s="13"/>
      <c r="H172" s="453"/>
      <c r="I172" s="93"/>
      <c r="J172" s="129" t="s">
        <v>256</v>
      </c>
      <c r="K172" s="133"/>
      <c r="L172" s="228" t="s">
        <v>3217</v>
      </c>
      <c r="M172" s="268">
        <v>1</v>
      </c>
      <c r="N172" s="4"/>
      <c r="O172" s="75"/>
      <c r="P172" t="b">
        <v>0</v>
      </c>
      <c r="Q172" t="b">
        <v>1</v>
      </c>
      <c r="R172" t="b">
        <v>0</v>
      </c>
      <c r="S172" t="b">
        <f ca="1">AY19=INDEX(INDIRECT("ddSingleOrMulti"),2)</f>
        <v>0</v>
      </c>
      <c r="T172" t="b">
        <f ca="1">AND(NOT(S172),W172=TRUE)</f>
        <v>0</v>
      </c>
      <c r="W172" s="17"/>
      <c r="X172" s="817"/>
      <c r="AC172" t="b">
        <f ca="1">OR(AD172:AE172)</f>
        <v>0</v>
      </c>
      <c r="AD172" t="b">
        <f ca="1">T172</f>
        <v>0</v>
      </c>
      <c r="AL172" t="str">
        <f>SUBSTITUTE(SUBSTITUTE(SUBSTITUTE("dpa"&amp;$B172&amp;$C172&amp;$D172&amp;$E172,".","_"),"(","_"),")","")</f>
        <v>dpa901_14_1</v>
      </c>
      <c r="AM172">
        <f>M172</f>
        <v>1</v>
      </c>
      <c r="AP172" t="str">
        <f>SUBSTITUTE(SUBSTITUTE(SUBSTITUTE("dch"&amp;$B172&amp;$C172&amp;$D172&amp;$E172,".","_"),"(","_"),")","")</f>
        <v>dch901_14_1</v>
      </c>
      <c r="AQ172" t="str">
        <f>IF(LEN(W172)=0,"",W172)</f>
        <v/>
      </c>
    </row>
    <row r="173" spans="2:45" ht="15" customHeight="1" thickBot="1" x14ac:dyDescent="0.4">
      <c r="B173" s="412">
        <v>901.14</v>
      </c>
      <c r="C173" s="13" t="s">
        <v>258</v>
      </c>
      <c r="D173" s="13"/>
      <c r="E173" s="13"/>
      <c r="F173" s="453"/>
      <c r="G173" s="13"/>
      <c r="H173" s="453"/>
      <c r="I173" s="294"/>
      <c r="J173" s="115" t="s">
        <v>258</v>
      </c>
      <c r="K173" s="160"/>
      <c r="L173" s="229" t="s">
        <v>3218</v>
      </c>
      <c r="M173" s="270">
        <v>1</v>
      </c>
      <c r="N173" s="160"/>
      <c r="O173" s="161"/>
      <c r="P173" t="b">
        <v>0</v>
      </c>
      <c r="Q173" t="b">
        <v>1</v>
      </c>
      <c r="R173" s="55" t="b">
        <v>0</v>
      </c>
      <c r="S173" t="b">
        <f ca="1">AY19=INDEX(INDIRECT("ddSingleOrMulti"),2)</f>
        <v>0</v>
      </c>
      <c r="T173" t="b">
        <f ca="1">AND(NOT(S173),W173=TRUE)</f>
        <v>0</v>
      </c>
      <c r="U173" s="55"/>
      <c r="V173" s="55"/>
      <c r="W173" s="56"/>
      <c r="X173" s="829"/>
      <c r="AC173" t="b">
        <f ca="1">OR(AD173:AE173)</f>
        <v>0</v>
      </c>
      <c r="AD173" t="b">
        <f ca="1">T173</f>
        <v>0</v>
      </c>
      <c r="AL173" t="str">
        <f>SUBSTITUTE(SUBSTITUTE(SUBSTITUTE("dpa"&amp;$B173&amp;$C173&amp;$D173&amp;$E173,".","_"),"(","_"),")","")</f>
        <v>dpa901_14_2</v>
      </c>
      <c r="AM173">
        <f>M173</f>
        <v>1</v>
      </c>
      <c r="AP173" t="str">
        <f>SUBSTITUTE(SUBSTITUTE(SUBSTITUTE("dch"&amp;$B173&amp;$C173&amp;$D173&amp;$E173,".","_"),"(","_"),")","")</f>
        <v>dch901_14_2</v>
      </c>
      <c r="AQ173" t="str">
        <f>IF(LEN(W173)=0,"",W173)</f>
        <v/>
      </c>
    </row>
    <row r="174" spans="2:45" ht="15" customHeight="1" thickTop="1" x14ac:dyDescent="0.35">
      <c r="B174" s="412" t="s">
        <v>4491</v>
      </c>
      <c r="C174" s="13"/>
      <c r="D174" s="13"/>
      <c r="E174" s="13"/>
      <c r="F174" s="453"/>
      <c r="G174" s="13"/>
      <c r="H174" s="453"/>
      <c r="I174" s="30">
        <v>901.15</v>
      </c>
      <c r="J174" s="4"/>
      <c r="K174" s="4"/>
      <c r="L174" s="838" t="s">
        <v>4488</v>
      </c>
      <c r="M174" s="40"/>
      <c r="N174" s="4"/>
      <c r="O174" s="75"/>
    </row>
    <row r="175" spans="2:45" ht="15" customHeight="1" x14ac:dyDescent="0.35">
      <c r="B175" s="412" t="s">
        <v>4491</v>
      </c>
      <c r="C175" s="13"/>
      <c r="D175" s="13"/>
      <c r="E175" s="13"/>
      <c r="F175" s="453"/>
      <c r="G175" s="13"/>
      <c r="H175" s="453"/>
      <c r="I175" s="93"/>
      <c r="J175" s="4"/>
      <c r="K175" s="4"/>
      <c r="L175" s="838"/>
      <c r="M175" s="40"/>
      <c r="N175" s="4"/>
      <c r="O175" s="75"/>
    </row>
    <row r="176" spans="2:45" x14ac:dyDescent="0.35">
      <c r="B176" s="412" t="s">
        <v>4491</v>
      </c>
      <c r="C176" s="13" t="s">
        <v>256</v>
      </c>
      <c r="D176" s="13"/>
      <c r="E176" s="13"/>
      <c r="F176" s="453"/>
      <c r="G176" s="13"/>
      <c r="H176" s="453"/>
      <c r="I176" s="93"/>
      <c r="J176" s="19" t="s">
        <v>256</v>
      </c>
      <c r="K176" s="4"/>
      <c r="L176" s="814" t="s">
        <v>3219</v>
      </c>
      <c r="M176" s="818">
        <v>1</v>
      </c>
      <c r="N176" s="4"/>
      <c r="O176" s="832">
        <f ca="1">M176*S176*W176</f>
        <v>0</v>
      </c>
      <c r="P176" t="b">
        <v>0</v>
      </c>
      <c r="Q176" t="b">
        <v>1</v>
      </c>
      <c r="R176" t="b">
        <v>0</v>
      </c>
      <c r="S176" t="b">
        <f ca="1">AY19=INDEX(INDIRECT("ddSingleOrMulti"),2)</f>
        <v>0</v>
      </c>
      <c r="T176" t="b">
        <f ca="1">AND(NOT(S176),W176=TRUE)</f>
        <v>0</v>
      </c>
      <c r="W176" s="17"/>
      <c r="X176" s="817"/>
      <c r="AC176" t="b">
        <f ca="1">OR(AD176:AE176)</f>
        <v>0</v>
      </c>
      <c r="AD176" t="b">
        <f ca="1">T176</f>
        <v>0</v>
      </c>
      <c r="AL176" t="str">
        <f>SUBSTITUTE(SUBSTITUTE(SUBSTITUTE("dpa"&amp;$B176&amp;$C176&amp;$D176&amp;$E176,".","_"),"(","_"),")","")</f>
        <v>dpa901_15_1</v>
      </c>
      <c r="AM176">
        <f>M176</f>
        <v>1</v>
      </c>
      <c r="AN176" t="str">
        <f>SUBSTITUTE(SUBSTITUTE(SUBSTITUTE("dpc"&amp;$B176&amp;$C176&amp;$D176&amp;$E176,".","_"),"(","_"),")","")</f>
        <v>dpc901_15_1</v>
      </c>
      <c r="AO176">
        <f ca="1">O176</f>
        <v>0</v>
      </c>
      <c r="AP176" t="str">
        <f>SUBSTITUTE(SUBSTITUTE(SUBSTITUTE("dch"&amp;$B176&amp;$C176&amp;$D176&amp;$E176,".","_"),"(","_"),")","")</f>
        <v>dch901_15_1</v>
      </c>
      <c r="AQ176" t="str">
        <f>IF(LEN(W176)=0,"",W176)</f>
        <v/>
      </c>
      <c r="AR176" t="str">
        <f>SUBSTITUTE(SUBSTITUTE(SUBSTITUTE("dnt"&amp;$B176&amp;$C176&amp;$D176&amp;$E176,".","_"),"(","_"),")","")</f>
        <v>dnt901_15_1</v>
      </c>
      <c r="AS176" t="str">
        <f>IF(LEN(X176)=0,"",X176)</f>
        <v/>
      </c>
    </row>
    <row r="177" spans="2:45" x14ac:dyDescent="0.35">
      <c r="B177" s="412" t="s">
        <v>4491</v>
      </c>
      <c r="C177" s="13" t="s">
        <v>256</v>
      </c>
      <c r="D177" s="13"/>
      <c r="E177" s="13"/>
      <c r="F177" s="453"/>
      <c r="G177" s="13"/>
      <c r="H177" s="453"/>
      <c r="I177" s="93"/>
      <c r="J177" s="133"/>
      <c r="K177" s="133"/>
      <c r="L177" s="815"/>
      <c r="M177" s="819"/>
      <c r="N177" s="4"/>
      <c r="O177" s="824"/>
      <c r="X177" s="817"/>
    </row>
    <row r="178" spans="2:45" x14ac:dyDescent="0.35">
      <c r="B178" s="412" t="s">
        <v>4491</v>
      </c>
      <c r="C178" s="13" t="s">
        <v>258</v>
      </c>
      <c r="D178" s="13"/>
      <c r="E178" s="13"/>
      <c r="F178" s="453"/>
      <c r="G178" s="13"/>
      <c r="H178" s="453"/>
      <c r="I178" s="93"/>
      <c r="J178" s="19" t="s">
        <v>258</v>
      </c>
      <c r="K178" s="4"/>
      <c r="L178" s="814" t="s">
        <v>3220</v>
      </c>
      <c r="M178" s="818">
        <v>1</v>
      </c>
      <c r="N178" s="4"/>
      <c r="O178" s="832">
        <f ca="1">M178*S178*W178</f>
        <v>0</v>
      </c>
      <c r="P178" t="b">
        <v>0</v>
      </c>
      <c r="Q178" t="b">
        <v>1</v>
      </c>
      <c r="R178" t="b">
        <v>0</v>
      </c>
      <c r="S178" t="b">
        <f ca="1">AY19=INDEX(INDIRECT("ddSingleOrMulti"),2)</f>
        <v>0</v>
      </c>
      <c r="T178" t="b">
        <f ca="1">AND(NOT(S178),W178=TRUE)</f>
        <v>0</v>
      </c>
      <c r="W178" s="17"/>
      <c r="X178" s="817"/>
      <c r="AC178" t="b">
        <f ca="1">OR(AD178:AE178)</f>
        <v>0</v>
      </c>
      <c r="AD178" t="b">
        <f ca="1">T178</f>
        <v>0</v>
      </c>
      <c r="AL178" t="str">
        <f>SUBSTITUTE(SUBSTITUTE(SUBSTITUTE("dpa"&amp;$B178&amp;$C178&amp;$D178&amp;$E178,".","_"),"(","_"),")","")</f>
        <v>dpa901_15_2</v>
      </c>
      <c r="AM178">
        <f>M178</f>
        <v>1</v>
      </c>
      <c r="AN178" t="str">
        <f>SUBSTITUTE(SUBSTITUTE(SUBSTITUTE("dpc"&amp;$B178&amp;$C178&amp;$D178&amp;$E178,".","_"),"(","_"),")","")</f>
        <v>dpc901_15_2</v>
      </c>
      <c r="AO178">
        <f ca="1">O178</f>
        <v>0</v>
      </c>
      <c r="AP178" t="str">
        <f>SUBSTITUTE(SUBSTITUTE(SUBSTITUTE("dch"&amp;$B178&amp;$C178&amp;$D178&amp;$E178,".","_"),"(","_"),")","")</f>
        <v>dch901_15_2</v>
      </c>
      <c r="AQ178" t="str">
        <f>IF(LEN(W178)=0,"",W178)</f>
        <v/>
      </c>
      <c r="AR178" t="str">
        <f>SUBSTITUTE(SUBSTITUTE(SUBSTITUTE("dnt"&amp;$B178&amp;$C178&amp;$D178&amp;$E178,".","_"),"(","_"),")","")</f>
        <v>dnt901_15_2</v>
      </c>
      <c r="AS178" t="str">
        <f>IF(LEN(X178)=0,"",X178)</f>
        <v/>
      </c>
    </row>
    <row r="179" spans="2:45" x14ac:dyDescent="0.35">
      <c r="B179" s="412" t="s">
        <v>4491</v>
      </c>
      <c r="C179" s="13" t="s">
        <v>258</v>
      </c>
      <c r="D179" s="13"/>
      <c r="E179" s="13"/>
      <c r="F179" s="453"/>
      <c r="G179" s="13"/>
      <c r="H179" s="453"/>
      <c r="I179" s="93"/>
      <c r="J179" s="4"/>
      <c r="K179" s="4"/>
      <c r="L179" s="814"/>
      <c r="M179" s="818"/>
      <c r="N179" s="4"/>
      <c r="O179" s="832"/>
      <c r="X179" s="817"/>
    </row>
    <row r="180" spans="2:45" ht="18.5" x14ac:dyDescent="0.45">
      <c r="B180" s="412">
        <v>902</v>
      </c>
      <c r="C180" s="13"/>
      <c r="D180" s="13"/>
      <c r="E180" s="13"/>
      <c r="F180" s="453"/>
      <c r="G180" s="13"/>
      <c r="H180" s="453"/>
      <c r="I180" s="10" t="s">
        <v>3221</v>
      </c>
      <c r="J180" s="15"/>
      <c r="K180" s="15"/>
      <c r="L180" s="44"/>
      <c r="M180" s="307"/>
      <c r="N180" s="311"/>
      <c r="O180" s="307"/>
      <c r="P180" s="15"/>
      <c r="Q180" s="15"/>
      <c r="R180" s="15"/>
      <c r="S180" s="15"/>
      <c r="T180" s="15"/>
      <c r="U180" s="15"/>
      <c r="V180" s="15"/>
      <c r="W180" s="15"/>
      <c r="X180" s="15"/>
    </row>
    <row r="181" spans="2:45" ht="15" thickBot="1" x14ac:dyDescent="0.4">
      <c r="B181" s="412" t="s">
        <v>4079</v>
      </c>
      <c r="C181" s="13"/>
      <c r="D181" s="13"/>
      <c r="E181" s="13"/>
      <c r="F181" s="453"/>
      <c r="G181" s="13"/>
      <c r="H181" s="453"/>
      <c r="I181" s="292">
        <v>902</v>
      </c>
      <c r="J181" s="160"/>
      <c r="K181" s="160"/>
      <c r="L181" s="275" t="s">
        <v>3222</v>
      </c>
      <c r="M181" s="270"/>
      <c r="N181" s="160"/>
      <c r="O181" s="161"/>
      <c r="P181" s="55"/>
      <c r="Q181" s="55"/>
      <c r="R181" s="55"/>
      <c r="S181" s="55"/>
      <c r="T181" s="55"/>
      <c r="U181" s="55"/>
      <c r="V181" s="55"/>
      <c r="W181" s="55"/>
      <c r="X181" s="55"/>
    </row>
    <row r="182" spans="2:45" ht="15" thickTop="1" x14ac:dyDescent="0.35">
      <c r="B182" s="412">
        <v>902.1</v>
      </c>
      <c r="C182" s="13"/>
      <c r="D182" s="13"/>
      <c r="E182" s="13"/>
      <c r="F182" s="453"/>
      <c r="G182" s="13"/>
      <c r="H182" s="453"/>
      <c r="I182" s="30">
        <v>902.1</v>
      </c>
      <c r="J182" s="4"/>
      <c r="K182" s="4"/>
      <c r="L182" s="95" t="s">
        <v>3223</v>
      </c>
      <c r="M182" s="40"/>
      <c r="N182" s="4"/>
      <c r="O182" s="75"/>
    </row>
    <row r="183" spans="2:45" x14ac:dyDescent="0.35">
      <c r="B183" s="412">
        <v>902.1</v>
      </c>
      <c r="C183" s="13"/>
      <c r="D183" s="13"/>
      <c r="E183" s="13"/>
      <c r="F183" s="453"/>
      <c r="G183" s="13"/>
      <c r="H183" s="453"/>
      <c r="I183" s="30" t="s">
        <v>3806</v>
      </c>
      <c r="J183" s="4"/>
      <c r="K183" s="4"/>
      <c r="L183" s="95" t="s">
        <v>3807</v>
      </c>
      <c r="M183" s="40"/>
      <c r="N183" s="4"/>
      <c r="O183" s="75"/>
    </row>
    <row r="184" spans="2:45" x14ac:dyDescent="0.35">
      <c r="B184" s="412">
        <v>902.1</v>
      </c>
      <c r="C184" s="13" t="s">
        <v>256</v>
      </c>
      <c r="D184" s="13"/>
      <c r="E184" s="13"/>
      <c r="F184" s="453"/>
      <c r="G184" s="13"/>
      <c r="H184" s="453"/>
      <c r="I184" s="93"/>
      <c r="J184" s="19" t="s">
        <v>256</v>
      </c>
      <c r="K184" s="4"/>
      <c r="L184" s="814" t="s">
        <v>3224</v>
      </c>
      <c r="M184" s="885" t="str">
        <f>IF(R184,"Mandatory","N/A")</f>
        <v>Mandatory</v>
      </c>
      <c r="N184" s="4"/>
      <c r="O184" s="75"/>
      <c r="P184" t="b">
        <v>0</v>
      </c>
      <c r="Q184" t="b">
        <v>1</v>
      </c>
      <c r="R184" t="b">
        <f>S184</f>
        <v>1</v>
      </c>
      <c r="S184" t="b">
        <v>1</v>
      </c>
      <c r="T184" t="b">
        <v>0</v>
      </c>
      <c r="W184" s="17" t="b">
        <v>1</v>
      </c>
      <c r="X184" s="817"/>
      <c r="AC184" t="b">
        <f>OR(AD184:AE184)</f>
        <v>0</v>
      </c>
      <c r="AD184" t="b">
        <f>T184</f>
        <v>0</v>
      </c>
      <c r="AE184" t="b">
        <f>AND(R184,NOT(W184))</f>
        <v>0</v>
      </c>
      <c r="AL184" t="str">
        <f>SUBSTITUTE(SUBSTITUTE(SUBSTITUTE("dpa"&amp;$B184&amp;$C184&amp;$D184&amp;$E184,".","_"),"(","_"),")","")</f>
        <v>dpa902_1_1</v>
      </c>
      <c r="AM184" t="str">
        <f>M184</f>
        <v>Mandatory</v>
      </c>
      <c r="AP184" t="str">
        <f>SUBSTITUTE(SUBSTITUTE(SUBSTITUTE("dch"&amp;$B184&amp;$C184&amp;$D184&amp;$E184,".","_"),"(","_"),")","")</f>
        <v>dch902_1_1</v>
      </c>
      <c r="AQ184" t="b">
        <f>IF(LEN(W184)=0,"",W184)</f>
        <v>1</v>
      </c>
      <c r="AR184" t="str">
        <f>SUBSTITUTE(SUBSTITUTE(SUBSTITUTE("dnt"&amp;$B184&amp;$C184&amp;$D184&amp;$E184,".","_"),"(","_"),")","")</f>
        <v>dnt902_1_1</v>
      </c>
      <c r="AS184" t="str">
        <f>IF(LEN(X184)=0,"",X184)</f>
        <v/>
      </c>
    </row>
    <row r="185" spans="2:45" x14ac:dyDescent="0.35">
      <c r="B185" s="412">
        <v>902.1</v>
      </c>
      <c r="C185" s="13" t="s">
        <v>256</v>
      </c>
      <c r="D185" s="13"/>
      <c r="E185" s="13"/>
      <c r="F185" s="453"/>
      <c r="G185" s="13"/>
      <c r="H185" s="453"/>
      <c r="I185" s="93"/>
      <c r="J185" s="4"/>
      <c r="K185" s="4"/>
      <c r="L185" s="814"/>
      <c r="M185" s="885"/>
      <c r="N185" s="4"/>
      <c r="O185" s="75"/>
      <c r="X185" s="817"/>
    </row>
    <row r="186" spans="2:45" ht="15" customHeight="1" x14ac:dyDescent="0.35">
      <c r="B186" s="412">
        <v>902.1</v>
      </c>
      <c r="C186" s="13" t="s">
        <v>256</v>
      </c>
      <c r="D186" s="13" t="s">
        <v>121</v>
      </c>
      <c r="E186" s="13"/>
      <c r="F186" s="453"/>
      <c r="G186" s="13"/>
      <c r="H186" s="453"/>
      <c r="I186" s="93"/>
      <c r="J186" s="19"/>
      <c r="K186" s="19" t="s">
        <v>121</v>
      </c>
      <c r="L186" s="814" t="s">
        <v>3650</v>
      </c>
      <c r="M186" s="818">
        <v>1</v>
      </c>
      <c r="N186" s="4"/>
      <c r="O186" s="832">
        <f>M186*S186*W186</f>
        <v>0</v>
      </c>
      <c r="P186" t="b">
        <v>0</v>
      </c>
      <c r="Q186" t="b">
        <v>1</v>
      </c>
      <c r="R186" t="b">
        <v>0</v>
      </c>
      <c r="S186" t="b">
        <f>W184=TRUE</f>
        <v>1</v>
      </c>
      <c r="T186" t="b">
        <f>AND(NOT(S186),W186=TRUE)</f>
        <v>0</v>
      </c>
      <c r="W186" s="17"/>
      <c r="X186" s="817"/>
      <c r="AC186" t="b">
        <f>OR(AD186:AE186)</f>
        <v>0</v>
      </c>
      <c r="AD186" t="b">
        <f>T186</f>
        <v>0</v>
      </c>
      <c r="AL186" t="str">
        <f>SUBSTITUTE(SUBSTITUTE(SUBSTITUTE("dpa"&amp;$B186&amp;$C186&amp;$D186&amp;$E186,".","_"),"(","_"),")","")</f>
        <v>dpa902_1_1_a</v>
      </c>
      <c r="AM186">
        <f>M186</f>
        <v>1</v>
      </c>
      <c r="AN186" t="str">
        <f>SUBSTITUTE(SUBSTITUTE(SUBSTITUTE("dpc"&amp;$B186&amp;$C186&amp;$D186&amp;$E186,".","_"),"(","_"),")","")</f>
        <v>dpc902_1_1_a</v>
      </c>
      <c r="AO186">
        <f>O186</f>
        <v>0</v>
      </c>
      <c r="AP186" t="str">
        <f>SUBSTITUTE(SUBSTITUTE(SUBSTITUTE("dch"&amp;$B186&amp;$C186&amp;$D186&amp;$E186,".","_"),"(","_"),")","")</f>
        <v>dch902_1_1_a</v>
      </c>
      <c r="AQ186" t="str">
        <f>IF(LEN(W186)=0,"",W186)</f>
        <v/>
      </c>
      <c r="AR186" t="str">
        <f>SUBSTITUTE(SUBSTITUTE(SUBSTITUTE("dnt"&amp;$B186&amp;$C186&amp;$D186&amp;$E186,".","_"),"(","_"),")","")</f>
        <v>dnt902_1_1_a</v>
      </c>
      <c r="AS186" t="str">
        <f>IF(LEN(X186)=0,"",X186)</f>
        <v/>
      </c>
    </row>
    <row r="187" spans="2:45" x14ac:dyDescent="0.35">
      <c r="B187" s="412">
        <v>902.1</v>
      </c>
      <c r="C187" s="13" t="s">
        <v>256</v>
      </c>
      <c r="D187" s="13"/>
      <c r="E187" s="13"/>
      <c r="F187" s="453"/>
      <c r="G187" s="13"/>
      <c r="H187" s="453"/>
      <c r="I187" s="93"/>
      <c r="J187" s="129"/>
      <c r="K187" s="133"/>
      <c r="L187" s="815"/>
      <c r="M187" s="819"/>
      <c r="N187" s="4"/>
      <c r="O187" s="824"/>
      <c r="X187" s="817"/>
    </row>
    <row r="188" spans="2:45" x14ac:dyDescent="0.35">
      <c r="B188" s="412">
        <v>902.1</v>
      </c>
      <c r="C188" s="13" t="s">
        <v>258</v>
      </c>
      <c r="D188" s="13"/>
      <c r="E188" s="13"/>
      <c r="F188" s="453"/>
      <c r="G188" s="13"/>
      <c r="H188" s="453"/>
      <c r="I188" s="93"/>
      <c r="J188" s="19" t="s">
        <v>258</v>
      </c>
      <c r="K188" s="4"/>
      <c r="L188" s="814" t="s">
        <v>3225</v>
      </c>
      <c r="M188" s="885" t="str">
        <f>IF(R188,"Mandatory","N/A")</f>
        <v>Mandatory</v>
      </c>
      <c r="N188" s="4"/>
      <c r="O188" s="75"/>
      <c r="P188" t="b">
        <v>0</v>
      </c>
      <c r="Q188" t="b">
        <v>1</v>
      </c>
      <c r="R188" t="b">
        <f>S188</f>
        <v>1</v>
      </c>
      <c r="S188" t="b">
        <v>1</v>
      </c>
      <c r="T188" t="b">
        <v>0</v>
      </c>
      <c r="U188" t="str">
        <f>SUBSTITUTE(SUBSTITUTE(SUBSTITUTE("dd"&amp;B188&amp;C188&amp;D188&amp;E188&amp;F188,".","_"),"(","_"),")","")</f>
        <v>dd902_1_2</v>
      </c>
      <c r="W188" s="9" t="s">
        <v>3038</v>
      </c>
      <c r="X188" s="817"/>
      <c r="AC188" t="b">
        <f>OR(AD188:AE188)</f>
        <v>0</v>
      </c>
      <c r="AD188" t="b">
        <f>T188</f>
        <v>0</v>
      </c>
      <c r="AE188" t="b">
        <f>AND(R188,OR(W188="Not Met",W188=""))</f>
        <v>0</v>
      </c>
      <c r="AL188" t="str">
        <f>SUBSTITUTE(SUBSTITUTE(SUBSTITUTE("dpa"&amp;$B188&amp;$C188&amp;$D188&amp;$E188,".","_"),"(","_"),")","")</f>
        <v>dpa902_1_2</v>
      </c>
      <c r="AM188" t="str">
        <f>M188</f>
        <v>Mandatory</v>
      </c>
      <c r="AP188" t="str">
        <f>SUBSTITUTE(SUBSTITUTE(SUBSTITUTE("dch"&amp;$B188&amp;$C188&amp;$D188&amp;$E188,".","_"),"(","_"),")","")</f>
        <v>dch902_1_2</v>
      </c>
      <c r="AQ188" t="str">
        <f>IF(LEN(W188)=0,"",W188)</f>
        <v>Met</v>
      </c>
      <c r="AR188" t="str">
        <f>SUBSTITUTE(SUBSTITUTE(SUBSTITUTE("dnt"&amp;$B188&amp;$C188&amp;$D188&amp;$E188,".","_"),"(","_"),")","")</f>
        <v>dnt902_1_2</v>
      </c>
      <c r="AS188" t="str">
        <f>IF(LEN(X188)=0,"",X188)</f>
        <v/>
      </c>
    </row>
    <row r="189" spans="2:45" x14ac:dyDescent="0.35">
      <c r="B189" s="412">
        <v>902.1</v>
      </c>
      <c r="C189" s="13" t="s">
        <v>258</v>
      </c>
      <c r="D189" s="13"/>
      <c r="E189" s="13"/>
      <c r="F189" s="453"/>
      <c r="G189" s="13"/>
      <c r="H189" s="453"/>
      <c r="I189" s="93"/>
      <c r="J189" s="129"/>
      <c r="K189" s="133"/>
      <c r="L189" s="815"/>
      <c r="M189" s="890"/>
      <c r="N189" s="4"/>
      <c r="O189" s="309"/>
      <c r="X189" s="817"/>
    </row>
    <row r="190" spans="2:45" x14ac:dyDescent="0.35">
      <c r="B190" s="412">
        <v>902.1</v>
      </c>
      <c r="C190" s="13" t="s">
        <v>260</v>
      </c>
      <c r="D190" s="13"/>
      <c r="E190" s="13"/>
      <c r="F190" s="453"/>
      <c r="G190" s="13"/>
      <c r="H190" s="453"/>
      <c r="I190" s="93"/>
      <c r="J190" s="19" t="s">
        <v>260</v>
      </c>
      <c r="K190" s="4"/>
      <c r="L190" s="814" t="s">
        <v>3226</v>
      </c>
      <c r="M190" s="818">
        <v>8</v>
      </c>
      <c r="N190" s="4"/>
      <c r="O190" s="832">
        <f>M190*S190*W190</f>
        <v>8</v>
      </c>
      <c r="P190" t="b">
        <v>0</v>
      </c>
      <c r="Q190" t="b">
        <v>1</v>
      </c>
      <c r="R190" t="b">
        <v>0</v>
      </c>
      <c r="S190" t="b">
        <v>1</v>
      </c>
      <c r="T190" t="b">
        <v>0</v>
      </c>
      <c r="W190" s="17" t="b">
        <v>1</v>
      </c>
      <c r="X190" s="817"/>
      <c r="AL190" t="str">
        <f>SUBSTITUTE(SUBSTITUTE(SUBSTITUTE("dpa"&amp;$B190&amp;$C190&amp;$D190&amp;$E190,".","_"),"(","_"),")","")</f>
        <v>dpa902_1_3</v>
      </c>
      <c r="AM190">
        <f>M190</f>
        <v>8</v>
      </c>
      <c r="AN190" t="str">
        <f>SUBSTITUTE(SUBSTITUTE(SUBSTITUTE("dpc"&amp;$B190&amp;$C190&amp;$D190&amp;$E190,".","_"),"(","_"),")","")</f>
        <v>dpc902_1_3</v>
      </c>
      <c r="AO190">
        <f>O190</f>
        <v>8</v>
      </c>
      <c r="AP190" t="str">
        <f>SUBSTITUTE(SUBSTITUTE(SUBSTITUTE("dch"&amp;$B190&amp;$C190&amp;$D190&amp;$E190,".","_"),"(","_"),")","")</f>
        <v>dch902_1_3</v>
      </c>
      <c r="AQ190" t="b">
        <f>IF(LEN(W190)=0,"",W190)</f>
        <v>1</v>
      </c>
      <c r="AR190" t="str">
        <f>SUBSTITUTE(SUBSTITUTE(SUBSTITUTE("dnt"&amp;$B190&amp;$C190&amp;$D190&amp;$E190,".","_"),"(","_"),")","")</f>
        <v>dnt902_1_3</v>
      </c>
      <c r="AS190" t="str">
        <f>IF(LEN(X190)=0,"",X190)</f>
        <v/>
      </c>
    </row>
    <row r="191" spans="2:45" x14ac:dyDescent="0.35">
      <c r="B191" s="412">
        <v>902.1</v>
      </c>
      <c r="C191" s="13" t="s">
        <v>260</v>
      </c>
      <c r="D191" s="13"/>
      <c r="E191" s="13"/>
      <c r="F191" s="453"/>
      <c r="G191" s="13"/>
      <c r="H191" s="453"/>
      <c r="I191" s="93"/>
      <c r="J191" s="19"/>
      <c r="K191" s="4"/>
      <c r="L191" s="814"/>
      <c r="M191" s="818"/>
      <c r="N191" s="4"/>
      <c r="O191" s="832"/>
      <c r="X191" s="817"/>
    </row>
    <row r="192" spans="2:45" x14ac:dyDescent="0.35">
      <c r="B192" s="412">
        <v>902.1</v>
      </c>
      <c r="C192" s="13" t="s">
        <v>260</v>
      </c>
      <c r="D192" s="13"/>
      <c r="E192" s="13"/>
      <c r="F192" s="453"/>
      <c r="G192" s="13"/>
      <c r="H192" s="453"/>
      <c r="I192" s="320"/>
      <c r="J192" s="133"/>
      <c r="K192" s="133"/>
      <c r="L192" s="815"/>
      <c r="M192" s="819"/>
      <c r="N192" s="133"/>
      <c r="O192" s="824"/>
      <c r="P192" s="104"/>
      <c r="Q192" s="104"/>
      <c r="R192" s="104"/>
      <c r="S192" s="104"/>
      <c r="T192" s="104"/>
      <c r="U192" s="104"/>
      <c r="V192" s="104"/>
      <c r="W192" s="104"/>
      <c r="X192" s="817"/>
    </row>
    <row r="193" spans="2:45" x14ac:dyDescent="0.35">
      <c r="B193" s="412" t="s">
        <v>3227</v>
      </c>
      <c r="C193" s="13"/>
      <c r="D193" s="13" t="s">
        <v>5101</v>
      </c>
      <c r="E193" s="13"/>
      <c r="F193" s="13"/>
      <c r="G193" s="13"/>
      <c r="H193" s="453"/>
      <c r="I193" s="117" t="s">
        <v>3227</v>
      </c>
      <c r="J193" s="118"/>
      <c r="K193" s="118"/>
      <c r="L193" s="905" t="s">
        <v>3228</v>
      </c>
      <c r="M193" s="822" t="s">
        <v>3229</v>
      </c>
      <c r="N193" s="118"/>
      <c r="O193" s="823">
        <f>MIN(11,IF(W194+W196=0,0,5+2*(W194+W196-1)))</f>
        <v>0</v>
      </c>
      <c r="P193" s="120"/>
      <c r="Q193" s="120"/>
      <c r="R193" s="120"/>
      <c r="S193" s="120"/>
      <c r="T193" s="120"/>
      <c r="U193" s="120"/>
      <c r="V193" s="120"/>
      <c r="W193" s="120" t="s">
        <v>3651</v>
      </c>
      <c r="X193" s="817"/>
      <c r="AL193" t="str">
        <f>SUBSTITUTE(SUBSTITUTE(SUBSTITUTE("dpa"&amp;$B193&amp;$C193&amp;$D193&amp;$E193,".","_"),"(","_"),")","")</f>
        <v>dpa902_1_2_</v>
      </c>
      <c r="AM193" t="str">
        <f>M193</f>
        <v>11 Max</v>
      </c>
      <c r="AN193" t="str">
        <f>SUBSTITUTE(SUBSTITUTE(SUBSTITUTE("dpc"&amp;$B193&amp;$C193&amp;$D193&amp;$E193,".","_"),"(","_"),")","")</f>
        <v>dpc902_1_2_</v>
      </c>
      <c r="AO193">
        <f>O193</f>
        <v>0</v>
      </c>
      <c r="AR193" t="str">
        <f>SUBSTITUTE(SUBSTITUTE(SUBSTITUTE("dnt"&amp;$B193&amp;$C193&amp;$D193&amp;$E193,".","_"),"(","_"),")","")</f>
        <v>dnt902_1_2_</v>
      </c>
      <c r="AS193" t="str">
        <f>IF(LEN(X193)=0,"",X193)</f>
        <v/>
      </c>
    </row>
    <row r="194" spans="2:45" x14ac:dyDescent="0.35">
      <c r="B194" s="412" t="s">
        <v>3227</v>
      </c>
      <c r="C194" s="13"/>
      <c r="D194" s="13" t="s">
        <v>5101</v>
      </c>
      <c r="E194" s="13"/>
      <c r="F194" s="13"/>
      <c r="G194" s="13"/>
      <c r="H194" s="453"/>
      <c r="I194" s="93"/>
      <c r="J194" s="4"/>
      <c r="K194" s="4"/>
      <c r="L194" s="838"/>
      <c r="M194" s="818"/>
      <c r="N194" s="4"/>
      <c r="O194" s="832"/>
      <c r="P194" t="b">
        <v>0</v>
      </c>
      <c r="Q194" t="b">
        <v>1</v>
      </c>
      <c r="R194" t="b">
        <v>0</v>
      </c>
      <c r="S194" t="b">
        <v>1</v>
      </c>
      <c r="T194" t="b">
        <v>0</v>
      </c>
      <c r="W194" s="296"/>
      <c r="X194" s="817"/>
      <c r="AP194" t="str">
        <f>SUBSTITUTE(SUBSTITUTE(SUBSTITUTE("dch"&amp;$B194&amp;$C194&amp;$D194&amp;$E194,".","_"),"(","_"),")","")</f>
        <v>dch902_1_2_</v>
      </c>
      <c r="AQ194" t="str">
        <f>IF(LEN(W194)=0,"",W194)</f>
        <v/>
      </c>
    </row>
    <row r="195" spans="2:45" ht="15" customHeight="1" x14ac:dyDescent="0.35">
      <c r="B195" s="412" t="s">
        <v>3227</v>
      </c>
      <c r="C195" s="13" t="s">
        <v>256</v>
      </c>
      <c r="D195" s="13"/>
      <c r="E195" s="13"/>
      <c r="F195" s="453"/>
      <c r="G195" s="13"/>
      <c r="H195" s="453"/>
      <c r="I195" s="93"/>
      <c r="J195" s="129" t="s">
        <v>256</v>
      </c>
      <c r="K195" s="133"/>
      <c r="L195" s="228" t="s">
        <v>3230</v>
      </c>
      <c r="M195" s="268">
        <v>5</v>
      </c>
      <c r="N195" s="4"/>
      <c r="O195" s="75"/>
      <c r="W195" t="s">
        <v>3652</v>
      </c>
      <c r="X195" s="817"/>
      <c r="AL195" t="str">
        <f>SUBSTITUTE(SUBSTITUTE(SUBSTITUTE("dpa"&amp;$B195&amp;$C195&amp;$D195&amp;$E195,".","_"),"(","_"),")","")</f>
        <v>dpa902_1_2_1</v>
      </c>
      <c r="AM195">
        <f>M195</f>
        <v>5</v>
      </c>
    </row>
    <row r="196" spans="2:45" x14ac:dyDescent="0.35">
      <c r="B196" s="412" t="s">
        <v>3227</v>
      </c>
      <c r="C196" s="13" t="s">
        <v>258</v>
      </c>
      <c r="D196" s="13"/>
      <c r="E196" s="13"/>
      <c r="F196" s="453"/>
      <c r="G196" s="13"/>
      <c r="H196" s="453"/>
      <c r="I196" s="320"/>
      <c r="J196" s="129" t="s">
        <v>258</v>
      </c>
      <c r="K196" s="133"/>
      <c r="L196" s="228" t="s">
        <v>3231</v>
      </c>
      <c r="M196" s="268">
        <v>2</v>
      </c>
      <c r="N196" s="133"/>
      <c r="O196" s="309"/>
      <c r="P196" t="b">
        <v>0</v>
      </c>
      <c r="Q196" t="b">
        <v>1</v>
      </c>
      <c r="R196" s="104" t="b">
        <v>0</v>
      </c>
      <c r="S196" s="104" t="b">
        <v>1</v>
      </c>
      <c r="T196" s="104" t="b">
        <v>0</v>
      </c>
      <c r="U196" s="104"/>
      <c r="V196" s="104"/>
      <c r="W196" s="324"/>
      <c r="X196" s="817"/>
      <c r="AL196" t="str">
        <f>SUBSTITUTE(SUBSTITUTE(SUBSTITUTE("dpa"&amp;$B196&amp;$C196&amp;$D196&amp;$E196,".","_"),"(","_"),")","")</f>
        <v>dpa902_1_2_2</v>
      </c>
      <c r="AM196">
        <f>M196</f>
        <v>2</v>
      </c>
      <c r="AP196" t="str">
        <f>SUBSTITUTE(SUBSTITUTE(SUBSTITUTE("dch"&amp;$B196&amp;$C196&amp;$D196&amp;$E196,".","_"),"(","_"),")","")</f>
        <v>dch902_1_2_2</v>
      </c>
      <c r="AQ196" t="str">
        <f>IF(LEN(W196)=0,"",W196)</f>
        <v/>
      </c>
    </row>
    <row r="197" spans="2:45" x14ac:dyDescent="0.35">
      <c r="B197" s="412" t="s">
        <v>3232</v>
      </c>
      <c r="C197" s="13"/>
      <c r="D197" s="13" t="s">
        <v>5101</v>
      </c>
      <c r="E197" s="13"/>
      <c r="F197" s="453"/>
      <c r="G197" s="13"/>
      <c r="H197" s="453"/>
      <c r="I197" s="117" t="s">
        <v>3232</v>
      </c>
      <c r="J197" s="118"/>
      <c r="K197" s="118"/>
      <c r="L197" s="905" t="s">
        <v>3233</v>
      </c>
      <c r="M197" s="822">
        <v>8</v>
      </c>
      <c r="N197" s="118"/>
      <c r="O197" s="823">
        <f>M197*S197*W197</f>
        <v>0</v>
      </c>
      <c r="P197" t="b">
        <v>0</v>
      </c>
      <c r="Q197" t="b">
        <v>1</v>
      </c>
      <c r="R197" s="120" t="b">
        <v>0</v>
      </c>
      <c r="S197" s="120" t="b">
        <v>1</v>
      </c>
      <c r="T197" s="120" t="b">
        <v>0</v>
      </c>
      <c r="U197" s="120"/>
      <c r="V197" s="120"/>
      <c r="W197" s="17"/>
      <c r="X197" s="817"/>
      <c r="AL197" t="str">
        <f>SUBSTITUTE(SUBSTITUTE(SUBSTITUTE("dpa"&amp;$B197&amp;$C197&amp;$D197&amp;$E197,".","_"),"(","_"),")","")</f>
        <v>dpa902_1_3_</v>
      </c>
      <c r="AM197">
        <f>M197</f>
        <v>8</v>
      </c>
      <c r="AN197" t="str">
        <f>SUBSTITUTE(SUBSTITUTE(SUBSTITUTE("dpc"&amp;$B197&amp;$C197&amp;$D197&amp;$E197,".","_"),"(","_"),")","")</f>
        <v>dpc902_1_3_</v>
      </c>
      <c r="AO197">
        <f>O197</f>
        <v>0</v>
      </c>
      <c r="AP197" t="str">
        <f>SUBSTITUTE(SUBSTITUTE(SUBSTITUTE("dch"&amp;$B197&amp;$C197&amp;$D197&amp;$E197,".","_"),"(","_"),")","")</f>
        <v>dch902_1_3_</v>
      </c>
      <c r="AQ197" t="str">
        <f>IF(LEN(W197)=0,"",W197)</f>
        <v/>
      </c>
      <c r="AR197" t="str">
        <f>SUBSTITUTE(SUBSTITUTE(SUBSTITUTE("dnt"&amp;$B197&amp;$C197&amp;$D197&amp;$E197,".","_"),"(","_"),")","")</f>
        <v>dnt902_1_3_</v>
      </c>
      <c r="AS197" t="str">
        <f>IF(LEN(X197)=0,"",X197)</f>
        <v/>
      </c>
    </row>
    <row r="198" spans="2:45" x14ac:dyDescent="0.35">
      <c r="B198" s="412" t="s">
        <v>3232</v>
      </c>
      <c r="C198" s="13"/>
      <c r="D198" s="13" t="s">
        <v>5101</v>
      </c>
      <c r="E198" s="13"/>
      <c r="F198" s="453"/>
      <c r="G198" s="13"/>
      <c r="H198" s="453"/>
      <c r="I198" s="93"/>
      <c r="J198" s="4"/>
      <c r="K198" s="4"/>
      <c r="L198" s="838"/>
      <c r="M198" s="818"/>
      <c r="N198" s="4"/>
      <c r="O198" s="832"/>
      <c r="X198" s="817"/>
    </row>
    <row r="199" spans="2:45" ht="15" customHeight="1" x14ac:dyDescent="0.35">
      <c r="B199" s="412" t="s">
        <v>3232</v>
      </c>
      <c r="C199" s="13"/>
      <c r="D199" s="13" t="s">
        <v>121</v>
      </c>
      <c r="E199" s="13"/>
      <c r="F199" s="453"/>
      <c r="G199" s="13"/>
      <c r="H199" s="453"/>
      <c r="I199" s="93"/>
      <c r="J199" s="4"/>
      <c r="K199" s="19" t="s">
        <v>121</v>
      </c>
      <c r="L199" s="90" t="s">
        <v>3234</v>
      </c>
      <c r="M199" s="40"/>
      <c r="N199" s="4"/>
      <c r="O199" s="75"/>
      <c r="X199" s="817"/>
    </row>
    <row r="200" spans="2:45" ht="15" customHeight="1" x14ac:dyDescent="0.35">
      <c r="B200" s="412" t="s">
        <v>3232</v>
      </c>
      <c r="C200" s="13"/>
      <c r="D200" s="13" t="s">
        <v>122</v>
      </c>
      <c r="E200" s="13"/>
      <c r="F200" s="453"/>
      <c r="G200" s="13"/>
      <c r="H200" s="453"/>
      <c r="I200" s="320"/>
      <c r="J200" s="133"/>
      <c r="K200" s="129" t="s">
        <v>122</v>
      </c>
      <c r="L200" s="228" t="s">
        <v>3235</v>
      </c>
      <c r="M200" s="268"/>
      <c r="N200" s="133"/>
      <c r="O200" s="309"/>
      <c r="P200" s="104"/>
      <c r="Q200" s="104"/>
      <c r="R200" s="104"/>
      <c r="S200" s="104"/>
      <c r="T200" s="104"/>
      <c r="U200" s="104"/>
      <c r="V200" s="104"/>
      <c r="W200" s="104"/>
      <c r="X200" s="817"/>
    </row>
    <row r="201" spans="2:45" x14ac:dyDescent="0.35">
      <c r="B201" s="412" t="s">
        <v>3236</v>
      </c>
      <c r="C201" s="13"/>
      <c r="D201" s="13"/>
      <c r="E201" s="13"/>
      <c r="F201" s="453"/>
      <c r="G201" s="13"/>
      <c r="H201" s="453"/>
      <c r="I201" s="117" t="s">
        <v>3236</v>
      </c>
      <c r="J201" s="118"/>
      <c r="K201" s="118"/>
      <c r="L201" s="325" t="s">
        <v>3237</v>
      </c>
      <c r="M201" s="282" t="s">
        <v>532</v>
      </c>
      <c r="N201" s="118"/>
      <c r="O201" s="165">
        <f>MIN(12,M202*S203*W203+M204*S205*W205)</f>
        <v>0</v>
      </c>
      <c r="P201" s="120"/>
      <c r="Q201" s="120"/>
      <c r="R201" s="120"/>
      <c r="S201" s="120"/>
      <c r="T201" s="120"/>
      <c r="U201" s="120"/>
      <c r="V201" s="120"/>
      <c r="W201" s="120"/>
      <c r="X201" s="817"/>
      <c r="AL201" t="str">
        <f>SUBSTITUTE(SUBSTITUTE(SUBSTITUTE("dpa"&amp;$B201&amp;$C201&amp;$D201&amp;$E201,".","_"),"(","_"),")","")</f>
        <v>dpa902_1_4</v>
      </c>
      <c r="AM201" t="str">
        <f>M201</f>
        <v>12 Max</v>
      </c>
      <c r="AN201" t="str">
        <f>SUBSTITUTE(SUBSTITUTE(SUBSTITUTE("dpc"&amp;$B201&amp;$C201&amp;$D201&amp;$E201,".","_"),"(","_"),")","")</f>
        <v>dpc902_1_4</v>
      </c>
      <c r="AO201">
        <f>O201</f>
        <v>0</v>
      </c>
      <c r="AR201" t="str">
        <f>SUBSTITUTE(SUBSTITUTE(SUBSTITUTE("dnt"&amp;$B201&amp;$C201&amp;$D201&amp;$E201,".","_"),"(","_"),")","")</f>
        <v>dnt902_1_4</v>
      </c>
      <c r="AS201" t="str">
        <f>IF(LEN(X201)=0,"",X201)</f>
        <v/>
      </c>
    </row>
    <row r="202" spans="2:45" ht="15" customHeight="1" x14ac:dyDescent="0.35">
      <c r="B202" s="412" t="s">
        <v>3236</v>
      </c>
      <c r="C202" s="13" t="s">
        <v>256</v>
      </c>
      <c r="D202" s="13"/>
      <c r="E202" s="13"/>
      <c r="F202" s="453"/>
      <c r="G202" s="13"/>
      <c r="H202" s="453"/>
      <c r="I202" s="93"/>
      <c r="J202" s="19" t="s">
        <v>256</v>
      </c>
      <c r="K202" s="4"/>
      <c r="L202" s="90" t="s">
        <v>3653</v>
      </c>
      <c r="M202" s="818">
        <v>2</v>
      </c>
      <c r="N202" s="4"/>
      <c r="O202" s="75"/>
      <c r="W202" t="s">
        <v>3761</v>
      </c>
      <c r="X202" s="817"/>
      <c r="AL202" t="str">
        <f>SUBSTITUTE(SUBSTITUTE(SUBSTITUTE("dpa"&amp;$B202&amp;$C202&amp;$D202&amp;$E202,".","_"),"(","_"),")","")</f>
        <v>dpa902_1_4_1</v>
      </c>
      <c r="AM202">
        <f>M202</f>
        <v>2</v>
      </c>
    </row>
    <row r="203" spans="2:45" x14ac:dyDescent="0.35">
      <c r="B203" s="412" t="s">
        <v>3236</v>
      </c>
      <c r="C203" s="13" t="s">
        <v>256</v>
      </c>
      <c r="D203" s="13"/>
      <c r="E203" s="13"/>
      <c r="F203" s="453"/>
      <c r="G203" s="13"/>
      <c r="H203" s="453"/>
      <c r="I203" s="93"/>
      <c r="J203" s="129"/>
      <c r="K203" s="133"/>
      <c r="L203" s="142" t="s">
        <v>3238</v>
      </c>
      <c r="M203" s="819"/>
      <c r="N203" s="4"/>
      <c r="O203" s="75"/>
      <c r="P203" t="b">
        <v>0</v>
      </c>
      <c r="Q203" t="b">
        <v>1</v>
      </c>
      <c r="R203" t="b">
        <v>0</v>
      </c>
      <c r="S203" t="b">
        <v>1</v>
      </c>
      <c r="T203" t="b">
        <v>0</v>
      </c>
      <c r="W203" s="297"/>
      <c r="X203" s="817"/>
      <c r="AP203" t="str">
        <f>SUBSTITUTE(SUBSTITUTE(SUBSTITUTE("dch"&amp;$B203&amp;$C203&amp;$D203&amp;$E203,".","_"),"(","_"),")","")</f>
        <v>dch902_1_4_1</v>
      </c>
      <c r="AQ203" t="str">
        <f>IF(LEN(W203)=0,"",W203)</f>
        <v/>
      </c>
    </row>
    <row r="204" spans="2:45" x14ac:dyDescent="0.35">
      <c r="B204" s="412" t="s">
        <v>3236</v>
      </c>
      <c r="C204" s="13" t="s">
        <v>258</v>
      </c>
      <c r="D204" s="13"/>
      <c r="E204" s="13"/>
      <c r="F204" s="453"/>
      <c r="G204" s="13"/>
      <c r="H204" s="453"/>
      <c r="I204" s="93"/>
      <c r="J204" s="19" t="s">
        <v>258</v>
      </c>
      <c r="K204" s="4"/>
      <c r="L204" s="90" t="s">
        <v>3239</v>
      </c>
      <c r="M204" s="818">
        <v>3</v>
      </c>
      <c r="N204" s="4"/>
      <c r="O204" s="75"/>
      <c r="X204" s="817"/>
      <c r="AL204" t="str">
        <f>SUBSTITUTE(SUBSTITUTE(SUBSTITUTE("dpa"&amp;$B204&amp;$C204&amp;$D204&amp;$E204,".","_"),"(","_"),")","")</f>
        <v>dpa902_1_4_2</v>
      </c>
      <c r="AM204">
        <f>M204</f>
        <v>3</v>
      </c>
    </row>
    <row r="205" spans="2:45" x14ac:dyDescent="0.35">
      <c r="B205" s="412" t="s">
        <v>3236</v>
      </c>
      <c r="C205" s="13" t="s">
        <v>258</v>
      </c>
      <c r="D205" s="13"/>
      <c r="E205" s="13"/>
      <c r="F205" s="453"/>
      <c r="G205" s="13"/>
      <c r="H205" s="453"/>
      <c r="I205" s="320"/>
      <c r="J205" s="133"/>
      <c r="K205" s="133"/>
      <c r="L205" s="142" t="s">
        <v>3238</v>
      </c>
      <c r="M205" s="819"/>
      <c r="N205" s="133"/>
      <c r="O205" s="309"/>
      <c r="P205" t="b">
        <v>0</v>
      </c>
      <c r="Q205" t="b">
        <v>1</v>
      </c>
      <c r="R205" s="104" t="b">
        <v>0</v>
      </c>
      <c r="S205" s="104" t="b">
        <v>1</v>
      </c>
      <c r="T205" s="104" t="b">
        <v>0</v>
      </c>
      <c r="U205" s="104"/>
      <c r="V205" s="104"/>
      <c r="W205" s="297"/>
      <c r="X205" s="817"/>
      <c r="AP205" t="str">
        <f>SUBSTITUTE(SUBSTITUTE(SUBSTITUTE("dch"&amp;$B205&amp;$C205&amp;$D205&amp;$E205,".","_"),"(","_"),")","")</f>
        <v>dch902_1_4_2</v>
      </c>
      <c r="AQ205" t="str">
        <f>IF(LEN(W205)=0,"",W205)</f>
        <v/>
      </c>
    </row>
    <row r="206" spans="2:45" x14ac:dyDescent="0.35">
      <c r="B206" s="412" t="s">
        <v>3240</v>
      </c>
      <c r="C206" s="13"/>
      <c r="D206" s="13"/>
      <c r="E206" s="13"/>
      <c r="F206" s="453"/>
      <c r="G206" s="13"/>
      <c r="H206" s="453"/>
      <c r="I206" s="30" t="s">
        <v>3240</v>
      </c>
      <c r="J206" s="4"/>
      <c r="K206" s="4"/>
      <c r="L206" s="838" t="s">
        <v>3241</v>
      </c>
      <c r="M206" s="818">
        <v>3</v>
      </c>
      <c r="N206" s="4"/>
      <c r="O206" s="832">
        <f>M206*W208*W210*W212</f>
        <v>0</v>
      </c>
      <c r="AL206" t="str">
        <f>SUBSTITUTE(SUBSTITUTE(SUBSTITUTE("dpa"&amp;$B206&amp;$C206&amp;$D206&amp;$E206,".","_"),"(","_"),")","")</f>
        <v>dpa902_1_5</v>
      </c>
      <c r="AM206">
        <f>M206</f>
        <v>3</v>
      </c>
      <c r="AN206" t="str">
        <f>SUBSTITUTE(SUBSTITUTE(SUBSTITUTE("dpc"&amp;$B206&amp;$C206&amp;$D206&amp;$E206,".","_"),"(","_"),")","")</f>
        <v>dpc902_1_5</v>
      </c>
      <c r="AO206">
        <f>O206</f>
        <v>0</v>
      </c>
    </row>
    <row r="207" spans="2:45" x14ac:dyDescent="0.35">
      <c r="B207" s="412" t="s">
        <v>3240</v>
      </c>
      <c r="C207" s="13"/>
      <c r="D207" s="13"/>
      <c r="E207" s="13"/>
      <c r="F207" s="453"/>
      <c r="G207" s="13"/>
      <c r="H207" s="453"/>
      <c r="I207" s="93"/>
      <c r="J207" s="4"/>
      <c r="K207" s="4"/>
      <c r="L207" s="838"/>
      <c r="M207" s="818"/>
      <c r="N207" s="4"/>
      <c r="O207" s="832"/>
    </row>
    <row r="208" spans="2:45" x14ac:dyDescent="0.35">
      <c r="B208" s="412" t="s">
        <v>3240</v>
      </c>
      <c r="C208" s="13" t="s">
        <v>256</v>
      </c>
      <c r="D208" s="13"/>
      <c r="E208" s="13"/>
      <c r="F208" s="453"/>
      <c r="G208" s="13"/>
      <c r="H208" s="453"/>
      <c r="I208" s="93"/>
      <c r="J208" s="19" t="s">
        <v>256</v>
      </c>
      <c r="K208" s="4"/>
      <c r="L208" s="814" t="s">
        <v>4492</v>
      </c>
      <c r="M208" s="40"/>
      <c r="N208" s="4"/>
      <c r="O208" s="75"/>
      <c r="P208" t="b">
        <v>0</v>
      </c>
      <c r="Q208" t="b">
        <v>1</v>
      </c>
      <c r="R208" t="b">
        <v>0</v>
      </c>
      <c r="S208" t="b">
        <v>1</v>
      </c>
      <c r="T208" t="b">
        <v>0</v>
      </c>
      <c r="W208" s="17"/>
      <c r="X208" s="817"/>
      <c r="AP208" t="str">
        <f>SUBSTITUTE(SUBSTITUTE(SUBSTITUTE("dch"&amp;$B208&amp;$C208&amp;$D208&amp;$E208,".","_"),"(","_"),")","")</f>
        <v>dch902_1_5_1</v>
      </c>
      <c r="AQ208" t="str">
        <f>IF(LEN(W208)=0,"",W208)</f>
        <v/>
      </c>
      <c r="AR208" t="str">
        <f>SUBSTITUTE(SUBSTITUTE(SUBSTITUTE("dnt"&amp;$B208&amp;$C208&amp;$D208&amp;$E208,".","_"),"(","_"),")","")</f>
        <v>dnt902_1_5_1</v>
      </c>
      <c r="AS208" t="str">
        <f>IF(LEN(X208)=0,"",X208)</f>
        <v/>
      </c>
    </row>
    <row r="209" spans="2:45" x14ac:dyDescent="0.35">
      <c r="B209" s="412" t="s">
        <v>3240</v>
      </c>
      <c r="C209" s="13" t="s">
        <v>256</v>
      </c>
      <c r="D209" s="13"/>
      <c r="E209" s="13"/>
      <c r="F209" s="453"/>
      <c r="G209" s="13"/>
      <c r="H209" s="453"/>
      <c r="I209" s="93"/>
      <c r="J209" s="129"/>
      <c r="K209" s="133"/>
      <c r="L209" s="815"/>
      <c r="M209" s="40"/>
      <c r="N209" s="4"/>
      <c r="O209" s="75"/>
      <c r="X209" s="817"/>
    </row>
    <row r="210" spans="2:45" x14ac:dyDescent="0.35">
      <c r="B210" s="412" t="s">
        <v>3240</v>
      </c>
      <c r="C210" s="13" t="s">
        <v>258</v>
      </c>
      <c r="D210" s="13"/>
      <c r="E210" s="13"/>
      <c r="F210" s="453"/>
      <c r="G210" s="13"/>
      <c r="H210" s="453"/>
      <c r="I210" s="93"/>
      <c r="J210" s="19" t="s">
        <v>258</v>
      </c>
      <c r="K210" s="4"/>
      <c r="L210" s="814" t="s">
        <v>3242</v>
      </c>
      <c r="M210" s="40"/>
      <c r="N210" s="4"/>
      <c r="O210" s="75"/>
      <c r="P210" t="b">
        <v>0</v>
      </c>
      <c r="Q210" t="b">
        <v>1</v>
      </c>
      <c r="R210" t="b">
        <v>0</v>
      </c>
      <c r="S210" t="b">
        <v>1</v>
      </c>
      <c r="T210" t="b">
        <v>0</v>
      </c>
      <c r="W210" s="17"/>
      <c r="X210" s="817"/>
      <c r="AP210" t="str">
        <f>SUBSTITUTE(SUBSTITUTE(SUBSTITUTE("dch"&amp;$B210&amp;$C210&amp;$D210&amp;$E210,".","_"),"(","_"),")","")</f>
        <v>dch902_1_5_2</v>
      </c>
      <c r="AQ210" t="str">
        <f>IF(LEN(W210)=0,"",W210)</f>
        <v/>
      </c>
      <c r="AR210" t="str">
        <f>SUBSTITUTE(SUBSTITUTE(SUBSTITUTE("dnt"&amp;$B210&amp;$C210&amp;$D210&amp;$E210,".","_"),"(","_"),")","")</f>
        <v>dnt902_1_5_2</v>
      </c>
      <c r="AS210" t="str">
        <f>IF(LEN(X210)=0,"",X210)</f>
        <v/>
      </c>
    </row>
    <row r="211" spans="2:45" x14ac:dyDescent="0.35">
      <c r="B211" s="412" t="s">
        <v>3240</v>
      </c>
      <c r="C211" s="13" t="s">
        <v>258</v>
      </c>
      <c r="D211" s="13"/>
      <c r="E211" s="13"/>
      <c r="F211" s="453"/>
      <c r="G211" s="13"/>
      <c r="H211" s="453"/>
      <c r="I211" s="93"/>
      <c r="J211" s="133"/>
      <c r="K211" s="133"/>
      <c r="L211" s="815"/>
      <c r="M211" s="40"/>
      <c r="N211" s="4"/>
      <c r="O211" s="75"/>
      <c r="X211" s="817"/>
    </row>
    <row r="212" spans="2:45" x14ac:dyDescent="0.35">
      <c r="B212" s="412" t="s">
        <v>3240</v>
      </c>
      <c r="C212" s="13" t="s">
        <v>260</v>
      </c>
      <c r="D212" s="13"/>
      <c r="E212" s="13"/>
      <c r="F212" s="453"/>
      <c r="G212" s="13"/>
      <c r="H212" s="453"/>
      <c r="I212" s="93"/>
      <c r="J212" s="19" t="s">
        <v>260</v>
      </c>
      <c r="K212" s="4"/>
      <c r="L212" s="814" t="s">
        <v>3243</v>
      </c>
      <c r="M212" s="40"/>
      <c r="N212" s="4"/>
      <c r="O212" s="75"/>
      <c r="P212" t="b">
        <v>0</v>
      </c>
      <c r="Q212" t="b">
        <v>1</v>
      </c>
      <c r="R212" t="b">
        <v>0</v>
      </c>
      <c r="S212" t="b">
        <v>1</v>
      </c>
      <c r="T212" t="b">
        <v>0</v>
      </c>
      <c r="W212" s="17"/>
      <c r="X212" s="817"/>
      <c r="AP212" t="str">
        <f>SUBSTITUTE(SUBSTITUTE(SUBSTITUTE("dch"&amp;$B212&amp;$C212&amp;$D212&amp;$E212,".","_"),"(","_"),")","")</f>
        <v>dch902_1_5_3</v>
      </c>
      <c r="AQ212" t="str">
        <f>IF(LEN(W212)=0,"",W212)</f>
        <v/>
      </c>
      <c r="AR212" t="str">
        <f>SUBSTITUTE(SUBSTITUTE(SUBSTITUTE("dnt"&amp;$B212&amp;$C212&amp;$D212&amp;$E212,".","_"),"(","_"),")","")</f>
        <v>dnt902_1_5_3</v>
      </c>
      <c r="AS212" t="str">
        <f>IF(LEN(X212)=0,"",X212)</f>
        <v/>
      </c>
    </row>
    <row r="213" spans="2:45" x14ac:dyDescent="0.35">
      <c r="B213" s="412" t="s">
        <v>3240</v>
      </c>
      <c r="C213" s="13" t="s">
        <v>260</v>
      </c>
      <c r="D213" s="13"/>
      <c r="E213" s="13"/>
      <c r="F213" s="453"/>
      <c r="G213" s="13"/>
      <c r="H213" s="453"/>
      <c r="I213" s="93"/>
      <c r="J213" s="4"/>
      <c r="K213" s="4"/>
      <c r="L213" s="814"/>
      <c r="M213" s="40"/>
      <c r="N213" s="4"/>
      <c r="O213" s="75"/>
      <c r="X213" s="817"/>
    </row>
    <row r="214" spans="2:45" x14ac:dyDescent="0.35">
      <c r="B214" s="412" t="s">
        <v>3240</v>
      </c>
      <c r="C214" s="13" t="s">
        <v>260</v>
      </c>
      <c r="D214" s="13"/>
      <c r="E214" s="13"/>
      <c r="F214" s="453"/>
      <c r="G214" s="13"/>
      <c r="H214" s="453"/>
      <c r="I214" s="320"/>
      <c r="J214" s="133"/>
      <c r="K214" s="133"/>
      <c r="L214" s="815"/>
      <c r="M214" s="268"/>
      <c r="N214" s="133"/>
      <c r="O214" s="309"/>
      <c r="P214" s="104"/>
      <c r="Q214" s="104"/>
      <c r="R214" s="104"/>
      <c r="S214" s="104"/>
      <c r="T214" s="104"/>
      <c r="U214" s="104"/>
      <c r="V214" s="104"/>
      <c r="W214" s="104"/>
      <c r="X214" s="817"/>
    </row>
    <row r="215" spans="2:45" x14ac:dyDescent="0.35">
      <c r="B215" s="412" t="s">
        <v>4493</v>
      </c>
      <c r="C215" s="13"/>
      <c r="D215" s="13"/>
      <c r="E215" s="13"/>
      <c r="F215" s="13"/>
      <c r="G215" s="13"/>
      <c r="H215" s="453"/>
      <c r="I215" s="402" t="s">
        <v>4493</v>
      </c>
      <c r="J215" s="412"/>
      <c r="K215" s="412"/>
      <c r="L215" s="961" t="s">
        <v>4494</v>
      </c>
      <c r="M215" s="818">
        <v>3</v>
      </c>
      <c r="N215" s="4"/>
      <c r="O215" s="832">
        <f ca="1">M215*S215*W215</f>
        <v>0</v>
      </c>
      <c r="P215" t="b">
        <v>0</v>
      </c>
      <c r="Q215" t="b">
        <v>1</v>
      </c>
      <c r="R215" t="b">
        <v>0</v>
      </c>
      <c r="S215" t="b">
        <f ca="1">AY19=INDEX(INDIRECT("ddSingleOrMulti"),2)</f>
        <v>0</v>
      </c>
      <c r="T215" t="b">
        <v>0</v>
      </c>
      <c r="W215" s="17"/>
      <c r="X215" s="817"/>
      <c r="AL215" t="str">
        <f>SUBSTITUTE(SUBSTITUTE(SUBSTITUTE("dpa"&amp;$B215&amp;$C215&amp;$D215&amp;$E215,".","_"),"(","_"),")","")</f>
        <v>dpa902_1_6</v>
      </c>
      <c r="AM215">
        <f>M215</f>
        <v>3</v>
      </c>
      <c r="AN215" t="str">
        <f>SUBSTITUTE(SUBSTITUTE(SUBSTITUTE("dpc"&amp;$B215&amp;$C215&amp;$D215&amp;$E215,".","_"),"(","_"),")","")</f>
        <v>dpc902_1_6</v>
      </c>
      <c r="AO215">
        <f ca="1">O215</f>
        <v>0</v>
      </c>
      <c r="AP215" t="str">
        <f>SUBSTITUTE(SUBSTITUTE(SUBSTITUTE("dch"&amp;$B215&amp;$C215&amp;$D215&amp;$E215,".","_"),"(","_"),")","")</f>
        <v>dch902_1_6</v>
      </c>
      <c r="AQ215" t="str">
        <f>IF(LEN(W215)=0,"",W215)</f>
        <v/>
      </c>
      <c r="AR215" t="str">
        <f>SUBSTITUTE(SUBSTITUTE(SUBSTITUTE("dnt"&amp;$B215&amp;$C215&amp;$D215&amp;$E215,".","_"),"(","_"),")","")</f>
        <v>dnt902_1_6</v>
      </c>
      <c r="AS215" t="str">
        <f>IF(LEN(X215)=0,"",X215)</f>
        <v/>
      </c>
    </row>
    <row r="216" spans="2:45" x14ac:dyDescent="0.35">
      <c r="B216" s="412" t="s">
        <v>4493</v>
      </c>
      <c r="C216" s="13"/>
      <c r="D216" s="13"/>
      <c r="E216" s="13"/>
      <c r="F216" s="13"/>
      <c r="G216" s="13"/>
      <c r="H216" s="453"/>
      <c r="I216" s="412"/>
      <c r="J216" s="412"/>
      <c r="K216" s="412"/>
      <c r="L216" s="841"/>
      <c r="M216" s="818"/>
      <c r="N216" s="4"/>
      <c r="O216" s="832"/>
      <c r="X216" s="817"/>
    </row>
    <row r="217" spans="2:45" ht="15" thickBot="1" x14ac:dyDescent="0.4">
      <c r="B217" s="412" t="s">
        <v>4493</v>
      </c>
      <c r="C217" s="13"/>
      <c r="D217" s="13"/>
      <c r="E217" s="13"/>
      <c r="F217" s="13"/>
      <c r="G217" s="13"/>
      <c r="H217" s="453"/>
      <c r="I217" s="412"/>
      <c r="J217" s="412"/>
      <c r="K217" s="412"/>
      <c r="L217" s="854"/>
      <c r="M217" s="827"/>
      <c r="N217" s="4"/>
      <c r="O217" s="833"/>
      <c r="X217" s="817"/>
    </row>
    <row r="218" spans="2:45" ht="15" thickTop="1" x14ac:dyDescent="0.35">
      <c r="B218" s="412">
        <v>902.2</v>
      </c>
      <c r="C218" s="13"/>
      <c r="D218" s="13"/>
      <c r="E218" s="13"/>
      <c r="F218" s="13"/>
      <c r="G218" s="13"/>
      <c r="H218" s="453"/>
      <c r="I218" s="106">
        <v>902.2</v>
      </c>
      <c r="J218" s="107"/>
      <c r="K218" s="107"/>
      <c r="L218" s="274" t="s">
        <v>3244</v>
      </c>
      <c r="M218" s="267"/>
      <c r="N218" s="107"/>
      <c r="O218" s="308"/>
      <c r="P218" s="59"/>
      <c r="Q218" s="59"/>
      <c r="R218" s="59"/>
      <c r="S218" s="59"/>
      <c r="T218" s="59"/>
      <c r="U218" s="59"/>
      <c r="V218" s="59"/>
      <c r="W218" s="59"/>
      <c r="X218" s="59"/>
    </row>
    <row r="219" spans="2:45" x14ac:dyDescent="0.35">
      <c r="B219" s="412" t="s">
        <v>3655</v>
      </c>
      <c r="C219" s="13"/>
      <c r="D219" s="13"/>
      <c r="E219" s="13"/>
      <c r="F219" s="13"/>
      <c r="G219" s="13"/>
      <c r="H219" s="453"/>
      <c r="I219" s="30" t="s">
        <v>3655</v>
      </c>
      <c r="J219" s="4"/>
      <c r="K219" s="4"/>
      <c r="L219" s="838" t="s">
        <v>5594</v>
      </c>
      <c r="M219" s="900" t="str">
        <f>IF(R219,"Mandatory 
(ACH50 is &lt; 5.0)","N/A")</f>
        <v>Mandatory 
(ACH50 is &lt; 5.0)</v>
      </c>
      <c r="N219" s="4"/>
      <c r="O219" s="832">
        <f ca="1">IFERROR(INDEX({3,6,7,8,10},MATCH(W219,INDIRECT(U219),0)),0)*S219</f>
        <v>3</v>
      </c>
      <c r="P219" t="b">
        <v>0</v>
      </c>
      <c r="Q219" t="b">
        <v>1</v>
      </c>
      <c r="R219" t="b">
        <f>OR(AND(S220&gt;0,S220&lt;5),AND(S221&gt;0,S221&lt;0.28))</f>
        <v>1</v>
      </c>
      <c r="S219" t="b">
        <v>1</v>
      </c>
      <c r="T219" t="b">
        <f>AND(NOT(S219),LEN(W219)&gt;0)</f>
        <v>0</v>
      </c>
      <c r="U219" t="str">
        <f>SUBSTITUTE(SUBSTITUTE(SUBSTITUTE("dd"&amp;B219&amp;C219&amp;D219&amp;E219&amp;F219,".","_"),"(","_"),")","")</f>
        <v>dd902_2_1</v>
      </c>
      <c r="W219" s="437" t="s">
        <v>256</v>
      </c>
      <c r="X219" s="817"/>
      <c r="AC219" t="b">
        <f>OR(AD219:AE219)</f>
        <v>0</v>
      </c>
      <c r="AD219" t="b">
        <f>T219</f>
        <v>0</v>
      </c>
      <c r="AE219" t="b">
        <f>AND(R219,OR(W219="Not Met",W219=""))</f>
        <v>0</v>
      </c>
      <c r="AL219" t="str">
        <f>SUBSTITUTE(SUBSTITUTE(SUBSTITUTE("dpa"&amp;$B219&amp;$C219&amp;$D219&amp;$E219,".","_"),"(","_"),")","")</f>
        <v>dpa902_2_1</v>
      </c>
      <c r="AM219" t="str">
        <f>M219</f>
        <v>Mandatory 
(ACH50 is &lt; 5.0)</v>
      </c>
      <c r="AN219" t="str">
        <f>SUBSTITUTE(SUBSTITUTE(SUBSTITUTE("dpc"&amp;$B219&amp;$C219&amp;$D219&amp;$E219,".","_"),"(","_"),")","")</f>
        <v>dpc902_2_1</v>
      </c>
      <c r="AO219">
        <f ca="1">O219</f>
        <v>3</v>
      </c>
      <c r="AP219" t="str">
        <f>SUBSTITUTE(SUBSTITUTE(SUBSTITUTE("dch"&amp;$B219&amp;$C219&amp;$D219&amp;$E219,".","_"),"(","_"),")","")</f>
        <v>dch902_2_1</v>
      </c>
      <c r="AQ219" t="str">
        <f>IF(LEN(W219)=0,"",W219)</f>
        <v>(1)</v>
      </c>
      <c r="AR219" t="str">
        <f>SUBSTITUTE(SUBSTITUTE(SUBSTITUTE("dnt"&amp;$B219&amp;$C219&amp;$D219&amp;$E219,".","_"),"(","_"),")","")</f>
        <v>dnt902_2_1</v>
      </c>
      <c r="AS219" t="str">
        <f>IF(LEN(X219)=0,"",X219)</f>
        <v/>
      </c>
    </row>
    <row r="220" spans="2:45" x14ac:dyDescent="0.35">
      <c r="B220" s="412" t="s">
        <v>3655</v>
      </c>
      <c r="C220" s="13"/>
      <c r="D220" s="13"/>
      <c r="E220" s="13"/>
      <c r="F220" s="13"/>
      <c r="G220" s="13"/>
      <c r="H220" s="453"/>
      <c r="I220" s="93"/>
      <c r="J220" s="4"/>
      <c r="K220" s="4"/>
      <c r="L220" s="838"/>
      <c r="M220" s="900"/>
      <c r="N220" s="4"/>
      <c r="O220" s="832"/>
      <c r="R220" s="242" t="s">
        <v>3762</v>
      </c>
      <c r="S220" s="298">
        <f>MAX('Ch7'!W623,'Ch7'!W105)</f>
        <v>3</v>
      </c>
      <c r="X220" s="817"/>
    </row>
    <row r="221" spans="2:45" x14ac:dyDescent="0.35">
      <c r="B221" s="412" t="s">
        <v>3655</v>
      </c>
      <c r="C221" s="13"/>
      <c r="D221" s="13"/>
      <c r="E221" s="13"/>
      <c r="F221" s="13"/>
      <c r="G221" s="13"/>
      <c r="H221" s="453"/>
      <c r="I221" s="93"/>
      <c r="J221" s="4"/>
      <c r="K221" s="4"/>
      <c r="L221" s="838"/>
      <c r="M221" s="900"/>
      <c r="N221" s="4"/>
      <c r="O221" s="832"/>
      <c r="R221" s="242" t="s">
        <v>4589</v>
      </c>
      <c r="S221" s="298">
        <f>MAX('Ch7'!W108,'Ch7'!W625)</f>
        <v>0</v>
      </c>
      <c r="X221" s="817"/>
    </row>
    <row r="222" spans="2:45" x14ac:dyDescent="0.35">
      <c r="B222" s="412" t="s">
        <v>3655</v>
      </c>
      <c r="C222" s="13"/>
      <c r="D222" s="13"/>
      <c r="E222" s="13"/>
      <c r="F222" s="13"/>
      <c r="G222" s="13"/>
      <c r="H222" s="453"/>
      <c r="I222" s="93"/>
      <c r="J222" s="4"/>
      <c r="K222" s="4"/>
      <c r="L222" s="838"/>
      <c r="M222" s="900"/>
      <c r="N222" s="4"/>
      <c r="O222" s="832"/>
      <c r="X222" s="817"/>
    </row>
    <row r="223" spans="2:45" x14ac:dyDescent="0.35">
      <c r="B223" s="412" t="s">
        <v>3655</v>
      </c>
      <c r="C223" s="13" t="s">
        <v>256</v>
      </c>
      <c r="D223" s="13"/>
      <c r="E223" s="13"/>
      <c r="F223" s="13"/>
      <c r="G223" s="13"/>
      <c r="H223" s="453"/>
      <c r="I223" s="93"/>
      <c r="J223" s="19" t="s">
        <v>256</v>
      </c>
      <c r="K223" s="4"/>
      <c r="L223" s="848" t="s">
        <v>3245</v>
      </c>
      <c r="M223" s="818">
        <v>3</v>
      </c>
      <c r="N223" s="4"/>
      <c r="O223" s="75"/>
      <c r="X223" s="817"/>
      <c r="AL223" t="str">
        <f>SUBSTITUTE(SUBSTITUTE(SUBSTITUTE("dpa"&amp;$B223&amp;$C223&amp;$D223&amp;$E223,".","_"),"(","_"),")","")</f>
        <v>dpa902_2_1_1</v>
      </c>
      <c r="AM223">
        <f>M223</f>
        <v>3</v>
      </c>
    </row>
    <row r="224" spans="2:45" x14ac:dyDescent="0.35">
      <c r="B224" s="412" t="s">
        <v>3655</v>
      </c>
      <c r="C224" s="13" t="s">
        <v>256</v>
      </c>
      <c r="D224" s="13"/>
      <c r="E224" s="13"/>
      <c r="F224" s="13"/>
      <c r="G224" s="13"/>
      <c r="H224" s="453"/>
      <c r="I224" s="93"/>
      <c r="J224" s="129"/>
      <c r="K224" s="133"/>
      <c r="L224" s="821"/>
      <c r="M224" s="819"/>
      <c r="N224" s="4"/>
      <c r="O224" s="75"/>
      <c r="X224" s="817"/>
    </row>
    <row r="225" spans="2:45" x14ac:dyDescent="0.35">
      <c r="B225" s="412" t="s">
        <v>3655</v>
      </c>
      <c r="C225" s="13" t="s">
        <v>258</v>
      </c>
      <c r="D225" s="13"/>
      <c r="E225" s="13"/>
      <c r="F225" s="13"/>
      <c r="G225" s="13"/>
      <c r="H225" s="453"/>
      <c r="I225" s="93"/>
      <c r="J225" s="19" t="s">
        <v>258</v>
      </c>
      <c r="K225" s="4"/>
      <c r="L225" s="814" t="s">
        <v>3246</v>
      </c>
      <c r="M225" s="818">
        <v>6</v>
      </c>
      <c r="N225" s="4"/>
      <c r="O225" s="75"/>
      <c r="X225" s="817"/>
      <c r="AL225" t="str">
        <f>SUBSTITUTE(SUBSTITUTE(SUBSTITUTE("dpa"&amp;$B225&amp;$C225&amp;$D225&amp;$E225,".","_"),"(","_"),")","")</f>
        <v>dpa902_2_1_2</v>
      </c>
      <c r="AM225">
        <f>M225</f>
        <v>6</v>
      </c>
    </row>
    <row r="226" spans="2:45" x14ac:dyDescent="0.35">
      <c r="B226" s="412" t="s">
        <v>3655</v>
      </c>
      <c r="C226" s="13" t="s">
        <v>258</v>
      </c>
      <c r="D226" s="13"/>
      <c r="E226" s="13"/>
      <c r="F226" s="13"/>
      <c r="G226" s="13"/>
      <c r="H226" s="453"/>
      <c r="I226" s="93"/>
      <c r="J226" s="133"/>
      <c r="K226" s="133"/>
      <c r="L226" s="815"/>
      <c r="M226" s="819"/>
      <c r="N226" s="4"/>
      <c r="O226" s="75"/>
      <c r="X226" s="817"/>
    </row>
    <row r="227" spans="2:45" x14ac:dyDescent="0.35">
      <c r="B227" s="412" t="s">
        <v>3655</v>
      </c>
      <c r="C227" s="13" t="s">
        <v>260</v>
      </c>
      <c r="D227" s="13"/>
      <c r="E227" s="13"/>
      <c r="F227" s="13"/>
      <c r="G227" s="13"/>
      <c r="H227" s="453"/>
      <c r="I227" s="93"/>
      <c r="J227" s="129" t="s">
        <v>260</v>
      </c>
      <c r="K227" s="133"/>
      <c r="L227" s="228" t="s">
        <v>3247</v>
      </c>
      <c r="M227" s="268">
        <v>7</v>
      </c>
      <c r="N227" s="4"/>
      <c r="O227" s="75"/>
      <c r="X227" s="817"/>
      <c r="AL227" t="str">
        <f>SUBSTITUTE(SUBSTITUTE(SUBSTITUTE("dpa"&amp;$B227&amp;$C227&amp;$D227&amp;$E227,".","_"),"(","_"),")","")</f>
        <v>dpa902_2_1_3</v>
      </c>
      <c r="AM227">
        <f>M227</f>
        <v>7</v>
      </c>
    </row>
    <row r="228" spans="2:45" x14ac:dyDescent="0.35">
      <c r="B228" s="412" t="s">
        <v>3655</v>
      </c>
      <c r="C228" s="13" t="s">
        <v>269</v>
      </c>
      <c r="D228" s="13"/>
      <c r="E228" s="13"/>
      <c r="F228" s="13"/>
      <c r="G228" s="13"/>
      <c r="H228" s="453"/>
      <c r="I228" s="93"/>
      <c r="J228" s="129" t="s">
        <v>269</v>
      </c>
      <c r="K228" s="133"/>
      <c r="L228" s="228" t="s">
        <v>3248</v>
      </c>
      <c r="M228" s="268">
        <v>8</v>
      </c>
      <c r="N228" s="4"/>
      <c r="O228" s="75"/>
      <c r="X228" s="817"/>
      <c r="AL228" t="str">
        <f>SUBSTITUTE(SUBSTITUTE(SUBSTITUTE("dpa"&amp;$B228&amp;$C228&amp;$D228&amp;$E228,".","_"),"(","_"),")","")</f>
        <v>dpa902_2_1_4</v>
      </c>
      <c r="AM228">
        <f>M228</f>
        <v>8</v>
      </c>
    </row>
    <row r="229" spans="2:45" x14ac:dyDescent="0.35">
      <c r="B229" s="412" t="s">
        <v>3655</v>
      </c>
      <c r="C229" s="13" t="s">
        <v>275</v>
      </c>
      <c r="D229" s="13"/>
      <c r="E229" s="13"/>
      <c r="F229" s="13"/>
      <c r="G229" s="13"/>
      <c r="H229" s="453"/>
      <c r="I229" s="93"/>
      <c r="J229" s="129" t="s">
        <v>275</v>
      </c>
      <c r="K229" s="133"/>
      <c r="L229" s="228" t="s">
        <v>4495</v>
      </c>
      <c r="M229" s="268">
        <v>10</v>
      </c>
      <c r="N229" s="4"/>
      <c r="O229" s="75"/>
      <c r="W229" s="104"/>
      <c r="X229" s="817"/>
      <c r="AL229" t="str">
        <f>SUBSTITUTE(SUBSTITUTE(SUBSTITUTE("dpa"&amp;$B229&amp;$C229&amp;$D229&amp;$E229,".","_"),"(","_"),")","")</f>
        <v>dpa902_2_1_5</v>
      </c>
      <c r="AM229">
        <f>M229</f>
        <v>10</v>
      </c>
    </row>
    <row r="230" spans="2:45" x14ac:dyDescent="0.35">
      <c r="B230" s="412" t="s">
        <v>3249</v>
      </c>
      <c r="C230" s="13"/>
      <c r="D230" s="13"/>
      <c r="E230" s="13"/>
      <c r="F230" s="13"/>
      <c r="G230" s="13"/>
      <c r="H230" s="453"/>
      <c r="I230" s="117" t="s">
        <v>3249</v>
      </c>
      <c r="J230" s="118"/>
      <c r="K230" s="118"/>
      <c r="L230" s="905" t="s">
        <v>4496</v>
      </c>
      <c r="M230" s="822">
        <v>4</v>
      </c>
      <c r="N230" s="118"/>
      <c r="O230" s="823">
        <f ca="1">M230*S230*W230</f>
        <v>0</v>
      </c>
      <c r="P230" t="b">
        <v>0</v>
      </c>
      <c r="Q230" t="b">
        <v>1</v>
      </c>
      <c r="R230" s="120" t="b">
        <v>0</v>
      </c>
      <c r="S230" s="120" t="b">
        <f ca="1">O219&gt;0</f>
        <v>1</v>
      </c>
      <c r="T230" s="120" t="b">
        <f ca="1">AND(NOT(S230),W230=TRUE)</f>
        <v>0</v>
      </c>
      <c r="U230" s="120"/>
      <c r="V230" s="120"/>
      <c r="W230" s="17"/>
      <c r="X230" s="817"/>
      <c r="AC230" t="b">
        <f ca="1">OR(AD230:AE230)</f>
        <v>0</v>
      </c>
      <c r="AD230" t="b">
        <f ca="1">T230</f>
        <v>0</v>
      </c>
      <c r="AL230" t="str">
        <f>SUBSTITUTE(SUBSTITUTE(SUBSTITUTE("dpa"&amp;$B230&amp;$C230&amp;$D230&amp;$E230,".","_"),"(","_"),")","")</f>
        <v>dpa902_2_2</v>
      </c>
      <c r="AM230">
        <f>M230</f>
        <v>4</v>
      </c>
      <c r="AN230" t="str">
        <f>SUBSTITUTE(SUBSTITUTE(SUBSTITUTE("dpc"&amp;$B230&amp;$C230&amp;$D230&amp;$E230,".","_"),"(","_"),")","")</f>
        <v>dpc902_2_2</v>
      </c>
      <c r="AO230">
        <f ca="1">O230</f>
        <v>0</v>
      </c>
      <c r="AP230" t="str">
        <f>SUBSTITUTE(SUBSTITUTE(SUBSTITUTE("dch"&amp;$B230&amp;$C230&amp;$D230&amp;$E230,".","_"),"(","_"),")","")</f>
        <v>dch902_2_2</v>
      </c>
      <c r="AQ230" t="str">
        <f>IF(LEN(W230)=0,"",W230)</f>
        <v/>
      </c>
      <c r="AR230" t="str">
        <f>SUBSTITUTE(SUBSTITUTE(SUBSTITUTE("dnt"&amp;$B230&amp;$C230&amp;$D230&amp;$E230,".","_"),"(","_"),")","")</f>
        <v>dnt902_2_2</v>
      </c>
      <c r="AS230" t="str">
        <f>IF(LEN(X230)=0,"",X230)</f>
        <v/>
      </c>
    </row>
    <row r="231" spans="2:45" x14ac:dyDescent="0.35">
      <c r="B231" s="412" t="s">
        <v>3249</v>
      </c>
      <c r="C231" s="13"/>
      <c r="D231" s="13"/>
      <c r="E231" s="13"/>
      <c r="F231" s="13"/>
      <c r="G231" s="13"/>
      <c r="H231" s="453"/>
      <c r="I231" s="320"/>
      <c r="J231" s="133"/>
      <c r="K231" s="133"/>
      <c r="L231" s="889"/>
      <c r="M231" s="819"/>
      <c r="N231" s="133"/>
      <c r="O231" s="824"/>
      <c r="P231" s="104"/>
      <c r="Q231" s="104"/>
      <c r="R231" s="104"/>
      <c r="S231" s="104"/>
      <c r="T231" s="104"/>
      <c r="U231" s="104"/>
      <c r="V231" s="104"/>
      <c r="W231" s="104"/>
      <c r="X231" s="817"/>
    </row>
    <row r="232" spans="2:45" x14ac:dyDescent="0.35">
      <c r="B232" s="412" t="s">
        <v>3250</v>
      </c>
      <c r="C232" s="13"/>
      <c r="D232" s="13"/>
      <c r="E232" s="13"/>
      <c r="F232" s="13"/>
      <c r="G232" s="13"/>
      <c r="H232" s="453"/>
      <c r="I232" s="117" t="s">
        <v>3250</v>
      </c>
      <c r="J232" s="118"/>
      <c r="K232" s="118"/>
      <c r="L232" s="905" t="s">
        <v>3251</v>
      </c>
      <c r="M232" s="822">
        <v>2</v>
      </c>
      <c r="N232" s="118"/>
      <c r="O232" s="823">
        <f>M232*S232*W232</f>
        <v>0</v>
      </c>
      <c r="P232" t="b">
        <v>0</v>
      </c>
      <c r="Q232" t="b">
        <v>1</v>
      </c>
      <c r="R232" s="120" t="b">
        <v>0</v>
      </c>
      <c r="S232" s="120" t="b">
        <f>NOT(OR(AND(AY43=INDEX(ddHDucts,2),AY39=INDEX(ddCDucts,2)),W235))</f>
        <v>1</v>
      </c>
      <c r="T232" s="120" t="b">
        <f>AND(NOT(S232),W232=TRUE)</f>
        <v>0</v>
      </c>
      <c r="U232" s="120"/>
      <c r="V232" s="120"/>
      <c r="W232" s="17"/>
      <c r="X232" s="817"/>
      <c r="AC232" t="b">
        <f>OR(AD232:AE232)</f>
        <v>0</v>
      </c>
      <c r="AD232" t="b">
        <f>T232</f>
        <v>0</v>
      </c>
      <c r="AL232" t="str">
        <f>SUBSTITUTE(SUBSTITUTE(SUBSTITUTE("dpa"&amp;$B232&amp;$C232&amp;$D232&amp;$E232,".","_"),"(","_"),")","")</f>
        <v>dpa902_2_3</v>
      </c>
      <c r="AM232">
        <f>M232</f>
        <v>2</v>
      </c>
      <c r="AN232" t="str">
        <f>SUBSTITUTE(SUBSTITUTE(SUBSTITUTE("dpc"&amp;$B232&amp;$C232&amp;$D232&amp;$E232,".","_"),"(","_"),")","")</f>
        <v>dpc902_2_3</v>
      </c>
      <c r="AO232">
        <f>O232</f>
        <v>0</v>
      </c>
      <c r="AP232" t="str">
        <f>SUBSTITUTE(SUBSTITUTE(SUBSTITUTE("dch"&amp;$B232&amp;$C232&amp;$D232&amp;$E232,".","_"),"(","_"),")","")</f>
        <v>dch902_2_3</v>
      </c>
      <c r="AQ232" t="str">
        <f>IF(LEN(W232)=0,"",W232)</f>
        <v/>
      </c>
      <c r="AR232" t="str">
        <f>SUBSTITUTE(SUBSTITUTE(SUBSTITUTE("dnt"&amp;$B232&amp;$C232&amp;$D232&amp;$E232,".","_"),"(","_"),")","")</f>
        <v>dnt902_2_3</v>
      </c>
      <c r="AS232" t="str">
        <f>IF(LEN(X232)=0,"",X232)</f>
        <v/>
      </c>
    </row>
    <row r="233" spans="2:45" x14ac:dyDescent="0.35">
      <c r="B233" s="412" t="s">
        <v>3250</v>
      </c>
      <c r="C233" s="13"/>
      <c r="D233" s="13"/>
      <c r="E233" s="13"/>
      <c r="F233" s="13"/>
      <c r="G233" s="13"/>
      <c r="H233" s="453"/>
      <c r="I233" s="93"/>
      <c r="J233" s="4"/>
      <c r="K233" s="4"/>
      <c r="L233" s="838"/>
      <c r="M233" s="818"/>
      <c r="N233" s="4"/>
      <c r="O233" s="832"/>
      <c r="X233" s="817"/>
    </row>
    <row r="234" spans="2:45" x14ac:dyDescent="0.35">
      <c r="B234" s="412" t="s">
        <v>3250</v>
      </c>
      <c r="C234" s="13"/>
      <c r="D234" s="13"/>
      <c r="E234" s="13"/>
      <c r="F234" s="13"/>
      <c r="G234" s="13"/>
      <c r="H234" s="453"/>
      <c r="I234" s="320"/>
      <c r="J234" s="133"/>
      <c r="K234" s="133"/>
      <c r="L234" s="889"/>
      <c r="M234" s="819"/>
      <c r="N234" s="133"/>
      <c r="O234" s="824"/>
      <c r="P234" s="104"/>
      <c r="Q234" s="104"/>
      <c r="R234" s="104"/>
      <c r="S234" s="104"/>
      <c r="T234" s="104"/>
      <c r="U234" s="104"/>
      <c r="V234" s="104"/>
      <c r="W234" s="104"/>
      <c r="X234" s="817"/>
    </row>
    <row r="235" spans="2:45" x14ac:dyDescent="0.35">
      <c r="B235" s="412" t="s">
        <v>3252</v>
      </c>
      <c r="C235" s="13"/>
      <c r="D235" s="13"/>
      <c r="E235" s="13"/>
      <c r="F235" s="13"/>
      <c r="G235" s="13"/>
      <c r="H235" s="453"/>
      <c r="I235" s="30" t="s">
        <v>3252</v>
      </c>
      <c r="J235" s="4"/>
      <c r="K235" s="4"/>
      <c r="L235" s="838" t="s">
        <v>3253</v>
      </c>
      <c r="M235" s="818">
        <v>3</v>
      </c>
      <c r="N235" s="4"/>
      <c r="O235" s="832">
        <f>M235*S235*W235</f>
        <v>0</v>
      </c>
      <c r="P235" t="b">
        <v>0</v>
      </c>
      <c r="Q235" t="b">
        <v>1</v>
      </c>
      <c r="R235" t="b">
        <v>0</v>
      </c>
      <c r="S235" t="b">
        <f>NOT(OR(AND(AY43=INDEX(ddHDucts,2),AY39=INDEX(ddCDucts,2)),W232))</f>
        <v>1</v>
      </c>
      <c r="T235" t="b">
        <f>AND(NOT(S235),W235=TRUE)</f>
        <v>0</v>
      </c>
      <c r="W235" s="69"/>
      <c r="X235" s="816"/>
      <c r="AC235" t="b">
        <f>OR(AD235:AE235)</f>
        <v>0</v>
      </c>
      <c r="AD235" t="b">
        <f>T235</f>
        <v>0</v>
      </c>
      <c r="AL235" t="str">
        <f>SUBSTITUTE(SUBSTITUTE(SUBSTITUTE("dpa"&amp;$B235&amp;$C235&amp;$D235&amp;$E235,".","_"),"(","_"),")","")</f>
        <v>dpa902_2_4</v>
      </c>
      <c r="AM235">
        <f>M235</f>
        <v>3</v>
      </c>
      <c r="AN235" t="str">
        <f>SUBSTITUTE(SUBSTITUTE(SUBSTITUTE("dpc"&amp;$B235&amp;$C235&amp;$D235&amp;$E235,".","_"),"(","_"),")","")</f>
        <v>dpc902_2_4</v>
      </c>
      <c r="AO235">
        <f>O235</f>
        <v>0</v>
      </c>
      <c r="AP235" t="str">
        <f>SUBSTITUTE(SUBSTITUTE(SUBSTITUTE("dch"&amp;$B235&amp;$C235&amp;$D235&amp;$E235,".","_"),"(","_"),")","")</f>
        <v>dch902_2_4</v>
      </c>
      <c r="AQ235" t="str">
        <f>IF(LEN(W235)=0,"",W235)</f>
        <v/>
      </c>
      <c r="AR235" t="str">
        <f>SUBSTITUTE(SUBSTITUTE(SUBSTITUTE("dnt"&amp;$B235&amp;$C235&amp;$D235&amp;$E235,".","_"),"(","_"),")","")</f>
        <v>dnt902_2_4</v>
      </c>
      <c r="AS235" t="str">
        <f>IF(LEN(X235)=0,"",X235)</f>
        <v/>
      </c>
    </row>
    <row r="236" spans="2:45" x14ac:dyDescent="0.35">
      <c r="B236" s="412" t="s">
        <v>3252</v>
      </c>
      <c r="C236" s="13"/>
      <c r="D236" s="13"/>
      <c r="E236" s="13"/>
      <c r="F236" s="13"/>
      <c r="G236" s="13"/>
      <c r="H236" s="453"/>
      <c r="I236" s="93"/>
      <c r="J236" s="4"/>
      <c r="K236" s="4"/>
      <c r="L236" s="838"/>
      <c r="M236" s="818"/>
      <c r="N236" s="4"/>
      <c r="O236" s="832"/>
      <c r="X236" s="817"/>
    </row>
    <row r="237" spans="2:45" ht="15" thickBot="1" x14ac:dyDescent="0.4">
      <c r="B237" s="412" t="s">
        <v>3252</v>
      </c>
      <c r="C237" s="13"/>
      <c r="D237" s="13"/>
      <c r="E237" s="13"/>
      <c r="F237" s="13"/>
      <c r="G237" s="13"/>
      <c r="H237" s="453"/>
      <c r="I237" s="294"/>
      <c r="J237" s="160"/>
      <c r="K237" s="160"/>
      <c r="L237" s="849"/>
      <c r="M237" s="827"/>
      <c r="N237" s="160"/>
      <c r="O237" s="833"/>
      <c r="P237" s="55"/>
      <c r="Q237" s="55"/>
      <c r="R237" s="55"/>
      <c r="S237" s="55"/>
      <c r="T237" s="55"/>
      <c r="U237" s="55"/>
      <c r="V237" s="55"/>
      <c r="W237" s="55"/>
      <c r="X237" s="829"/>
    </row>
    <row r="238" spans="2:45" ht="15.75" customHeight="1" thickTop="1" x14ac:dyDescent="0.35">
      <c r="B238" s="412" t="s">
        <v>4497</v>
      </c>
      <c r="C238" s="13"/>
      <c r="D238" s="13"/>
      <c r="E238" s="13"/>
      <c r="F238" s="13"/>
      <c r="G238" s="13"/>
      <c r="H238" s="453"/>
      <c r="I238" s="402" t="s">
        <v>4497</v>
      </c>
      <c r="J238" s="402"/>
      <c r="K238" s="402"/>
      <c r="L238" s="841" t="s">
        <v>4498</v>
      </c>
      <c r="M238" s="899" t="str">
        <f>IF(R238,"Mandatory","N/A")</f>
        <v>Mandatory</v>
      </c>
      <c r="N238" s="107"/>
      <c r="O238" s="308"/>
      <c r="P238" s="59" t="b">
        <v>1</v>
      </c>
      <c r="Q238" s="59" t="b">
        <v>0</v>
      </c>
      <c r="R238" s="59" t="b">
        <v>1</v>
      </c>
      <c r="S238" s="59" t="b">
        <v>1</v>
      </c>
      <c r="T238" s="59" t="b">
        <f>AND(LEN(W290)&gt;0,W290&gt;4,OR(W238="ICC IRC F",W238="N/A"))</f>
        <v>0</v>
      </c>
      <c r="U238" t="str">
        <f>SUBSTITUTE(SUBSTITUTE(SUBSTITUTE("dd"&amp;B238&amp;C238&amp;D238&amp;E238&amp;F238,".","_"),"(","_"),")","")</f>
        <v>dd902_3</v>
      </c>
      <c r="V238" s="59"/>
      <c r="W238" s="9" t="s">
        <v>3040</v>
      </c>
      <c r="X238" s="864"/>
      <c r="AC238" t="b">
        <f>OR(AD238:AE238)</f>
        <v>0</v>
      </c>
      <c r="AD238" t="b">
        <f>T238</f>
        <v>0</v>
      </c>
      <c r="AE238" t="b">
        <f>AND(R238,OR(W238="Not Met",W238=""))</f>
        <v>0</v>
      </c>
      <c r="AL238" t="str">
        <f>SUBSTITUTE(SUBSTITUTE(SUBSTITUTE("dpa"&amp;$B238&amp;$C238&amp;$D238&amp;$E238,".","_"),"(","_"),")","")</f>
        <v>dpa902_3</v>
      </c>
      <c r="AM238" t="str">
        <f>M238</f>
        <v>Mandatory</v>
      </c>
      <c r="AP238" t="str">
        <f>SUBSTITUTE(SUBSTITUTE(SUBSTITUTE("dch"&amp;$B238&amp;$C238&amp;$D238&amp;$E238,".","_"),"(","_"),")","")</f>
        <v>dch902_3</v>
      </c>
      <c r="AQ238" t="str">
        <f>IF(LEN(W238)=0,"",W238)</f>
        <v>N/A</v>
      </c>
      <c r="AR238" t="str">
        <f>SUBSTITUTE(SUBSTITUTE(SUBSTITUTE("dnt"&amp;$B238&amp;$C238&amp;$D238&amp;$E238,".","_"),"(","_"),")","")</f>
        <v>dnt902_3</v>
      </c>
      <c r="AS238" t="str">
        <f>IF(LEN(X238)=0,"",X238)</f>
        <v/>
      </c>
    </row>
    <row r="239" spans="2:45" x14ac:dyDescent="0.35">
      <c r="B239" s="412" t="s">
        <v>4497</v>
      </c>
      <c r="C239" s="13"/>
      <c r="D239" s="13"/>
      <c r="E239" s="13"/>
      <c r="F239" s="13"/>
      <c r="G239" s="13"/>
      <c r="H239" s="453"/>
      <c r="I239" s="402"/>
      <c r="J239" s="402"/>
      <c r="K239" s="402"/>
      <c r="L239" s="841"/>
      <c r="M239" s="885"/>
      <c r="N239" s="4"/>
      <c r="O239" s="75"/>
      <c r="X239" s="851"/>
    </row>
    <row r="240" spans="2:45" x14ac:dyDescent="0.35">
      <c r="B240" s="412" t="s">
        <v>4497</v>
      </c>
      <c r="C240" s="13"/>
      <c r="D240" s="13"/>
      <c r="E240" s="13"/>
      <c r="F240" s="13"/>
      <c r="G240" s="13"/>
      <c r="H240" s="453"/>
      <c r="I240" s="402"/>
      <c r="J240" s="402"/>
      <c r="K240" s="402"/>
      <c r="L240" s="841"/>
      <c r="M240" s="885"/>
      <c r="N240" s="4"/>
      <c r="O240" s="75"/>
      <c r="X240" s="851"/>
    </row>
    <row r="241" spans="2:45" x14ac:dyDescent="0.35">
      <c r="B241" s="412" t="s">
        <v>4497</v>
      </c>
      <c r="C241" s="13" t="s">
        <v>256</v>
      </c>
      <c r="D241" s="13"/>
      <c r="E241" s="13"/>
      <c r="F241" s="453"/>
      <c r="G241" s="13"/>
      <c r="H241" s="453"/>
      <c r="I241" s="402"/>
      <c r="J241" s="402" t="s">
        <v>256</v>
      </c>
      <c r="K241" s="402"/>
      <c r="L241" s="517" t="s">
        <v>3254</v>
      </c>
      <c r="M241"/>
      <c r="N241" s="4"/>
      <c r="O241" s="75">
        <f ca="1">IFERROR(INDEX({0,12,0,0},MATCH(W238,INDIRECT(U238),0)),0)*S241</f>
        <v>0</v>
      </c>
      <c r="R241" t="b">
        <f>S241</f>
        <v>0</v>
      </c>
      <c r="S241" t="b">
        <f>(BE16= 1)</f>
        <v>0</v>
      </c>
      <c r="T241" t="b">
        <f>AND(NOT(S241),LEN(W241)&gt;0)</f>
        <v>0</v>
      </c>
      <c r="X241" s="851"/>
      <c r="AN241" t="str">
        <f>SUBSTITUTE(SUBSTITUTE(SUBSTITUTE("dpc"&amp;$B241&amp;$C241&amp;$D241&amp;$E241,".","_"),"(","_"),")","")</f>
        <v>dpc902_3_1</v>
      </c>
      <c r="AO241">
        <f ca="1">O241</f>
        <v>0</v>
      </c>
    </row>
    <row r="242" spans="2:45" x14ac:dyDescent="0.35">
      <c r="B242" s="412" t="s">
        <v>4497</v>
      </c>
      <c r="C242" s="13" t="s">
        <v>256</v>
      </c>
      <c r="D242" s="13" t="s">
        <v>121</v>
      </c>
      <c r="E242" s="13"/>
      <c r="F242" s="453"/>
      <c r="G242" s="13"/>
      <c r="H242" s="453"/>
      <c r="I242" s="402"/>
      <c r="J242" s="402"/>
      <c r="K242" s="402" t="s">
        <v>121</v>
      </c>
      <c r="L242" s="517" t="s">
        <v>4499</v>
      </c>
      <c r="M242" s="459" t="str">
        <f>IF(R241,"Mandatory","N/A")</f>
        <v>N/A</v>
      </c>
      <c r="N242" s="4"/>
      <c r="O242" s="75"/>
      <c r="X242" s="851"/>
      <c r="AL242" t="str">
        <f>SUBSTITUTE(SUBSTITUTE(SUBSTITUTE("dpa"&amp;$B242&amp;$C242&amp;$D242&amp;$E242,".","_"),"(","_"),")","")</f>
        <v>dpa902_3_1_a</v>
      </c>
      <c r="AM242" t="str">
        <f>M242</f>
        <v>N/A</v>
      </c>
    </row>
    <row r="243" spans="2:45" x14ac:dyDescent="0.35">
      <c r="B243" s="412" t="s">
        <v>4497</v>
      </c>
      <c r="C243" s="13" t="s">
        <v>256</v>
      </c>
      <c r="D243" s="13" t="s">
        <v>122</v>
      </c>
      <c r="E243" s="13"/>
      <c r="F243" s="453"/>
      <c r="G243" s="13"/>
      <c r="H243" s="453"/>
      <c r="I243" s="402"/>
      <c r="J243" s="416"/>
      <c r="K243" s="416" t="s">
        <v>122</v>
      </c>
      <c r="L243" s="518" t="s">
        <v>4500</v>
      </c>
      <c r="M243" s="268">
        <v>12</v>
      </c>
      <c r="N243" s="133"/>
      <c r="O243" s="309"/>
      <c r="X243" s="851"/>
      <c r="AL243" t="str">
        <f>SUBSTITUTE(SUBSTITUTE(SUBSTITUTE("dpa"&amp;$B243&amp;$C243&amp;$D243&amp;$E243,".","_"),"(","_"),")","")</f>
        <v>dpa902_3_1_b</v>
      </c>
      <c r="AM243">
        <f>M243</f>
        <v>12</v>
      </c>
    </row>
    <row r="244" spans="2:45" x14ac:dyDescent="0.35">
      <c r="B244" s="412" t="s">
        <v>4497</v>
      </c>
      <c r="C244" s="13" t="s">
        <v>258</v>
      </c>
      <c r="D244" s="13"/>
      <c r="E244" s="13"/>
      <c r="F244" s="453"/>
      <c r="G244" s="13"/>
      <c r="H244" s="453"/>
      <c r="I244" s="402"/>
      <c r="J244" s="402" t="s">
        <v>258</v>
      </c>
      <c r="K244" s="402"/>
      <c r="L244" s="517" t="s">
        <v>3255</v>
      </c>
      <c r="M244" s="40"/>
      <c r="N244" s="4"/>
      <c r="O244" s="75">
        <f ca="1">IFERROR(INDEX({6,12,6,0},MATCH(W238,INDIRECT(U238),0)),0)*S244</f>
        <v>0</v>
      </c>
      <c r="R244" t="b">
        <v>0</v>
      </c>
      <c r="S244" t="b">
        <f>OR(BE16=2,BE16=3)</f>
        <v>1</v>
      </c>
      <c r="T244" t="b">
        <f>AND(NOT(S244),W245=TRUE)</f>
        <v>0</v>
      </c>
      <c r="X244" s="851"/>
      <c r="AN244" t="str">
        <f>SUBSTITUTE(SUBSTITUTE(SUBSTITUTE("dpc"&amp;$B244&amp;$C244&amp;$D244&amp;$E244,".","_"),"(","_"),")","")</f>
        <v>dpc902_3_2</v>
      </c>
      <c r="AO244">
        <f ca="1">O244</f>
        <v>0</v>
      </c>
    </row>
    <row r="245" spans="2:45" x14ac:dyDescent="0.35">
      <c r="B245" s="412" t="s">
        <v>4497</v>
      </c>
      <c r="C245" s="13" t="s">
        <v>258</v>
      </c>
      <c r="D245" s="13" t="s">
        <v>121</v>
      </c>
      <c r="E245" s="13"/>
      <c r="F245" s="453"/>
      <c r="G245" s="13"/>
      <c r="H245" s="453"/>
      <c r="I245" s="402"/>
      <c r="J245" s="402"/>
      <c r="K245" s="402" t="s">
        <v>121</v>
      </c>
      <c r="L245" s="517" t="s">
        <v>4499</v>
      </c>
      <c r="M245" s="40">
        <v>6</v>
      </c>
      <c r="N245" s="4"/>
      <c r="O245" s="75"/>
      <c r="X245" s="851"/>
      <c r="AL245" t="str">
        <f>SUBSTITUTE(SUBSTITUTE(SUBSTITUTE("dpa"&amp;$B245&amp;$C245&amp;$D245&amp;$E245,".","_"),"(","_"),")","")</f>
        <v>dpa902_3_2_a</v>
      </c>
      <c r="AM245">
        <f>M245</f>
        <v>6</v>
      </c>
    </row>
    <row r="246" spans="2:45" customFormat="1" x14ac:dyDescent="0.35">
      <c r="B246" s="412" t="s">
        <v>4497</v>
      </c>
      <c r="C246" s="13" t="s">
        <v>258</v>
      </c>
      <c r="D246" s="13" t="s">
        <v>122</v>
      </c>
      <c r="I246" s="416"/>
      <c r="J246" s="416"/>
      <c r="K246" s="416" t="s">
        <v>122</v>
      </c>
      <c r="L246" s="518" t="s">
        <v>4500</v>
      </c>
      <c r="M246" s="40">
        <v>12</v>
      </c>
      <c r="X246" s="816"/>
      <c r="AL246" t="str">
        <f>SUBSTITUTE(SUBSTITUTE(SUBSTITUTE("dpa"&amp;$B246&amp;$C246&amp;$D246&amp;$E246,".","_"),"(","_"),")","")</f>
        <v>dpa902_3_2_b</v>
      </c>
      <c r="AM246">
        <f>M246</f>
        <v>12</v>
      </c>
    </row>
    <row r="247" spans="2:45" customFormat="1" ht="15" customHeight="1" x14ac:dyDescent="0.35">
      <c r="B247" s="412" t="s">
        <v>4501</v>
      </c>
      <c r="C247" s="13"/>
      <c r="D247" s="13"/>
      <c r="E247" s="412"/>
      <c r="F247" s="412"/>
      <c r="I247" s="402" t="s">
        <v>4501</v>
      </c>
      <c r="J247" s="402"/>
      <c r="K247" s="402"/>
      <c r="L247" s="485" t="s">
        <v>4816</v>
      </c>
      <c r="M247" s="120"/>
      <c r="N247" s="120"/>
      <c r="O247" s="120"/>
      <c r="X247" s="36"/>
      <c r="AR247" t="str">
        <f>SUBSTITUTE(SUBSTITUTE(SUBSTITUTE("dnt"&amp;$B247&amp;$C247&amp;$D247&amp;$E247,".","_"),"(","_"),")","")</f>
        <v>dnt902_3_1</v>
      </c>
      <c r="AS247" t="str">
        <f>IF(LEN(X247)=0,"",X247)</f>
        <v/>
      </c>
    </row>
    <row r="248" spans="2:45" customFormat="1" x14ac:dyDescent="0.35">
      <c r="B248" s="412" t="s">
        <v>4503</v>
      </c>
      <c r="C248" s="13"/>
      <c r="D248" s="13"/>
      <c r="E248" s="412"/>
      <c r="F248" s="412"/>
      <c r="I248" s="402" t="s">
        <v>4503</v>
      </c>
      <c r="J248" s="402"/>
      <c r="K248" s="402"/>
      <c r="L248" s="841" t="s">
        <v>4504</v>
      </c>
    </row>
    <row r="249" spans="2:45" customFormat="1" x14ac:dyDescent="0.35">
      <c r="B249" s="412" t="s">
        <v>4503</v>
      </c>
      <c r="C249" s="13"/>
      <c r="D249" s="13"/>
      <c r="E249" s="412"/>
      <c r="F249" s="412"/>
      <c r="I249" s="402"/>
      <c r="J249" s="402"/>
      <c r="K249" s="402"/>
      <c r="L249" s="841"/>
    </row>
    <row r="250" spans="2:45" customFormat="1" x14ac:dyDescent="0.35">
      <c r="B250" s="412" t="s">
        <v>4503</v>
      </c>
      <c r="C250" s="13"/>
      <c r="D250" s="13"/>
      <c r="E250" s="412"/>
      <c r="F250" s="412"/>
      <c r="I250" s="402"/>
      <c r="J250" s="402"/>
      <c r="K250" s="402"/>
      <c r="L250" s="841"/>
    </row>
    <row r="251" spans="2:45" customFormat="1" x14ac:dyDescent="0.35">
      <c r="B251" s="412" t="s">
        <v>4503</v>
      </c>
      <c r="C251" s="13"/>
      <c r="D251" s="13"/>
      <c r="E251" s="412"/>
      <c r="F251" s="412"/>
      <c r="I251" s="402"/>
      <c r="J251" s="402"/>
      <c r="K251" s="402"/>
      <c r="L251" s="841"/>
    </row>
    <row r="252" spans="2:45" customFormat="1" x14ac:dyDescent="0.35">
      <c r="B252" s="412" t="s">
        <v>4503</v>
      </c>
      <c r="C252" s="13"/>
      <c r="D252" s="13"/>
      <c r="E252" s="412"/>
      <c r="F252" s="412"/>
      <c r="I252" s="402"/>
      <c r="J252" s="402"/>
      <c r="K252" s="402"/>
      <c r="L252" s="841"/>
    </row>
    <row r="253" spans="2:45" customFormat="1" x14ac:dyDescent="0.35">
      <c r="B253" s="412" t="s">
        <v>4503</v>
      </c>
      <c r="C253" s="13"/>
      <c r="D253" s="13"/>
      <c r="E253" s="412"/>
      <c r="F253" s="412"/>
      <c r="I253" s="402"/>
      <c r="J253" s="402"/>
      <c r="K253" s="402"/>
      <c r="L253" s="841"/>
    </row>
    <row r="254" spans="2:45" customFormat="1" x14ac:dyDescent="0.35">
      <c r="B254" s="412" t="s">
        <v>4503</v>
      </c>
      <c r="C254" s="13"/>
      <c r="D254" s="13"/>
      <c r="E254" s="412"/>
      <c r="F254" s="412"/>
      <c r="I254" s="402"/>
      <c r="J254" s="402"/>
      <c r="K254" s="402"/>
      <c r="L254" s="841"/>
    </row>
    <row r="255" spans="2:45" customFormat="1" x14ac:dyDescent="0.35">
      <c r="B255" s="412" t="s">
        <v>4503</v>
      </c>
      <c r="C255" s="13"/>
      <c r="D255" s="13"/>
      <c r="E255" s="412"/>
      <c r="F255" s="412"/>
      <c r="I255" s="416"/>
      <c r="J255" s="416"/>
      <c r="K255" s="416"/>
      <c r="L255" s="962"/>
    </row>
    <row r="256" spans="2:45" customFormat="1" x14ac:dyDescent="0.35">
      <c r="B256" s="412" t="s">
        <v>4505</v>
      </c>
      <c r="C256" s="13"/>
      <c r="D256" s="13"/>
      <c r="E256" s="412"/>
      <c r="F256" s="412"/>
      <c r="I256" s="424" t="s">
        <v>4505</v>
      </c>
      <c r="J256" s="424"/>
      <c r="K256" s="424"/>
      <c r="L256" s="961" t="s">
        <v>4506</v>
      </c>
    </row>
    <row r="257" spans="2:12" customFormat="1" x14ac:dyDescent="0.35">
      <c r="B257" s="412" t="s">
        <v>4505</v>
      </c>
      <c r="C257" s="13"/>
      <c r="D257" s="13"/>
      <c r="E257" s="412"/>
      <c r="F257" s="412"/>
      <c r="I257" s="402"/>
      <c r="J257" s="402"/>
      <c r="K257" s="402"/>
      <c r="L257" s="841"/>
    </row>
    <row r="258" spans="2:12" customFormat="1" x14ac:dyDescent="0.35">
      <c r="B258" s="412" t="s">
        <v>4505</v>
      </c>
      <c r="C258" s="13"/>
      <c r="D258" s="13"/>
      <c r="E258" s="412"/>
      <c r="F258" s="412"/>
      <c r="I258" s="402"/>
      <c r="J258" s="402"/>
      <c r="K258" s="402"/>
      <c r="L258" s="841"/>
    </row>
    <row r="259" spans="2:12" customFormat="1" x14ac:dyDescent="0.35">
      <c r="B259" s="412" t="s">
        <v>4505</v>
      </c>
      <c r="C259" s="13"/>
      <c r="D259" s="13"/>
      <c r="E259" s="412"/>
      <c r="F259" s="412"/>
      <c r="I259" s="402"/>
      <c r="J259" s="402"/>
      <c r="K259" s="402"/>
      <c r="L259" s="841"/>
    </row>
    <row r="260" spans="2:12" customFormat="1" x14ac:dyDescent="0.35">
      <c r="B260" s="412" t="s">
        <v>4505</v>
      </c>
      <c r="C260" s="13"/>
      <c r="D260" s="13"/>
      <c r="E260" s="412"/>
      <c r="F260" s="412"/>
      <c r="I260" s="402"/>
      <c r="J260" s="402"/>
      <c r="K260" s="402"/>
      <c r="L260" s="841"/>
    </row>
    <row r="261" spans="2:12" customFormat="1" x14ac:dyDescent="0.35">
      <c r="B261" s="412" t="s">
        <v>4505</v>
      </c>
      <c r="C261" s="13"/>
      <c r="D261" s="13"/>
      <c r="E261" s="412"/>
      <c r="F261" s="412"/>
      <c r="I261" s="402"/>
      <c r="J261" s="402"/>
      <c r="K261" s="402"/>
      <c r="L261" s="841"/>
    </row>
    <row r="262" spans="2:12" customFormat="1" x14ac:dyDescent="0.35">
      <c r="B262" s="412" t="s">
        <v>4505</v>
      </c>
      <c r="C262" s="13"/>
      <c r="D262" s="13"/>
      <c r="E262" s="412"/>
      <c r="F262" s="412"/>
      <c r="I262" s="416"/>
      <c r="J262" s="416"/>
      <c r="K262" s="416"/>
      <c r="L262" s="962"/>
    </row>
    <row r="263" spans="2:12" customFormat="1" x14ac:dyDescent="0.35">
      <c r="B263" s="412" t="s">
        <v>4507</v>
      </c>
      <c r="C263" s="13"/>
      <c r="D263" s="13"/>
      <c r="E263" s="412"/>
      <c r="F263" s="412"/>
      <c r="I263" s="424" t="s">
        <v>4507</v>
      </c>
      <c r="J263" s="424"/>
      <c r="K263" s="424"/>
      <c r="L263" s="961" t="s">
        <v>4508</v>
      </c>
    </row>
    <row r="264" spans="2:12" customFormat="1" x14ac:dyDescent="0.35">
      <c r="B264" s="412" t="s">
        <v>4507</v>
      </c>
      <c r="C264" s="13"/>
      <c r="D264" s="13"/>
      <c r="E264" s="412"/>
      <c r="F264" s="412"/>
      <c r="I264" s="402"/>
      <c r="J264" s="402"/>
      <c r="K264" s="402"/>
      <c r="L264" s="841"/>
    </row>
    <row r="265" spans="2:12" customFormat="1" x14ac:dyDescent="0.35">
      <c r="B265" s="412" t="s">
        <v>4507</v>
      </c>
      <c r="C265" s="13"/>
      <c r="D265" s="13"/>
      <c r="E265" s="412"/>
      <c r="F265" s="412"/>
      <c r="I265" s="402"/>
      <c r="J265" s="402"/>
      <c r="K265" s="402"/>
      <c r="L265" s="841"/>
    </row>
    <row r="266" spans="2:12" customFormat="1" x14ac:dyDescent="0.35">
      <c r="B266" s="412" t="s">
        <v>4507</v>
      </c>
      <c r="C266" s="13"/>
      <c r="D266" s="13"/>
      <c r="E266" s="412"/>
      <c r="F266" s="412"/>
      <c r="I266" s="402"/>
      <c r="J266" s="402"/>
      <c r="K266" s="402"/>
      <c r="L266" s="841"/>
    </row>
    <row r="267" spans="2:12" customFormat="1" x14ac:dyDescent="0.35">
      <c r="B267" s="412" t="s">
        <v>4507</v>
      </c>
      <c r="C267" s="13"/>
      <c r="D267" s="13"/>
      <c r="E267" s="412"/>
      <c r="F267" s="412"/>
      <c r="I267" s="402"/>
      <c r="J267" s="402"/>
      <c r="K267" s="402"/>
      <c r="L267" s="841"/>
    </row>
    <row r="268" spans="2:12" customFormat="1" x14ac:dyDescent="0.35">
      <c r="B268" s="412" t="s">
        <v>4507</v>
      </c>
      <c r="C268" s="13"/>
      <c r="D268" s="13"/>
      <c r="E268" s="412"/>
      <c r="F268" s="412"/>
      <c r="I268" s="402"/>
      <c r="J268" s="402"/>
      <c r="K268" s="402"/>
      <c r="L268" s="841"/>
    </row>
    <row r="269" spans="2:12" customFormat="1" x14ac:dyDescent="0.35">
      <c r="B269" s="412" t="s">
        <v>4507</v>
      </c>
      <c r="C269" s="13"/>
      <c r="D269" s="13"/>
      <c r="E269" s="412"/>
      <c r="F269" s="412"/>
      <c r="I269" s="416"/>
      <c r="J269" s="416"/>
      <c r="K269" s="416"/>
      <c r="L269" s="962"/>
    </row>
    <row r="270" spans="2:12" customFormat="1" x14ac:dyDescent="0.35">
      <c r="B270" s="412" t="s">
        <v>4509</v>
      </c>
      <c r="C270" s="13"/>
      <c r="D270" s="13"/>
      <c r="E270" s="412"/>
      <c r="F270" s="412"/>
      <c r="I270" s="424" t="s">
        <v>4509</v>
      </c>
      <c r="J270" s="424"/>
      <c r="K270" s="424"/>
      <c r="L270" s="961" t="s">
        <v>4510</v>
      </c>
    </row>
    <row r="271" spans="2:12" customFormat="1" x14ac:dyDescent="0.35">
      <c r="B271" s="412" t="s">
        <v>4509</v>
      </c>
      <c r="C271" s="13"/>
      <c r="D271" s="13"/>
      <c r="E271" s="412"/>
      <c r="F271" s="412"/>
      <c r="I271" s="402"/>
      <c r="J271" s="402"/>
      <c r="K271" s="402"/>
      <c r="L271" s="841"/>
    </row>
    <row r="272" spans="2:12" customFormat="1" x14ac:dyDescent="0.35">
      <c r="B272" s="412" t="s">
        <v>4509</v>
      </c>
      <c r="C272" s="13"/>
      <c r="D272" s="13"/>
      <c r="E272" s="412"/>
      <c r="F272" s="412"/>
      <c r="I272" s="402"/>
      <c r="J272" s="402"/>
      <c r="K272" s="402"/>
      <c r="L272" s="841"/>
    </row>
    <row r="273" spans="2:45" customFormat="1" x14ac:dyDescent="0.35">
      <c r="B273" s="412" t="s">
        <v>4509</v>
      </c>
      <c r="C273" s="13"/>
      <c r="D273" s="13"/>
      <c r="E273" s="412"/>
      <c r="F273" s="412"/>
      <c r="I273" s="402"/>
      <c r="J273" s="402"/>
      <c r="K273" s="402"/>
      <c r="L273" s="841"/>
    </row>
    <row r="274" spans="2:45" customFormat="1" x14ac:dyDescent="0.35">
      <c r="B274" s="412" t="s">
        <v>4509</v>
      </c>
      <c r="C274" s="13"/>
      <c r="D274" s="13"/>
      <c r="E274" s="412"/>
      <c r="F274" s="412"/>
      <c r="I274" s="416"/>
      <c r="J274" s="416"/>
      <c r="K274" s="416"/>
      <c r="L274" s="962"/>
    </row>
    <row r="275" spans="2:45" customFormat="1" x14ac:dyDescent="0.35">
      <c r="B275" s="412" t="s">
        <v>4511</v>
      </c>
      <c r="C275" s="13"/>
      <c r="D275" s="13"/>
      <c r="E275" s="412"/>
      <c r="F275" s="412"/>
      <c r="I275" s="424" t="s">
        <v>4511</v>
      </c>
      <c r="J275" s="424"/>
      <c r="K275" s="424"/>
      <c r="L275" s="961" t="s">
        <v>4512</v>
      </c>
    </row>
    <row r="276" spans="2:45" customFormat="1" x14ac:dyDescent="0.35">
      <c r="B276" s="412" t="s">
        <v>4511</v>
      </c>
      <c r="C276" s="13"/>
      <c r="D276" s="13"/>
      <c r="E276" s="412"/>
      <c r="F276" s="412"/>
      <c r="I276" s="416"/>
      <c r="J276" s="416"/>
      <c r="K276" s="416"/>
      <c r="L276" s="962"/>
    </row>
    <row r="277" spans="2:45" customFormat="1" x14ac:dyDescent="0.35">
      <c r="B277" s="412" t="s">
        <v>4513</v>
      </c>
      <c r="C277" s="13"/>
      <c r="D277" s="13"/>
      <c r="E277" s="412"/>
      <c r="F277" s="412"/>
      <c r="I277" s="424" t="s">
        <v>4513</v>
      </c>
      <c r="J277" s="424"/>
      <c r="K277" s="424"/>
      <c r="L277" s="961" t="s">
        <v>4514</v>
      </c>
    </row>
    <row r="278" spans="2:45" customFormat="1" x14ac:dyDescent="0.35">
      <c r="B278" s="412" t="s">
        <v>4513</v>
      </c>
      <c r="C278" s="13"/>
      <c r="D278" s="13"/>
      <c r="E278" s="412"/>
      <c r="F278" s="412"/>
      <c r="I278" s="402"/>
      <c r="J278" s="402"/>
      <c r="K278" s="402"/>
      <c r="L278" s="841"/>
    </row>
    <row r="279" spans="2:45" customFormat="1" x14ac:dyDescent="0.35">
      <c r="B279" s="412" t="s">
        <v>4513</v>
      </c>
      <c r="C279" s="13"/>
      <c r="D279" s="13"/>
      <c r="E279" s="412"/>
      <c r="F279" s="412"/>
      <c r="I279" s="402"/>
      <c r="J279" s="402"/>
      <c r="K279" s="402"/>
      <c r="L279" s="841"/>
    </row>
    <row r="280" spans="2:45" customFormat="1" x14ac:dyDescent="0.35">
      <c r="B280" s="412" t="s">
        <v>4513</v>
      </c>
      <c r="C280" s="13"/>
      <c r="D280" s="13"/>
      <c r="E280" s="412"/>
      <c r="F280" s="412"/>
      <c r="I280" s="416"/>
      <c r="J280" s="416"/>
      <c r="K280" s="416"/>
      <c r="L280" s="962"/>
    </row>
    <row r="281" spans="2:45" customFormat="1" x14ac:dyDescent="0.35">
      <c r="B281" s="412" t="s">
        <v>4515</v>
      </c>
      <c r="C281" s="13"/>
      <c r="D281" s="13"/>
      <c r="E281" s="412"/>
      <c r="F281" s="412"/>
      <c r="I281" s="424" t="s">
        <v>4515</v>
      </c>
      <c r="J281" s="424"/>
      <c r="K281" s="424"/>
      <c r="L281" s="961" t="s">
        <v>4516</v>
      </c>
    </row>
    <row r="282" spans="2:45" customFormat="1" x14ac:dyDescent="0.35">
      <c r="B282" s="412" t="s">
        <v>4515</v>
      </c>
      <c r="C282" s="13"/>
      <c r="D282" s="13"/>
      <c r="E282" s="412"/>
      <c r="F282" s="412"/>
      <c r="I282" s="402"/>
      <c r="J282" s="402"/>
      <c r="K282" s="402"/>
      <c r="L282" s="841"/>
    </row>
    <row r="283" spans="2:45" customFormat="1" x14ac:dyDescent="0.35">
      <c r="B283" s="412" t="s">
        <v>4515</v>
      </c>
      <c r="C283" s="13"/>
      <c r="D283" s="13"/>
      <c r="E283" s="412"/>
      <c r="F283" s="412"/>
      <c r="I283" s="416"/>
      <c r="J283" s="416"/>
      <c r="K283" s="416"/>
      <c r="L283" s="962"/>
      <c r="M283" s="104"/>
    </row>
    <row r="284" spans="2:45" customFormat="1" x14ac:dyDescent="0.35">
      <c r="B284" s="412" t="s">
        <v>4517</v>
      </c>
      <c r="C284" s="13"/>
      <c r="D284" s="13"/>
      <c r="E284" s="412"/>
      <c r="F284" s="412"/>
      <c r="I284" s="402" t="s">
        <v>4517</v>
      </c>
      <c r="J284" s="402"/>
      <c r="K284" s="402"/>
      <c r="L284" s="485" t="s">
        <v>4518</v>
      </c>
      <c r="M284" s="459" t="str">
        <f>IF(R288,"Mandatory","N/A")</f>
        <v>N/A</v>
      </c>
      <c r="N284" s="120"/>
      <c r="O284" s="120"/>
      <c r="P284" s="120"/>
      <c r="Q284" s="120"/>
      <c r="R284" s="120"/>
      <c r="S284" s="120"/>
      <c r="T284" s="120"/>
      <c r="AL284" t="str">
        <f>SUBSTITUTE(SUBSTITUTE(SUBSTITUTE("dpa"&amp;$B284&amp;$C284&amp;$D284&amp;$E284,".","_"),"(","_"),")","")</f>
        <v>dpa902_3_2</v>
      </c>
      <c r="AM284" t="str">
        <f>M284</f>
        <v>N/A</v>
      </c>
    </row>
    <row r="285" spans="2:45" customFormat="1" x14ac:dyDescent="0.35">
      <c r="B285" s="412" t="s">
        <v>4517</v>
      </c>
      <c r="C285" s="13"/>
      <c r="D285" s="13"/>
      <c r="E285" s="412"/>
      <c r="F285" s="412"/>
      <c r="I285" s="402"/>
      <c r="J285" s="402"/>
      <c r="K285" s="402"/>
      <c r="L285" s="485" t="s">
        <v>4519</v>
      </c>
      <c r="W285" t="s">
        <v>4533</v>
      </c>
    </row>
    <row r="286" spans="2:45" customFormat="1" x14ac:dyDescent="0.35">
      <c r="B286" s="412" t="s">
        <v>4517</v>
      </c>
      <c r="C286" s="13"/>
      <c r="D286" s="13"/>
      <c r="E286" s="412"/>
      <c r="F286" s="412"/>
      <c r="I286" s="402"/>
      <c r="J286" s="402"/>
      <c r="K286" s="402"/>
      <c r="L286" s="957" t="s">
        <v>4520</v>
      </c>
      <c r="P286" t="b">
        <v>1</v>
      </c>
      <c r="Q286" t="b">
        <v>1</v>
      </c>
      <c r="R286" t="b">
        <v>0</v>
      </c>
      <c r="S286" t="b">
        <v>1</v>
      </c>
      <c r="T286" t="b">
        <f>AND(NOT(S286),W286=TRUE)</f>
        <v>0</v>
      </c>
      <c r="W286" s="17"/>
      <c r="AC286" t="b">
        <f>OR(AD286:AE286)</f>
        <v>0</v>
      </c>
      <c r="AD286" t="b">
        <f>T286</f>
        <v>0</v>
      </c>
      <c r="AP286" t="str">
        <f>SUBSTITUTE(SUBSTITUTE(SUBSTITUTE("dch"&amp;$B286&amp;$C286&amp;$D286&amp;$E286,".","_"),"(","_"),")","")</f>
        <v>dch902_3_2</v>
      </c>
      <c r="AQ286" t="str">
        <f>IF(LEN(W286)=0,"",W286)</f>
        <v/>
      </c>
    </row>
    <row r="287" spans="2:45" customFormat="1" x14ac:dyDescent="0.35">
      <c r="B287" s="412" t="s">
        <v>4517</v>
      </c>
      <c r="C287" s="13"/>
      <c r="D287" s="13"/>
      <c r="E287" s="412"/>
      <c r="F287" s="412"/>
      <c r="I287" s="402"/>
      <c r="J287" s="402"/>
      <c r="K287" s="402"/>
      <c r="L287" s="957"/>
    </row>
    <row r="288" spans="2:45" customFormat="1" x14ac:dyDescent="0.35">
      <c r="B288" s="412" t="s">
        <v>4517</v>
      </c>
      <c r="C288" s="412" t="s">
        <v>256</v>
      </c>
      <c r="D288" s="412"/>
      <c r="E288" s="412"/>
      <c r="F288" s="412"/>
      <c r="I288" s="402"/>
      <c r="J288" s="402" t="s">
        <v>256</v>
      </c>
      <c r="K288" s="402"/>
      <c r="L288" s="517" t="s">
        <v>4521</v>
      </c>
      <c r="M288" s="489">
        <v>8</v>
      </c>
      <c r="O288" s="41">
        <f>M288*S288*W288</f>
        <v>0</v>
      </c>
      <c r="P288" t="b">
        <v>0</v>
      </c>
      <c r="Q288" t="b">
        <v>1</v>
      </c>
      <c r="R288" t="b">
        <f>AND(S288, NOT(W286=TRUE),BE16= 1)</f>
        <v>0</v>
      </c>
      <c r="S288" t="b">
        <v>1</v>
      </c>
      <c r="T288" t="b">
        <f>AND(NOT(S288),W288=TRUE)</f>
        <v>0</v>
      </c>
      <c r="W288" s="17"/>
      <c r="X288" s="817"/>
      <c r="AC288" t="b">
        <f>OR(AD288:AE288)</f>
        <v>0</v>
      </c>
      <c r="AD288" t="b">
        <f>T288</f>
        <v>0</v>
      </c>
      <c r="AE288" t="b">
        <f>AND(R288,NOT(W288))</f>
        <v>0</v>
      </c>
      <c r="AL288" t="str">
        <f>SUBSTITUTE(SUBSTITUTE(SUBSTITUTE("dpa"&amp;$B288&amp;$C288&amp;$D288&amp;$E288,".","_"),"(","_"),")","")</f>
        <v>dpa902_3_2_1</v>
      </c>
      <c r="AM288">
        <f>M288</f>
        <v>8</v>
      </c>
      <c r="AN288" t="str">
        <f>SUBSTITUTE(SUBSTITUTE(SUBSTITUTE("dpc"&amp;$B288&amp;$C288&amp;$D288&amp;$E288,".","_"),"(","_"),")","")</f>
        <v>dpc902_3_2_1</v>
      </c>
      <c r="AO288">
        <f>O288</f>
        <v>0</v>
      </c>
      <c r="AP288" t="str">
        <f>SUBSTITUTE(SUBSTITUTE(SUBSTITUTE("dch"&amp;$B288&amp;$C288&amp;$D288&amp;$E288,".","_"),"(","_"),")","")</f>
        <v>dch902_3_2_1</v>
      </c>
      <c r="AQ288" t="str">
        <f>IF(LEN(W288)=0,"",W288)</f>
        <v/>
      </c>
      <c r="AR288" t="str">
        <f>SUBSTITUTE(SUBSTITUTE(SUBSTITUTE("dnt"&amp;$B288&amp;$C288&amp;$D288&amp;$E288,".","_"),"(","_"),")","")</f>
        <v>dnt902_3_2_1</v>
      </c>
      <c r="AS288" t="str">
        <f>IF(LEN(X288)=0,"",X288)</f>
        <v/>
      </c>
    </row>
    <row r="289" spans="2:43" customFormat="1" x14ac:dyDescent="0.35">
      <c r="B289" s="412" t="s">
        <v>4517</v>
      </c>
      <c r="C289" s="412" t="s">
        <v>256</v>
      </c>
      <c r="D289" s="412" t="s">
        <v>121</v>
      </c>
      <c r="E289" s="412"/>
      <c r="F289" s="412"/>
      <c r="I289" s="402"/>
      <c r="J289" s="402"/>
      <c r="K289" s="402" t="s">
        <v>121</v>
      </c>
      <c r="L289" s="517" t="s">
        <v>4522</v>
      </c>
      <c r="M289" s="489"/>
      <c r="O289" s="41"/>
      <c r="W289" t="s">
        <v>5620</v>
      </c>
      <c r="X289" s="817"/>
    </row>
    <row r="290" spans="2:43" customFormat="1" x14ac:dyDescent="0.35">
      <c r="B290" s="412" t="s">
        <v>4517</v>
      </c>
      <c r="C290" s="412" t="s">
        <v>256</v>
      </c>
      <c r="D290" s="412" t="s">
        <v>122</v>
      </c>
      <c r="E290" s="412"/>
      <c r="F290" s="412"/>
      <c r="I290" s="402"/>
      <c r="J290" s="402"/>
      <c r="K290" s="402" t="s">
        <v>122</v>
      </c>
      <c r="L290" s="957" t="s">
        <v>4523</v>
      </c>
      <c r="P290" t="b">
        <v>0</v>
      </c>
      <c r="Q290" t="b">
        <v>1</v>
      </c>
      <c r="R290" t="b">
        <f>S290</f>
        <v>0</v>
      </c>
      <c r="S290" t="b">
        <f>(W288=TRUE)</f>
        <v>0</v>
      </c>
      <c r="T290" t="b">
        <f>AND(NOT(S290),LEN(W290)&gt;0)</f>
        <v>0</v>
      </c>
      <c r="W290" s="644"/>
      <c r="X290" s="817"/>
      <c r="AC290" t="b">
        <f>OR(AD290:AE290)</f>
        <v>0</v>
      </c>
      <c r="AD290" t="b">
        <f>T290</f>
        <v>0</v>
      </c>
      <c r="AE290" t="b">
        <f>AND(R290,OR(W290="Not Met",W290=""))</f>
        <v>0</v>
      </c>
      <c r="AP290" t="str">
        <f>SUBSTITUTE(SUBSTITUTE(SUBSTITUTE("dch"&amp;$B290&amp;$C290&amp;$D290&amp;$E290,".","_"),"(","_"),")","")</f>
        <v>dch902_3_2_1_b</v>
      </c>
      <c r="AQ290" t="str">
        <f>IF(LEN(W290)=0,"",W290)</f>
        <v/>
      </c>
    </row>
    <row r="291" spans="2:43" customFormat="1" x14ac:dyDescent="0.35">
      <c r="B291" s="412" t="s">
        <v>4517</v>
      </c>
      <c r="C291" s="412" t="s">
        <v>256</v>
      </c>
      <c r="D291" s="412" t="s">
        <v>122</v>
      </c>
      <c r="E291" s="412"/>
      <c r="F291" s="412"/>
      <c r="I291" s="402"/>
      <c r="J291" s="402"/>
      <c r="K291" s="402"/>
      <c r="L291" s="957"/>
      <c r="X291" s="817"/>
    </row>
    <row r="292" spans="2:43" customFormat="1" x14ac:dyDescent="0.35">
      <c r="B292" s="412" t="s">
        <v>4517</v>
      </c>
      <c r="C292" s="412" t="s">
        <v>256</v>
      </c>
      <c r="D292" s="412" t="s">
        <v>123</v>
      </c>
      <c r="E292" s="412"/>
      <c r="F292" s="412"/>
      <c r="I292" s="402"/>
      <c r="J292" s="402"/>
      <c r="K292" s="402" t="s">
        <v>123</v>
      </c>
      <c r="L292" s="957" t="s">
        <v>4524</v>
      </c>
      <c r="X292" s="817"/>
    </row>
    <row r="293" spans="2:43" customFormat="1" x14ac:dyDescent="0.35">
      <c r="B293" s="412" t="s">
        <v>4517</v>
      </c>
      <c r="C293" s="412" t="s">
        <v>256</v>
      </c>
      <c r="D293" s="412" t="s">
        <v>123</v>
      </c>
      <c r="E293" s="412"/>
      <c r="F293" s="412"/>
      <c r="I293" s="402"/>
      <c r="J293" s="402"/>
      <c r="K293" s="402"/>
      <c r="L293" s="957"/>
      <c r="X293" s="817"/>
    </row>
    <row r="294" spans="2:43" customFormat="1" x14ac:dyDescent="0.35">
      <c r="B294" s="412" t="s">
        <v>4517</v>
      </c>
      <c r="C294" s="412" t="s">
        <v>256</v>
      </c>
      <c r="D294" s="401" t="s">
        <v>401</v>
      </c>
      <c r="E294" s="412"/>
      <c r="F294" s="401"/>
      <c r="I294" s="402"/>
      <c r="J294" s="402"/>
      <c r="K294" s="31" t="s">
        <v>401</v>
      </c>
      <c r="L294" s="957" t="s">
        <v>4525</v>
      </c>
      <c r="X294" s="817"/>
    </row>
    <row r="295" spans="2:43" customFormat="1" x14ac:dyDescent="0.35">
      <c r="B295" s="412" t="s">
        <v>4517</v>
      </c>
      <c r="C295" s="412" t="s">
        <v>256</v>
      </c>
      <c r="D295" s="401" t="s">
        <v>401</v>
      </c>
      <c r="E295" s="412"/>
      <c r="F295" s="401"/>
      <c r="I295" s="402"/>
      <c r="J295" s="402"/>
      <c r="K295" s="31"/>
      <c r="L295" s="957"/>
      <c r="X295" s="817"/>
    </row>
    <row r="296" spans="2:43" customFormat="1" x14ac:dyDescent="0.35">
      <c r="B296" s="412" t="s">
        <v>4517</v>
      </c>
      <c r="C296" s="412" t="s">
        <v>256</v>
      </c>
      <c r="D296" s="401" t="s">
        <v>539</v>
      </c>
      <c r="E296" s="412"/>
      <c r="F296" s="401"/>
      <c r="I296" s="402"/>
      <c r="J296" s="402"/>
      <c r="K296" s="31" t="s">
        <v>539</v>
      </c>
      <c r="L296" s="957" t="s">
        <v>4893</v>
      </c>
      <c r="X296" s="817"/>
    </row>
    <row r="297" spans="2:43" customFormat="1" x14ac:dyDescent="0.35">
      <c r="B297" s="412" t="s">
        <v>4517</v>
      </c>
      <c r="C297" s="412" t="s">
        <v>256</v>
      </c>
      <c r="D297" s="401" t="s">
        <v>539</v>
      </c>
      <c r="E297" s="412"/>
      <c r="F297" s="401"/>
      <c r="I297" s="402"/>
      <c r="J297" s="402"/>
      <c r="K297" s="31"/>
      <c r="L297" s="957"/>
      <c r="X297" s="817"/>
    </row>
    <row r="298" spans="2:43" customFormat="1" x14ac:dyDescent="0.35">
      <c r="B298" s="412" t="s">
        <v>4517</v>
      </c>
      <c r="C298" s="412" t="s">
        <v>256</v>
      </c>
      <c r="D298" s="401" t="s">
        <v>539</v>
      </c>
      <c r="E298" s="412"/>
      <c r="F298" s="401"/>
      <c r="I298" s="402"/>
      <c r="J298" s="402"/>
      <c r="K298" s="31"/>
      <c r="L298" s="957"/>
      <c r="X298" s="817"/>
    </row>
    <row r="299" spans="2:43" customFormat="1" x14ac:dyDescent="0.35">
      <c r="B299" s="412" t="s">
        <v>4517</v>
      </c>
      <c r="C299" s="412" t="s">
        <v>256</v>
      </c>
      <c r="D299" s="401" t="s">
        <v>604</v>
      </c>
      <c r="E299" s="412"/>
      <c r="F299" s="401"/>
      <c r="I299" s="402"/>
      <c r="J299" s="402"/>
      <c r="K299" s="31" t="s">
        <v>604</v>
      </c>
      <c r="L299" s="957" t="s">
        <v>4526</v>
      </c>
      <c r="X299" s="817"/>
    </row>
    <row r="300" spans="2:43" customFormat="1" x14ac:dyDescent="0.35">
      <c r="B300" s="412" t="s">
        <v>4517</v>
      </c>
      <c r="C300" s="412" t="s">
        <v>256</v>
      </c>
      <c r="D300" s="401" t="s">
        <v>604</v>
      </c>
      <c r="E300" s="412"/>
      <c r="F300" s="401"/>
      <c r="I300" s="402"/>
      <c r="J300" s="402"/>
      <c r="K300" s="31"/>
      <c r="L300" s="957"/>
      <c r="X300" s="817"/>
    </row>
    <row r="301" spans="2:43" customFormat="1" x14ac:dyDescent="0.35">
      <c r="B301" s="412" t="s">
        <v>4517</v>
      </c>
      <c r="C301" s="412" t="s">
        <v>256</v>
      </c>
      <c r="D301" s="412" t="s">
        <v>606</v>
      </c>
      <c r="E301" s="412"/>
      <c r="F301" s="412"/>
      <c r="I301" s="402"/>
      <c r="J301" s="402"/>
      <c r="K301" s="402" t="s">
        <v>606</v>
      </c>
      <c r="L301" s="957" t="s">
        <v>4527</v>
      </c>
      <c r="X301" s="817"/>
    </row>
    <row r="302" spans="2:43" customFormat="1" x14ac:dyDescent="0.35">
      <c r="B302" s="412" t="s">
        <v>4517</v>
      </c>
      <c r="C302" s="412" t="s">
        <v>256</v>
      </c>
      <c r="D302" s="412" t="s">
        <v>606</v>
      </c>
      <c r="E302" s="412"/>
      <c r="F302" s="412"/>
      <c r="I302" s="402"/>
      <c r="J302" s="402"/>
      <c r="K302" s="402"/>
      <c r="L302" s="957"/>
      <c r="X302" s="817"/>
    </row>
    <row r="303" spans="2:43" customFormat="1" x14ac:dyDescent="0.35">
      <c r="B303" s="412" t="s">
        <v>4517</v>
      </c>
      <c r="C303" s="412" t="s">
        <v>256</v>
      </c>
      <c r="D303" s="412" t="s">
        <v>608</v>
      </c>
      <c r="E303" s="412"/>
      <c r="F303" s="412"/>
      <c r="I303" s="402"/>
      <c r="J303" s="402"/>
      <c r="K303" s="402" t="s">
        <v>608</v>
      </c>
      <c r="L303" s="957" t="s">
        <v>4528</v>
      </c>
      <c r="X303" s="817"/>
    </row>
    <row r="304" spans="2:43" customFormat="1" x14ac:dyDescent="0.35">
      <c r="B304" s="412" t="s">
        <v>4517</v>
      </c>
      <c r="C304" s="412" t="s">
        <v>256</v>
      </c>
      <c r="D304" s="412" t="s">
        <v>608</v>
      </c>
      <c r="E304" s="412"/>
      <c r="F304" s="412"/>
      <c r="I304" s="402"/>
      <c r="J304" s="402"/>
      <c r="K304" s="402"/>
      <c r="L304" s="957"/>
      <c r="X304" s="817"/>
    </row>
    <row r="305" spans="1:45" x14ac:dyDescent="0.35">
      <c r="A305"/>
      <c r="B305" s="412" t="s">
        <v>4517</v>
      </c>
      <c r="C305" s="412" t="s">
        <v>256</v>
      </c>
      <c r="D305" s="412" t="s">
        <v>843</v>
      </c>
      <c r="E305" s="412"/>
      <c r="F305" s="412"/>
      <c r="G305"/>
      <c r="H305"/>
      <c r="I305" s="402"/>
      <c r="J305" s="402"/>
      <c r="K305" s="402" t="s">
        <v>843</v>
      </c>
      <c r="L305" s="957" t="s">
        <v>4529</v>
      </c>
      <c r="M305"/>
      <c r="X305" s="817"/>
    </row>
    <row r="306" spans="1:45" x14ac:dyDescent="0.35">
      <c r="A306"/>
      <c r="B306" s="412" t="s">
        <v>4517</v>
      </c>
      <c r="C306" s="412" t="s">
        <v>256</v>
      </c>
      <c r="D306" s="412" t="s">
        <v>843</v>
      </c>
      <c r="E306" s="412"/>
      <c r="F306" s="412"/>
      <c r="G306"/>
      <c r="H306"/>
      <c r="I306" s="402"/>
      <c r="J306" s="402"/>
      <c r="K306" s="402"/>
      <c r="L306" s="957"/>
      <c r="M306"/>
      <c r="X306" s="817"/>
    </row>
    <row r="307" spans="1:45" x14ac:dyDescent="0.35">
      <c r="A307"/>
      <c r="B307" s="412" t="s">
        <v>4517</v>
      </c>
      <c r="C307" s="412" t="s">
        <v>256</v>
      </c>
      <c r="D307" s="412" t="s">
        <v>843</v>
      </c>
      <c r="E307" s="412"/>
      <c r="F307" s="412"/>
      <c r="G307"/>
      <c r="H307"/>
      <c r="I307" s="402"/>
      <c r="J307" s="402"/>
      <c r="K307" s="402"/>
      <c r="L307" s="957"/>
      <c r="M307"/>
      <c r="X307" s="817"/>
    </row>
    <row r="308" spans="1:45" x14ac:dyDescent="0.35">
      <c r="A308"/>
      <c r="B308" s="412" t="s">
        <v>4517</v>
      </c>
      <c r="C308" s="412" t="s">
        <v>256</v>
      </c>
      <c r="D308" s="412" t="s">
        <v>844</v>
      </c>
      <c r="E308" s="412"/>
      <c r="F308" s="412"/>
      <c r="G308"/>
      <c r="H308"/>
      <c r="I308" s="402"/>
      <c r="J308" s="402"/>
      <c r="K308" s="402" t="s">
        <v>844</v>
      </c>
      <c r="L308" s="957" t="s">
        <v>4530</v>
      </c>
      <c r="M308"/>
      <c r="X308" s="817"/>
    </row>
    <row r="309" spans="1:45" x14ac:dyDescent="0.35">
      <c r="A309"/>
      <c r="B309" s="412" t="s">
        <v>4517</v>
      </c>
      <c r="C309" s="412" t="s">
        <v>256</v>
      </c>
      <c r="D309" s="412" t="s">
        <v>844</v>
      </c>
      <c r="E309" s="412"/>
      <c r="F309" s="412"/>
      <c r="G309"/>
      <c r="H309"/>
      <c r="I309" s="402"/>
      <c r="J309" s="416"/>
      <c r="K309" s="416"/>
      <c r="L309" s="960"/>
      <c r="M309" s="104"/>
      <c r="N309" s="104"/>
      <c r="O309" s="104"/>
      <c r="X309" s="817"/>
    </row>
    <row r="310" spans="1:45" ht="15" thickBot="1" x14ac:dyDescent="0.4">
      <c r="A310"/>
      <c r="B310" s="412" t="s">
        <v>4517</v>
      </c>
      <c r="C310" s="412" t="s">
        <v>258</v>
      </c>
      <c r="D310" s="412"/>
      <c r="E310" s="412"/>
      <c r="F310" s="4"/>
      <c r="G310" s="4"/>
      <c r="H310"/>
      <c r="I310" s="402"/>
      <c r="J310" s="402" t="s">
        <v>258</v>
      </c>
      <c r="K310" s="402"/>
      <c r="L310" s="957" t="s">
        <v>4531</v>
      </c>
      <c r="M310" s="956">
        <v>6</v>
      </c>
      <c r="N310" s="160"/>
      <c r="O310" s="963">
        <f>M310*S290*AND(LEN(W290)&gt;0,W290&lt;=2)</f>
        <v>0</v>
      </c>
      <c r="X310" s="817"/>
      <c r="AL310" t="str">
        <f>SUBSTITUTE(SUBSTITUTE(SUBSTITUTE("dpa"&amp;$B310&amp;$C310&amp;$D310&amp;$E310,".","_"),"(","_"),")","")</f>
        <v>dpa902_3_2_2</v>
      </c>
      <c r="AM310">
        <f>M310</f>
        <v>6</v>
      </c>
      <c r="AN310" t="str">
        <f>SUBSTITUTE(SUBSTITUTE(SUBSTITUTE("dpc"&amp;$B310&amp;$C310&amp;$D310&amp;$E310,".","_"),"(","_"),")","")</f>
        <v>dpc902_3_2_2</v>
      </c>
      <c r="AO310">
        <f>O310</f>
        <v>0</v>
      </c>
      <c r="AR310" t="str">
        <f>SUBSTITUTE(SUBSTITUTE(SUBSTITUTE("dnt"&amp;$B310&amp;$C310&amp;$D310&amp;$E310,".","_"),"(","_"),")","")</f>
        <v>dnt902_3_2_2</v>
      </c>
      <c r="AS310" t="str">
        <f>IF(LEN(X310)=0,"",X310)</f>
        <v/>
      </c>
    </row>
    <row r="311" spans="1:45" ht="15.5" thickTop="1" thickBot="1" x14ac:dyDescent="0.4">
      <c r="A311"/>
      <c r="B311" s="412" t="s">
        <v>4517</v>
      </c>
      <c r="C311" s="412" t="s">
        <v>258</v>
      </c>
      <c r="D311" s="412"/>
      <c r="E311" s="412"/>
      <c r="F311" s="412"/>
      <c r="G311"/>
      <c r="H311"/>
      <c r="I311" s="402"/>
      <c r="J311" s="402"/>
      <c r="K311" s="402"/>
      <c r="L311" s="957"/>
      <c r="M311" s="940"/>
      <c r="O311" s="863"/>
      <c r="P311" s="55"/>
      <c r="Q311" s="55"/>
      <c r="R311" s="55"/>
      <c r="S311" s="55"/>
      <c r="T311" s="55"/>
      <c r="X311" s="817"/>
    </row>
    <row r="312" spans="1:45" ht="15" thickTop="1" x14ac:dyDescent="0.35">
      <c r="B312" s="412" t="s">
        <v>4534</v>
      </c>
      <c r="C312" s="13"/>
      <c r="D312" s="13"/>
      <c r="E312" s="412"/>
      <c r="F312" s="412"/>
      <c r="G312" s="13"/>
      <c r="H312" s="453"/>
      <c r="I312" s="106">
        <v>902.4</v>
      </c>
      <c r="J312" s="107"/>
      <c r="K312" s="107"/>
      <c r="L312" s="837" t="s">
        <v>3256</v>
      </c>
      <c r="M312" s="830">
        <v>3</v>
      </c>
      <c r="N312" s="107"/>
      <c r="O312" s="831">
        <f>M312*S314*IFERROR(OR(W314,W316,W319),0)</f>
        <v>3</v>
      </c>
      <c r="P312" s="59"/>
      <c r="Q312" s="59"/>
      <c r="R312" s="59"/>
      <c r="S312" s="59"/>
      <c r="T312" s="59"/>
      <c r="U312" s="59"/>
      <c r="V312" s="59"/>
      <c r="W312" s="59"/>
      <c r="X312" s="59"/>
      <c r="AL312" t="str">
        <f>SUBSTITUTE(SUBSTITUTE(SUBSTITUTE("dpa"&amp;$B312&amp;$C312&amp;$D312&amp;$E312,".","_"),"(","_"),")","")</f>
        <v>dpa902_4</v>
      </c>
      <c r="AM312">
        <f>M312</f>
        <v>3</v>
      </c>
      <c r="AN312" t="str">
        <f>SUBSTITUTE(SUBSTITUTE(SUBSTITUTE("dpc"&amp;$B312&amp;$C312&amp;$D312&amp;$E312,".","_"),"(","_"),")","")</f>
        <v>dpc902_4</v>
      </c>
      <c r="AO312">
        <f>O312</f>
        <v>3</v>
      </c>
    </row>
    <row r="313" spans="1:45" x14ac:dyDescent="0.35">
      <c r="B313" s="412" t="s">
        <v>4534</v>
      </c>
      <c r="C313" s="13"/>
      <c r="D313" s="13"/>
      <c r="E313" s="412"/>
      <c r="F313" s="412"/>
      <c r="G313" s="13"/>
      <c r="H313" s="453"/>
      <c r="I313" s="93"/>
      <c r="J313" s="4"/>
      <c r="K313" s="4"/>
      <c r="L313" s="838"/>
      <c r="M313" s="818"/>
      <c r="N313" s="4"/>
      <c r="O313" s="832"/>
    </row>
    <row r="314" spans="1:45" x14ac:dyDescent="0.35">
      <c r="B314" s="412" t="s">
        <v>4534</v>
      </c>
      <c r="C314" s="412" t="s">
        <v>256</v>
      </c>
      <c r="D314" s="412"/>
      <c r="E314" s="13"/>
      <c r="F314" s="412"/>
      <c r="G314" s="13"/>
      <c r="H314" s="453"/>
      <c r="I314" s="93"/>
      <c r="J314" s="19" t="s">
        <v>256</v>
      </c>
      <c r="K314" s="4"/>
      <c r="L314" s="814" t="s">
        <v>3257</v>
      </c>
      <c r="M314" s="40"/>
      <c r="N314" s="4"/>
      <c r="O314" s="75"/>
      <c r="P314" t="b">
        <v>1</v>
      </c>
      <c r="Q314" t="b">
        <v>0</v>
      </c>
      <c r="R314" t="b">
        <v>0</v>
      </c>
      <c r="S314" t="b">
        <v>1</v>
      </c>
      <c r="T314" t="b">
        <v>0</v>
      </c>
      <c r="W314" s="17" t="b">
        <v>1</v>
      </c>
      <c r="X314" s="817"/>
      <c r="AP314" t="str">
        <f>SUBSTITUTE(SUBSTITUTE(SUBSTITUTE("dch"&amp;$B314&amp;$C314&amp;$D314&amp;$E314,".","_"),"(","_"),")","")</f>
        <v>dch902_4_1</v>
      </c>
      <c r="AQ314" t="b">
        <f>IF(LEN(W314)=0,"",W314)</f>
        <v>1</v>
      </c>
      <c r="AR314" t="str">
        <f>SUBSTITUTE(SUBSTITUTE(SUBSTITUTE("dnt"&amp;$B314&amp;$C314&amp;$D314&amp;$E314,".","_"),"(","_"),")","")</f>
        <v>dnt902_4_1</v>
      </c>
      <c r="AS314" t="str">
        <f>IF(LEN(X314)=0,"",X314)</f>
        <v/>
      </c>
    </row>
    <row r="315" spans="1:45" x14ac:dyDescent="0.35">
      <c r="B315" s="412" t="s">
        <v>4534</v>
      </c>
      <c r="C315" s="412" t="s">
        <v>256</v>
      </c>
      <c r="D315" s="412"/>
      <c r="E315" s="13"/>
      <c r="F315" s="412"/>
      <c r="G315" s="13"/>
      <c r="H315" s="453"/>
      <c r="I315" s="93"/>
      <c r="J315" s="129"/>
      <c r="K315" s="133"/>
      <c r="L315" s="815"/>
      <c r="M315" s="40"/>
      <c r="N315" s="4"/>
      <c r="O315" s="75"/>
      <c r="X315" s="817"/>
    </row>
    <row r="316" spans="1:45" x14ac:dyDescent="0.35">
      <c r="B316" s="412" t="s">
        <v>4534</v>
      </c>
      <c r="C316" s="412" t="s">
        <v>258</v>
      </c>
      <c r="D316" s="412"/>
      <c r="E316" s="13"/>
      <c r="F316" s="412"/>
      <c r="G316" s="13"/>
      <c r="H316" s="453"/>
      <c r="I316" s="93"/>
      <c r="J316" s="19" t="s">
        <v>258</v>
      </c>
      <c r="K316" s="4"/>
      <c r="L316" s="814" t="s">
        <v>3258</v>
      </c>
      <c r="M316" s="40"/>
      <c r="N316" s="4"/>
      <c r="O316" s="75"/>
      <c r="P316" t="b">
        <v>0</v>
      </c>
      <c r="Q316" t="b">
        <v>1</v>
      </c>
      <c r="R316" t="b">
        <v>0</v>
      </c>
      <c r="S316" t="b">
        <v>1</v>
      </c>
      <c r="T316" t="b">
        <v>0</v>
      </c>
      <c r="W316" s="17"/>
      <c r="X316" s="817"/>
      <c r="AP316" t="str">
        <f>SUBSTITUTE(SUBSTITUTE(SUBSTITUTE("dch"&amp;$B316&amp;$C316&amp;$D316&amp;$E316,".","_"),"(","_"),")","")</f>
        <v>dch902_4_2</v>
      </c>
      <c r="AQ316" t="str">
        <f>IF(LEN(W316)=0,"",W316)</f>
        <v/>
      </c>
      <c r="AR316" t="str">
        <f>SUBSTITUTE(SUBSTITUTE(SUBSTITUTE("dnt"&amp;$B316&amp;$C316&amp;$D316&amp;$E316,".","_"),"(","_"),")","")</f>
        <v>dnt902_4_2</v>
      </c>
      <c r="AS316" t="str">
        <f>IF(LEN(X316)=0,"",X316)</f>
        <v/>
      </c>
    </row>
    <row r="317" spans="1:45" x14ac:dyDescent="0.35">
      <c r="B317" s="412" t="s">
        <v>4534</v>
      </c>
      <c r="C317" s="412" t="s">
        <v>258</v>
      </c>
      <c r="D317" s="412"/>
      <c r="E317" s="13"/>
      <c r="F317" s="412"/>
      <c r="G317" s="13"/>
      <c r="H317" s="453"/>
      <c r="I317" s="93"/>
      <c r="J317" s="4"/>
      <c r="K317" s="4"/>
      <c r="L317" s="814"/>
      <c r="M317" s="40"/>
      <c r="N317" s="4"/>
      <c r="O317" s="75"/>
      <c r="X317" s="817"/>
    </row>
    <row r="318" spans="1:45" x14ac:dyDescent="0.35">
      <c r="B318" s="412" t="s">
        <v>4534</v>
      </c>
      <c r="C318" s="412" t="s">
        <v>258</v>
      </c>
      <c r="D318" s="412"/>
      <c r="E318" s="13"/>
      <c r="F318" s="412"/>
      <c r="G318" s="13"/>
      <c r="H318" s="453"/>
      <c r="I318" s="93"/>
      <c r="J318" s="133"/>
      <c r="K318" s="133"/>
      <c r="L318" s="815"/>
      <c r="M318" s="40"/>
      <c r="N318" s="4"/>
      <c r="O318" s="75"/>
      <c r="X318" s="817"/>
    </row>
    <row r="319" spans="1:45" x14ac:dyDescent="0.35">
      <c r="B319" s="412" t="s">
        <v>4534</v>
      </c>
      <c r="C319" s="412" t="s">
        <v>260</v>
      </c>
      <c r="D319" s="412"/>
      <c r="E319" s="13"/>
      <c r="F319" s="412"/>
      <c r="G319" s="13"/>
      <c r="H319" s="453"/>
      <c r="I319" s="93"/>
      <c r="J319" s="402" t="s">
        <v>260</v>
      </c>
      <c r="K319" s="412"/>
      <c r="L319" s="957" t="s">
        <v>4536</v>
      </c>
      <c r="M319" s="40"/>
      <c r="N319" s="4"/>
      <c r="O319" s="75"/>
      <c r="P319" t="b">
        <v>1</v>
      </c>
      <c r="Q319" t="b">
        <v>0</v>
      </c>
      <c r="R319" t="b">
        <v>0</v>
      </c>
      <c r="S319" t="b">
        <v>1</v>
      </c>
      <c r="T319" t="b">
        <v>0</v>
      </c>
      <c r="W319" s="17"/>
      <c r="X319" s="817"/>
      <c r="AP319" t="str">
        <f>SUBSTITUTE(SUBSTITUTE(SUBSTITUTE("dch"&amp;$B319&amp;$C319&amp;$D319&amp;$E319,".","_"),"(","_"),")","")</f>
        <v>dch902_4_3</v>
      </c>
      <c r="AQ319" t="str">
        <f>IF(LEN(W319)=0,"",W319)</f>
        <v/>
      </c>
      <c r="AR319" t="str">
        <f>SUBSTITUTE(SUBSTITUTE(SUBSTITUTE("dnt"&amp;$B319&amp;$C319&amp;$D319&amp;$E319,".","_"),"(","_"),")","")</f>
        <v>dnt902_4_3</v>
      </c>
      <c r="AS319" t="str">
        <f>IF(LEN(X319)=0,"",X319)</f>
        <v/>
      </c>
    </row>
    <row r="320" spans="1:45" x14ac:dyDescent="0.35">
      <c r="B320" s="412" t="s">
        <v>4534</v>
      </c>
      <c r="C320" s="412" t="s">
        <v>260</v>
      </c>
      <c r="D320" s="412"/>
      <c r="E320" s="13"/>
      <c r="F320" s="412"/>
      <c r="G320" s="13"/>
      <c r="H320" s="453"/>
      <c r="I320" s="93"/>
      <c r="J320" s="412"/>
      <c r="K320" s="412"/>
      <c r="L320" s="957"/>
      <c r="M320" s="40"/>
      <c r="N320" s="4"/>
      <c r="O320" s="75"/>
      <c r="X320" s="817"/>
    </row>
    <row r="321" spans="2:45" ht="15" thickBot="1" x14ac:dyDescent="0.4">
      <c r="B321" s="412" t="s">
        <v>4534</v>
      </c>
      <c r="C321" s="412" t="s">
        <v>260</v>
      </c>
      <c r="D321" s="412"/>
      <c r="E321" s="13"/>
      <c r="F321" s="412"/>
      <c r="G321" s="13"/>
      <c r="H321" s="453"/>
      <c r="I321" s="93"/>
      <c r="J321" s="412"/>
      <c r="K321" s="412"/>
      <c r="L321" s="957"/>
      <c r="M321" s="40"/>
      <c r="N321" s="4"/>
      <c r="O321" s="75"/>
      <c r="X321" s="817"/>
    </row>
    <row r="322" spans="2:45" ht="15" thickTop="1" x14ac:dyDescent="0.35">
      <c r="B322" s="412" t="s">
        <v>4535</v>
      </c>
      <c r="C322" s="13"/>
      <c r="D322" s="13"/>
      <c r="E322" s="412"/>
      <c r="F322" s="412"/>
      <c r="G322" s="13"/>
      <c r="H322" s="453"/>
      <c r="I322" s="106">
        <v>902.5</v>
      </c>
      <c r="J322" s="107"/>
      <c r="K322" s="107"/>
      <c r="L322" s="946" t="s">
        <v>3259</v>
      </c>
      <c r="M322" s="830">
        <v>3</v>
      </c>
      <c r="N322" s="107"/>
      <c r="O322" s="831">
        <f>M322*S322*W322</f>
        <v>0</v>
      </c>
      <c r="P322" t="b">
        <v>1</v>
      </c>
      <c r="Q322" t="b">
        <v>1</v>
      </c>
      <c r="R322" s="59" t="b">
        <v>0</v>
      </c>
      <c r="S322" s="59" t="b">
        <v>1</v>
      </c>
      <c r="T322" s="59" t="b">
        <v>0</v>
      </c>
      <c r="U322" s="59"/>
      <c r="V322" s="59"/>
      <c r="W322" s="236"/>
      <c r="X322" s="840"/>
      <c r="AL322" t="str">
        <f>SUBSTITUTE(SUBSTITUTE(SUBSTITUTE("dpa"&amp;$B322&amp;$C322&amp;$D322&amp;$E322,".","_"),"(","_"),")","")</f>
        <v>dpa902_5</v>
      </c>
      <c r="AM322">
        <f>M322</f>
        <v>3</v>
      </c>
      <c r="AN322" t="str">
        <f>SUBSTITUTE(SUBSTITUTE(SUBSTITUTE("dpc"&amp;$B322&amp;$C322&amp;$D322&amp;$E322,".","_"),"(","_"),")","")</f>
        <v>dpc902_5</v>
      </c>
      <c r="AO322">
        <f>O322</f>
        <v>0</v>
      </c>
      <c r="AP322" t="str">
        <f>SUBSTITUTE(SUBSTITUTE(SUBSTITUTE("dch"&amp;$B322&amp;$C322&amp;$D322&amp;$E322,".","_"),"(","_"),")","")</f>
        <v>dch902_5</v>
      </c>
      <c r="AQ322" t="str">
        <f>IF(LEN(W322)=0,"",W322)</f>
        <v/>
      </c>
      <c r="AR322" t="str">
        <f>SUBSTITUTE(SUBSTITUTE(SUBSTITUTE("dnt"&amp;$B322&amp;$C322&amp;$D322&amp;$E322,".","_"),"(","_"),")","")</f>
        <v>dnt902_5</v>
      </c>
      <c r="AS322" t="str">
        <f>IF(LEN(X322)=0,"",X322)</f>
        <v/>
      </c>
    </row>
    <row r="323" spans="2:45" ht="15" thickBot="1" x14ac:dyDescent="0.4">
      <c r="B323" s="412" t="s">
        <v>4535</v>
      </c>
      <c r="C323" s="13"/>
      <c r="D323" s="13"/>
      <c r="E323" s="412"/>
      <c r="F323" s="412"/>
      <c r="G323" s="13"/>
      <c r="H323" s="453"/>
      <c r="I323" s="114"/>
      <c r="J323" s="160"/>
      <c r="K323" s="160"/>
      <c r="L323" s="947"/>
      <c r="M323" s="827"/>
      <c r="N323" s="160"/>
      <c r="O323" s="833"/>
      <c r="P323" s="55"/>
      <c r="Q323" s="55"/>
      <c r="R323" s="55"/>
      <c r="S323" s="55"/>
      <c r="T323" s="55"/>
      <c r="U323" s="55"/>
      <c r="V323" s="55"/>
      <c r="W323" s="55"/>
      <c r="X323" s="829"/>
    </row>
    <row r="324" spans="2:45" ht="15" thickTop="1" x14ac:dyDescent="0.35">
      <c r="B324" s="412">
        <v>902.6</v>
      </c>
      <c r="C324" s="13"/>
      <c r="D324" s="13"/>
      <c r="E324" s="13"/>
      <c r="F324" s="13"/>
      <c r="G324" s="13"/>
      <c r="H324" s="453"/>
      <c r="I324" s="30">
        <v>902.6</v>
      </c>
      <c r="J324" s="4"/>
      <c r="K324" s="4"/>
      <c r="L324" s="838" t="s">
        <v>3260</v>
      </c>
      <c r="M324" s="885" t="str">
        <f>IF(R324,"Mandatory","N/A")</f>
        <v>Mandatory</v>
      </c>
      <c r="N324" s="4"/>
      <c r="O324" s="75"/>
      <c r="P324" t="b">
        <v>1</v>
      </c>
      <c r="Q324" t="b">
        <v>0</v>
      </c>
      <c r="R324" t="b">
        <f>S324</f>
        <v>1</v>
      </c>
      <c r="S324" t="b">
        <v>1</v>
      </c>
      <c r="T324" t="b">
        <v>0</v>
      </c>
      <c r="W324" s="69" t="b">
        <v>1</v>
      </c>
      <c r="X324" s="816"/>
      <c r="AC324" t="b">
        <f>OR(AD324:AE324)</f>
        <v>0</v>
      </c>
      <c r="AD324" t="b">
        <v>0</v>
      </c>
      <c r="AE324" t="b">
        <f>AND(R324,NOT(W324))</f>
        <v>0</v>
      </c>
      <c r="AL324" t="str">
        <f>SUBSTITUTE(SUBSTITUTE(SUBSTITUTE("dpa"&amp;$B324&amp;$C324&amp;$D324&amp;$E324,".","_"),"(","_"),")","")</f>
        <v>dpa902_6</v>
      </c>
      <c r="AM324" t="str">
        <f>M324</f>
        <v>Mandatory</v>
      </c>
      <c r="AP324" t="str">
        <f>SUBSTITUTE(SUBSTITUTE(SUBSTITUTE("dch"&amp;$B324&amp;$C324&amp;$D324&amp;$E324,".","_"),"(","_"),")","")</f>
        <v>dch902_6</v>
      </c>
      <c r="AQ324" t="b">
        <f>IF(LEN(W324)=0,"",W324)</f>
        <v>1</v>
      </c>
      <c r="AR324" t="str">
        <f>SUBSTITUTE(SUBSTITUTE(SUBSTITUTE("dnt"&amp;$B324&amp;$C324&amp;$D324&amp;$E324,".","_"),"(","_"),")","")</f>
        <v>dnt902_6</v>
      </c>
      <c r="AS324" t="str">
        <f>IF(LEN(X324)=0,"",X324)</f>
        <v/>
      </c>
    </row>
    <row r="325" spans="2:45" x14ac:dyDescent="0.35">
      <c r="B325" s="412">
        <v>902.6</v>
      </c>
      <c r="C325" s="13"/>
      <c r="D325" s="13"/>
      <c r="E325" s="13"/>
      <c r="F325" s="13"/>
      <c r="G325" s="13"/>
      <c r="H325" s="453"/>
      <c r="I325" s="93"/>
      <c r="J325" s="4"/>
      <c r="K325" s="4"/>
      <c r="L325" s="838"/>
      <c r="M325" s="885"/>
      <c r="N325" s="4"/>
      <c r="O325" s="75"/>
      <c r="X325" s="817"/>
    </row>
    <row r="326" spans="2:45" ht="18.5" x14ac:dyDescent="0.45">
      <c r="B326" s="412">
        <v>903</v>
      </c>
      <c r="C326" s="13"/>
      <c r="D326" s="13"/>
      <c r="E326" s="13"/>
      <c r="F326" s="13"/>
      <c r="G326" s="13"/>
      <c r="H326" s="453"/>
      <c r="I326" s="10" t="s">
        <v>3261</v>
      </c>
      <c r="J326" s="15"/>
      <c r="K326" s="15"/>
      <c r="L326" s="44"/>
      <c r="M326" s="307"/>
      <c r="N326" s="311"/>
      <c r="O326" s="307"/>
      <c r="P326" s="15"/>
      <c r="Q326" s="15"/>
      <c r="R326" s="15"/>
      <c r="S326" s="15"/>
      <c r="T326" s="15"/>
      <c r="U326" s="15"/>
      <c r="V326" s="15"/>
      <c r="W326" s="15"/>
      <c r="X326" s="15"/>
    </row>
    <row r="327" spans="2:45" ht="15" thickBot="1" x14ac:dyDescent="0.4">
      <c r="B327" s="412" t="s">
        <v>4080</v>
      </c>
      <c r="C327" s="13"/>
      <c r="D327" s="13"/>
      <c r="E327" s="13"/>
      <c r="F327" s="13"/>
      <c r="G327" s="13"/>
      <c r="H327" s="453"/>
      <c r="I327" s="292">
        <v>903</v>
      </c>
      <c r="J327" s="160"/>
      <c r="K327" s="160"/>
      <c r="L327" s="275" t="s">
        <v>3262</v>
      </c>
      <c r="M327" s="270"/>
      <c r="N327" s="160"/>
      <c r="O327" s="161"/>
      <c r="P327" s="55"/>
      <c r="Q327" s="55"/>
      <c r="R327" s="55"/>
      <c r="S327" s="55"/>
      <c r="T327" s="55"/>
      <c r="U327" s="55"/>
      <c r="V327" s="55"/>
      <c r="W327" s="55"/>
      <c r="X327" s="55"/>
    </row>
    <row r="328" spans="2:45" ht="15" thickTop="1" x14ac:dyDescent="0.35">
      <c r="B328" s="412">
        <v>903.1</v>
      </c>
      <c r="C328" s="13"/>
      <c r="D328" s="13"/>
      <c r="E328" s="13"/>
      <c r="F328" s="13"/>
      <c r="G328" s="13"/>
      <c r="H328" s="453"/>
      <c r="I328" s="293">
        <v>903.1</v>
      </c>
      <c r="J328" s="107"/>
      <c r="K328" s="107"/>
      <c r="L328" s="274" t="s">
        <v>3658</v>
      </c>
      <c r="M328" s="267"/>
      <c r="N328" s="107"/>
      <c r="O328" s="308">
        <f ca="1">IFERROR(INDEX({2,5},MATCH(W328,INDIRECT(U328),0)),0)*S328</f>
        <v>0</v>
      </c>
      <c r="P328" t="b">
        <v>1</v>
      </c>
      <c r="Q328" t="b">
        <v>0</v>
      </c>
      <c r="R328" s="59" t="b">
        <v>0</v>
      </c>
      <c r="S328" s="59" t="b">
        <v>1</v>
      </c>
      <c r="T328" s="59" t="b">
        <v>0</v>
      </c>
      <c r="U328" s="59" t="str">
        <f>SUBSTITUTE(SUBSTITUTE(SUBSTITUTE("dd"&amp;B328&amp;C328&amp;D328&amp;E328&amp;F328,".","_"),"(","_"),")","")</f>
        <v>dd903_1</v>
      </c>
      <c r="V328" s="59"/>
      <c r="W328" s="113"/>
      <c r="X328" s="840"/>
      <c r="AN328" t="str">
        <f>SUBSTITUTE(SUBSTITUTE(SUBSTITUTE("dpc"&amp;$B328&amp;$C328&amp;$D328&amp;$E328,".","_"),"(","_"),")","")</f>
        <v>dpc903_1</v>
      </c>
      <c r="AO328">
        <f ca="1">O328</f>
        <v>0</v>
      </c>
      <c r="AP328" t="str">
        <f>SUBSTITUTE(SUBSTITUTE(SUBSTITUTE("dch"&amp;$B328&amp;$C328&amp;$D328&amp;$E328,".","_"),"(","_"),")","")</f>
        <v>dch903_1</v>
      </c>
      <c r="AQ328" t="str">
        <f>IF(LEN(W328)=0,"",W328)</f>
        <v/>
      </c>
      <c r="AR328" t="str">
        <f>SUBSTITUTE(SUBSTITUTE(SUBSTITUTE("dnt"&amp;$B328&amp;$C328&amp;$D328&amp;$E328,".","_"),"(","_"),")","")</f>
        <v>dnt903_1</v>
      </c>
      <c r="AS328" t="str">
        <f>IF(LEN(X328)=0,"",X328)</f>
        <v/>
      </c>
    </row>
    <row r="329" spans="2:45" x14ac:dyDescent="0.35">
      <c r="B329" s="412" t="s">
        <v>3263</v>
      </c>
      <c r="C329" s="13" t="s">
        <v>256</v>
      </c>
      <c r="D329" s="13"/>
      <c r="E329" s="13"/>
      <c r="F329" s="13"/>
      <c r="G329" s="13"/>
      <c r="H329" s="453"/>
      <c r="I329" s="93"/>
      <c r="J329" s="19" t="s">
        <v>256</v>
      </c>
      <c r="K329" s="4"/>
      <c r="L329" s="814" t="s">
        <v>3656</v>
      </c>
      <c r="M329" s="818">
        <v>2</v>
      </c>
      <c r="N329" s="4"/>
      <c r="O329" s="75"/>
      <c r="X329" s="817"/>
      <c r="AL329" t="str">
        <f>SUBSTITUTE(SUBSTITUTE(SUBSTITUTE("dpa"&amp;$B329&amp;$C329&amp;$D329&amp;$E329,".","_"),"(","_"),")","")</f>
        <v>dpa903_1_1_1</v>
      </c>
      <c r="AM329">
        <f>M329</f>
        <v>2</v>
      </c>
    </row>
    <row r="330" spans="2:45" x14ac:dyDescent="0.35">
      <c r="B330" s="412" t="s">
        <v>3263</v>
      </c>
      <c r="C330" s="13" t="s">
        <v>256</v>
      </c>
      <c r="D330" s="13"/>
      <c r="E330" s="13"/>
      <c r="F330" s="13"/>
      <c r="G330" s="13"/>
      <c r="H330" s="453"/>
      <c r="I330" s="93"/>
      <c r="J330" s="129"/>
      <c r="K330" s="133"/>
      <c r="L330" s="889"/>
      <c r="M330" s="819"/>
      <c r="N330" s="4"/>
      <c r="O330" s="75"/>
      <c r="X330" s="817"/>
    </row>
    <row r="331" spans="2:45" ht="15" thickBot="1" x14ac:dyDescent="0.4">
      <c r="B331" s="412" t="s">
        <v>3264</v>
      </c>
      <c r="C331" s="13" t="s">
        <v>258</v>
      </c>
      <c r="D331" s="13"/>
      <c r="E331" s="13"/>
      <c r="F331" s="13"/>
      <c r="G331" s="13"/>
      <c r="H331" s="453"/>
      <c r="I331" s="294"/>
      <c r="J331" s="115" t="s">
        <v>258</v>
      </c>
      <c r="K331" s="160"/>
      <c r="L331" s="229" t="s">
        <v>3657</v>
      </c>
      <c r="M331" s="270">
        <v>5</v>
      </c>
      <c r="N331" s="160"/>
      <c r="O331" s="161"/>
      <c r="P331" s="55"/>
      <c r="Q331" s="55"/>
      <c r="R331" s="55"/>
      <c r="S331" s="55"/>
      <c r="T331" s="55"/>
      <c r="U331" s="55"/>
      <c r="V331" s="55"/>
      <c r="W331" s="55"/>
      <c r="X331" s="829"/>
      <c r="AL331" t="str">
        <f>SUBSTITUTE(SUBSTITUTE(SUBSTITUTE("dpa"&amp;$B331&amp;$C331&amp;$D331&amp;$E331,".","_"),"(","_"),")","")</f>
        <v>dpa903_1_2_2</v>
      </c>
      <c r="AM331">
        <f>M331</f>
        <v>5</v>
      </c>
    </row>
    <row r="332" spans="2:45" ht="15" thickTop="1" x14ac:dyDescent="0.35">
      <c r="B332" s="412">
        <v>903.2</v>
      </c>
      <c r="C332" s="13"/>
      <c r="D332" s="13"/>
      <c r="E332" s="13"/>
      <c r="F332" s="13"/>
      <c r="G332" s="13"/>
      <c r="H332" s="453"/>
      <c r="I332" s="106">
        <v>903.2</v>
      </c>
      <c r="J332" s="107"/>
      <c r="K332" s="107"/>
      <c r="L332" s="274" t="s">
        <v>3265</v>
      </c>
      <c r="M332" s="267"/>
      <c r="N332" s="107"/>
      <c r="O332" s="308">
        <f ca="1">IFERROR(INDEX({1,3},MATCH(W332,INDIRECT(U332),0)),0)*S332</f>
        <v>0</v>
      </c>
      <c r="P332" t="b">
        <v>1</v>
      </c>
      <c r="Q332" t="b">
        <v>1</v>
      </c>
      <c r="R332" s="59" t="b">
        <v>0</v>
      </c>
      <c r="S332" s="59" t="b">
        <v>1</v>
      </c>
      <c r="T332" s="59" t="b">
        <v>0</v>
      </c>
      <c r="U332" s="59" t="str">
        <f>SUBSTITUTE(SUBSTITUTE(SUBSTITUTE("dd"&amp;B332&amp;C332&amp;D332&amp;E332&amp;F332,".","_"),"(","_"),")","")</f>
        <v>dd903_2</v>
      </c>
      <c r="V332" s="59"/>
      <c r="W332" s="113"/>
      <c r="X332" s="840"/>
      <c r="AN332" t="str">
        <f>SUBSTITUTE(SUBSTITUTE(SUBSTITUTE("dpc"&amp;$B332&amp;$C332&amp;$D332&amp;$E332,".","_"),"(","_"),")","")</f>
        <v>dpc903_2</v>
      </c>
      <c r="AO332">
        <f ca="1">O332</f>
        <v>0</v>
      </c>
      <c r="AP332" t="str">
        <f>SUBSTITUTE(SUBSTITUTE(SUBSTITUTE("dch"&amp;$B332&amp;$C332&amp;$D332&amp;$E332,".","_"),"(","_"),")","")</f>
        <v>dch903_2</v>
      </c>
      <c r="AQ332" t="str">
        <f>IF(LEN(W332)=0,"",W332)</f>
        <v/>
      </c>
      <c r="AR332" t="str">
        <f>SUBSTITUTE(SUBSTITUTE(SUBSTITUTE("dnt"&amp;$B332&amp;$C332&amp;$D332&amp;$E332,".","_"),"(","_"),")","")</f>
        <v>dnt903_2</v>
      </c>
      <c r="AS332" t="str">
        <f>IF(LEN(X332)=0,"",X332)</f>
        <v/>
      </c>
    </row>
    <row r="333" spans="2:45" x14ac:dyDescent="0.35">
      <c r="B333" s="412">
        <v>903.2</v>
      </c>
      <c r="C333" s="13" t="s">
        <v>256</v>
      </c>
      <c r="D333" s="13"/>
      <c r="E333" s="13"/>
      <c r="F333" s="13"/>
      <c r="G333" s="13"/>
      <c r="H333" s="453"/>
      <c r="I333" s="93"/>
      <c r="J333" s="129" t="s">
        <v>256</v>
      </c>
      <c r="K333" s="133"/>
      <c r="L333" s="228" t="s">
        <v>3266</v>
      </c>
      <c r="M333" s="268">
        <v>1</v>
      </c>
      <c r="N333" s="4"/>
      <c r="O333" s="75"/>
      <c r="X333" s="817"/>
      <c r="AL333" t="str">
        <f>SUBSTITUTE(SUBSTITUTE(SUBSTITUTE("dpa"&amp;$B333&amp;$C333&amp;$D333&amp;$E333,".","_"),"(","_"),")","")</f>
        <v>dpa903_2_1</v>
      </c>
      <c r="AM333">
        <f>M333</f>
        <v>1</v>
      </c>
    </row>
    <row r="334" spans="2:45" x14ac:dyDescent="0.35">
      <c r="B334" s="412">
        <v>903.2</v>
      </c>
      <c r="C334" s="13" t="s">
        <v>258</v>
      </c>
      <c r="D334" s="13"/>
      <c r="E334" s="13"/>
      <c r="F334" s="13"/>
      <c r="G334" s="13"/>
      <c r="H334" s="453"/>
      <c r="I334" s="93"/>
      <c r="J334" s="19" t="s">
        <v>258</v>
      </c>
      <c r="K334" s="4"/>
      <c r="L334" s="814" t="s">
        <v>3267</v>
      </c>
      <c r="M334" s="818">
        <v>3</v>
      </c>
      <c r="N334" s="4"/>
      <c r="O334" s="75"/>
      <c r="X334" s="817"/>
      <c r="AL334" t="str">
        <f>SUBSTITUTE(SUBSTITUTE(SUBSTITUTE("dpa"&amp;$B334&amp;$C334&amp;$D334&amp;$E334,".","_"),"(","_"),")","")</f>
        <v>dpa903_2_2</v>
      </c>
      <c r="AM334">
        <f>M334</f>
        <v>3</v>
      </c>
    </row>
    <row r="335" spans="2:45" ht="15" thickBot="1" x14ac:dyDescent="0.4">
      <c r="B335" s="412">
        <v>903.2</v>
      </c>
      <c r="C335" s="13" t="s">
        <v>258</v>
      </c>
      <c r="D335" s="13"/>
      <c r="E335" s="13"/>
      <c r="F335" s="13"/>
      <c r="G335" s="13"/>
      <c r="H335" s="453"/>
      <c r="I335" s="294"/>
      <c r="J335" s="160"/>
      <c r="K335" s="160"/>
      <c r="L335" s="839"/>
      <c r="M335" s="827"/>
      <c r="N335" s="160"/>
      <c r="O335" s="161"/>
      <c r="P335" s="55"/>
      <c r="Q335" s="55"/>
      <c r="R335" s="55"/>
      <c r="S335" s="55"/>
      <c r="T335" s="55"/>
      <c r="U335" s="55"/>
      <c r="V335" s="55"/>
      <c r="W335" s="55"/>
      <c r="X335" s="829"/>
    </row>
    <row r="336" spans="2:45" ht="15" thickTop="1" x14ac:dyDescent="0.35">
      <c r="B336" s="412">
        <v>903.3</v>
      </c>
      <c r="C336" s="13"/>
      <c r="D336" s="13"/>
      <c r="E336" s="13"/>
      <c r="F336" s="13"/>
      <c r="G336" s="13"/>
      <c r="H336" s="453"/>
      <c r="I336" s="30">
        <v>903.3</v>
      </c>
      <c r="J336" s="4"/>
      <c r="K336" s="4"/>
      <c r="L336" s="838" t="s">
        <v>3659</v>
      </c>
      <c r="M336" s="818">
        <v>7</v>
      </c>
      <c r="N336" s="4"/>
      <c r="O336" s="832">
        <f>M336*S338*IFERROR(OR(W338,W339),0)</f>
        <v>0</v>
      </c>
      <c r="X336" s="816"/>
      <c r="AL336" t="str">
        <f>SUBSTITUTE(SUBSTITUTE(SUBSTITUTE("dpa"&amp;$B336&amp;$C336&amp;$D336&amp;$E336,".","_"),"(","_"),")","")</f>
        <v>dpa903_3</v>
      </c>
      <c r="AM336">
        <f>M336</f>
        <v>7</v>
      </c>
      <c r="AN336" t="str">
        <f>SUBSTITUTE(SUBSTITUTE(SUBSTITUTE("dpc"&amp;$B336&amp;$C336&amp;$D336&amp;$E336,".","_"),"(","_"),")","")</f>
        <v>dpc903_3</v>
      </c>
      <c r="AO336">
        <f>O336</f>
        <v>0</v>
      </c>
      <c r="AR336" t="str">
        <f>SUBSTITUTE(SUBSTITUTE(SUBSTITUTE("dnt"&amp;$B336&amp;$C336&amp;$D336&amp;$E336,".","_"),"(","_"),")","")</f>
        <v>dnt903_3</v>
      </c>
      <c r="AS336" t="str">
        <f>IF(LEN(X336)=0,"",X336)</f>
        <v/>
      </c>
    </row>
    <row r="337" spans="2:45" x14ac:dyDescent="0.35">
      <c r="B337" s="412">
        <v>903.3</v>
      </c>
      <c r="C337" s="13"/>
      <c r="D337" s="13"/>
      <c r="E337" s="13"/>
      <c r="F337" s="13"/>
      <c r="G337" s="13"/>
      <c r="H337" s="453"/>
      <c r="I337" s="93"/>
      <c r="J337" s="4"/>
      <c r="K337" s="4"/>
      <c r="L337" s="838"/>
      <c r="M337" s="818"/>
      <c r="N337" s="4"/>
      <c r="O337" s="832"/>
      <c r="X337" s="817"/>
    </row>
    <row r="338" spans="2:45" x14ac:dyDescent="0.35">
      <c r="B338" s="412">
        <v>903.3</v>
      </c>
      <c r="C338" s="13" t="s">
        <v>256</v>
      </c>
      <c r="D338" s="13"/>
      <c r="E338" s="13"/>
      <c r="F338" s="13"/>
      <c r="G338" s="13"/>
      <c r="H338" s="453"/>
      <c r="I338" s="93"/>
      <c r="J338" s="129" t="s">
        <v>256</v>
      </c>
      <c r="K338" s="104"/>
      <c r="L338" s="228" t="s">
        <v>3268</v>
      </c>
      <c r="M338" s="40"/>
      <c r="N338" s="4"/>
      <c r="O338" s="75"/>
      <c r="P338" t="b">
        <v>0</v>
      </c>
      <c r="Q338" t="b">
        <v>1</v>
      </c>
      <c r="R338" s="104" t="b">
        <v>0</v>
      </c>
      <c r="S338" s="104" t="b">
        <f>AND(BF16&lt;6,BG16="Moist")</f>
        <v>1</v>
      </c>
      <c r="T338" s="104" t="b">
        <f>AND(NOT(S338),W338=TRUE)</f>
        <v>0</v>
      </c>
      <c r="U338" s="104"/>
      <c r="V338" s="104"/>
      <c r="W338" s="17"/>
      <c r="X338" s="817"/>
      <c r="AC338" t="b">
        <f>OR(AD338:AE338)</f>
        <v>0</v>
      </c>
      <c r="AD338" t="b">
        <f>T338</f>
        <v>0</v>
      </c>
      <c r="AP338" t="str">
        <f>SUBSTITUTE(SUBSTITUTE(SUBSTITUTE("dch"&amp;$B338&amp;$C338&amp;$D338&amp;$E338,".","_"),"(","_"),")","")</f>
        <v>dch903_3_1</v>
      </c>
      <c r="AQ338" t="str">
        <f>IF(LEN(W338)=0,"",W338)</f>
        <v/>
      </c>
    </row>
    <row r="339" spans="2:45" x14ac:dyDescent="0.35">
      <c r="B339" s="412">
        <v>903.3</v>
      </c>
      <c r="C339" s="13" t="s">
        <v>258</v>
      </c>
      <c r="D339" s="13"/>
      <c r="E339" s="13"/>
      <c r="F339" s="13"/>
      <c r="G339" s="13"/>
      <c r="H339" s="453"/>
      <c r="I339" s="93"/>
      <c r="J339" s="19" t="s">
        <v>258</v>
      </c>
      <c r="L339" s="848" t="s">
        <v>3269</v>
      </c>
      <c r="M339" s="40"/>
      <c r="N339" s="4"/>
      <c r="O339" s="75"/>
      <c r="P339" t="b">
        <v>0</v>
      </c>
      <c r="Q339" t="b">
        <v>1</v>
      </c>
      <c r="R339" t="b">
        <v>0</v>
      </c>
      <c r="S339" t="b">
        <f>AND(BF16&lt;6,BG16="Moist")</f>
        <v>1</v>
      </c>
      <c r="T339" t="b">
        <f>AND(NOT(S339),W339=TRUE)</f>
        <v>0</v>
      </c>
      <c r="W339" s="69"/>
      <c r="X339" s="817"/>
      <c r="AC339" t="b">
        <f>OR(AD339:AE339)</f>
        <v>0</v>
      </c>
      <c r="AD339" t="b">
        <f>T339</f>
        <v>0</v>
      </c>
      <c r="AP339" t="str">
        <f>SUBSTITUTE(SUBSTITUTE(SUBSTITUTE("dch"&amp;$B339&amp;$C339&amp;$D339&amp;$E339,".","_"),"(","_"),")","")</f>
        <v>dch903_3_2</v>
      </c>
      <c r="AQ339" t="str">
        <f>IF(LEN(W339)=0,"",W339)</f>
        <v/>
      </c>
    </row>
    <row r="340" spans="2:45" x14ac:dyDescent="0.35">
      <c r="B340" s="412">
        <v>903.3</v>
      </c>
      <c r="C340" s="13" t="s">
        <v>258</v>
      </c>
      <c r="D340" s="13"/>
      <c r="E340" s="13"/>
      <c r="F340" s="13"/>
      <c r="G340" s="13"/>
      <c r="H340" s="453"/>
      <c r="I340" s="93"/>
      <c r="J340" s="4"/>
      <c r="K340" s="19"/>
      <c r="L340" s="848"/>
      <c r="M340" s="40"/>
      <c r="N340" s="4"/>
      <c r="O340" s="75"/>
      <c r="X340" s="817"/>
    </row>
    <row r="341" spans="2:45" ht="18.5" x14ac:dyDescent="0.45">
      <c r="B341" s="412">
        <v>904</v>
      </c>
      <c r="C341" s="13"/>
      <c r="D341" s="13"/>
      <c r="E341" s="13"/>
      <c r="F341" s="13"/>
      <c r="G341" s="13"/>
      <c r="H341" s="453"/>
      <c r="I341" s="10" t="s">
        <v>3270</v>
      </c>
      <c r="J341" s="15"/>
      <c r="K341" s="15"/>
      <c r="L341" s="44"/>
      <c r="M341" s="307"/>
      <c r="N341" s="311"/>
      <c r="O341" s="307"/>
      <c r="P341" s="15"/>
      <c r="Q341" s="15"/>
      <c r="R341" s="15"/>
      <c r="S341" s="15"/>
      <c r="T341" s="15"/>
      <c r="U341" s="15"/>
      <c r="V341" s="15"/>
      <c r="W341" s="15"/>
      <c r="X341" s="15"/>
    </row>
    <row r="342" spans="2:45" x14ac:dyDescent="0.35">
      <c r="B342" s="412" t="s">
        <v>4081</v>
      </c>
      <c r="C342" s="13"/>
      <c r="D342" s="13"/>
      <c r="E342" s="13"/>
      <c r="F342" s="13"/>
      <c r="G342" s="13"/>
      <c r="H342" s="453"/>
      <c r="I342" s="143">
        <v>904</v>
      </c>
      <c r="J342" s="4"/>
      <c r="K342" s="4"/>
      <c r="L342" s="838" t="s">
        <v>3271</v>
      </c>
      <c r="M342" s="40"/>
      <c r="N342" s="4"/>
      <c r="O342" s="75"/>
    </row>
    <row r="343" spans="2:45" ht="15" thickBot="1" x14ac:dyDescent="0.4">
      <c r="B343" s="412" t="s">
        <v>4081</v>
      </c>
      <c r="C343" s="13"/>
      <c r="D343" s="13"/>
      <c r="E343" s="13"/>
      <c r="F343" s="13"/>
      <c r="G343" s="13"/>
      <c r="H343" s="453"/>
      <c r="I343" s="294"/>
      <c r="J343" s="160"/>
      <c r="K343" s="160"/>
      <c r="L343" s="849"/>
      <c r="M343" s="270"/>
      <c r="N343" s="160"/>
      <c r="O343" s="161"/>
      <c r="P343" s="55"/>
      <c r="Q343" s="55"/>
      <c r="R343" s="55"/>
      <c r="S343" s="55"/>
      <c r="T343" s="55"/>
      <c r="U343" s="55"/>
      <c r="V343" s="55"/>
      <c r="W343" s="55"/>
      <c r="X343" s="55"/>
    </row>
    <row r="344" spans="2:45" ht="15" thickTop="1" x14ac:dyDescent="0.35">
      <c r="B344" s="412">
        <v>904.1</v>
      </c>
      <c r="C344" s="13"/>
      <c r="D344" s="13"/>
      <c r="E344" s="13"/>
      <c r="F344" s="13"/>
      <c r="G344" s="13"/>
      <c r="H344" s="453"/>
      <c r="I344" s="293">
        <v>904.1</v>
      </c>
      <c r="J344" s="107"/>
      <c r="K344" s="107"/>
      <c r="L344" s="837" t="s">
        <v>3272</v>
      </c>
      <c r="M344" s="830">
        <v>2</v>
      </c>
      <c r="N344" s="107"/>
      <c r="O344" s="831">
        <f>M344*S344*W344</f>
        <v>0</v>
      </c>
      <c r="P344" t="b">
        <v>1</v>
      </c>
      <c r="Q344" t="b">
        <v>0</v>
      </c>
      <c r="R344" s="59" t="b">
        <v>0</v>
      </c>
      <c r="S344" s="59" t="b">
        <f>T345</f>
        <v>0</v>
      </c>
      <c r="T344" s="59" t="b">
        <f>AND(NOT(S344),W344=TRUE)</f>
        <v>0</v>
      </c>
      <c r="U344" s="59"/>
      <c r="V344" s="59"/>
      <c r="W344" s="236"/>
      <c r="X344" s="840"/>
      <c r="AC344" t="b">
        <f>OR(AD344:AE344)</f>
        <v>0</v>
      </c>
      <c r="AD344" t="b">
        <f>T344</f>
        <v>0</v>
      </c>
      <c r="AL344" t="str">
        <f>SUBSTITUTE(SUBSTITUTE(SUBSTITUTE("dpa"&amp;$B344&amp;$C344&amp;$D344&amp;$E344,".","_"),"(","_"),")","")</f>
        <v>dpa904_1</v>
      </c>
      <c r="AM344">
        <f>M344</f>
        <v>2</v>
      </c>
      <c r="AN344" t="str">
        <f>SUBSTITUTE(SUBSTITUTE(SUBSTITUTE("dpc"&amp;$B344&amp;$C344&amp;$D344&amp;$E344,".","_"),"(","_"),")","")</f>
        <v>dpc904_1</v>
      </c>
      <c r="AO344">
        <f>O344</f>
        <v>0</v>
      </c>
      <c r="AP344" t="str">
        <f>SUBSTITUTE(SUBSTITUTE(SUBSTITUTE("dch"&amp;$B344&amp;$C344&amp;$D344&amp;$E344,".","_"),"(","_"),")","")</f>
        <v>dch904_1</v>
      </c>
      <c r="AQ344" t="str">
        <f>IF(LEN(W344)=0,"",W344)</f>
        <v/>
      </c>
      <c r="AR344" t="str">
        <f>SUBSTITUTE(SUBSTITUTE(SUBSTITUTE("dnt"&amp;$B344&amp;$C344&amp;$D344&amp;$E344,".","_"),"(","_"),")","")</f>
        <v>dnt904_1</v>
      </c>
      <c r="AS344" t="str">
        <f>IF(LEN(X344)=0,"",X344)</f>
        <v/>
      </c>
    </row>
    <row r="345" spans="2:45" x14ac:dyDescent="0.35">
      <c r="B345" s="412">
        <v>904.1</v>
      </c>
      <c r="C345" s="13"/>
      <c r="D345" s="13"/>
      <c r="E345" s="13"/>
      <c r="F345" s="13"/>
      <c r="G345" s="13"/>
      <c r="H345" s="453"/>
      <c r="I345" s="93"/>
      <c r="J345" s="4"/>
      <c r="K345" s="4"/>
      <c r="L345" s="838"/>
      <c r="M345" s="818"/>
      <c r="N345" s="4"/>
      <c r="O345" s="832"/>
      <c r="S345" s="242" t="s">
        <v>3764</v>
      </c>
      <c r="T345" s="1" t="b">
        <f>'Ch6'!W149=TRUE</f>
        <v>0</v>
      </c>
      <c r="X345" s="817"/>
    </row>
    <row r="346" spans="2:45" x14ac:dyDescent="0.35">
      <c r="B346" s="412">
        <v>904.1</v>
      </c>
      <c r="C346" s="13"/>
      <c r="D346" s="13"/>
      <c r="E346" s="13"/>
      <c r="F346" s="13"/>
      <c r="G346" s="13"/>
      <c r="H346" s="453"/>
      <c r="I346" s="93"/>
      <c r="J346" s="4"/>
      <c r="K346" s="4"/>
      <c r="L346" s="838"/>
      <c r="M346" s="818"/>
      <c r="N346" s="4"/>
      <c r="O346" s="832"/>
      <c r="X346" s="817"/>
    </row>
    <row r="347" spans="2:45" x14ac:dyDescent="0.35">
      <c r="B347" s="412">
        <v>904.1</v>
      </c>
      <c r="C347" s="13"/>
      <c r="D347" s="13"/>
      <c r="E347" s="13"/>
      <c r="F347" s="13"/>
      <c r="G347" s="13"/>
      <c r="H347" s="453"/>
      <c r="I347" s="93"/>
      <c r="J347" s="4"/>
      <c r="K347" s="4"/>
      <c r="L347" s="838"/>
      <c r="M347" s="818"/>
      <c r="N347" s="4"/>
      <c r="O347" s="832"/>
      <c r="X347" s="817"/>
    </row>
    <row r="348" spans="2:45" ht="15" thickBot="1" x14ac:dyDescent="0.4">
      <c r="B348" s="412">
        <v>904.1</v>
      </c>
      <c r="C348" s="13"/>
      <c r="D348" s="13"/>
      <c r="E348" s="13"/>
      <c r="F348" s="13"/>
      <c r="G348" s="13"/>
      <c r="H348" s="453"/>
      <c r="I348" s="294"/>
      <c r="J348" s="160"/>
      <c r="K348" s="160"/>
      <c r="L348" s="849"/>
      <c r="M348" s="827"/>
      <c r="N348" s="160"/>
      <c r="O348" s="833"/>
      <c r="P348" s="55"/>
      <c r="Q348" s="55"/>
      <c r="R348" s="55"/>
      <c r="S348" s="55"/>
      <c r="T348" s="55"/>
      <c r="U348" s="55"/>
      <c r="V348" s="55"/>
      <c r="W348" s="55"/>
      <c r="X348" s="829"/>
    </row>
    <row r="349" spans="2:45" ht="15" thickTop="1" x14ac:dyDescent="0.35">
      <c r="B349" s="412">
        <v>904.2</v>
      </c>
      <c r="C349" s="13"/>
      <c r="D349" s="13"/>
      <c r="E349" s="13"/>
      <c r="F349" s="13"/>
      <c r="G349" s="13"/>
      <c r="H349" s="453"/>
      <c r="I349" s="106">
        <v>904.2</v>
      </c>
      <c r="J349" s="107"/>
      <c r="K349" s="107"/>
      <c r="L349" s="837" t="s">
        <v>3273</v>
      </c>
      <c r="M349" s="830">
        <v>3</v>
      </c>
      <c r="N349" s="107"/>
      <c r="O349" s="831">
        <f>M349*S349*W349</f>
        <v>0</v>
      </c>
      <c r="P349" s="59" t="b">
        <v>0</v>
      </c>
      <c r="Q349" s="59" t="b">
        <v>1</v>
      </c>
      <c r="R349" s="59" t="b">
        <v>0</v>
      </c>
      <c r="S349" s="59" t="b">
        <f>T345</f>
        <v>0</v>
      </c>
      <c r="T349" s="59" t="b">
        <f>AND(NOT(S349),W349=TRUE)</f>
        <v>0</v>
      </c>
      <c r="U349" s="59"/>
      <c r="V349" s="59"/>
      <c r="W349" s="236"/>
      <c r="X349" s="840"/>
      <c r="AC349" t="b">
        <f>OR(AD349:AE349)</f>
        <v>0</v>
      </c>
      <c r="AD349" t="b">
        <f>T349</f>
        <v>0</v>
      </c>
      <c r="AL349" t="str">
        <f>SUBSTITUTE(SUBSTITUTE(SUBSTITUTE("dpa"&amp;$B349&amp;$C349&amp;$D349&amp;$E349,".","_"),"(","_"),")","")</f>
        <v>dpa904_2</v>
      </c>
      <c r="AM349">
        <f>M349</f>
        <v>3</v>
      </c>
      <c r="AN349" t="str">
        <f>SUBSTITUTE(SUBSTITUTE(SUBSTITUTE("dpc"&amp;$B349&amp;$C349&amp;$D349&amp;$E349,".","_"),"(","_"),")","")</f>
        <v>dpc904_2</v>
      </c>
      <c r="AO349">
        <f>O349</f>
        <v>0</v>
      </c>
      <c r="AP349" t="str">
        <f>SUBSTITUTE(SUBSTITUTE(SUBSTITUTE("dch"&amp;$B349&amp;$C349&amp;$D349&amp;$E349,".","_"),"(","_"),")","")</f>
        <v>dch904_2</v>
      </c>
      <c r="AQ349" t="str">
        <f>IF(LEN(W349)=0,"",W349)</f>
        <v/>
      </c>
      <c r="AR349" t="str">
        <f>SUBSTITUTE(SUBSTITUTE(SUBSTITUTE("dnt"&amp;$B349&amp;$C349&amp;$D349&amp;$E349,".","_"),"(","_"),")","")</f>
        <v>dnt904_2</v>
      </c>
      <c r="AS349" t="str">
        <f>IF(LEN(X349)=0,"",X349)</f>
        <v/>
      </c>
    </row>
    <row r="350" spans="2:45" x14ac:dyDescent="0.35">
      <c r="B350" s="412">
        <v>904.2</v>
      </c>
      <c r="C350" s="13"/>
      <c r="D350" s="13"/>
      <c r="E350" s="13"/>
      <c r="F350" s="13"/>
      <c r="G350" s="13"/>
      <c r="H350" s="453"/>
      <c r="I350" s="93"/>
      <c r="J350" s="4"/>
      <c r="K350" s="4"/>
      <c r="L350" s="838"/>
      <c r="M350" s="818"/>
      <c r="N350" s="4"/>
      <c r="O350" s="832"/>
      <c r="X350" s="817"/>
    </row>
    <row r="351" spans="2:45" ht="15" thickBot="1" x14ac:dyDescent="0.4">
      <c r="B351" s="412">
        <v>904.2</v>
      </c>
      <c r="C351" s="13"/>
      <c r="D351" s="13"/>
      <c r="E351" s="13"/>
      <c r="F351" s="13"/>
      <c r="G351" s="13"/>
      <c r="H351" s="453"/>
      <c r="I351" s="294"/>
      <c r="J351" s="160"/>
      <c r="K351" s="160"/>
      <c r="L351" s="849"/>
      <c r="M351" s="827"/>
      <c r="N351" s="160"/>
      <c r="O351" s="833"/>
      <c r="P351" s="55"/>
      <c r="Q351" s="55"/>
      <c r="R351" s="55"/>
      <c r="S351" s="55"/>
      <c r="T351" s="55"/>
      <c r="U351" s="55"/>
      <c r="V351" s="55"/>
      <c r="W351" s="55"/>
      <c r="X351" s="829"/>
    </row>
    <row r="352" spans="2:45" ht="15" customHeight="1" thickTop="1" x14ac:dyDescent="0.35">
      <c r="B352" s="412" t="s">
        <v>4539</v>
      </c>
      <c r="C352" s="13"/>
      <c r="D352" s="13"/>
      <c r="E352" s="412"/>
      <c r="F352" s="13"/>
      <c r="G352" s="13"/>
      <c r="H352" s="453"/>
      <c r="I352" s="402" t="s">
        <v>4539</v>
      </c>
      <c r="J352" s="402"/>
      <c r="K352" s="412"/>
      <c r="L352" s="841" t="s">
        <v>4540</v>
      </c>
      <c r="M352"/>
    </row>
    <row r="353" spans="2:45" x14ac:dyDescent="0.35">
      <c r="B353" s="412" t="s">
        <v>4539</v>
      </c>
      <c r="C353" s="13"/>
      <c r="D353" s="13"/>
      <c r="E353" s="412"/>
      <c r="F353" s="13"/>
      <c r="G353" s="13"/>
      <c r="H353" s="453"/>
      <c r="I353" s="402"/>
      <c r="J353" s="402"/>
      <c r="K353" s="412"/>
      <c r="L353" s="841"/>
      <c r="M353"/>
    </row>
    <row r="354" spans="2:45" ht="15" customHeight="1" x14ac:dyDescent="0.35">
      <c r="B354" s="412" t="s">
        <v>4539</v>
      </c>
      <c r="C354" s="412" t="s">
        <v>256</v>
      </c>
      <c r="D354" s="13"/>
      <c r="E354" s="13"/>
      <c r="F354" s="13"/>
      <c r="G354" s="13"/>
      <c r="H354" s="453"/>
      <c r="I354" s="402"/>
      <c r="J354" s="402" t="s">
        <v>256</v>
      </c>
      <c r="K354" s="412"/>
      <c r="L354" s="957" t="s">
        <v>4537</v>
      </c>
      <c r="M354" s="885" t="str">
        <f>IF(R354,"Mandatory","N/A")</f>
        <v>Mandatory</v>
      </c>
      <c r="P354" t="b">
        <v>1</v>
      </c>
      <c r="Q354" t="b">
        <v>0</v>
      </c>
      <c r="R354" t="b">
        <v>1</v>
      </c>
      <c r="S354" t="b">
        <v>1</v>
      </c>
      <c r="T354" t="b">
        <v>0</v>
      </c>
      <c r="W354" s="17" t="b">
        <v>1</v>
      </c>
      <c r="X354" s="817"/>
      <c r="AC354" t="b">
        <f>OR(AD354:AE354)</f>
        <v>0</v>
      </c>
      <c r="AD354" t="b">
        <v>0</v>
      </c>
      <c r="AE354" t="b">
        <f>AND(R354,NOT(W354))</f>
        <v>0</v>
      </c>
      <c r="AL354" t="str">
        <f>SUBSTITUTE(SUBSTITUTE(SUBSTITUTE("dpa"&amp;$B354&amp;$C354&amp;$D354&amp;$E354,".","_"),"(","_"),")","")</f>
        <v>dpa904_3_1</v>
      </c>
      <c r="AM354" t="str">
        <f>M354</f>
        <v>Mandatory</v>
      </c>
      <c r="AP354" t="str">
        <f>SUBSTITUTE(SUBSTITUTE(SUBSTITUTE("dch"&amp;$B354&amp;$C354&amp;$D354&amp;$E354,".","_"),"(","_"),")","")</f>
        <v>dch904_3_1</v>
      </c>
      <c r="AQ354" t="b">
        <f>IF(LEN(W354)=0,"",W354)</f>
        <v>1</v>
      </c>
      <c r="AR354" t="str">
        <f>SUBSTITUTE(SUBSTITUTE(SUBSTITUTE("dnt"&amp;$B354&amp;$C354&amp;$D354&amp;$E354,".","_"),"(","_"),")","")</f>
        <v>dnt904_3_1</v>
      </c>
      <c r="AS354" t="str">
        <f>IF(LEN(X354)=0,"",X354)</f>
        <v/>
      </c>
    </row>
    <row r="355" spans="2:45" x14ac:dyDescent="0.35">
      <c r="B355" s="412" t="s">
        <v>4539</v>
      </c>
      <c r="C355" s="412" t="s">
        <v>256</v>
      </c>
      <c r="D355" s="13"/>
      <c r="E355" s="13"/>
      <c r="F355" s="13"/>
      <c r="G355" s="13"/>
      <c r="H355" s="453"/>
      <c r="I355" s="402"/>
      <c r="J355" s="402"/>
      <c r="K355" s="412"/>
      <c r="L355" s="957"/>
      <c r="M355" s="885"/>
      <c r="X355" s="817"/>
    </row>
    <row r="356" spans="2:45" x14ac:dyDescent="0.35">
      <c r="B356" s="412" t="s">
        <v>4539</v>
      </c>
      <c r="C356" s="412" t="s">
        <v>256</v>
      </c>
      <c r="D356" s="13"/>
      <c r="E356" s="13"/>
      <c r="F356" s="13"/>
      <c r="G356" s="13"/>
      <c r="H356" s="453"/>
      <c r="I356" s="402"/>
      <c r="J356" s="402"/>
      <c r="K356" s="412"/>
      <c r="L356" s="957"/>
      <c r="M356"/>
      <c r="X356" s="817"/>
    </row>
    <row r="357" spans="2:45" x14ac:dyDescent="0.35">
      <c r="B357" s="412" t="s">
        <v>4539</v>
      </c>
      <c r="C357" s="412" t="s">
        <v>256</v>
      </c>
      <c r="D357" s="13"/>
      <c r="E357" s="13"/>
      <c r="F357" s="13"/>
      <c r="G357" s="13"/>
      <c r="H357" s="453"/>
      <c r="I357" s="402"/>
      <c r="J357" s="402"/>
      <c r="K357" s="412"/>
      <c r="L357" s="957"/>
      <c r="M357"/>
      <c r="X357" s="817"/>
    </row>
    <row r="358" spans="2:45" x14ac:dyDescent="0.35">
      <c r="B358" s="412" t="s">
        <v>4539</v>
      </c>
      <c r="C358" s="412" t="s">
        <v>256</v>
      </c>
      <c r="D358" s="13"/>
      <c r="E358" s="13"/>
      <c r="F358" s="13"/>
      <c r="G358" s="13"/>
      <c r="H358" s="453"/>
      <c r="I358" s="402"/>
      <c r="J358" s="402"/>
      <c r="K358" s="412"/>
      <c r="L358" s="957"/>
      <c r="M358"/>
      <c r="X358" s="817"/>
    </row>
    <row r="359" spans="2:45" x14ac:dyDescent="0.35">
      <c r="B359" s="412" t="s">
        <v>4539</v>
      </c>
      <c r="C359" s="412" t="s">
        <v>256</v>
      </c>
      <c r="D359" s="13"/>
      <c r="E359" s="13"/>
      <c r="F359" s="13"/>
      <c r="G359" s="13"/>
      <c r="H359" s="453"/>
      <c r="I359" s="402"/>
      <c r="J359" s="402"/>
      <c r="K359" s="412"/>
      <c r="L359" s="957"/>
      <c r="M359"/>
      <c r="X359" s="817"/>
    </row>
    <row r="360" spans="2:45" x14ac:dyDescent="0.35">
      <c r="B360" s="412" t="s">
        <v>4539</v>
      </c>
      <c r="C360" s="412" t="s">
        <v>256</v>
      </c>
      <c r="D360" s="13"/>
      <c r="E360" s="13"/>
      <c r="F360" s="13"/>
      <c r="G360" s="13"/>
      <c r="H360" s="453"/>
      <c r="I360" s="402"/>
      <c r="J360" s="402"/>
      <c r="K360" s="412"/>
      <c r="L360" s="957"/>
      <c r="M360"/>
      <c r="X360" s="817"/>
    </row>
    <row r="361" spans="2:45" x14ac:dyDescent="0.35">
      <c r="B361" s="412" t="s">
        <v>4539</v>
      </c>
      <c r="C361" s="412" t="s">
        <v>256</v>
      </c>
      <c r="D361" s="13"/>
      <c r="E361" s="13"/>
      <c r="F361" s="13"/>
      <c r="G361" s="13"/>
      <c r="H361" s="453"/>
      <c r="I361" s="402"/>
      <c r="J361" s="416"/>
      <c r="K361" s="418"/>
      <c r="L361" s="960"/>
      <c r="M361" s="104"/>
      <c r="N361" s="104"/>
      <c r="O361" s="104"/>
      <c r="P361" s="104"/>
      <c r="Q361" s="104"/>
      <c r="R361" s="104"/>
      <c r="S361" s="104"/>
      <c r="T361" s="104"/>
      <c r="U361" s="104"/>
      <c r="V361" s="104"/>
      <c r="X361" s="817"/>
    </row>
    <row r="362" spans="2:45" ht="15" customHeight="1" x14ac:dyDescent="0.35">
      <c r="B362" s="412" t="s">
        <v>4539</v>
      </c>
      <c r="C362" s="412" t="s">
        <v>258</v>
      </c>
      <c r="D362" s="13"/>
      <c r="E362" s="13"/>
      <c r="F362" s="13"/>
      <c r="G362" s="13"/>
      <c r="H362" s="453"/>
      <c r="I362" s="402"/>
      <c r="J362" s="402" t="s">
        <v>258</v>
      </c>
      <c r="K362" s="412"/>
      <c r="L362" s="957" t="s">
        <v>4538</v>
      </c>
      <c r="M362" s="885" t="str">
        <f>IF(R362,"Mandatory","N/A")</f>
        <v>Mandatory</v>
      </c>
      <c r="P362" t="b">
        <v>1</v>
      </c>
      <c r="Q362" t="b">
        <v>0</v>
      </c>
      <c r="R362" t="b">
        <v>1</v>
      </c>
      <c r="S362" t="b">
        <v>1</v>
      </c>
      <c r="T362" t="b">
        <v>0</v>
      </c>
      <c r="W362" s="17" t="b">
        <v>1</v>
      </c>
      <c r="X362" s="817"/>
      <c r="AC362" t="b">
        <f>OR(AD362:AE362)</f>
        <v>0</v>
      </c>
      <c r="AD362" t="b">
        <v>0</v>
      </c>
      <c r="AE362" t="b">
        <f>AND(R362,NOT(W362))</f>
        <v>0</v>
      </c>
      <c r="AL362" t="str">
        <f>SUBSTITUTE(SUBSTITUTE(SUBSTITUTE("dpa"&amp;$B362&amp;$C362&amp;$D362&amp;$E362,".","_"),"(","_"),")","")</f>
        <v>dpa904_3_2</v>
      </c>
      <c r="AM362" t="str">
        <f>M362</f>
        <v>Mandatory</v>
      </c>
      <c r="AP362" t="str">
        <f>SUBSTITUTE(SUBSTITUTE(SUBSTITUTE("dch"&amp;$B362&amp;$C362&amp;$D362&amp;$E362,".","_"),"(","_"),")","")</f>
        <v>dch904_3_2</v>
      </c>
      <c r="AQ362" t="b">
        <f>IF(LEN(W362)=0,"",W362)</f>
        <v>1</v>
      </c>
      <c r="AR362" t="str">
        <f>SUBSTITUTE(SUBSTITUTE(SUBSTITUTE("dnt"&amp;$B362&amp;$C362&amp;$D362&amp;$E362,".","_"),"(","_"),")","")</f>
        <v>dnt904_3_2</v>
      </c>
      <c r="AS362" t="str">
        <f>IF(LEN(X362)=0,"",X362)</f>
        <v/>
      </c>
    </row>
    <row r="363" spans="2:45" x14ac:dyDescent="0.35">
      <c r="B363" s="412" t="s">
        <v>4539</v>
      </c>
      <c r="C363" s="412" t="s">
        <v>258</v>
      </c>
      <c r="D363" s="13"/>
      <c r="E363" s="13"/>
      <c r="F363" s="13"/>
      <c r="G363" s="13"/>
      <c r="H363" s="453"/>
      <c r="I363" s="412"/>
      <c r="J363" s="412"/>
      <c r="K363" s="412"/>
      <c r="L363" s="957"/>
      <c r="M363" s="885"/>
      <c r="X363" s="817"/>
    </row>
    <row r="364" spans="2:45" x14ac:dyDescent="0.35">
      <c r="B364" s="412" t="s">
        <v>4539</v>
      </c>
      <c r="C364" s="412" t="s">
        <v>258</v>
      </c>
      <c r="D364" s="13"/>
      <c r="E364" s="13"/>
      <c r="F364" s="13"/>
      <c r="G364" s="13"/>
      <c r="H364" s="453"/>
      <c r="I364" s="412"/>
      <c r="J364" s="412"/>
      <c r="K364" s="412"/>
      <c r="L364" s="957"/>
      <c r="M364"/>
      <c r="X364" s="817"/>
    </row>
    <row r="365" spans="2:45" ht="18.5" x14ac:dyDescent="0.45">
      <c r="B365" s="412">
        <v>905</v>
      </c>
      <c r="C365" s="13"/>
      <c r="D365" s="13"/>
      <c r="E365" s="13"/>
      <c r="F365" s="13"/>
      <c r="G365" s="13"/>
      <c r="H365" s="453"/>
      <c r="I365" s="10" t="s">
        <v>3274</v>
      </c>
      <c r="J365" s="15"/>
      <c r="K365" s="15"/>
      <c r="L365" s="44"/>
      <c r="M365" s="307"/>
      <c r="N365" s="311"/>
      <c r="O365" s="307"/>
      <c r="P365" s="15"/>
      <c r="Q365" s="15"/>
      <c r="R365" s="15"/>
      <c r="S365" s="15"/>
      <c r="T365" s="15"/>
      <c r="U365" s="15"/>
      <c r="V365" s="15"/>
      <c r="W365" s="15"/>
      <c r="X365" s="15"/>
    </row>
    <row r="366" spans="2:45" x14ac:dyDescent="0.35">
      <c r="B366" s="412">
        <v>905.1</v>
      </c>
      <c r="C366" s="13"/>
      <c r="D366" s="13"/>
      <c r="E366" s="13"/>
      <c r="F366" s="13"/>
      <c r="G366" s="13"/>
      <c r="H366" s="453"/>
      <c r="I366" s="30">
        <v>905.1</v>
      </c>
      <c r="J366" s="4"/>
      <c r="K366" s="4"/>
      <c r="L366" s="838" t="s">
        <v>3275</v>
      </c>
      <c r="M366" s="818">
        <v>2</v>
      </c>
      <c r="N366" s="4"/>
      <c r="O366" s="832">
        <f>M366*S366*W366</f>
        <v>0</v>
      </c>
      <c r="P366" t="b">
        <v>0</v>
      </c>
      <c r="Q366" t="b">
        <v>1</v>
      </c>
      <c r="R366" t="b">
        <v>0</v>
      </c>
      <c r="S366" t="b">
        <v>1</v>
      </c>
      <c r="T366" t="b">
        <v>0</v>
      </c>
      <c r="W366" s="17"/>
      <c r="X366" s="817"/>
      <c r="AL366" t="str">
        <f>SUBSTITUTE(SUBSTITUTE(SUBSTITUTE("dpa"&amp;$B366&amp;$C366&amp;$D366&amp;$E366,".","_"),"(","_"),")","")</f>
        <v>dpa905_1</v>
      </c>
      <c r="AM366">
        <f>M366</f>
        <v>2</v>
      </c>
      <c r="AN366" t="str">
        <f>SUBSTITUTE(SUBSTITUTE(SUBSTITUTE("dpc"&amp;$B366&amp;$C366&amp;$D366&amp;$E366,".","_"),"(","_"),")","")</f>
        <v>dpc905_1</v>
      </c>
      <c r="AO366">
        <f>O366</f>
        <v>0</v>
      </c>
      <c r="AP366" t="str">
        <f>SUBSTITUTE(SUBSTITUTE(SUBSTITUTE("dch"&amp;$B366&amp;$C366&amp;$D366&amp;$E366,".","_"),"(","_"),")","")</f>
        <v>dch905_1</v>
      </c>
      <c r="AQ366" t="str">
        <f>IF(LEN(W366)=0,"",W366)</f>
        <v/>
      </c>
      <c r="AR366" t="str">
        <f>SUBSTITUTE(SUBSTITUTE(SUBSTITUTE("dnt"&amp;$B366&amp;$C366&amp;$D366&amp;$E366,".","_"),"(","_"),")","")</f>
        <v>dnt905_1</v>
      </c>
      <c r="AS366" t="str">
        <f>IF(LEN(X366)=0,"",X366)</f>
        <v/>
      </c>
    </row>
    <row r="367" spans="2:45" x14ac:dyDescent="0.35">
      <c r="B367" s="412">
        <v>905.1</v>
      </c>
      <c r="C367" s="13"/>
      <c r="D367" s="13"/>
      <c r="E367" s="13"/>
      <c r="F367" s="13"/>
      <c r="G367" s="13"/>
      <c r="H367" s="453"/>
      <c r="I367" s="93"/>
      <c r="J367" s="4"/>
      <c r="K367" s="4"/>
      <c r="L367" s="838"/>
      <c r="M367" s="818"/>
      <c r="N367" s="4"/>
      <c r="O367" s="832"/>
      <c r="X367" s="817"/>
    </row>
    <row r="368" spans="2:45" x14ac:dyDescent="0.35">
      <c r="B368" s="412">
        <v>905.1</v>
      </c>
      <c r="C368" s="13"/>
      <c r="D368" s="13"/>
      <c r="E368" s="13"/>
      <c r="F368" s="13"/>
      <c r="G368" s="13"/>
      <c r="H368" s="453"/>
      <c r="I368" s="93"/>
      <c r="J368" s="4"/>
      <c r="K368" s="4"/>
      <c r="L368" s="838"/>
      <c r="M368" s="818"/>
      <c r="N368" s="4"/>
      <c r="O368" s="832"/>
      <c r="X368" s="817"/>
    </row>
    <row r="369" spans="2:45" x14ac:dyDescent="0.35">
      <c r="B369" s="412">
        <v>905.1</v>
      </c>
      <c r="C369" s="13"/>
      <c r="D369" s="13"/>
      <c r="E369" s="13"/>
      <c r="F369" s="13"/>
      <c r="G369" s="13"/>
      <c r="H369" s="453"/>
      <c r="I369" s="93"/>
      <c r="J369" s="4"/>
      <c r="K369" s="4"/>
      <c r="L369" s="838"/>
      <c r="M369" s="818"/>
      <c r="N369" s="4"/>
      <c r="O369" s="832"/>
      <c r="X369" s="817"/>
    </row>
    <row r="370" spans="2:45" ht="15" thickBot="1" x14ac:dyDescent="0.4">
      <c r="B370" s="412">
        <v>905.1</v>
      </c>
      <c r="C370" s="13"/>
      <c r="D370" s="13"/>
      <c r="E370" s="13"/>
      <c r="F370" s="13"/>
      <c r="G370" s="13"/>
      <c r="H370" s="453"/>
      <c r="I370" s="294"/>
      <c r="J370" s="160"/>
      <c r="K370" s="160"/>
      <c r="L370" s="849"/>
      <c r="M370" s="827"/>
      <c r="N370" s="160"/>
      <c r="O370" s="833"/>
      <c r="P370" s="55"/>
      <c r="Q370" s="55"/>
      <c r="R370" s="55"/>
      <c r="S370" s="55"/>
      <c r="T370" s="55"/>
      <c r="U370" s="55"/>
      <c r="V370" s="55"/>
      <c r="W370" s="55"/>
      <c r="X370" s="829"/>
    </row>
    <row r="371" spans="2:45" ht="15" thickTop="1" x14ac:dyDescent="0.35">
      <c r="B371" s="412">
        <v>905.2</v>
      </c>
      <c r="C371" s="13"/>
      <c r="D371" s="13"/>
      <c r="E371" s="13"/>
      <c r="F371" s="13"/>
      <c r="G371" s="13"/>
      <c r="H371" s="453"/>
      <c r="I371" s="106">
        <v>905.2</v>
      </c>
      <c r="J371" s="107"/>
      <c r="K371" s="107"/>
      <c r="L371" s="837" t="s">
        <v>3276</v>
      </c>
      <c r="M371" s="830">
        <v>2</v>
      </c>
      <c r="N371" s="107"/>
      <c r="O371" s="831">
        <f>M371*S371*W371</f>
        <v>0</v>
      </c>
      <c r="P371" s="59" t="b">
        <v>0</v>
      </c>
      <c r="Q371" s="59" t="b">
        <v>1</v>
      </c>
      <c r="R371" s="59" t="b">
        <v>0</v>
      </c>
      <c r="S371" s="59" t="b">
        <v>1</v>
      </c>
      <c r="T371" s="59" t="b">
        <v>0</v>
      </c>
      <c r="U371" s="59"/>
      <c r="V371" s="59"/>
      <c r="W371" s="236"/>
      <c r="X371" s="840"/>
      <c r="AL371" t="str">
        <f>SUBSTITUTE(SUBSTITUTE(SUBSTITUTE("dpa"&amp;$B371&amp;$C371&amp;$D371&amp;$E371,".","_"),"(","_"),")","")</f>
        <v>dpa905_2</v>
      </c>
      <c r="AM371">
        <f>M371</f>
        <v>2</v>
      </c>
      <c r="AN371" t="str">
        <f>SUBSTITUTE(SUBSTITUTE(SUBSTITUTE("dpc"&amp;$B371&amp;$C371&amp;$D371&amp;$E371,".","_"),"(","_"),")","")</f>
        <v>dpc905_2</v>
      </c>
      <c r="AO371">
        <f>O371</f>
        <v>0</v>
      </c>
      <c r="AP371" t="str">
        <f>SUBSTITUTE(SUBSTITUTE(SUBSTITUTE("dch"&amp;$B371&amp;$C371&amp;$D371&amp;$E371,".","_"),"(","_"),")","")</f>
        <v>dch905_2</v>
      </c>
      <c r="AQ371" t="str">
        <f>IF(LEN(W371)=0,"",W371)</f>
        <v/>
      </c>
      <c r="AR371" t="str">
        <f>SUBSTITUTE(SUBSTITUTE(SUBSTITUTE("dnt"&amp;$B371&amp;$C371&amp;$D371&amp;$E371,".","_"),"(","_"),")","")</f>
        <v>dnt905_2</v>
      </c>
      <c r="AS371" t="str">
        <f>IF(LEN(X371)=0,"",X371)</f>
        <v/>
      </c>
    </row>
    <row r="372" spans="2:45" ht="15" thickBot="1" x14ac:dyDescent="0.4">
      <c r="B372" s="412">
        <v>905.2</v>
      </c>
      <c r="C372" s="13"/>
      <c r="D372" s="13"/>
      <c r="E372" s="13"/>
      <c r="F372" s="13"/>
      <c r="G372" s="13"/>
      <c r="H372" s="453"/>
      <c r="I372" s="294"/>
      <c r="J372" s="160"/>
      <c r="K372" s="160"/>
      <c r="L372" s="849"/>
      <c r="M372" s="827"/>
      <c r="N372" s="160"/>
      <c r="O372" s="833"/>
      <c r="P372" s="55"/>
      <c r="Q372" s="55"/>
      <c r="R372" s="55"/>
      <c r="S372" s="55"/>
      <c r="T372" s="55"/>
      <c r="U372" s="55"/>
      <c r="V372" s="55"/>
      <c r="W372" s="55"/>
      <c r="X372" s="829"/>
    </row>
    <row r="373" spans="2:45" customFormat="1" ht="15" thickTop="1" x14ac:dyDescent="0.35">
      <c r="B373" s="412" t="s">
        <v>4541</v>
      </c>
      <c r="I373" s="402" t="s">
        <v>4541</v>
      </c>
      <c r="J373" s="402"/>
      <c r="K373" s="412"/>
      <c r="L373" s="485" t="s">
        <v>4542</v>
      </c>
      <c r="M373" s="40">
        <v>2</v>
      </c>
      <c r="O373" s="75">
        <f>M373*S374*AND(W374=TRUE,W375=TRUE)</f>
        <v>0</v>
      </c>
      <c r="AL373" t="str">
        <f>SUBSTITUTE(SUBSTITUTE(SUBSTITUTE("dpa"&amp;$B373&amp;$C373&amp;$D373&amp;$E373,".","_"),"(","_"),")","")</f>
        <v>dpa905_3</v>
      </c>
      <c r="AM373">
        <f>M373</f>
        <v>2</v>
      </c>
      <c r="AN373" t="str">
        <f>SUBSTITUTE(SUBSTITUTE(SUBSTITUTE("dpc"&amp;$B373&amp;$C373&amp;$D373&amp;$E373,".","_"),"(","_"),")","")</f>
        <v>dpc905_3</v>
      </c>
      <c r="AO373">
        <f>O373</f>
        <v>0</v>
      </c>
    </row>
    <row r="374" spans="2:45" customFormat="1" x14ac:dyDescent="0.35">
      <c r="B374" s="412" t="s">
        <v>4541</v>
      </c>
      <c r="C374" s="412" t="s">
        <v>256</v>
      </c>
      <c r="I374" s="402"/>
      <c r="J374" s="402" t="s">
        <v>256</v>
      </c>
      <c r="K374" s="412"/>
      <c r="L374" s="517" t="s">
        <v>4543</v>
      </c>
      <c r="M374" s="40"/>
      <c r="O374" s="75"/>
      <c r="P374" t="b">
        <v>0</v>
      </c>
      <c r="Q374" t="b">
        <v>1</v>
      </c>
      <c r="R374" t="b">
        <v>0</v>
      </c>
      <c r="S374" t="b">
        <v>1</v>
      </c>
      <c r="T374" t="b">
        <v>0</v>
      </c>
      <c r="W374" s="17"/>
      <c r="X374" s="36"/>
      <c r="AP374" t="str">
        <f>SUBSTITUTE(SUBSTITUTE(SUBSTITUTE("dch"&amp;$B374&amp;$C374&amp;$D374&amp;$E374,".","_"),"(","_"),")","")</f>
        <v>dch905_3_1</v>
      </c>
      <c r="AQ374" t="str">
        <f>IF(LEN(W374)=0,"",W374)</f>
        <v/>
      </c>
      <c r="AR374" t="str">
        <f>SUBSTITUTE(SUBSTITUTE(SUBSTITUTE("dnt"&amp;$B374&amp;$C374&amp;$D374&amp;$E374,".","_"),"(","_"),")","")</f>
        <v>dnt905_3_1</v>
      </c>
      <c r="AS374" t="str">
        <f>IF(LEN(X374)=0,"",X374)</f>
        <v/>
      </c>
    </row>
    <row r="375" spans="2:45" customFormat="1" x14ac:dyDescent="0.35">
      <c r="B375" s="412" t="s">
        <v>4541</v>
      </c>
      <c r="C375" s="412" t="s">
        <v>258</v>
      </c>
      <c r="I375" s="402"/>
      <c r="J375" s="402" t="s">
        <v>258</v>
      </c>
      <c r="K375" s="412"/>
      <c r="L375" s="957" t="s">
        <v>4544</v>
      </c>
      <c r="M375" s="40"/>
      <c r="P375" t="b">
        <v>0</v>
      </c>
      <c r="Q375" t="b">
        <v>1</v>
      </c>
      <c r="R375" t="b">
        <v>0</v>
      </c>
      <c r="S375" t="b">
        <v>1</v>
      </c>
      <c r="T375" t="b">
        <v>0</v>
      </c>
      <c r="W375" s="17"/>
      <c r="X375" s="817"/>
      <c r="AP375" t="str">
        <f>SUBSTITUTE(SUBSTITUTE(SUBSTITUTE("dch"&amp;$B375&amp;$C375&amp;$D375&amp;$E375,".","_"),"(","_"),")","")</f>
        <v>dch905_3_2</v>
      </c>
      <c r="AQ375" t="str">
        <f>IF(LEN(W375)=0,"",W375)</f>
        <v/>
      </c>
      <c r="AR375" t="str">
        <f>SUBSTITUTE(SUBSTITUTE(SUBSTITUTE("dnt"&amp;$B375&amp;$C375&amp;$D375&amp;$E375,".","_"),"(","_"),")","")</f>
        <v>dnt905_3_2</v>
      </c>
      <c r="AS375" t="str">
        <f>IF(LEN(X375)=0,"",X375)</f>
        <v/>
      </c>
    </row>
    <row r="376" spans="2:45" customFormat="1" ht="15" thickBot="1" x14ac:dyDescent="0.4">
      <c r="B376" s="412" t="s">
        <v>4541</v>
      </c>
      <c r="C376" s="412" t="s">
        <v>258</v>
      </c>
      <c r="I376" s="407"/>
      <c r="J376" s="407"/>
      <c r="K376" s="413"/>
      <c r="L376" s="958"/>
      <c r="M376" s="270"/>
      <c r="N376" s="55"/>
      <c r="O376" s="55"/>
      <c r="P376" s="55"/>
      <c r="Q376" s="55"/>
      <c r="R376" s="55"/>
      <c r="S376" s="55"/>
      <c r="T376" s="55"/>
      <c r="U376" s="55"/>
      <c r="V376" s="55"/>
      <c r="W376" s="55"/>
      <c r="X376" s="829"/>
    </row>
    <row r="377" spans="2:45" customFormat="1" ht="15.75" customHeight="1" thickTop="1" x14ac:dyDescent="0.35">
      <c r="B377" s="412" t="s">
        <v>4545</v>
      </c>
      <c r="I377" s="414" t="s">
        <v>4545</v>
      </c>
      <c r="J377" s="414"/>
      <c r="K377" s="419"/>
      <c r="L377" s="853" t="s">
        <v>4887</v>
      </c>
      <c r="M377" s="830" t="s">
        <v>4886</v>
      </c>
      <c r="N377" s="59"/>
      <c r="O377" s="959">
        <f ca="1">IF(AY19=INDEX(INDIRECT("ddSingleOrMulti"),2),4,1)*S377*W377</f>
        <v>0</v>
      </c>
      <c r="P377" s="59" t="b">
        <v>0</v>
      </c>
      <c r="Q377" s="59" t="b">
        <v>1</v>
      </c>
      <c r="R377" s="59" t="b">
        <v>0</v>
      </c>
      <c r="S377" s="59" t="b">
        <v>1</v>
      </c>
      <c r="T377" s="59" t="b">
        <v>0</v>
      </c>
      <c r="U377" s="59"/>
      <c r="V377" s="59"/>
      <c r="W377" s="17"/>
      <c r="X377" s="816"/>
      <c r="AL377" t="str">
        <f>SUBSTITUTE(SUBSTITUTE(SUBSTITUTE("dpa"&amp;$B377&amp;$C377&amp;$D377&amp;$E377,".","_"),"(","_"),")","")</f>
        <v>dpa905_4</v>
      </c>
      <c r="AM377" t="str">
        <f>M377</f>
        <v>1 SF / 4 MF</v>
      </c>
      <c r="AN377" t="str">
        <f>SUBSTITUTE(SUBSTITUTE(SUBSTITUTE("dpc"&amp;$B377&amp;$C377&amp;$D377&amp;$E377,".","_"),"(","_"),")","")</f>
        <v>dpc905_4</v>
      </c>
      <c r="AO377">
        <f ca="1">O377</f>
        <v>0</v>
      </c>
      <c r="AP377" t="str">
        <f>SUBSTITUTE(SUBSTITUTE(SUBSTITUTE("dch"&amp;$B377&amp;$C377&amp;$D377&amp;$E377,".","_"),"(","_"),")","")</f>
        <v>dch905_4</v>
      </c>
      <c r="AQ377" t="str">
        <f>IF(LEN(W377)=0,"",W377)</f>
        <v/>
      </c>
      <c r="AR377" t="str">
        <f>SUBSTITUTE(SUBSTITUTE(SUBSTITUTE("dnt"&amp;$B377&amp;$C377&amp;$D377&amp;$E377,".","_"),"(","_"),")","")</f>
        <v>dnt905_4</v>
      </c>
      <c r="AS377" t="str">
        <f>IF(LEN(X377)=0,"",X377)</f>
        <v/>
      </c>
    </row>
    <row r="378" spans="2:45" customFormat="1" x14ac:dyDescent="0.35">
      <c r="B378" s="412" t="s">
        <v>4545</v>
      </c>
      <c r="I378" s="402"/>
      <c r="J378" s="402"/>
      <c r="K378" s="412"/>
      <c r="L378" s="841"/>
      <c r="M378" s="818"/>
      <c r="O378" s="834"/>
      <c r="X378" s="817"/>
    </row>
    <row r="379" spans="2:45" customFormat="1" x14ac:dyDescent="0.35">
      <c r="B379" s="412" t="s">
        <v>4545</v>
      </c>
      <c r="I379" s="402"/>
      <c r="J379" s="402"/>
      <c r="K379" s="412"/>
      <c r="L379" s="841"/>
      <c r="M379" s="818"/>
      <c r="O379" s="834"/>
      <c r="X379" s="817"/>
    </row>
    <row r="380" spans="2:45" customFormat="1" x14ac:dyDescent="0.35">
      <c r="B380" s="412" t="s">
        <v>4545</v>
      </c>
      <c r="I380" s="402"/>
      <c r="J380" s="402"/>
      <c r="K380" s="412"/>
      <c r="L380" s="841"/>
      <c r="M380" s="40"/>
    </row>
    <row r="381" spans="2:45" customFormat="1" ht="15" thickBot="1" x14ac:dyDescent="0.4">
      <c r="B381" s="412" t="s">
        <v>4545</v>
      </c>
      <c r="I381" s="407"/>
      <c r="J381" s="407"/>
      <c r="K381" s="413"/>
      <c r="L381" s="854"/>
      <c r="M381" s="270"/>
      <c r="N381" s="55"/>
      <c r="O381" s="55"/>
      <c r="P381" s="55"/>
      <c r="Q381" s="55"/>
      <c r="R381" s="55"/>
      <c r="S381" s="55"/>
      <c r="T381" s="55"/>
      <c r="U381" s="55"/>
      <c r="V381" s="55"/>
      <c r="W381" s="55"/>
      <c r="X381" s="55"/>
    </row>
    <row r="382" spans="2:45" customFormat="1" ht="15" thickTop="1" x14ac:dyDescent="0.35">
      <c r="B382" s="412" t="s">
        <v>6064</v>
      </c>
      <c r="I382" s="402" t="s">
        <v>6064</v>
      </c>
      <c r="J382" s="402"/>
      <c r="K382" s="412"/>
      <c r="L382" s="841" t="s">
        <v>6065</v>
      </c>
      <c r="M382" s="818">
        <v>2</v>
      </c>
      <c r="O382" s="834">
        <f>M382*S382*W382</f>
        <v>0</v>
      </c>
      <c r="P382" t="b">
        <v>0</v>
      </c>
      <c r="Q382" t="b">
        <v>1</v>
      </c>
      <c r="R382" t="b">
        <v>0</v>
      </c>
      <c r="S382" t="b">
        <v>1</v>
      </c>
      <c r="T382" t="b">
        <v>0</v>
      </c>
      <c r="W382" s="17"/>
      <c r="X382" s="817"/>
      <c r="AL382" t="str">
        <f>SUBSTITUTE(SUBSTITUTE(SUBSTITUTE("dpa"&amp;$B382&amp;$C382&amp;$D382&amp;$E382,".","_"),"(","_"),")","")</f>
        <v>dpa905_5</v>
      </c>
      <c r="AM382">
        <f>M382</f>
        <v>2</v>
      </c>
      <c r="AN382" t="str">
        <f>SUBSTITUTE(SUBSTITUTE(SUBSTITUTE("dpc"&amp;$B382&amp;$C382&amp;$D382&amp;$E382,".","_"),"(","_"),")","")</f>
        <v>dpc905_5</v>
      </c>
      <c r="AO382">
        <f>O382</f>
        <v>0</v>
      </c>
      <c r="AP382" t="str">
        <f>SUBSTITUTE(SUBSTITUTE(SUBSTITUTE("dch"&amp;$B382&amp;$C382&amp;$D382&amp;$E382,".","_"),"(","_"),")","")</f>
        <v>dch905_5</v>
      </c>
      <c r="AQ382" t="str">
        <f>IF(LEN(W382)=0,"",W382)</f>
        <v/>
      </c>
      <c r="AR382" t="str">
        <f>SUBSTITUTE(SUBSTITUTE(SUBSTITUTE("dnt"&amp;$B382&amp;$C382&amp;$D382&amp;$E382,".","_"),"(","_"),")","")</f>
        <v>dnt905_5</v>
      </c>
      <c r="AS382" t="str">
        <f>IF(LEN(X382)=0,"",X382)</f>
        <v/>
      </c>
    </row>
    <row r="383" spans="2:45" customFormat="1" x14ac:dyDescent="0.35">
      <c r="B383" s="412" t="s">
        <v>6064</v>
      </c>
      <c r="I383" s="412"/>
      <c r="J383" s="412"/>
      <c r="K383" s="412"/>
      <c r="L383" s="841"/>
      <c r="M383" s="818"/>
      <c r="O383" s="834"/>
      <c r="X383" s="817"/>
    </row>
    <row r="384" spans="2:45" customFormat="1" x14ac:dyDescent="0.35">
      <c r="B384" s="412" t="s">
        <v>6064</v>
      </c>
      <c r="I384" s="412"/>
      <c r="J384" s="412"/>
      <c r="K384" s="412"/>
      <c r="L384" s="841"/>
      <c r="M384" s="818"/>
      <c r="O384" s="834"/>
      <c r="X384" s="817"/>
    </row>
    <row r="385" spans="1:24" ht="15" thickBot="1" x14ac:dyDescent="0.4">
      <c r="A385"/>
      <c r="B385" s="412" t="s">
        <v>6064</v>
      </c>
      <c r="C385"/>
      <c r="D385"/>
      <c r="E385"/>
      <c r="F385"/>
      <c r="G385"/>
      <c r="H385"/>
      <c r="I385" s="412"/>
      <c r="J385" s="412"/>
      <c r="K385" s="412"/>
      <c r="L385" s="841"/>
      <c r="M385" s="827"/>
      <c r="N385" s="55"/>
      <c r="O385" s="863"/>
      <c r="P385" s="55"/>
      <c r="Q385" s="55"/>
      <c r="R385" s="55"/>
      <c r="S385" s="55"/>
      <c r="T385" s="55"/>
      <c r="X385" s="817"/>
    </row>
    <row r="386" spans="1:24" ht="15.5" thickTop="1" thickBot="1" x14ac:dyDescent="0.4">
      <c r="I386" s="123" t="s">
        <v>3782</v>
      </c>
      <c r="J386" s="124"/>
      <c r="K386" s="124"/>
      <c r="L386" s="124"/>
      <c r="M386" s="125"/>
      <c r="N386" s="124"/>
      <c r="O386" s="126"/>
      <c r="P386" s="124"/>
      <c r="Q386" s="124"/>
      <c r="R386" s="124"/>
      <c r="S386" s="124"/>
      <c r="T386" s="124"/>
      <c r="U386" s="124"/>
      <c r="V386" s="124"/>
      <c r="W386" s="124"/>
      <c r="X386" s="169" t="s">
        <v>3783</v>
      </c>
    </row>
    <row r="387" spans="1:24" ht="15" thickTop="1" x14ac:dyDescent="0.35"/>
  </sheetData>
  <sheetProtection algorithmName="SHA-512" hashValue="nDdoSr4eonReemfNcmsHmfBHUPA7gshTEtJ1Pu6AZrq+ePtyY5pSPazEqvcHCI10RkWmEJnP/vMvwusXUUCqJQ==" saltValue="d0dKA2tV1l9gMLahx/dcWA==" spinCount="100000" sheet="1" objects="1" scenarios="1" selectLockedCells="1" autoFilter="0"/>
  <mergeCells count="296">
    <mergeCell ref="H1:H7"/>
    <mergeCell ref="X328:X331"/>
    <mergeCell ref="X332:X335"/>
    <mergeCell ref="X344:X348"/>
    <mergeCell ref="X349:X351"/>
    <mergeCell ref="X366:X370"/>
    <mergeCell ref="X371:X372"/>
    <mergeCell ref="X336:X340"/>
    <mergeCell ref="X230:X231"/>
    <mergeCell ref="X232:X234"/>
    <mergeCell ref="X235:X237"/>
    <mergeCell ref="X314:X315"/>
    <mergeCell ref="X316:X318"/>
    <mergeCell ref="X322:X323"/>
    <mergeCell ref="X324:X325"/>
    <mergeCell ref="X186:X187"/>
    <mergeCell ref="X188:X189"/>
    <mergeCell ref="X190:X192"/>
    <mergeCell ref="X193:X196"/>
    <mergeCell ref="X197:X200"/>
    <mergeCell ref="X201:X205"/>
    <mergeCell ref="X208:X209"/>
    <mergeCell ref="X140:X145"/>
    <mergeCell ref="X149:X153"/>
    <mergeCell ref="X155:X158"/>
    <mergeCell ref="X159:X163"/>
    <mergeCell ref="X168:X169"/>
    <mergeCell ref="X170:X173"/>
    <mergeCell ref="X176:X177"/>
    <mergeCell ref="X178:X179"/>
    <mergeCell ref="X184:X185"/>
    <mergeCell ref="X93:X95"/>
    <mergeCell ref="X96:X97"/>
    <mergeCell ref="X105:X114"/>
    <mergeCell ref="X115:X118"/>
    <mergeCell ref="X119:X124"/>
    <mergeCell ref="X125:X127"/>
    <mergeCell ref="X130:X131"/>
    <mergeCell ref="X133:X134"/>
    <mergeCell ref="X135:X139"/>
    <mergeCell ref="X164:X167"/>
    <mergeCell ref="X48:X50"/>
    <mergeCell ref="X51:X52"/>
    <mergeCell ref="X53:X54"/>
    <mergeCell ref="X58:X59"/>
    <mergeCell ref="X60:X61"/>
    <mergeCell ref="X62:X67"/>
    <mergeCell ref="X72:X76"/>
    <mergeCell ref="X77:X87"/>
    <mergeCell ref="X91:X92"/>
    <mergeCell ref="X12:X17"/>
    <mergeCell ref="X18:X20"/>
    <mergeCell ref="X23:X25"/>
    <mergeCell ref="X26:X28"/>
    <mergeCell ref="X29:X33"/>
    <mergeCell ref="X34:X36"/>
    <mergeCell ref="X37:X39"/>
    <mergeCell ref="X43:X45"/>
    <mergeCell ref="X46:X47"/>
    <mergeCell ref="M49:M50"/>
    <mergeCell ref="O43:O45"/>
    <mergeCell ref="O46:O47"/>
    <mergeCell ref="O48:O50"/>
    <mergeCell ref="O51:O52"/>
    <mergeCell ref="O53:O54"/>
    <mergeCell ref="O98:O104"/>
    <mergeCell ref="O119:O124"/>
    <mergeCell ref="O128:O129"/>
    <mergeCell ref="O58:O59"/>
    <mergeCell ref="O60:O61"/>
    <mergeCell ref="O62:O67"/>
    <mergeCell ref="O91:O92"/>
    <mergeCell ref="O93:O95"/>
    <mergeCell ref="M62:M67"/>
    <mergeCell ref="M69:M71"/>
    <mergeCell ref="M72:M76"/>
    <mergeCell ref="M81:M82"/>
    <mergeCell ref="M85:M86"/>
    <mergeCell ref="O69:O71"/>
    <mergeCell ref="I1:L1"/>
    <mergeCell ref="M1:W5"/>
    <mergeCell ref="I2:L2"/>
    <mergeCell ref="I3:L3"/>
    <mergeCell ref="I6:K7"/>
    <mergeCell ref="L6:L7"/>
    <mergeCell ref="M6:M7"/>
    <mergeCell ref="N6:N7"/>
    <mergeCell ref="P6:P7"/>
    <mergeCell ref="L12:L15"/>
    <mergeCell ref="L16:L17"/>
    <mergeCell ref="U6:U7"/>
    <mergeCell ref="V6:V7"/>
    <mergeCell ref="W6:W7"/>
    <mergeCell ref="L41:L42"/>
    <mergeCell ref="L43:L45"/>
    <mergeCell ref="L46:L47"/>
    <mergeCell ref="X4:X5"/>
    <mergeCell ref="Q6:Q7"/>
    <mergeCell ref="X6:X7"/>
    <mergeCell ref="R6:R7"/>
    <mergeCell ref="S6:S7"/>
    <mergeCell ref="T6:T7"/>
    <mergeCell ref="M12:M17"/>
    <mergeCell ref="I4:L4"/>
    <mergeCell ref="I5:L5"/>
    <mergeCell ref="O12:O17"/>
    <mergeCell ref="M18:M19"/>
    <mergeCell ref="M29:M33"/>
    <mergeCell ref="M34:M36"/>
    <mergeCell ref="O18:O19"/>
    <mergeCell ref="O34:O36"/>
    <mergeCell ref="M44:M45"/>
    <mergeCell ref="L316:L318"/>
    <mergeCell ref="L324:L325"/>
    <mergeCell ref="L48:L50"/>
    <mergeCell ref="L53:L54"/>
    <mergeCell ref="L51:L52"/>
    <mergeCell ref="L18:L19"/>
    <mergeCell ref="L21:L22"/>
    <mergeCell ref="L29:L33"/>
    <mergeCell ref="L81:L82"/>
    <mergeCell ref="L85:L86"/>
    <mergeCell ref="L88:L89"/>
    <mergeCell ref="L34:L36"/>
    <mergeCell ref="L58:L59"/>
    <mergeCell ref="L60:L61"/>
    <mergeCell ref="L62:L67"/>
    <mergeCell ref="L69:L71"/>
    <mergeCell ref="L72:L75"/>
    <mergeCell ref="L312:L313"/>
    <mergeCell ref="L314:L315"/>
    <mergeCell ref="L212:L214"/>
    <mergeCell ref="L219:L222"/>
    <mergeCell ref="L248:L255"/>
    <mergeCell ref="L256:L262"/>
    <mergeCell ref="L91:L92"/>
    <mergeCell ref="L366:L370"/>
    <mergeCell ref="L371:L372"/>
    <mergeCell ref="L349:L351"/>
    <mergeCell ref="M219:M222"/>
    <mergeCell ref="L225:L226"/>
    <mergeCell ref="L230:L231"/>
    <mergeCell ref="L193:L194"/>
    <mergeCell ref="L197:L198"/>
    <mergeCell ref="L206:L207"/>
    <mergeCell ref="L208:L209"/>
    <mergeCell ref="L210:L211"/>
    <mergeCell ref="M206:M207"/>
    <mergeCell ref="M223:M224"/>
    <mergeCell ref="M225:M226"/>
    <mergeCell ref="M230:M231"/>
    <mergeCell ref="M202:M203"/>
    <mergeCell ref="M204:M205"/>
    <mergeCell ref="M366:M370"/>
    <mergeCell ref="M371:M372"/>
    <mergeCell ref="L336:L337"/>
    <mergeCell ref="L322:L323"/>
    <mergeCell ref="L223:L224"/>
    <mergeCell ref="M329:M330"/>
    <mergeCell ref="M334:M335"/>
    <mergeCell ref="L93:L95"/>
    <mergeCell ref="L176:L177"/>
    <mergeCell ref="L186:L187"/>
    <mergeCell ref="L164:L167"/>
    <mergeCell ref="L119:L124"/>
    <mergeCell ref="L125:L127"/>
    <mergeCell ref="L170:L171"/>
    <mergeCell ref="L174:L175"/>
    <mergeCell ref="L137:L138"/>
    <mergeCell ref="L140:L145"/>
    <mergeCell ref="L146:L148"/>
    <mergeCell ref="L155:L157"/>
    <mergeCell ref="L128:L129"/>
    <mergeCell ref="L130:L131"/>
    <mergeCell ref="L135:L136"/>
    <mergeCell ref="L159:L163"/>
    <mergeCell ref="L168:L169"/>
    <mergeCell ref="L96:L97"/>
    <mergeCell ref="L98:L102"/>
    <mergeCell ref="L103:L104"/>
    <mergeCell ref="L117:L118"/>
    <mergeCell ref="L105:L108"/>
    <mergeCell ref="L149:L153"/>
    <mergeCell ref="M312:M313"/>
    <mergeCell ref="M322:M323"/>
    <mergeCell ref="M324:M325"/>
    <mergeCell ref="M149:M153"/>
    <mergeCell ref="M91:M92"/>
    <mergeCell ref="M93:M95"/>
    <mergeCell ref="M96:M97"/>
    <mergeCell ref="M98:M104"/>
    <mergeCell ref="M190:M192"/>
    <mergeCell ref="M193:M194"/>
    <mergeCell ref="M197:M198"/>
    <mergeCell ref="M159:M163"/>
    <mergeCell ref="M176:M177"/>
    <mergeCell ref="M178:M179"/>
    <mergeCell ref="M184:M185"/>
    <mergeCell ref="M188:M189"/>
    <mergeCell ref="M168:M169"/>
    <mergeCell ref="M186:M187"/>
    <mergeCell ref="M155:M157"/>
    <mergeCell ref="M119:M124"/>
    <mergeCell ref="M128:M129"/>
    <mergeCell ref="M135:M138"/>
    <mergeCell ref="M140:M145"/>
    <mergeCell ref="M164:M167"/>
    <mergeCell ref="O135:O138"/>
    <mergeCell ref="O349:O351"/>
    <mergeCell ref="O366:O370"/>
    <mergeCell ref="O371:O372"/>
    <mergeCell ref="O193:O194"/>
    <mergeCell ref="O219:O222"/>
    <mergeCell ref="O230:O231"/>
    <mergeCell ref="O232:O234"/>
    <mergeCell ref="O235:O237"/>
    <mergeCell ref="O312:O313"/>
    <mergeCell ref="O322:O323"/>
    <mergeCell ref="O336:O337"/>
    <mergeCell ref="O344:O348"/>
    <mergeCell ref="O206:O207"/>
    <mergeCell ref="O146:O148"/>
    <mergeCell ref="O140:O145"/>
    <mergeCell ref="O159:O163"/>
    <mergeCell ref="O170:O171"/>
    <mergeCell ref="O176:O177"/>
    <mergeCell ref="O178:O179"/>
    <mergeCell ref="O186:O187"/>
    <mergeCell ref="O190:O192"/>
    <mergeCell ref="O197:O198"/>
    <mergeCell ref="O164:O167"/>
    <mergeCell ref="M215:M217"/>
    <mergeCell ref="O215:O217"/>
    <mergeCell ref="X215:X217"/>
    <mergeCell ref="X219:X229"/>
    <mergeCell ref="L238:L240"/>
    <mergeCell ref="M232:M234"/>
    <mergeCell ref="M235:M237"/>
    <mergeCell ref="L178:L179"/>
    <mergeCell ref="L184:L185"/>
    <mergeCell ref="L232:L234"/>
    <mergeCell ref="L235:L237"/>
    <mergeCell ref="L190:L192"/>
    <mergeCell ref="X210:X211"/>
    <mergeCell ref="X212:X214"/>
    <mergeCell ref="L188:L189"/>
    <mergeCell ref="L215:L217"/>
    <mergeCell ref="L303:L304"/>
    <mergeCell ref="L305:L307"/>
    <mergeCell ref="L308:L309"/>
    <mergeCell ref="L310:L311"/>
    <mergeCell ref="X238:X246"/>
    <mergeCell ref="X310:X311"/>
    <mergeCell ref="X288:X309"/>
    <mergeCell ref="M238:M240"/>
    <mergeCell ref="L296:L298"/>
    <mergeCell ref="L299:L300"/>
    <mergeCell ref="L301:L302"/>
    <mergeCell ref="L263:L269"/>
    <mergeCell ref="L270:L274"/>
    <mergeCell ref="L275:L276"/>
    <mergeCell ref="L277:L280"/>
    <mergeCell ref="L281:L283"/>
    <mergeCell ref="L286:L287"/>
    <mergeCell ref="L290:L291"/>
    <mergeCell ref="L292:L293"/>
    <mergeCell ref="L294:L295"/>
    <mergeCell ref="M310:M311"/>
    <mergeCell ref="O310:O311"/>
    <mergeCell ref="L319:L321"/>
    <mergeCell ref="X319:X321"/>
    <mergeCell ref="L352:L353"/>
    <mergeCell ref="L354:L361"/>
    <mergeCell ref="M354:M355"/>
    <mergeCell ref="L362:L364"/>
    <mergeCell ref="M362:M363"/>
    <mergeCell ref="X354:X361"/>
    <mergeCell ref="X362:X364"/>
    <mergeCell ref="M344:M348"/>
    <mergeCell ref="M349:M351"/>
    <mergeCell ref="M336:M337"/>
    <mergeCell ref="L329:L330"/>
    <mergeCell ref="L334:L335"/>
    <mergeCell ref="L342:L343"/>
    <mergeCell ref="L344:L348"/>
    <mergeCell ref="L339:L340"/>
    <mergeCell ref="L375:L376"/>
    <mergeCell ref="L377:L381"/>
    <mergeCell ref="L382:L385"/>
    <mergeCell ref="M377:M379"/>
    <mergeCell ref="M382:M385"/>
    <mergeCell ref="O382:O385"/>
    <mergeCell ref="X375:X376"/>
    <mergeCell ref="X377:X379"/>
    <mergeCell ref="X382:X385"/>
    <mergeCell ref="O377:O379"/>
  </mergeCells>
  <conditionalFormatting sqref="I1">
    <cfRule type="expression" dxfId="3864" priority="73">
      <formula>$AG$1="Emerald"</formula>
    </cfRule>
    <cfRule type="expression" dxfId="3863" priority="72">
      <formula>$AG$1="Bronze"</formula>
    </cfRule>
    <cfRule type="expression" dxfId="3862" priority="71">
      <formula>$AG$1="Silver"</formula>
    </cfRule>
    <cfRule type="expression" dxfId="3861" priority="70">
      <formula>$AG$1="Gold"</formula>
    </cfRule>
  </conditionalFormatting>
  <conditionalFormatting sqref="W12">
    <cfRule type="expression" dxfId="3860" priority="368">
      <formula>$S$12 = FALSE</formula>
    </cfRule>
    <cfRule type="expression" dxfId="3859" priority="370">
      <formula>AND($R$12,$S$12)</formula>
    </cfRule>
    <cfRule type="expression" dxfId="3858" priority="369">
      <formula>AND(IF($R$12,$W$12,TRUE),LEN(TRIM($W$12))&gt;0)</formula>
    </cfRule>
    <cfRule type="expression" dxfId="3857" priority="367">
      <formula>OR($T$12 = TRUE, AND($W$12 = TRUE, $S$12 = FALSE))</formula>
    </cfRule>
  </conditionalFormatting>
  <conditionalFormatting sqref="W18">
    <cfRule type="expression" dxfId="3856" priority="363">
      <formula>OR($T$18 = TRUE, AND($W$18 = TRUE, $S$18 = FALSE))</formula>
    </cfRule>
    <cfRule type="expression" dxfId="3855" priority="364">
      <formula>$S$18 = FALSE</formula>
    </cfRule>
    <cfRule type="expression" dxfId="3854" priority="365">
      <formula>AND(IF($R$18,$W$18,TRUE),LEN(TRIM($W$18))&gt;0)</formula>
    </cfRule>
    <cfRule type="expression" dxfId="3853" priority="366">
      <formula>AND($R$18,$S$18)</formula>
    </cfRule>
  </conditionalFormatting>
  <conditionalFormatting sqref="W23">
    <cfRule type="expression" dxfId="3852" priority="359">
      <formula>OR($T$23 = TRUE, AND(LEN(TRIM($W$23))&gt;0, $S$23 = FALSE))</formula>
    </cfRule>
    <cfRule type="expression" dxfId="3851" priority="360">
      <formula>$S$23 = FALSE</formula>
    </cfRule>
    <cfRule type="expression" dxfId="3850" priority="361">
      <formula>AND($W$23&lt;&gt;"Not Met",LEN(TRIM($W$23))&gt;0)</formula>
    </cfRule>
    <cfRule type="expression" dxfId="3849" priority="362">
      <formula>AND($R$23,$S$23)</formula>
    </cfRule>
  </conditionalFormatting>
  <conditionalFormatting sqref="W26">
    <cfRule type="expression" dxfId="3848" priority="357">
      <formula>AND($W$26&lt;&gt;"Not Met",LEN(TRIM($W$26))&gt;0)</formula>
    </cfRule>
    <cfRule type="expression" dxfId="3847" priority="355">
      <formula>OR($T$26 = TRUE, AND(LEN(TRIM($W$26))&gt;0, $S$26 = FALSE))</formula>
    </cfRule>
    <cfRule type="expression" dxfId="3846" priority="356">
      <formula>$S$26 = FALSE</formula>
    </cfRule>
    <cfRule type="expression" dxfId="3845" priority="358">
      <formula>AND($R$26,$S$26)</formula>
    </cfRule>
  </conditionalFormatting>
  <conditionalFormatting sqref="W29">
    <cfRule type="expression" dxfId="3844" priority="352">
      <formula>$S$29 = FALSE</formula>
    </cfRule>
    <cfRule type="expression" dxfId="3843" priority="351">
      <formula>OR($T$29 = TRUE, AND(LEN(TRIM($W$29))&gt;0, $S$29 = FALSE))</formula>
    </cfRule>
    <cfRule type="expression" dxfId="3842" priority="354">
      <formula>AND($R$29,$S$29)</formula>
    </cfRule>
    <cfRule type="expression" dxfId="3841" priority="353">
      <formula>AND($W$29&lt;&gt;"Not Met",LEN(TRIM($W$29))&gt;0)</formula>
    </cfRule>
  </conditionalFormatting>
  <conditionalFormatting sqref="W34">
    <cfRule type="expression" dxfId="3840" priority="350">
      <formula>AND($R$34,$S$34)</formula>
    </cfRule>
    <cfRule type="expression" dxfId="3839" priority="349">
      <formula>AND(IF($R$34,$W$34,TRUE),LEN(TRIM($W$34))&gt;0)</formula>
    </cfRule>
    <cfRule type="expression" dxfId="3838" priority="348">
      <formula>$S$34 = FALSE</formula>
    </cfRule>
    <cfRule type="expression" dxfId="3837" priority="347">
      <formula>OR($T$34 = TRUE, AND($W$34 = TRUE, $S$34 = FALSE))</formula>
    </cfRule>
  </conditionalFormatting>
  <conditionalFormatting sqref="W37">
    <cfRule type="expression" dxfId="3836" priority="344">
      <formula>$S$37 = FALSE</formula>
    </cfRule>
    <cfRule type="expression" dxfId="3835" priority="346">
      <formula>AND($R$37,$S$37)</formula>
    </cfRule>
    <cfRule type="expression" dxfId="3834" priority="345">
      <formula>AND($W$37&lt;&gt;"Not Met",LEN(TRIM($W$37))&gt;0)</formula>
    </cfRule>
    <cfRule type="expression" dxfId="3833" priority="343">
      <formula>OR($T$37 = TRUE, AND(LEN(TRIM($W$37))&gt;0, $S$37 = FALSE))</formula>
    </cfRule>
  </conditionalFormatting>
  <conditionalFormatting sqref="W43">
    <cfRule type="expression" dxfId="3832" priority="342">
      <formula>AND($R$43,$S$43)</formula>
    </cfRule>
    <cfRule type="expression" dxfId="3831" priority="341">
      <formula>AND($W$43&lt;&gt;"Not Met",LEN(TRIM($W$43))&gt;0)</formula>
    </cfRule>
    <cfRule type="expression" dxfId="3830" priority="340">
      <formula>$S$43 = FALSE</formula>
    </cfRule>
    <cfRule type="expression" dxfId="3829" priority="339">
      <formula>OR($T$43 = TRUE, AND(LEN(TRIM($W$43))&gt;0, $S$43 = FALSE,$W$43&lt;&gt;"N/A"))</formula>
    </cfRule>
  </conditionalFormatting>
  <conditionalFormatting sqref="W46">
    <cfRule type="expression" dxfId="3828" priority="338">
      <formula>AND($R$46,$S$46)</formula>
    </cfRule>
    <cfRule type="expression" dxfId="3827" priority="337">
      <formula>AND($W$46&lt;&gt;"Not Met",LEN(TRIM($W$46))&gt;0)</formula>
    </cfRule>
    <cfRule type="expression" dxfId="3826" priority="336">
      <formula>$S$46 = FALSE</formula>
    </cfRule>
    <cfRule type="expression" dxfId="3825" priority="335">
      <formula>OR($T$46 = TRUE, AND(LEN(TRIM($W$46))&gt;0, $S$46 = FALSE,$W$46&lt;&gt;"N/A"))</formula>
    </cfRule>
  </conditionalFormatting>
  <conditionalFormatting sqref="W48">
    <cfRule type="expression" dxfId="3824" priority="332">
      <formula>$S$48 = FALSE</formula>
    </cfRule>
    <cfRule type="expression" dxfId="3823" priority="331">
      <formula>OR($T$48 = TRUE, AND(LEN(TRIM($W$48))&gt;0, $S$48 = FALSE,$W$48&lt;&gt;"N/A"))</formula>
    </cfRule>
    <cfRule type="expression" dxfId="3822" priority="334">
      <formula>AND($R$48,$S$48)</formula>
    </cfRule>
    <cfRule type="expression" dxfId="3821" priority="333">
      <formula>AND($W$48&lt;&gt;"Not Met",LEN(TRIM($W$48))&gt;0)</formula>
    </cfRule>
  </conditionalFormatting>
  <conditionalFormatting sqref="W51">
    <cfRule type="expression" dxfId="3820" priority="327">
      <formula>OR($T$51 = TRUE, AND(LEN(TRIM($W$51))&gt;0, $S$51 = FALSE,$W$51&lt;&gt;"N/A"))</formula>
    </cfRule>
    <cfRule type="expression" dxfId="3819" priority="330">
      <formula>AND($R$51,$S$51)</formula>
    </cfRule>
    <cfRule type="expression" dxfId="3818" priority="329">
      <formula>AND($W$51&lt;&gt;"Not Met",LEN(TRIM($W$51))&gt;0)</formula>
    </cfRule>
    <cfRule type="expression" dxfId="3817" priority="328">
      <formula>$S$51 = FALSE</formula>
    </cfRule>
  </conditionalFormatting>
  <conditionalFormatting sqref="W53">
    <cfRule type="expression" dxfId="3816" priority="326">
      <formula>AND($R$53,$S$53)</formula>
    </cfRule>
    <cfRule type="expression" dxfId="3815" priority="325">
      <formula>AND($W$53&lt;&gt;"Not Met",LEN(TRIM($W$53))&gt;0)</formula>
    </cfRule>
    <cfRule type="expression" dxfId="3814" priority="324">
      <formula>$S$53 = FALSE</formula>
    </cfRule>
    <cfRule type="expression" dxfId="3813" priority="323">
      <formula>OR($T$53 = TRUE, AND(LEN(TRIM($W$53))&gt;0, $S$53 = FALSE,$W$53&lt;&gt;"N/A"))</formula>
    </cfRule>
  </conditionalFormatting>
  <conditionalFormatting sqref="W55">
    <cfRule type="expression" dxfId="3812" priority="322">
      <formula>AND($R$55,$S$55)</formula>
    </cfRule>
    <cfRule type="expression" dxfId="3811" priority="319">
      <formula>OR($T$55 = TRUE, AND($W$55 = TRUE, $S$55 = FALSE))</formula>
    </cfRule>
    <cfRule type="expression" dxfId="3810" priority="320">
      <formula>$S$55 = FALSE</formula>
    </cfRule>
    <cfRule type="expression" dxfId="3809" priority="321">
      <formula>AND(IF($R$55,$W$55,TRUE),LEN(TRIM($W$55))&gt;0)</formula>
    </cfRule>
  </conditionalFormatting>
  <conditionalFormatting sqref="W58">
    <cfRule type="expression" dxfId="3808" priority="314">
      <formula>AND($R$58,$S$58)</formula>
    </cfRule>
    <cfRule type="expression" dxfId="3807" priority="311">
      <formula>OR($T$58 = TRUE, AND(LEN(TRIM($W$58))&gt;0, $S$58 = FALSE))</formula>
    </cfRule>
    <cfRule type="expression" dxfId="3806" priority="312">
      <formula>$S$58 = FALSE</formula>
    </cfRule>
    <cfRule type="expression" dxfId="3805" priority="313">
      <formula>AND($W$58&lt;&gt;"Not Met",LEN(TRIM($W$58))&gt;0)</formula>
    </cfRule>
  </conditionalFormatting>
  <conditionalFormatting sqref="W60">
    <cfRule type="expression" dxfId="3804" priority="310">
      <formula>AND($R$60,$S$60)</formula>
    </cfRule>
    <cfRule type="expression" dxfId="3803" priority="308">
      <formula>$S$60 = FALSE</formula>
    </cfRule>
    <cfRule type="expression" dxfId="3802" priority="307">
      <formula>OR($T$60 = TRUE, AND(LEN(TRIM($W$60))&gt;0, $S$60 = FALSE))</formula>
    </cfRule>
    <cfRule type="expression" dxfId="3801" priority="309">
      <formula>AND($W$60&lt;&gt;"Not Met",LEN(TRIM($W$60))&gt;0)</formula>
    </cfRule>
  </conditionalFormatting>
  <conditionalFormatting sqref="W62">
    <cfRule type="expression" dxfId="3800" priority="304">
      <formula>$S$62 = FALSE</formula>
    </cfRule>
    <cfRule type="expression" dxfId="3799" priority="303">
      <formula>OR($T$62 = TRUE, AND($W$62 = TRUE, $S$62 = FALSE))</formula>
    </cfRule>
    <cfRule type="expression" dxfId="3798" priority="305">
      <formula>AND(IF($R$62,$W$62,TRUE),LEN(TRIM($W$62))&gt;0)</formula>
    </cfRule>
    <cfRule type="expression" dxfId="3797" priority="306">
      <formula>AND($R$62,$S$62)</formula>
    </cfRule>
  </conditionalFormatting>
  <conditionalFormatting sqref="W68">
    <cfRule type="expression" dxfId="3796" priority="318">
      <formula>AND($R$68,$S$68)</formula>
    </cfRule>
    <cfRule type="expression" dxfId="3795" priority="317">
      <formula>AND(IF($R$68,$W$68,TRUE),LEN(TRIM($W$68))&gt;0)</formula>
    </cfRule>
    <cfRule type="expression" dxfId="3794" priority="315">
      <formula>OR($T$68 = TRUE, AND($W$68 = TRUE, $S$68 = FALSE))</formula>
    </cfRule>
    <cfRule type="expression" dxfId="3793" priority="316">
      <formula>$S$68 = FALSE</formula>
    </cfRule>
  </conditionalFormatting>
  <conditionalFormatting sqref="W72">
    <cfRule type="expression" dxfId="3792" priority="302">
      <formula>AND($R$72,$S$72)</formula>
    </cfRule>
    <cfRule type="expression" dxfId="3791" priority="301">
      <formula>AND($W$72&lt;&gt;"Not Met",LEN(TRIM($W$72))&gt;0)</formula>
    </cfRule>
    <cfRule type="expression" dxfId="3790" priority="300">
      <formula>$S$72 = FALSE</formula>
    </cfRule>
    <cfRule type="expression" dxfId="3789" priority="299">
      <formula>OR($T$72 = TRUE, AND(LEN(TRIM($W$72))&gt;0, $S$72 = FALSE))</formula>
    </cfRule>
  </conditionalFormatting>
  <conditionalFormatting sqref="W77">
    <cfRule type="expression" dxfId="3788" priority="298">
      <formula>AND($R$77,$S$77)</formula>
    </cfRule>
    <cfRule type="expression" dxfId="3787" priority="297">
      <formula>AND($W$77&lt;&gt;"Not Met",LEN(TRIM($W$77))&gt;0)</formula>
    </cfRule>
    <cfRule type="expression" dxfId="3786" priority="295">
      <formula>OR($T$77 = TRUE, AND(LEN(TRIM($W$77))&gt;0, $S$77 = FALSE))</formula>
    </cfRule>
    <cfRule type="expression" dxfId="3785" priority="296">
      <formula>$S$77 = FALSE</formula>
    </cfRule>
  </conditionalFormatting>
  <conditionalFormatting sqref="W78">
    <cfRule type="expression" dxfId="3784" priority="294">
      <formula>AND($R$78,$S$78)</formula>
    </cfRule>
    <cfRule type="expression" dxfId="3783" priority="293">
      <formula>AND($W$78&lt;&gt;"Not Met",LEN(TRIM($W$78))&gt;0)</formula>
    </cfRule>
    <cfRule type="expression" dxfId="3782" priority="291">
      <formula>OR($T$78 = TRUE, AND(LEN(TRIM($W$78))&gt;0, $S$78 = FALSE))</formula>
    </cfRule>
    <cfRule type="expression" dxfId="3781" priority="292">
      <formula>$S$78 = FALSE</formula>
    </cfRule>
  </conditionalFormatting>
  <conditionalFormatting sqref="W79">
    <cfRule type="expression" dxfId="3780" priority="288">
      <formula>$S$79 = FALSE</formula>
    </cfRule>
    <cfRule type="expression" dxfId="3779" priority="290">
      <formula>AND($R$79,$S$79)</formula>
    </cfRule>
    <cfRule type="expression" dxfId="3778" priority="289">
      <formula>AND($W$79&lt;&gt;"Not Met",LEN(TRIM($W$79))&gt;0)</formula>
    </cfRule>
    <cfRule type="expression" dxfId="3777" priority="287">
      <formula>OR($T$79 = TRUE, AND(LEN(TRIM($W$79))&gt;0, $S$79 = FALSE))</formula>
    </cfRule>
  </conditionalFormatting>
  <conditionalFormatting sqref="W80">
    <cfRule type="expression" dxfId="3776" priority="286">
      <formula>AND($R$80,$S$80)</formula>
    </cfRule>
    <cfRule type="expression" dxfId="3775" priority="285">
      <formula>AND($W$80&lt;&gt;"Not Met",LEN(TRIM($W$80))&gt;0)</formula>
    </cfRule>
    <cfRule type="expression" dxfId="3774" priority="284">
      <formula>$S$80 = FALSE</formula>
    </cfRule>
    <cfRule type="expression" dxfId="3773" priority="283">
      <formula>OR($T$80 = TRUE, AND(LEN(TRIM($W$80))&gt;0, $S$80 = FALSE))</formula>
    </cfRule>
  </conditionalFormatting>
  <conditionalFormatting sqref="W91">
    <cfRule type="expression" dxfId="3772" priority="280">
      <formula>$S$91 = FALSE</formula>
    </cfRule>
    <cfRule type="expression" dxfId="3771" priority="279">
      <formula>OR($T$91 = TRUE, AND($W$91 = TRUE, $S$91 = FALSE))</formula>
    </cfRule>
    <cfRule type="expression" dxfId="3770" priority="282">
      <formula>AND($R$91,$S$91)</formula>
    </cfRule>
    <cfRule type="expression" dxfId="3769" priority="281">
      <formula>AND(IF($R$91,$W$91,TRUE),LEN(TRIM($W$91))&gt;0)</formula>
    </cfRule>
  </conditionalFormatting>
  <conditionalFormatting sqref="W93">
    <cfRule type="expression" dxfId="3768" priority="276">
      <formula>$S$93 = FALSE</formula>
    </cfRule>
    <cfRule type="expression" dxfId="3767" priority="275">
      <formula>OR($T$93 = TRUE, AND($W$93 = TRUE, $S$93 = FALSE))</formula>
    </cfRule>
    <cfRule type="expression" dxfId="3766" priority="277">
      <formula>AND(IF($R$93,$W$93,TRUE),LEN(TRIM($W$93))&gt;0)</formula>
    </cfRule>
    <cfRule type="expression" dxfId="3765" priority="278">
      <formula>AND($R$93,$S$93)</formula>
    </cfRule>
  </conditionalFormatting>
  <conditionalFormatting sqref="W96">
    <cfRule type="expression" dxfId="3764" priority="274">
      <formula>AND($R$96,$S$96)</formula>
    </cfRule>
    <cfRule type="expression" dxfId="3763" priority="273">
      <formula>AND(IF($R$96,$W$96,TRUE),LEN(TRIM($W$96))&gt;0)</formula>
    </cfRule>
    <cfRule type="expression" dxfId="3762" priority="272">
      <formula>$S$96 = FALSE</formula>
    </cfRule>
    <cfRule type="expression" dxfId="3761" priority="271">
      <formula>OR($T$96 = TRUE, AND($W$96 = TRUE, $S$96 = FALSE))</formula>
    </cfRule>
  </conditionalFormatting>
  <conditionalFormatting sqref="W105">
    <cfRule type="notContainsBlanks" dxfId="3760" priority="110">
      <formula>LEN(TRIM(W105))&gt;0</formula>
    </cfRule>
    <cfRule type="expression" dxfId="3759" priority="107">
      <formula>OR(T105 = TRUE, AND(LEN(TRIM(W105))&gt;0, S105 = FALSE))</formula>
    </cfRule>
  </conditionalFormatting>
  <conditionalFormatting sqref="W115:W116">
    <cfRule type="expression" dxfId="3758" priority="103">
      <formula>OR(T115 = TRUE, AND(LEN(TRIM(W115))&gt;0, S115 = FALSE))</formula>
    </cfRule>
    <cfRule type="notContainsBlanks" dxfId="3757" priority="104">
      <formula>LEN(TRIM(W115))&gt;0</formula>
    </cfRule>
  </conditionalFormatting>
  <conditionalFormatting sqref="W119">
    <cfRule type="expression" dxfId="3756" priority="270">
      <formula>AND($R$119,$S$119)</formula>
    </cfRule>
    <cfRule type="expression" dxfId="3755" priority="268">
      <formula>$S$119 = FALSE</formula>
    </cfRule>
    <cfRule type="expression" dxfId="3754" priority="267">
      <formula>OR($T$119 = TRUE, AND($W$119 = TRUE, $S$119 = FALSE))</formula>
    </cfRule>
    <cfRule type="expression" dxfId="3753" priority="269">
      <formula>AND(IF($R$119,$W$119,TRUE),LEN(TRIM($W$119))&gt;0)</formula>
    </cfRule>
  </conditionalFormatting>
  <conditionalFormatting sqref="W130">
    <cfRule type="expression" dxfId="3752" priority="266">
      <formula>AND($R$130,$S$130)</formula>
    </cfRule>
    <cfRule type="expression" dxfId="3751" priority="265">
      <formula>AND(IF($R$130,$W$130,TRUE),LEN(TRIM($W$130))&gt;0)</formula>
    </cfRule>
    <cfRule type="expression" dxfId="3750" priority="264">
      <formula>$S$130 = FALSE</formula>
    </cfRule>
    <cfRule type="expression" dxfId="3749" priority="263">
      <formula>OR($T$130 = TRUE, AND($W$130 = TRUE, $S$130 = FALSE))</formula>
    </cfRule>
  </conditionalFormatting>
  <conditionalFormatting sqref="W132">
    <cfRule type="expression" dxfId="3748" priority="262">
      <formula>AND($R$132,$S$132)</formula>
    </cfRule>
    <cfRule type="expression" dxfId="3747" priority="261">
      <formula>AND(IF($R$132,$W$132,TRUE),LEN(TRIM($W$132))&gt;0)</formula>
    </cfRule>
    <cfRule type="expression" dxfId="3746" priority="260">
      <formula>$S$132 = FALSE</formula>
    </cfRule>
    <cfRule type="expression" dxfId="3745" priority="259">
      <formula>OR($T$132 = TRUE, AND($W$132 = TRUE, $S$132 = FALSE))</formula>
    </cfRule>
  </conditionalFormatting>
  <conditionalFormatting sqref="W133">
    <cfRule type="expression" dxfId="3744" priority="258">
      <formula>AND($R$133,$S$133)</formula>
    </cfRule>
    <cfRule type="expression" dxfId="3743" priority="257">
      <formula>AND(IF($R$133,$W$133,TRUE),LEN(TRIM($W$133))&gt;0)</formula>
    </cfRule>
    <cfRule type="expression" dxfId="3742" priority="256">
      <formula>$S$133 = FALSE</formula>
    </cfRule>
    <cfRule type="expression" dxfId="3741" priority="255">
      <formula>OR($T$133 = TRUE, AND($W$133 = TRUE, $S$133 = FALSE))</formula>
    </cfRule>
  </conditionalFormatting>
  <conditionalFormatting sqref="W135">
    <cfRule type="expression" dxfId="3740" priority="102">
      <formula>AND($R$135,$S$135)</formula>
    </cfRule>
    <cfRule type="expression" dxfId="3739" priority="101">
      <formula>AND(IF($R$135,$W$135,TRUE),LEN(TRIM($W$135))&gt;0)</formula>
    </cfRule>
    <cfRule type="expression" dxfId="3738" priority="100">
      <formula>$S$135 = FALSE</formula>
    </cfRule>
    <cfRule type="expression" dxfId="3737" priority="99">
      <formula>OR($T$135 = TRUE, AND($W$135 = TRUE, $S$135 = FALSE))</formula>
    </cfRule>
  </conditionalFormatting>
  <conditionalFormatting sqref="W140">
    <cfRule type="expression" dxfId="3736" priority="254">
      <formula>AND($R$140,$S$140)</formula>
    </cfRule>
    <cfRule type="expression" dxfId="3735" priority="253">
      <formula>AND(IF($R$140,$W$140,TRUE),LEN(TRIM($W$140))&gt;0)</formula>
    </cfRule>
    <cfRule type="expression" dxfId="3734" priority="252">
      <formula>$S$140 = FALSE</formula>
    </cfRule>
    <cfRule type="expression" dxfId="3733" priority="251">
      <formula>OR($T$140 = TRUE, AND($W$140 = TRUE, $S$140 = FALSE))</formula>
    </cfRule>
  </conditionalFormatting>
  <conditionalFormatting sqref="W149">
    <cfRule type="expression" dxfId="3732" priority="248">
      <formula>$S$149 = FALSE</formula>
    </cfRule>
    <cfRule type="expression" dxfId="3731" priority="249">
      <formula>AND(IF($R$149,$W$149,TRUE),LEN(TRIM($W$149))&gt;0)</formula>
    </cfRule>
    <cfRule type="expression" dxfId="3730" priority="247">
      <formula>OR($T$149 = TRUE, AND($W$149 = TRUE, $S$149 = FALSE))</formula>
    </cfRule>
    <cfRule type="expression" dxfId="3729" priority="250">
      <formula>AND($R$149,$S$149)</formula>
    </cfRule>
  </conditionalFormatting>
  <conditionalFormatting sqref="W154">
    <cfRule type="expression" dxfId="3728" priority="245">
      <formula>AND(IF($R$154,$W$154,TRUE),LEN(TRIM($W$154))&gt;0)</formula>
    </cfRule>
    <cfRule type="expression" dxfId="3727" priority="244">
      <formula>$S$154 = FALSE</formula>
    </cfRule>
    <cfRule type="expression" dxfId="3726" priority="243">
      <formula>OR($T$154 = TRUE, AND($W$154 = TRUE, $S$154 = FALSE))</formula>
    </cfRule>
    <cfRule type="expression" dxfId="3725" priority="246">
      <formula>AND($R$154,$S$154)</formula>
    </cfRule>
  </conditionalFormatting>
  <conditionalFormatting sqref="W155">
    <cfRule type="expression" dxfId="3724" priority="242">
      <formula>AND($R$155,$S$155)</formula>
    </cfRule>
    <cfRule type="expression" dxfId="3723" priority="241">
      <formula>AND(IF($R$155,$W$155,TRUE),LEN(TRIM($W$155))&gt;0)</formula>
    </cfRule>
    <cfRule type="expression" dxfId="3722" priority="240">
      <formula>$S$155 = FALSE</formula>
    </cfRule>
    <cfRule type="expression" dxfId="3721" priority="239">
      <formula>OR($T$155 = TRUE, AND($W$155 = TRUE, $S$155 = FALSE))</formula>
    </cfRule>
  </conditionalFormatting>
  <conditionalFormatting sqref="W159">
    <cfRule type="expression" dxfId="3720" priority="236">
      <formula>$S$159 = FALSE</formula>
    </cfRule>
    <cfRule type="expression" dxfId="3719" priority="238">
      <formula>AND($R$159,$S$159)</formula>
    </cfRule>
    <cfRule type="expression" dxfId="3718" priority="235">
      <formula>OR($T$159 = TRUE, AND($W$159 = TRUE, $S$159 = FALSE))</formula>
    </cfRule>
    <cfRule type="expression" dxfId="3717" priority="237">
      <formula>AND(IF($R$159,$W$159,TRUE),LEN(TRIM($W$159))&gt;0)</formula>
    </cfRule>
  </conditionalFormatting>
  <conditionalFormatting sqref="W164">
    <cfRule type="expression" dxfId="3716" priority="68">
      <formula>AND($R$164,$S$164)</formula>
    </cfRule>
    <cfRule type="expression" dxfId="3715" priority="67">
      <formula>AND(IF($R$164,$W$164,TRUE),LEN(TRIM($W$164))&gt;0)</formula>
    </cfRule>
    <cfRule type="expression" dxfId="3714" priority="66">
      <formula>$S$164 = FALSE</formula>
    </cfRule>
    <cfRule type="expression" dxfId="3713" priority="65">
      <formula>OR($T$164 = TRUE, AND($W$164 = TRUE, $S$164 = FALSE))</formula>
    </cfRule>
  </conditionalFormatting>
  <conditionalFormatting sqref="W168">
    <cfRule type="expression" dxfId="3712" priority="77">
      <formula>AND($R$168,$S$168)</formula>
    </cfRule>
    <cfRule type="expression" dxfId="3711" priority="76">
      <formula>AND($W$168&lt;&gt;"Not Met",LEN(TRIM($W$168))&gt;0)</formula>
    </cfRule>
    <cfRule type="expression" dxfId="3710" priority="75">
      <formula>$S$168 = FALSE</formula>
    </cfRule>
    <cfRule type="expression" dxfId="3709" priority="74">
      <formula>OR($T$168 = TRUE, AND(LEN(TRIM($W$168))&gt;0, $S$168 = FALSE))</formula>
    </cfRule>
  </conditionalFormatting>
  <conditionalFormatting sqref="W172">
    <cfRule type="expression" dxfId="3708" priority="228">
      <formula>$S$172 = FALSE</formula>
    </cfRule>
    <cfRule type="expression" dxfId="3707" priority="227">
      <formula>OR($T$172 = TRUE, AND($W$172 = TRUE, $S$172 = FALSE))</formula>
    </cfRule>
    <cfRule type="expression" dxfId="3706" priority="230">
      <formula>AND($R$172,$S$172)</formula>
    </cfRule>
    <cfRule type="expression" dxfId="3705" priority="229">
      <formula>AND(IF($R$172,$W$172,TRUE),LEN(TRIM($W$172))&gt;0)</formula>
    </cfRule>
  </conditionalFormatting>
  <conditionalFormatting sqref="W173">
    <cfRule type="expression" dxfId="3704" priority="226">
      <formula>AND($R$173,$S$173)</formula>
    </cfRule>
    <cfRule type="expression" dxfId="3703" priority="225">
      <formula>AND(IF($R$173,$W$173,TRUE),LEN(TRIM($W$173))&gt;0)</formula>
    </cfRule>
    <cfRule type="expression" dxfId="3702" priority="224">
      <formula>$S$173 = FALSE</formula>
    </cfRule>
    <cfRule type="expression" dxfId="3701" priority="223">
      <formula>OR($T$173 = TRUE, AND($W$173 = TRUE, $S$173 = FALSE))</formula>
    </cfRule>
  </conditionalFormatting>
  <conditionalFormatting sqref="W176">
    <cfRule type="expression" dxfId="3700" priority="222">
      <formula>AND($R$176,$S$176)</formula>
    </cfRule>
    <cfRule type="expression" dxfId="3699" priority="221">
      <formula>AND(IF($R$176,$W$176,TRUE),LEN(TRIM($W$176))&gt;0)</formula>
    </cfRule>
    <cfRule type="expression" dxfId="3698" priority="220">
      <formula>$S$176 = FALSE</formula>
    </cfRule>
    <cfRule type="expression" dxfId="3697" priority="219">
      <formula>OR($T$176 = TRUE, AND($W$176 = TRUE, $S$176 = FALSE))</formula>
    </cfRule>
  </conditionalFormatting>
  <conditionalFormatting sqref="W178">
    <cfRule type="expression" dxfId="3696" priority="218">
      <formula>AND($R$178,$S$178)</formula>
    </cfRule>
    <cfRule type="expression" dxfId="3695" priority="217">
      <formula>AND(IF($R$178,$W$178,TRUE),LEN(TRIM($W$178))&gt;0)</formula>
    </cfRule>
    <cfRule type="expression" dxfId="3694" priority="216">
      <formula>$S$178 = FALSE</formula>
    </cfRule>
    <cfRule type="expression" dxfId="3693" priority="215">
      <formula>OR($T$178 = TRUE, AND($W$178 = TRUE, $S$178 = FALSE))</formula>
    </cfRule>
  </conditionalFormatting>
  <conditionalFormatting sqref="W184">
    <cfRule type="expression" dxfId="3692" priority="214">
      <formula>AND($R$184,$S$184)</formula>
    </cfRule>
    <cfRule type="expression" dxfId="3691" priority="213">
      <formula>AND(IF($R$184,$W$184,TRUE),LEN(TRIM($W$184))&gt;0)</formula>
    </cfRule>
    <cfRule type="expression" dxfId="3690" priority="212">
      <formula>$S$184 = FALSE</formula>
    </cfRule>
    <cfRule type="expression" dxfId="3689" priority="211">
      <formula>OR($T$184 = TRUE, AND($W$184 = TRUE, $S$184 = FALSE))</formula>
    </cfRule>
  </conditionalFormatting>
  <conditionalFormatting sqref="W186">
    <cfRule type="expression" dxfId="3688" priority="207">
      <formula>OR($T$186 = TRUE, AND($W$186 = TRUE, $S$186 = FALSE))</formula>
    </cfRule>
    <cfRule type="expression" dxfId="3687" priority="210">
      <formula>AND($R$186,$S$186)</formula>
    </cfRule>
    <cfRule type="expression" dxfId="3686" priority="209">
      <formula>AND(IF($R$186,$W$186,TRUE),LEN(TRIM($W$186))&gt;0)</formula>
    </cfRule>
    <cfRule type="expression" dxfId="3685" priority="208">
      <formula>$S$186 = FALSE</formula>
    </cfRule>
  </conditionalFormatting>
  <conditionalFormatting sqref="W188">
    <cfRule type="expression" dxfId="3684" priority="206">
      <formula>AND($R$188,$S$188)</formula>
    </cfRule>
    <cfRule type="expression" dxfId="3683" priority="205">
      <formula>AND($W$188&lt;&gt;"Not Met",LEN(TRIM($W$188))&gt;0)</formula>
    </cfRule>
    <cfRule type="expression" dxfId="3682" priority="204">
      <formula>$S$188 = FALSE</formula>
    </cfRule>
    <cfRule type="expression" dxfId="3681" priority="203">
      <formula>OR($T$188 = TRUE, AND(LEN(TRIM($W$188))&gt;0, $S$188 = FALSE))</formula>
    </cfRule>
  </conditionalFormatting>
  <conditionalFormatting sqref="W190">
    <cfRule type="expression" dxfId="3680" priority="201">
      <formula>AND(IF($R$190,$W$190,TRUE),LEN(TRIM($W$190))&gt;0)</formula>
    </cfRule>
    <cfRule type="expression" dxfId="3679" priority="202">
      <formula>AND($R$190,$S$190)</formula>
    </cfRule>
    <cfRule type="expression" dxfId="3678" priority="199">
      <formula>OR($T$190 = TRUE, AND($W$190 = TRUE, $S$190 = FALSE))</formula>
    </cfRule>
    <cfRule type="expression" dxfId="3677" priority="200">
      <formula>$S$190 = FALSE</formula>
    </cfRule>
  </conditionalFormatting>
  <conditionalFormatting sqref="W194">
    <cfRule type="expression" dxfId="3676" priority="95">
      <formula>OR(T194 = TRUE, AND(W194 = TRUE, S194 = FALSE))</formula>
    </cfRule>
    <cfRule type="expression" dxfId="3675" priority="96">
      <formula>S194 = FALSE</formula>
    </cfRule>
    <cfRule type="expression" dxfId="3674" priority="97">
      <formula>AND(IF(R194,W194,TRUE),LEN(TRIM(W194))&gt;0)</formula>
    </cfRule>
    <cfRule type="expression" dxfId="3673" priority="98">
      <formula>AND(R194,S194)</formula>
    </cfRule>
  </conditionalFormatting>
  <conditionalFormatting sqref="W196">
    <cfRule type="expression" dxfId="3672" priority="91">
      <formula>OR(T196 = TRUE, AND(W196 = TRUE, S196 = FALSE))</formula>
    </cfRule>
    <cfRule type="expression" dxfId="3671" priority="93">
      <formula>AND(IF(R196,W196,TRUE),LEN(TRIM(W196))&gt;0)</formula>
    </cfRule>
    <cfRule type="expression" dxfId="3670" priority="94">
      <formula>AND(R196,S196)</formula>
    </cfRule>
    <cfRule type="expression" dxfId="3669" priority="92">
      <formula>S196 = FALSE</formula>
    </cfRule>
  </conditionalFormatting>
  <conditionalFormatting sqref="W197">
    <cfRule type="expression" dxfId="3668" priority="196">
      <formula>$S$197 = FALSE</formula>
    </cfRule>
    <cfRule type="expression" dxfId="3667" priority="197">
      <formula>AND(IF($R$197,$W$197,TRUE),LEN(TRIM($W$197))&gt;0)</formula>
    </cfRule>
    <cfRule type="expression" dxfId="3666" priority="198">
      <formula>AND($R$197,$S$197)</formula>
    </cfRule>
    <cfRule type="expression" dxfId="3665" priority="195">
      <formula>OR($T$197 = TRUE, AND($W$197 = TRUE, $S$197 = FALSE))</formula>
    </cfRule>
  </conditionalFormatting>
  <conditionalFormatting sqref="W203">
    <cfRule type="expression" dxfId="3664" priority="87">
      <formula>OR(T203 = TRUE, AND(W203 = TRUE, S203 = FALSE))</formula>
    </cfRule>
    <cfRule type="expression" dxfId="3663" priority="90">
      <formula>AND(R203,S203)</formula>
    </cfRule>
    <cfRule type="expression" dxfId="3662" priority="88">
      <formula>S203 = FALSE</formula>
    </cfRule>
    <cfRule type="expression" dxfId="3661" priority="89">
      <formula>AND(IF(R203,W203,TRUE),LEN(TRIM(W203))&gt;0)</formula>
    </cfRule>
  </conditionalFormatting>
  <conditionalFormatting sqref="W205">
    <cfRule type="expression" dxfId="3660" priority="86">
      <formula>AND(R205,S205)</formula>
    </cfRule>
    <cfRule type="expression" dxfId="3659" priority="85">
      <formula>AND(IF(R205,W205,TRUE),LEN(TRIM(W205))&gt;0)</formula>
    </cfRule>
    <cfRule type="expression" dxfId="3658" priority="84">
      <formula>S205 = FALSE</formula>
    </cfRule>
    <cfRule type="expression" dxfId="3657" priority="83">
      <formula>OR(T205 = TRUE, AND(W205 = TRUE, S205 = FALSE))</formula>
    </cfRule>
  </conditionalFormatting>
  <conditionalFormatting sqref="W208">
    <cfRule type="expression" dxfId="3656" priority="194">
      <formula>AND($R$208,$S$208)</formula>
    </cfRule>
    <cfRule type="expression" dxfId="3655" priority="191">
      <formula>OR($T$208 = TRUE, AND($W$208 = TRUE, $S$208 = FALSE))</formula>
    </cfRule>
    <cfRule type="expression" dxfId="3654" priority="192">
      <formula>$S$208 = FALSE</formula>
    </cfRule>
    <cfRule type="expression" dxfId="3653" priority="193">
      <formula>AND(IF($R$208,$W$208,TRUE),LEN(TRIM($W$208))&gt;0)</formula>
    </cfRule>
  </conditionalFormatting>
  <conditionalFormatting sqref="W210">
    <cfRule type="expression" dxfId="3652" priority="187">
      <formula>OR($T$210 = TRUE, AND($W$210 = TRUE, $S$210 = FALSE))</formula>
    </cfRule>
    <cfRule type="expression" dxfId="3651" priority="188">
      <formula>$S$210 = FALSE</formula>
    </cfRule>
    <cfRule type="expression" dxfId="3650" priority="189">
      <formula>AND(IF($R$210,$W$210,TRUE),LEN(TRIM($W$210))&gt;0)</formula>
    </cfRule>
    <cfRule type="expression" dxfId="3649" priority="190">
      <formula>AND($R$210,$S$210)</formula>
    </cfRule>
  </conditionalFormatting>
  <conditionalFormatting sqref="W212">
    <cfRule type="expression" dxfId="3648" priority="183">
      <formula>OR($T$212 = TRUE, AND($W$212 = TRUE, $S$212 = FALSE))</formula>
    </cfRule>
    <cfRule type="expression" dxfId="3647" priority="184">
      <formula>$S$212 = FALSE</formula>
    </cfRule>
    <cfRule type="expression" dxfId="3646" priority="185">
      <formula>AND(IF($R$212,$W$212,TRUE),LEN(TRIM($W$212))&gt;0)</formula>
    </cfRule>
    <cfRule type="expression" dxfId="3645" priority="186">
      <formula>AND($R$212,$S$212)</formula>
    </cfRule>
  </conditionalFormatting>
  <conditionalFormatting sqref="W215">
    <cfRule type="expression" dxfId="3644" priority="64">
      <formula>AND($R$215,$S$215)</formula>
    </cfRule>
    <cfRule type="expression" dxfId="3643" priority="63">
      <formula>AND(IF($R$215,$W$215,TRUE),LEN(TRIM($W$215))&gt;0)</formula>
    </cfRule>
    <cfRule type="expression" dxfId="3642" priority="61">
      <formula>OR($T$215 = TRUE, AND($W$215 = TRUE, $S$215 = FALSE))</formula>
    </cfRule>
    <cfRule type="expression" dxfId="3641" priority="62">
      <formula>$S$215 = FALSE</formula>
    </cfRule>
  </conditionalFormatting>
  <conditionalFormatting sqref="W219">
    <cfRule type="expression" dxfId="3640" priority="181">
      <formula>AND($W$219&lt;&gt;"Not Met",LEN(TRIM($W$219))&gt;0)</formula>
    </cfRule>
    <cfRule type="expression" dxfId="3639" priority="180">
      <formula>$S$219 = FALSE</formula>
    </cfRule>
    <cfRule type="expression" dxfId="3638" priority="179">
      <formula>OR($T$219 = TRUE, AND(LEN(TRIM($W$219))&gt;0, $S$219 = FALSE))</formula>
    </cfRule>
    <cfRule type="expression" dxfId="3637" priority="182">
      <formula>AND($R$219)</formula>
    </cfRule>
  </conditionalFormatting>
  <conditionalFormatting sqref="W230">
    <cfRule type="expression" dxfId="3636" priority="175">
      <formula>OR($T$230 = TRUE, AND($W$230 = TRUE, $S$230 = FALSE))</formula>
    </cfRule>
    <cfRule type="expression" dxfId="3635" priority="176">
      <formula>$S$230 = FALSE</formula>
    </cfRule>
    <cfRule type="expression" dxfId="3634" priority="177">
      <formula>AND(IF($R$230,$W$230,TRUE),LEN(TRIM($W$230))&gt;0)</formula>
    </cfRule>
    <cfRule type="expression" dxfId="3633" priority="178">
      <formula>AND($R$230,$S$230)</formula>
    </cfRule>
  </conditionalFormatting>
  <conditionalFormatting sqref="W232">
    <cfRule type="expression" dxfId="3632" priority="172">
      <formula>$S$232 = FALSE</formula>
    </cfRule>
    <cfRule type="expression" dxfId="3631" priority="173">
      <formula>AND(IF($R$232,$W$232,TRUE),LEN(TRIM($W$232))&gt;0)</formula>
    </cfRule>
    <cfRule type="expression" dxfId="3630" priority="171">
      <formula>OR($T$232 = TRUE, AND($W$232 = TRUE, $S$232 = FALSE))</formula>
    </cfRule>
    <cfRule type="expression" dxfId="3629" priority="174">
      <formula>AND($R$232,$S$232)</formula>
    </cfRule>
  </conditionalFormatting>
  <conditionalFormatting sqref="W235">
    <cfRule type="expression" dxfId="3628" priority="167">
      <formula>OR($T$235 = TRUE, AND($W$235 = TRUE, $S$235 = FALSE))</formula>
    </cfRule>
    <cfRule type="expression" dxfId="3627" priority="168">
      <formula>$S$235 = FALSE</formula>
    </cfRule>
    <cfRule type="expression" dxfId="3626" priority="169">
      <formula>AND(IF($R$235,$W$235,TRUE),LEN(TRIM($W$235))&gt;0)</formula>
    </cfRule>
    <cfRule type="expression" dxfId="3625" priority="170">
      <formula>AND($R$235,$S$235)</formula>
    </cfRule>
  </conditionalFormatting>
  <conditionalFormatting sqref="W238">
    <cfRule type="expression" dxfId="3624" priority="59">
      <formula>AND($W$238&lt;&gt;"Not Met",LEN(TRIM($W$238))&gt;0)</formula>
    </cfRule>
    <cfRule type="expression" dxfId="3623" priority="57">
      <formula>OR($T$238 = TRUE, AND(LEN(TRIM($W$238))&gt;0, $S$238 = FALSE))</formula>
    </cfRule>
    <cfRule type="expression" dxfId="3622" priority="58">
      <formula>$S$238 = FALSE</formula>
    </cfRule>
    <cfRule type="expression" dxfId="3621" priority="60">
      <formula>AND($R$238,$S$238)</formula>
    </cfRule>
  </conditionalFormatting>
  <conditionalFormatting sqref="W286">
    <cfRule type="expression" dxfId="3620" priority="41">
      <formula>OR($T$286 = TRUE, AND($W$286 = TRUE, $S$286 = FALSE))</formula>
    </cfRule>
    <cfRule type="expression" dxfId="3619" priority="42">
      <formula>$S$286 = FALSE</formula>
    </cfRule>
    <cfRule type="expression" dxfId="3618" priority="43">
      <formula>AND(IF($R$286,$W$286,TRUE),LEN(TRIM($W$286))&gt;0)</formula>
    </cfRule>
    <cfRule type="expression" dxfId="3617" priority="44">
      <formula>AND($R$286,$S$286)</formula>
    </cfRule>
  </conditionalFormatting>
  <conditionalFormatting sqref="W288">
    <cfRule type="expression" dxfId="3616" priority="37">
      <formula>OR($T$288 = TRUE, AND($W$288 = TRUE, $S$288 = FALSE))</formula>
    </cfRule>
    <cfRule type="expression" dxfId="3615" priority="38">
      <formula>$S$288 = FALSE</formula>
    </cfRule>
    <cfRule type="expression" dxfId="3614" priority="39">
      <formula>AND(IF($R$288,$W$288,TRUE),LEN(TRIM($W$288))&gt;0)</formula>
    </cfRule>
    <cfRule type="expression" dxfId="3613" priority="40">
      <formula>AND($R$288,$S$288)</formula>
    </cfRule>
  </conditionalFormatting>
  <conditionalFormatting sqref="W290">
    <cfRule type="expression" dxfId="3612" priority="4">
      <formula>AND(R290,S290)</formula>
    </cfRule>
    <cfRule type="expression" dxfId="3611" priority="2">
      <formula>S290 = FALSE</formula>
    </cfRule>
    <cfRule type="expression" dxfId="3610" priority="3">
      <formula>AND(IF(R290,W290,TRUE),LEN(TRIM(W290))&gt;0)</formula>
    </cfRule>
    <cfRule type="expression" dxfId="3609" priority="1">
      <formula>OR(T290 = TRUE, AND(W290 = TRUE, S290 = FALSE))</formula>
    </cfRule>
  </conditionalFormatting>
  <conditionalFormatting sqref="W314">
    <cfRule type="expression" dxfId="3608" priority="155">
      <formula>OR($T$314 = TRUE, AND($W$314 = TRUE, $S$314 = FALSE))</formula>
    </cfRule>
    <cfRule type="expression" dxfId="3607" priority="156">
      <formula>$S$314 = FALSE</formula>
    </cfRule>
    <cfRule type="expression" dxfId="3606" priority="157">
      <formula>AND(IF($R$314,$W$314,TRUE),LEN(TRIM($W$314))&gt;0)</formula>
    </cfRule>
    <cfRule type="expression" dxfId="3605" priority="158">
      <formula>AND($R$314,$S$314)</formula>
    </cfRule>
  </conditionalFormatting>
  <conditionalFormatting sqref="W316">
    <cfRule type="expression" dxfId="3604" priority="152">
      <formula>$S$316 = FALSE</formula>
    </cfRule>
    <cfRule type="expression" dxfId="3603" priority="151">
      <formula>OR($T$316 = TRUE, AND($W$316 = TRUE, $S$316 = FALSE))</formula>
    </cfRule>
    <cfRule type="expression" dxfId="3602" priority="154">
      <formula>AND($R$316,$S$316)</formula>
    </cfRule>
    <cfRule type="expression" dxfId="3601" priority="153">
      <formula>AND(IF($R$316,$W$316,TRUE),LEN(TRIM($W$316))&gt;0)</formula>
    </cfRule>
  </conditionalFormatting>
  <conditionalFormatting sqref="W319">
    <cfRule type="expression" dxfId="3600" priority="29">
      <formula>OR($T$319 = TRUE, AND($W$319 = TRUE, $S$319 = FALSE))</formula>
    </cfRule>
    <cfRule type="expression" dxfId="3599" priority="32">
      <formula>AND($R$319,$S$319)</formula>
    </cfRule>
    <cfRule type="expression" dxfId="3598" priority="31">
      <formula>AND(IF($R$319,$W$319,TRUE),LEN(TRIM($W$319))&gt;0)</formula>
    </cfRule>
    <cfRule type="expression" dxfId="3597" priority="30">
      <formula>$S$319 = FALSE</formula>
    </cfRule>
  </conditionalFormatting>
  <conditionalFormatting sqref="W322">
    <cfRule type="expression" dxfId="3596" priority="147">
      <formula>OR($T$322 = TRUE, AND($W$322 = TRUE, $S$322 = FALSE))</formula>
    </cfRule>
    <cfRule type="expression" dxfId="3595" priority="148">
      <formula>$S$322 = FALSE</formula>
    </cfRule>
    <cfRule type="expression" dxfId="3594" priority="149">
      <formula>AND(IF($R$322,$W$322,TRUE),LEN(TRIM($W$322))&gt;0)</formula>
    </cfRule>
    <cfRule type="expression" dxfId="3593" priority="150">
      <formula>AND($R$322,$S$322)</formula>
    </cfRule>
  </conditionalFormatting>
  <conditionalFormatting sqref="W324">
    <cfRule type="expression" dxfId="3592" priority="143">
      <formula>OR($T$324 = TRUE, AND($W$324 = TRUE, $S$324 = FALSE))</formula>
    </cfRule>
    <cfRule type="expression" dxfId="3591" priority="145">
      <formula>AND(IF($R$324,$W$324,TRUE),LEN(TRIM($W$324))&gt;0)</formula>
    </cfRule>
    <cfRule type="expression" dxfId="3590" priority="144">
      <formula>$S$324 = FALSE</formula>
    </cfRule>
    <cfRule type="expression" dxfId="3589" priority="146">
      <formula>AND($R$324,$S$324)</formula>
    </cfRule>
  </conditionalFormatting>
  <conditionalFormatting sqref="W328">
    <cfRule type="expression" dxfId="3588" priority="142">
      <formula>AND($R$328,$S$328)</formula>
    </cfRule>
    <cfRule type="expression" dxfId="3587" priority="141">
      <formula>AND($W$328&lt;&gt;"Not Met",LEN(TRIM($W$328))&gt;0)</formula>
    </cfRule>
    <cfRule type="expression" dxfId="3586" priority="140">
      <formula>$S$328 = FALSE</formula>
    </cfRule>
    <cfRule type="expression" dxfId="3585" priority="139">
      <formula>OR($T$328 = TRUE, AND(LEN(TRIM($W$328))&gt;0, $S$328 = FALSE))</formula>
    </cfRule>
  </conditionalFormatting>
  <conditionalFormatting sqref="W332">
    <cfRule type="expression" dxfId="3584" priority="138">
      <formula>AND($R$332,$S$332)</formula>
    </cfRule>
    <cfRule type="expression" dxfId="3583" priority="137">
      <formula>AND($W$332&lt;&gt;"Not Met",LEN(TRIM($W$332))&gt;0)</formula>
    </cfRule>
    <cfRule type="expression" dxfId="3582" priority="136">
      <formula>$S$332 = FALSE</formula>
    </cfRule>
    <cfRule type="expression" dxfId="3581" priority="135">
      <formula>OR($T$332 = TRUE, AND(LEN(TRIM($W$332))&gt;0, $S$332 = FALSE))</formula>
    </cfRule>
  </conditionalFormatting>
  <conditionalFormatting sqref="W338">
    <cfRule type="expression" dxfId="3580" priority="133">
      <formula>AND(IF($R$338,$W$338,TRUE),LEN(TRIM($W$338))&gt;0)</formula>
    </cfRule>
    <cfRule type="expression" dxfId="3579" priority="132">
      <formula>$S$338 = FALSE</formula>
    </cfRule>
    <cfRule type="expression" dxfId="3578" priority="131">
      <formula>OR($T$338 = TRUE, AND($W$338 = TRUE, $S$338 = FALSE))</formula>
    </cfRule>
    <cfRule type="expression" dxfId="3577" priority="134">
      <formula>AND($R$338,$S$338)</formula>
    </cfRule>
  </conditionalFormatting>
  <conditionalFormatting sqref="W339">
    <cfRule type="expression" dxfId="3576" priority="128">
      <formula>$S$339 = FALSE</formula>
    </cfRule>
    <cfRule type="expression" dxfId="3575" priority="130">
      <formula>AND($R$339,$S$339)</formula>
    </cfRule>
    <cfRule type="expression" dxfId="3574" priority="127">
      <formula>OR($T$339 = TRUE, AND($W$339 = TRUE, $S$339 = FALSE))</formula>
    </cfRule>
    <cfRule type="expression" dxfId="3573" priority="129">
      <formula>AND(IF($R$339,$W$339,TRUE),LEN(TRIM($W$339))&gt;0)</formula>
    </cfRule>
  </conditionalFormatting>
  <conditionalFormatting sqref="W344">
    <cfRule type="expression" dxfId="3572" priority="125">
      <formula>AND(IF($R$344,$W$344,TRUE),LEN(TRIM($W$344))&gt;0)</formula>
    </cfRule>
    <cfRule type="expression" dxfId="3571" priority="126">
      <formula>AND($R$344,$S$344)</formula>
    </cfRule>
    <cfRule type="expression" dxfId="3570" priority="123">
      <formula>OR($T$344 = TRUE, AND($W$344 = TRUE, $S$344 = FALSE))</formula>
    </cfRule>
    <cfRule type="expression" dxfId="3569" priority="124">
      <formula>$S$344 = FALSE</formula>
    </cfRule>
  </conditionalFormatting>
  <conditionalFormatting sqref="W349">
    <cfRule type="expression" dxfId="3568" priority="122">
      <formula>AND($R$349,$S$349)</formula>
    </cfRule>
    <cfRule type="expression" dxfId="3567" priority="121">
      <formula>AND(IF($R$349,$W$349,TRUE),LEN(TRIM($W$349))&gt;0)</formula>
    </cfRule>
    <cfRule type="expression" dxfId="3566" priority="120">
      <formula>$S$349 = FALSE</formula>
    </cfRule>
    <cfRule type="expression" dxfId="3565" priority="119">
      <formula>OR($T$349 = TRUE, AND($W$349 = TRUE, $S$349 = FALSE))</formula>
    </cfRule>
  </conditionalFormatting>
  <conditionalFormatting sqref="W354">
    <cfRule type="expression" dxfId="3564" priority="28">
      <formula>AND($R$354,$S$354)</formula>
    </cfRule>
    <cfRule type="expression" dxfId="3563" priority="26">
      <formula>$S$354 = FALSE</formula>
    </cfRule>
    <cfRule type="expression" dxfId="3562" priority="25">
      <formula>OR($T$354 = TRUE, AND($W$354 = TRUE, $S$354 = FALSE))</formula>
    </cfRule>
    <cfRule type="expression" dxfId="3561" priority="27">
      <formula>AND(IF($R$354,$W$354,TRUE),LEN(TRIM($W$354))&gt;0)</formula>
    </cfRule>
  </conditionalFormatting>
  <conditionalFormatting sqref="W362">
    <cfRule type="expression" dxfId="3560" priority="21">
      <formula>OR($T$362 = TRUE, AND($W$362 = TRUE, $S$362 = FALSE))</formula>
    </cfRule>
    <cfRule type="expression" dxfId="3559" priority="24">
      <formula>AND($R$362,$S$362)</formula>
    </cfRule>
    <cfRule type="expression" dxfId="3558" priority="23">
      <formula>AND(IF($R$362,$W$362,TRUE),LEN(TRIM($W$362))&gt;0)</formula>
    </cfRule>
    <cfRule type="expression" dxfId="3557" priority="22">
      <formula>$S$362 = FALSE</formula>
    </cfRule>
  </conditionalFormatting>
  <conditionalFormatting sqref="W366">
    <cfRule type="expression" dxfId="3556" priority="116">
      <formula>$S$366 = FALSE</formula>
    </cfRule>
    <cfRule type="expression" dxfId="3555" priority="117">
      <formula>AND(IF($R$366,$W$366,TRUE),LEN(TRIM($W$366))&gt;0)</formula>
    </cfRule>
    <cfRule type="expression" dxfId="3554" priority="118">
      <formula>AND($R$366,$S$366)</formula>
    </cfRule>
    <cfRule type="expression" dxfId="3553" priority="115">
      <formula>OR($T$366 = TRUE, AND($W$366 = TRUE, $S$366 = FALSE))</formula>
    </cfRule>
  </conditionalFormatting>
  <conditionalFormatting sqref="W371">
    <cfRule type="expression" dxfId="3552" priority="112">
      <formula>$S$371 = FALSE</formula>
    </cfRule>
    <cfRule type="expression" dxfId="3551" priority="114">
      <formula>AND($R$371,$S$371)</formula>
    </cfRule>
    <cfRule type="expression" dxfId="3550" priority="113">
      <formula>AND(IF($R$371,$W$371,TRUE),LEN(TRIM($W$371))&gt;0)</formula>
    </cfRule>
    <cfRule type="expression" dxfId="3549" priority="111">
      <formula>OR($T$371 = TRUE, AND($W$371 = TRUE, $S$371 = FALSE))</formula>
    </cfRule>
  </conditionalFormatting>
  <conditionalFormatting sqref="W374">
    <cfRule type="expression" dxfId="3548" priority="18">
      <formula>$S$374 = FALSE</formula>
    </cfRule>
    <cfRule type="expression" dxfId="3547" priority="17">
      <formula>OR($T$374 = TRUE, AND($W$374 = TRUE, $S$374 = FALSE))</formula>
    </cfRule>
    <cfRule type="expression" dxfId="3546" priority="20">
      <formula>AND($R$374,$S$374)</formula>
    </cfRule>
    <cfRule type="expression" dxfId="3545" priority="19">
      <formula>AND(IF($R$374,$W$374,TRUE),LEN(TRIM($W$374))&gt;0)</formula>
    </cfRule>
  </conditionalFormatting>
  <conditionalFormatting sqref="W375">
    <cfRule type="expression" dxfId="3544" priority="16">
      <formula>AND($R$375,$S$375)</formula>
    </cfRule>
    <cfRule type="expression" dxfId="3543" priority="15">
      <formula>AND(IF($R$375,$W$375,TRUE),LEN(TRIM($W$375))&gt;0)</formula>
    </cfRule>
    <cfRule type="expression" dxfId="3542" priority="14">
      <formula>$S$375 = FALSE</formula>
    </cfRule>
    <cfRule type="expression" dxfId="3541" priority="13">
      <formula>OR($T$375 = TRUE, AND($W$375 = TRUE, $S$375 = FALSE))</formula>
    </cfRule>
  </conditionalFormatting>
  <conditionalFormatting sqref="W377">
    <cfRule type="expression" dxfId="3540" priority="11">
      <formula>AND(IF($R$377,$W$377,TRUE),LEN(TRIM($W$377))&gt;0)</formula>
    </cfRule>
    <cfRule type="expression" dxfId="3539" priority="10">
      <formula>$S$377 = FALSE</formula>
    </cfRule>
    <cfRule type="expression" dxfId="3538" priority="9">
      <formula>OR($T$377 = TRUE, AND($W$377 = TRUE, $S$377 = FALSE))</formula>
    </cfRule>
    <cfRule type="expression" dxfId="3537" priority="12">
      <formula>AND($R$377,$S$377)</formula>
    </cfRule>
  </conditionalFormatting>
  <conditionalFormatting sqref="W382">
    <cfRule type="expression" dxfId="3536" priority="8">
      <formula>AND($R$382,$S$382)</formula>
    </cfRule>
    <cfRule type="expression" dxfId="3535" priority="7">
      <formula>AND(IF($R$382,$W$382,TRUE),LEN(TRIM($W$382))&gt;0)</formula>
    </cfRule>
    <cfRule type="expression" dxfId="3534" priority="6">
      <formula>$S$382 = FALSE</formula>
    </cfRule>
    <cfRule type="expression" dxfId="3533" priority="5">
      <formula>OR($T$382 = TRUE, AND($W$382 = TRUE, $S$382 = FALSE))</formula>
    </cfRule>
  </conditionalFormatting>
  <conditionalFormatting sqref="X1">
    <cfRule type="expression" dxfId="3532" priority="69">
      <formula>startError</formula>
    </cfRule>
  </conditionalFormatting>
  <conditionalFormatting sqref="X2">
    <cfRule type="expression" dxfId="3531" priority="380">
      <formula>$AG$3</formula>
    </cfRule>
  </conditionalFormatting>
  <conditionalFormatting sqref="X3">
    <cfRule type="expression" dxfId="3530" priority="381">
      <formula>$AI$3</formula>
    </cfRule>
  </conditionalFormatting>
  <conditionalFormatting sqref="X72:X76">
    <cfRule type="expression" dxfId="3529" priority="82">
      <formula>W72="N/A"</formula>
    </cfRule>
  </conditionalFormatting>
  <dataValidations count="28">
    <dataValidation type="list" allowBlank="1" showDropDown="1" showInputMessage="1" showErrorMessage="1" error="Use Checkbox" prompt="Use Checkbox" sqref="W12 W18 W34 W55 W371 W366 W349 W344 W338:W339 W324 W322 W316 W314 W215 W235 W232 W230 W212 W210 W208 W197 W190 W186 W184 W178 W176 W172:W173 W135 W159 W154:W155 W149 W140 W68 W130 W119 W96 W93 W91 W62 W132:W133 W164 W374:W375 W377 W288 W286 W319 W362 W354 W382" xr:uid="{00000000-0002-0000-0700-000000000000}">
      <formula1>TorF</formula1>
    </dataValidation>
    <dataValidation type="list" allowBlank="1" showInputMessage="1" showErrorMessage="1" error="Please use the dropdown." sqref="W23" xr:uid="{00000000-0002-0000-0700-000001000000}">
      <formula1>INDIRECT($U$23)</formula1>
    </dataValidation>
    <dataValidation type="list" allowBlank="1" showInputMessage="1" showErrorMessage="1" error="Please use the dropdown." sqref="W26" xr:uid="{00000000-0002-0000-0700-000002000000}">
      <formula1>INDIRECT($U$26)</formula1>
    </dataValidation>
    <dataValidation type="list" allowBlank="1" showInputMessage="1" showErrorMessage="1" error="Please use the dropdown." sqref="W29" xr:uid="{00000000-0002-0000-0700-000003000000}">
      <formula1>INDIRECT($U$29)</formula1>
    </dataValidation>
    <dataValidation type="list" allowBlank="1" showInputMessage="1" showErrorMessage="1" error="Please use the dropdown." sqref="W37" xr:uid="{00000000-0002-0000-0700-000004000000}">
      <formula1>INDIRECT($U$37)</formula1>
    </dataValidation>
    <dataValidation type="list" allowBlank="1" showInputMessage="1" showErrorMessage="1" error="Please use the dropdown." sqref="W43" xr:uid="{00000000-0002-0000-0700-000005000000}">
      <formula1>INDIRECT($U$43)</formula1>
    </dataValidation>
    <dataValidation type="list" allowBlank="1" showInputMessage="1" showErrorMessage="1" error="Please use the dropdown." sqref="W46" xr:uid="{00000000-0002-0000-0700-000006000000}">
      <formula1>INDIRECT($U$46)</formula1>
    </dataValidation>
    <dataValidation type="list" allowBlank="1" showInputMessage="1" showErrorMessage="1" error="Please use the dropdown." sqref="W48" xr:uid="{00000000-0002-0000-0700-000007000000}">
      <formula1>INDIRECT($U$48)</formula1>
    </dataValidation>
    <dataValidation type="list" allowBlank="1" showInputMessage="1" showErrorMessage="1" error="Please use the dropdown." sqref="W51" xr:uid="{00000000-0002-0000-0700-000008000000}">
      <formula1>INDIRECT($U$51)</formula1>
    </dataValidation>
    <dataValidation type="list" allowBlank="1" showInputMessage="1" showErrorMessage="1" error="Please use the dropdown." sqref="W53" xr:uid="{00000000-0002-0000-0700-000009000000}">
      <formula1>INDIRECT($U$53)</formula1>
    </dataValidation>
    <dataValidation type="list" allowBlank="1" showInputMessage="1" showErrorMessage="1" error="Please use the dropdown." sqref="W58" xr:uid="{00000000-0002-0000-0700-00000A000000}">
      <formula1>INDIRECT($U$58)</formula1>
    </dataValidation>
    <dataValidation type="list" allowBlank="1" showInputMessage="1" showErrorMessage="1" error="Please use the dropdown." sqref="W60" xr:uid="{00000000-0002-0000-0700-00000B000000}">
      <formula1>INDIRECT($U$60)</formula1>
    </dataValidation>
    <dataValidation type="list" allowBlank="1" showInputMessage="1" showErrorMessage="1" error="Please use the dropdown." sqref="W72" xr:uid="{00000000-0002-0000-0700-00000C000000}">
      <formula1>INDIRECT($U$72)</formula1>
    </dataValidation>
    <dataValidation type="list" allowBlank="1" showInputMessage="1" showErrorMessage="1" error="Please use the dropdown." sqref="W77" xr:uid="{00000000-0002-0000-0700-00000D000000}">
      <formula1>INDIRECT($U$77)</formula1>
    </dataValidation>
    <dataValidation type="list" allowBlank="1" showInputMessage="1" showErrorMessage="1" error="Please use the dropdown." sqref="W78" xr:uid="{00000000-0002-0000-0700-00000E000000}">
      <formula1>INDIRECT($U$78)</formula1>
    </dataValidation>
    <dataValidation type="list" allowBlank="1" showInputMessage="1" showErrorMessage="1" error="Please use the dropdown." sqref="W79" xr:uid="{00000000-0002-0000-0700-00000F000000}">
      <formula1>INDIRECT($U$79)</formula1>
    </dataValidation>
    <dataValidation type="list" allowBlank="1" showInputMessage="1" showErrorMessage="1" error="Please use the dropdown." sqref="W80" xr:uid="{00000000-0002-0000-0700-000010000000}">
      <formula1>INDIRECT($U$80)</formula1>
    </dataValidation>
    <dataValidation type="list" allowBlank="1" showInputMessage="1" showErrorMessage="1" error="Please use the dropdown." sqref="W188" xr:uid="{00000000-0002-0000-0700-000011000000}">
      <formula1>INDIRECT($U$188)</formula1>
    </dataValidation>
    <dataValidation type="list" allowBlank="1" showInputMessage="1" showErrorMessage="1" error="Please use the dropdown." sqref="W219" xr:uid="{00000000-0002-0000-0700-000012000000}">
      <formula1>INDIRECT($U$219)</formula1>
    </dataValidation>
    <dataValidation type="list" allowBlank="1" showInputMessage="1" showErrorMessage="1" error="Please use the dropdown." sqref="W328" xr:uid="{00000000-0002-0000-0700-000014000000}">
      <formula1>INDIRECT($U$328)</formula1>
    </dataValidation>
    <dataValidation type="list" allowBlank="1" showInputMessage="1" showErrorMessage="1" error="Please use the dropdown." sqref="W332" xr:uid="{00000000-0002-0000-0700-000015000000}">
      <formula1>INDIRECT($U$332)</formula1>
    </dataValidation>
    <dataValidation type="decimal" allowBlank="1" showDropDown="1" showInputMessage="1" showErrorMessage="1" error="Enter Percentage" prompt="Enter Percentage" sqref="W105 W115:W116" xr:uid="{00000000-0002-0000-0700-000016000000}">
      <formula1>0</formula1>
      <formula2>1</formula2>
    </dataValidation>
    <dataValidation type="whole" allowBlank="1" showDropDown="1" showInputMessage="1" showErrorMessage="1" error="Enter a whole number" prompt="Enter number of timers" sqref="W194" xr:uid="{00000000-0002-0000-0700-000017000000}">
      <formula1>0</formula1>
      <formula2>10</formula2>
    </dataValidation>
    <dataValidation type="whole" allowBlank="1" showDropDown="1" showInputMessage="1" showErrorMessage="1" error="Enter a whole number" prompt="Enter number of humidistats" sqref="W196" xr:uid="{00000000-0002-0000-0700-000018000000}">
      <formula1>0</formula1>
      <formula2>10</formula2>
    </dataValidation>
    <dataValidation type="list" allowBlank="1" showInputMessage="1" showErrorMessage="1" error="Please use the dropdown." sqref="W168" xr:uid="{00000000-0002-0000-0700-000019000000}">
      <formula1>INDIRECT($U$168)</formula1>
    </dataValidation>
    <dataValidation type="whole" allowBlank="1" showDropDown="1" showInputMessage="1" showErrorMessage="1" error="Enter a whole number" prompt="Enter number of fans" sqref="W203 W205" xr:uid="{00000000-0002-0000-0700-00001A000000}">
      <formula1>0</formula1>
      <formula2>10</formula2>
    </dataValidation>
    <dataValidation type="list" allowBlank="1" showInputMessage="1" showErrorMessage="1" error="Please use the dropdown." sqref="W238" xr:uid="{E9794D67-6DFA-494F-9A9D-3CB6916B6058}">
      <formula1>INDIRECT($U$238)</formula1>
    </dataValidation>
    <dataValidation type="decimal" allowBlank="1" showDropDown="1" showInputMessage="1" showErrorMessage="1" error="Enter a number" prompt="Enter Test Results" sqref="W290" xr:uid="{00FE5312-2CD7-40BC-8515-A03D190B2555}">
      <formula1>0</formula1>
      <formula2>10</formula2>
    </dataValidation>
  </dataValidations>
  <hyperlinks>
    <hyperlink ref="L134" location="'Table 901.9.1'!A1" display="See Table 901.9.1" xr:uid="{00000000-0004-0000-0700-000000000000}"/>
    <hyperlink ref="L139" location="'Table 901.9.2'!A1" display="See Table 901.9.2" xr:uid="{00000000-0004-0000-0700-000001000000}"/>
    <hyperlink ref="L158" location="'Table 901.10(3)'!A1" display="See Table 901.10(3)" xr:uid="{00000000-0004-0000-0700-000002000000}"/>
    <hyperlink ref="X386" location="'Ch10'!A1" display="CLICK TO PROCEED TO CHAPTER 10 &gt;&gt;" xr:uid="{00000000-0004-0000-0700-000003000000}"/>
  </hyperlinks>
  <pageMargins left="0.7" right="0.7" top="0.75" bottom="0.75" header="0.3" footer="0.3"/>
  <pageSetup scale="44" fitToHeight="0" orientation="portrait" r:id="rId1"/>
  <rowBreaks count="4" manualBreakCount="4">
    <brk id="97" max="16383" man="1"/>
    <brk id="179" max="16383" man="1"/>
    <brk id="237" max="16383" man="1"/>
    <brk id="340" max="16383" man="1"/>
  </rowBreaks>
  <ignoredErrors>
    <ignoredError sqref="AQ12 AQ18 AQ23 AQ26 AQ29 AQ34 AQ37 AQ149 AQ154:AQ155 AQ159 AQ164 AQ168 AQ172:AQ173 AQ176 AQ178 AQ43 AQ46 AQ48 AQ51 AQ53 AQ55 AQ58 AQ60 AQ62 AQ68 AQ72 AQ77:AQ80 AQ91 AQ93 AQ96 AQ105 AQ115:AQ116 AQ119 AQ130 AQ132:AQ133 AQ135 AQ140 AQ184 AQ186 AQ188 AQ194 AQ196:AQ197 AQ190 AQ203 AQ205 AQ208 AQ210 AQ212 AQ215 AQ219 AQ230 AQ232 AQ235 AQ238 AQ286 AQ288 AQ314 AQ316 AQ319 AQ322 AQ324 AQ328 AQ332 AQ338:AQ339 AQ344 AQ349 AQ354 AQ362 AQ366 AQ371 AQ374:AQ375 AQ377 AQ382 AS12 AS18 AS23 AS26 AS29 AS34 AS37 AS149 AS154:AS155 AS159 AS164 AS168 AS170 AS176 AS178 AS43 AS46 AS48 AS51 AS53 AS55 AS58 AS60 AS62 AS68 AS72 AS77 AS91 AS93 AS96 AS105 AS115 AS119 AS125 AS130 AS132:AS133 AS135 AS140 AS184 AS186 AS188 AS193 AS190 AS197 AS201 AS208 AS210 AS212 AS215 AS219 AS230 AS232 AS235 AS238 AS247 AS288 AS310 AS314 AS316 AS319 AS322 AS324 AS328 AS332 AS336 AS344 AS349 AS354 AS362 AS366 AS371 AS374:AS375 AS377 AS382"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Check Box 2">
              <controlPr locked="0" defaultSize="0" autoFill="0" autoLine="0" autoPict="0">
                <anchor moveWithCells="1" sizeWithCells="1">
                  <from>
                    <xdr:col>22</xdr:col>
                    <xdr:colOff>0</xdr:colOff>
                    <xdr:row>11</xdr:row>
                    <xdr:rowOff>0</xdr:rowOff>
                  </from>
                  <to>
                    <xdr:col>22</xdr:col>
                    <xdr:colOff>184150</xdr:colOff>
                    <xdr:row>11</xdr:row>
                    <xdr:rowOff>184150</xdr:rowOff>
                  </to>
                </anchor>
              </controlPr>
            </control>
          </mc:Choice>
        </mc:AlternateContent>
        <mc:AlternateContent xmlns:mc="http://schemas.openxmlformats.org/markup-compatibility/2006">
          <mc:Choice Requires="x14">
            <control shapeId="7172" r:id="rId5" name="Check Box 4">
              <controlPr locked="0" defaultSize="0" autoFill="0" autoLine="0" autoPict="0">
                <anchor moveWithCells="1" sizeWithCells="1">
                  <from>
                    <xdr:col>22</xdr:col>
                    <xdr:colOff>0</xdr:colOff>
                    <xdr:row>17</xdr:row>
                    <xdr:rowOff>0</xdr:rowOff>
                  </from>
                  <to>
                    <xdr:col>22</xdr:col>
                    <xdr:colOff>184150</xdr:colOff>
                    <xdr:row>17</xdr:row>
                    <xdr:rowOff>184150</xdr:rowOff>
                  </to>
                </anchor>
              </controlPr>
            </control>
          </mc:Choice>
        </mc:AlternateContent>
        <mc:AlternateContent xmlns:mc="http://schemas.openxmlformats.org/markup-compatibility/2006">
          <mc:Choice Requires="x14">
            <control shapeId="7174" r:id="rId6" name="Check Box 6">
              <controlPr locked="0" defaultSize="0" autoFill="0" autoLine="0" autoPict="0">
                <anchor moveWithCells="1" sizeWithCells="1">
                  <from>
                    <xdr:col>22</xdr:col>
                    <xdr:colOff>0</xdr:colOff>
                    <xdr:row>33</xdr:row>
                    <xdr:rowOff>0</xdr:rowOff>
                  </from>
                  <to>
                    <xdr:col>22</xdr:col>
                    <xdr:colOff>184150</xdr:colOff>
                    <xdr:row>33</xdr:row>
                    <xdr:rowOff>184150</xdr:rowOff>
                  </to>
                </anchor>
              </controlPr>
            </control>
          </mc:Choice>
        </mc:AlternateContent>
        <mc:AlternateContent xmlns:mc="http://schemas.openxmlformats.org/markup-compatibility/2006">
          <mc:Choice Requires="x14">
            <control shapeId="7177" r:id="rId7" name="Check Box 9">
              <controlPr locked="0" defaultSize="0" autoFill="0" autoLine="0" autoPict="0">
                <anchor moveWithCells="1" sizeWithCells="1">
                  <from>
                    <xdr:col>22</xdr:col>
                    <xdr:colOff>0</xdr:colOff>
                    <xdr:row>54</xdr:row>
                    <xdr:rowOff>0</xdr:rowOff>
                  </from>
                  <to>
                    <xdr:col>22</xdr:col>
                    <xdr:colOff>184150</xdr:colOff>
                    <xdr:row>54</xdr:row>
                    <xdr:rowOff>184150</xdr:rowOff>
                  </to>
                </anchor>
              </controlPr>
            </control>
          </mc:Choice>
        </mc:AlternateContent>
        <mc:AlternateContent xmlns:mc="http://schemas.openxmlformats.org/markup-compatibility/2006">
          <mc:Choice Requires="x14">
            <control shapeId="7182" r:id="rId8" name="Check Box 14">
              <controlPr locked="0" defaultSize="0" autoFill="0" autoLine="0" autoPict="0">
                <anchor moveWithCells="1" sizeWithCells="1">
                  <from>
                    <xdr:col>22</xdr:col>
                    <xdr:colOff>0</xdr:colOff>
                    <xdr:row>67</xdr:row>
                    <xdr:rowOff>0</xdr:rowOff>
                  </from>
                  <to>
                    <xdr:col>22</xdr:col>
                    <xdr:colOff>184150</xdr:colOff>
                    <xdr:row>67</xdr:row>
                    <xdr:rowOff>184150</xdr:rowOff>
                  </to>
                </anchor>
              </controlPr>
            </control>
          </mc:Choice>
        </mc:AlternateContent>
        <mc:AlternateContent xmlns:mc="http://schemas.openxmlformats.org/markup-compatibility/2006">
          <mc:Choice Requires="x14">
            <control shapeId="7184" r:id="rId9" name="Check Box 16">
              <controlPr locked="0" defaultSize="0" autoFill="0" autoLine="0" autoPict="0">
                <anchor moveWithCells="1" sizeWithCells="1">
                  <from>
                    <xdr:col>22</xdr:col>
                    <xdr:colOff>0</xdr:colOff>
                    <xdr:row>61</xdr:row>
                    <xdr:rowOff>0</xdr:rowOff>
                  </from>
                  <to>
                    <xdr:col>22</xdr:col>
                    <xdr:colOff>184150</xdr:colOff>
                    <xdr:row>61</xdr:row>
                    <xdr:rowOff>184150</xdr:rowOff>
                  </to>
                </anchor>
              </controlPr>
            </control>
          </mc:Choice>
        </mc:AlternateContent>
        <mc:AlternateContent xmlns:mc="http://schemas.openxmlformats.org/markup-compatibility/2006">
          <mc:Choice Requires="x14">
            <control shapeId="7187" r:id="rId10" name="Check Box 19">
              <controlPr locked="0" defaultSize="0" autoFill="0" autoLine="0" autoPict="0">
                <anchor moveWithCells="1" sizeWithCells="1">
                  <from>
                    <xdr:col>22</xdr:col>
                    <xdr:colOff>0</xdr:colOff>
                    <xdr:row>90</xdr:row>
                    <xdr:rowOff>0</xdr:rowOff>
                  </from>
                  <to>
                    <xdr:col>22</xdr:col>
                    <xdr:colOff>184150</xdr:colOff>
                    <xdr:row>90</xdr:row>
                    <xdr:rowOff>184150</xdr:rowOff>
                  </to>
                </anchor>
              </controlPr>
            </control>
          </mc:Choice>
        </mc:AlternateContent>
        <mc:AlternateContent xmlns:mc="http://schemas.openxmlformats.org/markup-compatibility/2006">
          <mc:Choice Requires="x14">
            <control shapeId="7188" r:id="rId11" name="Check Box 20">
              <controlPr locked="0" defaultSize="0" autoFill="0" autoLine="0" autoPict="0">
                <anchor moveWithCells="1" sizeWithCells="1">
                  <from>
                    <xdr:col>22</xdr:col>
                    <xdr:colOff>0</xdr:colOff>
                    <xdr:row>92</xdr:row>
                    <xdr:rowOff>0</xdr:rowOff>
                  </from>
                  <to>
                    <xdr:col>22</xdr:col>
                    <xdr:colOff>184150</xdr:colOff>
                    <xdr:row>92</xdr:row>
                    <xdr:rowOff>184150</xdr:rowOff>
                  </to>
                </anchor>
              </controlPr>
            </control>
          </mc:Choice>
        </mc:AlternateContent>
        <mc:AlternateContent xmlns:mc="http://schemas.openxmlformats.org/markup-compatibility/2006">
          <mc:Choice Requires="x14">
            <control shapeId="7189" r:id="rId12" name="Check Box 21">
              <controlPr locked="0" defaultSize="0" autoFill="0" autoLine="0" autoPict="0">
                <anchor moveWithCells="1" sizeWithCells="1">
                  <from>
                    <xdr:col>22</xdr:col>
                    <xdr:colOff>0</xdr:colOff>
                    <xdr:row>95</xdr:row>
                    <xdr:rowOff>0</xdr:rowOff>
                  </from>
                  <to>
                    <xdr:col>22</xdr:col>
                    <xdr:colOff>184150</xdr:colOff>
                    <xdr:row>95</xdr:row>
                    <xdr:rowOff>184150</xdr:rowOff>
                  </to>
                </anchor>
              </controlPr>
            </control>
          </mc:Choice>
        </mc:AlternateContent>
        <mc:AlternateContent xmlns:mc="http://schemas.openxmlformats.org/markup-compatibility/2006">
          <mc:Choice Requires="x14">
            <control shapeId="7191" r:id="rId13" name="Check Box 23">
              <controlPr locked="0" defaultSize="0" autoFill="0" autoLine="0" autoPict="0">
                <anchor moveWithCells="1" sizeWithCells="1">
                  <from>
                    <xdr:col>22</xdr:col>
                    <xdr:colOff>0</xdr:colOff>
                    <xdr:row>118</xdr:row>
                    <xdr:rowOff>0</xdr:rowOff>
                  </from>
                  <to>
                    <xdr:col>22</xdr:col>
                    <xdr:colOff>184150</xdr:colOff>
                    <xdr:row>118</xdr:row>
                    <xdr:rowOff>184150</xdr:rowOff>
                  </to>
                </anchor>
              </controlPr>
            </control>
          </mc:Choice>
        </mc:AlternateContent>
        <mc:AlternateContent xmlns:mc="http://schemas.openxmlformats.org/markup-compatibility/2006">
          <mc:Choice Requires="x14">
            <control shapeId="7192" r:id="rId14" name="Check Box 24">
              <controlPr locked="0" defaultSize="0" autoFill="0" autoLine="0" autoPict="0">
                <anchor moveWithCells="1" sizeWithCells="1">
                  <from>
                    <xdr:col>22</xdr:col>
                    <xdr:colOff>0</xdr:colOff>
                    <xdr:row>129</xdr:row>
                    <xdr:rowOff>0</xdr:rowOff>
                  </from>
                  <to>
                    <xdr:col>22</xdr:col>
                    <xdr:colOff>184150</xdr:colOff>
                    <xdr:row>129</xdr:row>
                    <xdr:rowOff>184150</xdr:rowOff>
                  </to>
                </anchor>
              </controlPr>
            </control>
          </mc:Choice>
        </mc:AlternateContent>
        <mc:AlternateContent xmlns:mc="http://schemas.openxmlformats.org/markup-compatibility/2006">
          <mc:Choice Requires="x14">
            <control shapeId="7193" r:id="rId15" name="Check Box 25">
              <controlPr locked="0" defaultSize="0" autoFill="0" autoLine="0" autoPict="0">
                <anchor moveWithCells="1" sizeWithCells="1">
                  <from>
                    <xdr:col>22</xdr:col>
                    <xdr:colOff>0</xdr:colOff>
                    <xdr:row>131</xdr:row>
                    <xdr:rowOff>0</xdr:rowOff>
                  </from>
                  <to>
                    <xdr:col>22</xdr:col>
                    <xdr:colOff>184150</xdr:colOff>
                    <xdr:row>131</xdr:row>
                    <xdr:rowOff>184150</xdr:rowOff>
                  </to>
                </anchor>
              </controlPr>
            </control>
          </mc:Choice>
        </mc:AlternateContent>
        <mc:AlternateContent xmlns:mc="http://schemas.openxmlformats.org/markup-compatibility/2006">
          <mc:Choice Requires="x14">
            <control shapeId="7194" r:id="rId16" name="Check Box 26">
              <controlPr locked="0" defaultSize="0" autoFill="0" autoLine="0" autoPict="0">
                <anchor moveWithCells="1" sizeWithCells="1">
                  <from>
                    <xdr:col>22</xdr:col>
                    <xdr:colOff>0</xdr:colOff>
                    <xdr:row>132</xdr:row>
                    <xdr:rowOff>0</xdr:rowOff>
                  </from>
                  <to>
                    <xdr:col>22</xdr:col>
                    <xdr:colOff>184150</xdr:colOff>
                    <xdr:row>132</xdr:row>
                    <xdr:rowOff>184150</xdr:rowOff>
                  </to>
                </anchor>
              </controlPr>
            </control>
          </mc:Choice>
        </mc:AlternateContent>
        <mc:AlternateContent xmlns:mc="http://schemas.openxmlformats.org/markup-compatibility/2006">
          <mc:Choice Requires="x14">
            <control shapeId="7195" r:id="rId17" name="Check Box 27">
              <controlPr locked="0" defaultSize="0" autoFill="0" autoLine="0" autoPict="0">
                <anchor moveWithCells="1" sizeWithCells="1">
                  <from>
                    <xdr:col>22</xdr:col>
                    <xdr:colOff>0</xdr:colOff>
                    <xdr:row>139</xdr:row>
                    <xdr:rowOff>0</xdr:rowOff>
                  </from>
                  <to>
                    <xdr:col>22</xdr:col>
                    <xdr:colOff>184150</xdr:colOff>
                    <xdr:row>139</xdr:row>
                    <xdr:rowOff>184150</xdr:rowOff>
                  </to>
                </anchor>
              </controlPr>
            </control>
          </mc:Choice>
        </mc:AlternateContent>
        <mc:AlternateContent xmlns:mc="http://schemas.openxmlformats.org/markup-compatibility/2006">
          <mc:Choice Requires="x14">
            <control shapeId="7196" r:id="rId18" name="Check Box 28">
              <controlPr locked="0" defaultSize="0" autoFill="0" autoLine="0" autoPict="0">
                <anchor moveWithCells="1" sizeWithCells="1">
                  <from>
                    <xdr:col>22</xdr:col>
                    <xdr:colOff>0</xdr:colOff>
                    <xdr:row>148</xdr:row>
                    <xdr:rowOff>0</xdr:rowOff>
                  </from>
                  <to>
                    <xdr:col>22</xdr:col>
                    <xdr:colOff>184150</xdr:colOff>
                    <xdr:row>148</xdr:row>
                    <xdr:rowOff>184150</xdr:rowOff>
                  </to>
                </anchor>
              </controlPr>
            </control>
          </mc:Choice>
        </mc:AlternateContent>
        <mc:AlternateContent xmlns:mc="http://schemas.openxmlformats.org/markup-compatibility/2006">
          <mc:Choice Requires="x14">
            <control shapeId="7197" r:id="rId19" name="Check Box 29">
              <controlPr locked="0" defaultSize="0" autoFill="0" autoLine="0" autoPict="0">
                <anchor moveWithCells="1" sizeWithCells="1">
                  <from>
                    <xdr:col>22</xdr:col>
                    <xdr:colOff>0</xdr:colOff>
                    <xdr:row>153</xdr:row>
                    <xdr:rowOff>0</xdr:rowOff>
                  </from>
                  <to>
                    <xdr:col>22</xdr:col>
                    <xdr:colOff>184150</xdr:colOff>
                    <xdr:row>153</xdr:row>
                    <xdr:rowOff>184150</xdr:rowOff>
                  </to>
                </anchor>
              </controlPr>
            </control>
          </mc:Choice>
        </mc:AlternateContent>
        <mc:AlternateContent xmlns:mc="http://schemas.openxmlformats.org/markup-compatibility/2006">
          <mc:Choice Requires="x14">
            <control shapeId="7198" r:id="rId20" name="Check Box 30">
              <controlPr locked="0" defaultSize="0" autoFill="0" autoLine="0" autoPict="0">
                <anchor moveWithCells="1" sizeWithCells="1">
                  <from>
                    <xdr:col>22</xdr:col>
                    <xdr:colOff>0</xdr:colOff>
                    <xdr:row>154</xdr:row>
                    <xdr:rowOff>0</xdr:rowOff>
                  </from>
                  <to>
                    <xdr:col>22</xdr:col>
                    <xdr:colOff>184150</xdr:colOff>
                    <xdr:row>154</xdr:row>
                    <xdr:rowOff>184150</xdr:rowOff>
                  </to>
                </anchor>
              </controlPr>
            </control>
          </mc:Choice>
        </mc:AlternateContent>
        <mc:AlternateContent xmlns:mc="http://schemas.openxmlformats.org/markup-compatibility/2006">
          <mc:Choice Requires="x14">
            <control shapeId="7199" r:id="rId21" name="Check Box 31">
              <controlPr locked="0" defaultSize="0" autoFill="0" autoLine="0" autoPict="0">
                <anchor moveWithCells="1" sizeWithCells="1">
                  <from>
                    <xdr:col>22</xdr:col>
                    <xdr:colOff>0</xdr:colOff>
                    <xdr:row>158</xdr:row>
                    <xdr:rowOff>0</xdr:rowOff>
                  </from>
                  <to>
                    <xdr:col>22</xdr:col>
                    <xdr:colOff>184150</xdr:colOff>
                    <xdr:row>158</xdr:row>
                    <xdr:rowOff>184150</xdr:rowOff>
                  </to>
                </anchor>
              </controlPr>
            </control>
          </mc:Choice>
        </mc:AlternateContent>
        <mc:AlternateContent xmlns:mc="http://schemas.openxmlformats.org/markup-compatibility/2006">
          <mc:Choice Requires="x14">
            <control shapeId="7201" r:id="rId22" name="Check Box 33">
              <controlPr locked="0" defaultSize="0" autoFill="0" autoLine="0" autoPict="0">
                <anchor moveWithCells="1" sizeWithCells="1">
                  <from>
                    <xdr:col>22</xdr:col>
                    <xdr:colOff>0</xdr:colOff>
                    <xdr:row>171</xdr:row>
                    <xdr:rowOff>0</xdr:rowOff>
                  </from>
                  <to>
                    <xdr:col>22</xdr:col>
                    <xdr:colOff>184150</xdr:colOff>
                    <xdr:row>171</xdr:row>
                    <xdr:rowOff>184150</xdr:rowOff>
                  </to>
                </anchor>
              </controlPr>
            </control>
          </mc:Choice>
        </mc:AlternateContent>
        <mc:AlternateContent xmlns:mc="http://schemas.openxmlformats.org/markup-compatibility/2006">
          <mc:Choice Requires="x14">
            <control shapeId="7202" r:id="rId23" name="Check Box 34">
              <controlPr locked="0" defaultSize="0" autoFill="0" autoLine="0" autoPict="0">
                <anchor moveWithCells="1" sizeWithCells="1">
                  <from>
                    <xdr:col>22</xdr:col>
                    <xdr:colOff>0</xdr:colOff>
                    <xdr:row>172</xdr:row>
                    <xdr:rowOff>0</xdr:rowOff>
                  </from>
                  <to>
                    <xdr:col>22</xdr:col>
                    <xdr:colOff>184150</xdr:colOff>
                    <xdr:row>172</xdr:row>
                    <xdr:rowOff>184150</xdr:rowOff>
                  </to>
                </anchor>
              </controlPr>
            </control>
          </mc:Choice>
        </mc:AlternateContent>
        <mc:AlternateContent xmlns:mc="http://schemas.openxmlformats.org/markup-compatibility/2006">
          <mc:Choice Requires="x14">
            <control shapeId="7203" r:id="rId24" name="Check Box 35">
              <controlPr locked="0" defaultSize="0" autoFill="0" autoLine="0" autoPict="0">
                <anchor moveWithCells="1" sizeWithCells="1">
                  <from>
                    <xdr:col>22</xdr:col>
                    <xdr:colOff>0</xdr:colOff>
                    <xdr:row>175</xdr:row>
                    <xdr:rowOff>0</xdr:rowOff>
                  </from>
                  <to>
                    <xdr:col>22</xdr:col>
                    <xdr:colOff>184150</xdr:colOff>
                    <xdr:row>175</xdr:row>
                    <xdr:rowOff>184150</xdr:rowOff>
                  </to>
                </anchor>
              </controlPr>
            </control>
          </mc:Choice>
        </mc:AlternateContent>
        <mc:AlternateContent xmlns:mc="http://schemas.openxmlformats.org/markup-compatibility/2006">
          <mc:Choice Requires="x14">
            <control shapeId="7204" r:id="rId25" name="Check Box 36">
              <controlPr locked="0" defaultSize="0" autoFill="0" autoLine="0" autoPict="0">
                <anchor moveWithCells="1" sizeWithCells="1">
                  <from>
                    <xdr:col>22</xdr:col>
                    <xdr:colOff>0</xdr:colOff>
                    <xdr:row>177</xdr:row>
                    <xdr:rowOff>0</xdr:rowOff>
                  </from>
                  <to>
                    <xdr:col>22</xdr:col>
                    <xdr:colOff>184150</xdr:colOff>
                    <xdr:row>177</xdr:row>
                    <xdr:rowOff>184150</xdr:rowOff>
                  </to>
                </anchor>
              </controlPr>
            </control>
          </mc:Choice>
        </mc:AlternateContent>
        <mc:AlternateContent xmlns:mc="http://schemas.openxmlformats.org/markup-compatibility/2006">
          <mc:Choice Requires="x14">
            <control shapeId="7205" r:id="rId26" name="Check Box 37">
              <controlPr locked="0" defaultSize="0" autoFill="0" autoLine="0" autoPict="0">
                <anchor moveWithCells="1" sizeWithCells="1">
                  <from>
                    <xdr:col>22</xdr:col>
                    <xdr:colOff>0</xdr:colOff>
                    <xdr:row>183</xdr:row>
                    <xdr:rowOff>0</xdr:rowOff>
                  </from>
                  <to>
                    <xdr:col>22</xdr:col>
                    <xdr:colOff>184150</xdr:colOff>
                    <xdr:row>183</xdr:row>
                    <xdr:rowOff>184150</xdr:rowOff>
                  </to>
                </anchor>
              </controlPr>
            </control>
          </mc:Choice>
        </mc:AlternateContent>
        <mc:AlternateContent xmlns:mc="http://schemas.openxmlformats.org/markup-compatibility/2006">
          <mc:Choice Requires="x14">
            <control shapeId="7206" r:id="rId27" name="Check Box 38">
              <controlPr locked="0" defaultSize="0" autoFill="0" autoLine="0" autoPict="0">
                <anchor moveWithCells="1" sizeWithCells="1">
                  <from>
                    <xdr:col>22</xdr:col>
                    <xdr:colOff>0</xdr:colOff>
                    <xdr:row>185</xdr:row>
                    <xdr:rowOff>0</xdr:rowOff>
                  </from>
                  <to>
                    <xdr:col>22</xdr:col>
                    <xdr:colOff>184150</xdr:colOff>
                    <xdr:row>185</xdr:row>
                    <xdr:rowOff>184150</xdr:rowOff>
                  </to>
                </anchor>
              </controlPr>
            </control>
          </mc:Choice>
        </mc:AlternateContent>
        <mc:AlternateContent xmlns:mc="http://schemas.openxmlformats.org/markup-compatibility/2006">
          <mc:Choice Requires="x14">
            <control shapeId="7207" r:id="rId28" name="Check Box 39">
              <controlPr locked="0" defaultSize="0" autoFill="0" autoLine="0" autoPict="0">
                <anchor moveWithCells="1" sizeWithCells="1">
                  <from>
                    <xdr:col>22</xdr:col>
                    <xdr:colOff>0</xdr:colOff>
                    <xdr:row>189</xdr:row>
                    <xdr:rowOff>0</xdr:rowOff>
                  </from>
                  <to>
                    <xdr:col>22</xdr:col>
                    <xdr:colOff>184150</xdr:colOff>
                    <xdr:row>189</xdr:row>
                    <xdr:rowOff>184150</xdr:rowOff>
                  </to>
                </anchor>
              </controlPr>
            </control>
          </mc:Choice>
        </mc:AlternateContent>
        <mc:AlternateContent xmlns:mc="http://schemas.openxmlformats.org/markup-compatibility/2006">
          <mc:Choice Requires="x14">
            <control shapeId="7208" r:id="rId29" name="Check Box 40">
              <controlPr locked="0" defaultSize="0" autoFill="0" autoLine="0" autoPict="0">
                <anchor moveWithCells="1" sizeWithCells="1">
                  <from>
                    <xdr:col>22</xdr:col>
                    <xdr:colOff>0</xdr:colOff>
                    <xdr:row>196</xdr:row>
                    <xdr:rowOff>0</xdr:rowOff>
                  </from>
                  <to>
                    <xdr:col>22</xdr:col>
                    <xdr:colOff>184150</xdr:colOff>
                    <xdr:row>196</xdr:row>
                    <xdr:rowOff>184150</xdr:rowOff>
                  </to>
                </anchor>
              </controlPr>
            </control>
          </mc:Choice>
        </mc:AlternateContent>
        <mc:AlternateContent xmlns:mc="http://schemas.openxmlformats.org/markup-compatibility/2006">
          <mc:Choice Requires="x14">
            <control shapeId="7209" r:id="rId30" name="Check Box 41">
              <controlPr locked="0" defaultSize="0" autoFill="0" autoLine="0" autoPict="0">
                <anchor moveWithCells="1" sizeWithCells="1">
                  <from>
                    <xdr:col>22</xdr:col>
                    <xdr:colOff>0</xdr:colOff>
                    <xdr:row>207</xdr:row>
                    <xdr:rowOff>0</xdr:rowOff>
                  </from>
                  <to>
                    <xdr:col>22</xdr:col>
                    <xdr:colOff>184150</xdr:colOff>
                    <xdr:row>207</xdr:row>
                    <xdr:rowOff>184150</xdr:rowOff>
                  </to>
                </anchor>
              </controlPr>
            </control>
          </mc:Choice>
        </mc:AlternateContent>
        <mc:AlternateContent xmlns:mc="http://schemas.openxmlformats.org/markup-compatibility/2006">
          <mc:Choice Requires="x14">
            <control shapeId="7210" r:id="rId31" name="Check Box 42">
              <controlPr locked="0" defaultSize="0" autoFill="0" autoLine="0" autoPict="0">
                <anchor moveWithCells="1" sizeWithCells="1">
                  <from>
                    <xdr:col>22</xdr:col>
                    <xdr:colOff>0</xdr:colOff>
                    <xdr:row>209</xdr:row>
                    <xdr:rowOff>0</xdr:rowOff>
                  </from>
                  <to>
                    <xdr:col>22</xdr:col>
                    <xdr:colOff>184150</xdr:colOff>
                    <xdr:row>209</xdr:row>
                    <xdr:rowOff>184150</xdr:rowOff>
                  </to>
                </anchor>
              </controlPr>
            </control>
          </mc:Choice>
        </mc:AlternateContent>
        <mc:AlternateContent xmlns:mc="http://schemas.openxmlformats.org/markup-compatibility/2006">
          <mc:Choice Requires="x14">
            <control shapeId="7211" r:id="rId32" name="Check Box 43">
              <controlPr locked="0" defaultSize="0" autoFill="0" autoLine="0" autoPict="0">
                <anchor moveWithCells="1" sizeWithCells="1">
                  <from>
                    <xdr:col>22</xdr:col>
                    <xdr:colOff>0</xdr:colOff>
                    <xdr:row>211</xdr:row>
                    <xdr:rowOff>0</xdr:rowOff>
                  </from>
                  <to>
                    <xdr:col>22</xdr:col>
                    <xdr:colOff>184150</xdr:colOff>
                    <xdr:row>211</xdr:row>
                    <xdr:rowOff>184150</xdr:rowOff>
                  </to>
                </anchor>
              </controlPr>
            </control>
          </mc:Choice>
        </mc:AlternateContent>
        <mc:AlternateContent xmlns:mc="http://schemas.openxmlformats.org/markup-compatibility/2006">
          <mc:Choice Requires="x14">
            <control shapeId="7212" r:id="rId33" name="Check Box 44">
              <controlPr locked="0" defaultSize="0" autoFill="0" autoLine="0" autoPict="0">
                <anchor moveWithCells="1" sizeWithCells="1">
                  <from>
                    <xdr:col>22</xdr:col>
                    <xdr:colOff>0</xdr:colOff>
                    <xdr:row>229</xdr:row>
                    <xdr:rowOff>0</xdr:rowOff>
                  </from>
                  <to>
                    <xdr:col>22</xdr:col>
                    <xdr:colOff>184150</xdr:colOff>
                    <xdr:row>229</xdr:row>
                    <xdr:rowOff>184150</xdr:rowOff>
                  </to>
                </anchor>
              </controlPr>
            </control>
          </mc:Choice>
        </mc:AlternateContent>
        <mc:AlternateContent xmlns:mc="http://schemas.openxmlformats.org/markup-compatibility/2006">
          <mc:Choice Requires="x14">
            <control shapeId="7213" r:id="rId34" name="Check Box 45">
              <controlPr locked="0" defaultSize="0" autoFill="0" autoLine="0" autoPict="0">
                <anchor moveWithCells="1" sizeWithCells="1">
                  <from>
                    <xdr:col>22</xdr:col>
                    <xdr:colOff>0</xdr:colOff>
                    <xdr:row>231</xdr:row>
                    <xdr:rowOff>0</xdr:rowOff>
                  </from>
                  <to>
                    <xdr:col>22</xdr:col>
                    <xdr:colOff>184150</xdr:colOff>
                    <xdr:row>231</xdr:row>
                    <xdr:rowOff>184150</xdr:rowOff>
                  </to>
                </anchor>
              </controlPr>
            </control>
          </mc:Choice>
        </mc:AlternateContent>
        <mc:AlternateContent xmlns:mc="http://schemas.openxmlformats.org/markup-compatibility/2006">
          <mc:Choice Requires="x14">
            <control shapeId="7214" r:id="rId35" name="Check Box 46">
              <controlPr locked="0" defaultSize="0" autoFill="0" autoLine="0" autoPict="0">
                <anchor moveWithCells="1" sizeWithCells="1">
                  <from>
                    <xdr:col>22</xdr:col>
                    <xdr:colOff>0</xdr:colOff>
                    <xdr:row>234</xdr:row>
                    <xdr:rowOff>0</xdr:rowOff>
                  </from>
                  <to>
                    <xdr:col>22</xdr:col>
                    <xdr:colOff>184150</xdr:colOff>
                    <xdr:row>234</xdr:row>
                    <xdr:rowOff>184150</xdr:rowOff>
                  </to>
                </anchor>
              </controlPr>
            </control>
          </mc:Choice>
        </mc:AlternateContent>
        <mc:AlternateContent xmlns:mc="http://schemas.openxmlformats.org/markup-compatibility/2006">
          <mc:Choice Requires="x14">
            <control shapeId="7216" r:id="rId36" name="Check Box 48">
              <controlPr locked="0" defaultSize="0" autoFill="0" autoLine="0" autoPict="0">
                <anchor moveWithCells="1" sizeWithCells="1">
                  <from>
                    <xdr:col>22</xdr:col>
                    <xdr:colOff>0</xdr:colOff>
                    <xdr:row>313</xdr:row>
                    <xdr:rowOff>0</xdr:rowOff>
                  </from>
                  <to>
                    <xdr:col>22</xdr:col>
                    <xdr:colOff>184150</xdr:colOff>
                    <xdr:row>313</xdr:row>
                    <xdr:rowOff>184150</xdr:rowOff>
                  </to>
                </anchor>
              </controlPr>
            </control>
          </mc:Choice>
        </mc:AlternateContent>
        <mc:AlternateContent xmlns:mc="http://schemas.openxmlformats.org/markup-compatibility/2006">
          <mc:Choice Requires="x14">
            <control shapeId="7217" r:id="rId37" name="Check Box 49">
              <controlPr locked="0" defaultSize="0" autoFill="0" autoLine="0" autoPict="0">
                <anchor moveWithCells="1" sizeWithCells="1">
                  <from>
                    <xdr:col>22</xdr:col>
                    <xdr:colOff>0</xdr:colOff>
                    <xdr:row>315</xdr:row>
                    <xdr:rowOff>0</xdr:rowOff>
                  </from>
                  <to>
                    <xdr:col>22</xdr:col>
                    <xdr:colOff>184150</xdr:colOff>
                    <xdr:row>315</xdr:row>
                    <xdr:rowOff>184150</xdr:rowOff>
                  </to>
                </anchor>
              </controlPr>
            </control>
          </mc:Choice>
        </mc:AlternateContent>
        <mc:AlternateContent xmlns:mc="http://schemas.openxmlformats.org/markup-compatibility/2006">
          <mc:Choice Requires="x14">
            <control shapeId="7218" r:id="rId38" name="Check Box 50">
              <controlPr locked="0" defaultSize="0" autoFill="0" autoLine="0" autoPict="0">
                <anchor moveWithCells="1" sizeWithCells="1">
                  <from>
                    <xdr:col>22</xdr:col>
                    <xdr:colOff>0</xdr:colOff>
                    <xdr:row>321</xdr:row>
                    <xdr:rowOff>0</xdr:rowOff>
                  </from>
                  <to>
                    <xdr:col>22</xdr:col>
                    <xdr:colOff>184150</xdr:colOff>
                    <xdr:row>321</xdr:row>
                    <xdr:rowOff>184150</xdr:rowOff>
                  </to>
                </anchor>
              </controlPr>
            </control>
          </mc:Choice>
        </mc:AlternateContent>
        <mc:AlternateContent xmlns:mc="http://schemas.openxmlformats.org/markup-compatibility/2006">
          <mc:Choice Requires="x14">
            <control shapeId="7219" r:id="rId39" name="Check Box 51">
              <controlPr locked="0" defaultSize="0" autoFill="0" autoLine="0" autoPict="0">
                <anchor moveWithCells="1" sizeWithCells="1">
                  <from>
                    <xdr:col>22</xdr:col>
                    <xdr:colOff>0</xdr:colOff>
                    <xdr:row>323</xdr:row>
                    <xdr:rowOff>0</xdr:rowOff>
                  </from>
                  <to>
                    <xdr:col>22</xdr:col>
                    <xdr:colOff>184150</xdr:colOff>
                    <xdr:row>323</xdr:row>
                    <xdr:rowOff>184150</xdr:rowOff>
                  </to>
                </anchor>
              </controlPr>
            </control>
          </mc:Choice>
        </mc:AlternateContent>
        <mc:AlternateContent xmlns:mc="http://schemas.openxmlformats.org/markup-compatibility/2006">
          <mc:Choice Requires="x14">
            <control shapeId="7221" r:id="rId40" name="Check Box 53">
              <controlPr locked="0" defaultSize="0" autoFill="0" autoLine="0" autoPict="0">
                <anchor moveWithCells="1" sizeWithCells="1">
                  <from>
                    <xdr:col>22</xdr:col>
                    <xdr:colOff>0</xdr:colOff>
                    <xdr:row>337</xdr:row>
                    <xdr:rowOff>0</xdr:rowOff>
                  </from>
                  <to>
                    <xdr:col>22</xdr:col>
                    <xdr:colOff>184150</xdr:colOff>
                    <xdr:row>337</xdr:row>
                    <xdr:rowOff>184150</xdr:rowOff>
                  </to>
                </anchor>
              </controlPr>
            </control>
          </mc:Choice>
        </mc:AlternateContent>
        <mc:AlternateContent xmlns:mc="http://schemas.openxmlformats.org/markup-compatibility/2006">
          <mc:Choice Requires="x14">
            <control shapeId="7222" r:id="rId41" name="Check Box 54">
              <controlPr locked="0" defaultSize="0" autoFill="0" autoLine="0" autoPict="0">
                <anchor moveWithCells="1" sizeWithCells="1">
                  <from>
                    <xdr:col>22</xdr:col>
                    <xdr:colOff>0</xdr:colOff>
                    <xdr:row>338</xdr:row>
                    <xdr:rowOff>0</xdr:rowOff>
                  </from>
                  <to>
                    <xdr:col>22</xdr:col>
                    <xdr:colOff>184150</xdr:colOff>
                    <xdr:row>338</xdr:row>
                    <xdr:rowOff>184150</xdr:rowOff>
                  </to>
                </anchor>
              </controlPr>
            </control>
          </mc:Choice>
        </mc:AlternateContent>
        <mc:AlternateContent xmlns:mc="http://schemas.openxmlformats.org/markup-compatibility/2006">
          <mc:Choice Requires="x14">
            <control shapeId="7223" r:id="rId42" name="Check Box 55">
              <controlPr locked="0" defaultSize="0" autoFill="0" autoLine="0" autoPict="0">
                <anchor moveWithCells="1" sizeWithCells="1">
                  <from>
                    <xdr:col>22</xdr:col>
                    <xdr:colOff>0</xdr:colOff>
                    <xdr:row>343</xdr:row>
                    <xdr:rowOff>0</xdr:rowOff>
                  </from>
                  <to>
                    <xdr:col>22</xdr:col>
                    <xdr:colOff>184150</xdr:colOff>
                    <xdr:row>343</xdr:row>
                    <xdr:rowOff>184150</xdr:rowOff>
                  </to>
                </anchor>
              </controlPr>
            </control>
          </mc:Choice>
        </mc:AlternateContent>
        <mc:AlternateContent xmlns:mc="http://schemas.openxmlformats.org/markup-compatibility/2006">
          <mc:Choice Requires="x14">
            <control shapeId="7224" r:id="rId43" name="Check Box 56">
              <controlPr locked="0" defaultSize="0" autoFill="0" autoLine="0" autoPict="0">
                <anchor moveWithCells="1" sizeWithCells="1">
                  <from>
                    <xdr:col>22</xdr:col>
                    <xdr:colOff>0</xdr:colOff>
                    <xdr:row>348</xdr:row>
                    <xdr:rowOff>0</xdr:rowOff>
                  </from>
                  <to>
                    <xdr:col>22</xdr:col>
                    <xdr:colOff>184150</xdr:colOff>
                    <xdr:row>348</xdr:row>
                    <xdr:rowOff>184150</xdr:rowOff>
                  </to>
                </anchor>
              </controlPr>
            </control>
          </mc:Choice>
        </mc:AlternateContent>
        <mc:AlternateContent xmlns:mc="http://schemas.openxmlformats.org/markup-compatibility/2006">
          <mc:Choice Requires="x14">
            <control shapeId="7225" r:id="rId44" name="Check Box 57">
              <controlPr locked="0" defaultSize="0" autoFill="0" autoLine="0" autoPict="0">
                <anchor moveWithCells="1" sizeWithCells="1">
                  <from>
                    <xdr:col>22</xdr:col>
                    <xdr:colOff>0</xdr:colOff>
                    <xdr:row>365</xdr:row>
                    <xdr:rowOff>0</xdr:rowOff>
                  </from>
                  <to>
                    <xdr:col>22</xdr:col>
                    <xdr:colOff>184150</xdr:colOff>
                    <xdr:row>365</xdr:row>
                    <xdr:rowOff>184150</xdr:rowOff>
                  </to>
                </anchor>
              </controlPr>
            </control>
          </mc:Choice>
        </mc:AlternateContent>
        <mc:AlternateContent xmlns:mc="http://schemas.openxmlformats.org/markup-compatibility/2006">
          <mc:Choice Requires="x14">
            <control shapeId="7226" r:id="rId45" name="Check Box 58">
              <controlPr locked="0" defaultSize="0" autoFill="0" autoLine="0" autoPict="0">
                <anchor moveWithCells="1" sizeWithCells="1">
                  <from>
                    <xdr:col>22</xdr:col>
                    <xdr:colOff>0</xdr:colOff>
                    <xdr:row>370</xdr:row>
                    <xdr:rowOff>0</xdr:rowOff>
                  </from>
                  <to>
                    <xdr:col>22</xdr:col>
                    <xdr:colOff>184150</xdr:colOff>
                    <xdr:row>370</xdr:row>
                    <xdr:rowOff>184150</xdr:rowOff>
                  </to>
                </anchor>
              </controlPr>
            </control>
          </mc:Choice>
        </mc:AlternateContent>
        <mc:AlternateContent xmlns:mc="http://schemas.openxmlformats.org/markup-compatibility/2006">
          <mc:Choice Requires="x14">
            <control shapeId="7230" r:id="rId46" name="Check Box 62">
              <controlPr locked="0" defaultSize="0" autoFill="0" autoLine="0" autoPict="0">
                <anchor moveWithCells="1" sizeWithCells="1">
                  <from>
                    <xdr:col>22</xdr:col>
                    <xdr:colOff>0</xdr:colOff>
                    <xdr:row>134</xdr:row>
                    <xdr:rowOff>0</xdr:rowOff>
                  </from>
                  <to>
                    <xdr:col>22</xdr:col>
                    <xdr:colOff>184150</xdr:colOff>
                    <xdr:row>134</xdr:row>
                    <xdr:rowOff>184150</xdr:rowOff>
                  </to>
                </anchor>
              </controlPr>
            </control>
          </mc:Choice>
        </mc:AlternateContent>
        <mc:AlternateContent xmlns:mc="http://schemas.openxmlformats.org/markup-compatibility/2006">
          <mc:Choice Requires="x14">
            <control shapeId="7232" r:id="rId47" name="Check Box 64">
              <controlPr locked="0" defaultSize="0" autoFill="0" autoLine="0" autoPict="0">
                <anchor moveWithCells="1" sizeWithCells="1">
                  <from>
                    <xdr:col>22</xdr:col>
                    <xdr:colOff>0</xdr:colOff>
                    <xdr:row>163</xdr:row>
                    <xdr:rowOff>0</xdr:rowOff>
                  </from>
                  <to>
                    <xdr:col>22</xdr:col>
                    <xdr:colOff>184150</xdr:colOff>
                    <xdr:row>163</xdr:row>
                    <xdr:rowOff>184150</xdr:rowOff>
                  </to>
                </anchor>
              </controlPr>
            </control>
          </mc:Choice>
        </mc:AlternateContent>
        <mc:AlternateContent xmlns:mc="http://schemas.openxmlformats.org/markup-compatibility/2006">
          <mc:Choice Requires="x14">
            <control shapeId="7234" r:id="rId48" name="Check Box 66">
              <controlPr locked="0" defaultSize="0" autoFill="0" autoLine="0" autoPict="0">
                <anchor moveWithCells="1" sizeWithCells="1">
                  <from>
                    <xdr:col>22</xdr:col>
                    <xdr:colOff>0</xdr:colOff>
                    <xdr:row>214</xdr:row>
                    <xdr:rowOff>0</xdr:rowOff>
                  </from>
                  <to>
                    <xdr:col>22</xdr:col>
                    <xdr:colOff>184150</xdr:colOff>
                    <xdr:row>214</xdr:row>
                    <xdr:rowOff>184150</xdr:rowOff>
                  </to>
                </anchor>
              </controlPr>
            </control>
          </mc:Choice>
        </mc:AlternateContent>
        <mc:AlternateContent xmlns:mc="http://schemas.openxmlformats.org/markup-compatibility/2006">
          <mc:Choice Requires="x14">
            <control shapeId="7239" r:id="rId49" name="Check Box 71">
              <controlPr locked="0" defaultSize="0" autoFill="0" autoLine="0" autoPict="0">
                <anchor moveWithCells="1" sizeWithCells="1">
                  <from>
                    <xdr:col>22</xdr:col>
                    <xdr:colOff>0</xdr:colOff>
                    <xdr:row>285</xdr:row>
                    <xdr:rowOff>0</xdr:rowOff>
                  </from>
                  <to>
                    <xdr:col>22</xdr:col>
                    <xdr:colOff>184150</xdr:colOff>
                    <xdr:row>285</xdr:row>
                    <xdr:rowOff>184150</xdr:rowOff>
                  </to>
                </anchor>
              </controlPr>
            </control>
          </mc:Choice>
        </mc:AlternateContent>
        <mc:AlternateContent xmlns:mc="http://schemas.openxmlformats.org/markup-compatibility/2006">
          <mc:Choice Requires="x14">
            <control shapeId="7240" r:id="rId50" name="Check Box 72">
              <controlPr locked="0" defaultSize="0" autoFill="0" autoLine="0" autoPict="0">
                <anchor moveWithCells="1" sizeWithCells="1">
                  <from>
                    <xdr:col>22</xdr:col>
                    <xdr:colOff>0</xdr:colOff>
                    <xdr:row>287</xdr:row>
                    <xdr:rowOff>0</xdr:rowOff>
                  </from>
                  <to>
                    <xdr:col>22</xdr:col>
                    <xdr:colOff>184150</xdr:colOff>
                    <xdr:row>287</xdr:row>
                    <xdr:rowOff>184150</xdr:rowOff>
                  </to>
                </anchor>
              </controlPr>
            </control>
          </mc:Choice>
        </mc:AlternateContent>
        <mc:AlternateContent xmlns:mc="http://schemas.openxmlformats.org/markup-compatibility/2006">
          <mc:Choice Requires="x14">
            <control shapeId="7245" r:id="rId51" name="Check Box 77">
              <controlPr locked="0" defaultSize="0" autoFill="0" autoLine="0" autoPict="0">
                <anchor moveWithCells="1" sizeWithCells="1">
                  <from>
                    <xdr:col>22</xdr:col>
                    <xdr:colOff>0</xdr:colOff>
                    <xdr:row>318</xdr:row>
                    <xdr:rowOff>0</xdr:rowOff>
                  </from>
                  <to>
                    <xdr:col>22</xdr:col>
                    <xdr:colOff>184150</xdr:colOff>
                    <xdr:row>318</xdr:row>
                    <xdr:rowOff>184150</xdr:rowOff>
                  </to>
                </anchor>
              </controlPr>
            </control>
          </mc:Choice>
        </mc:AlternateContent>
        <mc:AlternateContent xmlns:mc="http://schemas.openxmlformats.org/markup-compatibility/2006">
          <mc:Choice Requires="x14">
            <control shapeId="7247" r:id="rId52" name="Check Box 79">
              <controlPr locked="0" defaultSize="0" autoFill="0" autoLine="0" autoPict="0">
                <anchor moveWithCells="1" sizeWithCells="1">
                  <from>
                    <xdr:col>22</xdr:col>
                    <xdr:colOff>0</xdr:colOff>
                    <xdr:row>353</xdr:row>
                    <xdr:rowOff>0</xdr:rowOff>
                  </from>
                  <to>
                    <xdr:col>22</xdr:col>
                    <xdr:colOff>184150</xdr:colOff>
                    <xdr:row>353</xdr:row>
                    <xdr:rowOff>184150</xdr:rowOff>
                  </to>
                </anchor>
              </controlPr>
            </control>
          </mc:Choice>
        </mc:AlternateContent>
        <mc:AlternateContent xmlns:mc="http://schemas.openxmlformats.org/markup-compatibility/2006">
          <mc:Choice Requires="x14">
            <control shapeId="7248" r:id="rId53" name="Check Box 80">
              <controlPr locked="0" defaultSize="0" autoFill="0" autoLine="0" autoPict="0">
                <anchor moveWithCells="1" sizeWithCells="1">
                  <from>
                    <xdr:col>22</xdr:col>
                    <xdr:colOff>0</xdr:colOff>
                    <xdr:row>361</xdr:row>
                    <xdr:rowOff>0</xdr:rowOff>
                  </from>
                  <to>
                    <xdr:col>22</xdr:col>
                    <xdr:colOff>184150</xdr:colOff>
                    <xdr:row>361</xdr:row>
                    <xdr:rowOff>184150</xdr:rowOff>
                  </to>
                </anchor>
              </controlPr>
            </control>
          </mc:Choice>
        </mc:AlternateContent>
        <mc:AlternateContent xmlns:mc="http://schemas.openxmlformats.org/markup-compatibility/2006">
          <mc:Choice Requires="x14">
            <control shapeId="7250" r:id="rId54" name="Check Box 82">
              <controlPr locked="0" defaultSize="0" autoFill="0" autoLine="0" autoPict="0">
                <anchor moveWithCells="1" sizeWithCells="1">
                  <from>
                    <xdr:col>22</xdr:col>
                    <xdr:colOff>0</xdr:colOff>
                    <xdr:row>373</xdr:row>
                    <xdr:rowOff>0</xdr:rowOff>
                  </from>
                  <to>
                    <xdr:col>22</xdr:col>
                    <xdr:colOff>184150</xdr:colOff>
                    <xdr:row>373</xdr:row>
                    <xdr:rowOff>184150</xdr:rowOff>
                  </to>
                </anchor>
              </controlPr>
            </control>
          </mc:Choice>
        </mc:AlternateContent>
        <mc:AlternateContent xmlns:mc="http://schemas.openxmlformats.org/markup-compatibility/2006">
          <mc:Choice Requires="x14">
            <control shapeId="7251" r:id="rId55" name="Check Box 83">
              <controlPr locked="0" defaultSize="0" autoFill="0" autoLine="0" autoPict="0">
                <anchor moveWithCells="1" sizeWithCells="1">
                  <from>
                    <xdr:col>22</xdr:col>
                    <xdr:colOff>0</xdr:colOff>
                    <xdr:row>374</xdr:row>
                    <xdr:rowOff>0</xdr:rowOff>
                  </from>
                  <to>
                    <xdr:col>22</xdr:col>
                    <xdr:colOff>184150</xdr:colOff>
                    <xdr:row>374</xdr:row>
                    <xdr:rowOff>184150</xdr:rowOff>
                  </to>
                </anchor>
              </controlPr>
            </control>
          </mc:Choice>
        </mc:AlternateContent>
        <mc:AlternateContent xmlns:mc="http://schemas.openxmlformats.org/markup-compatibility/2006">
          <mc:Choice Requires="x14">
            <control shapeId="7252" r:id="rId56" name="Check Box 84">
              <controlPr locked="0" defaultSize="0" autoFill="0" autoLine="0" autoPict="0">
                <anchor moveWithCells="1" sizeWithCells="1">
                  <from>
                    <xdr:col>22</xdr:col>
                    <xdr:colOff>0</xdr:colOff>
                    <xdr:row>376</xdr:row>
                    <xdr:rowOff>0</xdr:rowOff>
                  </from>
                  <to>
                    <xdr:col>22</xdr:col>
                    <xdr:colOff>184150</xdr:colOff>
                    <xdr:row>376</xdr:row>
                    <xdr:rowOff>184150</xdr:rowOff>
                  </to>
                </anchor>
              </controlPr>
            </control>
          </mc:Choice>
        </mc:AlternateContent>
        <mc:AlternateContent xmlns:mc="http://schemas.openxmlformats.org/markup-compatibility/2006">
          <mc:Choice Requires="x14">
            <control shapeId="7253" r:id="rId57" name="Check Box 85">
              <controlPr locked="0" defaultSize="0" autoFill="0" autoLine="0" autoPict="0">
                <anchor moveWithCells="1" sizeWithCells="1">
                  <from>
                    <xdr:col>22</xdr:col>
                    <xdr:colOff>0</xdr:colOff>
                    <xdr:row>381</xdr:row>
                    <xdr:rowOff>0</xdr:rowOff>
                  </from>
                  <to>
                    <xdr:col>22</xdr:col>
                    <xdr:colOff>184150</xdr:colOff>
                    <xdr:row>381</xdr:row>
                    <xdr:rowOff>184150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BI235"/>
  <sheetViews>
    <sheetView showGridLines="0" zoomScaleNormal="100" zoomScaleSheetLayoutView="80" workbookViewId="0">
      <pane ySplit="7" topLeftCell="A8" activePane="bottomLeft" state="frozen"/>
      <selection activeCell="S48" sqref="S48"/>
      <selection pane="bottomLeft" activeCell="S48" sqref="S48"/>
    </sheetView>
  </sheetViews>
  <sheetFormatPr defaultColWidth="9.1796875" defaultRowHeight="14.5" x14ac:dyDescent="0.35"/>
  <cols>
    <col min="1" max="1" width="9.1796875" style="12" hidden="1" customWidth="1"/>
    <col min="2" max="2" width="7.26953125" style="12" hidden="1" customWidth="1"/>
    <col min="3" max="7" width="3.81640625" style="12" hidden="1" customWidth="1"/>
    <col min="8" max="8" width="3.81640625" style="12" customWidth="1"/>
    <col min="9" max="9" width="10.453125" customWidth="1"/>
    <col min="10" max="11" width="3.81640625" customWidth="1"/>
    <col min="12" max="12" width="71.7265625" customWidth="1"/>
    <col min="13" max="13" width="13.54296875" style="33" customWidth="1"/>
    <col min="14" max="14" width="7.7265625" hidden="1" customWidth="1"/>
    <col min="15" max="15" width="7.7265625" customWidth="1"/>
    <col min="16" max="21" width="8.81640625" hidden="1" customWidth="1"/>
    <col min="22" max="22" width="0.453125" hidden="1" customWidth="1"/>
    <col min="23" max="23" width="21.453125" customWidth="1"/>
    <col min="24" max="24" width="69" customWidth="1"/>
    <col min="25" max="28" width="14.26953125" hidden="1" customWidth="1"/>
    <col min="29" max="29" width="8.54296875" hidden="1" customWidth="1"/>
    <col min="30" max="30" width="6.1796875" hidden="1" customWidth="1"/>
    <col min="31" max="31" width="10.453125" hidden="1" customWidth="1"/>
    <col min="32" max="32" width="14.7265625" hidden="1" customWidth="1"/>
    <col min="33" max="33" width="5.81640625" hidden="1" customWidth="1"/>
    <col min="34" max="34" width="9.7265625" hidden="1" customWidth="1"/>
    <col min="35" max="35" width="6.1796875" hidden="1" customWidth="1"/>
    <col min="36" max="37" width="2.1796875" hidden="1" customWidth="1"/>
    <col min="38" max="38" width="12.26953125" hidden="1" customWidth="1"/>
    <col min="39" max="39" width="10.54296875" hidden="1" customWidth="1"/>
    <col min="40" max="40" width="12.1796875" hidden="1" customWidth="1"/>
    <col min="41" max="41" width="2.1796875" hidden="1" customWidth="1"/>
    <col min="42" max="42" width="13.26953125" hidden="1" customWidth="1"/>
    <col min="43" max="43" width="2.1796875" hidden="1" customWidth="1"/>
    <col min="44" max="44" width="13.1796875" hidden="1" customWidth="1"/>
    <col min="45" max="49" width="2.1796875" hidden="1" customWidth="1"/>
    <col min="50" max="50" width="36.1796875" hidden="1" customWidth="1"/>
    <col min="51" max="51" width="13.1796875" hidden="1" customWidth="1"/>
    <col min="52" max="54" width="2.1796875" hidden="1" customWidth="1"/>
    <col min="55" max="55" width="7.7265625" hidden="1" customWidth="1"/>
    <col min="56" max="56" width="7.26953125" hidden="1" customWidth="1"/>
    <col min="57" max="57" width="6.54296875" hidden="1" customWidth="1"/>
    <col min="58" max="58" width="7.81640625" hidden="1" customWidth="1"/>
    <col min="59" max="59" width="6" hidden="1" customWidth="1"/>
    <col min="60" max="60" width="12.1796875" hidden="1" customWidth="1"/>
    <col min="61" max="61" width="8" hidden="1" customWidth="1"/>
    <col min="62" max="62" width="9.1796875" customWidth="1"/>
  </cols>
  <sheetData>
    <row r="1" spans="1:61" x14ac:dyDescent="0.35">
      <c r="H1" s="856" t="s">
        <v>4088</v>
      </c>
      <c r="I1" s="867" t="str">
        <f ca="1">IF(OR(AG3,AI3),"Errors on page, no Level reached","Current Chapter level: "&amp;AG1&amp;"                                            Total Points: "&amp;AG2)</f>
        <v>Current Chapter level: Emerald                                            Total Points: 14</v>
      </c>
      <c r="J1" s="867"/>
      <c r="K1" s="867"/>
      <c r="L1" s="867"/>
      <c r="M1" s="857"/>
      <c r="N1" s="857"/>
      <c r="O1" s="857"/>
      <c r="P1" s="857"/>
      <c r="Q1" s="857"/>
      <c r="R1" s="857"/>
      <c r="S1" s="857"/>
      <c r="T1" s="857"/>
      <c r="U1" s="857"/>
      <c r="V1" s="857"/>
      <c r="W1" s="857"/>
      <c r="X1" s="716" t="s">
        <v>4063</v>
      </c>
      <c r="AF1" s="6" t="s">
        <v>756</v>
      </c>
      <c r="AG1" t="str">
        <f ca="1">IF(OR(AG3,AI3),"None",Ch10Level)</f>
        <v>Emerald</v>
      </c>
    </row>
    <row r="2" spans="1:61" x14ac:dyDescent="0.35">
      <c r="H2" s="856"/>
      <c r="I2" s="868" t="str">
        <f>"Points away from:  Bronze: "&amp;MAX(Points!C20-Ch10Points,0)&amp;",  Silver: "&amp;MAX(Points!D20-Ch10Points,0)&amp;",  Gold: "&amp;MAX(Points!E20-Ch10Points,0)&amp;",  Emerald: "&amp;MAX(Points!F20-Ch10Points,0)</f>
        <v>Points away from:  Bronze: 0,  Silver: 0,  Gold: 0,  Emerald: 0</v>
      </c>
      <c r="J2" s="868"/>
      <c r="K2" s="868"/>
      <c r="L2" s="868"/>
      <c r="M2" s="857"/>
      <c r="N2" s="857"/>
      <c r="O2" s="857"/>
      <c r="P2" s="857"/>
      <c r="Q2" s="857"/>
      <c r="R2" s="857"/>
      <c r="S2" s="857"/>
      <c r="T2" s="857"/>
      <c r="U2" s="857"/>
      <c r="V2" s="857"/>
      <c r="W2" s="857"/>
      <c r="X2" s="716" t="s">
        <v>3504</v>
      </c>
      <c r="AF2" s="6" t="s">
        <v>757</v>
      </c>
      <c r="AG2">
        <f ca="1">INDIRECT(AF2)</f>
        <v>14</v>
      </c>
      <c r="AH2" t="s">
        <v>759</v>
      </c>
      <c r="AI2">
        <f ca="1">INDIRECT(AH2)</f>
        <v>0</v>
      </c>
    </row>
    <row r="3" spans="1:61" x14ac:dyDescent="0.35">
      <c r="H3" s="856"/>
      <c r="I3" s="868" t="str">
        <f>"Add'l pts earned above:  Bronze: "&amp; MAX(0,Ch10Points-Points!C20) &amp;",  Silver: " &amp; MAX(0,Ch10Points-Points!D20) &amp;",  Gold: " &amp; MAX(0,Ch10Points-Points!E20) &amp;",  Emerald: " &amp; MAX(0,Ch10Points-Points!F20)</f>
        <v>Add'l pts earned above:  Bronze: 6,  Silver: 4,  Gold: 3,  Emerald: 2</v>
      </c>
      <c r="J3" s="868"/>
      <c r="K3" s="868"/>
      <c r="L3" s="868"/>
      <c r="M3" s="857"/>
      <c r="N3" s="857"/>
      <c r="O3" s="857"/>
      <c r="P3" s="857"/>
      <c r="Q3" s="857"/>
      <c r="R3" s="857"/>
      <c r="S3" s="857"/>
      <c r="T3" s="857"/>
      <c r="U3" s="857"/>
      <c r="V3" s="857"/>
      <c r="W3" s="857"/>
      <c r="X3" s="716" t="s">
        <v>3503</v>
      </c>
      <c r="AF3" s="6" t="s">
        <v>758</v>
      </c>
      <c r="AG3" t="b">
        <f ca="1">OR(AE:AE)</f>
        <v>0</v>
      </c>
      <c r="AH3" s="6" t="s">
        <v>760</v>
      </c>
      <c r="AI3" t="b">
        <f>OR(AD:AD)</f>
        <v>0</v>
      </c>
    </row>
    <row r="4" spans="1:61" x14ac:dyDescent="0.35">
      <c r="H4" s="856"/>
      <c r="I4" s="871" t="str">
        <f>"Total Chapter Points needed for:  Bronze: "&amp;Points!C20&amp;",  Silver: "&amp;Points!D20&amp;",  Gold: "&amp;Points!E20&amp;",  Emerald: "&amp;Points!F20</f>
        <v>Total Chapter Points needed for:  Bronze: 8,  Silver: 10,  Gold: 11,  Emerald: 12</v>
      </c>
      <c r="J4" s="872"/>
      <c r="K4" s="872"/>
      <c r="L4" s="873"/>
      <c r="M4" s="857"/>
      <c r="N4" s="857"/>
      <c r="O4" s="857"/>
      <c r="P4" s="857"/>
      <c r="Q4" s="857"/>
      <c r="R4" s="857"/>
      <c r="S4" s="857"/>
      <c r="T4" s="857"/>
      <c r="U4" s="857"/>
      <c r="V4" s="857"/>
      <c r="W4" s="857"/>
      <c r="X4" s="762" t="s">
        <v>4873</v>
      </c>
      <c r="AF4" s="6"/>
      <c r="AH4" s="6"/>
    </row>
    <row r="5" spans="1:61" x14ac:dyDescent="0.35">
      <c r="H5" s="856"/>
      <c r="I5" s="874" t="str">
        <f>"Revision Date:  "&amp;TEXT('Info &amp; Intro'!E7,"m/d/yyyy")</f>
        <v>Revision Date:  5/25/2023</v>
      </c>
      <c r="J5" s="875"/>
      <c r="K5" s="875"/>
      <c r="L5" s="876"/>
      <c r="M5" s="857"/>
      <c r="N5" s="857"/>
      <c r="O5" s="857"/>
      <c r="P5" s="857"/>
      <c r="Q5" s="857"/>
      <c r="R5" s="857"/>
      <c r="S5" s="857"/>
      <c r="T5" s="857"/>
      <c r="U5" s="857"/>
      <c r="V5" s="857"/>
      <c r="W5" s="857"/>
      <c r="X5" s="762"/>
      <c r="AF5" s="6"/>
      <c r="AH5" s="6"/>
    </row>
    <row r="6" spans="1:61" x14ac:dyDescent="0.35">
      <c r="H6" s="856"/>
      <c r="I6" s="877" t="s">
        <v>248</v>
      </c>
      <c r="J6" s="878"/>
      <c r="K6" s="879"/>
      <c r="L6" s="860" t="s">
        <v>1112</v>
      </c>
      <c r="M6" s="860" t="s">
        <v>249</v>
      </c>
      <c r="N6" s="860"/>
      <c r="O6" s="23" t="s">
        <v>318</v>
      </c>
      <c r="P6" s="860" t="s">
        <v>4101</v>
      </c>
      <c r="Q6" s="860" t="s">
        <v>309</v>
      </c>
      <c r="R6" s="860" t="s">
        <v>250</v>
      </c>
      <c r="S6" s="860" t="s">
        <v>251</v>
      </c>
      <c r="T6" s="860" t="s">
        <v>0</v>
      </c>
      <c r="U6" s="860" t="s">
        <v>4102</v>
      </c>
      <c r="V6" s="860"/>
      <c r="W6" s="860" t="s">
        <v>252</v>
      </c>
      <c r="X6" s="869" t="s">
        <v>1</v>
      </c>
      <c r="AC6" s="2" t="s">
        <v>307</v>
      </c>
      <c r="AD6" s="2" t="s">
        <v>0</v>
      </c>
      <c r="AE6" s="2" t="s">
        <v>306</v>
      </c>
    </row>
    <row r="7" spans="1:61" x14ac:dyDescent="0.35">
      <c r="H7" s="856"/>
      <c r="I7" s="877"/>
      <c r="J7" s="878"/>
      <c r="K7" s="879"/>
      <c r="L7" s="860"/>
      <c r="M7" s="860"/>
      <c r="N7" s="860"/>
      <c r="O7" s="23" t="s">
        <v>319</v>
      </c>
      <c r="P7" s="860"/>
      <c r="Q7" s="860"/>
      <c r="R7" s="860"/>
      <c r="S7" s="860"/>
      <c r="T7" s="860"/>
      <c r="U7" s="860"/>
      <c r="V7" s="860"/>
      <c r="W7" s="860"/>
      <c r="X7" s="870"/>
      <c r="AC7" s="2" t="s">
        <v>307</v>
      </c>
      <c r="AD7" s="2" t="s">
        <v>0</v>
      </c>
      <c r="AE7" s="2" t="s">
        <v>306</v>
      </c>
    </row>
    <row r="8" spans="1:61" hidden="1" x14ac:dyDescent="0.35">
      <c r="I8" s="451"/>
      <c r="J8" s="451"/>
      <c r="K8" s="451"/>
      <c r="L8" s="22"/>
      <c r="M8" s="22"/>
      <c r="N8" s="22"/>
      <c r="O8" s="23"/>
      <c r="P8" s="22"/>
      <c r="Q8" s="22"/>
      <c r="R8" s="22"/>
      <c r="S8" s="22"/>
      <c r="T8" s="22"/>
      <c r="U8" s="22"/>
      <c r="V8" s="22"/>
      <c r="W8" s="22"/>
      <c r="X8" s="451"/>
      <c r="AC8" s="2"/>
      <c r="AD8" s="2"/>
      <c r="AE8" s="2"/>
    </row>
    <row r="9" spans="1:61" ht="18.5" x14ac:dyDescent="0.45">
      <c r="A9" s="12" t="s">
        <v>247</v>
      </c>
      <c r="B9" s="12" t="s">
        <v>247</v>
      </c>
      <c r="C9" s="12" t="s">
        <v>247</v>
      </c>
      <c r="D9" s="12" t="s">
        <v>247</v>
      </c>
      <c r="E9" s="12" t="s">
        <v>247</v>
      </c>
      <c r="F9" s="12" t="s">
        <v>247</v>
      </c>
      <c r="G9" s="12" t="s">
        <v>247</v>
      </c>
      <c r="H9" s="455"/>
      <c r="I9" s="14" t="s">
        <v>3371</v>
      </c>
      <c r="J9" s="14"/>
      <c r="K9" s="14"/>
      <c r="L9" s="15"/>
      <c r="M9" s="16"/>
      <c r="N9" t="s">
        <v>247</v>
      </c>
      <c r="O9" s="16"/>
      <c r="P9" t="s">
        <v>247</v>
      </c>
      <c r="Q9" t="s">
        <v>247</v>
      </c>
      <c r="R9" t="s">
        <v>247</v>
      </c>
      <c r="S9" t="s">
        <v>247</v>
      </c>
      <c r="T9" t="s">
        <v>247</v>
      </c>
      <c r="U9" t="s">
        <v>247</v>
      </c>
      <c r="V9" t="s">
        <v>247</v>
      </c>
      <c r="W9" s="15"/>
      <c r="X9" s="15"/>
      <c r="Y9" s="21" t="s">
        <v>247</v>
      </c>
      <c r="Z9" s="21" t="s">
        <v>247</v>
      </c>
      <c r="AA9" s="21" t="s">
        <v>247</v>
      </c>
      <c r="AB9" s="21" t="s">
        <v>247</v>
      </c>
      <c r="AC9" s="21" t="s">
        <v>247</v>
      </c>
      <c r="AD9" s="21" t="s">
        <v>247</v>
      </c>
      <c r="AE9" s="21" t="s">
        <v>247</v>
      </c>
      <c r="AF9" s="21" t="s">
        <v>247</v>
      </c>
      <c r="AG9" s="21" t="s">
        <v>247</v>
      </c>
      <c r="AH9" s="21" t="s">
        <v>247</v>
      </c>
      <c r="AI9" s="21" t="s">
        <v>247</v>
      </c>
      <c r="AJ9" s="21" t="s">
        <v>247</v>
      </c>
      <c r="AK9" s="21" t="s">
        <v>247</v>
      </c>
      <c r="AL9" s="21" t="s">
        <v>247</v>
      </c>
      <c r="AM9" s="21" t="s">
        <v>247</v>
      </c>
      <c r="AN9" s="21" t="s">
        <v>247</v>
      </c>
      <c r="AO9" s="21" t="s">
        <v>247</v>
      </c>
      <c r="AP9" s="21" t="s">
        <v>247</v>
      </c>
      <c r="AQ9" s="21" t="s">
        <v>247</v>
      </c>
      <c r="AR9" s="21" t="s">
        <v>247</v>
      </c>
      <c r="AS9" s="21" t="s">
        <v>247</v>
      </c>
      <c r="AT9" s="21" t="s">
        <v>247</v>
      </c>
      <c r="AU9" s="21" t="s">
        <v>247</v>
      </c>
      <c r="AV9" s="21" t="s">
        <v>247</v>
      </c>
      <c r="AW9" s="21" t="s">
        <v>247</v>
      </c>
      <c r="AX9" s="21" t="s">
        <v>247</v>
      </c>
      <c r="AY9" s="21" t="s">
        <v>247</v>
      </c>
      <c r="AZ9" s="21" t="s">
        <v>247</v>
      </c>
      <c r="BA9" s="21" t="s">
        <v>247</v>
      </c>
      <c r="BB9" s="21" t="s">
        <v>247</v>
      </c>
      <c r="BC9" s="21" t="s">
        <v>247</v>
      </c>
      <c r="BD9" s="21" t="s">
        <v>247</v>
      </c>
      <c r="BE9" s="21" t="s">
        <v>247</v>
      </c>
      <c r="BF9" s="21" t="s">
        <v>247</v>
      </c>
      <c r="BG9" s="21" t="s">
        <v>247</v>
      </c>
      <c r="BH9" s="21" t="s">
        <v>247</v>
      </c>
      <c r="BI9" s="21" t="s">
        <v>247</v>
      </c>
    </row>
    <row r="10" spans="1:61" x14ac:dyDescent="0.35">
      <c r="B10" s="412" t="s">
        <v>4076</v>
      </c>
      <c r="C10" s="13"/>
      <c r="D10" s="13"/>
      <c r="E10" s="13"/>
      <c r="F10" s="13"/>
      <c r="G10" s="13"/>
      <c r="H10" s="453"/>
      <c r="I10" s="143">
        <v>1001</v>
      </c>
      <c r="J10" s="4"/>
      <c r="K10" s="4"/>
      <c r="L10" s="838" t="s">
        <v>3277</v>
      </c>
      <c r="M10" s="75"/>
    </row>
    <row r="11" spans="1:61" ht="15" thickBot="1" x14ac:dyDescent="0.4">
      <c r="B11" s="412" t="s">
        <v>4076</v>
      </c>
      <c r="C11" s="13"/>
      <c r="D11" s="13"/>
      <c r="E11" s="13"/>
      <c r="F11" s="13"/>
      <c r="G11" s="13"/>
      <c r="H11" s="453"/>
      <c r="I11" s="160"/>
      <c r="J11" s="160"/>
      <c r="K11" s="160"/>
      <c r="L11" s="849"/>
      <c r="M11" s="161"/>
      <c r="N11" s="55"/>
      <c r="O11" s="55"/>
      <c r="P11" s="55"/>
      <c r="Q11" s="55"/>
      <c r="R11" s="55"/>
      <c r="S11" s="55"/>
      <c r="T11" s="55"/>
      <c r="U11" s="55"/>
      <c r="V11" s="55"/>
      <c r="W11" s="55"/>
      <c r="X11" s="55"/>
      <c r="AX11" s="6" t="str">
        <f>'Overview (Design)'!A10</f>
        <v>Builder Name:</v>
      </c>
      <c r="AY11" t="str">
        <f>'Overview (Design)'!G10</f>
        <v>ABC Builder</v>
      </c>
    </row>
    <row r="12" spans="1:61" ht="15" thickTop="1" x14ac:dyDescent="0.35">
      <c r="B12" s="412">
        <v>1001.1</v>
      </c>
      <c r="C12" s="13"/>
      <c r="D12" s="13"/>
      <c r="E12" s="13"/>
      <c r="F12" s="13"/>
      <c r="G12" s="13"/>
      <c r="H12" s="453"/>
      <c r="I12" s="31">
        <v>1001.1</v>
      </c>
      <c r="J12" s="4"/>
      <c r="K12" s="4"/>
      <c r="L12" s="838" t="s">
        <v>3278</v>
      </c>
      <c r="M12" s="891" t="s">
        <v>3373</v>
      </c>
      <c r="N12" s="4"/>
      <c r="O12" s="832">
        <f>MIN(IF(AND(COUNTIF(W15:W17,TRUE)=3,S15),ROUNDDOWN(COUNTIF(W21:W59,TRUE)/2,0),0),8)</f>
        <v>4</v>
      </c>
      <c r="AL12" t="str">
        <f>SUBSTITUTE(SUBSTITUTE(SUBSTITUTE("dpa"&amp;$B12&amp;$C12&amp;$D12&amp;$E12,".","_"),"(","_"),")","")</f>
        <v>dpa1001_1</v>
      </c>
      <c r="AM12" t="str">
        <f>M12</f>
        <v>1
8 Max</v>
      </c>
      <c r="AN12" t="str">
        <f>SUBSTITUTE(SUBSTITUTE(SUBSTITUTE("dpc"&amp;$B12&amp;$C12&amp;$D12&amp;$E12,".","_"),"(","_"),")","")</f>
        <v>dpc1001_1</v>
      </c>
      <c r="AO12">
        <f>O12</f>
        <v>4</v>
      </c>
      <c r="AX12" s="6" t="str">
        <f>'Overview (Design)'!A11</f>
        <v>Physical Address of Home:</v>
      </c>
      <c r="AY12" t="str">
        <f>'Overview (Design)'!G11</f>
        <v>123 Example Drive</v>
      </c>
    </row>
    <row r="13" spans="1:61" x14ac:dyDescent="0.35">
      <c r="B13" s="412">
        <v>1001.1</v>
      </c>
      <c r="C13" s="13"/>
      <c r="D13" s="13"/>
      <c r="E13" s="13"/>
      <c r="F13" s="13"/>
      <c r="G13" s="13"/>
      <c r="H13" s="453"/>
      <c r="I13" s="4"/>
      <c r="J13" s="4"/>
      <c r="K13" s="4"/>
      <c r="L13" s="838"/>
      <c r="M13" s="891"/>
      <c r="N13" s="4"/>
      <c r="O13" s="832"/>
      <c r="AX13" s="6" t="str">
        <f>'Overview (Design)'!A12</f>
        <v>Community/Lot #:</v>
      </c>
      <c r="AY13" t="str">
        <f>'Overview (Design)'!G12</f>
        <v>Lot 1A</v>
      </c>
    </row>
    <row r="14" spans="1:61" x14ac:dyDescent="0.35">
      <c r="B14" s="412">
        <v>1001.1</v>
      </c>
      <c r="C14" s="13"/>
      <c r="D14" s="13"/>
      <c r="E14" s="13"/>
      <c r="F14" s="13"/>
      <c r="G14" s="13"/>
      <c r="H14" s="453"/>
      <c r="I14" s="4"/>
      <c r="J14" s="4"/>
      <c r="K14" s="4"/>
      <c r="L14" s="145" t="s">
        <v>3370</v>
      </c>
      <c r="M14" s="891"/>
      <c r="N14" s="4"/>
      <c r="O14" s="832"/>
      <c r="AX14" s="6" t="str">
        <f>'Overview (Design)'!A13</f>
        <v>City:</v>
      </c>
      <c r="AY14" t="str">
        <f>'Overview (Design)'!G13</f>
        <v>Durham</v>
      </c>
    </row>
    <row r="15" spans="1:61" x14ac:dyDescent="0.35">
      <c r="B15" s="412">
        <v>1001.1</v>
      </c>
      <c r="C15" s="13" t="s">
        <v>256</v>
      </c>
      <c r="D15" s="13"/>
      <c r="E15" s="13"/>
      <c r="F15" s="453"/>
      <c r="G15" s="13"/>
      <c r="H15" s="453"/>
      <c r="I15" s="4"/>
      <c r="J15" s="129" t="s">
        <v>256</v>
      </c>
      <c r="K15" s="133"/>
      <c r="L15" s="228" t="s">
        <v>3279</v>
      </c>
      <c r="M15" s="458" t="str">
        <f t="shared" ref="M15:M20" si="0">IF(R15,"Mandatory","N/A")</f>
        <v>Mandatory</v>
      </c>
      <c r="N15" s="4"/>
      <c r="O15" s="75"/>
      <c r="P15" t="b">
        <v>0</v>
      </c>
      <c r="Q15" t="b">
        <v>1</v>
      </c>
      <c r="R15" t="b">
        <f>S15</f>
        <v>1</v>
      </c>
      <c r="S15" t="b">
        <f>IF(AY19=INDEX(ddSingleOrMulti,1),TRUE,FALSE)</f>
        <v>1</v>
      </c>
      <c r="T15" t="b">
        <f>AND(NOT(S15),W15=TRUE)</f>
        <v>0</v>
      </c>
      <c r="W15" s="17" t="b">
        <v>1</v>
      </c>
      <c r="X15" s="36"/>
      <c r="AC15" t="b">
        <f>OR(AD15:AE15)</f>
        <v>0</v>
      </c>
      <c r="AD15" t="b">
        <f>T15</f>
        <v>0</v>
      </c>
      <c r="AE15" t="b">
        <f>AND(R15,NOT(W15=TRUE))</f>
        <v>0</v>
      </c>
      <c r="AL15" t="str">
        <f>SUBSTITUTE(SUBSTITUTE(SUBSTITUTE("dpa"&amp;$B15&amp;$C15&amp;$D15&amp;$E15,".","_"),"(","_"),")","")</f>
        <v>dpa1001_1_1</v>
      </c>
      <c r="AM15" t="str">
        <f>M15</f>
        <v>Mandatory</v>
      </c>
      <c r="AP15" t="str">
        <f>SUBSTITUTE(SUBSTITUTE(SUBSTITUTE("dch"&amp;$B15&amp;$C15&amp;$D15&amp;$E15,".","_"),"(","_"),")","")</f>
        <v>dch1001_1_1</v>
      </c>
      <c r="AQ15" t="b">
        <f>IF(LEN(W15)=0,"",W15)</f>
        <v>1</v>
      </c>
      <c r="AR15" t="str">
        <f>SUBSTITUTE(SUBSTITUTE(SUBSTITUTE("dnt"&amp;$B15&amp;$C15&amp;$D15&amp;$E15,".","_"),"(","_"),")","")</f>
        <v>dnt1001_1_1</v>
      </c>
      <c r="AS15" t="str">
        <f>IF(LEN(X15)=0,"",X15)</f>
        <v/>
      </c>
      <c r="AX15" s="6" t="str">
        <f>'Overview (Design)'!A14</f>
        <v>State:</v>
      </c>
      <c r="AY15" t="str">
        <f>'Overview (Design)'!G14</f>
        <v>North Carolina</v>
      </c>
      <c r="BC15" t="str">
        <f>'Overview (Design)'!K14</f>
        <v>State</v>
      </c>
      <c r="BD15" t="str">
        <f>'Overview (Design)'!L14</f>
        <v>County</v>
      </c>
      <c r="BE15" t="str">
        <f>'Overview (Design)'!M14</f>
        <v>Radon</v>
      </c>
      <c r="BF15" t="str">
        <f>'Overview (Design)'!N14</f>
        <v>Climate</v>
      </c>
      <c r="BG15" t="str">
        <f>'Overview (Design)'!O14</f>
        <v>Moist</v>
      </c>
      <c r="BH15" t="str">
        <f>'Overview (Design)'!P14</f>
        <v>WarmHumid</v>
      </c>
      <c r="BI15" t="str">
        <f>'Overview (Design)'!Q14</f>
        <v>Tropical</v>
      </c>
    </row>
    <row r="16" spans="1:61" x14ac:dyDescent="0.35">
      <c r="B16" s="412">
        <v>1001.1</v>
      </c>
      <c r="C16" s="13" t="s">
        <v>258</v>
      </c>
      <c r="D16" s="13"/>
      <c r="E16" s="13"/>
      <c r="F16" s="453"/>
      <c r="G16" s="13"/>
      <c r="H16" s="453"/>
      <c r="I16" s="4"/>
      <c r="J16" s="130" t="s">
        <v>258</v>
      </c>
      <c r="K16" s="163"/>
      <c r="L16" s="178" t="s">
        <v>3280</v>
      </c>
      <c r="M16" s="459" t="str">
        <f t="shared" si="0"/>
        <v>Mandatory</v>
      </c>
      <c r="N16" s="4"/>
      <c r="O16" s="75"/>
      <c r="P16" t="b">
        <v>0</v>
      </c>
      <c r="Q16" t="b">
        <v>1</v>
      </c>
      <c r="R16" t="b">
        <f>S16</f>
        <v>1</v>
      </c>
      <c r="S16" t="b">
        <f>IF(AY19=INDEX(ddSingleOrMulti,1),TRUE,FALSE)</f>
        <v>1</v>
      </c>
      <c r="T16" t="b">
        <f>AND(NOT(S16),W16=TRUE)</f>
        <v>0</v>
      </c>
      <c r="W16" s="17" t="b">
        <v>1</v>
      </c>
      <c r="X16" s="36"/>
      <c r="AC16" t="b">
        <f>OR(AD16:AE16)</f>
        <v>0</v>
      </c>
      <c r="AD16" t="b">
        <f>T16</f>
        <v>0</v>
      </c>
      <c r="AE16" t="b">
        <f>AND(R16,NOT(W16=TRUE))</f>
        <v>0</v>
      </c>
      <c r="AL16" t="str">
        <f>SUBSTITUTE(SUBSTITUTE(SUBSTITUTE("dpa"&amp;$B16&amp;$C16&amp;$D16&amp;$E16,".","_"),"(","_"),")","")</f>
        <v>dpa1001_1_2</v>
      </c>
      <c r="AM16" t="str">
        <f>M16</f>
        <v>Mandatory</v>
      </c>
      <c r="AP16" t="str">
        <f>SUBSTITUTE(SUBSTITUTE(SUBSTITUTE("dch"&amp;$B16&amp;$C16&amp;$D16&amp;$E16,".","_"),"(","_"),")","")</f>
        <v>dch1001_1_2</v>
      </c>
      <c r="AQ16" t="b">
        <f>IF(LEN(W16)=0,"",W16)</f>
        <v>1</v>
      </c>
      <c r="AR16" t="str">
        <f>SUBSTITUTE(SUBSTITUTE(SUBSTITUTE("dnt"&amp;$B16&amp;$C16&amp;$D16&amp;$E16,".","_"),"(","_"),")","")</f>
        <v>dnt1001_1_2</v>
      </c>
      <c r="AS16" t="str">
        <f>IF(LEN(X16)=0,"",X16)</f>
        <v/>
      </c>
      <c r="AX16" s="6" t="str">
        <f>'Overview (Design)'!A15</f>
        <v>County:</v>
      </c>
      <c r="AY16" t="str">
        <f>'Overview (Design)'!G15</f>
        <v xml:space="preserve">Chatham  </v>
      </c>
      <c r="BC16" t="str">
        <f>'Overview (Design)'!K15</f>
        <v>North Carolina</v>
      </c>
      <c r="BD16" t="str">
        <f>'Overview (Design)'!L15</f>
        <v xml:space="preserve">Chatham  </v>
      </c>
      <c r="BE16">
        <f>'Overview (Design)'!M15</f>
        <v>3</v>
      </c>
      <c r="BF16">
        <f>'Overview (Design)'!N15</f>
        <v>4</v>
      </c>
      <c r="BG16" t="str">
        <f>'Overview (Design)'!O15</f>
        <v>Moist</v>
      </c>
      <c r="BH16" t="str">
        <f>'Overview (Design)'!P15</f>
        <v xml:space="preserve"> </v>
      </c>
      <c r="BI16" t="str">
        <f>'Overview (Design)'!Q15</f>
        <v xml:space="preserve"> </v>
      </c>
    </row>
    <row r="17" spans="2:51" x14ac:dyDescent="0.35">
      <c r="B17" s="412">
        <v>1001.1</v>
      </c>
      <c r="C17" s="13" t="s">
        <v>260</v>
      </c>
      <c r="D17" s="13"/>
      <c r="E17" s="13"/>
      <c r="F17" s="453"/>
      <c r="G17" s="13"/>
      <c r="H17" s="453"/>
      <c r="I17" s="4"/>
      <c r="J17" s="132" t="s">
        <v>260</v>
      </c>
      <c r="K17" s="118"/>
      <c r="L17" s="836" t="s">
        <v>3281</v>
      </c>
      <c r="M17" s="912" t="str">
        <f t="shared" si="0"/>
        <v>Mandatory</v>
      </c>
      <c r="N17" s="4"/>
      <c r="O17" s="75"/>
      <c r="P17" t="b">
        <v>0</v>
      </c>
      <c r="Q17" t="b">
        <v>1</v>
      </c>
      <c r="R17" t="b">
        <f>S17</f>
        <v>1</v>
      </c>
      <c r="S17" t="b">
        <f>IF(AY19=INDEX(ddSingleOrMulti,1),TRUE,FALSE)</f>
        <v>1</v>
      </c>
      <c r="T17" t="b">
        <f>AND(NOT(S17),W17=TRUE)</f>
        <v>0</v>
      </c>
      <c r="W17" s="17" t="b">
        <v>1</v>
      </c>
      <c r="X17" s="850"/>
      <c r="AC17" t="b">
        <f>OR(AD17:AE17)</f>
        <v>0</v>
      </c>
      <c r="AD17" t="b">
        <f>T17</f>
        <v>0</v>
      </c>
      <c r="AE17" t="b">
        <f>AND(R17,NOT(W17=TRUE))</f>
        <v>0</v>
      </c>
      <c r="AL17" t="str">
        <f>SUBSTITUTE(SUBSTITUTE(SUBSTITUTE("dpa"&amp;$B17&amp;$C17&amp;$D17&amp;$E17,".","_"),"(","_"),")","")</f>
        <v>dpa1001_1_3</v>
      </c>
      <c r="AM17" t="str">
        <f>M17</f>
        <v>Mandatory</v>
      </c>
      <c r="AP17" t="str">
        <f>SUBSTITUTE(SUBSTITUTE(SUBSTITUTE("dch"&amp;$B17&amp;$C17&amp;$D17&amp;$E17,".","_"),"(","_"),")","")</f>
        <v>dch1001_1_3</v>
      </c>
      <c r="AQ17" t="b">
        <f>IF(LEN(W17)=0,"",W17)</f>
        <v>1</v>
      </c>
      <c r="AR17" t="str">
        <f>SUBSTITUTE(SUBSTITUTE(SUBSTITUTE("dnt"&amp;$B17&amp;$C17&amp;$D17&amp;$E17,".","_"),"(","_"),")","")</f>
        <v>dnt1001_1_3</v>
      </c>
      <c r="AS17" t="str">
        <f>IF(LEN(X17)=0,"",X17)</f>
        <v/>
      </c>
      <c r="AX17" s="6" t="str">
        <f>'Overview (Design)'!A16</f>
        <v>Zip:</v>
      </c>
      <c r="AY17" t="str">
        <f>'Overview (Design)'!G16</f>
        <v>27703</v>
      </c>
    </row>
    <row r="18" spans="2:51" x14ac:dyDescent="0.35">
      <c r="B18" s="412">
        <v>1001.1</v>
      </c>
      <c r="C18" s="13" t="s">
        <v>260</v>
      </c>
      <c r="D18" s="13"/>
      <c r="E18" s="13"/>
      <c r="F18" s="453"/>
      <c r="G18" s="13"/>
      <c r="H18" s="453"/>
      <c r="I18" s="4"/>
      <c r="J18" s="19"/>
      <c r="K18" s="4"/>
      <c r="L18" s="814"/>
      <c r="M18" s="885" t="str">
        <f t="shared" si="0"/>
        <v>N/A</v>
      </c>
      <c r="N18" s="4"/>
      <c r="O18" s="75"/>
      <c r="X18" s="851"/>
      <c r="AX18" s="6"/>
    </row>
    <row r="19" spans="2:51" x14ac:dyDescent="0.35">
      <c r="B19" s="412">
        <v>1001.1</v>
      </c>
      <c r="C19" s="13" t="s">
        <v>260</v>
      </c>
      <c r="D19" s="13"/>
      <c r="E19" s="13"/>
      <c r="F19" s="453"/>
      <c r="G19" s="13"/>
      <c r="H19" s="453"/>
      <c r="I19" s="4"/>
      <c r="J19" s="19"/>
      <c r="K19" s="4"/>
      <c r="L19" s="814"/>
      <c r="M19" s="885" t="str">
        <f t="shared" si="0"/>
        <v>N/A</v>
      </c>
      <c r="N19" s="4"/>
      <c r="O19" s="75"/>
      <c r="X19" s="851"/>
      <c r="AX19" s="6" t="str">
        <f>'Overview (Design)'!A18</f>
        <v>Single-Family or Multifamily:</v>
      </c>
      <c r="AY19" t="str">
        <f>'Overview (Design)'!G18</f>
        <v>Single-Family</v>
      </c>
    </row>
    <row r="20" spans="2:51" x14ac:dyDescent="0.35">
      <c r="B20" s="412">
        <v>1001.1</v>
      </c>
      <c r="C20" s="13" t="s">
        <v>260</v>
      </c>
      <c r="D20" s="13"/>
      <c r="E20" s="13"/>
      <c r="F20" s="453"/>
      <c r="G20" s="13"/>
      <c r="H20" s="453"/>
      <c r="I20" s="4"/>
      <c r="J20" s="129"/>
      <c r="K20" s="133"/>
      <c r="L20" s="815"/>
      <c r="M20" s="890" t="str">
        <f t="shared" si="0"/>
        <v>N/A</v>
      </c>
      <c r="N20" s="4"/>
      <c r="O20" s="75"/>
      <c r="X20" s="816"/>
      <c r="AX20" s="6" t="str">
        <f>'Overview (Design)'!A19</f>
        <v>Number of Units:</v>
      </c>
      <c r="AY20">
        <f>'Overview (Design)'!G19</f>
        <v>0</v>
      </c>
    </row>
    <row r="21" spans="2:51" x14ac:dyDescent="0.35">
      <c r="B21" s="412">
        <v>1001.1</v>
      </c>
      <c r="C21" s="13" t="s">
        <v>269</v>
      </c>
      <c r="D21" s="13"/>
      <c r="E21" s="13"/>
      <c r="F21" s="453"/>
      <c r="G21" s="13"/>
      <c r="H21" s="453"/>
      <c r="I21" s="4"/>
      <c r="J21" s="130" t="s">
        <v>269</v>
      </c>
      <c r="K21" s="163"/>
      <c r="L21" s="178" t="s">
        <v>3282</v>
      </c>
      <c r="M21" s="75"/>
      <c r="N21" s="4"/>
      <c r="O21" s="75"/>
      <c r="P21" t="b">
        <v>0</v>
      </c>
      <c r="Q21" t="b">
        <v>1</v>
      </c>
      <c r="R21" t="b">
        <v>0</v>
      </c>
      <c r="S21" t="b">
        <f>IF(AY19=INDEX(ddSingleOrMulti,1),TRUE,FALSE)</f>
        <v>1</v>
      </c>
      <c r="T21" t="b">
        <f>AND(NOT(S21),W21=TRUE)</f>
        <v>0</v>
      </c>
      <c r="W21" s="17" t="b">
        <v>1</v>
      </c>
      <c r="X21" s="36"/>
      <c r="AC21" t="b">
        <f>OR(AD21:AE21)</f>
        <v>0</v>
      </c>
      <c r="AD21" t="b">
        <f>T21</f>
        <v>0</v>
      </c>
      <c r="AP21" t="str">
        <f>SUBSTITUTE(SUBSTITUTE(SUBSTITUTE("dch"&amp;$B21&amp;$C21&amp;$D21&amp;$E21,".","_"),"(","_"),")","")</f>
        <v>dch1001_1_4</v>
      </c>
      <c r="AQ21" t="b">
        <f>IF(LEN(W21)=0,"",W21)</f>
        <v>1</v>
      </c>
      <c r="AR21" t="str">
        <f>SUBSTITUTE(SUBSTITUTE(SUBSTITUTE("dnt"&amp;$B21&amp;$C21&amp;$D21&amp;$E21,".","_"),"(","_"),")","")</f>
        <v>dnt1001_1_4</v>
      </c>
      <c r="AS21" t="str">
        <f>IF(LEN(X21)=0,"",X21)</f>
        <v/>
      </c>
      <c r="AX21" s="6" t="str">
        <f>'Overview (Design)'!A20</f>
        <v>Building includes commercial space pursuing Commercial Space certification?</v>
      </c>
      <c r="AY21">
        <f>'Overview (Design)'!G20</f>
        <v>0</v>
      </c>
    </row>
    <row r="22" spans="2:51" x14ac:dyDescent="0.35">
      <c r="B22" s="412">
        <v>1001.1</v>
      </c>
      <c r="C22" s="13" t="s">
        <v>275</v>
      </c>
      <c r="D22" s="13"/>
      <c r="E22" s="13"/>
      <c r="F22" s="453"/>
      <c r="G22" s="13"/>
      <c r="H22" s="453"/>
      <c r="I22" s="4"/>
      <c r="J22" s="130" t="s">
        <v>275</v>
      </c>
      <c r="K22" s="163"/>
      <c r="L22" s="178" t="s">
        <v>3283</v>
      </c>
      <c r="M22" s="75"/>
      <c r="N22" s="4"/>
      <c r="O22" s="75"/>
      <c r="P22" t="b">
        <v>0</v>
      </c>
      <c r="Q22" t="b">
        <v>1</v>
      </c>
      <c r="R22" t="b">
        <v>0</v>
      </c>
      <c r="S22" t="b">
        <f>IF(AY19=INDEX(ddSingleOrMulti,1),TRUE,FALSE)</f>
        <v>1</v>
      </c>
      <c r="T22" t="b">
        <f>AND(NOT(S22),W22=TRUE)</f>
        <v>0</v>
      </c>
      <c r="W22" s="17" t="b">
        <v>1</v>
      </c>
      <c r="X22" s="36"/>
      <c r="AC22" t="b">
        <f>OR(AD22:AE22)</f>
        <v>0</v>
      </c>
      <c r="AD22" t="b">
        <f>T22</f>
        <v>0</v>
      </c>
      <c r="AP22" t="str">
        <f>SUBSTITUTE(SUBSTITUTE(SUBSTITUTE("dch"&amp;$B22&amp;$C22&amp;$D22&amp;$E22,".","_"),"(","_"),")","")</f>
        <v>dch1001_1_5</v>
      </c>
      <c r="AQ22" t="b">
        <f>IF(LEN(W22)=0,"",W22)</f>
        <v>1</v>
      </c>
      <c r="AR22" t="str">
        <f>SUBSTITUTE(SUBSTITUTE(SUBSTITUTE("dnt"&amp;$B22&amp;$C22&amp;$D22&amp;$E22,".","_"),"(","_"),")","")</f>
        <v>dnt1001_1_5</v>
      </c>
      <c r="AS22" t="str">
        <f>IF(LEN(X22)=0,"",X22)</f>
        <v/>
      </c>
    </row>
    <row r="23" spans="2:51" x14ac:dyDescent="0.35">
      <c r="B23" s="412">
        <v>1001.1</v>
      </c>
      <c r="C23" s="13" t="s">
        <v>277</v>
      </c>
      <c r="D23" s="13"/>
      <c r="E23" s="13"/>
      <c r="F23" s="453"/>
      <c r="G23" s="13"/>
      <c r="H23" s="453"/>
      <c r="I23" s="4"/>
      <c r="J23" s="132" t="s">
        <v>277</v>
      </c>
      <c r="K23" s="118"/>
      <c r="L23" s="836" t="s">
        <v>3284</v>
      </c>
      <c r="M23" s="75"/>
      <c r="N23" s="4"/>
      <c r="O23" s="75"/>
      <c r="P23" t="b">
        <v>0</v>
      </c>
      <c r="Q23" t="b">
        <v>1</v>
      </c>
      <c r="R23" t="b">
        <v>0</v>
      </c>
      <c r="S23" t="b">
        <f>IF(AY19=INDEX(ddSingleOrMulti,1),TRUE,FALSE)</f>
        <v>1</v>
      </c>
      <c r="T23" t="b">
        <f>AND(NOT(S23),W23=TRUE)</f>
        <v>0</v>
      </c>
      <c r="W23" s="17" t="b">
        <v>1</v>
      </c>
      <c r="X23" s="817"/>
      <c r="AC23" t="b">
        <f>OR(AD23:AE23)</f>
        <v>0</v>
      </c>
      <c r="AD23" t="b">
        <f>T23</f>
        <v>0</v>
      </c>
      <c r="AP23" t="str">
        <f>SUBSTITUTE(SUBSTITUTE(SUBSTITUTE("dch"&amp;$B23&amp;$C23&amp;$D23&amp;$E23,".","_"),"(","_"),")","")</f>
        <v>dch1001_1_6</v>
      </c>
      <c r="AQ23" t="b">
        <f>IF(LEN(W23)=0,"",W23)</f>
        <v>1</v>
      </c>
      <c r="AR23" t="str">
        <f>SUBSTITUTE(SUBSTITUTE(SUBSTITUTE("dnt"&amp;$B23&amp;$C23&amp;$D23&amp;$E23,".","_"),"(","_"),")","")</f>
        <v>dnt1001_1_6</v>
      </c>
      <c r="AS23" t="str">
        <f>IF(LEN(X23)=0,"",X23)</f>
        <v/>
      </c>
    </row>
    <row r="24" spans="2:51" x14ac:dyDescent="0.35">
      <c r="B24" s="412">
        <v>1001.1</v>
      </c>
      <c r="C24" s="13" t="s">
        <v>277</v>
      </c>
      <c r="D24" s="13"/>
      <c r="E24" s="13"/>
      <c r="F24" s="453"/>
      <c r="G24" s="13"/>
      <c r="H24" s="453"/>
      <c r="I24" s="4"/>
      <c r="J24" s="129"/>
      <c r="K24" s="133"/>
      <c r="L24" s="815"/>
      <c r="M24" s="75"/>
      <c r="N24" s="4"/>
      <c r="O24" s="75"/>
      <c r="X24" s="817"/>
      <c r="AX24" s="6" t="str">
        <f>'Overview (Design)'!A23</f>
        <v>Project Name:</v>
      </c>
      <c r="AY24">
        <f>'Overview (Design)'!G23</f>
        <v>0</v>
      </c>
    </row>
    <row r="25" spans="2:51" x14ac:dyDescent="0.35">
      <c r="B25" s="412">
        <v>1001.1</v>
      </c>
      <c r="C25" s="13" t="s">
        <v>383</v>
      </c>
      <c r="D25" s="13"/>
      <c r="E25" s="13"/>
      <c r="F25" s="453"/>
      <c r="G25" s="13"/>
      <c r="H25" s="453"/>
      <c r="I25" s="4"/>
      <c r="J25" s="132" t="s">
        <v>383</v>
      </c>
      <c r="K25" s="118"/>
      <c r="L25" s="836" t="s">
        <v>3285</v>
      </c>
      <c r="M25" s="75"/>
      <c r="N25" s="4"/>
      <c r="O25" s="75"/>
      <c r="P25" t="b">
        <v>0</v>
      </c>
      <c r="Q25" t="b">
        <v>1</v>
      </c>
      <c r="R25" t="b">
        <v>0</v>
      </c>
      <c r="S25" t="b">
        <f>IF(AY19=INDEX(ddSingleOrMulti,1),TRUE,FALSE)</f>
        <v>1</v>
      </c>
      <c r="T25" t="b">
        <f>AND(NOT(S25),W25=TRUE)</f>
        <v>0</v>
      </c>
      <c r="W25" s="17" t="b">
        <v>1</v>
      </c>
      <c r="X25" s="817"/>
      <c r="AC25" t="b">
        <f>OR(AD25:AE25)</f>
        <v>0</v>
      </c>
      <c r="AD25" t="b">
        <f>T25</f>
        <v>0</v>
      </c>
      <c r="AP25" t="str">
        <f>SUBSTITUTE(SUBSTITUTE(SUBSTITUTE("dch"&amp;$B25&amp;$C25&amp;$D25&amp;$E25,".","_"),"(","_"),")","")</f>
        <v>dch1001_1_7</v>
      </c>
      <c r="AQ25" t="b">
        <f>IF(LEN(W25)=0,"",W25)</f>
        <v>1</v>
      </c>
      <c r="AR25" t="str">
        <f>SUBSTITUTE(SUBSTITUTE(SUBSTITUTE("dnt"&amp;$B25&amp;$C25&amp;$D25&amp;$E25,".","_"),"(","_"),")","")</f>
        <v>dnt1001_1_7</v>
      </c>
      <c r="AS25" t="str">
        <f>IF(LEN(X25)=0,"",X25)</f>
        <v/>
      </c>
      <c r="AX25" s="6"/>
    </row>
    <row r="26" spans="2:51" x14ac:dyDescent="0.35">
      <c r="B26" s="412">
        <v>1001.1</v>
      </c>
      <c r="C26" s="13" t="s">
        <v>383</v>
      </c>
      <c r="D26" s="13"/>
      <c r="E26" s="13"/>
      <c r="F26" s="453"/>
      <c r="G26" s="13"/>
      <c r="H26" s="453"/>
      <c r="I26" s="4"/>
      <c r="J26" s="129"/>
      <c r="K26" s="133"/>
      <c r="L26" s="815"/>
      <c r="M26" s="75"/>
      <c r="N26" s="4"/>
      <c r="O26" s="75"/>
      <c r="X26" s="817"/>
      <c r="AX26" s="6" t="str">
        <f>'Overview (Design)'!A25</f>
        <v>Above grade plane finished floor area:</v>
      </c>
      <c r="AY26">
        <f>'Overview (Design)'!G25</f>
        <v>2644</v>
      </c>
    </row>
    <row r="27" spans="2:51" x14ac:dyDescent="0.35">
      <c r="B27" s="412">
        <v>1001.1</v>
      </c>
      <c r="C27" s="13" t="s">
        <v>428</v>
      </c>
      <c r="D27" s="13"/>
      <c r="E27" s="13"/>
      <c r="F27" s="453"/>
      <c r="G27" s="13"/>
      <c r="H27" s="453"/>
      <c r="I27" s="4"/>
      <c r="J27" s="130" t="s">
        <v>428</v>
      </c>
      <c r="K27" s="163"/>
      <c r="L27" s="178" t="s">
        <v>3286</v>
      </c>
      <c r="M27" s="75"/>
      <c r="N27" s="4"/>
      <c r="O27" s="75"/>
      <c r="P27" t="b">
        <v>0</v>
      </c>
      <c r="Q27" t="b">
        <v>1</v>
      </c>
      <c r="R27" t="b">
        <v>0</v>
      </c>
      <c r="S27" t="b">
        <f>IF(AY19=INDEX(ddSingleOrMulti,1),TRUE,FALSE)</f>
        <v>1</v>
      </c>
      <c r="T27" t="b">
        <f>AND(NOT(S27),W27=TRUE)</f>
        <v>0</v>
      </c>
      <c r="W27" s="17" t="b">
        <v>1</v>
      </c>
      <c r="X27" s="36"/>
      <c r="AC27" t="b">
        <f>OR(AD27:AE27)</f>
        <v>0</v>
      </c>
      <c r="AD27" t="b">
        <f>T27</f>
        <v>0</v>
      </c>
      <c r="AP27" t="str">
        <f>SUBSTITUTE(SUBSTITUTE(SUBSTITUTE("dch"&amp;$B27&amp;$C27&amp;$D27&amp;$E27,".","_"),"(","_"),")","")</f>
        <v>dch1001_1_8</v>
      </c>
      <c r="AQ27" t="b">
        <f>IF(LEN(W27)=0,"",W27)</f>
        <v>1</v>
      </c>
      <c r="AR27" t="str">
        <f>SUBSTITUTE(SUBSTITUTE(SUBSTITUTE("dnt"&amp;$B27&amp;$C27&amp;$D27&amp;$E27,".","_"),"(","_"),")","")</f>
        <v>dnt1001_1_8</v>
      </c>
      <c r="AS27" t="str">
        <f>IF(LEN(X27)=0,"",X27)</f>
        <v/>
      </c>
      <c r="AX27" s="6" t="str">
        <f>'Overview (Design)'!A26</f>
        <v>Total conditioned floor area:</v>
      </c>
      <c r="AY27">
        <f>'Overview (Design)'!G26</f>
        <v>2644</v>
      </c>
    </row>
    <row r="28" spans="2:51" ht="15" customHeight="1" x14ac:dyDescent="0.35">
      <c r="B28" s="412">
        <v>1001.1</v>
      </c>
      <c r="C28" s="13" t="s">
        <v>430</v>
      </c>
      <c r="D28" s="13"/>
      <c r="E28" s="13"/>
      <c r="F28" s="453"/>
      <c r="G28" s="13"/>
      <c r="H28" s="453"/>
      <c r="I28" s="4"/>
      <c r="J28" s="19" t="s">
        <v>430</v>
      </c>
      <c r="K28" s="4"/>
      <c r="L28" s="820" t="s">
        <v>3287</v>
      </c>
      <c r="M28" s="900" t="str">
        <f ca="1">IF(R28,"Mandatory per 902.2.1","N/A")</f>
        <v>Mandatory per 902.2.1</v>
      </c>
      <c r="N28" s="4"/>
      <c r="O28" s="75"/>
      <c r="P28" t="b">
        <v>0</v>
      </c>
      <c r="Q28" t="b">
        <v>1</v>
      </c>
      <c r="R28" s="1" t="b">
        <f ca="1">AND(S28,OR('Ch9'!O219&gt;0,'Ch9'!R219))</f>
        <v>1</v>
      </c>
      <c r="S28" t="b">
        <f>IF(AY19=INDEX(ddSingleOrMulti,1),TRUE,FALSE)</f>
        <v>1</v>
      </c>
      <c r="T28" t="b">
        <f>AND(NOT(S28),W28=TRUE)</f>
        <v>0</v>
      </c>
      <c r="W28" s="17" t="b">
        <v>1</v>
      </c>
      <c r="X28" s="850"/>
      <c r="AC28" t="b">
        <f ca="1">OR(AD28:AE28)</f>
        <v>0</v>
      </c>
      <c r="AD28" t="b">
        <f>T28</f>
        <v>0</v>
      </c>
      <c r="AE28" t="b">
        <f ca="1">AND(R28,NOT(W28=TRUE))</f>
        <v>0</v>
      </c>
      <c r="AL28" t="str">
        <f>SUBSTITUTE(SUBSTITUTE(SUBSTITUTE("dpa"&amp;$B28&amp;$C28&amp;$D28&amp;$E28,".","_"),"(","_"),")","")</f>
        <v>dpa1001_1_9</v>
      </c>
      <c r="AM28" t="str">
        <f ca="1">M28</f>
        <v>Mandatory per 902.2.1</v>
      </c>
      <c r="AP28" t="str">
        <f>SUBSTITUTE(SUBSTITUTE(SUBSTITUTE("dch"&amp;$B28&amp;$C28&amp;$D28&amp;$E28,".","_"),"(","_"),")","")</f>
        <v>dch1001_1_9</v>
      </c>
      <c r="AQ28" t="b">
        <f>IF(LEN(W28)=0,"",W28)</f>
        <v>1</v>
      </c>
      <c r="AR28" t="str">
        <f>SUBSTITUTE(SUBSTITUTE(SUBSTITUTE("dnt"&amp;$B28&amp;$C28&amp;$D28&amp;$E28,".","_"),"(","_"),")","")</f>
        <v>dnt1001_1_9</v>
      </c>
      <c r="AS28" t="str">
        <f>IF(LEN(X28)=0,"",X28)</f>
        <v/>
      </c>
      <c r="AX28" s="6" t="str">
        <f>'Overview (Design)'!A27</f>
        <v>Stories above grade:</v>
      </c>
      <c r="AY28">
        <f>'Overview (Design)'!G27</f>
        <v>2</v>
      </c>
    </row>
    <row r="29" spans="2:51" ht="15" customHeight="1" x14ac:dyDescent="0.35">
      <c r="B29" s="412">
        <v>1001.1</v>
      </c>
      <c r="C29" s="13" t="s">
        <v>430</v>
      </c>
      <c r="D29" s="13"/>
      <c r="E29" s="13"/>
      <c r="F29" s="453"/>
      <c r="G29" s="13"/>
      <c r="H29" s="453"/>
      <c r="I29" s="4"/>
      <c r="J29" s="19"/>
      <c r="K29" s="4"/>
      <c r="L29" s="821"/>
      <c r="M29" s="900"/>
      <c r="N29" s="4"/>
      <c r="O29" s="75"/>
      <c r="X29" s="816"/>
      <c r="AX29" s="6" t="str">
        <f>'Overview (Design)'!A28</f>
        <v>Project Elevation (ft. above sea level):</v>
      </c>
      <c r="AY29">
        <f>'Overview (Design)'!G28</f>
        <v>0</v>
      </c>
    </row>
    <row r="30" spans="2:51" ht="15" customHeight="1" x14ac:dyDescent="0.35">
      <c r="B30" s="412">
        <v>1001.1</v>
      </c>
      <c r="C30" s="13" t="s">
        <v>432</v>
      </c>
      <c r="D30" s="13"/>
      <c r="E30" s="13"/>
      <c r="F30" s="453"/>
      <c r="G30" s="13"/>
      <c r="H30" s="453"/>
      <c r="I30" s="4"/>
      <c r="J30" s="130" t="s">
        <v>432</v>
      </c>
      <c r="K30" s="163"/>
      <c r="L30" s="178" t="s">
        <v>3288</v>
      </c>
      <c r="M30" s="75"/>
      <c r="N30" s="4"/>
      <c r="O30" s="75"/>
      <c r="P30" t="b">
        <v>0</v>
      </c>
      <c r="Q30" t="b">
        <v>1</v>
      </c>
      <c r="R30" t="b">
        <v>0</v>
      </c>
      <c r="S30" t="b">
        <f>IF(AY19=INDEX(ddSingleOrMulti,1),TRUE,FALSE)</f>
        <v>1</v>
      </c>
      <c r="T30" t="b">
        <f>AND(NOT(S30),W30=TRUE)</f>
        <v>0</v>
      </c>
      <c r="W30" s="17" t="b">
        <v>1</v>
      </c>
      <c r="X30" s="36"/>
      <c r="AC30" t="b">
        <f>OR(AD30:AE30)</f>
        <v>0</v>
      </c>
      <c r="AD30" t="b">
        <f>T30</f>
        <v>0</v>
      </c>
      <c r="AP30" t="str">
        <f>SUBSTITUTE(SUBSTITUTE(SUBSTITUTE("dch"&amp;$B30&amp;$C30&amp;$D30&amp;$E30,".","_"),"(","_"),")","")</f>
        <v>dch1001_1_10</v>
      </c>
      <c r="AQ30" t="b">
        <f>IF(LEN(W30)=0,"",W30)</f>
        <v>1</v>
      </c>
      <c r="AR30" t="str">
        <f>SUBSTITUTE(SUBSTITUTE(SUBSTITUTE("dnt"&amp;$B30&amp;$C30&amp;$D30&amp;$E30,".","_"),"(","_"),")","")</f>
        <v>dnt1001_1_10</v>
      </c>
      <c r="AS30" t="str">
        <f>IF(LEN(X30)=0,"",X30)</f>
        <v/>
      </c>
    </row>
    <row r="31" spans="2:51" ht="15" customHeight="1" x14ac:dyDescent="0.35">
      <c r="B31" s="412">
        <v>1001.1</v>
      </c>
      <c r="C31" s="13" t="s">
        <v>434</v>
      </c>
      <c r="D31" s="13"/>
      <c r="E31" s="13"/>
      <c r="F31" s="453"/>
      <c r="G31" s="13"/>
      <c r="H31" s="453"/>
      <c r="I31" s="4"/>
      <c r="J31" s="19" t="s">
        <v>434</v>
      </c>
      <c r="K31" s="4"/>
      <c r="L31" s="90" t="s">
        <v>3289</v>
      </c>
      <c r="M31" s="75"/>
      <c r="N31" s="4"/>
      <c r="O31" s="75"/>
      <c r="P31" t="b">
        <v>0</v>
      </c>
      <c r="Q31" t="b">
        <v>1</v>
      </c>
      <c r="R31" t="b">
        <v>0</v>
      </c>
      <c r="S31" t="b">
        <f>IF(AY19=INDEX(ddSingleOrMulti,1),TRUE,FALSE)</f>
        <v>1</v>
      </c>
      <c r="T31" t="b">
        <f>AND(NOT(S31),W31=TRUE)</f>
        <v>0</v>
      </c>
      <c r="W31" s="17" t="b">
        <v>1</v>
      </c>
      <c r="X31" s="36"/>
      <c r="AC31" t="b">
        <f>OR(AD31:AE31)</f>
        <v>0</v>
      </c>
      <c r="AD31" t="b">
        <f>T31</f>
        <v>0</v>
      </c>
      <c r="AP31" t="str">
        <f>SUBSTITUTE(SUBSTITUTE(SUBSTITUTE("dch"&amp;$B31&amp;$C31&amp;$D31&amp;$E31,".","_"),"(","_"),")","")</f>
        <v>dch1001_1_11</v>
      </c>
      <c r="AQ31" t="b">
        <f>IF(LEN(W31)=0,"",W31)</f>
        <v>1</v>
      </c>
      <c r="AR31" t="str">
        <f>SUBSTITUTE(SUBSTITUTE(SUBSTITUTE("dnt"&amp;$B31&amp;$C31&amp;$D31&amp;$E31,".","_"),"(","_"),")","")</f>
        <v>dnt1001_1_11</v>
      </c>
      <c r="AS31" t="str">
        <f>IF(LEN(X31)=0,"",X31)</f>
        <v/>
      </c>
      <c r="AX31" s="6" t="str">
        <f>'Overview (Design)'!A30</f>
        <v xml:space="preserve">Project Description (optional): </v>
      </c>
      <c r="AY31">
        <f>'Overview (Design)'!G30</f>
        <v>0</v>
      </c>
    </row>
    <row r="32" spans="2:51" ht="15" customHeight="1" x14ac:dyDescent="0.35">
      <c r="B32" s="412">
        <v>1001.1</v>
      </c>
      <c r="C32" s="13" t="s">
        <v>436</v>
      </c>
      <c r="D32" s="13"/>
      <c r="E32" s="13"/>
      <c r="F32" s="453"/>
      <c r="G32" s="13"/>
      <c r="H32" s="453"/>
      <c r="I32" s="4"/>
      <c r="J32" s="132" t="s">
        <v>436</v>
      </c>
      <c r="K32" s="118"/>
      <c r="L32" s="836" t="s">
        <v>3290</v>
      </c>
      <c r="M32" s="75"/>
      <c r="N32" s="4"/>
      <c r="O32" s="75"/>
      <c r="P32" t="b">
        <v>0</v>
      </c>
      <c r="Q32" t="b">
        <v>1</v>
      </c>
      <c r="R32" t="b">
        <v>0</v>
      </c>
      <c r="S32" t="b">
        <f>IF(AY19=INDEX(ddSingleOrMulti,1),TRUE,FALSE)</f>
        <v>1</v>
      </c>
      <c r="T32" t="b">
        <f>AND(NOT(S32),W32=TRUE)</f>
        <v>0</v>
      </c>
      <c r="W32" s="17"/>
      <c r="X32" s="817"/>
      <c r="AC32" t="b">
        <f>OR(AD32:AE32)</f>
        <v>0</v>
      </c>
      <c r="AD32" t="b">
        <f>T32</f>
        <v>0</v>
      </c>
      <c r="AP32" t="str">
        <f>SUBSTITUTE(SUBSTITUTE(SUBSTITUTE("dch"&amp;$B32&amp;$C32&amp;$D32&amp;$E32,".","_"),"(","_"),")","")</f>
        <v>dch1001_1_12</v>
      </c>
      <c r="AQ32" t="str">
        <f>IF(LEN(W32)=0,"",W32)</f>
        <v/>
      </c>
      <c r="AR32" t="str">
        <f>SUBSTITUTE(SUBSTITUTE(SUBSTITUTE("dnt"&amp;$B32&amp;$C32&amp;$D32&amp;$E32,".","_"),"(","_"),")","")</f>
        <v>dnt1001_1_12</v>
      </c>
      <c r="AS32" t="str">
        <f>IF(LEN(X32)=0,"",X32)</f>
        <v/>
      </c>
    </row>
    <row r="33" spans="2:51" x14ac:dyDescent="0.35">
      <c r="B33" s="412">
        <v>1001.1</v>
      </c>
      <c r="C33" s="13" t="s">
        <v>436</v>
      </c>
      <c r="D33" s="13"/>
      <c r="E33" s="13"/>
      <c r="F33" s="453"/>
      <c r="G33" s="13"/>
      <c r="H33" s="453"/>
      <c r="I33" s="4"/>
      <c r="J33" s="4"/>
      <c r="K33" s="4"/>
      <c r="L33" s="814"/>
      <c r="M33" s="75"/>
      <c r="N33" s="4"/>
      <c r="O33" s="75"/>
      <c r="X33" s="817"/>
    </row>
    <row r="34" spans="2:51" x14ac:dyDescent="0.35">
      <c r="B34" s="412">
        <v>1001.1</v>
      </c>
      <c r="C34" s="13" t="s">
        <v>436</v>
      </c>
      <c r="D34" s="13" t="s">
        <v>121</v>
      </c>
      <c r="E34" s="13"/>
      <c r="F34" s="453"/>
      <c r="G34" s="13"/>
      <c r="H34" s="453"/>
      <c r="I34" s="4"/>
      <c r="J34" s="4"/>
      <c r="K34" s="19" t="s">
        <v>121</v>
      </c>
      <c r="L34" s="90" t="s">
        <v>3291</v>
      </c>
      <c r="M34" s="75"/>
      <c r="N34" s="4"/>
      <c r="O34" s="75"/>
      <c r="X34" s="817"/>
      <c r="AX34" s="6" t="str">
        <f>'Overview (Design)'!A32</f>
        <v>Foundation Type:</v>
      </c>
      <c r="AY34" t="str">
        <f>'Overview (Design)'!G32</f>
        <v>Conditioned crawlspace</v>
      </c>
    </row>
    <row r="35" spans="2:51" x14ac:dyDescent="0.35">
      <c r="B35" s="412">
        <v>1001.1</v>
      </c>
      <c r="C35" s="13" t="s">
        <v>436</v>
      </c>
      <c r="D35" s="13" t="s">
        <v>122</v>
      </c>
      <c r="E35" s="13"/>
      <c r="F35" s="453"/>
      <c r="G35" s="13"/>
      <c r="H35" s="453"/>
      <c r="I35" s="4"/>
      <c r="J35" s="4"/>
      <c r="K35" s="19" t="s">
        <v>122</v>
      </c>
      <c r="L35" s="90" t="s">
        <v>3292</v>
      </c>
      <c r="M35" s="75"/>
      <c r="N35" s="4"/>
      <c r="O35" s="75"/>
      <c r="X35" s="817"/>
      <c r="AX35" s="6"/>
    </row>
    <row r="36" spans="2:51" x14ac:dyDescent="0.35">
      <c r="B36" s="412">
        <v>1001.1</v>
      </c>
      <c r="C36" s="13" t="s">
        <v>436</v>
      </c>
      <c r="D36" s="13" t="s">
        <v>123</v>
      </c>
      <c r="E36" s="13"/>
      <c r="F36" s="453"/>
      <c r="G36" s="13"/>
      <c r="H36" s="453"/>
      <c r="I36" s="4"/>
      <c r="J36" s="4"/>
      <c r="K36" s="19" t="s">
        <v>123</v>
      </c>
      <c r="L36" s="814" t="s">
        <v>3293</v>
      </c>
      <c r="M36" s="75"/>
      <c r="N36" s="4"/>
      <c r="O36" s="75"/>
      <c r="X36" s="817"/>
      <c r="AX36" s="6" t="str">
        <f>'Overview (Design)'!A34</f>
        <v>Type of Heating System (main system):</v>
      </c>
      <c r="AY36" t="str">
        <f>'Overview (Design)'!G34</f>
        <v>Furnace</v>
      </c>
    </row>
    <row r="37" spans="2:51" x14ac:dyDescent="0.35">
      <c r="B37" s="412">
        <v>1001.1</v>
      </c>
      <c r="C37" s="13" t="s">
        <v>436</v>
      </c>
      <c r="D37" s="13"/>
      <c r="E37" s="13"/>
      <c r="F37" s="453"/>
      <c r="G37" s="13"/>
      <c r="H37" s="453"/>
      <c r="I37" s="4"/>
      <c r="J37" s="133"/>
      <c r="K37" s="133"/>
      <c r="L37" s="815"/>
      <c r="M37" s="75"/>
      <c r="N37" s="4"/>
      <c r="O37" s="75"/>
      <c r="X37" s="817"/>
      <c r="AX37" s="6" t="str">
        <f>'Overview (Design)'!A35</f>
        <v>Type of Heating System (system 2):</v>
      </c>
      <c r="AY37">
        <f>'Overview (Design)'!G35</f>
        <v>0</v>
      </c>
    </row>
    <row r="38" spans="2:51" x14ac:dyDescent="0.35">
      <c r="B38" s="412">
        <v>1001.1</v>
      </c>
      <c r="C38" s="13" t="s">
        <v>3294</v>
      </c>
      <c r="D38" s="13"/>
      <c r="E38" s="13"/>
      <c r="F38" s="453"/>
      <c r="G38" s="13"/>
      <c r="H38" s="453"/>
      <c r="I38" s="4"/>
      <c r="J38" s="132" t="s">
        <v>3294</v>
      </c>
      <c r="K38" s="118"/>
      <c r="L38" s="836" t="s">
        <v>3295</v>
      </c>
      <c r="M38" s="75"/>
      <c r="N38" s="4"/>
      <c r="O38" s="75"/>
      <c r="P38" t="b">
        <v>0</v>
      </c>
      <c r="Q38" t="b">
        <v>1</v>
      </c>
      <c r="R38" t="b">
        <v>0</v>
      </c>
      <c r="S38" t="b">
        <f>IF(AY19=INDEX(ddSingleOrMulti,1),TRUE,FALSE)</f>
        <v>1</v>
      </c>
      <c r="T38" t="b">
        <f>AND(NOT(S38),W38=TRUE)</f>
        <v>0</v>
      </c>
      <c r="W38" s="17" t="b">
        <v>1</v>
      </c>
      <c r="X38" s="817"/>
      <c r="AC38" t="b">
        <f>OR(AD38:AE38)</f>
        <v>0</v>
      </c>
      <c r="AD38" t="b">
        <f>T38</f>
        <v>0</v>
      </c>
      <c r="AP38" t="str">
        <f>SUBSTITUTE(SUBSTITUTE(SUBSTITUTE("dch"&amp;$B38&amp;$C38&amp;$D38&amp;$E38,".","_"),"(","_"),")","")</f>
        <v>dch1001_1_13</v>
      </c>
      <c r="AQ38" t="b">
        <f>IF(LEN(W38)=0,"",W38)</f>
        <v>1</v>
      </c>
      <c r="AR38" t="str">
        <f>SUBSTITUTE(SUBSTITUTE(SUBSTITUTE("dnt"&amp;$B38&amp;$C38&amp;$D38&amp;$E38,".","_"),"(","_"),")","")</f>
        <v>dnt1001_1_13</v>
      </c>
      <c r="AS38" t="str">
        <f>IF(LEN(X38)=0,"",X38)</f>
        <v/>
      </c>
      <c r="AX38" s="6" t="str">
        <f>'Overview (Design)'!A36</f>
        <v>Type of Heating System (system 3):</v>
      </c>
      <c r="AY38">
        <f>'Overview (Design)'!G36</f>
        <v>0</v>
      </c>
    </row>
    <row r="39" spans="2:51" x14ac:dyDescent="0.35">
      <c r="B39" s="412">
        <v>1001.1</v>
      </c>
      <c r="C39" s="13" t="s">
        <v>3294</v>
      </c>
      <c r="D39" s="13"/>
      <c r="E39" s="13"/>
      <c r="F39" s="453"/>
      <c r="G39" s="13"/>
      <c r="H39" s="453"/>
      <c r="I39" s="4"/>
      <c r="J39" s="4"/>
      <c r="K39" s="4"/>
      <c r="L39" s="814"/>
      <c r="M39" s="75"/>
      <c r="N39" s="4"/>
      <c r="O39" s="75"/>
      <c r="X39" s="817"/>
      <c r="AX39" s="6" t="str">
        <f>'Overview (Design)'!A37</f>
        <v>Primary Heating Fuel:</v>
      </c>
      <c r="AY39">
        <f>'Overview (Design)'!G37</f>
        <v>0</v>
      </c>
    </row>
    <row r="40" spans="2:51" x14ac:dyDescent="0.35">
      <c r="B40" s="412">
        <v>1001.1</v>
      </c>
      <c r="C40" s="13" t="s">
        <v>3294</v>
      </c>
      <c r="D40" s="13"/>
      <c r="E40" s="13"/>
      <c r="F40" s="453"/>
      <c r="G40" s="13"/>
      <c r="H40" s="453"/>
      <c r="I40" s="4"/>
      <c r="J40" s="4"/>
      <c r="K40" s="4"/>
      <c r="L40" s="814"/>
      <c r="M40" s="75"/>
      <c r="N40" s="4"/>
      <c r="O40" s="75"/>
      <c r="X40" s="817"/>
      <c r="AX40" s="6" t="str">
        <f>'Overview (Design)'!A38</f>
        <v>Heating Ducts:</v>
      </c>
      <c r="AY40" t="str">
        <f>'Overview (Design)'!G38</f>
        <v>Ducted</v>
      </c>
    </row>
    <row r="41" spans="2:51" x14ac:dyDescent="0.35">
      <c r="B41" s="412">
        <v>1001.1</v>
      </c>
      <c r="C41" s="13" t="s">
        <v>3294</v>
      </c>
      <c r="D41" s="13"/>
      <c r="E41" s="13"/>
      <c r="F41" s="453"/>
      <c r="G41" s="13"/>
      <c r="H41" s="453"/>
      <c r="I41" s="4"/>
      <c r="J41" s="133"/>
      <c r="K41" s="133"/>
      <c r="L41" s="815"/>
      <c r="M41" s="75"/>
      <c r="N41" s="4"/>
      <c r="O41" s="75"/>
      <c r="X41" s="817"/>
      <c r="AX41" s="6" t="str">
        <f>'Overview (Design)'!A39</f>
        <v>Type of Cooling System (main system):</v>
      </c>
      <c r="AY41" t="str">
        <f>'Overview (Design)'!G39</f>
        <v>Electric Air Conditiner</v>
      </c>
    </row>
    <row r="42" spans="2:51" x14ac:dyDescent="0.35">
      <c r="B42" s="412">
        <v>1001.1</v>
      </c>
      <c r="C42" s="13" t="s">
        <v>3296</v>
      </c>
      <c r="D42" s="13"/>
      <c r="E42" s="13"/>
      <c r="F42" s="453"/>
      <c r="G42" s="13"/>
      <c r="H42" s="453"/>
      <c r="I42" s="4"/>
      <c r="J42" s="132" t="s">
        <v>3296</v>
      </c>
      <c r="K42" s="118"/>
      <c r="L42" s="836" t="s">
        <v>3297</v>
      </c>
      <c r="M42" s="75"/>
      <c r="N42" s="4"/>
      <c r="O42" s="75"/>
      <c r="P42" t="b">
        <v>0</v>
      </c>
      <c r="Q42" t="b">
        <v>1</v>
      </c>
      <c r="R42" t="b">
        <v>0</v>
      </c>
      <c r="S42" t="b">
        <f>IF(AY19=INDEX(ddSingleOrMulti,1),TRUE,FALSE)</f>
        <v>1</v>
      </c>
      <c r="T42" t="b">
        <f>AND(NOT(S42),W42=TRUE)</f>
        <v>0</v>
      </c>
      <c r="W42" s="17"/>
      <c r="X42" s="817"/>
      <c r="AC42" t="b">
        <f>OR(AD42:AE42)</f>
        <v>0</v>
      </c>
      <c r="AD42" t="b">
        <f>T42</f>
        <v>0</v>
      </c>
      <c r="AP42" t="str">
        <f>SUBSTITUTE(SUBSTITUTE(SUBSTITUTE("dch"&amp;$B42&amp;$C42&amp;$D42&amp;$E42,".","_"),"(","_"),")","")</f>
        <v>dch1001_1_14</v>
      </c>
      <c r="AQ42" t="str">
        <f>IF(LEN(W42)=0,"",W42)</f>
        <v/>
      </c>
      <c r="AR42" t="str">
        <f>SUBSTITUTE(SUBSTITUTE(SUBSTITUTE("dnt"&amp;$B42&amp;$C42&amp;$D42&amp;$E42,".","_"),"(","_"),")","")</f>
        <v>dnt1001_1_14</v>
      </c>
      <c r="AS42" t="str">
        <f>IF(LEN(X42)=0,"",X42)</f>
        <v/>
      </c>
      <c r="AX42" s="6" t="str">
        <f>'Overview (Design)'!A40</f>
        <v>Type of Cooling System (system 2):</v>
      </c>
      <c r="AY42">
        <f>'Overview (Design)'!G40</f>
        <v>0</v>
      </c>
    </row>
    <row r="43" spans="2:51" x14ac:dyDescent="0.35">
      <c r="B43" s="412">
        <v>1001.1</v>
      </c>
      <c r="C43" s="13" t="s">
        <v>3296</v>
      </c>
      <c r="D43" s="13"/>
      <c r="E43" s="13"/>
      <c r="F43" s="453"/>
      <c r="G43" s="13"/>
      <c r="H43" s="453"/>
      <c r="I43" s="4"/>
      <c r="J43" s="133"/>
      <c r="K43" s="133"/>
      <c r="L43" s="815"/>
      <c r="M43" s="75"/>
      <c r="N43" s="4"/>
      <c r="O43" s="75"/>
      <c r="X43" s="817"/>
      <c r="AX43" s="6" t="str">
        <f>'Overview (Design)'!A41</f>
        <v>Type of Cooling System (system 3):</v>
      </c>
      <c r="AY43">
        <f>'Overview (Design)'!G41</f>
        <v>0</v>
      </c>
    </row>
    <row r="44" spans="2:51" x14ac:dyDescent="0.35">
      <c r="B44" s="412">
        <v>1001.1</v>
      </c>
      <c r="C44" s="13" t="s">
        <v>3298</v>
      </c>
      <c r="D44" s="13"/>
      <c r="E44" s="13"/>
      <c r="F44" s="453"/>
      <c r="G44" s="13"/>
      <c r="H44" s="453"/>
      <c r="I44" s="4"/>
      <c r="J44" s="132" t="s">
        <v>3298</v>
      </c>
      <c r="K44" s="118"/>
      <c r="L44" s="836" t="s">
        <v>3299</v>
      </c>
      <c r="M44" s="75"/>
      <c r="N44" s="4"/>
      <c r="O44" s="75"/>
      <c r="P44" t="b">
        <v>0</v>
      </c>
      <c r="Q44" t="b">
        <v>1</v>
      </c>
      <c r="R44" t="b">
        <v>0</v>
      </c>
      <c r="S44" t="b">
        <f>IF(AY19=INDEX(ddSingleOrMulti,1),TRUE,FALSE)</f>
        <v>1</v>
      </c>
      <c r="T44" t="b">
        <f>AND(NOT(S44),W44=TRUE)</f>
        <v>0</v>
      </c>
      <c r="W44" s="17"/>
      <c r="X44" s="817"/>
      <c r="AC44" t="b">
        <f>OR(AD44:AE44)</f>
        <v>0</v>
      </c>
      <c r="AD44" t="b">
        <f>T44</f>
        <v>0</v>
      </c>
      <c r="AP44" t="str">
        <f>SUBSTITUTE(SUBSTITUTE(SUBSTITUTE("dch"&amp;$B44&amp;$C44&amp;$D44&amp;$E44,".","_"),"(","_"),")","")</f>
        <v>dch1001_1_15</v>
      </c>
      <c r="AQ44" t="str">
        <f>IF(LEN(W44)=0,"",W44)</f>
        <v/>
      </c>
      <c r="AR44" t="str">
        <f>SUBSTITUTE(SUBSTITUTE(SUBSTITUTE("dnt"&amp;$B44&amp;$C44&amp;$D44&amp;$E44,".","_"),"(","_"),")","")</f>
        <v>dnt1001_1_15</v>
      </c>
      <c r="AS44" t="str">
        <f>IF(LEN(X44)=0,"",X44)</f>
        <v/>
      </c>
      <c r="AX44" s="6" t="str">
        <f>'Overview (Design)'!A42</f>
        <v>Cooling Ducts:</v>
      </c>
      <c r="AY44" t="str">
        <f>'Overview (Design)'!G42</f>
        <v>Ducted</v>
      </c>
    </row>
    <row r="45" spans="2:51" x14ac:dyDescent="0.35">
      <c r="B45" s="412">
        <v>1001.1</v>
      </c>
      <c r="C45" s="13" t="s">
        <v>3298</v>
      </c>
      <c r="D45" s="13"/>
      <c r="E45" s="13"/>
      <c r="F45" s="453"/>
      <c r="G45" s="13"/>
      <c r="H45" s="453"/>
      <c r="I45" s="4"/>
      <c r="J45" s="133"/>
      <c r="K45" s="133"/>
      <c r="L45" s="815"/>
      <c r="M45" s="75"/>
      <c r="N45" s="4"/>
      <c r="O45" s="75"/>
      <c r="X45" s="817"/>
      <c r="AX45" s="6"/>
    </row>
    <row r="46" spans="2:51" x14ac:dyDescent="0.35">
      <c r="B46" s="412">
        <v>1001.1</v>
      </c>
      <c r="C46" s="13" t="s">
        <v>3300</v>
      </c>
      <c r="D46" s="13"/>
      <c r="E46" s="13"/>
      <c r="F46" s="453"/>
      <c r="G46" s="13"/>
      <c r="H46" s="453"/>
      <c r="I46" s="4"/>
      <c r="J46" s="130" t="s">
        <v>3300</v>
      </c>
      <c r="K46" s="163"/>
      <c r="L46" s="178" t="s">
        <v>3301</v>
      </c>
      <c r="M46" s="75"/>
      <c r="N46" s="4"/>
      <c r="O46" s="75"/>
      <c r="P46" t="b">
        <v>0</v>
      </c>
      <c r="Q46" t="b">
        <v>1</v>
      </c>
      <c r="R46" t="b">
        <v>0</v>
      </c>
      <c r="S46" t="b">
        <f>IF(AY19=INDEX(ddSingleOrMulti,1),TRUE,FALSE)</f>
        <v>1</v>
      </c>
      <c r="T46" t="b">
        <f>AND(NOT(S46),W46=TRUE)</f>
        <v>0</v>
      </c>
      <c r="W46" s="17"/>
      <c r="X46" s="36"/>
      <c r="AC46" t="b">
        <f>OR(AD46:AE46)</f>
        <v>0</v>
      </c>
      <c r="AD46" t="b">
        <f>T46</f>
        <v>0</v>
      </c>
      <c r="AP46" t="str">
        <f>SUBSTITUTE(SUBSTITUTE(SUBSTITUTE("dch"&amp;$B46&amp;$C46&amp;$D46&amp;$E46,".","_"),"(","_"),")","")</f>
        <v>dch1001_1_16</v>
      </c>
      <c r="AQ46" t="str">
        <f>IF(LEN(W46)=0,"",W46)</f>
        <v/>
      </c>
      <c r="AR46" t="str">
        <f>SUBSTITUTE(SUBSTITUTE(SUBSTITUTE("dnt"&amp;$B46&amp;$C46&amp;$D46&amp;$E46,".","_"),"(","_"),")","")</f>
        <v>dnt1001_1_16</v>
      </c>
      <c r="AS46" t="str">
        <f>IF(LEN(X46)=0,"",X46)</f>
        <v/>
      </c>
      <c r="AX46" s="6" t="str">
        <f>'Overview (Design)'!A44</f>
        <v>Maximum window and door SHGC:</v>
      </c>
      <c r="AY46">
        <f>'Overview (Design)'!G44</f>
        <v>0.22</v>
      </c>
    </row>
    <row r="47" spans="2:51" x14ac:dyDescent="0.35">
      <c r="B47" s="412">
        <v>1001.1</v>
      </c>
      <c r="C47" s="13" t="s">
        <v>3302</v>
      </c>
      <c r="D47" s="13"/>
      <c r="E47" s="13"/>
      <c r="F47" s="453"/>
      <c r="G47" s="13"/>
      <c r="H47" s="453"/>
      <c r="I47" s="4"/>
      <c r="J47" s="132" t="s">
        <v>3302</v>
      </c>
      <c r="K47" s="118"/>
      <c r="L47" s="820" t="s">
        <v>3303</v>
      </c>
      <c r="M47" s="75"/>
      <c r="N47" s="4"/>
      <c r="O47" s="75"/>
      <c r="P47" t="b">
        <v>0</v>
      </c>
      <c r="Q47" t="b">
        <v>1</v>
      </c>
      <c r="R47" t="b">
        <v>0</v>
      </c>
      <c r="S47" t="b">
        <f>IF(AY19=INDEX(ddSingleOrMulti,1),TRUE,FALSE)</f>
        <v>1</v>
      </c>
      <c r="T47" t="b">
        <f>AND(NOT(S47),W47=TRUE)</f>
        <v>0</v>
      </c>
      <c r="W47" s="17"/>
      <c r="X47" s="817"/>
      <c r="AC47" t="b">
        <f>OR(AD47:AE47)</f>
        <v>0</v>
      </c>
      <c r="AD47" t="b">
        <f>T47</f>
        <v>0</v>
      </c>
      <c r="AP47" t="str">
        <f>SUBSTITUTE(SUBSTITUTE(SUBSTITUTE("dch"&amp;$B47&amp;$C47&amp;$D47&amp;$E47,".","_"),"(","_"),")","")</f>
        <v>dch1001_1_17</v>
      </c>
      <c r="AQ47" t="str">
        <f>IF(LEN(W47)=0,"",W47)</f>
        <v/>
      </c>
      <c r="AR47" t="str">
        <f>SUBSTITUTE(SUBSTITUTE(SUBSTITUTE("dnt"&amp;$B47&amp;$C47&amp;$D47&amp;$E47,".","_"),"(","_"),")","")</f>
        <v>dnt1001_1_17</v>
      </c>
      <c r="AS47" t="str">
        <f>IF(LEN(X47)=0,"",X47)</f>
        <v/>
      </c>
      <c r="AX47" s="6" t="str">
        <f>'Overview (Design)'!A45</f>
        <v>Maximum skylight SHGC:</v>
      </c>
      <c r="AY47">
        <f>'Overview (Design)'!G45</f>
        <v>0</v>
      </c>
    </row>
    <row r="48" spans="2:51" x14ac:dyDescent="0.35">
      <c r="B48" s="412">
        <v>1001.1</v>
      </c>
      <c r="C48" s="13" t="s">
        <v>3302</v>
      </c>
      <c r="D48" s="13"/>
      <c r="E48" s="13"/>
      <c r="F48" s="453"/>
      <c r="G48" s="13"/>
      <c r="H48" s="453"/>
      <c r="I48" s="4"/>
      <c r="J48" s="129"/>
      <c r="K48" s="133"/>
      <c r="L48" s="821"/>
      <c r="M48" s="75"/>
      <c r="N48" s="4"/>
      <c r="O48" s="75"/>
      <c r="X48" s="817"/>
      <c r="AX48" s="6" t="str">
        <f>'Overview (Design)'!A46</f>
        <v>Maximum window and door U-value:</v>
      </c>
      <c r="AY48">
        <f>'Overview (Design)'!G46</f>
        <v>0.32</v>
      </c>
    </row>
    <row r="49" spans="2:51" x14ac:dyDescent="0.35">
      <c r="B49" s="412">
        <v>1001.1</v>
      </c>
      <c r="C49" s="13" t="s">
        <v>3304</v>
      </c>
      <c r="D49" s="13"/>
      <c r="E49" s="13"/>
      <c r="F49" s="453"/>
      <c r="G49" s="13"/>
      <c r="H49" s="453"/>
      <c r="I49" s="4"/>
      <c r="J49" s="132" t="s">
        <v>3304</v>
      </c>
      <c r="K49" s="118"/>
      <c r="L49" s="836" t="s">
        <v>3305</v>
      </c>
      <c r="M49" s="75"/>
      <c r="N49" s="4"/>
      <c r="O49" s="75"/>
      <c r="P49" t="b">
        <v>0</v>
      </c>
      <c r="Q49" t="b">
        <v>1</v>
      </c>
      <c r="R49" t="b">
        <v>0</v>
      </c>
      <c r="S49" t="b">
        <f>IF(AY19=INDEX(ddSingleOrMulti,1),TRUE,FALSE)</f>
        <v>1</v>
      </c>
      <c r="T49" t="b">
        <f>AND(NOT(S49),W49=TRUE)</f>
        <v>0</v>
      </c>
      <c r="W49" s="17"/>
      <c r="X49" s="817"/>
      <c r="AC49" t="b">
        <f>OR(AD49:AE49)</f>
        <v>0</v>
      </c>
      <c r="AD49" t="b">
        <f>T49</f>
        <v>0</v>
      </c>
      <c r="AP49" t="str">
        <f>SUBSTITUTE(SUBSTITUTE(SUBSTITUTE("dch"&amp;$B49&amp;$C49&amp;$D49&amp;$E49,".","_"),"(","_"),")","")</f>
        <v>dch1001_1_18</v>
      </c>
      <c r="AQ49" t="str">
        <f>IF(LEN(W49)=0,"",W49)</f>
        <v/>
      </c>
      <c r="AR49" t="str">
        <f>SUBSTITUTE(SUBSTITUTE(SUBSTITUTE("dnt"&amp;$B49&amp;$C49&amp;$D49&amp;$E49,".","_"),"(","_"),")","")</f>
        <v>dnt1001_1_18</v>
      </c>
      <c r="AS49" t="str">
        <f>IF(LEN(X49)=0,"",X49)</f>
        <v/>
      </c>
      <c r="AX49" s="6" t="str">
        <f>'Overview (Design)'!A47</f>
        <v>Maximum skylight U-value:</v>
      </c>
      <c r="AY49">
        <f>'Overview (Design)'!G47</f>
        <v>0</v>
      </c>
    </row>
    <row r="50" spans="2:51" x14ac:dyDescent="0.35">
      <c r="B50" s="412">
        <v>1001.1</v>
      </c>
      <c r="C50" s="13" t="s">
        <v>3304</v>
      </c>
      <c r="D50" s="13"/>
      <c r="E50" s="13"/>
      <c r="F50" s="453"/>
      <c r="G50" s="13"/>
      <c r="H50" s="453"/>
      <c r="I50" s="4"/>
      <c r="J50" s="133"/>
      <c r="K50" s="133"/>
      <c r="L50" s="815"/>
      <c r="M50" s="75"/>
      <c r="N50" s="4"/>
      <c r="O50" s="75"/>
      <c r="X50" s="817"/>
      <c r="AX50" s="6" t="str">
        <f>'Overview (Design)'!A48</f>
        <v>Renewable Energy:</v>
      </c>
      <c r="AY50">
        <f>'Overview (Design)'!G48</f>
        <v>0</v>
      </c>
    </row>
    <row r="51" spans="2:51" x14ac:dyDescent="0.35">
      <c r="B51" s="412">
        <v>1001.1</v>
      </c>
      <c r="C51" s="13" t="s">
        <v>3306</v>
      </c>
      <c r="D51" s="13"/>
      <c r="E51" s="13"/>
      <c r="F51" s="453"/>
      <c r="G51" s="13"/>
      <c r="H51" s="453"/>
      <c r="I51" s="4"/>
      <c r="J51" s="130" t="s">
        <v>3306</v>
      </c>
      <c r="K51" s="163"/>
      <c r="L51" s="178" t="s">
        <v>3307</v>
      </c>
      <c r="M51" s="75"/>
      <c r="N51" s="4"/>
      <c r="O51" s="75"/>
      <c r="P51" t="b">
        <v>0</v>
      </c>
      <c r="Q51" t="b">
        <v>1</v>
      </c>
      <c r="R51" t="b">
        <v>0</v>
      </c>
      <c r="S51" t="b">
        <f>IF(AY19=INDEX(ddSingleOrMulti,1),TRUE,FALSE)</f>
        <v>1</v>
      </c>
      <c r="T51" t="b">
        <f>AND(NOT(S51),W51=TRUE)</f>
        <v>0</v>
      </c>
      <c r="W51" s="17"/>
      <c r="X51" s="36"/>
      <c r="AC51" t="b">
        <f>OR(AD51:AE51)</f>
        <v>0</v>
      </c>
      <c r="AD51" t="b">
        <f>T51</f>
        <v>0</v>
      </c>
      <c r="AP51" t="str">
        <f>SUBSTITUTE(SUBSTITUTE(SUBSTITUTE("dch"&amp;$B51&amp;$C51&amp;$D51&amp;$E51,".","_"),"(","_"),")","")</f>
        <v>dch1001_1_19</v>
      </c>
      <c r="AQ51" t="str">
        <f>IF(LEN(W51)=0,"",W51)</f>
        <v/>
      </c>
      <c r="AR51" t="str">
        <f>SUBSTITUTE(SUBSTITUTE(SUBSTITUTE("dnt"&amp;$B51&amp;$C51&amp;$D51&amp;$E51,".","_"),"(","_"),")","")</f>
        <v>dnt1001_1_19</v>
      </c>
      <c r="AS51" t="str">
        <f>IF(LEN(X51)=0,"",X51)</f>
        <v/>
      </c>
      <c r="AX51" s="6" t="str">
        <f>'Overview (Design)'!A49</f>
        <v>Thermal Envelope Insulation:</v>
      </c>
      <c r="AY51">
        <f>'Overview (Design)'!G49</f>
        <v>0</v>
      </c>
    </row>
    <row r="52" spans="2:51" x14ac:dyDescent="0.35">
      <c r="B52" s="412">
        <v>1001.1</v>
      </c>
      <c r="C52" s="13" t="s">
        <v>3308</v>
      </c>
      <c r="D52" s="13"/>
      <c r="E52" s="13"/>
      <c r="F52" s="453"/>
      <c r="G52" s="13"/>
      <c r="H52" s="453"/>
      <c r="I52" s="4"/>
      <c r="J52" s="132" t="s">
        <v>3308</v>
      </c>
      <c r="K52" s="118"/>
      <c r="L52" s="836" t="s">
        <v>3309</v>
      </c>
      <c r="M52" s="75"/>
      <c r="N52" s="4"/>
      <c r="O52" s="75"/>
      <c r="P52" t="b">
        <v>0</v>
      </c>
      <c r="Q52" t="b">
        <v>1</v>
      </c>
      <c r="R52" t="b">
        <v>0</v>
      </c>
      <c r="S52" t="b">
        <f>IF(AY19=INDEX(ddSingleOrMulti,1),TRUE,FALSE)</f>
        <v>1</v>
      </c>
      <c r="T52" t="b">
        <f>AND(NOT(S52),W52=TRUE)</f>
        <v>0</v>
      </c>
      <c r="W52" s="17"/>
      <c r="X52" s="817"/>
      <c r="AC52" t="b">
        <f>OR(AD52:AE52)</f>
        <v>0</v>
      </c>
      <c r="AD52" t="b">
        <f>T52</f>
        <v>0</v>
      </c>
      <c r="AP52" t="str">
        <f>SUBSTITUTE(SUBSTITUTE(SUBSTITUTE("dch"&amp;$B52&amp;$C52&amp;$D52&amp;$E52,".","_"),"(","_"),")","")</f>
        <v>dch1001_1_20</v>
      </c>
      <c r="AQ52" t="str">
        <f>IF(LEN(W52)=0,"",W52)</f>
        <v/>
      </c>
      <c r="AR52" t="str">
        <f>SUBSTITUTE(SUBSTITUTE(SUBSTITUTE("dnt"&amp;$B52&amp;$C52&amp;$D52&amp;$E52,".","_"),"(","_"),")","")</f>
        <v>dnt1001_1_20</v>
      </c>
      <c r="AS52" t="str">
        <f>IF(LEN(X52)=0,"",X52)</f>
        <v/>
      </c>
      <c r="AX52" s="6" t="str">
        <f>'Overview (Design)'!A50</f>
        <v>Attic Type:</v>
      </c>
      <c r="AY52" t="str">
        <f>'Overview (Design)'!G50</f>
        <v>Vented</v>
      </c>
    </row>
    <row r="53" spans="2:51" x14ac:dyDescent="0.35">
      <c r="B53" s="412">
        <v>1001.1</v>
      </c>
      <c r="C53" s="13" t="s">
        <v>3308</v>
      </c>
      <c r="D53" s="13"/>
      <c r="E53" s="13"/>
      <c r="F53" s="453"/>
      <c r="G53" s="13"/>
      <c r="H53" s="453"/>
      <c r="I53" s="4"/>
      <c r="J53" s="133"/>
      <c r="K53" s="133"/>
      <c r="L53" s="815"/>
      <c r="M53" s="75"/>
      <c r="N53" s="4"/>
      <c r="O53" s="75"/>
      <c r="X53" s="817"/>
      <c r="AX53" s="6" t="str">
        <f>'Overview (Design)'!A51</f>
        <v>Attached Garage:</v>
      </c>
      <c r="AY53" t="str">
        <f>'Overview (Design)'!G51</f>
        <v>Yes</v>
      </c>
    </row>
    <row r="54" spans="2:51" x14ac:dyDescent="0.35">
      <c r="B54" s="412">
        <v>1001.1</v>
      </c>
      <c r="C54" s="13" t="s">
        <v>3310</v>
      </c>
      <c r="D54" s="13"/>
      <c r="E54" s="13"/>
      <c r="F54" s="453"/>
      <c r="G54" s="13"/>
      <c r="H54" s="453"/>
      <c r="I54" s="4"/>
      <c r="J54" s="132" t="s">
        <v>3310</v>
      </c>
      <c r="K54" s="118"/>
      <c r="L54" s="836" t="s">
        <v>3311</v>
      </c>
      <c r="M54" s="75"/>
      <c r="N54" s="4"/>
      <c r="O54" s="75"/>
      <c r="P54" t="b">
        <v>0</v>
      </c>
      <c r="Q54" t="b">
        <v>1</v>
      </c>
      <c r="R54" t="b">
        <v>0</v>
      </c>
      <c r="S54" t="b">
        <f>IF(AY19=INDEX(ddSingleOrMulti,1),TRUE,FALSE)</f>
        <v>1</v>
      </c>
      <c r="T54" t="b">
        <f>AND(NOT(S54),W54=TRUE)</f>
        <v>0</v>
      </c>
      <c r="W54" s="17"/>
      <c r="X54" s="817"/>
      <c r="AC54" t="b">
        <f>OR(AD54:AE54)</f>
        <v>0</v>
      </c>
      <c r="AD54" t="b">
        <f>T54</f>
        <v>0</v>
      </c>
      <c r="AP54" t="str">
        <f>SUBSTITUTE(SUBSTITUTE(SUBSTITUTE("dch"&amp;$B54&amp;$C54&amp;$D54&amp;$E54,".","_"),"(","_"),")","")</f>
        <v>dch1001_1_21</v>
      </c>
      <c r="AQ54" t="str">
        <f>IF(LEN(W54)=0,"",W54)</f>
        <v/>
      </c>
      <c r="AR54" t="str">
        <f>SUBSTITUTE(SUBSTITUTE(SUBSTITUTE("dnt"&amp;$B54&amp;$C54&amp;$D54&amp;$E54,".","_"),"(","_"),")","")</f>
        <v>dnt1001_1_21</v>
      </c>
      <c r="AS54" t="str">
        <f>IF(LEN(X54)=0,"",X54)</f>
        <v/>
      </c>
      <c r="AX54" s="6" t="str">
        <f>'Overview (Design)'!A52</f>
        <v>Recessed Lighting:</v>
      </c>
      <c r="AY54">
        <f>'Overview (Design)'!G52</f>
        <v>0</v>
      </c>
    </row>
    <row r="55" spans="2:51" x14ac:dyDescent="0.35">
      <c r="B55" s="412">
        <v>1001.1</v>
      </c>
      <c r="C55" s="13" t="s">
        <v>3310</v>
      </c>
      <c r="D55" s="13"/>
      <c r="E55" s="13"/>
      <c r="F55" s="453"/>
      <c r="G55" s="13"/>
      <c r="H55" s="453"/>
      <c r="I55" s="4"/>
      <c r="J55" s="133"/>
      <c r="K55" s="133"/>
      <c r="L55" s="815"/>
      <c r="M55" s="75"/>
      <c r="N55" s="4"/>
      <c r="O55" s="75"/>
      <c r="X55" s="817"/>
      <c r="AX55" s="6"/>
    </row>
    <row r="56" spans="2:51" x14ac:dyDescent="0.35">
      <c r="B56" s="412">
        <v>1001.1</v>
      </c>
      <c r="C56" s="13" t="s">
        <v>3312</v>
      </c>
      <c r="D56" s="13"/>
      <c r="E56" s="13"/>
      <c r="F56" s="453"/>
      <c r="G56" s="13"/>
      <c r="H56" s="453"/>
      <c r="I56" s="4"/>
      <c r="J56" s="132" t="s">
        <v>3312</v>
      </c>
      <c r="K56" s="118"/>
      <c r="L56" s="836" t="s">
        <v>3313</v>
      </c>
      <c r="M56" s="75"/>
      <c r="N56" s="4"/>
      <c r="O56" s="75"/>
      <c r="P56" t="b">
        <v>0</v>
      </c>
      <c r="Q56" t="b">
        <v>1</v>
      </c>
      <c r="R56" t="b">
        <v>0</v>
      </c>
      <c r="S56" t="b">
        <f>IF(AY19=INDEX(ddSingleOrMulti,1),TRUE,FALSE)</f>
        <v>1</v>
      </c>
      <c r="T56" t="b">
        <f>AND(NOT(S56),W56=TRUE)</f>
        <v>0</v>
      </c>
      <c r="W56" s="17"/>
      <c r="X56" s="817"/>
      <c r="AC56" t="b">
        <f>OR(AD56:AE56)</f>
        <v>0</v>
      </c>
      <c r="AD56" t="b">
        <f>T56</f>
        <v>0</v>
      </c>
      <c r="AP56" t="str">
        <f>SUBSTITUTE(SUBSTITUTE(SUBSTITUTE("dch"&amp;$B56&amp;$C56&amp;$D56&amp;$E56,".","_"),"(","_"),")","")</f>
        <v>dch1001_1_22</v>
      </c>
      <c r="AQ56" t="str">
        <f>IF(LEN(W56)=0,"",W56)</f>
        <v/>
      </c>
      <c r="AR56" t="str">
        <f>SUBSTITUTE(SUBSTITUTE(SUBSTITUTE("dnt"&amp;$B56&amp;$C56&amp;$D56&amp;$E56,".","_"),"(","_"),")","")</f>
        <v>dnt1001_1_22</v>
      </c>
      <c r="AS56" t="str">
        <f>IF(LEN(X56)=0,"",X56)</f>
        <v/>
      </c>
      <c r="AX56" s="6" t="str">
        <f>'Overview (Design)'!A54</f>
        <v>Special Design Features:</v>
      </c>
      <c r="AY56">
        <f>'Overview (Design)'!G54</f>
        <v>0</v>
      </c>
    </row>
    <row r="57" spans="2:51" x14ac:dyDescent="0.35">
      <c r="B57" s="412">
        <v>1001.1</v>
      </c>
      <c r="C57" s="13" t="s">
        <v>3312</v>
      </c>
      <c r="D57" s="13"/>
      <c r="E57" s="13"/>
      <c r="F57" s="453"/>
      <c r="G57" s="13"/>
      <c r="H57" s="453"/>
      <c r="I57" s="4"/>
      <c r="J57" s="133"/>
      <c r="K57" s="133"/>
      <c r="L57" s="815"/>
      <c r="M57" s="75"/>
      <c r="N57" s="4"/>
      <c r="O57" s="75"/>
      <c r="X57" s="817"/>
      <c r="AX57" s="6" t="str">
        <f>'Overview (Design)'!A55</f>
        <v>Passive Solar:</v>
      </c>
      <c r="AY57">
        <f>'Overview (Design)'!G55</f>
        <v>0</v>
      </c>
    </row>
    <row r="58" spans="2:51" x14ac:dyDescent="0.35">
      <c r="B58" s="412">
        <v>1001.1</v>
      </c>
      <c r="C58" s="13" t="s">
        <v>3314</v>
      </c>
      <c r="D58" s="13"/>
      <c r="E58" s="13"/>
      <c r="F58" s="453"/>
      <c r="G58" s="13"/>
      <c r="H58" s="453"/>
      <c r="I58" s="4"/>
      <c r="J58" s="130" t="s">
        <v>3314</v>
      </c>
      <c r="K58" s="163"/>
      <c r="L58" s="178" t="s">
        <v>3315</v>
      </c>
      <c r="M58" s="75"/>
      <c r="N58" s="4"/>
      <c r="O58" s="75"/>
      <c r="P58" t="b">
        <v>0</v>
      </c>
      <c r="Q58" t="b">
        <v>1</v>
      </c>
      <c r="R58" t="b">
        <v>0</v>
      </c>
      <c r="S58" t="b">
        <f>IF(AY19=INDEX(ddSingleOrMulti,1),TRUE,FALSE)</f>
        <v>1</v>
      </c>
      <c r="T58" t="b">
        <f>AND(NOT(S58),W58=TRUE)</f>
        <v>0</v>
      </c>
      <c r="W58" s="17"/>
      <c r="X58" s="36"/>
      <c r="AC58" t="b">
        <f>OR(AD58:AE58)</f>
        <v>0</v>
      </c>
      <c r="AD58" t="b">
        <f>T58</f>
        <v>0</v>
      </c>
      <c r="AP58" t="str">
        <f>SUBSTITUTE(SUBSTITUTE(SUBSTITUTE("dch"&amp;$B58&amp;$C58&amp;$D58&amp;$E58,".","_"),"(","_"),")","")</f>
        <v>dch1001_1_23</v>
      </c>
      <c r="AQ58" t="str">
        <f>IF(LEN(W58)=0,"",W58)</f>
        <v/>
      </c>
      <c r="AR58" t="str">
        <f>SUBSTITUTE(SUBSTITUTE(SUBSTITUTE("dnt"&amp;$B58&amp;$C58&amp;$D58&amp;$E58,".","_"),"(","_"),")","")</f>
        <v>dnt1001_1_23</v>
      </c>
      <c r="AS58" t="str">
        <f>IF(LEN(X58)=0,"",X58)</f>
        <v/>
      </c>
      <c r="AX58" s="6" t="str">
        <f>'Overview (Design)'!A56</f>
        <v>Mass Walls:</v>
      </c>
      <c r="AY58">
        <f>'Overview (Design)'!G56</f>
        <v>0</v>
      </c>
    </row>
    <row r="59" spans="2:51" ht="15" thickBot="1" x14ac:dyDescent="0.4">
      <c r="B59" s="412">
        <v>1001.1</v>
      </c>
      <c r="C59" s="13" t="s">
        <v>3316</v>
      </c>
      <c r="D59" s="13"/>
      <c r="E59" s="13"/>
      <c r="F59" s="453"/>
      <c r="G59" s="13"/>
      <c r="H59" s="453"/>
      <c r="I59" s="160"/>
      <c r="J59" s="115" t="s">
        <v>3316</v>
      </c>
      <c r="K59" s="160"/>
      <c r="L59" s="229" t="s">
        <v>3317</v>
      </c>
      <c r="M59" s="161"/>
      <c r="N59" s="160"/>
      <c r="O59" s="161"/>
      <c r="P59" t="b">
        <v>0</v>
      </c>
      <c r="Q59" t="b">
        <v>1</v>
      </c>
      <c r="R59" s="55" t="b">
        <v>0</v>
      </c>
      <c r="S59" s="55" t="b">
        <f>IF(AY19=INDEX(ddSingleOrMulti,1),TRUE,FALSE)</f>
        <v>1</v>
      </c>
      <c r="T59" s="55" t="b">
        <f>AND(NOT(S59),W59=TRUE)</f>
        <v>0</v>
      </c>
      <c r="U59" s="55"/>
      <c r="V59" s="55"/>
      <c r="W59" s="111"/>
      <c r="X59" s="98"/>
      <c r="AC59" t="b">
        <f>OR(AD59:AE59)</f>
        <v>0</v>
      </c>
      <c r="AD59" t="b">
        <f>T59</f>
        <v>0</v>
      </c>
      <c r="AP59" t="str">
        <f>SUBSTITUTE(SUBSTITUTE(SUBSTITUTE("dch"&amp;$B59&amp;$C59&amp;$D59&amp;$E59,".","_"),"(","_"),")","")</f>
        <v>dch1001_1_24</v>
      </c>
      <c r="AQ59" t="str">
        <f>IF(LEN(W59)=0,"",W59)</f>
        <v/>
      </c>
      <c r="AR59" t="str">
        <f>SUBSTITUTE(SUBSTITUTE(SUBSTITUTE("dnt"&amp;$B59&amp;$C59&amp;$D59&amp;$E59,".","_"),"(","_"),")","")</f>
        <v>dnt1001_1_24</v>
      </c>
      <c r="AS59" t="str">
        <f>IF(LEN(X59)=0,"",X59)</f>
        <v/>
      </c>
      <c r="AX59" s="6" t="str">
        <f>'Overview (Design)'!A57</f>
        <v>Radiant/Hydronic:</v>
      </c>
      <c r="AY59">
        <f>'Overview (Design)'!G57</f>
        <v>0</v>
      </c>
    </row>
    <row r="60" spans="2:51" ht="15" thickTop="1" x14ac:dyDescent="0.35">
      <c r="B60" s="412">
        <v>1001.2</v>
      </c>
      <c r="C60" s="13"/>
      <c r="D60" s="13"/>
      <c r="E60" s="13"/>
      <c r="F60" s="13" t="s">
        <v>4889</v>
      </c>
      <c r="G60" s="13"/>
      <c r="H60" s="453"/>
      <c r="I60" s="30">
        <v>1001.2</v>
      </c>
      <c r="J60" s="4"/>
      <c r="K60" s="4"/>
      <c r="L60" s="838" t="s">
        <v>3318</v>
      </c>
      <c r="M60" s="899" t="str">
        <f>IF(R60,"Mandatory","N/A")</f>
        <v>Mandatory</v>
      </c>
      <c r="N60" s="4"/>
      <c r="O60" s="831">
        <f>M62*W60*S60</f>
        <v>8</v>
      </c>
      <c r="P60" t="b">
        <v>0</v>
      </c>
      <c r="Q60" t="b">
        <v>1</v>
      </c>
      <c r="R60" t="b">
        <f>S60</f>
        <v>1</v>
      </c>
      <c r="S60" t="b">
        <f>IF(AY19=INDEX(ddSingleOrMulti,1),TRUE,FALSE)</f>
        <v>1</v>
      </c>
      <c r="T60" t="b">
        <f>AND(NOT(S60),W60=TRUE)</f>
        <v>0</v>
      </c>
      <c r="W60" s="236" t="b">
        <v>1</v>
      </c>
      <c r="X60" s="816"/>
      <c r="AC60" t="b">
        <f>OR(AD60:AE60)</f>
        <v>0</v>
      </c>
      <c r="AD60" t="b">
        <f>T60</f>
        <v>0</v>
      </c>
      <c r="AE60" t="b">
        <f>AND(R60,NOT(W60=TRUE))</f>
        <v>0</v>
      </c>
      <c r="AL60" s="1" t="str">
        <f>SUBSTITUTE(SUBSTITUTE(SUBSTITUTE("dpa"&amp;$B60&amp;$C60&amp;$D60&amp;$E60&amp;$F60,".","_"),"(","_"),")","")</f>
        <v>dpa1001_2_m</v>
      </c>
      <c r="AM60" t="str">
        <f>M60</f>
        <v>Mandatory</v>
      </c>
      <c r="AN60" t="str">
        <f>SUBSTITUTE(SUBSTITUTE(SUBSTITUTE("dpc"&amp;$B60&amp;$C60&amp;$D60&amp;$E60,".","_"),"(","_"),")","")</f>
        <v>dpc1001_2</v>
      </c>
      <c r="AO60">
        <f>O60</f>
        <v>8</v>
      </c>
      <c r="AP60" t="str">
        <f>SUBSTITUTE(SUBSTITUTE(SUBSTITUTE("dch"&amp;$B60&amp;$C60&amp;$D60&amp;$E60,".","_"),"(","_"),")","")</f>
        <v>dch1001_2</v>
      </c>
      <c r="AQ60" t="b">
        <f>IF(LEN(W60)=0,"",W60)</f>
        <v>1</v>
      </c>
      <c r="AR60" t="str">
        <f>SUBSTITUTE(SUBSTITUTE(SUBSTITUTE("dnt"&amp;$B60&amp;$C60&amp;$D60&amp;$E60,".","_"),"(","_"),")","")</f>
        <v>dnt1001_2</v>
      </c>
      <c r="AS60" t="str">
        <f>IF(LEN(X60)=0,"",X60)</f>
        <v/>
      </c>
      <c r="AX60" s="6" t="str">
        <f>'Overview (Design)'!A58</f>
        <v>Tankless Water Heater:</v>
      </c>
      <c r="AY60">
        <f>'Overview (Design)'!G58</f>
        <v>0</v>
      </c>
    </row>
    <row r="61" spans="2:51" x14ac:dyDescent="0.35">
      <c r="B61" s="412">
        <v>1001.2</v>
      </c>
      <c r="C61" s="13"/>
      <c r="D61" s="13"/>
      <c r="E61" s="13"/>
      <c r="F61" s="13"/>
      <c r="G61" s="13"/>
      <c r="H61" s="453"/>
      <c r="I61" s="4"/>
      <c r="J61" s="4"/>
      <c r="K61" s="4"/>
      <c r="L61" s="838"/>
      <c r="M61" s="885"/>
      <c r="N61" s="4"/>
      <c r="O61" s="832"/>
      <c r="X61" s="817"/>
      <c r="AX61" s="6" t="str">
        <f>'Overview (Design)'!A59</f>
        <v>Composting Toilet:</v>
      </c>
      <c r="AY61">
        <f>'Overview (Design)'!G59</f>
        <v>0</v>
      </c>
    </row>
    <row r="62" spans="2:51" x14ac:dyDescent="0.35">
      <c r="B62" s="412">
        <v>1001.2</v>
      </c>
      <c r="C62" s="13"/>
      <c r="D62" s="13"/>
      <c r="E62" s="13"/>
      <c r="F62" s="13"/>
      <c r="G62" s="13"/>
      <c r="H62" s="453"/>
      <c r="I62" s="4"/>
      <c r="J62" s="4"/>
      <c r="K62" s="4"/>
      <c r="L62" s="838"/>
      <c r="M62" s="834">
        <v>8</v>
      </c>
      <c r="N62" s="4"/>
      <c r="O62" s="832"/>
      <c r="X62" s="817"/>
      <c r="AL62" t="str">
        <f>SUBSTITUTE(SUBSTITUTE(SUBSTITUTE("dpa"&amp;$B62&amp;$C62&amp;$D62&amp;$E62,".","_"),"(","_"),")","")</f>
        <v>dpa1001_2</v>
      </c>
      <c r="AM62">
        <f>M62</f>
        <v>8</v>
      </c>
      <c r="AX62" s="6"/>
    </row>
    <row r="63" spans="2:51" x14ac:dyDescent="0.35">
      <c r="B63" s="412">
        <v>1001.2</v>
      </c>
      <c r="C63" s="13"/>
      <c r="D63" s="13"/>
      <c r="E63" s="13"/>
      <c r="F63" s="13"/>
      <c r="G63" s="13"/>
      <c r="H63" s="453"/>
      <c r="I63" s="4"/>
      <c r="J63" s="4"/>
      <c r="K63" s="4"/>
      <c r="L63" s="838"/>
      <c r="M63" s="834"/>
      <c r="N63" s="4"/>
      <c r="O63" s="832"/>
      <c r="X63" s="817"/>
      <c r="AX63" s="6" t="str">
        <f>'Overview (Design)'!A61</f>
        <v>Local Energy Code:</v>
      </c>
      <c r="AY63">
        <f>'Overview (Design)'!G61</f>
        <v>0</v>
      </c>
    </row>
    <row r="64" spans="2:51" x14ac:dyDescent="0.35">
      <c r="B64" s="412">
        <v>1001.2</v>
      </c>
      <c r="C64" s="13" t="s">
        <v>256</v>
      </c>
      <c r="D64" s="13"/>
      <c r="E64" s="13"/>
      <c r="F64" s="13"/>
      <c r="G64" s="13"/>
      <c r="H64" s="453"/>
      <c r="I64" s="4"/>
      <c r="J64" s="19" t="s">
        <v>256</v>
      </c>
      <c r="K64" s="4"/>
      <c r="L64" s="146" t="s">
        <v>3319</v>
      </c>
      <c r="M64" s="75"/>
      <c r="N64" s="4"/>
      <c r="O64" s="75"/>
      <c r="X64" s="817"/>
      <c r="AX64" s="6" t="str">
        <f>'Overview (Design)'!A62</f>
        <v>Local Building Code:</v>
      </c>
      <c r="AY64">
        <f>'Overview (Design)'!G62</f>
        <v>0</v>
      </c>
    </row>
    <row r="65" spans="2:41" x14ac:dyDescent="0.35">
      <c r="B65" s="412">
        <v>1001.2</v>
      </c>
      <c r="C65" s="13" t="s">
        <v>258</v>
      </c>
      <c r="D65" s="13"/>
      <c r="E65" s="13"/>
      <c r="F65" s="13"/>
      <c r="G65" s="13"/>
      <c r="H65" s="453"/>
      <c r="I65" s="4"/>
      <c r="J65" s="19" t="s">
        <v>258</v>
      </c>
      <c r="K65" s="4"/>
      <c r="L65" s="146" t="s">
        <v>3320</v>
      </c>
      <c r="M65" s="75"/>
      <c r="N65" s="4"/>
      <c r="O65" s="75"/>
      <c r="X65" s="817"/>
    </row>
    <row r="66" spans="2:41" x14ac:dyDescent="0.35">
      <c r="B66" s="412">
        <v>1001.2</v>
      </c>
      <c r="C66" s="13" t="s">
        <v>260</v>
      </c>
      <c r="D66" s="13"/>
      <c r="E66" s="13"/>
      <c r="F66" s="13"/>
      <c r="G66" s="13"/>
      <c r="H66" s="453"/>
      <c r="I66" s="4"/>
      <c r="J66" s="19" t="s">
        <v>260</v>
      </c>
      <c r="K66" s="4"/>
      <c r="L66" s="146" t="s">
        <v>3321</v>
      </c>
      <c r="M66" s="75"/>
      <c r="N66" s="4"/>
      <c r="O66" s="75"/>
      <c r="X66" s="817"/>
    </row>
    <row r="67" spans="2:41" x14ac:dyDescent="0.35">
      <c r="B67" s="412">
        <v>1001.2</v>
      </c>
      <c r="C67" s="13" t="s">
        <v>269</v>
      </c>
      <c r="D67" s="13"/>
      <c r="E67" s="13"/>
      <c r="F67" s="13"/>
      <c r="G67" s="13"/>
      <c r="H67" s="453"/>
      <c r="I67" s="4"/>
      <c r="J67" s="19" t="s">
        <v>269</v>
      </c>
      <c r="K67" s="4"/>
      <c r="L67" s="146" t="s">
        <v>3322</v>
      </c>
      <c r="M67" s="75"/>
      <c r="N67" s="4"/>
      <c r="O67" s="75"/>
      <c r="X67" s="817"/>
    </row>
    <row r="68" spans="2:41" x14ac:dyDescent="0.35">
      <c r="B68" s="412">
        <v>1001.2</v>
      </c>
      <c r="C68" s="13" t="s">
        <v>275</v>
      </c>
      <c r="D68" s="13"/>
      <c r="E68" s="13"/>
      <c r="F68" s="13"/>
      <c r="G68" s="13"/>
      <c r="H68" s="453"/>
      <c r="I68" s="4"/>
      <c r="J68" s="19" t="s">
        <v>275</v>
      </c>
      <c r="K68" s="4"/>
      <c r="L68" s="146" t="s">
        <v>3323</v>
      </c>
      <c r="M68" s="75"/>
      <c r="N68" s="4"/>
      <c r="O68" s="75"/>
      <c r="X68" s="817"/>
    </row>
    <row r="69" spans="2:41" x14ac:dyDescent="0.35">
      <c r="B69" s="412">
        <v>1001.2</v>
      </c>
      <c r="C69" s="13" t="s">
        <v>277</v>
      </c>
      <c r="D69" s="13"/>
      <c r="E69" s="13"/>
      <c r="F69" s="13"/>
      <c r="G69" s="13"/>
      <c r="H69" s="453"/>
      <c r="I69" s="4"/>
      <c r="J69" s="19" t="s">
        <v>277</v>
      </c>
      <c r="K69" s="4"/>
      <c r="L69" s="146" t="s">
        <v>3324</v>
      </c>
      <c r="M69" s="75"/>
      <c r="N69" s="4"/>
      <c r="O69" s="75"/>
      <c r="X69" s="817"/>
    </row>
    <row r="70" spans="2:41" x14ac:dyDescent="0.35">
      <c r="B70" s="412">
        <v>1001.2</v>
      </c>
      <c r="C70" s="13" t="s">
        <v>383</v>
      </c>
      <c r="D70" s="13"/>
      <c r="E70" s="13"/>
      <c r="F70" s="13"/>
      <c r="G70" s="13"/>
      <c r="H70" s="453"/>
      <c r="I70" s="4"/>
      <c r="J70" s="19" t="s">
        <v>383</v>
      </c>
      <c r="K70" s="4"/>
      <c r="L70" s="146" t="s">
        <v>3325</v>
      </c>
      <c r="M70" s="75"/>
      <c r="N70" s="4"/>
      <c r="O70" s="75"/>
      <c r="X70" s="817"/>
    </row>
    <row r="71" spans="2:41" x14ac:dyDescent="0.35">
      <c r="B71" s="412">
        <v>1001.2</v>
      </c>
      <c r="C71" s="13" t="s">
        <v>428</v>
      </c>
      <c r="D71" s="13"/>
      <c r="E71" s="13"/>
      <c r="F71" s="13"/>
      <c r="G71" s="13"/>
      <c r="H71" s="453"/>
      <c r="I71" s="4"/>
      <c r="J71" s="402" t="s">
        <v>428</v>
      </c>
      <c r="K71" s="412"/>
      <c r="L71" s="90" t="s">
        <v>4546</v>
      </c>
      <c r="M71" s="75"/>
      <c r="N71" s="4"/>
      <c r="O71" s="75"/>
      <c r="X71" s="817"/>
    </row>
    <row r="72" spans="2:41" ht="18.5" x14ac:dyDescent="0.45">
      <c r="B72" s="412">
        <v>1002</v>
      </c>
      <c r="C72" s="13"/>
      <c r="D72" s="13"/>
      <c r="E72" s="13"/>
      <c r="F72" s="13"/>
      <c r="G72" s="13"/>
      <c r="H72" s="453"/>
      <c r="I72" s="10" t="s">
        <v>3326</v>
      </c>
      <c r="J72" s="15"/>
      <c r="K72" s="15"/>
      <c r="L72" s="150"/>
      <c r="M72" s="307"/>
      <c r="N72" s="311"/>
      <c r="O72" s="307"/>
      <c r="P72" s="15"/>
      <c r="Q72" s="15"/>
      <c r="R72" s="15"/>
      <c r="S72" s="15"/>
      <c r="T72" s="15"/>
      <c r="U72" s="15"/>
      <c r="V72" s="15"/>
      <c r="W72" s="15"/>
      <c r="X72" s="15"/>
    </row>
    <row r="73" spans="2:41" x14ac:dyDescent="0.35">
      <c r="B73" s="412" t="s">
        <v>4077</v>
      </c>
      <c r="C73" s="13"/>
      <c r="D73" s="13"/>
      <c r="E73" s="13"/>
      <c r="F73" s="13"/>
      <c r="G73" s="13"/>
      <c r="H73" s="453"/>
      <c r="I73" s="143">
        <v>1002</v>
      </c>
      <c r="J73" s="4"/>
      <c r="K73" s="4"/>
      <c r="L73" s="838" t="s">
        <v>3327</v>
      </c>
      <c r="M73" s="75"/>
      <c r="N73" s="4"/>
      <c r="O73" s="75"/>
    </row>
    <row r="74" spans="2:41" x14ac:dyDescent="0.35">
      <c r="B74" s="412" t="s">
        <v>4077</v>
      </c>
      <c r="C74" s="13"/>
      <c r="D74" s="13"/>
      <c r="E74" s="13"/>
      <c r="F74" s="13"/>
      <c r="G74" s="13"/>
      <c r="H74" s="453"/>
      <c r="I74" s="4"/>
      <c r="J74" s="4"/>
      <c r="K74" s="4"/>
      <c r="L74" s="838"/>
      <c r="M74" s="75"/>
      <c r="N74" s="4"/>
      <c r="O74" s="75"/>
    </row>
    <row r="75" spans="2:41" x14ac:dyDescent="0.35">
      <c r="B75" s="412" t="s">
        <v>4077</v>
      </c>
      <c r="C75" s="13"/>
      <c r="D75" s="13"/>
      <c r="E75" s="13"/>
      <c r="F75" s="13"/>
      <c r="G75" s="13"/>
      <c r="H75" s="453"/>
      <c r="I75" s="4"/>
      <c r="J75" s="4"/>
      <c r="K75" s="4"/>
      <c r="L75" s="838"/>
      <c r="M75" s="75"/>
      <c r="N75" s="4"/>
      <c r="O75" s="75"/>
    </row>
    <row r="76" spans="2:41" x14ac:dyDescent="0.35">
      <c r="B76" s="412" t="s">
        <v>4077</v>
      </c>
      <c r="C76" s="13"/>
      <c r="D76" s="13"/>
      <c r="E76" s="13"/>
      <c r="F76" s="13"/>
      <c r="G76" s="13"/>
      <c r="H76" s="453"/>
      <c r="I76" s="4"/>
      <c r="J76" s="4"/>
      <c r="K76" s="4"/>
      <c r="L76" s="838"/>
      <c r="M76" s="75"/>
      <c r="N76" s="4"/>
      <c r="O76" s="75"/>
    </row>
    <row r="77" spans="2:41" x14ac:dyDescent="0.35">
      <c r="B77" s="412" t="s">
        <v>4077</v>
      </c>
      <c r="C77" s="13"/>
      <c r="D77" s="13"/>
      <c r="E77" s="13"/>
      <c r="F77" s="13"/>
      <c r="G77" s="13"/>
      <c r="H77" s="453"/>
      <c r="I77" s="4"/>
      <c r="J77" s="4"/>
      <c r="K77" s="4"/>
      <c r="L77" s="838"/>
      <c r="M77" s="75"/>
      <c r="N77" s="4"/>
      <c r="O77" s="75"/>
    </row>
    <row r="78" spans="2:41" ht="15" thickBot="1" x14ac:dyDescent="0.4">
      <c r="B78" s="412" t="s">
        <v>4077</v>
      </c>
      <c r="C78" s="13"/>
      <c r="D78" s="13"/>
      <c r="E78" s="13"/>
      <c r="F78" s="13"/>
      <c r="G78" s="13"/>
      <c r="H78" s="453"/>
      <c r="I78" s="160"/>
      <c r="J78" s="160"/>
      <c r="K78" s="160"/>
      <c r="L78" s="849"/>
      <c r="M78" s="161"/>
      <c r="N78" s="160"/>
      <c r="O78" s="161"/>
      <c r="P78" s="55"/>
      <c r="Q78" s="55"/>
      <c r="R78" s="55"/>
      <c r="S78" s="55"/>
      <c r="T78" s="55"/>
      <c r="U78" s="55"/>
      <c r="V78" s="55"/>
      <c r="W78" s="55"/>
      <c r="X78" s="55"/>
    </row>
    <row r="79" spans="2:41" ht="15" thickTop="1" x14ac:dyDescent="0.35">
      <c r="B79" s="412">
        <v>1002.1</v>
      </c>
      <c r="C79" s="13"/>
      <c r="D79" s="13"/>
      <c r="E79" s="13"/>
      <c r="F79" s="13"/>
      <c r="G79" s="13"/>
      <c r="H79" s="453"/>
      <c r="I79" s="30">
        <v>1002.1</v>
      </c>
      <c r="J79" s="4"/>
      <c r="K79" s="4"/>
      <c r="L79" s="838" t="s">
        <v>3374</v>
      </c>
      <c r="M79" s="818">
        <v>1</v>
      </c>
      <c r="N79" s="4"/>
      <c r="O79" s="973">
        <f>IF(AND(COUNTIF(W82:W88,TRUE)=3,COUNTIF(W90:W95,TRUE)&gt;1,S82),ROUNDDOWN(COUNTIF(W90:W95,TRUE)/2,0),0)</f>
        <v>0</v>
      </c>
      <c r="AL79" t="str">
        <f>SUBSTITUTE(SUBSTITUTE(SUBSTITUTE("dpa"&amp;$B79&amp;$C79&amp;$D79&amp;$E79,".","_"),"(","_"),")","")</f>
        <v>dpa1002_1</v>
      </c>
      <c r="AM79">
        <f>M79</f>
        <v>1</v>
      </c>
      <c r="AN79" t="str">
        <f>SUBSTITUTE(SUBSTITUTE(SUBSTITUTE("dpc"&amp;$B79&amp;$C79&amp;$D79&amp;$E79,".","_"),"(","_"),")","")</f>
        <v>dpc1002_1</v>
      </c>
      <c r="AO79">
        <f>O79</f>
        <v>0</v>
      </c>
    </row>
    <row r="80" spans="2:41" x14ac:dyDescent="0.35">
      <c r="B80" s="412">
        <v>1002.1</v>
      </c>
      <c r="C80" s="13"/>
      <c r="D80" s="13"/>
      <c r="E80" s="13"/>
      <c r="F80" s="13"/>
      <c r="G80" s="13"/>
      <c r="H80" s="453"/>
      <c r="I80" s="4"/>
      <c r="J80" s="4"/>
      <c r="K80" s="4"/>
      <c r="L80" s="838"/>
      <c r="M80" s="818"/>
      <c r="N80" s="4"/>
      <c r="O80" s="973"/>
    </row>
    <row r="81" spans="2:45" x14ac:dyDescent="0.35">
      <c r="B81" s="412">
        <v>1002.1</v>
      </c>
      <c r="C81" s="13"/>
      <c r="D81" s="13"/>
      <c r="E81" s="13"/>
      <c r="F81" s="13"/>
      <c r="G81" s="13"/>
      <c r="H81" s="453"/>
      <c r="I81" s="4"/>
      <c r="J81" s="4"/>
      <c r="K81" s="4"/>
      <c r="L81" s="147" t="s">
        <v>3372</v>
      </c>
      <c r="M81" s="818"/>
      <c r="N81" s="4"/>
      <c r="O81" s="973"/>
    </row>
    <row r="82" spans="2:45" x14ac:dyDescent="0.35">
      <c r="B82" s="412">
        <v>1002.1</v>
      </c>
      <c r="C82" s="13" t="s">
        <v>256</v>
      </c>
      <c r="D82" s="13"/>
      <c r="E82" s="13"/>
      <c r="F82" s="13"/>
      <c r="G82" s="13"/>
      <c r="H82" s="453"/>
      <c r="I82" s="4"/>
      <c r="J82" s="19" t="s">
        <v>256</v>
      </c>
      <c r="K82" s="4"/>
      <c r="L82" s="814" t="s">
        <v>3328</v>
      </c>
      <c r="M82" s="885" t="str">
        <f t="shared" ref="M82:M89" si="1">IF(R82,"Mandatory","N/A")</f>
        <v>N/A</v>
      </c>
      <c r="N82" s="4"/>
      <c r="O82" s="75"/>
      <c r="P82" t="b">
        <v>0</v>
      </c>
      <c r="Q82" t="b">
        <v>1</v>
      </c>
      <c r="R82" t="b">
        <f>S82</f>
        <v>0</v>
      </c>
      <c r="S82" t="b">
        <f>IF(AY19=INDEX(ddSingleOrMulti,2),TRUE,FALSE)</f>
        <v>0</v>
      </c>
      <c r="T82" t="b">
        <f>AND(NOT(S82),W82=TRUE)</f>
        <v>0</v>
      </c>
      <c r="W82" s="17"/>
      <c r="X82" s="817"/>
      <c r="AC82" t="b">
        <f>OR(AD82:AE82)</f>
        <v>0</v>
      </c>
      <c r="AD82" t="b">
        <f>T82</f>
        <v>0</v>
      </c>
      <c r="AE82" t="b">
        <f>AND(R82,O79&lt;1)</f>
        <v>0</v>
      </c>
      <c r="AL82" t="str">
        <f>SUBSTITUTE(SUBSTITUTE(SUBSTITUTE("dpa"&amp;$B82&amp;$C82&amp;$D82&amp;$E82,".","_"),"(","_"),")","")</f>
        <v>dpa1002_1_1</v>
      </c>
      <c r="AM82" t="str">
        <f>M82</f>
        <v>N/A</v>
      </c>
      <c r="AP82" t="str">
        <f>SUBSTITUTE(SUBSTITUTE(SUBSTITUTE("dch"&amp;$B82&amp;$C82&amp;$D82&amp;$E82,".","_"),"(","_"),")","")</f>
        <v>dch1002_1_1</v>
      </c>
      <c r="AQ82" t="str">
        <f>IF(LEN(W82)=0,"",W82)</f>
        <v/>
      </c>
      <c r="AR82" t="str">
        <f>SUBSTITUTE(SUBSTITUTE(SUBSTITUTE("dnt"&amp;$B82&amp;$C82&amp;$D82&amp;$E82,".","_"),"(","_"),")","")</f>
        <v>dnt1002_1_1</v>
      </c>
      <c r="AS82" t="str">
        <f>IF(LEN(X82)=0,"",X82)</f>
        <v/>
      </c>
    </row>
    <row r="83" spans="2:45" x14ac:dyDescent="0.35">
      <c r="B83" s="412">
        <v>1002.1</v>
      </c>
      <c r="C83" s="13" t="s">
        <v>256</v>
      </c>
      <c r="D83" s="13"/>
      <c r="E83" s="13"/>
      <c r="F83" s="13"/>
      <c r="G83" s="13"/>
      <c r="H83" s="453"/>
      <c r="I83" s="4"/>
      <c r="J83" s="19"/>
      <c r="K83" s="4"/>
      <c r="L83" s="814"/>
      <c r="M83" s="885" t="str">
        <f t="shared" si="1"/>
        <v>N/A</v>
      </c>
      <c r="N83" s="4"/>
      <c r="O83" s="75"/>
      <c r="X83" s="817"/>
    </row>
    <row r="84" spans="2:45" x14ac:dyDescent="0.35">
      <c r="B84" s="412">
        <v>1002.1</v>
      </c>
      <c r="C84" s="13" t="s">
        <v>256</v>
      </c>
      <c r="D84" s="13"/>
      <c r="E84" s="13"/>
      <c r="F84" s="13"/>
      <c r="G84" s="13"/>
      <c r="H84" s="453"/>
      <c r="I84" s="4"/>
      <c r="J84" s="19"/>
      <c r="K84" s="4"/>
      <c r="L84" s="814"/>
      <c r="M84" s="885" t="str">
        <f t="shared" si="1"/>
        <v>N/A</v>
      </c>
      <c r="N84" s="4"/>
      <c r="O84" s="75"/>
      <c r="X84" s="817"/>
    </row>
    <row r="85" spans="2:45" x14ac:dyDescent="0.35">
      <c r="B85" s="412">
        <v>1002.1</v>
      </c>
      <c r="C85" s="13" t="s">
        <v>258</v>
      </c>
      <c r="D85" s="13"/>
      <c r="E85" s="13"/>
      <c r="F85" s="13"/>
      <c r="G85" s="13"/>
      <c r="H85" s="453"/>
      <c r="I85" s="4"/>
      <c r="J85" s="132" t="s">
        <v>258</v>
      </c>
      <c r="K85" s="118"/>
      <c r="L85" s="836" t="s">
        <v>3329</v>
      </c>
      <c r="M85" s="912" t="str">
        <f t="shared" si="1"/>
        <v>N/A</v>
      </c>
      <c r="N85" s="4"/>
      <c r="O85" s="75"/>
      <c r="P85" t="b">
        <v>0</v>
      </c>
      <c r="Q85" t="b">
        <v>1</v>
      </c>
      <c r="R85" t="b">
        <f>S85</f>
        <v>0</v>
      </c>
      <c r="S85" t="b">
        <f>IF(AY19=INDEX(ddSingleOrMulti,2),TRUE,FALSE)</f>
        <v>0</v>
      </c>
      <c r="T85" t="b">
        <f>AND(NOT(S85),W85=TRUE)</f>
        <v>0</v>
      </c>
      <c r="W85" s="17"/>
      <c r="X85" s="817"/>
      <c r="AC85" t="b">
        <f>OR(AD85:AE85)</f>
        <v>0</v>
      </c>
      <c r="AD85" t="b">
        <f>T85</f>
        <v>0</v>
      </c>
      <c r="AE85" t="b">
        <f>AND(R85,NOT(W85=TRUE))</f>
        <v>0</v>
      </c>
      <c r="AL85" t="str">
        <f>SUBSTITUTE(SUBSTITUTE(SUBSTITUTE("dpa"&amp;$B85&amp;$C85&amp;$D85&amp;$E85,".","_"),"(","_"),")","")</f>
        <v>dpa1002_1_2</v>
      </c>
      <c r="AM85" t="str">
        <f>M85</f>
        <v>N/A</v>
      </c>
      <c r="AP85" t="str">
        <f>SUBSTITUTE(SUBSTITUTE(SUBSTITUTE("dch"&amp;$B85&amp;$C85&amp;$D85&amp;$E85,".","_"),"(","_"),")","")</f>
        <v>dch1002_1_2</v>
      </c>
      <c r="AQ85" t="str">
        <f>IF(LEN(W85)=0,"",W85)</f>
        <v/>
      </c>
      <c r="AR85" t="str">
        <f>SUBSTITUTE(SUBSTITUTE(SUBSTITUTE("dnt"&amp;$B85&amp;$C85&amp;$D85&amp;$E85,".","_"),"(","_"),")","")</f>
        <v>dnt1002_1_2</v>
      </c>
      <c r="AS85" t="str">
        <f>IF(LEN(X85)=0,"",X85)</f>
        <v/>
      </c>
    </row>
    <row r="86" spans="2:45" x14ac:dyDescent="0.35">
      <c r="B86" s="412">
        <v>1002.1</v>
      </c>
      <c r="C86" s="13" t="s">
        <v>258</v>
      </c>
      <c r="D86" s="13"/>
      <c r="E86" s="13"/>
      <c r="F86" s="13"/>
      <c r="G86" s="13"/>
      <c r="H86" s="453"/>
      <c r="I86" s="4"/>
      <c r="J86" s="19"/>
      <c r="K86" s="4"/>
      <c r="L86" s="814"/>
      <c r="M86" s="885" t="str">
        <f t="shared" si="1"/>
        <v>N/A</v>
      </c>
      <c r="N86" s="4"/>
      <c r="O86" s="75"/>
      <c r="X86" s="817"/>
    </row>
    <row r="87" spans="2:45" x14ac:dyDescent="0.35">
      <c r="B87" s="412">
        <v>1002.1</v>
      </c>
      <c r="C87" s="13" t="s">
        <v>258</v>
      </c>
      <c r="D87" s="13"/>
      <c r="E87" s="13"/>
      <c r="F87" s="13"/>
      <c r="G87" s="13"/>
      <c r="H87" s="453"/>
      <c r="I87" s="4"/>
      <c r="J87" s="129"/>
      <c r="K87" s="133"/>
      <c r="L87" s="815"/>
      <c r="M87" s="890" t="str">
        <f t="shared" si="1"/>
        <v>N/A</v>
      </c>
      <c r="N87" s="4"/>
      <c r="O87" s="75"/>
      <c r="X87" s="817"/>
    </row>
    <row r="88" spans="2:45" x14ac:dyDescent="0.35">
      <c r="B88" s="412">
        <v>1002.1</v>
      </c>
      <c r="C88" s="13" t="s">
        <v>260</v>
      </c>
      <c r="D88" s="13"/>
      <c r="E88" s="13"/>
      <c r="F88" s="13"/>
      <c r="G88" s="13"/>
      <c r="H88" s="453"/>
      <c r="I88" s="4"/>
      <c r="J88" s="19" t="s">
        <v>260</v>
      </c>
      <c r="K88" s="4"/>
      <c r="L88" s="814" t="s">
        <v>3330</v>
      </c>
      <c r="M88" s="885" t="str">
        <f t="shared" si="1"/>
        <v>N/A</v>
      </c>
      <c r="N88" s="4"/>
      <c r="O88" s="75"/>
      <c r="P88" t="b">
        <v>0</v>
      </c>
      <c r="Q88" t="b">
        <v>1</v>
      </c>
      <c r="R88" t="b">
        <f>S88</f>
        <v>0</v>
      </c>
      <c r="S88" t="b">
        <f>IF(AY19=INDEX(ddSingleOrMulti,2),TRUE,FALSE)</f>
        <v>0</v>
      </c>
      <c r="T88" t="b">
        <f>AND(NOT(S88),W88=TRUE)</f>
        <v>0</v>
      </c>
      <c r="W88" s="17"/>
      <c r="X88" s="817"/>
      <c r="AC88" t="b">
        <f>OR(AD88:AE88)</f>
        <v>0</v>
      </c>
      <c r="AD88" t="b">
        <f>T88</f>
        <v>0</v>
      </c>
      <c r="AE88" t="b">
        <f>AND(R88,NOT(W88=TRUE))</f>
        <v>0</v>
      </c>
      <c r="AL88" t="str">
        <f>SUBSTITUTE(SUBSTITUTE(SUBSTITUTE("dpa"&amp;$B88&amp;$C88&amp;$D88&amp;$E88,".","_"),"(","_"),")","")</f>
        <v>dpa1002_1_3</v>
      </c>
      <c r="AM88" t="str">
        <f>M88</f>
        <v>N/A</v>
      </c>
      <c r="AP88" t="str">
        <f>SUBSTITUTE(SUBSTITUTE(SUBSTITUTE("dch"&amp;$B88&amp;$C88&amp;$D88&amp;$E88,".","_"),"(","_"),")","")</f>
        <v>dch1002_1_3</v>
      </c>
      <c r="AQ88" t="str">
        <f>IF(LEN(W88)=0,"",W88)</f>
        <v/>
      </c>
      <c r="AR88" t="str">
        <f>SUBSTITUTE(SUBSTITUTE(SUBSTITUTE("dnt"&amp;$B88&amp;$C88&amp;$D88&amp;$E88,".","_"),"(","_"),")","")</f>
        <v>dnt1002_1_3</v>
      </c>
      <c r="AS88" t="str">
        <f>IF(LEN(X88)=0,"",X88)</f>
        <v/>
      </c>
    </row>
    <row r="89" spans="2:45" x14ac:dyDescent="0.35">
      <c r="B89" s="412">
        <v>1002.1</v>
      </c>
      <c r="C89" s="13" t="s">
        <v>260</v>
      </c>
      <c r="D89" s="13"/>
      <c r="E89" s="13"/>
      <c r="F89" s="13"/>
      <c r="G89" s="13"/>
      <c r="H89" s="453"/>
      <c r="I89" s="4"/>
      <c r="J89" s="19"/>
      <c r="K89" s="4"/>
      <c r="L89" s="814"/>
      <c r="M89" s="885" t="str">
        <f t="shared" si="1"/>
        <v>N/A</v>
      </c>
      <c r="N89" s="4"/>
      <c r="O89" s="75"/>
      <c r="X89" s="817"/>
    </row>
    <row r="90" spans="2:45" x14ac:dyDescent="0.35">
      <c r="B90" s="412">
        <v>1002.1</v>
      </c>
      <c r="C90" s="13" t="s">
        <v>269</v>
      </c>
      <c r="D90" s="13"/>
      <c r="E90" s="13"/>
      <c r="F90" s="13"/>
      <c r="G90" s="13"/>
      <c r="H90" s="453"/>
      <c r="I90" s="4"/>
      <c r="J90" s="130" t="s">
        <v>269</v>
      </c>
      <c r="K90" s="163"/>
      <c r="L90" s="164" t="s">
        <v>3331</v>
      </c>
      <c r="M90" s="165"/>
      <c r="N90" s="4"/>
      <c r="O90" s="75"/>
      <c r="P90" t="b">
        <v>0</v>
      </c>
      <c r="Q90" t="b">
        <v>1</v>
      </c>
      <c r="R90" t="b">
        <v>0</v>
      </c>
      <c r="S90" t="b">
        <f>IF(AY19=INDEX(ddSingleOrMulti,2),TRUE,FALSE)</f>
        <v>0</v>
      </c>
      <c r="T90" t="b">
        <f>AND(NOT(S90),W90=TRUE)</f>
        <v>0</v>
      </c>
      <c r="W90" s="17"/>
      <c r="X90" s="36"/>
      <c r="AC90" t="b">
        <f>OR(AD90:AE90)</f>
        <v>0</v>
      </c>
      <c r="AD90" t="b">
        <f>T90</f>
        <v>0</v>
      </c>
      <c r="AP90" t="str">
        <f>SUBSTITUTE(SUBSTITUTE(SUBSTITUTE("dch"&amp;$B90&amp;$C90&amp;$D90&amp;$E90,".","_"),"(","_"),")","")</f>
        <v>dch1002_1_4</v>
      </c>
      <c r="AQ90" t="str">
        <f>IF(LEN(W90)=0,"",W90)</f>
        <v/>
      </c>
      <c r="AR90" t="str">
        <f>SUBSTITUTE(SUBSTITUTE(SUBSTITUTE("dnt"&amp;$B90&amp;$C90&amp;$D90&amp;$E90,".","_"),"(","_"),")","")</f>
        <v>dnt1002_1_4</v>
      </c>
      <c r="AS90" t="str">
        <f>IF(LEN(X90)=0,"",X90)</f>
        <v/>
      </c>
    </row>
    <row r="91" spans="2:45" x14ac:dyDescent="0.35">
      <c r="B91" s="412">
        <v>1002.1</v>
      </c>
      <c r="C91" s="13" t="s">
        <v>275</v>
      </c>
      <c r="D91" s="13"/>
      <c r="E91" s="13"/>
      <c r="F91" s="13"/>
      <c r="G91" s="13"/>
      <c r="H91" s="453"/>
      <c r="I91" s="4"/>
      <c r="J91" s="19" t="s">
        <v>275</v>
      </c>
      <c r="K91" s="4"/>
      <c r="L91" s="814" t="s">
        <v>3332</v>
      </c>
      <c r="M91" s="75"/>
      <c r="N91" s="4"/>
      <c r="O91" s="75"/>
      <c r="P91" t="b">
        <v>0</v>
      </c>
      <c r="Q91" t="b">
        <v>1</v>
      </c>
      <c r="R91" t="b">
        <v>0</v>
      </c>
      <c r="S91" t="b">
        <f>IF(AY19=INDEX(ddSingleOrMulti,2),TRUE,FALSE)</f>
        <v>0</v>
      </c>
      <c r="T91" t="b">
        <f>AND(NOT(S91),W91=TRUE)</f>
        <v>0</v>
      </c>
      <c r="W91" s="17"/>
      <c r="X91" s="817"/>
      <c r="AC91" t="b">
        <f>OR(AD91:AE91)</f>
        <v>0</v>
      </c>
      <c r="AD91" t="b">
        <f>T91</f>
        <v>0</v>
      </c>
      <c r="AP91" t="str">
        <f>SUBSTITUTE(SUBSTITUTE(SUBSTITUTE("dch"&amp;$B91&amp;$C91&amp;$D91&amp;$E91,".","_"),"(","_"),")","")</f>
        <v>dch1002_1_5</v>
      </c>
      <c r="AQ91" t="str">
        <f>IF(LEN(W91)=0,"",W91)</f>
        <v/>
      </c>
      <c r="AR91" t="str">
        <f>SUBSTITUTE(SUBSTITUTE(SUBSTITUTE("dnt"&amp;$B91&amp;$C91&amp;$D91&amp;$E91,".","_"),"(","_"),")","")</f>
        <v>dnt1002_1_5</v>
      </c>
      <c r="AS91" t="str">
        <f>IF(LEN(X91)=0,"",X91)</f>
        <v/>
      </c>
    </row>
    <row r="92" spans="2:45" x14ac:dyDescent="0.35">
      <c r="B92" s="412">
        <v>1002.1</v>
      </c>
      <c r="C92" s="13" t="s">
        <v>275</v>
      </c>
      <c r="D92" s="13"/>
      <c r="E92" s="13"/>
      <c r="F92" s="13"/>
      <c r="G92" s="13"/>
      <c r="H92" s="453"/>
      <c r="I92" s="4"/>
      <c r="J92" s="19"/>
      <c r="K92" s="4"/>
      <c r="L92" s="814"/>
      <c r="M92" s="75"/>
      <c r="N92" s="4"/>
      <c r="O92" s="75"/>
      <c r="X92" s="817"/>
    </row>
    <row r="93" spans="2:45" ht="15" customHeight="1" x14ac:dyDescent="0.35">
      <c r="B93" s="412">
        <v>1002.1</v>
      </c>
      <c r="C93" s="13" t="s">
        <v>277</v>
      </c>
      <c r="D93" s="13"/>
      <c r="E93" s="13"/>
      <c r="F93" s="13"/>
      <c r="G93" s="13"/>
      <c r="H93" s="453"/>
      <c r="I93" s="4"/>
      <c r="J93" s="130" t="s">
        <v>277</v>
      </c>
      <c r="K93" s="163"/>
      <c r="L93" s="164" t="s">
        <v>3289</v>
      </c>
      <c r="M93" s="75"/>
      <c r="N93" s="4"/>
      <c r="O93" s="75"/>
      <c r="P93" t="b">
        <v>0</v>
      </c>
      <c r="Q93" t="b">
        <v>1</v>
      </c>
      <c r="R93" t="b">
        <v>0</v>
      </c>
      <c r="S93" t="b">
        <f>IF(AY19=INDEX(ddSingleOrMulti,2),TRUE,FALSE)</f>
        <v>0</v>
      </c>
      <c r="T93" t="b">
        <f>AND(NOT(S93),W93=TRUE)</f>
        <v>0</v>
      </c>
      <c r="W93" s="17"/>
      <c r="X93" s="36"/>
      <c r="AC93" t="b">
        <f>OR(AD93:AE93)</f>
        <v>0</v>
      </c>
      <c r="AD93" t="b">
        <f>T93</f>
        <v>0</v>
      </c>
      <c r="AP93" t="str">
        <f>SUBSTITUTE(SUBSTITUTE(SUBSTITUTE("dch"&amp;$B93&amp;$C93&amp;$D93&amp;$E93,".","_"),"(","_"),")","")</f>
        <v>dch1002_1_6</v>
      </c>
      <c r="AQ93" t="str">
        <f>IF(LEN(W93)=0,"",W93)</f>
        <v/>
      </c>
      <c r="AR93" t="str">
        <f>SUBSTITUTE(SUBSTITUTE(SUBSTITUTE("dnt"&amp;$B93&amp;$C93&amp;$D93&amp;$E93,".","_"),"(","_"),")","")</f>
        <v>dnt1002_1_6</v>
      </c>
      <c r="AS93" t="str">
        <f>IF(LEN(X93)=0,"",X93)</f>
        <v/>
      </c>
    </row>
    <row r="94" spans="2:45" ht="15" customHeight="1" x14ac:dyDescent="0.35">
      <c r="B94" s="412">
        <v>1002.1</v>
      </c>
      <c r="C94" s="13" t="s">
        <v>383</v>
      </c>
      <c r="D94" s="13"/>
      <c r="E94" s="13"/>
      <c r="F94" s="13"/>
      <c r="G94" s="13"/>
      <c r="H94" s="453"/>
      <c r="I94" s="4"/>
      <c r="J94" s="130" t="s">
        <v>383</v>
      </c>
      <c r="K94" s="163"/>
      <c r="L94" s="164" t="s">
        <v>3333</v>
      </c>
      <c r="M94" s="75"/>
      <c r="N94" s="4"/>
      <c r="O94" s="75"/>
      <c r="P94" t="b">
        <v>0</v>
      </c>
      <c r="Q94" t="b">
        <v>1</v>
      </c>
      <c r="R94" t="b">
        <v>0</v>
      </c>
      <c r="S94" t="b">
        <f>IF(AY19=INDEX(ddSingleOrMulti,2),TRUE,FALSE)</f>
        <v>0</v>
      </c>
      <c r="T94" t="b">
        <f>AND(NOT(S94),W94=TRUE)</f>
        <v>0</v>
      </c>
      <c r="W94" s="17"/>
      <c r="X94" s="36"/>
      <c r="AC94" t="b">
        <f>OR(AD94:AE94)</f>
        <v>0</v>
      </c>
      <c r="AD94" t="b">
        <f>T94</f>
        <v>0</v>
      </c>
      <c r="AP94" t="str">
        <f>SUBSTITUTE(SUBSTITUTE(SUBSTITUTE("dch"&amp;$B94&amp;$C94&amp;$D94&amp;$E94,".","_"),"(","_"),")","")</f>
        <v>dch1002_1_7</v>
      </c>
      <c r="AQ94" t="str">
        <f>IF(LEN(W94)=0,"",W94)</f>
        <v/>
      </c>
      <c r="AR94" t="str">
        <f>SUBSTITUTE(SUBSTITUTE(SUBSTITUTE("dnt"&amp;$B94&amp;$C94&amp;$D94&amp;$E94,".","_"),"(","_"),")","")</f>
        <v>dnt1002_1_7</v>
      </c>
      <c r="AS94" t="str">
        <f>IF(LEN(X94)=0,"",X94)</f>
        <v/>
      </c>
    </row>
    <row r="95" spans="2:45" x14ac:dyDescent="0.35">
      <c r="B95" s="412">
        <v>1002.1</v>
      </c>
      <c r="C95" s="13" t="s">
        <v>428</v>
      </c>
      <c r="D95" s="13"/>
      <c r="E95" s="13"/>
      <c r="F95" s="13"/>
      <c r="G95" s="13"/>
      <c r="H95" s="453"/>
      <c r="I95" s="4"/>
      <c r="J95" s="19" t="s">
        <v>428</v>
      </c>
      <c r="K95" s="4"/>
      <c r="L95" s="814" t="s">
        <v>3334</v>
      </c>
      <c r="M95" s="75"/>
      <c r="N95" s="4"/>
      <c r="O95" s="75"/>
      <c r="P95" t="b">
        <v>0</v>
      </c>
      <c r="Q95" t="b">
        <v>1</v>
      </c>
      <c r="R95" t="b">
        <v>0</v>
      </c>
      <c r="S95" t="b">
        <f>IF(AY19=INDEX(ddSingleOrMulti,2),TRUE,FALSE)</f>
        <v>0</v>
      </c>
      <c r="T95" t="b">
        <f>AND(NOT(S95),W95=TRUE)</f>
        <v>0</v>
      </c>
      <c r="W95" s="17"/>
      <c r="X95" s="817"/>
      <c r="AC95" t="b">
        <f>OR(AD95:AE95)</f>
        <v>0</v>
      </c>
      <c r="AD95" t="b">
        <f>T95</f>
        <v>0</v>
      </c>
      <c r="AP95" t="str">
        <f>SUBSTITUTE(SUBSTITUTE(SUBSTITUTE("dch"&amp;$B95&amp;$C95&amp;$D95&amp;$E95,".","_"),"(","_"),")","")</f>
        <v>dch1002_1_8</v>
      </c>
      <c r="AQ95" t="str">
        <f>IF(LEN(W95)=0,"",W95)</f>
        <v/>
      </c>
      <c r="AR95" t="str">
        <f>SUBSTITUTE(SUBSTITUTE(SUBSTITUTE("dnt"&amp;$B95&amp;$C95&amp;$D95&amp;$E95,".","_"),"(","_"),")","")</f>
        <v>dnt1002_1_8</v>
      </c>
      <c r="AS95" t="str">
        <f>IF(LEN(X95)=0,"",X95)</f>
        <v/>
      </c>
    </row>
    <row r="96" spans="2:45" ht="15" thickBot="1" x14ac:dyDescent="0.4">
      <c r="B96" s="412">
        <v>1002.1</v>
      </c>
      <c r="C96" s="13" t="s">
        <v>428</v>
      </c>
      <c r="D96" s="13"/>
      <c r="E96" s="13"/>
      <c r="F96" s="13"/>
      <c r="G96" s="13"/>
      <c r="H96" s="453"/>
      <c r="I96" s="160"/>
      <c r="J96" s="160"/>
      <c r="K96" s="160"/>
      <c r="L96" s="839"/>
      <c r="M96" s="161"/>
      <c r="N96" s="160"/>
      <c r="O96" s="161"/>
      <c r="P96" s="55"/>
      <c r="Q96" s="55"/>
      <c r="R96" s="55"/>
      <c r="S96" s="55"/>
      <c r="T96" s="55"/>
      <c r="U96" s="55"/>
      <c r="V96" s="55"/>
      <c r="W96" s="55"/>
      <c r="X96" s="829"/>
    </row>
    <row r="97" spans="2:45" ht="15" thickTop="1" x14ac:dyDescent="0.35">
      <c r="B97" s="412">
        <v>1002.2</v>
      </c>
      <c r="C97" s="13"/>
      <c r="D97" s="13"/>
      <c r="E97" s="13"/>
      <c r="F97" s="13"/>
      <c r="G97" s="13"/>
      <c r="H97" s="453"/>
      <c r="I97" s="31">
        <v>1002.2</v>
      </c>
      <c r="J97" s="4"/>
      <c r="K97" s="4"/>
      <c r="L97" s="838" t="s">
        <v>3375</v>
      </c>
      <c r="M97" s="818">
        <v>1</v>
      </c>
      <c r="N97" s="4"/>
      <c r="O97" s="973">
        <f>IF(AND(COUNTIF(W101:W103,TRUE)=2,COUNTIF(W106:W122,TRUE)&gt;2,S101),ROUNDDOWN(COUNTIF(W106:W122,TRUE)/2,0),0)</f>
        <v>0</v>
      </c>
      <c r="AL97" t="str">
        <f>SUBSTITUTE(SUBSTITUTE(SUBSTITUTE("dpa"&amp;$B97&amp;$C97&amp;$D97&amp;$E97,".","_"),"(","_"),")","")</f>
        <v>dpa1002_2</v>
      </c>
      <c r="AM97">
        <f>M97</f>
        <v>1</v>
      </c>
      <c r="AN97" t="str">
        <f>SUBSTITUTE(SUBSTITUTE(SUBSTITUTE("dpc"&amp;$B97&amp;$C97&amp;$D97&amp;$E97,".","_"),"(","_"),")","")</f>
        <v>dpc1002_2</v>
      </c>
      <c r="AO97">
        <f>O97</f>
        <v>0</v>
      </c>
    </row>
    <row r="98" spans="2:45" x14ac:dyDescent="0.35">
      <c r="B98" s="412">
        <v>1002.2</v>
      </c>
      <c r="C98" s="13"/>
      <c r="D98" s="13"/>
      <c r="E98" s="13"/>
      <c r="F98" s="13"/>
      <c r="G98" s="13"/>
      <c r="H98" s="453"/>
      <c r="I98" s="4"/>
      <c r="J98" s="4"/>
      <c r="K98" s="4"/>
      <c r="L98" s="838"/>
      <c r="M98" s="818"/>
      <c r="N98" s="4"/>
      <c r="O98" s="973"/>
    </row>
    <row r="99" spans="2:45" x14ac:dyDescent="0.35">
      <c r="B99" s="412">
        <v>1002.2</v>
      </c>
      <c r="C99" s="13"/>
      <c r="D99" s="13"/>
      <c r="E99" s="13"/>
      <c r="F99" s="13"/>
      <c r="G99" s="13"/>
      <c r="H99" s="453"/>
      <c r="I99" s="4"/>
      <c r="J99" s="4"/>
      <c r="K99" s="4"/>
      <c r="L99" s="838"/>
      <c r="M99" s="818"/>
      <c r="N99" s="4"/>
      <c r="O99" s="973"/>
    </row>
    <row r="100" spans="2:45" x14ac:dyDescent="0.35">
      <c r="B100" s="412">
        <v>1002.2</v>
      </c>
      <c r="C100" s="13"/>
      <c r="D100" s="13"/>
      <c r="E100" s="13"/>
      <c r="F100" s="13"/>
      <c r="G100" s="13"/>
      <c r="H100" s="453"/>
      <c r="I100" s="4"/>
      <c r="J100" s="4"/>
      <c r="K100" s="4"/>
      <c r="L100" s="148" t="s">
        <v>3372</v>
      </c>
      <c r="M100" s="818"/>
      <c r="N100" s="4"/>
      <c r="O100" s="973"/>
    </row>
    <row r="101" spans="2:45" x14ac:dyDescent="0.35">
      <c r="B101" s="412">
        <v>1002.2</v>
      </c>
      <c r="C101" s="13" t="s">
        <v>256</v>
      </c>
      <c r="D101" s="13"/>
      <c r="E101" s="13"/>
      <c r="F101" s="13"/>
      <c r="G101" s="13"/>
      <c r="H101" s="453"/>
      <c r="I101" s="4"/>
      <c r="J101" s="19" t="s">
        <v>256</v>
      </c>
      <c r="K101" s="4"/>
      <c r="L101" s="814" t="s">
        <v>3335</v>
      </c>
      <c r="M101" s="885" t="str">
        <f>IF(R101,"Mandatory","N/A")</f>
        <v>N/A</v>
      </c>
      <c r="N101" s="4"/>
      <c r="O101" s="75"/>
      <c r="P101" t="b">
        <v>0</v>
      </c>
      <c r="Q101" t="b">
        <v>1</v>
      </c>
      <c r="R101" t="b">
        <f>S101</f>
        <v>0</v>
      </c>
      <c r="S101" t="b">
        <f>IF(AY19=INDEX(ddSingleOrMulti,2),TRUE,FALSE)</f>
        <v>0</v>
      </c>
      <c r="T101" t="b">
        <f>AND(NOT(S101),W101=TRUE)</f>
        <v>0</v>
      </c>
      <c r="W101" s="17"/>
      <c r="X101" s="817"/>
      <c r="AC101" t="b">
        <f>OR(AD101:AE101)</f>
        <v>0</v>
      </c>
      <c r="AD101" t="b">
        <f>T101</f>
        <v>0</v>
      </c>
      <c r="AE101" t="b">
        <f>AND(R101,NOT(W101=TRUE))</f>
        <v>0</v>
      </c>
      <c r="AL101" t="str">
        <f>SUBSTITUTE(SUBSTITUTE(SUBSTITUTE("dpa"&amp;$B101&amp;$C101&amp;$D101&amp;$E101,".","_"),"(","_"),")","")</f>
        <v>dpa1002_2_1</v>
      </c>
      <c r="AM101" t="str">
        <f>M101</f>
        <v>N/A</v>
      </c>
      <c r="AP101" t="str">
        <f>SUBSTITUTE(SUBSTITUTE(SUBSTITUTE("dch"&amp;$B101&amp;$C101&amp;$D101&amp;$E101,".","_"),"(","_"),")","")</f>
        <v>dch1002_2_1</v>
      </c>
      <c r="AQ101" t="str">
        <f>IF(LEN(W101)=0,"",W101)</f>
        <v/>
      </c>
      <c r="AR101" t="str">
        <f>SUBSTITUTE(SUBSTITUTE(SUBSTITUTE("dnt"&amp;$B101&amp;$C101&amp;$D101&amp;$E101,".","_"),"(","_"),")","")</f>
        <v>dnt1002_2_1</v>
      </c>
      <c r="AS101" t="str">
        <f>IF(LEN(X101)=0,"",X101)</f>
        <v/>
      </c>
    </row>
    <row r="102" spans="2:45" x14ac:dyDescent="0.35">
      <c r="B102" s="412">
        <v>1002.2</v>
      </c>
      <c r="C102" s="13" t="s">
        <v>256</v>
      </c>
      <c r="D102" s="13"/>
      <c r="E102" s="13"/>
      <c r="F102" s="13"/>
      <c r="G102" s="13"/>
      <c r="H102" s="453"/>
      <c r="I102" s="4"/>
      <c r="J102" s="129"/>
      <c r="K102" s="133"/>
      <c r="L102" s="815"/>
      <c r="M102" s="890" t="str">
        <f>IF(R102,"Mandatory","N/A")</f>
        <v>N/A</v>
      </c>
      <c r="N102" s="4"/>
      <c r="O102" s="75"/>
      <c r="X102" s="817"/>
    </row>
    <row r="103" spans="2:45" x14ac:dyDescent="0.35">
      <c r="B103" s="412">
        <v>1002.2</v>
      </c>
      <c r="C103" s="13" t="s">
        <v>258</v>
      </c>
      <c r="D103" s="13"/>
      <c r="E103" s="13"/>
      <c r="F103" s="13"/>
      <c r="G103" s="13"/>
      <c r="H103" s="453"/>
      <c r="I103" s="4"/>
      <c r="J103" s="132" t="s">
        <v>258</v>
      </c>
      <c r="K103" s="118"/>
      <c r="L103" s="836" t="s">
        <v>3336</v>
      </c>
      <c r="M103" s="912" t="str">
        <f>IF(R103,"Mandatory","N/A")</f>
        <v>N/A</v>
      </c>
      <c r="N103" s="4"/>
      <c r="O103" s="75"/>
      <c r="P103" t="b">
        <v>0</v>
      </c>
      <c r="Q103" t="b">
        <v>1</v>
      </c>
      <c r="R103" t="b">
        <f>S103</f>
        <v>0</v>
      </c>
      <c r="S103" t="b">
        <f>IF(AY19=INDEX(ddSingleOrMulti,2),TRUE,FALSE)</f>
        <v>0</v>
      </c>
      <c r="T103" t="b">
        <f>AND(NOT(S103),W103=TRUE)</f>
        <v>0</v>
      </c>
      <c r="W103" s="17"/>
      <c r="X103" s="817"/>
      <c r="AC103" t="b">
        <f>OR(AD103:AE103)</f>
        <v>0</v>
      </c>
      <c r="AD103" t="b">
        <f>T103</f>
        <v>0</v>
      </c>
      <c r="AE103" t="b">
        <f>AND(R103,NOT(W103=TRUE))</f>
        <v>0</v>
      </c>
      <c r="AL103" t="str">
        <f>SUBSTITUTE(SUBSTITUTE(SUBSTITUTE("dpa"&amp;$B103&amp;$C103&amp;$D103&amp;$E103,".","_"),"(","_"),")","")</f>
        <v>dpa1002_2_2</v>
      </c>
      <c r="AM103" t="str">
        <f>M103</f>
        <v>N/A</v>
      </c>
      <c r="AP103" t="str">
        <f>SUBSTITUTE(SUBSTITUTE(SUBSTITUTE("dch"&amp;$B103&amp;$C103&amp;$D103&amp;$E103,".","_"),"(","_"),")","")</f>
        <v>dch1002_2_2</v>
      </c>
      <c r="AQ103" t="str">
        <f>IF(LEN(W103)=0,"",W103)</f>
        <v/>
      </c>
      <c r="AR103" t="str">
        <f>SUBSTITUTE(SUBSTITUTE(SUBSTITUTE("dnt"&amp;$B103&amp;$C103&amp;$D103&amp;$E103,".","_"),"(","_"),")","")</f>
        <v>dnt1002_2_2</v>
      </c>
      <c r="AS103" t="str">
        <f>IF(LEN(X103)=0,"",X103)</f>
        <v/>
      </c>
    </row>
    <row r="104" spans="2:45" x14ac:dyDescent="0.35">
      <c r="B104" s="412">
        <v>1002.2</v>
      </c>
      <c r="C104" s="13" t="s">
        <v>258</v>
      </c>
      <c r="D104" s="13"/>
      <c r="E104" s="13"/>
      <c r="F104" s="13"/>
      <c r="G104" s="13"/>
      <c r="H104" s="453"/>
      <c r="I104" s="4"/>
      <c r="J104" s="19"/>
      <c r="K104" s="4"/>
      <c r="L104" s="814"/>
      <c r="M104" s="885" t="str">
        <f>IF(R104,"Mandatory","N/A")</f>
        <v>N/A</v>
      </c>
      <c r="N104" s="4"/>
      <c r="O104" s="75"/>
      <c r="X104" s="817"/>
    </row>
    <row r="105" spans="2:45" x14ac:dyDescent="0.35">
      <c r="B105" s="412">
        <v>1002.2</v>
      </c>
      <c r="C105" s="13" t="s">
        <v>258</v>
      </c>
      <c r="D105" s="13"/>
      <c r="E105" s="13"/>
      <c r="F105" s="13"/>
      <c r="G105" s="13"/>
      <c r="H105" s="453"/>
      <c r="I105" s="4"/>
      <c r="J105" s="129"/>
      <c r="K105" s="133"/>
      <c r="L105" s="815"/>
      <c r="M105" s="890" t="str">
        <f>IF(R105,"Mandatory","N/A")</f>
        <v>N/A</v>
      </c>
      <c r="N105" s="4"/>
      <c r="O105" s="75"/>
      <c r="X105" s="817"/>
    </row>
    <row r="106" spans="2:45" x14ac:dyDescent="0.35">
      <c r="B106" s="412">
        <v>1002.2</v>
      </c>
      <c r="C106" s="13" t="s">
        <v>260</v>
      </c>
      <c r="D106" s="13"/>
      <c r="E106" s="13"/>
      <c r="F106" s="13"/>
      <c r="G106" s="13"/>
      <c r="H106" s="453"/>
      <c r="I106" s="4"/>
      <c r="J106" s="132" t="s">
        <v>260</v>
      </c>
      <c r="K106" s="118"/>
      <c r="L106" s="836" t="s">
        <v>3305</v>
      </c>
      <c r="M106" s="75"/>
      <c r="N106" s="4"/>
      <c r="O106" s="75"/>
      <c r="P106" t="b">
        <v>0</v>
      </c>
      <c r="Q106" t="b">
        <v>1</v>
      </c>
      <c r="R106" t="b">
        <v>0</v>
      </c>
      <c r="S106" t="b">
        <f>IF(AY19=INDEX(ddSingleOrMulti,2),TRUE,FALSE)</f>
        <v>0</v>
      </c>
      <c r="T106" t="b">
        <f>AND(NOT(S106),W106=TRUE)</f>
        <v>0</v>
      </c>
      <c r="W106" s="17"/>
      <c r="X106" s="817"/>
      <c r="AC106" t="b">
        <f>OR(AD106:AE106)</f>
        <v>0</v>
      </c>
      <c r="AD106" t="b">
        <f>T106</f>
        <v>0</v>
      </c>
      <c r="AP106" t="str">
        <f>SUBSTITUTE(SUBSTITUTE(SUBSTITUTE("dch"&amp;$B106&amp;$C106&amp;$D106&amp;$E106,".","_"),"(","_"),")","")</f>
        <v>dch1002_2_3</v>
      </c>
      <c r="AQ106" t="str">
        <f>IF(LEN(W106)=0,"",W106)</f>
        <v/>
      </c>
      <c r="AR106" t="str">
        <f>SUBSTITUTE(SUBSTITUTE(SUBSTITUTE("dnt"&amp;$B106&amp;$C106&amp;$D106&amp;$E106,".","_"),"(","_"),")","")</f>
        <v>dnt1002_2_3</v>
      </c>
      <c r="AS106" t="str">
        <f>IF(LEN(X106)=0,"",X106)</f>
        <v/>
      </c>
    </row>
    <row r="107" spans="2:45" x14ac:dyDescent="0.35">
      <c r="B107" s="412">
        <v>1002.2</v>
      </c>
      <c r="C107" s="13" t="s">
        <v>260</v>
      </c>
      <c r="D107" s="13"/>
      <c r="E107" s="13"/>
      <c r="F107" s="13"/>
      <c r="G107" s="13"/>
      <c r="H107" s="453"/>
      <c r="I107" s="4"/>
      <c r="J107" s="133"/>
      <c r="K107" s="133"/>
      <c r="L107" s="815"/>
      <c r="M107" s="75"/>
      <c r="N107" s="4"/>
      <c r="O107" s="75"/>
      <c r="X107" s="817"/>
    </row>
    <row r="108" spans="2:45" x14ac:dyDescent="0.35">
      <c r="B108" s="412">
        <v>1002.2</v>
      </c>
      <c r="C108" s="13" t="s">
        <v>269</v>
      </c>
      <c r="D108" s="13"/>
      <c r="E108" s="13"/>
      <c r="F108" s="13"/>
      <c r="G108" s="13"/>
      <c r="H108" s="453"/>
      <c r="I108" s="4"/>
      <c r="J108" s="19" t="s">
        <v>269</v>
      </c>
      <c r="K108" s="4"/>
      <c r="L108" s="814" t="s">
        <v>3337</v>
      </c>
      <c r="M108" s="75"/>
      <c r="N108" s="4"/>
      <c r="O108" s="75"/>
      <c r="P108" t="b">
        <v>0</v>
      </c>
      <c r="Q108" t="b">
        <v>1</v>
      </c>
      <c r="R108" t="b">
        <v>0</v>
      </c>
      <c r="S108" t="b">
        <f>IF(AY19=INDEX(ddSingleOrMulti,2),TRUE,FALSE)</f>
        <v>0</v>
      </c>
      <c r="T108" t="b">
        <f>AND(NOT(S108),W108=TRUE)</f>
        <v>0</v>
      </c>
      <c r="W108" s="17"/>
      <c r="X108" s="817"/>
      <c r="AC108" t="b">
        <f>OR(AD108:AE108)</f>
        <v>0</v>
      </c>
      <c r="AD108" t="b">
        <f>T108</f>
        <v>0</v>
      </c>
      <c r="AP108" t="str">
        <f>SUBSTITUTE(SUBSTITUTE(SUBSTITUTE("dch"&amp;$B108&amp;$C108&amp;$D108&amp;$E108,".","_"),"(","_"),")","")</f>
        <v>dch1002_2_4</v>
      </c>
      <c r="AQ108" t="str">
        <f>IF(LEN(W108)=0,"",W108)</f>
        <v/>
      </c>
      <c r="AR108" t="str">
        <f>SUBSTITUTE(SUBSTITUTE(SUBSTITUTE("dnt"&amp;$B108&amp;$C108&amp;$D108&amp;$E108,".","_"),"(","_"),")","")</f>
        <v>dnt1002_2_4</v>
      </c>
      <c r="AS108" t="str">
        <f>IF(LEN(X108)=0,"",X108)</f>
        <v/>
      </c>
    </row>
    <row r="109" spans="2:45" x14ac:dyDescent="0.35">
      <c r="B109" s="412">
        <v>1002.2</v>
      </c>
      <c r="C109" s="13" t="s">
        <v>269</v>
      </c>
      <c r="D109" s="13"/>
      <c r="E109" s="13"/>
      <c r="F109" s="13"/>
      <c r="G109" s="13"/>
      <c r="H109" s="453"/>
      <c r="I109" s="4"/>
      <c r="J109" s="4"/>
      <c r="K109" s="4"/>
      <c r="L109" s="814"/>
      <c r="M109" s="75"/>
      <c r="N109" s="4"/>
      <c r="O109" s="75"/>
      <c r="X109" s="817"/>
    </row>
    <row r="110" spans="2:45" x14ac:dyDescent="0.35">
      <c r="B110" s="412">
        <v>1002.2</v>
      </c>
      <c r="C110" s="13" t="s">
        <v>269</v>
      </c>
      <c r="D110" s="13"/>
      <c r="E110" s="13"/>
      <c r="F110" s="13"/>
      <c r="G110" s="13"/>
      <c r="H110" s="453"/>
      <c r="I110" s="4"/>
      <c r="J110" s="4"/>
      <c r="K110" s="4"/>
      <c r="L110" s="814"/>
      <c r="M110" s="75"/>
      <c r="N110" s="4"/>
      <c r="O110" s="75"/>
      <c r="X110" s="817"/>
    </row>
    <row r="111" spans="2:45" x14ac:dyDescent="0.35">
      <c r="B111" s="412">
        <v>1002.2</v>
      </c>
      <c r="C111" s="13" t="s">
        <v>275</v>
      </c>
      <c r="D111" s="13"/>
      <c r="E111" s="13"/>
      <c r="F111" s="13"/>
      <c r="G111" s="13"/>
      <c r="H111" s="453"/>
      <c r="I111" s="4"/>
      <c r="J111" s="132" t="s">
        <v>275</v>
      </c>
      <c r="K111" s="118"/>
      <c r="L111" s="836" t="s">
        <v>3338</v>
      </c>
      <c r="M111" s="75"/>
      <c r="N111" s="4"/>
      <c r="O111" s="75"/>
      <c r="P111" t="b">
        <v>0</v>
      </c>
      <c r="Q111" t="b">
        <v>1</v>
      </c>
      <c r="R111" t="b">
        <v>0</v>
      </c>
      <c r="S111" t="b">
        <f>IF(AY19=INDEX(ddSingleOrMulti,2),TRUE,FALSE)</f>
        <v>0</v>
      </c>
      <c r="T111" t="b">
        <f>AND(NOT(S111),W111=TRUE)</f>
        <v>0</v>
      </c>
      <c r="W111" s="17"/>
      <c r="X111" s="817"/>
      <c r="AC111" t="b">
        <f>OR(AD111:AE111)</f>
        <v>0</v>
      </c>
      <c r="AD111" t="b">
        <f>T111</f>
        <v>0</v>
      </c>
      <c r="AP111" t="str">
        <f>SUBSTITUTE(SUBSTITUTE(SUBSTITUTE("dch"&amp;$B111&amp;$C111&amp;$D111&amp;$E111,".","_"),"(","_"),")","")</f>
        <v>dch1002_2_5</v>
      </c>
      <c r="AQ111" t="str">
        <f>IF(LEN(W111)=0,"",W111)</f>
        <v/>
      </c>
      <c r="AR111" t="str">
        <f>SUBSTITUTE(SUBSTITUTE(SUBSTITUTE("dnt"&amp;$B111&amp;$C111&amp;$D111&amp;$E111,".","_"),"(","_"),")","")</f>
        <v>dnt1002_2_5</v>
      </c>
      <c r="AS111" t="str">
        <f>IF(LEN(X111)=0,"",X111)</f>
        <v/>
      </c>
    </row>
    <row r="112" spans="2:45" x14ac:dyDescent="0.35">
      <c r="B112" s="412">
        <v>1002.2</v>
      </c>
      <c r="C112" s="13" t="s">
        <v>275</v>
      </c>
      <c r="D112" s="13"/>
      <c r="E112" s="13"/>
      <c r="F112" s="13"/>
      <c r="G112" s="13"/>
      <c r="H112" s="453"/>
      <c r="I112" s="4"/>
      <c r="J112" s="129"/>
      <c r="K112" s="133"/>
      <c r="L112" s="815"/>
      <c r="M112" s="75"/>
      <c r="N112" s="4"/>
      <c r="O112" s="75"/>
      <c r="X112" s="817"/>
    </row>
    <row r="113" spans="2:45" x14ac:dyDescent="0.35">
      <c r="B113" s="412">
        <v>1002.2</v>
      </c>
      <c r="C113" s="13" t="s">
        <v>277</v>
      </c>
      <c r="D113" s="13"/>
      <c r="E113" s="13"/>
      <c r="F113" s="13"/>
      <c r="G113" s="13"/>
      <c r="H113" s="453"/>
      <c r="I113" s="4"/>
      <c r="J113" s="19" t="s">
        <v>277</v>
      </c>
      <c r="K113" s="4"/>
      <c r="L113" s="90" t="s">
        <v>3288</v>
      </c>
      <c r="M113" s="75"/>
      <c r="N113" s="4"/>
      <c r="O113" s="75"/>
      <c r="P113" t="b">
        <v>0</v>
      </c>
      <c r="Q113" t="b">
        <v>1</v>
      </c>
      <c r="R113" t="b">
        <v>0</v>
      </c>
      <c r="S113" t="b">
        <f>IF(AY19=INDEX(ddSingleOrMulti,2),TRUE,FALSE)</f>
        <v>0</v>
      </c>
      <c r="T113" t="b">
        <f>AND(NOT(S113),W113=TRUE)</f>
        <v>0</v>
      </c>
      <c r="W113" s="17"/>
      <c r="X113" s="36"/>
      <c r="AC113" t="b">
        <f>OR(AD113:AE113)</f>
        <v>0</v>
      </c>
      <c r="AD113" t="b">
        <f>T113</f>
        <v>0</v>
      </c>
      <c r="AP113" t="str">
        <f>SUBSTITUTE(SUBSTITUTE(SUBSTITUTE("dch"&amp;$B113&amp;$C113&amp;$D113&amp;$E113,".","_"),"(","_"),")","")</f>
        <v>dch1002_2_6</v>
      </c>
      <c r="AQ113" t="str">
        <f>IF(LEN(W113)=0,"",W113)</f>
        <v/>
      </c>
      <c r="AR113" t="str">
        <f>SUBSTITUTE(SUBSTITUTE(SUBSTITUTE("dnt"&amp;$B113&amp;$C113&amp;$D113&amp;$E113,".","_"),"(","_"),")","")</f>
        <v>dnt1002_2_6</v>
      </c>
      <c r="AS113" t="str">
        <f>IF(LEN(X113)=0,"",X113)</f>
        <v/>
      </c>
    </row>
    <row r="114" spans="2:45" x14ac:dyDescent="0.35">
      <c r="B114" s="412">
        <v>1002.2</v>
      </c>
      <c r="C114" s="13" t="s">
        <v>383</v>
      </c>
      <c r="D114" s="13"/>
      <c r="E114" s="13"/>
      <c r="F114" s="13"/>
      <c r="G114" s="13"/>
      <c r="H114" s="453"/>
      <c r="I114" s="4"/>
      <c r="J114" s="132" t="s">
        <v>383</v>
      </c>
      <c r="K114" s="118"/>
      <c r="L114" s="836" t="s">
        <v>3339</v>
      </c>
      <c r="M114" s="75"/>
      <c r="N114" s="4"/>
      <c r="O114" s="75"/>
      <c r="P114" t="b">
        <v>0</v>
      </c>
      <c r="Q114" t="b">
        <v>1</v>
      </c>
      <c r="R114" t="b">
        <v>0</v>
      </c>
      <c r="S114" t="b">
        <f>IF(AY19=INDEX(ddSingleOrMulti,2),TRUE,FALSE)</f>
        <v>0</v>
      </c>
      <c r="T114" t="b">
        <f>AND(NOT(S114),W114=TRUE)</f>
        <v>0</v>
      </c>
      <c r="W114" s="17"/>
      <c r="X114" s="817"/>
      <c r="AC114" t="b">
        <f>OR(AD114:AE114)</f>
        <v>0</v>
      </c>
      <c r="AD114" t="b">
        <f>T114</f>
        <v>0</v>
      </c>
      <c r="AP114" t="str">
        <f>SUBSTITUTE(SUBSTITUTE(SUBSTITUTE("dch"&amp;$B114&amp;$C114&amp;$D114&amp;$E114,".","_"),"(","_"),")","")</f>
        <v>dch1002_2_7</v>
      </c>
      <c r="AQ114" t="str">
        <f>IF(LEN(W114)=0,"",W114)</f>
        <v/>
      </c>
      <c r="AR114" t="str">
        <f>SUBSTITUTE(SUBSTITUTE(SUBSTITUTE("dnt"&amp;$B114&amp;$C114&amp;$D114&amp;$E114,".","_"),"(","_"),")","")</f>
        <v>dnt1002_2_7</v>
      </c>
      <c r="AS114" t="str">
        <f>IF(LEN(X114)=0,"",X114)</f>
        <v/>
      </c>
    </row>
    <row r="115" spans="2:45" x14ac:dyDescent="0.35">
      <c r="B115" s="412">
        <v>1002.2</v>
      </c>
      <c r="C115" s="13" t="s">
        <v>383</v>
      </c>
      <c r="D115" s="13"/>
      <c r="E115" s="13"/>
      <c r="F115" s="13"/>
      <c r="G115" s="13"/>
      <c r="H115" s="453"/>
      <c r="I115" s="4"/>
      <c r="J115" s="133"/>
      <c r="K115" s="133"/>
      <c r="L115" s="815"/>
      <c r="M115" s="75"/>
      <c r="N115" s="4"/>
      <c r="O115" s="75"/>
      <c r="X115" s="817"/>
    </row>
    <row r="116" spans="2:45" x14ac:dyDescent="0.35">
      <c r="B116" s="412">
        <v>1002.2</v>
      </c>
      <c r="C116" s="13" t="s">
        <v>428</v>
      </c>
      <c r="D116" s="13"/>
      <c r="E116" s="13"/>
      <c r="F116" s="13"/>
      <c r="G116" s="13"/>
      <c r="H116" s="453"/>
      <c r="I116" s="4"/>
      <c r="J116" s="19" t="s">
        <v>428</v>
      </c>
      <c r="K116" s="4"/>
      <c r="L116" s="848" t="s">
        <v>3303</v>
      </c>
      <c r="M116" s="75"/>
      <c r="N116" s="4"/>
      <c r="O116" s="75"/>
      <c r="P116" t="b">
        <v>0</v>
      </c>
      <c r="Q116" t="b">
        <v>1</v>
      </c>
      <c r="R116" t="b">
        <v>0</v>
      </c>
      <c r="S116" t="b">
        <f>IF(AY19=INDEX(ddSingleOrMulti,2),TRUE,FALSE)</f>
        <v>0</v>
      </c>
      <c r="T116" t="b">
        <f>AND(NOT(S116),W116=TRUE)</f>
        <v>0</v>
      </c>
      <c r="W116" s="17"/>
      <c r="X116" s="817"/>
      <c r="AC116" t="b">
        <f>OR(AD116:AE116)</f>
        <v>0</v>
      </c>
      <c r="AD116" t="b">
        <f>T116</f>
        <v>0</v>
      </c>
      <c r="AP116" t="str">
        <f>SUBSTITUTE(SUBSTITUTE(SUBSTITUTE("dch"&amp;$B116&amp;$C116&amp;$D116&amp;$E116,".","_"),"(","_"),")","")</f>
        <v>dch1002_2_8</v>
      </c>
      <c r="AQ116" t="str">
        <f>IF(LEN(W116)=0,"",W116)</f>
        <v/>
      </c>
      <c r="AR116" t="str">
        <f>SUBSTITUTE(SUBSTITUTE(SUBSTITUTE("dnt"&amp;$B116&amp;$C116&amp;$D116&amp;$E116,".","_"),"(","_"),")","")</f>
        <v>dnt1002_2_8</v>
      </c>
      <c r="AS116" t="str">
        <f>IF(LEN(X116)=0,"",X116)</f>
        <v/>
      </c>
    </row>
    <row r="117" spans="2:45" x14ac:dyDescent="0.35">
      <c r="B117" s="412">
        <v>1002.2</v>
      </c>
      <c r="C117" s="13" t="s">
        <v>428</v>
      </c>
      <c r="D117" s="13"/>
      <c r="E117" s="13"/>
      <c r="F117" s="13"/>
      <c r="G117" s="13"/>
      <c r="H117" s="453"/>
      <c r="I117" s="4"/>
      <c r="J117" s="19"/>
      <c r="K117" s="4"/>
      <c r="L117" s="848"/>
      <c r="M117" s="75"/>
      <c r="N117" s="4"/>
      <c r="O117" s="75"/>
      <c r="X117" s="817"/>
    </row>
    <row r="118" spans="2:45" x14ac:dyDescent="0.35">
      <c r="B118" s="412">
        <v>1002.2</v>
      </c>
      <c r="C118" s="13" t="s">
        <v>430</v>
      </c>
      <c r="D118" s="13"/>
      <c r="E118" s="13"/>
      <c r="F118" s="13"/>
      <c r="G118" s="13"/>
      <c r="H118" s="453"/>
      <c r="I118" s="4"/>
      <c r="J118" s="132" t="s">
        <v>430</v>
      </c>
      <c r="K118" s="118"/>
      <c r="L118" s="286" t="s">
        <v>3340</v>
      </c>
      <c r="M118" s="75"/>
      <c r="N118" s="4"/>
      <c r="O118" s="75"/>
      <c r="P118" t="b">
        <v>0</v>
      </c>
      <c r="Q118" t="b">
        <v>1</v>
      </c>
      <c r="R118" t="b">
        <v>0</v>
      </c>
      <c r="S118" t="b">
        <f>IF(AY19=INDEX(ddSingleOrMulti,2),TRUE,FALSE)</f>
        <v>0</v>
      </c>
      <c r="T118" t="b">
        <f>AND(NOT(S118),W118=TRUE)</f>
        <v>0</v>
      </c>
      <c r="W118" s="17"/>
      <c r="X118" s="36"/>
      <c r="AC118" t="b">
        <f>OR(AD118:AE118)</f>
        <v>0</v>
      </c>
      <c r="AD118" t="b">
        <f>T118</f>
        <v>0</v>
      </c>
      <c r="AP118" t="str">
        <f>SUBSTITUTE(SUBSTITUTE(SUBSTITUTE("dch"&amp;$B118&amp;$C118&amp;$D118&amp;$E118,".","_"),"(","_"),")","")</f>
        <v>dch1002_2_9</v>
      </c>
      <c r="AQ118" t="str">
        <f>IF(LEN(W118)=0,"",W118)</f>
        <v/>
      </c>
      <c r="AR118" t="str">
        <f>SUBSTITUTE(SUBSTITUTE(SUBSTITUTE("dnt"&amp;$B118&amp;$C118&amp;$D118&amp;$E118,".","_"),"(","_"),")","")</f>
        <v>dnt1002_2_9</v>
      </c>
      <c r="AS118" t="str">
        <f>IF(LEN(X118)=0,"",X118)</f>
        <v/>
      </c>
    </row>
    <row r="119" spans="2:45" x14ac:dyDescent="0.35">
      <c r="B119" s="412">
        <v>1002.2</v>
      </c>
      <c r="C119" s="13" t="s">
        <v>432</v>
      </c>
      <c r="D119" s="13"/>
      <c r="E119" s="13"/>
      <c r="F119" s="13"/>
      <c r="G119" s="13"/>
      <c r="H119" s="453"/>
      <c r="I119" s="4"/>
      <c r="J119" s="132" t="s">
        <v>432</v>
      </c>
      <c r="K119" s="118"/>
      <c r="L119" s="836" t="s">
        <v>3341</v>
      </c>
      <c r="M119" s="75"/>
      <c r="N119" s="4"/>
      <c r="O119" s="75"/>
      <c r="P119" t="b">
        <v>0</v>
      </c>
      <c r="Q119" t="b">
        <v>1</v>
      </c>
      <c r="R119" t="b">
        <v>0</v>
      </c>
      <c r="S119" t="b">
        <f>IF(AY19=INDEX(ddSingleOrMulti,2),TRUE,FALSE)</f>
        <v>0</v>
      </c>
      <c r="T119" t="b">
        <f>AND(NOT(S119),W119=TRUE)</f>
        <v>0</v>
      </c>
      <c r="W119" s="17"/>
      <c r="X119" s="817"/>
      <c r="AC119" t="b">
        <f>OR(AD119:AE119)</f>
        <v>0</v>
      </c>
      <c r="AD119" t="b">
        <f>T119</f>
        <v>0</v>
      </c>
      <c r="AP119" t="str">
        <f>SUBSTITUTE(SUBSTITUTE(SUBSTITUTE("dch"&amp;$B119&amp;$C119&amp;$D119&amp;$E119,".","_"),"(","_"),")","")</f>
        <v>dch1002_2_10</v>
      </c>
      <c r="AQ119" t="str">
        <f>IF(LEN(W119)=0,"",W119)</f>
        <v/>
      </c>
      <c r="AR119" t="str">
        <f>SUBSTITUTE(SUBSTITUTE(SUBSTITUTE("dnt"&amp;$B119&amp;$C119&amp;$D119&amp;$E119,".","_"),"(","_"),")","")</f>
        <v>dnt1002_2_10</v>
      </c>
      <c r="AS119" t="str">
        <f>IF(LEN(X119)=0,"",X119)</f>
        <v/>
      </c>
    </row>
    <row r="120" spans="2:45" x14ac:dyDescent="0.35">
      <c r="B120" s="412">
        <v>1002.2</v>
      </c>
      <c r="C120" s="13" t="s">
        <v>432</v>
      </c>
      <c r="D120" s="13"/>
      <c r="E120" s="13"/>
      <c r="F120" s="13"/>
      <c r="G120" s="13"/>
      <c r="H120" s="453"/>
      <c r="I120" s="4"/>
      <c r="J120" s="19"/>
      <c r="K120" s="4"/>
      <c r="L120" s="814"/>
      <c r="M120" s="75"/>
      <c r="N120" s="4"/>
      <c r="O120" s="75"/>
      <c r="X120" s="817"/>
    </row>
    <row r="121" spans="2:45" x14ac:dyDescent="0.35">
      <c r="B121" s="412">
        <v>1002.2</v>
      </c>
      <c r="C121" s="13" t="s">
        <v>432</v>
      </c>
      <c r="D121" s="13"/>
      <c r="E121" s="13"/>
      <c r="F121" s="13"/>
      <c r="G121" s="13"/>
      <c r="H121" s="453"/>
      <c r="I121" s="4"/>
      <c r="J121" s="129"/>
      <c r="K121" s="133"/>
      <c r="L121" s="815"/>
      <c r="M121" s="75"/>
      <c r="N121" s="4"/>
      <c r="O121" s="75"/>
      <c r="X121" s="817"/>
    </row>
    <row r="122" spans="2:45" x14ac:dyDescent="0.35">
      <c r="B122" s="412">
        <v>1002.2</v>
      </c>
      <c r="C122" s="13" t="s">
        <v>434</v>
      </c>
      <c r="D122" s="13"/>
      <c r="E122" s="13"/>
      <c r="F122" s="13"/>
      <c r="G122" s="13"/>
      <c r="H122" s="453"/>
      <c r="I122" s="4"/>
      <c r="J122" s="19" t="s">
        <v>434</v>
      </c>
      <c r="K122" s="4"/>
      <c r="L122" s="848" t="s">
        <v>3342</v>
      </c>
      <c r="M122" s="900" t="str">
        <f ca="1">IF(R122,"Mandatory per 902.2.1","N/A")</f>
        <v>N/A</v>
      </c>
      <c r="N122" s="4"/>
      <c r="O122" s="75"/>
      <c r="P122" t="b">
        <v>0</v>
      </c>
      <c r="Q122" t="b">
        <v>1</v>
      </c>
      <c r="R122" s="1" t="b">
        <f ca="1">AND(S122,OR('Ch9'!O219&gt;0,'Ch9'!R219))</f>
        <v>0</v>
      </c>
      <c r="S122" t="b">
        <f>IF(AY19=INDEX(ddSingleOrMulti,2),TRUE,FALSE)</f>
        <v>0</v>
      </c>
      <c r="T122" t="b">
        <f>AND(NOT(S122),W122=TRUE)</f>
        <v>0</v>
      </c>
      <c r="W122" s="17"/>
      <c r="X122" s="817"/>
      <c r="AC122" t="b">
        <f ca="1">OR(AD122:AE122)</f>
        <v>0</v>
      </c>
      <c r="AD122" t="b">
        <f>T122</f>
        <v>0</v>
      </c>
      <c r="AE122" t="b">
        <f ca="1">AND(R122,NOT(W122=TRUE))</f>
        <v>0</v>
      </c>
      <c r="AL122" t="str">
        <f>SUBSTITUTE(SUBSTITUTE(SUBSTITUTE("dpa"&amp;$B122&amp;$C122&amp;$D122&amp;$E122,".","_"),"(","_"),")","")</f>
        <v>dpa1002_2_11</v>
      </c>
      <c r="AM122" t="str">
        <f ca="1">M122</f>
        <v>N/A</v>
      </c>
      <c r="AP122" t="str">
        <f>SUBSTITUTE(SUBSTITUTE(SUBSTITUTE("dch"&amp;$B122&amp;$C122&amp;$D122&amp;$E122,".","_"),"(","_"),")","")</f>
        <v>dch1002_2_11</v>
      </c>
      <c r="AQ122" t="str">
        <f>IF(LEN(W122)=0,"",W122)</f>
        <v/>
      </c>
      <c r="AR122" t="str">
        <f>SUBSTITUTE(SUBSTITUTE(SUBSTITUTE("dnt"&amp;$B122&amp;$C122&amp;$D122&amp;$E122,".","_"),"(","_"),")","")</f>
        <v>dnt1002_2_11</v>
      </c>
      <c r="AS122" t="str">
        <f>IF(LEN(X122)=0,"",X122)</f>
        <v/>
      </c>
    </row>
    <row r="123" spans="2:45" ht="15" thickBot="1" x14ac:dyDescent="0.4">
      <c r="B123" s="412">
        <v>1002.2</v>
      </c>
      <c r="C123" s="13" t="s">
        <v>434</v>
      </c>
      <c r="D123" s="13"/>
      <c r="E123" s="13"/>
      <c r="F123" s="13"/>
      <c r="G123" s="13"/>
      <c r="H123" s="453"/>
      <c r="I123" s="160"/>
      <c r="J123" s="115"/>
      <c r="K123" s="160"/>
      <c r="L123" s="888"/>
      <c r="M123" s="974"/>
      <c r="N123" s="160"/>
      <c r="O123" s="161"/>
      <c r="P123" s="55"/>
      <c r="Q123" s="55"/>
      <c r="R123" s="55"/>
      <c r="S123" s="55"/>
      <c r="T123" s="55"/>
      <c r="U123" s="55"/>
      <c r="V123" s="55"/>
      <c r="W123" s="55"/>
      <c r="X123" s="829"/>
    </row>
    <row r="124" spans="2:45" ht="15" thickTop="1" x14ac:dyDescent="0.35">
      <c r="B124" s="412">
        <v>1002.3</v>
      </c>
      <c r="C124" s="13"/>
      <c r="D124" s="13"/>
      <c r="E124" s="13"/>
      <c r="F124" s="13"/>
      <c r="G124" s="13"/>
      <c r="H124" s="453"/>
      <c r="I124" s="31">
        <v>1002.3</v>
      </c>
      <c r="J124" s="4"/>
      <c r="K124" s="4"/>
      <c r="L124" s="838" t="s">
        <v>3376</v>
      </c>
      <c r="M124" s="818">
        <v>1</v>
      </c>
      <c r="N124" s="4"/>
      <c r="O124" s="973">
        <f>IF(AND(W128=TRUE,COUNTIF(W130:W150,TRUE)&gt;3,S128),ROUNDDOWN(COUNTIF(W130:W150,TRUE)/2,0),0)</f>
        <v>0</v>
      </c>
      <c r="AL124" t="str">
        <f>SUBSTITUTE(SUBSTITUTE(SUBSTITUTE("dpa"&amp;$B124&amp;$C124&amp;$D124&amp;$E124,".","_"),"(","_"),")","")</f>
        <v>dpa1002_3</v>
      </c>
      <c r="AM124">
        <f>M124</f>
        <v>1</v>
      </c>
      <c r="AN124" t="str">
        <f>SUBSTITUTE(SUBSTITUTE(SUBSTITUTE("dpc"&amp;$B124&amp;$C124&amp;$D124&amp;$E124,".","_"),"(","_"),")","")</f>
        <v>dpc1002_3</v>
      </c>
      <c r="AO124">
        <f>O124</f>
        <v>0</v>
      </c>
    </row>
    <row r="125" spans="2:45" x14ac:dyDescent="0.35">
      <c r="B125" s="412">
        <v>1002.3</v>
      </c>
      <c r="C125" s="13"/>
      <c r="D125" s="13"/>
      <c r="E125" s="13"/>
      <c r="F125" s="13"/>
      <c r="G125" s="13"/>
      <c r="H125" s="453"/>
      <c r="I125" s="4"/>
      <c r="J125" s="4"/>
      <c r="K125" s="4"/>
      <c r="L125" s="838"/>
      <c r="M125" s="818"/>
      <c r="N125" s="4"/>
      <c r="O125" s="973"/>
    </row>
    <row r="126" spans="2:45" x14ac:dyDescent="0.35">
      <c r="B126" s="412">
        <v>1002.3</v>
      </c>
      <c r="C126" s="13"/>
      <c r="D126" s="13"/>
      <c r="E126" s="13"/>
      <c r="F126" s="13"/>
      <c r="G126" s="13"/>
      <c r="H126" s="453"/>
      <c r="I126" s="4"/>
      <c r="J126" s="4"/>
      <c r="K126" s="4"/>
      <c r="L126" s="838"/>
      <c r="M126" s="818"/>
      <c r="N126" s="4"/>
      <c r="O126" s="973"/>
    </row>
    <row r="127" spans="2:45" x14ac:dyDescent="0.35">
      <c r="B127" s="412">
        <v>1002.3</v>
      </c>
      <c r="C127" s="13"/>
      <c r="D127" s="13"/>
      <c r="E127" s="13"/>
      <c r="F127" s="13"/>
      <c r="G127" s="13"/>
      <c r="H127" s="453"/>
      <c r="I127" s="4"/>
      <c r="J127" s="4"/>
      <c r="K127" s="4"/>
      <c r="L127" s="148" t="s">
        <v>3372</v>
      </c>
      <c r="M127" s="818"/>
      <c r="N127" s="4"/>
      <c r="O127" s="973"/>
    </row>
    <row r="128" spans="2:45" x14ac:dyDescent="0.35">
      <c r="B128" s="412">
        <v>1002.3</v>
      </c>
      <c r="C128" s="13" t="s">
        <v>256</v>
      </c>
      <c r="D128" s="13"/>
      <c r="E128" s="13"/>
      <c r="F128" s="453"/>
      <c r="G128" s="13"/>
      <c r="H128" s="453"/>
      <c r="I128" s="4"/>
      <c r="J128" s="19" t="s">
        <v>256</v>
      </c>
      <c r="K128" s="4"/>
      <c r="L128" s="814" t="s">
        <v>3343</v>
      </c>
      <c r="M128" s="885" t="str">
        <f>IF(R128,"Mandatory","N/A")</f>
        <v>N/A</v>
      </c>
      <c r="N128" s="4"/>
      <c r="O128" s="75"/>
      <c r="P128" t="b">
        <v>0</v>
      </c>
      <c r="Q128" t="b">
        <v>1</v>
      </c>
      <c r="R128" t="b">
        <f>S128</f>
        <v>0</v>
      </c>
      <c r="S128" t="b">
        <f>IF(AY19=INDEX(ddSingleOrMulti,2),TRUE,FALSE)</f>
        <v>0</v>
      </c>
      <c r="T128" t="b">
        <f>AND(NOT(S128),W128=TRUE)</f>
        <v>0</v>
      </c>
      <c r="W128" s="17"/>
      <c r="X128" s="817"/>
      <c r="AC128" t="b">
        <f>OR(AD128:AE128)</f>
        <v>0</v>
      </c>
      <c r="AD128" t="b">
        <f>T128</f>
        <v>0</v>
      </c>
      <c r="AE128" t="b">
        <f>AND(R128,O124&lt;1)</f>
        <v>0</v>
      </c>
      <c r="AL128" t="str">
        <f>SUBSTITUTE(SUBSTITUTE(SUBSTITUTE("dpa"&amp;$B128&amp;$C128&amp;$D128&amp;$E128,".","_"),"(","_"),")","")</f>
        <v>dpa1002_3_1</v>
      </c>
      <c r="AM128" t="str">
        <f>M128</f>
        <v>N/A</v>
      </c>
      <c r="AP128" t="str">
        <f>SUBSTITUTE(SUBSTITUTE(SUBSTITUTE("dch"&amp;$B128&amp;$C128&amp;$D128&amp;$E128,".","_"),"(","_"),")","")</f>
        <v>dch1002_3_1</v>
      </c>
      <c r="AQ128" t="str">
        <f>IF(LEN(W128)=0,"",W128)</f>
        <v/>
      </c>
      <c r="AR128" t="str">
        <f>SUBSTITUTE(SUBSTITUTE(SUBSTITUTE("dnt"&amp;$B128&amp;$C128&amp;$D128&amp;$E128,".","_"),"(","_"),")","")</f>
        <v>dnt1002_3_1</v>
      </c>
      <c r="AS128" t="str">
        <f>IF(LEN(X128)=0,"",X128)</f>
        <v/>
      </c>
    </row>
    <row r="129" spans="2:45" x14ac:dyDescent="0.35">
      <c r="B129" s="412">
        <v>1002.3</v>
      </c>
      <c r="C129" s="13" t="s">
        <v>256</v>
      </c>
      <c r="D129" s="13"/>
      <c r="E129" s="13"/>
      <c r="F129" s="453"/>
      <c r="G129" s="13"/>
      <c r="H129" s="453"/>
      <c r="I129" s="4"/>
      <c r="J129" s="129"/>
      <c r="K129" s="133"/>
      <c r="L129" s="815"/>
      <c r="M129" s="890" t="str">
        <f>IF(R129,"Mandatory","N/A")</f>
        <v>N/A</v>
      </c>
      <c r="N129" s="4"/>
      <c r="O129" s="75"/>
      <c r="X129" s="817"/>
    </row>
    <row r="130" spans="2:45" x14ac:dyDescent="0.35">
      <c r="B130" s="412">
        <v>1002.3</v>
      </c>
      <c r="C130" s="13" t="s">
        <v>258</v>
      </c>
      <c r="D130" s="13"/>
      <c r="E130" s="13"/>
      <c r="F130" s="453"/>
      <c r="G130" s="13"/>
      <c r="H130" s="453"/>
      <c r="I130" s="4"/>
      <c r="J130" s="132" t="s">
        <v>258</v>
      </c>
      <c r="K130" s="118"/>
      <c r="L130" s="836" t="s">
        <v>3295</v>
      </c>
      <c r="M130" s="75"/>
      <c r="N130" s="4"/>
      <c r="O130" s="75"/>
      <c r="P130" t="b">
        <v>0</v>
      </c>
      <c r="Q130" t="b">
        <v>1</v>
      </c>
      <c r="R130" t="b">
        <v>0</v>
      </c>
      <c r="S130" t="b">
        <f>IF(AY19=INDEX(ddSingleOrMulti,2),TRUE,FALSE)</f>
        <v>0</v>
      </c>
      <c r="T130" t="b">
        <f>AND(NOT(S130),W130=TRUE)</f>
        <v>0</v>
      </c>
      <c r="W130" s="17"/>
      <c r="X130" s="817"/>
      <c r="AC130" t="b">
        <f>OR(AD130:AE130)</f>
        <v>0</v>
      </c>
      <c r="AD130" t="b">
        <f>T130</f>
        <v>0</v>
      </c>
      <c r="AP130" t="str">
        <f>SUBSTITUTE(SUBSTITUTE(SUBSTITUTE("dch"&amp;$B130&amp;$C130&amp;$D130&amp;$E130,".","_"),"(","_"),")","")</f>
        <v>dch1002_3_2</v>
      </c>
      <c r="AQ130" t="str">
        <f>IF(LEN(W130)=0,"",W130)</f>
        <v/>
      </c>
      <c r="AR130" t="str">
        <f>SUBSTITUTE(SUBSTITUTE(SUBSTITUTE("dnt"&amp;$B130&amp;$C130&amp;$D130&amp;$E130,".","_"),"(","_"),")","")</f>
        <v>dnt1002_3_2</v>
      </c>
      <c r="AS130" t="str">
        <f>IF(LEN(X130)=0,"",X130)</f>
        <v/>
      </c>
    </row>
    <row r="131" spans="2:45" x14ac:dyDescent="0.35">
      <c r="B131" s="412">
        <v>1002.3</v>
      </c>
      <c r="C131" s="13" t="s">
        <v>258</v>
      </c>
      <c r="D131" s="13"/>
      <c r="E131" s="13"/>
      <c r="F131" s="453"/>
      <c r="G131" s="13"/>
      <c r="H131" s="453"/>
      <c r="I131" s="4"/>
      <c r="J131" s="4"/>
      <c r="K131" s="4"/>
      <c r="L131" s="814"/>
      <c r="M131" s="75"/>
      <c r="N131" s="4"/>
      <c r="O131" s="75"/>
      <c r="X131" s="817"/>
    </row>
    <row r="132" spans="2:45" x14ac:dyDescent="0.35">
      <c r="B132" s="412">
        <v>1002.3</v>
      </c>
      <c r="C132" s="13" t="s">
        <v>258</v>
      </c>
      <c r="D132" s="13"/>
      <c r="E132" s="13"/>
      <c r="F132" s="453"/>
      <c r="G132" s="13"/>
      <c r="H132" s="453"/>
      <c r="I132" s="4"/>
      <c r="J132" s="4"/>
      <c r="K132" s="4"/>
      <c r="L132" s="814"/>
      <c r="M132" s="75"/>
      <c r="N132" s="4"/>
      <c r="O132" s="75"/>
      <c r="X132" s="817"/>
    </row>
    <row r="133" spans="2:45" x14ac:dyDescent="0.35">
      <c r="B133" s="412">
        <v>1002.3</v>
      </c>
      <c r="C133" s="13" t="s">
        <v>258</v>
      </c>
      <c r="D133" s="13"/>
      <c r="E133" s="13"/>
      <c r="F133" s="453"/>
      <c r="G133" s="13"/>
      <c r="H133" s="453"/>
      <c r="I133" s="4"/>
      <c r="J133" s="133"/>
      <c r="K133" s="133"/>
      <c r="L133" s="815"/>
      <c r="M133" s="75"/>
      <c r="N133" s="4"/>
      <c r="O133" s="75"/>
      <c r="X133" s="817"/>
    </row>
    <row r="134" spans="2:45" x14ac:dyDescent="0.35">
      <c r="B134" s="412">
        <v>1002.3</v>
      </c>
      <c r="C134" s="13" t="s">
        <v>260</v>
      </c>
      <c r="D134" s="13"/>
      <c r="E134" s="13"/>
      <c r="F134" s="453"/>
      <c r="G134" s="13"/>
      <c r="H134" s="453"/>
      <c r="I134" s="4"/>
      <c r="J134" s="132" t="s">
        <v>260</v>
      </c>
      <c r="K134" s="118"/>
      <c r="L134" s="166" t="s">
        <v>3344</v>
      </c>
      <c r="M134" s="75"/>
      <c r="N134" s="4"/>
      <c r="O134" s="75"/>
      <c r="P134" t="b">
        <v>0</v>
      </c>
      <c r="Q134" t="b">
        <v>1</v>
      </c>
      <c r="R134" t="b">
        <v>0</v>
      </c>
      <c r="S134" t="b">
        <f>IF(AY19=INDEX(ddSingleOrMulti,2),TRUE,FALSE)</f>
        <v>0</v>
      </c>
      <c r="T134" t="b">
        <f>AND(NOT(S134),W134=TRUE)</f>
        <v>0</v>
      </c>
      <c r="W134" s="17"/>
      <c r="X134" s="817"/>
      <c r="AC134" t="b">
        <f>OR(AD134:AE134)</f>
        <v>0</v>
      </c>
      <c r="AD134" t="b">
        <f>T134</f>
        <v>0</v>
      </c>
      <c r="AP134" t="str">
        <f>SUBSTITUTE(SUBSTITUTE(SUBSTITUTE("dch"&amp;$B134&amp;$C134&amp;$D134&amp;$E134,".","_"),"(","_"),")","")</f>
        <v>dch1002_3_3</v>
      </c>
      <c r="AQ134" t="str">
        <f>IF(LEN(W134)=0,"",W134)</f>
        <v/>
      </c>
      <c r="AR134" t="str">
        <f>SUBSTITUTE(SUBSTITUTE(SUBSTITUTE("dnt"&amp;$B134&amp;$C134&amp;$D134&amp;$E134,".","_"),"(","_"),")","")</f>
        <v>dnt1002_3_3</v>
      </c>
      <c r="AS134" t="str">
        <f>IF(LEN(X134)=0,"",X134)</f>
        <v/>
      </c>
    </row>
    <row r="135" spans="2:45" x14ac:dyDescent="0.35">
      <c r="B135" s="412">
        <v>1002.3</v>
      </c>
      <c r="C135" s="13" t="s">
        <v>260</v>
      </c>
      <c r="D135" s="13" t="s">
        <v>121</v>
      </c>
      <c r="E135" s="13"/>
      <c r="F135" s="453"/>
      <c r="G135" s="13"/>
      <c r="H135" s="453"/>
      <c r="I135" s="4"/>
      <c r="J135" s="4"/>
      <c r="K135" s="19" t="s">
        <v>121</v>
      </c>
      <c r="L135" s="146" t="s">
        <v>3345</v>
      </c>
      <c r="M135" s="75"/>
      <c r="N135" s="4"/>
      <c r="O135" s="75"/>
      <c r="X135" s="817"/>
    </row>
    <row r="136" spans="2:45" x14ac:dyDescent="0.35">
      <c r="B136" s="412">
        <v>1002.3</v>
      </c>
      <c r="C136" s="13" t="s">
        <v>260</v>
      </c>
      <c r="D136" s="13" t="s">
        <v>122</v>
      </c>
      <c r="E136" s="13"/>
      <c r="F136" s="453"/>
      <c r="G136" s="13"/>
      <c r="H136" s="453"/>
      <c r="I136" s="4"/>
      <c r="J136" s="4"/>
      <c r="K136" s="19" t="s">
        <v>122</v>
      </c>
      <c r="L136" s="146" t="s">
        <v>3346</v>
      </c>
      <c r="M136" s="75"/>
      <c r="N136" s="4"/>
      <c r="O136" s="75"/>
      <c r="X136" s="817"/>
    </row>
    <row r="137" spans="2:45" x14ac:dyDescent="0.35">
      <c r="B137" s="412">
        <v>1002.3</v>
      </c>
      <c r="C137" s="13" t="s">
        <v>260</v>
      </c>
      <c r="D137" s="13" t="s">
        <v>123</v>
      </c>
      <c r="E137" s="13"/>
      <c r="F137" s="453"/>
      <c r="G137" s="13"/>
      <c r="H137" s="453"/>
      <c r="I137" s="4"/>
      <c r="J137" s="4"/>
      <c r="K137" s="19" t="s">
        <v>123</v>
      </c>
      <c r="L137" s="146" t="s">
        <v>3347</v>
      </c>
      <c r="M137" s="75"/>
      <c r="N137" s="4"/>
      <c r="O137" s="75"/>
      <c r="X137" s="817"/>
    </row>
    <row r="138" spans="2:45" x14ac:dyDescent="0.35">
      <c r="B138" s="412">
        <v>1002.3</v>
      </c>
      <c r="C138" s="13" t="s">
        <v>260</v>
      </c>
      <c r="D138" s="13" t="s">
        <v>401</v>
      </c>
      <c r="E138" s="13"/>
      <c r="F138" s="453"/>
      <c r="G138" s="13"/>
      <c r="H138" s="453"/>
      <c r="I138" s="4"/>
      <c r="J138" s="4"/>
      <c r="K138" s="19" t="s">
        <v>401</v>
      </c>
      <c r="L138" s="146" t="s">
        <v>3348</v>
      </c>
      <c r="M138" s="75"/>
      <c r="N138" s="4"/>
      <c r="O138" s="75"/>
      <c r="X138" s="817"/>
    </row>
    <row r="139" spans="2:45" x14ac:dyDescent="0.35">
      <c r="B139" s="412">
        <v>1002.3</v>
      </c>
      <c r="C139" s="13" t="s">
        <v>260</v>
      </c>
      <c r="D139" s="13" t="s">
        <v>539</v>
      </c>
      <c r="E139" s="13"/>
      <c r="F139" s="453"/>
      <c r="G139" s="13"/>
      <c r="H139" s="453"/>
      <c r="I139" s="4"/>
      <c r="J139" s="4"/>
      <c r="K139" s="19" t="s">
        <v>539</v>
      </c>
      <c r="L139" s="146" t="s">
        <v>3349</v>
      </c>
      <c r="M139" s="75"/>
      <c r="N139" s="4"/>
      <c r="O139" s="75"/>
      <c r="X139" s="817"/>
    </row>
    <row r="140" spans="2:45" x14ac:dyDescent="0.35">
      <c r="B140" s="412">
        <v>1002.3</v>
      </c>
      <c r="C140" s="13" t="s">
        <v>260</v>
      </c>
      <c r="D140" s="13" t="s">
        <v>604</v>
      </c>
      <c r="E140" s="13"/>
      <c r="F140" s="453"/>
      <c r="G140" s="13"/>
      <c r="H140" s="453"/>
      <c r="I140" s="4"/>
      <c r="J140" s="133"/>
      <c r="K140" s="129" t="s">
        <v>604</v>
      </c>
      <c r="L140" s="162" t="s">
        <v>3350</v>
      </c>
      <c r="M140" s="75"/>
      <c r="N140" s="4"/>
      <c r="O140" s="75"/>
      <c r="X140" s="817"/>
    </row>
    <row r="141" spans="2:45" x14ac:dyDescent="0.35">
      <c r="B141" s="412">
        <v>1002.3</v>
      </c>
      <c r="C141" s="13" t="s">
        <v>269</v>
      </c>
      <c r="D141" s="13"/>
      <c r="E141" s="13"/>
      <c r="F141" s="453"/>
      <c r="G141" s="13"/>
      <c r="H141" s="453"/>
      <c r="I141" s="4"/>
      <c r="J141" s="19" t="s">
        <v>269</v>
      </c>
      <c r="K141" s="4"/>
      <c r="L141" s="814" t="s">
        <v>3299</v>
      </c>
      <c r="M141" s="75"/>
      <c r="N141" s="4"/>
      <c r="O141" s="75"/>
      <c r="P141" t="b">
        <v>0</v>
      </c>
      <c r="Q141" t="b">
        <v>1</v>
      </c>
      <c r="R141" t="b">
        <v>0</v>
      </c>
      <c r="S141" t="b">
        <f>IF(AY19=INDEX(ddSingleOrMulti,2),TRUE,FALSE)</f>
        <v>0</v>
      </c>
      <c r="T141" t="b">
        <f>AND(NOT(S141),W141=TRUE)</f>
        <v>0</v>
      </c>
      <c r="W141" s="17"/>
      <c r="X141" s="817"/>
      <c r="AC141" t="b">
        <f>OR(AD141:AE141)</f>
        <v>0</v>
      </c>
      <c r="AD141" t="b">
        <f>T141</f>
        <v>0</v>
      </c>
      <c r="AP141" t="str">
        <f>SUBSTITUTE(SUBSTITUTE(SUBSTITUTE("dch"&amp;$B141&amp;$C141&amp;$D141&amp;$E141,".","_"),"(","_"),")","")</f>
        <v>dch1002_3_4</v>
      </c>
      <c r="AQ141" t="str">
        <f>IF(LEN(W141)=0,"",W141)</f>
        <v/>
      </c>
      <c r="AR141" t="str">
        <f>SUBSTITUTE(SUBSTITUTE(SUBSTITUTE("dnt"&amp;$B141&amp;$C141&amp;$D141&amp;$E141,".","_"),"(","_"),")","")</f>
        <v>dnt1002_3_4</v>
      </c>
      <c r="AS141" t="str">
        <f>IF(LEN(X141)=0,"",X141)</f>
        <v/>
      </c>
    </row>
    <row r="142" spans="2:45" x14ac:dyDescent="0.35">
      <c r="B142" s="412">
        <v>1002.3</v>
      </c>
      <c r="C142" s="13" t="s">
        <v>269</v>
      </c>
      <c r="D142" s="13"/>
      <c r="E142" s="13"/>
      <c r="F142" s="453"/>
      <c r="G142" s="13"/>
      <c r="H142" s="453"/>
      <c r="I142" s="4"/>
      <c r="J142" s="4"/>
      <c r="K142" s="4"/>
      <c r="L142" s="814"/>
      <c r="M142" s="75"/>
      <c r="N142" s="4"/>
      <c r="O142" s="75"/>
      <c r="X142" s="817"/>
    </row>
    <row r="143" spans="2:45" x14ac:dyDescent="0.35">
      <c r="B143" s="412">
        <v>1002.3</v>
      </c>
      <c r="C143" s="13" t="s">
        <v>275</v>
      </c>
      <c r="D143" s="13"/>
      <c r="E143" s="13"/>
      <c r="F143" s="453"/>
      <c r="G143" s="13"/>
      <c r="H143" s="453"/>
      <c r="I143" s="4"/>
      <c r="J143" s="130" t="s">
        <v>275</v>
      </c>
      <c r="K143" s="163"/>
      <c r="L143" s="164" t="s">
        <v>3301</v>
      </c>
      <c r="M143" s="75"/>
      <c r="N143" s="4"/>
      <c r="O143" s="75"/>
      <c r="P143" t="b">
        <v>0</v>
      </c>
      <c r="Q143" t="b">
        <v>1</v>
      </c>
      <c r="R143" t="b">
        <v>0</v>
      </c>
      <c r="S143" t="b">
        <f>IF(AY19=INDEX(ddSingleOrMulti,2),TRUE,FALSE)</f>
        <v>0</v>
      </c>
      <c r="T143" t="b">
        <f>AND(NOT(S143),W143=TRUE)</f>
        <v>0</v>
      </c>
      <c r="W143" s="17"/>
      <c r="X143" s="36"/>
      <c r="AC143" t="b">
        <f>OR(AD143:AE143)</f>
        <v>0</v>
      </c>
      <c r="AD143" t="b">
        <f>T143</f>
        <v>0</v>
      </c>
      <c r="AP143" t="str">
        <f>SUBSTITUTE(SUBSTITUTE(SUBSTITUTE("dch"&amp;$B143&amp;$C143&amp;$D143&amp;$E143,".","_"),"(","_"),")","")</f>
        <v>dch1002_3_5</v>
      </c>
      <c r="AQ143" t="str">
        <f>IF(LEN(W143)=0,"",W143)</f>
        <v/>
      </c>
      <c r="AR143" t="str">
        <f>SUBSTITUTE(SUBSTITUTE(SUBSTITUTE("dnt"&amp;$B143&amp;$C143&amp;$D143&amp;$E143,".","_"),"(","_"),")","")</f>
        <v>dnt1002_3_5</v>
      </c>
      <c r="AS143" t="str">
        <f>IF(LEN(X143)=0,"",X143)</f>
        <v/>
      </c>
    </row>
    <row r="144" spans="2:45" x14ac:dyDescent="0.35">
      <c r="B144" s="412">
        <v>1002.3</v>
      </c>
      <c r="C144" s="13" t="s">
        <v>277</v>
      </c>
      <c r="D144" s="13"/>
      <c r="E144" s="13"/>
      <c r="F144" s="453"/>
      <c r="G144" s="13"/>
      <c r="H144" s="453"/>
      <c r="I144" s="4"/>
      <c r="J144" s="19" t="s">
        <v>277</v>
      </c>
      <c r="K144" s="4"/>
      <c r="L144" s="814" t="s">
        <v>3351</v>
      </c>
      <c r="M144" s="75"/>
      <c r="N144" s="4"/>
      <c r="O144" s="75"/>
      <c r="P144" t="b">
        <v>0</v>
      </c>
      <c r="Q144" t="b">
        <v>1</v>
      </c>
      <c r="R144" t="b">
        <v>0</v>
      </c>
      <c r="S144" t="b">
        <f>IF(AY19=INDEX(ddSingleOrMulti,2),TRUE,FALSE)</f>
        <v>0</v>
      </c>
      <c r="T144" t="b">
        <f>AND(NOT(S144),W144=TRUE)</f>
        <v>0</v>
      </c>
      <c r="W144" s="17"/>
      <c r="X144" s="817"/>
      <c r="AC144" t="b">
        <f>OR(AD144:AE144)</f>
        <v>0</v>
      </c>
      <c r="AD144" t="b">
        <f>T144</f>
        <v>0</v>
      </c>
      <c r="AP144" t="str">
        <f>SUBSTITUTE(SUBSTITUTE(SUBSTITUTE("dch"&amp;$B144&amp;$C144&amp;$D144&amp;$E144,".","_"),"(","_"),")","")</f>
        <v>dch1002_3_6</v>
      </c>
      <c r="AQ144" t="str">
        <f>IF(LEN(W144)=0,"",W144)</f>
        <v/>
      </c>
      <c r="AR144" t="str">
        <f>SUBSTITUTE(SUBSTITUTE(SUBSTITUTE("dnt"&amp;$B144&amp;$C144&amp;$D144&amp;$E144,".","_"),"(","_"),")","")</f>
        <v>dnt1002_3_6</v>
      </c>
      <c r="AS144" t="str">
        <f>IF(LEN(X144)=0,"",X144)</f>
        <v/>
      </c>
    </row>
    <row r="145" spans="2:45" x14ac:dyDescent="0.35">
      <c r="B145" s="412">
        <v>1002.3</v>
      </c>
      <c r="C145" s="13" t="s">
        <v>277</v>
      </c>
      <c r="D145" s="13"/>
      <c r="E145" s="13"/>
      <c r="F145" s="453"/>
      <c r="G145" s="13"/>
      <c r="H145" s="453"/>
      <c r="I145" s="4"/>
      <c r="J145" s="19"/>
      <c r="K145" s="4"/>
      <c r="L145" s="814"/>
      <c r="M145" s="75"/>
      <c r="N145" s="4"/>
      <c r="O145" s="75"/>
      <c r="X145" s="817"/>
    </row>
    <row r="146" spans="2:45" x14ac:dyDescent="0.35">
      <c r="B146" s="412">
        <v>1002.3</v>
      </c>
      <c r="C146" s="13" t="s">
        <v>383</v>
      </c>
      <c r="D146" s="13"/>
      <c r="E146" s="13"/>
      <c r="F146" s="453"/>
      <c r="G146" s="13"/>
      <c r="H146" s="453"/>
      <c r="I146" s="4"/>
      <c r="J146" s="130" t="s">
        <v>383</v>
      </c>
      <c r="K146" s="163"/>
      <c r="L146" s="164" t="s">
        <v>3307</v>
      </c>
      <c r="M146" s="75"/>
      <c r="N146" s="4"/>
      <c r="O146" s="75"/>
      <c r="P146" t="b">
        <v>0</v>
      </c>
      <c r="Q146" t="b">
        <v>1</v>
      </c>
      <c r="R146" t="b">
        <v>0</v>
      </c>
      <c r="S146" t="b">
        <f>IF(AY19=INDEX(ddSingleOrMulti,2),TRUE,FALSE)</f>
        <v>0</v>
      </c>
      <c r="T146" t="b">
        <f>AND(NOT(S146),W146=TRUE)</f>
        <v>0</v>
      </c>
      <c r="W146" s="17"/>
      <c r="X146" s="36"/>
      <c r="AC146" t="b">
        <f>OR(AD146:AE146)</f>
        <v>0</v>
      </c>
      <c r="AD146" t="b">
        <f>T146</f>
        <v>0</v>
      </c>
      <c r="AP146" t="str">
        <f>SUBSTITUTE(SUBSTITUTE(SUBSTITUTE("dch"&amp;$B146&amp;$C146&amp;$D146&amp;$E146,".","_"),"(","_"),")","")</f>
        <v>dch1002_3_7</v>
      </c>
      <c r="AQ146" t="str">
        <f>IF(LEN(W146)=0,"",W146)</f>
        <v/>
      </c>
      <c r="AR146" t="str">
        <f>SUBSTITUTE(SUBSTITUTE(SUBSTITUTE("dnt"&amp;$B146&amp;$C146&amp;$D146&amp;$E146,".","_"),"(","_"),")","")</f>
        <v>dnt1002_3_7</v>
      </c>
      <c r="AS146" t="str">
        <f>IF(LEN(X146)=0,"",X146)</f>
        <v/>
      </c>
    </row>
    <row r="147" spans="2:45" x14ac:dyDescent="0.35">
      <c r="B147" s="412">
        <v>1002.3</v>
      </c>
      <c r="C147" s="13" t="s">
        <v>428</v>
      </c>
      <c r="D147" s="13"/>
      <c r="E147" s="13"/>
      <c r="F147" s="453"/>
      <c r="G147" s="13"/>
      <c r="H147" s="453"/>
      <c r="I147" s="4"/>
      <c r="J147" s="19" t="s">
        <v>428</v>
      </c>
      <c r="K147" s="4"/>
      <c r="L147" s="146" t="s">
        <v>3352</v>
      </c>
      <c r="M147" s="75"/>
      <c r="N147" s="4"/>
      <c r="O147" s="75"/>
      <c r="P147" t="b">
        <v>0</v>
      </c>
      <c r="Q147" t="b">
        <v>1</v>
      </c>
      <c r="R147" t="b">
        <v>0</v>
      </c>
      <c r="S147" t="b">
        <f>IF(AY19=INDEX(ddSingleOrMulti,2),TRUE,FALSE)</f>
        <v>0</v>
      </c>
      <c r="T147" t="b">
        <f>AND(NOT(S147),W147=TRUE)</f>
        <v>0</v>
      </c>
      <c r="W147" s="17"/>
      <c r="X147" s="36"/>
      <c r="AC147" t="b">
        <f>OR(AD147:AE147)</f>
        <v>0</v>
      </c>
      <c r="AD147" t="b">
        <f>T147</f>
        <v>0</v>
      </c>
      <c r="AP147" t="str">
        <f>SUBSTITUTE(SUBSTITUTE(SUBSTITUTE("dch"&amp;$B147&amp;$C147&amp;$D147&amp;$E147,".","_"),"(","_"),")","")</f>
        <v>dch1002_3_8</v>
      </c>
      <c r="AQ147" t="str">
        <f>IF(LEN(W147)=0,"",W147)</f>
        <v/>
      </c>
      <c r="AR147" t="str">
        <f>SUBSTITUTE(SUBSTITUTE(SUBSTITUTE("dnt"&amp;$B147&amp;$C147&amp;$D147&amp;$E147,".","_"),"(","_"),")","")</f>
        <v>dnt1002_3_8</v>
      </c>
      <c r="AS147" t="str">
        <f>IF(LEN(X147)=0,"",X147)</f>
        <v/>
      </c>
    </row>
    <row r="148" spans="2:45" x14ac:dyDescent="0.35">
      <c r="B148" s="412">
        <v>1002.3</v>
      </c>
      <c r="C148" s="13" t="s">
        <v>430</v>
      </c>
      <c r="D148" s="13"/>
      <c r="E148" s="13"/>
      <c r="F148" s="453"/>
      <c r="G148" s="13"/>
      <c r="H148" s="453"/>
      <c r="I148" s="4"/>
      <c r="J148" s="130" t="s">
        <v>430</v>
      </c>
      <c r="K148" s="163"/>
      <c r="L148" s="164" t="s">
        <v>3353</v>
      </c>
      <c r="M148" s="75"/>
      <c r="N148" s="4"/>
      <c r="O148" s="75"/>
      <c r="P148" t="b">
        <v>0</v>
      </c>
      <c r="Q148" t="b">
        <v>1</v>
      </c>
      <c r="R148" t="b">
        <v>0</v>
      </c>
      <c r="S148" t="b">
        <f>IF(AY19=INDEX(ddSingleOrMulti,2),TRUE,FALSE)</f>
        <v>0</v>
      </c>
      <c r="T148" t="b">
        <f>AND(NOT(S148),W148=TRUE)</f>
        <v>0</v>
      </c>
      <c r="W148" s="17"/>
      <c r="X148" s="36"/>
      <c r="AC148" t="b">
        <f>OR(AD148:AE148)</f>
        <v>0</v>
      </c>
      <c r="AD148" t="b">
        <f>T148</f>
        <v>0</v>
      </c>
      <c r="AP148" t="str">
        <f>SUBSTITUTE(SUBSTITUTE(SUBSTITUTE("dch"&amp;$B148&amp;$C148&amp;$D148&amp;$E148,".","_"),"(","_"),")","")</f>
        <v>dch1002_3_9</v>
      </c>
      <c r="AQ148" t="str">
        <f>IF(LEN(W148)=0,"",W148)</f>
        <v/>
      </c>
      <c r="AR148" t="str">
        <f>SUBSTITUTE(SUBSTITUTE(SUBSTITUTE("dnt"&amp;$B148&amp;$C148&amp;$D148&amp;$E148,".","_"),"(","_"),")","")</f>
        <v>dnt1002_3_9</v>
      </c>
      <c r="AS148" t="str">
        <f>IF(LEN(X148)=0,"",X148)</f>
        <v/>
      </c>
    </row>
    <row r="149" spans="2:45" x14ac:dyDescent="0.35">
      <c r="B149" s="412">
        <v>1002.3</v>
      </c>
      <c r="C149" s="13" t="s">
        <v>432</v>
      </c>
      <c r="D149" s="13"/>
      <c r="E149" s="13"/>
      <c r="F149" s="453"/>
      <c r="G149" s="13"/>
      <c r="H149" s="453"/>
      <c r="I149" s="4"/>
      <c r="J149" s="130" t="s">
        <v>432</v>
      </c>
      <c r="K149" s="163"/>
      <c r="L149" s="164" t="s">
        <v>3354</v>
      </c>
      <c r="M149" s="75"/>
      <c r="N149" s="4"/>
      <c r="O149" s="75"/>
      <c r="P149" t="b">
        <v>0</v>
      </c>
      <c r="Q149" t="b">
        <v>1</v>
      </c>
      <c r="R149" t="b">
        <v>0</v>
      </c>
      <c r="S149" t="b">
        <f>IF(AY19=INDEX(ddSingleOrMulti,2),TRUE,FALSE)</f>
        <v>0</v>
      </c>
      <c r="T149" t="b">
        <f>AND(NOT(S149),W149=TRUE)</f>
        <v>0</v>
      </c>
      <c r="V149" s="65"/>
      <c r="W149" s="17"/>
      <c r="X149" s="36"/>
      <c r="AC149" t="b">
        <f>OR(AD149:AE149)</f>
        <v>0</v>
      </c>
      <c r="AD149" t="b">
        <f>T149</f>
        <v>0</v>
      </c>
      <c r="AP149" t="str">
        <f>SUBSTITUTE(SUBSTITUTE(SUBSTITUTE("dch"&amp;$B149&amp;$C149&amp;$D149&amp;$E149,".","_"),"(","_"),")","")</f>
        <v>dch1002_3_10</v>
      </c>
      <c r="AQ149" t="str">
        <f>IF(LEN(W149)=0,"",W149)</f>
        <v/>
      </c>
      <c r="AR149" t="str">
        <f>SUBSTITUTE(SUBSTITUTE(SUBSTITUTE("dnt"&amp;$B149&amp;$C149&amp;$D149&amp;$E149,".","_"),"(","_"),")","")</f>
        <v>dnt1002_3_10</v>
      </c>
      <c r="AS149" t="str">
        <f>IF(LEN(X149)=0,"",X149)</f>
        <v/>
      </c>
    </row>
    <row r="150" spans="2:45" customFormat="1" x14ac:dyDescent="0.35">
      <c r="B150" s="412">
        <v>1002.3</v>
      </c>
      <c r="C150" s="13" t="s">
        <v>434</v>
      </c>
      <c r="J150" s="424" t="s">
        <v>434</v>
      </c>
      <c r="K150" s="519"/>
      <c r="L150" s="971" t="s">
        <v>4547</v>
      </c>
      <c r="P150" t="b">
        <v>0</v>
      </c>
      <c r="Q150" t="b">
        <v>1</v>
      </c>
      <c r="R150" t="b">
        <v>0</v>
      </c>
      <c r="S150" t="b">
        <f>IF(AY19=INDEX(ddSingleOrMulti,2),TRUE,FALSE)</f>
        <v>0</v>
      </c>
      <c r="T150" t="b">
        <f>AND(NOT(S150),W150=TRUE)</f>
        <v>0</v>
      </c>
      <c r="W150" s="17"/>
      <c r="X150" s="817"/>
      <c r="AP150" t="str">
        <f>SUBSTITUTE(SUBSTITUTE(SUBSTITUTE("dch"&amp;$B150&amp;$C150&amp;$D150&amp;$E150,".","_"),"(","_"),")","")</f>
        <v>dch1002_3_11</v>
      </c>
      <c r="AQ150" t="str">
        <f>IF(LEN(W150)=0,"",W150)</f>
        <v/>
      </c>
      <c r="AR150" t="str">
        <f>SUBSTITUTE(SUBSTITUTE(SUBSTITUTE("dnt"&amp;$B150&amp;$C150&amp;$D150&amp;$E150,".","_"),"(","_"),")","")</f>
        <v>dnt1002_3_11</v>
      </c>
      <c r="AS150" t="str">
        <f>IF(LEN(X150)=0,"",X150)</f>
        <v/>
      </c>
    </row>
    <row r="151" spans="2:45" customFormat="1" ht="15" thickBot="1" x14ac:dyDescent="0.4">
      <c r="B151" s="412">
        <v>1002.3</v>
      </c>
      <c r="C151" s="13" t="s">
        <v>434</v>
      </c>
      <c r="I151" s="55"/>
      <c r="J151" s="413"/>
      <c r="K151" s="413"/>
      <c r="L151" s="972"/>
      <c r="M151" s="55"/>
      <c r="N151" s="55"/>
      <c r="O151" s="55"/>
      <c r="P151" s="55"/>
      <c r="Q151" s="55"/>
      <c r="R151" s="55"/>
      <c r="S151" s="55"/>
      <c r="T151" s="55"/>
      <c r="U151" s="55"/>
      <c r="V151" s="55"/>
      <c r="W151" s="55"/>
      <c r="X151" s="829"/>
    </row>
    <row r="152" spans="2:45" ht="15" thickTop="1" x14ac:dyDescent="0.35">
      <c r="B152" s="412">
        <v>1002.4</v>
      </c>
      <c r="C152" s="13"/>
      <c r="D152" s="13"/>
      <c r="E152" s="13"/>
      <c r="F152" s="13" t="s">
        <v>4889</v>
      </c>
      <c r="G152" s="13"/>
      <c r="H152" s="453"/>
      <c r="I152" s="31">
        <v>1002.4</v>
      </c>
      <c r="J152" s="4"/>
      <c r="K152" s="4"/>
      <c r="L152" s="838" t="s">
        <v>3355</v>
      </c>
      <c r="M152" s="899" t="str">
        <f>IF(R152,"Mandatory","N/A")</f>
        <v>N/A</v>
      </c>
      <c r="N152" s="4"/>
      <c r="O152" s="831">
        <f>M154*W152*S152</f>
        <v>0</v>
      </c>
      <c r="P152" t="b">
        <v>0</v>
      </c>
      <c r="Q152" t="b">
        <v>1</v>
      </c>
      <c r="R152" t="b">
        <f>S152</f>
        <v>0</v>
      </c>
      <c r="S152" t="b">
        <f>IF(AY19=INDEX(ddSingleOrMulti,2),TRUE,FALSE)</f>
        <v>0</v>
      </c>
      <c r="T152" t="b">
        <f>AND(NOT(S152),W152=TRUE)</f>
        <v>0</v>
      </c>
      <c r="W152" s="69"/>
      <c r="X152" s="864"/>
      <c r="AC152" t="b">
        <f>OR(AD152:AE152)</f>
        <v>0</v>
      </c>
      <c r="AD152" t="b">
        <f>T152</f>
        <v>0</v>
      </c>
      <c r="AE152" t="b">
        <f>AND(R152,NOT(W152=TRUE))</f>
        <v>0</v>
      </c>
      <c r="AL152" s="1" t="str">
        <f>SUBSTITUTE(SUBSTITUTE(SUBSTITUTE("dpa"&amp;$B152&amp;$C152&amp;$D152&amp;$E152&amp;$F152,".","_"),"(","_"),")","")</f>
        <v>dpa1002_4_m</v>
      </c>
      <c r="AM152" t="str">
        <f>M152</f>
        <v>N/A</v>
      </c>
      <c r="AN152" t="str">
        <f>SUBSTITUTE(SUBSTITUTE(SUBSTITUTE("dpc"&amp;$B152&amp;$C152&amp;$D152&amp;$E152,".","_"),"(","_"),")","")</f>
        <v>dpc1002_4</v>
      </c>
      <c r="AO152">
        <f>O152</f>
        <v>0</v>
      </c>
      <c r="AP152" t="str">
        <f>SUBSTITUTE(SUBSTITUTE(SUBSTITUTE("dch"&amp;$B152&amp;$C152&amp;$D152&amp;$E152,".","_"),"(","_"),")","")</f>
        <v>dch1002_4</v>
      </c>
      <c r="AQ152" t="str">
        <f>IF(LEN(W152)=0,"",W152)</f>
        <v/>
      </c>
      <c r="AR152" t="str">
        <f>SUBSTITUTE(SUBSTITUTE(SUBSTITUTE("dnt"&amp;$B152&amp;$C152&amp;$D152&amp;$E152,".","_"),"(","_"),")","")</f>
        <v>dnt1002_4</v>
      </c>
      <c r="AS152" t="str">
        <f>IF(LEN(X152)=0,"",X152)</f>
        <v/>
      </c>
    </row>
    <row r="153" spans="2:45" x14ac:dyDescent="0.35">
      <c r="B153" s="412">
        <v>1002.4</v>
      </c>
      <c r="C153" s="13"/>
      <c r="D153" s="13"/>
      <c r="E153" s="13"/>
      <c r="F153" s="13"/>
      <c r="G153" s="13"/>
      <c r="H153" s="453"/>
      <c r="I153" s="4"/>
      <c r="J153" s="4"/>
      <c r="K153" s="4"/>
      <c r="L153" s="838"/>
      <c r="M153" s="885"/>
      <c r="N153" s="4"/>
      <c r="O153" s="832"/>
      <c r="X153" s="851"/>
    </row>
    <row r="154" spans="2:45" x14ac:dyDescent="0.35">
      <c r="B154" s="412">
        <v>1002.4</v>
      </c>
      <c r="C154" s="13"/>
      <c r="D154" s="13"/>
      <c r="E154" s="13"/>
      <c r="F154" s="13"/>
      <c r="G154" s="13"/>
      <c r="H154" s="453"/>
      <c r="I154" s="4"/>
      <c r="J154" s="4"/>
      <c r="K154" s="4"/>
      <c r="L154" s="838"/>
      <c r="M154" s="834">
        <v>8</v>
      </c>
      <c r="N154" s="4"/>
      <c r="O154" s="832"/>
      <c r="X154" s="851"/>
      <c r="AL154" t="str">
        <f>SUBSTITUTE(SUBSTITUTE(SUBSTITUTE("dpa"&amp;$B154&amp;$C154&amp;$D154&amp;$E154,".","_"),"(","_"),")","")</f>
        <v>dpa1002_4</v>
      </c>
      <c r="AM154">
        <f>M154</f>
        <v>8</v>
      </c>
    </row>
    <row r="155" spans="2:45" x14ac:dyDescent="0.35">
      <c r="B155" s="412">
        <v>1002.4</v>
      </c>
      <c r="C155" s="13"/>
      <c r="D155" s="13"/>
      <c r="E155" s="13"/>
      <c r="F155" s="13"/>
      <c r="G155" s="13"/>
      <c r="H155" s="453"/>
      <c r="I155" s="4"/>
      <c r="J155" s="4"/>
      <c r="K155" s="4"/>
      <c r="L155" s="838"/>
      <c r="M155" s="834"/>
      <c r="N155" s="4"/>
      <c r="O155" s="832"/>
      <c r="X155" s="851"/>
    </row>
    <row r="156" spans="2:45" x14ac:dyDescent="0.35">
      <c r="B156" s="412">
        <v>1002.4</v>
      </c>
      <c r="C156" s="13"/>
      <c r="D156" s="13"/>
      <c r="E156" s="13"/>
      <c r="F156" s="13"/>
      <c r="G156" s="13"/>
      <c r="H156" s="453"/>
      <c r="I156" s="4"/>
      <c r="J156" s="4"/>
      <c r="K156" s="4"/>
      <c r="L156" s="838"/>
      <c r="M156" s="834"/>
      <c r="N156" s="4"/>
      <c r="O156" s="832"/>
      <c r="X156" s="851"/>
    </row>
    <row r="157" spans="2:45" x14ac:dyDescent="0.35">
      <c r="B157" s="412">
        <v>1002.4</v>
      </c>
      <c r="C157" s="13" t="s">
        <v>256</v>
      </c>
      <c r="D157" s="13"/>
      <c r="E157" s="13"/>
      <c r="F157" s="13"/>
      <c r="G157" s="13"/>
      <c r="H157" s="453"/>
      <c r="I157" s="4"/>
      <c r="J157" s="19" t="s">
        <v>256</v>
      </c>
      <c r="K157" s="4"/>
      <c r="L157" s="146" t="s">
        <v>3345</v>
      </c>
      <c r="M157" s="75"/>
      <c r="N157" s="4"/>
      <c r="O157" s="75"/>
      <c r="X157" s="851"/>
    </row>
    <row r="158" spans="2:45" x14ac:dyDescent="0.35">
      <c r="B158" s="412">
        <v>1002.4</v>
      </c>
      <c r="C158" s="13" t="s">
        <v>258</v>
      </c>
      <c r="D158" s="13"/>
      <c r="E158" s="13"/>
      <c r="F158" s="13"/>
      <c r="G158" s="13"/>
      <c r="H158" s="453"/>
      <c r="I158" s="4"/>
      <c r="J158" s="19" t="s">
        <v>258</v>
      </c>
      <c r="K158" s="4"/>
      <c r="L158" s="146" t="s">
        <v>3346</v>
      </c>
      <c r="M158" s="75"/>
      <c r="N158" s="4"/>
      <c r="O158" s="75"/>
      <c r="X158" s="851"/>
    </row>
    <row r="159" spans="2:45" x14ac:dyDescent="0.35">
      <c r="B159" s="412">
        <v>1002.4</v>
      </c>
      <c r="C159" s="13" t="s">
        <v>260</v>
      </c>
      <c r="D159" s="13"/>
      <c r="E159" s="13"/>
      <c r="F159" s="13"/>
      <c r="G159" s="13"/>
      <c r="H159" s="453"/>
      <c r="I159" s="4"/>
      <c r="J159" s="19" t="s">
        <v>260</v>
      </c>
      <c r="K159" s="4"/>
      <c r="L159" s="146" t="s">
        <v>3347</v>
      </c>
      <c r="M159" s="75"/>
      <c r="N159" s="4"/>
      <c r="O159" s="75"/>
      <c r="X159" s="851"/>
    </row>
    <row r="160" spans="2:45" x14ac:dyDescent="0.35">
      <c r="B160" s="412">
        <v>1002.4</v>
      </c>
      <c r="C160" s="13" t="s">
        <v>269</v>
      </c>
      <c r="D160" s="13"/>
      <c r="E160" s="13"/>
      <c r="F160" s="13"/>
      <c r="G160" s="13"/>
      <c r="H160" s="453"/>
      <c r="I160" s="4"/>
      <c r="J160" s="19" t="s">
        <v>269</v>
      </c>
      <c r="K160" s="4"/>
      <c r="L160" s="146" t="s">
        <v>3356</v>
      </c>
      <c r="M160" s="75"/>
      <c r="N160" s="4"/>
      <c r="O160" s="75"/>
      <c r="X160" s="851"/>
    </row>
    <row r="161" spans="1:45" x14ac:dyDescent="0.35">
      <c r="B161" s="412">
        <v>1002.4</v>
      </c>
      <c r="C161" s="13" t="s">
        <v>275</v>
      </c>
      <c r="D161" s="13"/>
      <c r="E161" s="13"/>
      <c r="F161" s="13"/>
      <c r="G161" s="13"/>
      <c r="H161" s="453"/>
      <c r="I161" s="4"/>
      <c r="J161" s="19" t="s">
        <v>275</v>
      </c>
      <c r="K161" s="4"/>
      <c r="L161" s="146" t="s">
        <v>3357</v>
      </c>
      <c r="M161" s="75"/>
      <c r="N161" s="4"/>
      <c r="O161" s="75"/>
      <c r="X161" s="851"/>
    </row>
    <row r="162" spans="1:45" x14ac:dyDescent="0.35">
      <c r="B162" s="412">
        <v>1002.4</v>
      </c>
      <c r="C162" s="13" t="s">
        <v>277</v>
      </c>
      <c r="D162" s="13"/>
      <c r="E162" s="13"/>
      <c r="F162" s="13"/>
      <c r="G162" s="13"/>
      <c r="H162" s="453"/>
      <c r="I162" s="4"/>
      <c r="J162" s="19" t="s">
        <v>277</v>
      </c>
      <c r="K162" s="4"/>
      <c r="L162" s="146" t="s">
        <v>3350</v>
      </c>
      <c r="M162" s="75"/>
      <c r="N162" s="4"/>
      <c r="O162" s="75"/>
      <c r="X162" s="851"/>
    </row>
    <row r="163" spans="1:45" x14ac:dyDescent="0.35">
      <c r="B163" s="412">
        <v>1002.4</v>
      </c>
      <c r="C163" s="13" t="s">
        <v>383</v>
      </c>
      <c r="D163" s="13"/>
      <c r="E163" s="13"/>
      <c r="F163" s="13"/>
      <c r="G163" s="13"/>
      <c r="H163" s="453"/>
      <c r="I163" s="4"/>
      <c r="J163" s="19" t="s">
        <v>383</v>
      </c>
      <c r="K163" s="4"/>
      <c r="L163" s="146" t="s">
        <v>3358</v>
      </c>
      <c r="M163" s="75"/>
      <c r="N163" s="4"/>
      <c r="O163" s="75"/>
      <c r="X163" s="851"/>
    </row>
    <row r="164" spans="1:45" ht="15" thickBot="1" x14ac:dyDescent="0.4">
      <c r="B164" s="412">
        <v>1002.4</v>
      </c>
      <c r="C164" s="13" t="s">
        <v>428</v>
      </c>
      <c r="D164" s="13"/>
      <c r="E164" s="13"/>
      <c r="F164" s="13"/>
      <c r="G164" s="13"/>
      <c r="H164" s="453"/>
      <c r="I164" s="160"/>
      <c r="J164" s="407" t="s">
        <v>428</v>
      </c>
      <c r="K164" s="413"/>
      <c r="L164" s="229" t="s">
        <v>4548</v>
      </c>
      <c r="M164" s="161"/>
      <c r="N164" s="160"/>
      <c r="O164" s="161"/>
      <c r="P164" s="55"/>
      <c r="Q164" s="55"/>
      <c r="R164" s="55"/>
      <c r="S164" s="55"/>
      <c r="T164" s="55"/>
      <c r="U164" s="55"/>
      <c r="V164" s="55"/>
      <c r="W164" s="55"/>
      <c r="X164" s="852"/>
    </row>
    <row r="165" spans="1:45" ht="15" thickTop="1" x14ac:dyDescent="0.35">
      <c r="A165"/>
      <c r="B165" s="412" t="s">
        <v>4549</v>
      </c>
      <c r="C165" s="412"/>
      <c r="D165"/>
      <c r="E165"/>
      <c r="F165"/>
      <c r="G165"/>
      <c r="H165"/>
      <c r="I165" s="402" t="s">
        <v>4549</v>
      </c>
      <c r="J165" s="402"/>
      <c r="K165" s="412"/>
      <c r="L165" s="919" t="s">
        <v>4551</v>
      </c>
      <c r="M165" s="938" t="s">
        <v>4568</v>
      </c>
      <c r="N165" s="4"/>
      <c r="O165" s="832">
        <f>IF(AND(COUNTIF(W167:W169,TRUE)=3,S167),ROUNDDOWN(COUNTIF(W171:W176,TRUE)/2,0),0)</f>
        <v>0</v>
      </c>
      <c r="AL165" t="str">
        <f>SUBSTITUTE(SUBSTITUTE(SUBSTITUTE("dpa"&amp;$B165&amp;$C165&amp;$D165&amp;$E165,".","_"),"(","_"),")","")</f>
        <v>dpa1002_5</v>
      </c>
      <c r="AM165" t="str">
        <f>M165</f>
        <v>1 per 2 items</v>
      </c>
      <c r="AN165" t="str">
        <f>SUBSTITUTE(SUBSTITUTE(SUBSTITUTE("dpc"&amp;$B165&amp;$C165&amp;$D165&amp;$E165,".","_"),"(","_"),")","")</f>
        <v>dpc1002_5</v>
      </c>
      <c r="AO165">
        <f>O165</f>
        <v>0</v>
      </c>
    </row>
    <row r="166" spans="1:45" x14ac:dyDescent="0.35">
      <c r="A166"/>
      <c r="B166" s="412" t="s">
        <v>4549</v>
      </c>
      <c r="C166" s="412"/>
      <c r="D166"/>
      <c r="E166"/>
      <c r="F166"/>
      <c r="G166"/>
      <c r="H166"/>
      <c r="I166" s="402"/>
      <c r="J166" s="402"/>
      <c r="K166" s="412"/>
      <c r="L166" s="919"/>
      <c r="M166" s="938"/>
      <c r="N166" s="4"/>
      <c r="O166" s="832"/>
    </row>
    <row r="167" spans="1:45" x14ac:dyDescent="0.35">
      <c r="A167"/>
      <c r="B167" s="412" t="s">
        <v>4549</v>
      </c>
      <c r="C167" s="412" t="s">
        <v>256</v>
      </c>
      <c r="D167"/>
      <c r="E167"/>
      <c r="F167"/>
      <c r="G167"/>
      <c r="H167"/>
      <c r="I167" s="402"/>
      <c r="J167" s="402" t="s">
        <v>256</v>
      </c>
      <c r="K167" s="412"/>
      <c r="L167" s="90" t="s">
        <v>4552</v>
      </c>
      <c r="M167" s="459" t="str">
        <f>IF(R167,"Mandatory","N/A")</f>
        <v>N/A</v>
      </c>
      <c r="N167" s="4"/>
      <c r="O167" s="75"/>
      <c r="P167" t="b">
        <v>0</v>
      </c>
      <c r="Q167" t="b">
        <v>1</v>
      </c>
      <c r="R167" t="b">
        <f>S167</f>
        <v>0</v>
      </c>
      <c r="S167" t="b">
        <f>IF(AY19=INDEX(ddSingleOrMulti,2),TRUE,FALSE)</f>
        <v>0</v>
      </c>
      <c r="T167" t="b">
        <f>AND(NOT(S167),W167=TRUE)</f>
        <v>0</v>
      </c>
      <c r="W167" s="17"/>
      <c r="X167" s="36"/>
      <c r="AC167" t="b">
        <f>OR(AD167:AE167)</f>
        <v>0</v>
      </c>
      <c r="AD167" t="b">
        <f>T167</f>
        <v>0</v>
      </c>
      <c r="AE167" t="b">
        <f>AND(R167,NOT(W167=TRUE))</f>
        <v>0</v>
      </c>
      <c r="AL167" t="str">
        <f>SUBSTITUTE(SUBSTITUTE(SUBSTITUTE("dpa"&amp;$B167&amp;$C167&amp;$D167&amp;$E167,".","_"),"(","_"),")","")</f>
        <v>dpa1002_5_1</v>
      </c>
      <c r="AM167" t="str">
        <f>M167</f>
        <v>N/A</v>
      </c>
      <c r="AP167" t="str">
        <f>SUBSTITUTE(SUBSTITUTE(SUBSTITUTE("dch"&amp;$B167&amp;$C167&amp;$D167&amp;$E167,".","_"),"(","_"),")","")</f>
        <v>dch1002_5_1</v>
      </c>
      <c r="AQ167" t="str">
        <f>IF(LEN(W167)=0,"",W167)</f>
        <v/>
      </c>
      <c r="AR167" t="str">
        <f>SUBSTITUTE(SUBSTITUTE(SUBSTITUTE("dnt"&amp;$B167&amp;$C167&amp;$D167&amp;$E167,".","_"),"(","_"),")","")</f>
        <v>dnt1002_5_1</v>
      </c>
      <c r="AS167" t="str">
        <f>IF(LEN(X167)=0,"",X167)</f>
        <v/>
      </c>
    </row>
    <row r="168" spans="1:45" x14ac:dyDescent="0.35">
      <c r="A168"/>
      <c r="B168" s="412" t="s">
        <v>4549</v>
      </c>
      <c r="C168" s="412" t="s">
        <v>258</v>
      </c>
      <c r="D168"/>
      <c r="E168"/>
      <c r="F168"/>
      <c r="G168"/>
      <c r="H168"/>
      <c r="I168" s="402"/>
      <c r="J168" s="402" t="s">
        <v>258</v>
      </c>
      <c r="K168" s="412"/>
      <c r="L168" s="90" t="s">
        <v>4553</v>
      </c>
      <c r="M168" s="459" t="str">
        <f>IF(R168,"Mandatory","N/A")</f>
        <v>N/A</v>
      </c>
      <c r="N168" s="4"/>
      <c r="O168" s="75"/>
      <c r="P168" t="b">
        <v>0</v>
      </c>
      <c r="Q168" t="b">
        <v>1</v>
      </c>
      <c r="R168" t="b">
        <f>S168</f>
        <v>0</v>
      </c>
      <c r="S168" t="b">
        <f>IF(AY19=INDEX(ddSingleOrMulti,2),TRUE,FALSE)</f>
        <v>0</v>
      </c>
      <c r="T168" t="b">
        <f>AND(NOT(S168),W168=TRUE)</f>
        <v>0</v>
      </c>
      <c r="W168" s="17"/>
      <c r="X168" s="36"/>
      <c r="AC168" t="b">
        <f>OR(AD168:AE168)</f>
        <v>0</v>
      </c>
      <c r="AD168" t="b">
        <f>T168</f>
        <v>0</v>
      </c>
      <c r="AE168" t="b">
        <f>AND(R168,NOT(W168=TRUE))</f>
        <v>0</v>
      </c>
      <c r="AL168" t="str">
        <f>SUBSTITUTE(SUBSTITUTE(SUBSTITUTE("dpa"&amp;$B168&amp;$C168&amp;$D168&amp;$E168,".","_"),"(","_"),")","")</f>
        <v>dpa1002_5_2</v>
      </c>
      <c r="AM168" t="str">
        <f>M168</f>
        <v>N/A</v>
      </c>
      <c r="AP168" t="str">
        <f>SUBSTITUTE(SUBSTITUTE(SUBSTITUTE("dch"&amp;$B168&amp;$C168&amp;$D168&amp;$E168,".","_"),"(","_"),")","")</f>
        <v>dch1002_5_2</v>
      </c>
      <c r="AQ168" t="str">
        <f>IF(LEN(W168)=0,"",W168)</f>
        <v/>
      </c>
      <c r="AR168" t="str">
        <f>SUBSTITUTE(SUBSTITUTE(SUBSTITUTE("dnt"&amp;$B168&amp;$C168&amp;$D168&amp;$E168,".","_"),"(","_"),")","")</f>
        <v>dnt1002_5_2</v>
      </c>
      <c r="AS168" t="str">
        <f>IF(LEN(X168)=0,"",X168)</f>
        <v/>
      </c>
    </row>
    <row r="169" spans="1:45" x14ac:dyDescent="0.35">
      <c r="A169"/>
      <c r="B169" s="412" t="s">
        <v>4549</v>
      </c>
      <c r="C169" s="412" t="s">
        <v>260</v>
      </c>
      <c r="D169"/>
      <c r="E169"/>
      <c r="F169"/>
      <c r="G169"/>
      <c r="H169"/>
      <c r="I169" s="402"/>
      <c r="J169" s="402" t="s">
        <v>260</v>
      </c>
      <c r="K169" s="412"/>
      <c r="L169" s="848" t="s">
        <v>4554</v>
      </c>
      <c r="M169" s="459" t="str">
        <f>IF(R169,"Mandatory","N/A")</f>
        <v>N/A</v>
      </c>
      <c r="N169" s="4"/>
      <c r="O169" s="75"/>
      <c r="P169" t="b">
        <v>0</v>
      </c>
      <c r="Q169" t="b">
        <v>1</v>
      </c>
      <c r="R169" t="b">
        <f>S169</f>
        <v>0</v>
      </c>
      <c r="S169" t="b">
        <f>IF(AY19=INDEX(ddSingleOrMulti,2),TRUE,FALSE)</f>
        <v>0</v>
      </c>
      <c r="T169" t="b">
        <f>AND(NOT(S169),W169=TRUE)</f>
        <v>0</v>
      </c>
      <c r="W169" s="17"/>
      <c r="X169" s="817"/>
      <c r="AC169" t="b">
        <f>OR(AD169:AE169)</f>
        <v>0</v>
      </c>
      <c r="AD169" t="b">
        <f>T169</f>
        <v>0</v>
      </c>
      <c r="AE169" t="b">
        <f>AND(R169,NOT(W169=TRUE))</f>
        <v>0</v>
      </c>
      <c r="AL169" t="str">
        <f>SUBSTITUTE(SUBSTITUTE(SUBSTITUTE("dpa"&amp;$B169&amp;$C169&amp;$D169&amp;$E169,".","_"),"(","_"),")","")</f>
        <v>dpa1002_5_3</v>
      </c>
      <c r="AM169" t="str">
        <f>M169</f>
        <v>N/A</v>
      </c>
      <c r="AP169" t="str">
        <f>SUBSTITUTE(SUBSTITUTE(SUBSTITUTE("dch"&amp;$B169&amp;$C169&amp;$D169&amp;$E169,".","_"),"(","_"),")","")</f>
        <v>dch1002_5_3</v>
      </c>
      <c r="AQ169" t="str">
        <f>IF(LEN(W169)=0,"",W169)</f>
        <v/>
      </c>
      <c r="AR169" t="str">
        <f>SUBSTITUTE(SUBSTITUTE(SUBSTITUTE("dnt"&amp;$B169&amp;$C169&amp;$D169&amp;$E169,".","_"),"(","_"),")","")</f>
        <v>dnt1002_5_3</v>
      </c>
      <c r="AS169" t="str">
        <f>IF(LEN(X169)=0,"",X169)</f>
        <v/>
      </c>
    </row>
    <row r="170" spans="1:45" x14ac:dyDescent="0.35">
      <c r="A170"/>
      <c r="B170" s="412" t="s">
        <v>4549</v>
      </c>
      <c r="C170" s="412" t="s">
        <v>260</v>
      </c>
      <c r="D170"/>
      <c r="E170"/>
      <c r="F170"/>
      <c r="G170"/>
      <c r="H170"/>
      <c r="I170" s="402"/>
      <c r="J170" s="402"/>
      <c r="K170" s="412"/>
      <c r="L170" s="848"/>
      <c r="M170" s="75"/>
      <c r="N170" s="4"/>
      <c r="O170" s="75"/>
      <c r="X170" s="817"/>
    </row>
    <row r="171" spans="1:45" x14ac:dyDescent="0.35">
      <c r="A171"/>
      <c r="B171" s="412" t="s">
        <v>4549</v>
      </c>
      <c r="C171" s="412" t="s">
        <v>269</v>
      </c>
      <c r="D171"/>
      <c r="E171"/>
      <c r="F171"/>
      <c r="G171"/>
      <c r="H171"/>
      <c r="I171" s="402"/>
      <c r="J171" s="402" t="s">
        <v>269</v>
      </c>
      <c r="K171" s="412"/>
      <c r="L171" s="90" t="s">
        <v>4555</v>
      </c>
      <c r="M171" s="75"/>
      <c r="N171" s="4"/>
      <c r="O171" s="75"/>
      <c r="P171" t="b">
        <v>0</v>
      </c>
      <c r="Q171" t="b">
        <v>1</v>
      </c>
      <c r="R171" t="b">
        <v>0</v>
      </c>
      <c r="S171" t="b">
        <f>IF(AY19=INDEX(ddSingleOrMulti,2),TRUE,FALSE)</f>
        <v>0</v>
      </c>
      <c r="T171" t="b">
        <f t="shared" ref="T171:T176" si="2">AND(NOT(S171),W171=TRUE)</f>
        <v>0</v>
      </c>
      <c r="W171" s="17"/>
      <c r="X171" s="36"/>
      <c r="AC171" t="b">
        <f t="shared" ref="AC171:AC176" si="3">OR(AD171:AE171)</f>
        <v>0</v>
      </c>
      <c r="AD171" t="b">
        <f t="shared" ref="AD171:AD176" si="4">T171</f>
        <v>0</v>
      </c>
      <c r="AP171" t="str">
        <f t="shared" ref="AP171:AP176" si="5">SUBSTITUTE(SUBSTITUTE(SUBSTITUTE("dch"&amp;$B171&amp;$C171&amp;$D171&amp;$E171,".","_"),"(","_"),")","")</f>
        <v>dch1002_5_4</v>
      </c>
      <c r="AQ171" t="str">
        <f t="shared" ref="AQ171:AQ176" si="6">IF(LEN(W171)=0,"",W171)</f>
        <v/>
      </c>
      <c r="AR171" t="str">
        <f t="shared" ref="AR171:AR176" si="7">SUBSTITUTE(SUBSTITUTE(SUBSTITUTE("dnt"&amp;$B171&amp;$C171&amp;$D171&amp;$E171,".","_"),"(","_"),")","")</f>
        <v>dnt1002_5_4</v>
      </c>
      <c r="AS171" t="str">
        <f t="shared" ref="AS171:AS176" si="8">IF(LEN(X171)=0,"",X171)</f>
        <v/>
      </c>
    </row>
    <row r="172" spans="1:45" x14ac:dyDescent="0.35">
      <c r="A172"/>
      <c r="B172" s="412" t="s">
        <v>4549</v>
      </c>
      <c r="C172" s="412" t="s">
        <v>275</v>
      </c>
      <c r="D172"/>
      <c r="E172"/>
      <c r="F172"/>
      <c r="G172"/>
      <c r="H172"/>
      <c r="I172" s="402"/>
      <c r="J172" s="402" t="s">
        <v>275</v>
      </c>
      <c r="K172" s="412"/>
      <c r="L172" s="90" t="s">
        <v>4556</v>
      </c>
      <c r="M172" s="75"/>
      <c r="N172" s="4"/>
      <c r="O172" s="75"/>
      <c r="P172" t="b">
        <v>0</v>
      </c>
      <c r="Q172" t="b">
        <v>1</v>
      </c>
      <c r="R172" t="b">
        <v>0</v>
      </c>
      <c r="S172" t="b">
        <f>IF(AY19=INDEX(ddSingleOrMulti,2),TRUE,FALSE)</f>
        <v>0</v>
      </c>
      <c r="T172" t="b">
        <f t="shared" si="2"/>
        <v>0</v>
      </c>
      <c r="W172" s="17"/>
      <c r="X172" s="36"/>
      <c r="AC172" t="b">
        <f t="shared" si="3"/>
        <v>0</v>
      </c>
      <c r="AD172" t="b">
        <f t="shared" si="4"/>
        <v>0</v>
      </c>
      <c r="AP172" t="str">
        <f t="shared" si="5"/>
        <v>dch1002_5_5</v>
      </c>
      <c r="AQ172" t="str">
        <f t="shared" si="6"/>
        <v/>
      </c>
      <c r="AR172" t="str">
        <f t="shared" si="7"/>
        <v>dnt1002_5_5</v>
      </c>
      <c r="AS172" t="str">
        <f t="shared" si="8"/>
        <v/>
      </c>
    </row>
    <row r="173" spans="1:45" x14ac:dyDescent="0.35">
      <c r="A173"/>
      <c r="B173" s="412" t="s">
        <v>4549</v>
      </c>
      <c r="C173" s="412" t="s">
        <v>277</v>
      </c>
      <c r="D173"/>
      <c r="E173"/>
      <c r="F173"/>
      <c r="G173"/>
      <c r="H173"/>
      <c r="I173" s="402"/>
      <c r="J173" s="402" t="s">
        <v>277</v>
      </c>
      <c r="K173" s="412"/>
      <c r="L173" s="90" t="s">
        <v>4557</v>
      </c>
      <c r="M173" s="75"/>
      <c r="N173" s="4"/>
      <c r="O173" s="75"/>
      <c r="P173" t="b">
        <v>0</v>
      </c>
      <c r="Q173" t="b">
        <v>1</v>
      </c>
      <c r="R173" t="b">
        <v>0</v>
      </c>
      <c r="S173" t="b">
        <f>IF(AY19=INDEX(ddSingleOrMulti,2),TRUE,FALSE)</f>
        <v>0</v>
      </c>
      <c r="T173" t="b">
        <f t="shared" si="2"/>
        <v>0</v>
      </c>
      <c r="W173" s="17"/>
      <c r="X173" s="36"/>
      <c r="AC173" t="b">
        <f t="shared" si="3"/>
        <v>0</v>
      </c>
      <c r="AD173" t="b">
        <f t="shared" si="4"/>
        <v>0</v>
      </c>
      <c r="AP173" t="str">
        <f t="shared" si="5"/>
        <v>dch1002_5_6</v>
      </c>
      <c r="AQ173" t="str">
        <f t="shared" si="6"/>
        <v/>
      </c>
      <c r="AR173" t="str">
        <f t="shared" si="7"/>
        <v>dnt1002_5_6</v>
      </c>
      <c r="AS173" t="str">
        <f t="shared" si="8"/>
        <v/>
      </c>
    </row>
    <row r="174" spans="1:45" x14ac:dyDescent="0.35">
      <c r="A174"/>
      <c r="B174" s="412" t="s">
        <v>4549</v>
      </c>
      <c r="C174" s="412" t="s">
        <v>383</v>
      </c>
      <c r="D174"/>
      <c r="E174"/>
      <c r="F174"/>
      <c r="G174"/>
      <c r="H174"/>
      <c r="I174" s="402"/>
      <c r="J174" s="402" t="s">
        <v>383</v>
      </c>
      <c r="K174" s="412"/>
      <c r="L174" s="90" t="s">
        <v>4558</v>
      </c>
      <c r="M174" s="75"/>
      <c r="N174" s="4"/>
      <c r="O174" s="75"/>
      <c r="P174" t="b">
        <v>0</v>
      </c>
      <c r="Q174" t="b">
        <v>1</v>
      </c>
      <c r="R174" t="b">
        <v>0</v>
      </c>
      <c r="S174" t="b">
        <f>IF(AY19=INDEX(ddSingleOrMulti,2),TRUE,FALSE)</f>
        <v>0</v>
      </c>
      <c r="T174" t="b">
        <f t="shared" si="2"/>
        <v>0</v>
      </c>
      <c r="W174" s="17"/>
      <c r="X174" s="36"/>
      <c r="AC174" t="b">
        <f t="shared" si="3"/>
        <v>0</v>
      </c>
      <c r="AD174" t="b">
        <f t="shared" si="4"/>
        <v>0</v>
      </c>
      <c r="AP174" t="str">
        <f t="shared" si="5"/>
        <v>dch1002_5_7</v>
      </c>
      <c r="AQ174" t="str">
        <f t="shared" si="6"/>
        <v/>
      </c>
      <c r="AR174" t="str">
        <f t="shared" si="7"/>
        <v>dnt1002_5_7</v>
      </c>
      <c r="AS174" t="str">
        <f t="shared" si="8"/>
        <v/>
      </c>
    </row>
    <row r="175" spans="1:45" x14ac:dyDescent="0.35">
      <c r="A175"/>
      <c r="B175" s="412" t="s">
        <v>4549</v>
      </c>
      <c r="C175" s="412" t="s">
        <v>428</v>
      </c>
      <c r="D175"/>
      <c r="E175"/>
      <c r="F175"/>
      <c r="G175"/>
      <c r="H175"/>
      <c r="I175" s="402"/>
      <c r="J175" s="402" t="s">
        <v>428</v>
      </c>
      <c r="K175" s="412"/>
      <c r="L175" s="90" t="s">
        <v>4559</v>
      </c>
      <c r="M175" s="75"/>
      <c r="N175" s="4"/>
      <c r="O175" s="75"/>
      <c r="P175" t="b">
        <v>0</v>
      </c>
      <c r="Q175" t="b">
        <v>1</v>
      </c>
      <c r="R175" t="b">
        <v>0</v>
      </c>
      <c r="S175" t="b">
        <f>IF(AY19=INDEX(ddSingleOrMulti,2),TRUE,FALSE)</f>
        <v>0</v>
      </c>
      <c r="T175" t="b">
        <f t="shared" si="2"/>
        <v>0</v>
      </c>
      <c r="W175" s="17"/>
      <c r="X175" s="36"/>
      <c r="AC175" t="b">
        <f t="shared" si="3"/>
        <v>0</v>
      </c>
      <c r="AD175" t="b">
        <f t="shared" si="4"/>
        <v>0</v>
      </c>
      <c r="AP175" t="str">
        <f t="shared" si="5"/>
        <v>dch1002_5_8</v>
      </c>
      <c r="AQ175" t="str">
        <f t="shared" si="6"/>
        <v/>
      </c>
      <c r="AR175" t="str">
        <f t="shared" si="7"/>
        <v>dnt1002_5_8</v>
      </c>
      <c r="AS175" t="str">
        <f t="shared" si="8"/>
        <v/>
      </c>
    </row>
    <row r="176" spans="1:45" ht="15" thickBot="1" x14ac:dyDescent="0.4">
      <c r="A176"/>
      <c r="B176" s="412" t="s">
        <v>4549</v>
      </c>
      <c r="C176" s="412" t="s">
        <v>430</v>
      </c>
      <c r="D176"/>
      <c r="E176"/>
      <c r="F176"/>
      <c r="G176"/>
      <c r="H176"/>
      <c r="I176" s="407"/>
      <c r="J176" s="407" t="s">
        <v>430</v>
      </c>
      <c r="K176" s="413"/>
      <c r="L176" s="229" t="s">
        <v>4560</v>
      </c>
      <c r="M176" s="161"/>
      <c r="N176" s="160"/>
      <c r="O176" s="161"/>
      <c r="P176" s="55" t="b">
        <v>0</v>
      </c>
      <c r="Q176" s="55" t="b">
        <v>1</v>
      </c>
      <c r="R176" s="55" t="b">
        <v>0</v>
      </c>
      <c r="S176" s="55" t="b">
        <f>IF(AY19=INDEX(ddSingleOrMulti,2),TRUE,FALSE)</f>
        <v>0</v>
      </c>
      <c r="T176" s="55" t="b">
        <f t="shared" si="2"/>
        <v>0</v>
      </c>
      <c r="U176" s="55"/>
      <c r="V176" s="55"/>
      <c r="W176" s="56"/>
      <c r="X176" s="98"/>
      <c r="AC176" t="b">
        <f t="shared" si="3"/>
        <v>0</v>
      </c>
      <c r="AD176" t="b">
        <f t="shared" si="4"/>
        <v>0</v>
      </c>
      <c r="AP176" t="str">
        <f t="shared" si="5"/>
        <v>dch1002_5_9</v>
      </c>
      <c r="AQ176" t="str">
        <f t="shared" si="6"/>
        <v/>
      </c>
      <c r="AR176" t="str">
        <f t="shared" si="7"/>
        <v>dnt1002_5_9</v>
      </c>
      <c r="AS176" t="str">
        <f t="shared" si="8"/>
        <v/>
      </c>
    </row>
    <row r="177" spans="2:45" customFormat="1" ht="15" thickTop="1" x14ac:dyDescent="0.35">
      <c r="B177" s="412" t="s">
        <v>4550</v>
      </c>
      <c r="E177" s="412"/>
      <c r="I177" s="402" t="s">
        <v>4550</v>
      </c>
      <c r="J177" s="402"/>
      <c r="K177" s="412"/>
      <c r="L177" s="919" t="s">
        <v>4561</v>
      </c>
      <c r="M177" s="938" t="s">
        <v>4568</v>
      </c>
      <c r="N177" s="4"/>
      <c r="O177" s="832">
        <f>ROUNDDOWN(COUNTIF(W181:W187,TRUE)/2,0)</f>
        <v>0</v>
      </c>
      <c r="AL177" t="str">
        <f>SUBSTITUTE(SUBSTITUTE(SUBSTITUTE("dpa"&amp;$B177&amp;$C177&amp;$D177&amp;$E177,".","_"),"(","_"),")","")</f>
        <v>dpa1002_6</v>
      </c>
      <c r="AM177" t="str">
        <f>M177</f>
        <v>1 per 2 items</v>
      </c>
      <c r="AN177" t="str">
        <f>SUBSTITUTE(SUBSTITUTE(SUBSTITUTE("dpc"&amp;$B177&amp;$C177&amp;$D177&amp;$E177,".","_"),"(","_"),")","")</f>
        <v>dpc1002_6</v>
      </c>
      <c r="AO177">
        <f>O177</f>
        <v>0</v>
      </c>
    </row>
    <row r="178" spans="2:45" customFormat="1" x14ac:dyDescent="0.35">
      <c r="B178" s="412" t="s">
        <v>4550</v>
      </c>
      <c r="E178" s="412"/>
      <c r="I178" s="402"/>
      <c r="J178" s="402"/>
      <c r="K178" s="412"/>
      <c r="L178" s="919"/>
      <c r="M178" s="938"/>
      <c r="N178" s="4"/>
      <c r="O178" s="832"/>
    </row>
    <row r="179" spans="2:45" customFormat="1" x14ac:dyDescent="0.35">
      <c r="B179" s="412" t="s">
        <v>4550</v>
      </c>
      <c r="E179" s="412"/>
      <c r="I179" s="402"/>
      <c r="J179" s="402"/>
      <c r="K179" s="412"/>
      <c r="L179" s="919"/>
      <c r="M179" s="938"/>
      <c r="N179" s="4"/>
      <c r="O179" s="832"/>
    </row>
    <row r="180" spans="2:45" customFormat="1" x14ac:dyDescent="0.35">
      <c r="B180" s="412" t="s">
        <v>4550</v>
      </c>
      <c r="E180" s="412"/>
      <c r="I180" s="402"/>
      <c r="J180" s="402"/>
      <c r="K180" s="412"/>
      <c r="L180" s="919"/>
      <c r="M180" s="938"/>
      <c r="N180" s="4"/>
      <c r="O180" s="832"/>
    </row>
    <row r="181" spans="2:45" customFormat="1" x14ac:dyDescent="0.35">
      <c r="B181" s="412" t="s">
        <v>4550</v>
      </c>
      <c r="C181" s="412" t="s">
        <v>256</v>
      </c>
      <c r="I181" s="402"/>
      <c r="J181" s="402" t="s">
        <v>256</v>
      </c>
      <c r="K181" s="412"/>
      <c r="L181" s="90" t="s">
        <v>4562</v>
      </c>
      <c r="M181" s="75"/>
      <c r="N181" s="4"/>
      <c r="O181" s="75"/>
      <c r="P181" t="b">
        <v>0</v>
      </c>
      <c r="Q181" t="b">
        <v>1</v>
      </c>
      <c r="R181" t="b">
        <v>0</v>
      </c>
      <c r="S181" t="b">
        <f>IF(AY19=INDEX(ddSingleOrMulti,2),TRUE,FALSE)</f>
        <v>0</v>
      </c>
      <c r="T181" t="b">
        <f t="shared" ref="T181:T187" si="9">AND(NOT(S181),W181=TRUE)</f>
        <v>0</v>
      </c>
      <c r="W181" s="17"/>
      <c r="X181" s="36"/>
      <c r="AC181" t="b">
        <f t="shared" ref="AC181:AC187" si="10">OR(AD181:AE181)</f>
        <v>0</v>
      </c>
      <c r="AD181" t="b">
        <f t="shared" ref="AD181:AD187" si="11">T181</f>
        <v>0</v>
      </c>
      <c r="AP181" t="str">
        <f t="shared" ref="AP181:AP187" si="12">SUBSTITUTE(SUBSTITUTE(SUBSTITUTE("dch"&amp;$B181&amp;$C181&amp;$D181&amp;$E181,".","_"),"(","_"),")","")</f>
        <v>dch1002_6_1</v>
      </c>
      <c r="AQ181" t="str">
        <f t="shared" ref="AQ181:AQ187" si="13">IF(LEN(W181)=0,"",W181)</f>
        <v/>
      </c>
      <c r="AR181" t="str">
        <f t="shared" ref="AR181:AR187" si="14">SUBSTITUTE(SUBSTITUTE(SUBSTITUTE("dnt"&amp;$B181&amp;$C181&amp;$D181&amp;$E181,".","_"),"(","_"),")","")</f>
        <v>dnt1002_6_1</v>
      </c>
      <c r="AS181" t="str">
        <f t="shared" ref="AS181:AS187" si="15">IF(LEN(X181)=0,"",X181)</f>
        <v/>
      </c>
    </row>
    <row r="182" spans="2:45" customFormat="1" x14ac:dyDescent="0.35">
      <c r="B182" s="412" t="s">
        <v>4550</v>
      </c>
      <c r="C182" s="412" t="s">
        <v>258</v>
      </c>
      <c r="I182" s="402"/>
      <c r="J182" s="402" t="s">
        <v>258</v>
      </c>
      <c r="K182" s="412"/>
      <c r="L182" s="90" t="s">
        <v>4563</v>
      </c>
      <c r="M182" s="75"/>
      <c r="N182" s="4"/>
      <c r="O182" s="75"/>
      <c r="P182" t="b">
        <v>0</v>
      </c>
      <c r="Q182" t="b">
        <v>1</v>
      </c>
      <c r="R182" t="b">
        <v>0</v>
      </c>
      <c r="S182" t="b">
        <f>IF(AY19=INDEX(ddSingleOrMulti,2),TRUE,FALSE)</f>
        <v>0</v>
      </c>
      <c r="T182" t="b">
        <f t="shared" si="9"/>
        <v>0</v>
      </c>
      <c r="W182" s="17"/>
      <c r="X182" s="36"/>
      <c r="AC182" t="b">
        <f t="shared" si="10"/>
        <v>0</v>
      </c>
      <c r="AD182" t="b">
        <f t="shared" si="11"/>
        <v>0</v>
      </c>
      <c r="AP182" t="str">
        <f t="shared" si="12"/>
        <v>dch1002_6_2</v>
      </c>
      <c r="AQ182" t="str">
        <f t="shared" si="13"/>
        <v/>
      </c>
      <c r="AR182" t="str">
        <f t="shared" si="14"/>
        <v>dnt1002_6_2</v>
      </c>
      <c r="AS182" t="str">
        <f t="shared" si="15"/>
        <v/>
      </c>
    </row>
    <row r="183" spans="2:45" customFormat="1" x14ac:dyDescent="0.35">
      <c r="B183" s="412" t="s">
        <v>4550</v>
      </c>
      <c r="C183" s="412" t="s">
        <v>260</v>
      </c>
      <c r="I183" s="402"/>
      <c r="J183" s="402" t="s">
        <v>260</v>
      </c>
      <c r="K183" s="412"/>
      <c r="L183" s="90" t="s">
        <v>4564</v>
      </c>
      <c r="M183" s="75"/>
      <c r="N183" s="4"/>
      <c r="O183" s="75"/>
      <c r="P183" t="b">
        <v>0</v>
      </c>
      <c r="Q183" t="b">
        <v>1</v>
      </c>
      <c r="R183" t="b">
        <v>0</v>
      </c>
      <c r="S183" t="b">
        <f>IF(AY19=INDEX(ddSingleOrMulti,2),TRUE,FALSE)</f>
        <v>0</v>
      </c>
      <c r="T183" t="b">
        <f t="shared" si="9"/>
        <v>0</v>
      </c>
      <c r="W183" s="17"/>
      <c r="X183" s="36"/>
      <c r="AC183" t="b">
        <f t="shared" si="10"/>
        <v>0</v>
      </c>
      <c r="AD183" t="b">
        <f t="shared" si="11"/>
        <v>0</v>
      </c>
      <c r="AP183" t="str">
        <f t="shared" si="12"/>
        <v>dch1002_6_3</v>
      </c>
      <c r="AQ183" t="str">
        <f t="shared" si="13"/>
        <v/>
      </c>
      <c r="AR183" t="str">
        <f t="shared" si="14"/>
        <v>dnt1002_6_3</v>
      </c>
      <c r="AS183" t="str">
        <f t="shared" si="15"/>
        <v/>
      </c>
    </row>
    <row r="184" spans="2:45" customFormat="1" x14ac:dyDescent="0.35">
      <c r="B184" s="412" t="s">
        <v>4550</v>
      </c>
      <c r="C184" s="412" t="s">
        <v>269</v>
      </c>
      <c r="I184" s="402"/>
      <c r="J184" s="402" t="s">
        <v>269</v>
      </c>
      <c r="K184" s="412"/>
      <c r="L184" s="90" t="s">
        <v>4565</v>
      </c>
      <c r="M184" s="75"/>
      <c r="N184" s="4"/>
      <c r="O184" s="75"/>
      <c r="P184" t="b">
        <v>0</v>
      </c>
      <c r="Q184" t="b">
        <v>1</v>
      </c>
      <c r="R184" t="b">
        <v>0</v>
      </c>
      <c r="S184" t="b">
        <f>IF(AY19=INDEX(ddSingleOrMulti,2),TRUE,FALSE)</f>
        <v>0</v>
      </c>
      <c r="T184" t="b">
        <f t="shared" si="9"/>
        <v>0</v>
      </c>
      <c r="W184" s="17"/>
      <c r="X184" s="36"/>
      <c r="AC184" t="b">
        <f t="shared" si="10"/>
        <v>0</v>
      </c>
      <c r="AD184" t="b">
        <f t="shared" si="11"/>
        <v>0</v>
      </c>
      <c r="AP184" t="str">
        <f t="shared" si="12"/>
        <v>dch1002_6_4</v>
      </c>
      <c r="AQ184" t="str">
        <f t="shared" si="13"/>
        <v/>
      </c>
      <c r="AR184" t="str">
        <f t="shared" si="14"/>
        <v>dnt1002_6_4</v>
      </c>
      <c r="AS184" t="str">
        <f t="shared" si="15"/>
        <v/>
      </c>
    </row>
    <row r="185" spans="2:45" customFormat="1" x14ac:dyDescent="0.35">
      <c r="B185" s="412" t="s">
        <v>4550</v>
      </c>
      <c r="C185" s="412" t="s">
        <v>275</v>
      </c>
      <c r="I185" s="402"/>
      <c r="J185" s="402" t="s">
        <v>275</v>
      </c>
      <c r="K185" s="412"/>
      <c r="L185" s="90" t="s">
        <v>4566</v>
      </c>
      <c r="M185" s="75"/>
      <c r="N185" s="4"/>
      <c r="O185" s="75"/>
      <c r="P185" t="b">
        <v>0</v>
      </c>
      <c r="Q185" t="b">
        <v>1</v>
      </c>
      <c r="R185" t="b">
        <v>0</v>
      </c>
      <c r="S185" t="b">
        <f>IF(AY19=INDEX(ddSingleOrMulti,2),TRUE,FALSE)</f>
        <v>0</v>
      </c>
      <c r="T185" t="b">
        <f t="shared" si="9"/>
        <v>0</v>
      </c>
      <c r="W185" s="17"/>
      <c r="X185" s="36"/>
      <c r="AC185" t="b">
        <f t="shared" si="10"/>
        <v>0</v>
      </c>
      <c r="AD185" t="b">
        <f t="shared" si="11"/>
        <v>0</v>
      </c>
      <c r="AP185" t="str">
        <f t="shared" si="12"/>
        <v>dch1002_6_5</v>
      </c>
      <c r="AQ185" t="str">
        <f t="shared" si="13"/>
        <v/>
      </c>
      <c r="AR185" t="str">
        <f t="shared" si="14"/>
        <v>dnt1002_6_5</v>
      </c>
      <c r="AS185" t="str">
        <f t="shared" si="15"/>
        <v/>
      </c>
    </row>
    <row r="186" spans="2:45" customFormat="1" x14ac:dyDescent="0.35">
      <c r="B186" s="412" t="s">
        <v>4550</v>
      </c>
      <c r="C186" s="412" t="s">
        <v>277</v>
      </c>
      <c r="I186" s="402"/>
      <c r="J186" s="402" t="s">
        <v>277</v>
      </c>
      <c r="K186" s="412"/>
      <c r="L186" s="90" t="s">
        <v>3345</v>
      </c>
      <c r="M186" s="75"/>
      <c r="N186" s="4"/>
      <c r="O186" s="75"/>
      <c r="P186" t="b">
        <v>0</v>
      </c>
      <c r="Q186" t="b">
        <v>1</v>
      </c>
      <c r="R186" t="b">
        <v>0</v>
      </c>
      <c r="S186" t="b">
        <f>IF(AY19=INDEX(ddSingleOrMulti,2),TRUE,FALSE)</f>
        <v>0</v>
      </c>
      <c r="T186" t="b">
        <f t="shared" si="9"/>
        <v>0</v>
      </c>
      <c r="W186" s="17"/>
      <c r="X186" s="36"/>
      <c r="AC186" t="b">
        <f t="shared" si="10"/>
        <v>0</v>
      </c>
      <c r="AD186" t="b">
        <f t="shared" si="11"/>
        <v>0</v>
      </c>
      <c r="AP186" t="str">
        <f t="shared" si="12"/>
        <v>dch1002_6_6</v>
      </c>
      <c r="AQ186" t="str">
        <f t="shared" si="13"/>
        <v/>
      </c>
      <c r="AR186" t="str">
        <f t="shared" si="14"/>
        <v>dnt1002_6_6</v>
      </c>
      <c r="AS186" t="str">
        <f t="shared" si="15"/>
        <v/>
      </c>
    </row>
    <row r="187" spans="2:45" customFormat="1" x14ac:dyDescent="0.35">
      <c r="B187" s="412" t="s">
        <v>4550</v>
      </c>
      <c r="C187" s="412" t="s">
        <v>383</v>
      </c>
      <c r="I187" s="402"/>
      <c r="J187" s="402" t="s">
        <v>383</v>
      </c>
      <c r="K187" s="412"/>
      <c r="L187" s="90" t="s">
        <v>4567</v>
      </c>
      <c r="P187" t="b">
        <v>0</v>
      </c>
      <c r="Q187" t="b">
        <v>1</v>
      </c>
      <c r="R187" t="b">
        <v>0</v>
      </c>
      <c r="S187" t="b">
        <f>IF(AY19=INDEX(ddSingleOrMulti,2),TRUE,FALSE)</f>
        <v>0</v>
      </c>
      <c r="T187" t="b">
        <f t="shared" si="9"/>
        <v>0</v>
      </c>
      <c r="W187" s="17"/>
      <c r="X187" s="36"/>
      <c r="AC187" t="b">
        <f t="shared" si="10"/>
        <v>0</v>
      </c>
      <c r="AD187" t="b">
        <f t="shared" si="11"/>
        <v>0</v>
      </c>
      <c r="AP187" t="str">
        <f t="shared" si="12"/>
        <v>dch1002_6_7</v>
      </c>
      <c r="AQ187" t="str">
        <f t="shared" si="13"/>
        <v/>
      </c>
      <c r="AR187" t="str">
        <f t="shared" si="14"/>
        <v>dnt1002_6_7</v>
      </c>
      <c r="AS187" t="str">
        <f t="shared" si="15"/>
        <v/>
      </c>
    </row>
    <row r="188" spans="2:45" ht="18.5" x14ac:dyDescent="0.45">
      <c r="B188" s="412">
        <v>1003</v>
      </c>
      <c r="C188" s="13"/>
      <c r="D188" s="13"/>
      <c r="E188" s="13"/>
      <c r="F188" s="13"/>
      <c r="G188" s="13"/>
      <c r="H188" s="453"/>
      <c r="I188" s="35" t="s">
        <v>3359</v>
      </c>
      <c r="J188" s="15"/>
      <c r="K188" s="15"/>
      <c r="L188" s="150"/>
      <c r="M188" s="307"/>
      <c r="N188" s="311"/>
      <c r="O188" s="307"/>
      <c r="P188" s="15"/>
      <c r="Q188" s="15"/>
      <c r="R188" s="15"/>
      <c r="S188" s="15"/>
      <c r="T188" s="15"/>
      <c r="U188" s="15"/>
      <c r="V188" s="15"/>
      <c r="W188" s="15"/>
      <c r="X188" s="15"/>
    </row>
    <row r="189" spans="2:45" x14ac:dyDescent="0.35">
      <c r="B189" s="412" t="s">
        <v>3984</v>
      </c>
      <c r="C189" s="13"/>
      <c r="D189" s="13"/>
      <c r="E189" s="13"/>
      <c r="F189" s="13"/>
      <c r="G189" s="13"/>
      <c r="H189" s="453"/>
      <c r="I189" s="402" t="s">
        <v>3984</v>
      </c>
      <c r="J189" s="4"/>
      <c r="K189" s="4"/>
      <c r="L189" s="838" t="s">
        <v>3360</v>
      </c>
      <c r="M189" s="75"/>
      <c r="N189" s="4"/>
      <c r="O189" s="75"/>
    </row>
    <row r="190" spans="2:45" x14ac:dyDescent="0.35">
      <c r="B190" s="412" t="s">
        <v>3984</v>
      </c>
      <c r="C190" s="13"/>
      <c r="D190" s="13"/>
      <c r="E190" s="13"/>
      <c r="F190" s="13"/>
      <c r="G190" s="13"/>
      <c r="H190" s="453"/>
      <c r="I190" s="94"/>
      <c r="J190" s="4"/>
      <c r="K190" s="4"/>
      <c r="L190" s="838"/>
      <c r="M190" s="75"/>
      <c r="N190" s="4"/>
      <c r="O190" s="75"/>
    </row>
    <row r="191" spans="2:45" ht="15" thickBot="1" x14ac:dyDescent="0.4">
      <c r="B191" s="412" t="s">
        <v>3984</v>
      </c>
      <c r="C191" s="13"/>
      <c r="D191" s="13"/>
      <c r="E191" s="13"/>
      <c r="F191" s="13"/>
      <c r="G191" s="13"/>
      <c r="H191" s="453"/>
      <c r="I191" s="398"/>
      <c r="J191" s="160"/>
      <c r="K191" s="160"/>
      <c r="L191" s="849"/>
      <c r="M191" s="161"/>
      <c r="N191" s="160"/>
      <c r="O191" s="161"/>
      <c r="P191" s="55"/>
      <c r="Q191" s="55"/>
      <c r="R191" s="55"/>
      <c r="S191" s="55"/>
      <c r="T191" s="55"/>
      <c r="U191" s="55"/>
      <c r="V191" s="55"/>
      <c r="W191" s="55"/>
      <c r="X191" s="55"/>
    </row>
    <row r="192" spans="2:45" ht="15" thickTop="1" x14ac:dyDescent="0.35">
      <c r="B192" s="412">
        <v>1003.1</v>
      </c>
      <c r="C192" s="13"/>
      <c r="D192" s="13"/>
      <c r="E192" s="13"/>
      <c r="F192" s="13"/>
      <c r="G192" s="13"/>
      <c r="H192" s="453"/>
      <c r="I192" s="31">
        <v>1003.1</v>
      </c>
      <c r="J192" s="4"/>
      <c r="K192" s="4"/>
      <c r="L192" s="149" t="s">
        <v>3361</v>
      </c>
      <c r="M192" s="40" t="s">
        <v>3362</v>
      </c>
      <c r="N192" s="4"/>
      <c r="O192" s="75">
        <f>MIN(2,COUNTIF(W193:W198,TRUE))</f>
        <v>0</v>
      </c>
      <c r="AL192" t="str">
        <f>SUBSTITUTE(SUBSTITUTE(SUBSTITUTE("dpa"&amp;$B192&amp;$C192&amp;$D192&amp;$E192,".","_"),"(","_"),")","")</f>
        <v>dpa1003_1</v>
      </c>
      <c r="AM192" t="str">
        <f>M192</f>
        <v>2 Max</v>
      </c>
      <c r="AN192" t="str">
        <f>SUBSTITUTE(SUBSTITUTE(SUBSTITUTE("dpc"&amp;$B192&amp;$C192&amp;$D192&amp;$E192,".","_"),"(","_"),")","")</f>
        <v>dpc1003_1</v>
      </c>
      <c r="AO192">
        <f>O192</f>
        <v>0</v>
      </c>
    </row>
    <row r="193" spans="2:45" x14ac:dyDescent="0.35">
      <c r="B193" s="412">
        <v>1003.1</v>
      </c>
      <c r="C193" s="13" t="s">
        <v>256</v>
      </c>
      <c r="D193" s="13"/>
      <c r="E193" s="13"/>
      <c r="F193" s="13"/>
      <c r="G193" s="13"/>
      <c r="H193" s="453"/>
      <c r="I193" s="94"/>
      <c r="J193" s="19" t="s">
        <v>256</v>
      </c>
      <c r="K193" s="4"/>
      <c r="L193" s="838" t="s">
        <v>3363</v>
      </c>
      <c r="M193" s="818">
        <v>1</v>
      </c>
      <c r="N193" s="4"/>
      <c r="O193" s="75"/>
      <c r="P193" t="b">
        <v>1</v>
      </c>
      <c r="Q193" t="b">
        <v>0</v>
      </c>
      <c r="R193" t="b">
        <v>0</v>
      </c>
      <c r="S193" t="b">
        <v>1</v>
      </c>
      <c r="T193" t="b">
        <v>0</v>
      </c>
      <c r="W193" s="17"/>
      <c r="X193" s="817"/>
      <c r="AL193" t="str">
        <f>SUBSTITUTE(SUBSTITUTE(SUBSTITUTE("dpa"&amp;$B193&amp;$C193&amp;$D193&amp;$E193,".","_"),"(","_"),")","")</f>
        <v>dpa1003_1_1</v>
      </c>
      <c r="AM193">
        <f>M193</f>
        <v>1</v>
      </c>
      <c r="AP193" t="str">
        <f>SUBSTITUTE(SUBSTITUTE(SUBSTITUTE("dch"&amp;$B193&amp;$C193&amp;$D193&amp;$E193,".","_"),"(","_"),")","")</f>
        <v>dch1003_1_1</v>
      </c>
      <c r="AQ193" t="str">
        <f>IF(LEN(W193)=0,"",W193)</f>
        <v/>
      </c>
      <c r="AR193" t="str">
        <f>SUBSTITUTE(SUBSTITUTE(SUBSTITUTE("dnt"&amp;$B193&amp;$C193&amp;$D193&amp;$E193,".","_"),"(","_"),")","")</f>
        <v>dnt1003_1_1</v>
      </c>
      <c r="AS193" t="str">
        <f>IF(LEN(X193)=0,"",X193)</f>
        <v/>
      </c>
    </row>
    <row r="194" spans="2:45" x14ac:dyDescent="0.35">
      <c r="B194" s="412">
        <v>1003.1</v>
      </c>
      <c r="C194" s="13" t="s">
        <v>256</v>
      </c>
      <c r="D194" s="13"/>
      <c r="E194" s="13"/>
      <c r="F194" s="13"/>
      <c r="G194" s="13"/>
      <c r="H194" s="453"/>
      <c r="I194" s="94"/>
      <c r="J194" s="129"/>
      <c r="K194" s="133"/>
      <c r="L194" s="889"/>
      <c r="M194" s="819"/>
      <c r="N194" s="4"/>
      <c r="O194" s="75"/>
      <c r="X194" s="817"/>
    </row>
    <row r="195" spans="2:45" x14ac:dyDescent="0.35">
      <c r="B195" s="412">
        <v>1003.1</v>
      </c>
      <c r="C195" s="13" t="s">
        <v>258</v>
      </c>
      <c r="D195" s="13"/>
      <c r="E195" s="13"/>
      <c r="F195" s="13"/>
      <c r="G195" s="13"/>
      <c r="H195" s="453"/>
      <c r="I195" s="94"/>
      <c r="J195" s="132" t="s">
        <v>258</v>
      </c>
      <c r="K195" s="118"/>
      <c r="L195" s="905" t="s">
        <v>3364</v>
      </c>
      <c r="M195" s="822">
        <v>1</v>
      </c>
      <c r="N195" s="4"/>
      <c r="O195" s="75"/>
      <c r="P195" t="b">
        <v>0</v>
      </c>
      <c r="Q195" t="b">
        <v>1</v>
      </c>
      <c r="R195" t="b">
        <v>0</v>
      </c>
      <c r="S195" t="b">
        <v>1</v>
      </c>
      <c r="T195" t="b">
        <v>0</v>
      </c>
      <c r="W195" s="17"/>
      <c r="X195" s="817"/>
      <c r="AL195" t="str">
        <f>SUBSTITUTE(SUBSTITUTE(SUBSTITUTE("dpa"&amp;$B195&amp;$C195&amp;$D195&amp;$E195,".","_"),"(","_"),")","")</f>
        <v>dpa1003_1_2</v>
      </c>
      <c r="AM195">
        <f>M195</f>
        <v>1</v>
      </c>
      <c r="AP195" t="str">
        <f>SUBSTITUTE(SUBSTITUTE(SUBSTITUTE("dch"&amp;$B195&amp;$C195&amp;$D195&amp;$E195,".","_"),"(","_"),")","")</f>
        <v>dch1003_1_2</v>
      </c>
      <c r="AQ195" t="str">
        <f>IF(LEN(W195)=0,"",W195)</f>
        <v/>
      </c>
      <c r="AR195" t="str">
        <f>SUBSTITUTE(SUBSTITUTE(SUBSTITUTE("dnt"&amp;$B195&amp;$C195&amp;$D195&amp;$E195,".","_"),"(","_"),")","")</f>
        <v>dnt1003_1_2</v>
      </c>
      <c r="AS195" t="str">
        <f>IF(LEN(X195)=0,"",X195)</f>
        <v/>
      </c>
    </row>
    <row r="196" spans="2:45" x14ac:dyDescent="0.35">
      <c r="B196" s="412">
        <v>1003.1</v>
      </c>
      <c r="C196" s="13" t="s">
        <v>258</v>
      </c>
      <c r="D196" s="13"/>
      <c r="E196" s="13"/>
      <c r="F196" s="13"/>
      <c r="G196" s="13"/>
      <c r="H196" s="453"/>
      <c r="I196" s="94"/>
      <c r="J196" s="19"/>
      <c r="K196" s="4"/>
      <c r="L196" s="838"/>
      <c r="M196" s="818"/>
      <c r="N196" s="4"/>
      <c r="O196" s="75"/>
      <c r="X196" s="817"/>
    </row>
    <row r="197" spans="2:45" x14ac:dyDescent="0.35">
      <c r="B197" s="412">
        <v>1003.1</v>
      </c>
      <c r="C197" s="13" t="s">
        <v>258</v>
      </c>
      <c r="D197" s="13"/>
      <c r="E197" s="13"/>
      <c r="F197" s="13"/>
      <c r="G197" s="13"/>
      <c r="H197" s="453"/>
      <c r="I197" s="94"/>
      <c r="J197" s="129"/>
      <c r="K197" s="133"/>
      <c r="L197" s="889"/>
      <c r="M197" s="819"/>
      <c r="N197" s="4"/>
      <c r="O197" s="75"/>
      <c r="X197" s="817"/>
    </row>
    <row r="198" spans="2:45" x14ac:dyDescent="0.35">
      <c r="B198" s="412">
        <v>1003.1</v>
      </c>
      <c r="C198" s="13" t="s">
        <v>260</v>
      </c>
      <c r="D198" s="13"/>
      <c r="E198" s="13"/>
      <c r="F198" s="13"/>
      <c r="G198" s="13"/>
      <c r="H198" s="453"/>
      <c r="I198" s="94"/>
      <c r="J198" s="19" t="s">
        <v>260</v>
      </c>
      <c r="K198" s="4"/>
      <c r="L198" s="838" t="s">
        <v>3365</v>
      </c>
      <c r="M198" s="818">
        <v>1</v>
      </c>
      <c r="N198" s="4"/>
      <c r="O198" s="75"/>
      <c r="P198" t="b">
        <v>1</v>
      </c>
      <c r="Q198" t="b">
        <v>0</v>
      </c>
      <c r="R198" t="b">
        <v>0</v>
      </c>
      <c r="S198" t="b">
        <v>1</v>
      </c>
      <c r="T198" t="b">
        <v>0</v>
      </c>
      <c r="W198" s="17"/>
      <c r="X198" s="817"/>
      <c r="AL198" t="str">
        <f>SUBSTITUTE(SUBSTITUTE(SUBSTITUTE("dpa"&amp;$B198&amp;$C198&amp;$D198&amp;$E198,".","_"),"(","_"),")","")</f>
        <v>dpa1003_1_3</v>
      </c>
      <c r="AM198">
        <f>M198</f>
        <v>1</v>
      </c>
      <c r="AP198" t="str">
        <f>SUBSTITUTE(SUBSTITUTE(SUBSTITUTE("dch"&amp;$B198&amp;$C198&amp;$D198&amp;$E198,".","_"),"(","_"),")","")</f>
        <v>dch1003_1_3</v>
      </c>
      <c r="AQ198" t="str">
        <f>IF(LEN(W198)=0,"",W198)</f>
        <v/>
      </c>
      <c r="AR198" t="str">
        <f>SUBSTITUTE(SUBSTITUTE(SUBSTITUTE("dnt"&amp;$B198&amp;$C198&amp;$D198&amp;$E198,".","_"),"(","_"),")","")</f>
        <v>dnt1003_1_3</v>
      </c>
      <c r="AS198" t="str">
        <f>IF(LEN(X198)=0,"",X198)</f>
        <v/>
      </c>
    </row>
    <row r="199" spans="2:45" x14ac:dyDescent="0.35">
      <c r="B199" s="412">
        <v>1003.1</v>
      </c>
      <c r="C199" s="13" t="s">
        <v>260</v>
      </c>
      <c r="D199" s="13"/>
      <c r="E199" s="13"/>
      <c r="F199" s="13"/>
      <c r="G199" s="13"/>
      <c r="H199" s="453"/>
      <c r="I199" s="94"/>
      <c r="J199" s="4"/>
      <c r="K199" s="4"/>
      <c r="L199" s="838"/>
      <c r="M199" s="818"/>
      <c r="N199" s="4"/>
      <c r="O199" s="75"/>
      <c r="X199" s="817"/>
    </row>
    <row r="200" spans="2:45" x14ac:dyDescent="0.35">
      <c r="B200" s="412">
        <v>1003.1</v>
      </c>
      <c r="C200" s="13" t="s">
        <v>260</v>
      </c>
      <c r="D200" s="13"/>
      <c r="E200" s="13"/>
      <c r="F200" s="13"/>
      <c r="G200" s="13"/>
      <c r="H200" s="453"/>
      <c r="I200" s="94"/>
      <c r="J200" s="4"/>
      <c r="K200" s="4"/>
      <c r="L200" s="838"/>
      <c r="M200" s="818"/>
      <c r="N200" s="4"/>
      <c r="O200" s="75"/>
      <c r="X200" s="817"/>
    </row>
    <row r="201" spans="2:45" ht="18.5" x14ac:dyDescent="0.45">
      <c r="B201" s="412">
        <v>1004</v>
      </c>
      <c r="C201" s="37"/>
      <c r="D201" s="37"/>
      <c r="E201" s="37"/>
      <c r="F201" s="37"/>
      <c r="G201" s="37"/>
      <c r="H201" s="456"/>
      <c r="I201" s="35" t="s">
        <v>3366</v>
      </c>
      <c r="J201" s="15"/>
      <c r="K201" s="15"/>
      <c r="L201" s="150"/>
      <c r="M201" s="307"/>
      <c r="N201" s="311"/>
      <c r="O201" s="307"/>
      <c r="P201" s="15"/>
      <c r="Q201" s="15"/>
      <c r="R201" s="15"/>
      <c r="S201" s="15"/>
      <c r="T201" s="15"/>
      <c r="U201" s="15"/>
      <c r="V201" s="15"/>
      <c r="W201" s="15"/>
      <c r="X201" s="15"/>
    </row>
    <row r="202" spans="2:45" x14ac:dyDescent="0.35">
      <c r="B202" s="412" t="s">
        <v>3985</v>
      </c>
      <c r="C202" s="13"/>
      <c r="D202" s="13"/>
      <c r="E202" s="13"/>
      <c r="F202" s="13"/>
      <c r="G202" s="13"/>
      <c r="H202" s="453"/>
      <c r="I202" s="402" t="s">
        <v>3985</v>
      </c>
      <c r="J202" s="4"/>
      <c r="K202" s="4"/>
      <c r="L202" s="838" t="s">
        <v>3367</v>
      </c>
      <c r="M202" s="75"/>
      <c r="N202" s="4"/>
      <c r="O202" s="75"/>
    </row>
    <row r="203" spans="2:45" x14ac:dyDescent="0.35">
      <c r="B203" s="412" t="s">
        <v>3985</v>
      </c>
      <c r="C203" s="13"/>
      <c r="D203" s="13"/>
      <c r="E203" s="13"/>
      <c r="F203" s="13"/>
      <c r="G203" s="13"/>
      <c r="H203" s="453"/>
      <c r="I203" s="94"/>
      <c r="J203" s="4"/>
      <c r="K203" s="4"/>
      <c r="L203" s="838"/>
      <c r="M203" s="75"/>
      <c r="N203" s="4"/>
      <c r="O203" s="75"/>
    </row>
    <row r="204" spans="2:45" x14ac:dyDescent="0.35">
      <c r="B204" s="412" t="s">
        <v>3985</v>
      </c>
      <c r="C204" s="13"/>
      <c r="D204" s="13"/>
      <c r="E204" s="13"/>
      <c r="F204" s="13"/>
      <c r="G204" s="13"/>
      <c r="H204" s="453"/>
      <c r="I204" s="94"/>
      <c r="J204" s="4"/>
      <c r="K204" s="4"/>
      <c r="L204" s="838"/>
      <c r="M204" s="75"/>
      <c r="N204" s="4"/>
      <c r="O204" s="75"/>
    </row>
    <row r="205" spans="2:45" ht="15" thickBot="1" x14ac:dyDescent="0.4">
      <c r="B205" s="412" t="s">
        <v>3985</v>
      </c>
      <c r="C205" s="13"/>
      <c r="D205" s="13"/>
      <c r="E205" s="13"/>
      <c r="F205" s="13"/>
      <c r="G205" s="13"/>
      <c r="H205" s="453"/>
      <c r="I205" s="398"/>
      <c r="J205" s="160"/>
      <c r="K205" s="160"/>
      <c r="L205" s="849"/>
      <c r="M205" s="161"/>
      <c r="N205" s="160"/>
      <c r="O205" s="161"/>
      <c r="P205" s="55"/>
      <c r="Q205" s="55"/>
      <c r="R205" s="55"/>
      <c r="S205" s="55"/>
      <c r="T205" s="55"/>
      <c r="U205" s="55"/>
      <c r="V205" s="55"/>
      <c r="W205" s="55"/>
      <c r="X205" s="55"/>
    </row>
    <row r="206" spans="2:45" ht="15" thickTop="1" x14ac:dyDescent="0.35">
      <c r="B206" s="412">
        <v>1004.1</v>
      </c>
      <c r="C206" s="13"/>
      <c r="D206" s="13"/>
      <c r="E206" s="13"/>
      <c r="F206" s="13"/>
      <c r="G206" s="13"/>
      <c r="H206" s="453"/>
      <c r="I206" s="31">
        <v>1004.1</v>
      </c>
      <c r="J206" s="4"/>
      <c r="K206" s="4"/>
      <c r="L206" s="838" t="s">
        <v>3368</v>
      </c>
      <c r="M206" s="75"/>
      <c r="N206" s="4"/>
      <c r="O206" s="75"/>
    </row>
    <row r="207" spans="2:45" x14ac:dyDescent="0.35">
      <c r="B207" s="412">
        <v>1004.1</v>
      </c>
      <c r="C207" s="13"/>
      <c r="D207" s="13"/>
      <c r="E207" s="13"/>
      <c r="F207" s="13"/>
      <c r="G207" s="13"/>
      <c r="H207" s="453"/>
      <c r="I207" s="4"/>
      <c r="J207" s="4"/>
      <c r="K207" s="4"/>
      <c r="L207" s="838"/>
      <c r="M207" s="75"/>
      <c r="N207" s="4"/>
      <c r="O207" s="75"/>
    </row>
    <row r="208" spans="2:45" x14ac:dyDescent="0.35">
      <c r="B208" s="412">
        <v>1004.1</v>
      </c>
      <c r="C208" s="13"/>
      <c r="D208" s="13"/>
      <c r="E208" s="13"/>
      <c r="F208" s="13"/>
      <c r="G208" s="13"/>
      <c r="H208" s="453"/>
      <c r="I208" s="4"/>
      <c r="J208" s="4"/>
      <c r="K208" s="4"/>
      <c r="L208" s="838"/>
      <c r="M208" s="75"/>
      <c r="N208" s="4"/>
      <c r="O208" s="75"/>
    </row>
    <row r="209" spans="2:45" x14ac:dyDescent="0.35">
      <c r="B209" s="412">
        <v>1004.1</v>
      </c>
      <c r="C209" s="13"/>
      <c r="D209" s="13"/>
      <c r="E209" s="13"/>
      <c r="F209" s="13"/>
      <c r="G209" s="13"/>
      <c r="H209" s="453"/>
      <c r="I209" s="4"/>
      <c r="J209" s="4"/>
      <c r="K209" s="4"/>
      <c r="L209" s="838"/>
      <c r="M209" s="75"/>
      <c r="N209" s="4"/>
      <c r="O209" s="75"/>
    </row>
    <row r="210" spans="2:45" x14ac:dyDescent="0.35">
      <c r="B210" s="412">
        <v>1004.1</v>
      </c>
      <c r="C210" s="13"/>
      <c r="D210" s="13"/>
      <c r="E210" s="13"/>
      <c r="F210" s="13"/>
      <c r="G210" s="13"/>
      <c r="H210" s="453"/>
      <c r="I210" s="4"/>
      <c r="J210" s="4"/>
      <c r="K210" s="4"/>
      <c r="L210" s="838"/>
      <c r="M210" s="75"/>
      <c r="N210" s="4"/>
      <c r="O210" s="75"/>
    </row>
    <row r="211" spans="2:45" x14ac:dyDescent="0.35">
      <c r="B211" s="412">
        <v>1004.1</v>
      </c>
      <c r="C211" s="13" t="s">
        <v>256</v>
      </c>
      <c r="D211" s="13"/>
      <c r="E211" s="13"/>
      <c r="F211" s="13"/>
      <c r="G211" s="13"/>
      <c r="H211" s="453"/>
      <c r="I211" s="4"/>
      <c r="J211" s="19" t="s">
        <v>256</v>
      </c>
      <c r="K211" s="4"/>
      <c r="L211" s="814" t="s">
        <v>3949</v>
      </c>
      <c r="M211" s="818">
        <v>1</v>
      </c>
      <c r="N211" s="4"/>
      <c r="O211" s="832">
        <f>M211*S211*W211</f>
        <v>0</v>
      </c>
      <c r="P211" t="b">
        <v>0</v>
      </c>
      <c r="Q211" t="b">
        <v>1</v>
      </c>
      <c r="R211" t="b">
        <v>0</v>
      </c>
      <c r="S211" t="b">
        <v>1</v>
      </c>
      <c r="T211" t="b">
        <v>0</v>
      </c>
      <c r="W211" s="17"/>
      <c r="X211" s="817"/>
      <c r="AL211" t="str">
        <f>SUBSTITUTE(SUBSTITUTE(SUBSTITUTE("dpa"&amp;$B211&amp;$C211&amp;$D211&amp;$E211,".","_"),"(","_"),")","")</f>
        <v>dpa1004_1_1</v>
      </c>
      <c r="AM211">
        <f>M211</f>
        <v>1</v>
      </c>
      <c r="AN211" t="str">
        <f>SUBSTITUTE(SUBSTITUTE(SUBSTITUTE("dpc"&amp;$B211&amp;$C211&amp;$D211&amp;$E211,".","_"),"(","_"),")","")</f>
        <v>dpc1004_1_1</v>
      </c>
      <c r="AO211">
        <f>O211</f>
        <v>0</v>
      </c>
      <c r="AP211" t="str">
        <f>SUBSTITUTE(SUBSTITUTE(SUBSTITUTE("dch"&amp;$B211&amp;$C211&amp;$D211&amp;$E211,".","_"),"(","_"),")","")</f>
        <v>dch1004_1_1</v>
      </c>
      <c r="AQ211" t="str">
        <f>IF(LEN(W211)=0,"",W211)</f>
        <v/>
      </c>
      <c r="AR211" t="str">
        <f>SUBSTITUTE(SUBSTITUTE(SUBSTITUTE("dnt"&amp;$B211&amp;$C211&amp;$D211&amp;$E211,".","_"),"(","_"),")","")</f>
        <v>dnt1004_1_1</v>
      </c>
      <c r="AS211" t="str">
        <f>IF(LEN(X211)=0,"",X211)</f>
        <v/>
      </c>
    </row>
    <row r="212" spans="2:45" x14ac:dyDescent="0.35">
      <c r="B212" s="412">
        <v>1004.1</v>
      </c>
      <c r="C212" s="13" t="s">
        <v>256</v>
      </c>
      <c r="D212" s="13"/>
      <c r="E212" s="13"/>
      <c r="F212" s="13"/>
      <c r="G212" s="13"/>
      <c r="H212" s="453"/>
      <c r="I212" s="4"/>
      <c r="J212" s="129"/>
      <c r="K212" s="133"/>
      <c r="L212" s="815"/>
      <c r="M212" s="819"/>
      <c r="N212" s="133"/>
      <c r="O212" s="824"/>
      <c r="X212" s="817"/>
    </row>
    <row r="213" spans="2:45" x14ac:dyDescent="0.35">
      <c r="B213" s="412">
        <v>1004.1</v>
      </c>
      <c r="C213" s="13" t="s">
        <v>258</v>
      </c>
      <c r="D213" s="13"/>
      <c r="E213" s="13"/>
      <c r="F213" s="13"/>
      <c r="G213" s="13"/>
      <c r="H213" s="453"/>
      <c r="I213" s="4"/>
      <c r="J213" s="132" t="s">
        <v>258</v>
      </c>
      <c r="K213" s="118"/>
      <c r="L213" s="836" t="s">
        <v>3369</v>
      </c>
      <c r="M213" s="822">
        <v>3</v>
      </c>
      <c r="N213" s="118"/>
      <c r="O213" s="823">
        <f>M213*S213*W213</f>
        <v>0</v>
      </c>
      <c r="P213" t="b">
        <v>0</v>
      </c>
      <c r="Q213" t="b">
        <v>1</v>
      </c>
      <c r="R213" t="b">
        <v>0</v>
      </c>
      <c r="S213" t="b">
        <v>1</v>
      </c>
      <c r="T213" t="b">
        <v>0</v>
      </c>
      <c r="W213" s="17"/>
      <c r="X213" s="817"/>
      <c r="AL213" t="str">
        <f>SUBSTITUTE(SUBSTITUTE(SUBSTITUTE("dpa"&amp;$B213&amp;$C213&amp;$D213&amp;$E213,".","_"),"(","_"),")","")</f>
        <v>dpa1004_1_2</v>
      </c>
      <c r="AM213">
        <f>M213</f>
        <v>3</v>
      </c>
      <c r="AN213" t="str">
        <f>SUBSTITUTE(SUBSTITUTE(SUBSTITUTE("dpc"&amp;$B213&amp;$C213&amp;$D213&amp;$E213,".","_"),"(","_"),")","")</f>
        <v>dpc1004_1_2</v>
      </c>
      <c r="AO213">
        <f>O213</f>
        <v>0</v>
      </c>
      <c r="AP213" t="str">
        <f>SUBSTITUTE(SUBSTITUTE(SUBSTITUTE("dch"&amp;$B213&amp;$C213&amp;$D213&amp;$E213,".","_"),"(","_"),")","")</f>
        <v>dch1004_1_2</v>
      </c>
      <c r="AQ213" t="str">
        <f>IF(LEN(W213)=0,"",W213)</f>
        <v/>
      </c>
      <c r="AR213" t="str">
        <f>SUBSTITUTE(SUBSTITUTE(SUBSTITUTE("dnt"&amp;$B213&amp;$C213&amp;$D213&amp;$E213,".","_"),"(","_"),")","")</f>
        <v>dnt1004_1_2</v>
      </c>
      <c r="AS213" t="str">
        <f>IF(LEN(X213)=0,"",X213)</f>
        <v/>
      </c>
    </row>
    <row r="214" spans="2:45" x14ac:dyDescent="0.35">
      <c r="B214" s="412">
        <v>1004.1</v>
      </c>
      <c r="C214" s="13" t="s">
        <v>258</v>
      </c>
      <c r="D214" s="13"/>
      <c r="E214" s="13"/>
      <c r="F214" s="13"/>
      <c r="G214" s="13"/>
      <c r="H214" s="453"/>
      <c r="I214" s="4"/>
      <c r="J214" s="133"/>
      <c r="K214" s="133"/>
      <c r="L214" s="815"/>
      <c r="M214" s="819"/>
      <c r="N214" s="133"/>
      <c r="O214" s="824"/>
      <c r="X214" s="817"/>
    </row>
    <row r="215" spans="2:45" ht="18.5" x14ac:dyDescent="0.45">
      <c r="B215" s="412" t="s">
        <v>4569</v>
      </c>
      <c r="C215" s="13"/>
      <c r="D215" s="13"/>
      <c r="E215" s="13"/>
      <c r="F215" s="13"/>
      <c r="G215" s="13"/>
      <c r="H215" s="453"/>
      <c r="I215" s="35" t="s">
        <v>4570</v>
      </c>
      <c r="J215" s="39"/>
      <c r="K215" s="39"/>
      <c r="L215" s="44"/>
      <c r="M215" s="520"/>
      <c r="N215" s="521"/>
      <c r="O215" s="520"/>
      <c r="P215" s="15"/>
      <c r="Q215" s="15"/>
      <c r="R215" s="15"/>
      <c r="S215" s="15"/>
      <c r="T215" s="15"/>
      <c r="U215" s="15"/>
      <c r="V215" s="15"/>
      <c r="W215" s="15"/>
      <c r="X215" s="15"/>
    </row>
    <row r="216" spans="2:45" x14ac:dyDescent="0.35">
      <c r="B216" s="412" t="s">
        <v>4571</v>
      </c>
      <c r="C216" s="13"/>
      <c r="D216" s="13"/>
      <c r="E216" s="13"/>
      <c r="F216" s="13"/>
      <c r="G216" s="13"/>
      <c r="H216" s="453"/>
      <c r="I216" s="412" t="s">
        <v>4571</v>
      </c>
      <c r="J216" s="412"/>
      <c r="K216" s="412"/>
      <c r="L216" s="95" t="s">
        <v>4572</v>
      </c>
      <c r="M216" s="40"/>
      <c r="N216" s="4"/>
      <c r="O216" s="75"/>
    </row>
    <row r="217" spans="2:45" x14ac:dyDescent="0.35">
      <c r="B217" s="412" t="s">
        <v>4571</v>
      </c>
      <c r="C217" s="412" t="s">
        <v>256</v>
      </c>
      <c r="D217" s="13"/>
      <c r="E217" s="13"/>
      <c r="F217" s="13"/>
      <c r="G217" s="13"/>
      <c r="H217" s="453"/>
      <c r="I217" s="412"/>
      <c r="J217" s="412" t="s">
        <v>256</v>
      </c>
      <c r="K217" s="412"/>
      <c r="L217" s="848" t="s">
        <v>4573</v>
      </c>
      <c r="M217" s="938">
        <v>2</v>
      </c>
      <c r="O217" s="834">
        <f>M217*S217*W217</f>
        <v>0</v>
      </c>
      <c r="P217" t="b">
        <v>0</v>
      </c>
      <c r="Q217" t="b">
        <v>1</v>
      </c>
      <c r="R217" t="b">
        <v>0</v>
      </c>
      <c r="S217" t="b">
        <v>1</v>
      </c>
      <c r="T217" t="b">
        <v>0</v>
      </c>
      <c r="W217" s="17"/>
      <c r="X217" s="817"/>
      <c r="AL217" t="str">
        <f>SUBSTITUTE(SUBSTITUTE(SUBSTITUTE("dpa"&amp;$B217&amp;$C217&amp;$D217&amp;$E217,".","_"),"(","_"),")","")</f>
        <v>dpa1005_1_1</v>
      </c>
      <c r="AM217">
        <f>M217</f>
        <v>2</v>
      </c>
      <c r="AN217" t="str">
        <f>SUBSTITUTE(SUBSTITUTE(SUBSTITUTE("dpc"&amp;$B217&amp;$C217&amp;$D217&amp;$E217,".","_"),"(","_"),")","")</f>
        <v>dpc1005_1_1</v>
      </c>
      <c r="AO217">
        <f>O217</f>
        <v>0</v>
      </c>
      <c r="AP217" t="str">
        <f>SUBSTITUTE(SUBSTITUTE(SUBSTITUTE("dch"&amp;$B217&amp;$C217&amp;$D217&amp;$E217,".","_"),"(","_"),")","")</f>
        <v>dch1005_1_1</v>
      </c>
      <c r="AQ217" t="str">
        <f>IF(LEN(W217)=0,"",W217)</f>
        <v/>
      </c>
      <c r="AR217" t="str">
        <f>SUBSTITUTE(SUBSTITUTE(SUBSTITUTE("dnt"&amp;$B217&amp;$C217&amp;$D217&amp;$E217,".","_"),"(","_"),")","")</f>
        <v>dnt1005_1_1</v>
      </c>
      <c r="AS217" t="str">
        <f>IF(LEN(X217)=0,"",X217)</f>
        <v/>
      </c>
    </row>
    <row r="218" spans="2:45" x14ac:dyDescent="0.35">
      <c r="B218" s="412" t="s">
        <v>4571</v>
      </c>
      <c r="C218" s="412" t="s">
        <v>256</v>
      </c>
      <c r="D218" s="13"/>
      <c r="E218" s="13"/>
      <c r="F218" s="13"/>
      <c r="G218" s="13"/>
      <c r="H218" s="453"/>
      <c r="I218" s="412"/>
      <c r="J218" s="412"/>
      <c r="K218" s="412"/>
      <c r="L218" s="848"/>
      <c r="M218" s="938"/>
      <c r="O218" s="834"/>
      <c r="X218" s="817"/>
    </row>
    <row r="219" spans="2:45" x14ac:dyDescent="0.35">
      <c r="B219" s="412" t="s">
        <v>4571</v>
      </c>
      <c r="C219" s="412" t="s">
        <v>256</v>
      </c>
      <c r="D219" s="13"/>
      <c r="E219" s="13"/>
      <c r="F219" s="13"/>
      <c r="G219" s="13"/>
      <c r="H219" s="453"/>
      <c r="I219" s="412"/>
      <c r="J219" s="418"/>
      <c r="K219" s="418"/>
      <c r="L219" s="821"/>
      <c r="M219" s="939"/>
      <c r="N219" s="104"/>
      <c r="O219" s="835"/>
      <c r="P219" s="104"/>
      <c r="Q219" s="104"/>
      <c r="R219" s="104"/>
      <c r="S219" s="104"/>
      <c r="T219" s="104"/>
      <c r="U219" s="104"/>
      <c r="V219" s="104"/>
      <c r="X219" s="817"/>
    </row>
    <row r="220" spans="2:45" x14ac:dyDescent="0.35">
      <c r="B220" s="412" t="s">
        <v>4571</v>
      </c>
      <c r="C220" s="412" t="s">
        <v>258</v>
      </c>
      <c r="D220" s="13"/>
      <c r="E220" s="13"/>
      <c r="F220" s="13"/>
      <c r="G220" s="13"/>
      <c r="H220" s="453"/>
      <c r="I220" s="412"/>
      <c r="J220" s="412" t="s">
        <v>258</v>
      </c>
      <c r="K220" s="412"/>
      <c r="L220" s="848" t="s">
        <v>4574</v>
      </c>
      <c r="M220" s="938">
        <v>2</v>
      </c>
      <c r="O220" s="834">
        <f>M220*S220*W220</f>
        <v>0</v>
      </c>
      <c r="P220" t="b">
        <v>0</v>
      </c>
      <c r="Q220" t="b">
        <v>1</v>
      </c>
      <c r="R220" t="b">
        <v>0</v>
      </c>
      <c r="S220" t="b">
        <v>1</v>
      </c>
      <c r="T220" t="b">
        <v>0</v>
      </c>
      <c r="W220" s="17"/>
      <c r="X220" s="817"/>
      <c r="AL220" t="str">
        <f>SUBSTITUTE(SUBSTITUTE(SUBSTITUTE("dpa"&amp;$B220&amp;$C220&amp;$D220&amp;$E220,".","_"),"(","_"),")","")</f>
        <v>dpa1005_1_2</v>
      </c>
      <c r="AM220">
        <f>M220</f>
        <v>2</v>
      </c>
      <c r="AN220" t="str">
        <f>SUBSTITUTE(SUBSTITUTE(SUBSTITUTE("dpc"&amp;$B220&amp;$C220&amp;$D220&amp;$E220,".","_"),"(","_"),")","")</f>
        <v>dpc1005_1_2</v>
      </c>
      <c r="AO220">
        <f>O220</f>
        <v>0</v>
      </c>
      <c r="AP220" t="str">
        <f>SUBSTITUTE(SUBSTITUTE(SUBSTITUTE("dch"&amp;$B220&amp;$C220&amp;$D220&amp;$E220,".","_"),"(","_"),")","")</f>
        <v>dch1005_1_2</v>
      </c>
      <c r="AQ220" t="str">
        <f>IF(LEN(W220)=0,"",W220)</f>
        <v/>
      </c>
      <c r="AR220" t="str">
        <f>SUBSTITUTE(SUBSTITUTE(SUBSTITUTE("dnt"&amp;$B220&amp;$C220&amp;$D220&amp;$E220,".","_"),"(","_"),")","")</f>
        <v>dnt1005_1_2</v>
      </c>
      <c r="AS220" t="str">
        <f>IF(LEN(X220)=0,"",X220)</f>
        <v/>
      </c>
    </row>
    <row r="221" spans="2:45" x14ac:dyDescent="0.35">
      <c r="B221" s="412" t="s">
        <v>4571</v>
      </c>
      <c r="C221" s="412" t="s">
        <v>258</v>
      </c>
      <c r="D221" s="13"/>
      <c r="E221" s="13"/>
      <c r="F221" s="13"/>
      <c r="G221" s="13"/>
      <c r="H221" s="453"/>
      <c r="I221" s="412"/>
      <c r="J221" s="412"/>
      <c r="K221" s="412"/>
      <c r="L221" s="848"/>
      <c r="M221" s="938"/>
      <c r="O221" s="834"/>
      <c r="W221" s="65"/>
      <c r="X221" s="817"/>
    </row>
    <row r="222" spans="2:45" x14ac:dyDescent="0.35">
      <c r="B222" s="412" t="s">
        <v>4571</v>
      </c>
      <c r="C222" s="412" t="s">
        <v>258</v>
      </c>
      <c r="D222" s="13"/>
      <c r="E222" s="13"/>
      <c r="F222" s="13"/>
      <c r="G222" s="13"/>
      <c r="H222" s="453"/>
      <c r="I222" s="412"/>
      <c r="J222" s="412"/>
      <c r="K222" s="412"/>
      <c r="L222" s="848"/>
      <c r="M222" s="938"/>
      <c r="O222" s="834"/>
      <c r="W222" s="65"/>
      <c r="X222" s="817"/>
    </row>
    <row r="223" spans="2:45" x14ac:dyDescent="0.35">
      <c r="B223" s="412" t="s">
        <v>4571</v>
      </c>
      <c r="C223" s="412" t="s">
        <v>258</v>
      </c>
      <c r="D223" s="13"/>
      <c r="E223" s="13"/>
      <c r="F223" s="13"/>
      <c r="G223" s="13"/>
      <c r="H223" s="453"/>
      <c r="I223" s="412"/>
      <c r="J223" s="418"/>
      <c r="K223" s="418"/>
      <c r="L223" s="821"/>
      <c r="M223" s="939"/>
      <c r="N223" s="104"/>
      <c r="O223" s="835"/>
      <c r="P223" s="104"/>
      <c r="Q223" s="104"/>
      <c r="R223" s="104"/>
      <c r="S223" s="104"/>
      <c r="T223" s="104"/>
      <c r="U223" s="104"/>
      <c r="V223" s="104"/>
      <c r="W223" s="335"/>
      <c r="X223" s="817"/>
    </row>
    <row r="224" spans="2:45" x14ac:dyDescent="0.35">
      <c r="B224" s="412" t="s">
        <v>4571</v>
      </c>
      <c r="C224" s="412" t="s">
        <v>260</v>
      </c>
      <c r="D224" s="13"/>
      <c r="E224" s="13"/>
      <c r="F224" s="13"/>
      <c r="G224" s="13"/>
      <c r="H224" s="453"/>
      <c r="I224" s="412"/>
      <c r="J224" s="412" t="s">
        <v>260</v>
      </c>
      <c r="K224" s="412"/>
      <c r="L224" s="848" t="s">
        <v>4575</v>
      </c>
      <c r="M224" s="938">
        <v>2</v>
      </c>
      <c r="O224" s="834">
        <f>M224*S224</f>
        <v>2</v>
      </c>
      <c r="P224" t="b">
        <v>0</v>
      </c>
      <c r="Q224" t="b">
        <v>1</v>
      </c>
      <c r="R224" t="b">
        <v>0</v>
      </c>
      <c r="S224" t="b">
        <v>1</v>
      </c>
      <c r="T224" t="b">
        <v>0</v>
      </c>
      <c r="W224" s="760" t="s">
        <v>4576</v>
      </c>
      <c r="AL224" t="str">
        <f>SUBSTITUTE(SUBSTITUTE(SUBSTITUTE("dpa"&amp;$B224&amp;$C224&amp;$D224&amp;$E224,".","_"),"(","_"),")","")</f>
        <v>dpa1005_1_3</v>
      </c>
      <c r="AM224">
        <f>M224</f>
        <v>2</v>
      </c>
      <c r="AN224" t="str">
        <f>SUBSTITUTE(SUBSTITUTE(SUBSTITUTE("dpc"&amp;$B224&amp;$C224&amp;$D224&amp;$E224,".","_"),"(","_"),")","")</f>
        <v>dpc1005_1_3</v>
      </c>
      <c r="AO224">
        <f>O224</f>
        <v>2</v>
      </c>
    </row>
    <row r="225" spans="2:24" x14ac:dyDescent="0.35">
      <c r="B225" s="412" t="s">
        <v>4571</v>
      </c>
      <c r="C225" s="412" t="s">
        <v>260</v>
      </c>
      <c r="D225" s="13"/>
      <c r="E225" s="13"/>
      <c r="F225" s="13"/>
      <c r="G225" s="13"/>
      <c r="H225" s="453"/>
      <c r="I225" s="412"/>
      <c r="J225" s="412"/>
      <c r="K225" s="412"/>
      <c r="L225" s="848"/>
      <c r="M225" s="938"/>
      <c r="O225" s="834"/>
      <c r="W225" s="760"/>
    </row>
    <row r="226" spans="2:24" x14ac:dyDescent="0.35">
      <c r="B226" s="412" t="s">
        <v>4571</v>
      </c>
      <c r="C226" s="412" t="s">
        <v>260</v>
      </c>
      <c r="D226" s="13"/>
      <c r="E226" s="13"/>
      <c r="F226" s="13"/>
      <c r="G226" s="13"/>
      <c r="H226" s="453"/>
      <c r="I226" s="412"/>
      <c r="J226" s="412"/>
      <c r="K226" s="412"/>
      <c r="L226" s="848"/>
      <c r="M226" s="938"/>
      <c r="O226" s="834"/>
      <c r="W226" s="760"/>
    </row>
    <row r="227" spans="2:24" x14ac:dyDescent="0.35">
      <c r="B227" s="412" t="s">
        <v>4571</v>
      </c>
      <c r="C227" s="412" t="s">
        <v>260</v>
      </c>
      <c r="D227" s="13"/>
      <c r="E227" s="13"/>
      <c r="F227" s="13"/>
      <c r="G227" s="13"/>
      <c r="H227" s="453"/>
      <c r="I227" s="4"/>
      <c r="J227" s="4"/>
      <c r="K227" s="4"/>
      <c r="L227" s="266"/>
      <c r="M227" s="489"/>
      <c r="O227" s="41"/>
      <c r="W227" s="760"/>
    </row>
    <row r="228" spans="2:24" x14ac:dyDescent="0.35">
      <c r="B228" s="412" t="s">
        <v>4571</v>
      </c>
      <c r="C228" s="412" t="s">
        <v>260</v>
      </c>
      <c r="D228" s="13"/>
      <c r="E228" s="13"/>
      <c r="F228" s="13"/>
      <c r="G228" s="13"/>
      <c r="H228" s="453"/>
      <c r="I228" s="4"/>
      <c r="J228" s="4"/>
      <c r="K228" s="4"/>
      <c r="L228" s="266"/>
      <c r="M228" s="489"/>
      <c r="O228" s="41"/>
      <c r="W228" s="760"/>
    </row>
    <row r="229" spans="2:24" x14ac:dyDescent="0.35">
      <c r="B229" s="412" t="s">
        <v>4571</v>
      </c>
      <c r="C229" s="412" t="s">
        <v>260</v>
      </c>
      <c r="D229" s="13"/>
      <c r="E229" s="13"/>
      <c r="F229" s="13"/>
      <c r="G229" s="13"/>
      <c r="H229" s="453"/>
      <c r="I229" s="4"/>
      <c r="J229" s="4"/>
      <c r="K229" s="4"/>
      <c r="L229" s="266"/>
      <c r="M229" s="489"/>
      <c r="O229" s="41"/>
      <c r="W229" s="760"/>
    </row>
    <row r="230" spans="2:24" x14ac:dyDescent="0.35">
      <c r="B230" s="412" t="s">
        <v>4571</v>
      </c>
      <c r="C230" s="412" t="s">
        <v>260</v>
      </c>
      <c r="D230" s="13"/>
      <c r="E230" s="13"/>
      <c r="F230" s="13"/>
      <c r="G230" s="13"/>
      <c r="H230" s="453"/>
      <c r="I230" s="4"/>
      <c r="J230" s="4"/>
      <c r="K230" s="4"/>
      <c r="L230" s="266"/>
      <c r="M230" s="489"/>
      <c r="O230" s="41"/>
      <c r="W230" s="760"/>
    </row>
    <row r="231" spans="2:24" x14ac:dyDescent="0.35">
      <c r="B231" s="412" t="s">
        <v>4571</v>
      </c>
      <c r="C231" s="412" t="s">
        <v>260</v>
      </c>
      <c r="D231" s="13"/>
      <c r="E231" s="13"/>
      <c r="F231" s="13"/>
      <c r="G231" s="13"/>
      <c r="H231" s="453"/>
      <c r="I231" s="4"/>
      <c r="J231" s="4"/>
      <c r="K231" s="4"/>
      <c r="L231" s="266"/>
      <c r="M231" s="489"/>
      <c r="O231" s="41"/>
      <c r="W231" s="760"/>
    </row>
    <row r="232" spans="2:24" x14ac:dyDescent="0.35">
      <c r="B232" s="412" t="s">
        <v>4571</v>
      </c>
      <c r="C232" s="412" t="s">
        <v>260</v>
      </c>
      <c r="D232" s="13"/>
      <c r="E232" s="13"/>
      <c r="F232" s="13"/>
      <c r="G232" s="13"/>
      <c r="H232" s="453"/>
      <c r="I232" s="4"/>
      <c r="J232" s="4"/>
      <c r="K232" s="4"/>
      <c r="L232" s="266"/>
      <c r="M232" s="489"/>
      <c r="O232" s="41"/>
      <c r="W232" s="760"/>
    </row>
    <row r="233" spans="2:24" ht="15" thickBot="1" x14ac:dyDescent="0.4">
      <c r="B233" s="412" t="s">
        <v>4571</v>
      </c>
      <c r="C233" s="412" t="s">
        <v>260</v>
      </c>
      <c r="D233" s="13"/>
      <c r="E233" s="13"/>
      <c r="F233" s="13"/>
      <c r="G233" s="13"/>
      <c r="H233" s="453"/>
      <c r="I233" s="4"/>
      <c r="J233" s="4"/>
      <c r="K233" s="4"/>
      <c r="L233" s="266"/>
      <c r="M233" s="464"/>
      <c r="O233" s="72"/>
      <c r="W233" s="970"/>
    </row>
    <row r="234" spans="2:24" ht="15.5" thickTop="1" thickBot="1" x14ac:dyDescent="0.4">
      <c r="H234" s="455"/>
      <c r="I234" s="123" t="s">
        <v>3377</v>
      </c>
      <c r="J234" s="124"/>
      <c r="K234" s="124"/>
      <c r="L234" s="124"/>
      <c r="M234" s="125"/>
      <c r="N234" s="124"/>
      <c r="O234" s="126"/>
      <c r="P234" s="124"/>
      <c r="Q234" s="124"/>
      <c r="R234" s="124"/>
      <c r="S234" s="124"/>
      <c r="T234" s="124"/>
      <c r="U234" s="124"/>
      <c r="V234" s="124"/>
      <c r="W234" s="124"/>
      <c r="X234" s="127"/>
    </row>
    <row r="235" spans="2:24" ht="15" thickTop="1" x14ac:dyDescent="0.35"/>
  </sheetData>
  <sheetProtection algorithmName="SHA-512" hashValue="n/TL+4Xw3fmJFHYTc1Y67ZxlgqkzfuXjd3MUKqhZ6Akyu25Wh3YOy5pAbjzJ5ev69Hwa96d0dUv3SCtdf/OcZA==" saltValue="6nZfUte7XXfPmkm79vT5lg==" spinCount="100000" sheet="1" objects="1" scenarios="1" selectLockedCells="1" autoFilter="0"/>
  <mergeCells count="160">
    <mergeCell ref="O124:O127"/>
    <mergeCell ref="O211:O212"/>
    <mergeCell ref="O213:O214"/>
    <mergeCell ref="M97:M100"/>
    <mergeCell ref="O97:O100"/>
    <mergeCell ref="X198:X200"/>
    <mergeCell ref="X211:X212"/>
    <mergeCell ref="X213:X214"/>
    <mergeCell ref="X95:X96"/>
    <mergeCell ref="M211:M212"/>
    <mergeCell ref="M213:M214"/>
    <mergeCell ref="M198:M200"/>
    <mergeCell ref="M195:M197"/>
    <mergeCell ref="M193:M194"/>
    <mergeCell ref="M101:M102"/>
    <mergeCell ref="M103:M105"/>
    <mergeCell ref="M128:M129"/>
    <mergeCell ref="M124:M127"/>
    <mergeCell ref="M122:M123"/>
    <mergeCell ref="X152:X164"/>
    <mergeCell ref="X119:X121"/>
    <mergeCell ref="X122:X123"/>
    <mergeCell ref="X128:X129"/>
    <mergeCell ref="X130:X133"/>
    <mergeCell ref="X56:X57"/>
    <mergeCell ref="H1:H7"/>
    <mergeCell ref="L28:L29"/>
    <mergeCell ref="M28:M29"/>
    <mergeCell ref="X82:X84"/>
    <mergeCell ref="O12:O14"/>
    <mergeCell ref="O79:O81"/>
    <mergeCell ref="L42:L43"/>
    <mergeCell ref="L44:L45"/>
    <mergeCell ref="L49:L50"/>
    <mergeCell ref="L52:L53"/>
    <mergeCell ref="L54:L55"/>
    <mergeCell ref="L56:L57"/>
    <mergeCell ref="L10:L11"/>
    <mergeCell ref="L12:L13"/>
    <mergeCell ref="L23:L24"/>
    <mergeCell ref="L25:L26"/>
    <mergeCell ref="M17:M20"/>
    <mergeCell ref="M12:M14"/>
    <mergeCell ref="L32:L33"/>
    <mergeCell ref="L36:L37"/>
    <mergeCell ref="L38:L41"/>
    <mergeCell ref="P6:P7"/>
    <mergeCell ref="I1:L1"/>
    <mergeCell ref="X134:X140"/>
    <mergeCell ref="X106:X107"/>
    <mergeCell ref="X108:X110"/>
    <mergeCell ref="X111:X112"/>
    <mergeCell ref="X114:X115"/>
    <mergeCell ref="X116:X117"/>
    <mergeCell ref="X17:X20"/>
    <mergeCell ref="X23:X24"/>
    <mergeCell ref="X25:X26"/>
    <mergeCell ref="X32:X37"/>
    <mergeCell ref="X38:X41"/>
    <mergeCell ref="X28:X29"/>
    <mergeCell ref="X85:X87"/>
    <mergeCell ref="X60:X71"/>
    <mergeCell ref="X42:X43"/>
    <mergeCell ref="X44:X45"/>
    <mergeCell ref="X47:X48"/>
    <mergeCell ref="X49:X50"/>
    <mergeCell ref="X52:X53"/>
    <mergeCell ref="X88:X89"/>
    <mergeCell ref="X91:X92"/>
    <mergeCell ref="X101:X102"/>
    <mergeCell ref="X103:X105"/>
    <mergeCell ref="X54:X55"/>
    <mergeCell ref="M1:W5"/>
    <mergeCell ref="I2:L2"/>
    <mergeCell ref="I3:L3"/>
    <mergeCell ref="V6:V7"/>
    <mergeCell ref="W6:W7"/>
    <mergeCell ref="L17:L20"/>
    <mergeCell ref="X4:X5"/>
    <mergeCell ref="Q6:Q7"/>
    <mergeCell ref="X6:X7"/>
    <mergeCell ref="R6:R7"/>
    <mergeCell ref="S6:S7"/>
    <mergeCell ref="T6:T7"/>
    <mergeCell ref="U6:U7"/>
    <mergeCell ref="I4:L4"/>
    <mergeCell ref="I5:L5"/>
    <mergeCell ref="I6:K7"/>
    <mergeCell ref="L6:L7"/>
    <mergeCell ref="M6:M7"/>
    <mergeCell ref="N6:N7"/>
    <mergeCell ref="L122:L123"/>
    <mergeCell ref="L116:L117"/>
    <mergeCell ref="L47:L48"/>
    <mergeCell ref="L152:L156"/>
    <mergeCell ref="L189:L191"/>
    <mergeCell ref="L193:L194"/>
    <mergeCell ref="L195:L197"/>
    <mergeCell ref="L198:L200"/>
    <mergeCell ref="L124:L126"/>
    <mergeCell ref="L128:L129"/>
    <mergeCell ref="L130:L133"/>
    <mergeCell ref="L101:L102"/>
    <mergeCell ref="L103:L105"/>
    <mergeCell ref="L141:L142"/>
    <mergeCell ref="L144:L145"/>
    <mergeCell ref="L106:L107"/>
    <mergeCell ref="L108:L110"/>
    <mergeCell ref="L111:L112"/>
    <mergeCell ref="L114:L115"/>
    <mergeCell ref="L119:L121"/>
    <mergeCell ref="L60:L63"/>
    <mergeCell ref="L73:L78"/>
    <mergeCell ref="L79:L80"/>
    <mergeCell ref="L169:L170"/>
    <mergeCell ref="M60:M61"/>
    <mergeCell ref="M62:M63"/>
    <mergeCell ref="O60:O63"/>
    <mergeCell ref="L150:L151"/>
    <mergeCell ref="X150:X151"/>
    <mergeCell ref="M152:M153"/>
    <mergeCell ref="M154:M156"/>
    <mergeCell ref="O152:O156"/>
    <mergeCell ref="L202:L205"/>
    <mergeCell ref="L82:L84"/>
    <mergeCell ref="L85:L87"/>
    <mergeCell ref="L88:L89"/>
    <mergeCell ref="L91:L92"/>
    <mergeCell ref="L95:L96"/>
    <mergeCell ref="L97:L99"/>
    <mergeCell ref="M82:M84"/>
    <mergeCell ref="M85:M87"/>
    <mergeCell ref="M88:M89"/>
    <mergeCell ref="M79:M81"/>
    <mergeCell ref="X141:X142"/>
    <mergeCell ref="X144:X145"/>
    <mergeCell ref="X193:X194"/>
    <mergeCell ref="X195:X197"/>
    <mergeCell ref="L165:L166"/>
    <mergeCell ref="L177:L180"/>
    <mergeCell ref="M165:M166"/>
    <mergeCell ref="O165:O166"/>
    <mergeCell ref="M177:M180"/>
    <mergeCell ref="O177:O180"/>
    <mergeCell ref="X169:X170"/>
    <mergeCell ref="L217:L219"/>
    <mergeCell ref="L206:L210"/>
    <mergeCell ref="L211:L212"/>
    <mergeCell ref="L213:L214"/>
    <mergeCell ref="X220:X223"/>
    <mergeCell ref="X217:X219"/>
    <mergeCell ref="L220:L223"/>
    <mergeCell ref="L224:L226"/>
    <mergeCell ref="M217:M219"/>
    <mergeCell ref="O217:O219"/>
    <mergeCell ref="M220:M223"/>
    <mergeCell ref="O220:O223"/>
    <mergeCell ref="W224:W233"/>
    <mergeCell ref="M224:M226"/>
    <mergeCell ref="O224:O226"/>
  </mergeCells>
  <conditionalFormatting sqref="I1">
    <cfRule type="expression" dxfId="3528" priority="78">
      <formula>$AG$1="Gold"</formula>
    </cfRule>
    <cfRule type="expression" dxfId="3527" priority="79">
      <formula>$AG$1="Silver"</formula>
    </cfRule>
    <cfRule type="expression" dxfId="3526" priority="80">
      <formula>$AG$1="Bronze"</formula>
    </cfRule>
    <cfRule type="expression" dxfId="3525" priority="81">
      <formula>$AG$1="Emerald"</formula>
    </cfRule>
  </conditionalFormatting>
  <conditionalFormatting sqref="O79:O81">
    <cfRule type="cellIs" dxfId="3524" priority="566" operator="greaterThan">
      <formula>0</formula>
    </cfRule>
  </conditionalFormatting>
  <conditionalFormatting sqref="O97:O100">
    <cfRule type="cellIs" dxfId="3523" priority="567" operator="greaterThan">
      <formula>0</formula>
    </cfRule>
  </conditionalFormatting>
  <conditionalFormatting sqref="O124:O127">
    <cfRule type="cellIs" dxfId="3522" priority="568" operator="greaterThan">
      <formula>0</formula>
    </cfRule>
  </conditionalFormatting>
  <conditionalFormatting sqref="W15">
    <cfRule type="expression" dxfId="3521" priority="318">
      <formula>OR($T$15 = TRUE, AND($W$15 = TRUE, $S$15 = FALSE))</formula>
    </cfRule>
    <cfRule type="expression" dxfId="3520" priority="319">
      <formula>$S$15 = FALSE</formula>
    </cfRule>
    <cfRule type="expression" dxfId="3519" priority="320">
      <formula>AND(IF($R$15,$W$15,TRUE),LEN(TRIM($W$15))&gt;0)</formula>
    </cfRule>
    <cfRule type="expression" dxfId="3518" priority="321">
      <formula>AND($R$15,$S$15)</formula>
    </cfRule>
  </conditionalFormatting>
  <conditionalFormatting sqref="W16">
    <cfRule type="expression" dxfId="3517" priority="314">
      <formula>OR($T$16 = TRUE, AND($W$16 = TRUE, $S$16 = FALSE))</formula>
    </cfRule>
    <cfRule type="expression" dxfId="3516" priority="315">
      <formula>$S$16 = FALSE</formula>
    </cfRule>
    <cfRule type="expression" dxfId="3515" priority="316">
      <formula>AND(IF($R$16,$W$16,TRUE),LEN(TRIM($W$16))&gt;0)</formula>
    </cfRule>
    <cfRule type="expression" dxfId="3514" priority="317">
      <formula>AND($R$16,$S$16)</formula>
    </cfRule>
  </conditionalFormatting>
  <conditionalFormatting sqref="W17">
    <cfRule type="expression" dxfId="3513" priority="310">
      <formula>OR($T$17 = TRUE, AND($W$17 = TRUE, $S$17 = FALSE))</formula>
    </cfRule>
    <cfRule type="expression" dxfId="3512" priority="311">
      <formula>$S$17 = FALSE</formula>
    </cfRule>
    <cfRule type="expression" dxfId="3511" priority="312">
      <formula>AND(IF($R$17,$W$17,TRUE),LEN(TRIM($W$17))&gt;0)</formula>
    </cfRule>
    <cfRule type="expression" dxfId="3510" priority="313">
      <formula>AND($R$17,$S$17)</formula>
    </cfRule>
  </conditionalFormatting>
  <conditionalFormatting sqref="W21">
    <cfRule type="expression" dxfId="3509" priority="306">
      <formula>OR($T$21 = TRUE, AND($W$21 = TRUE, $S$21 = FALSE))</formula>
    </cfRule>
    <cfRule type="expression" dxfId="3508" priority="307">
      <formula>$S$21 = FALSE</formula>
    </cfRule>
    <cfRule type="expression" dxfId="3507" priority="308">
      <formula>AND(IF($R$21,$W$21,TRUE),LEN(TRIM($W$21))&gt;0)</formula>
    </cfRule>
    <cfRule type="expression" dxfId="3506" priority="309">
      <formula>AND($R$21,$S$21)</formula>
    </cfRule>
  </conditionalFormatting>
  <conditionalFormatting sqref="W22">
    <cfRule type="expression" dxfId="3505" priority="302">
      <formula>OR($T$22 = TRUE, AND($W$22 = TRUE, $S$22 = FALSE))</formula>
    </cfRule>
    <cfRule type="expression" dxfId="3504" priority="303">
      <formula>$S$22 = FALSE</formula>
    </cfRule>
    <cfRule type="expression" dxfId="3503" priority="304">
      <formula>AND(IF($R$22,$W$22,TRUE),LEN(TRIM($W$22))&gt;0)</formula>
    </cfRule>
    <cfRule type="expression" dxfId="3502" priority="305">
      <formula>AND($R$22,$S$22)</formula>
    </cfRule>
  </conditionalFormatting>
  <conditionalFormatting sqref="W23">
    <cfRule type="expression" dxfId="3501" priority="298">
      <formula>OR($T$23 = TRUE, AND($W$23 = TRUE, $S$23 = FALSE))</formula>
    </cfRule>
    <cfRule type="expression" dxfId="3500" priority="299">
      <formula>$S$23 = FALSE</formula>
    </cfRule>
    <cfRule type="expression" dxfId="3499" priority="300">
      <formula>AND(IF($R$23,$W$23,TRUE),LEN(TRIM($W$23))&gt;0)</formula>
    </cfRule>
    <cfRule type="expression" dxfId="3498" priority="301">
      <formula>AND($R$23,$S$23)</formula>
    </cfRule>
  </conditionalFormatting>
  <conditionalFormatting sqref="W25">
    <cfRule type="expression" dxfId="3497" priority="294">
      <formula>OR($T$25 = TRUE, AND($W$25 = TRUE, $S$25 = FALSE))</formula>
    </cfRule>
    <cfRule type="expression" dxfId="3496" priority="295">
      <formula>$S$25 = FALSE</formula>
    </cfRule>
    <cfRule type="expression" dxfId="3495" priority="296">
      <formula>AND(IF($R$25,$W$25,TRUE),LEN(TRIM($W$25))&gt;0)</formula>
    </cfRule>
    <cfRule type="expression" dxfId="3494" priority="297">
      <formula>AND($R$25,$S$25)</formula>
    </cfRule>
  </conditionalFormatting>
  <conditionalFormatting sqref="W27">
    <cfRule type="expression" dxfId="3493" priority="290">
      <formula>OR($T$27 = TRUE, AND($W$27 = TRUE, $S$27 = FALSE))</formula>
    </cfRule>
    <cfRule type="expression" dxfId="3492" priority="291">
      <formula>$S$27 = FALSE</formula>
    </cfRule>
    <cfRule type="expression" dxfId="3491" priority="292">
      <formula>AND(IF($R$27,$W$27,TRUE),LEN(TRIM($W$27))&gt;0)</formula>
    </cfRule>
    <cfRule type="expression" dxfId="3490" priority="293">
      <formula>AND($R$27,$S$27)</formula>
    </cfRule>
  </conditionalFormatting>
  <conditionalFormatting sqref="W28">
    <cfRule type="expression" dxfId="3489" priority="286">
      <formula>OR($T$28 = TRUE, AND($W$28 = TRUE, $S$28 = FALSE))</formula>
    </cfRule>
    <cfRule type="expression" dxfId="3488" priority="287">
      <formula>$S$28 = FALSE</formula>
    </cfRule>
    <cfRule type="expression" dxfId="3487" priority="288">
      <formula>AND(IF($R$28,$W$28,TRUE),LEN(TRIM($W$28))&gt;0)</formula>
    </cfRule>
    <cfRule type="expression" dxfId="3486" priority="289">
      <formula>AND($R$28,$S$28)</formula>
    </cfRule>
  </conditionalFormatting>
  <conditionalFormatting sqref="W30">
    <cfRule type="expression" dxfId="3485" priority="282">
      <formula>OR($T$30 = TRUE, AND($W$30 = TRUE, $S$30 = FALSE))</formula>
    </cfRule>
    <cfRule type="expression" dxfId="3484" priority="283">
      <formula>$S$30 = FALSE</formula>
    </cfRule>
    <cfRule type="expression" dxfId="3483" priority="284">
      <formula>AND(IF($R$30,$W$30,TRUE),LEN(TRIM($W$30))&gt;0)</formula>
    </cfRule>
    <cfRule type="expression" dxfId="3482" priority="285">
      <formula>AND($R$30,$S$30)</formula>
    </cfRule>
  </conditionalFormatting>
  <conditionalFormatting sqref="W31">
    <cfRule type="expression" dxfId="3481" priority="278">
      <formula>OR($T$31 = TRUE, AND($W$31 = TRUE, $S$31 = FALSE))</formula>
    </cfRule>
    <cfRule type="expression" dxfId="3480" priority="279">
      <formula>$S$31 = FALSE</formula>
    </cfRule>
    <cfRule type="expression" dxfId="3479" priority="280">
      <formula>AND(IF($R$31,$W$31,TRUE),LEN(TRIM($W$31))&gt;0)</formula>
    </cfRule>
    <cfRule type="expression" dxfId="3478" priority="281">
      <formula>AND($R$31,$S$31)</formula>
    </cfRule>
  </conditionalFormatting>
  <conditionalFormatting sqref="W32">
    <cfRule type="expression" dxfId="3477" priority="274">
      <formula>OR($T$32 = TRUE, AND($W$32 = TRUE, $S$32 = FALSE))</formula>
    </cfRule>
    <cfRule type="expression" dxfId="3476" priority="275">
      <formula>$S$32 = FALSE</formula>
    </cfRule>
    <cfRule type="expression" dxfId="3475" priority="276">
      <formula>AND(IF($R$32,$W$32,TRUE),LEN(TRIM($W$32))&gt;0)</formula>
    </cfRule>
    <cfRule type="expression" dxfId="3474" priority="277">
      <formula>AND($R$32,$S$32)</formula>
    </cfRule>
  </conditionalFormatting>
  <conditionalFormatting sqref="W38">
    <cfRule type="expression" dxfId="3473" priority="270">
      <formula>OR($T$38 = TRUE, AND($W$38 = TRUE, $S$38 = FALSE))</formula>
    </cfRule>
    <cfRule type="expression" dxfId="3472" priority="271">
      <formula>$S$38 = FALSE</formula>
    </cfRule>
    <cfRule type="expression" dxfId="3471" priority="272">
      <formula>AND(IF($R$38,$W$38,TRUE),LEN(TRIM($W$38))&gt;0)</formula>
    </cfRule>
    <cfRule type="expression" dxfId="3470" priority="273">
      <formula>AND($R$38,$S$38)</formula>
    </cfRule>
  </conditionalFormatting>
  <conditionalFormatting sqref="W42">
    <cfRule type="expression" dxfId="3469" priority="266">
      <formula>OR($T$42 = TRUE, AND($W$42 = TRUE, $S$42 = FALSE))</formula>
    </cfRule>
    <cfRule type="expression" dxfId="3468" priority="267">
      <formula>$S$42 = FALSE</formula>
    </cfRule>
    <cfRule type="expression" dxfId="3467" priority="268">
      <formula>AND(IF($R$42,$W$42,TRUE),LEN(TRIM($W$42))&gt;0)</formula>
    </cfRule>
    <cfRule type="expression" dxfId="3466" priority="269">
      <formula>AND($R$42,$S$42)</formula>
    </cfRule>
  </conditionalFormatting>
  <conditionalFormatting sqref="W44">
    <cfRule type="expression" dxfId="3465" priority="262">
      <formula>OR($T$44 = TRUE, AND($W$44 = TRUE, $S$44 = FALSE))</formula>
    </cfRule>
    <cfRule type="expression" dxfId="3464" priority="263">
      <formula>$S$44 = FALSE</formula>
    </cfRule>
    <cfRule type="expression" dxfId="3463" priority="264">
      <formula>AND(IF($R$44,$W$44,TRUE),LEN(TRIM($W$44))&gt;0)</formula>
    </cfRule>
    <cfRule type="expression" dxfId="3462" priority="265">
      <formula>AND($R$44,$S$44)</formula>
    </cfRule>
  </conditionalFormatting>
  <conditionalFormatting sqref="W46">
    <cfRule type="expression" dxfId="3461" priority="258">
      <formula>OR($T$46 = TRUE, AND($W$46 = TRUE, $S$46 = FALSE))</formula>
    </cfRule>
    <cfRule type="expression" dxfId="3460" priority="259">
      <formula>$S$46 = FALSE</formula>
    </cfRule>
    <cfRule type="expression" dxfId="3459" priority="260">
      <formula>AND(IF($R$46,$W$46,TRUE),LEN(TRIM($W$46))&gt;0)</formula>
    </cfRule>
    <cfRule type="expression" dxfId="3458" priority="261">
      <formula>AND($R$46,$S$46)</formula>
    </cfRule>
  </conditionalFormatting>
  <conditionalFormatting sqref="W47">
    <cfRule type="expression" dxfId="3457" priority="254">
      <formula>OR($T$47 = TRUE, AND($W$47 = TRUE, $S$47 = FALSE))</formula>
    </cfRule>
    <cfRule type="expression" dxfId="3456" priority="255">
      <formula>$S$47 = FALSE</formula>
    </cfRule>
    <cfRule type="expression" dxfId="3455" priority="256">
      <formula>AND(IF($R$47,$W$47,TRUE),LEN(TRIM($W$47))&gt;0)</formula>
    </cfRule>
    <cfRule type="expression" dxfId="3454" priority="257">
      <formula>AND($R$47,$S$47)</formula>
    </cfRule>
  </conditionalFormatting>
  <conditionalFormatting sqref="W49">
    <cfRule type="expression" dxfId="3453" priority="250">
      <formula>OR($T$49 = TRUE, AND($W$49 = TRUE, $S$49 = FALSE))</formula>
    </cfRule>
    <cfRule type="expression" dxfId="3452" priority="251">
      <formula>$S$49 = FALSE</formula>
    </cfRule>
    <cfRule type="expression" dxfId="3451" priority="252">
      <formula>AND(IF($R$49,$W$49,TRUE),LEN(TRIM($W$49))&gt;0)</formula>
    </cfRule>
    <cfRule type="expression" dxfId="3450" priority="253">
      <formula>AND($R$49,$S$49)</formula>
    </cfRule>
  </conditionalFormatting>
  <conditionalFormatting sqref="W51">
    <cfRule type="expression" dxfId="3449" priority="246">
      <formula>OR($T$51 = TRUE, AND($W$51 = TRUE, $S$51 = FALSE))</formula>
    </cfRule>
    <cfRule type="expression" dxfId="3448" priority="247">
      <formula>$S$51 = FALSE</formula>
    </cfRule>
    <cfRule type="expression" dxfId="3447" priority="248">
      <formula>AND(IF($R$51,$W$51,TRUE),LEN(TRIM($W$51))&gt;0)</formula>
    </cfRule>
    <cfRule type="expression" dxfId="3446" priority="249">
      <formula>AND($R$51,$S$51)</formula>
    </cfRule>
  </conditionalFormatting>
  <conditionalFormatting sqref="W52">
    <cfRule type="expression" dxfId="3445" priority="242">
      <formula>OR($T$52 = TRUE, AND($W$52 = TRUE, $S$52 = FALSE))</formula>
    </cfRule>
    <cfRule type="expression" dxfId="3444" priority="243">
      <formula>$S$52 = FALSE</formula>
    </cfRule>
    <cfRule type="expression" dxfId="3443" priority="244">
      <formula>AND(IF($R$52,$W$52,TRUE),LEN(TRIM($W$52))&gt;0)</formula>
    </cfRule>
    <cfRule type="expression" dxfId="3442" priority="245">
      <formula>AND($R$52,$S$52)</formula>
    </cfRule>
  </conditionalFormatting>
  <conditionalFormatting sqref="W54">
    <cfRule type="expression" dxfId="3441" priority="238">
      <formula>OR($T$54 = TRUE, AND($W$54 = TRUE, $S$54 = FALSE))</formula>
    </cfRule>
    <cfRule type="expression" dxfId="3440" priority="239">
      <formula>$S$54 = FALSE</formula>
    </cfRule>
    <cfRule type="expression" dxfId="3439" priority="240">
      <formula>AND(IF($R$54,$W$54,TRUE),LEN(TRIM($W$54))&gt;0)</formula>
    </cfRule>
    <cfRule type="expression" dxfId="3438" priority="241">
      <formula>AND($R$54,$S$54)</formula>
    </cfRule>
  </conditionalFormatting>
  <conditionalFormatting sqref="W56">
    <cfRule type="expression" dxfId="3437" priority="234">
      <formula>OR($T$56 = TRUE, AND($W$56 = TRUE, $S$56 = FALSE))</formula>
    </cfRule>
    <cfRule type="expression" dxfId="3436" priority="235">
      <formula>$S$56 = FALSE</formula>
    </cfRule>
    <cfRule type="expression" dxfId="3435" priority="236">
      <formula>AND(IF($R$56,$W$56,TRUE),LEN(TRIM($W$56))&gt;0)</formula>
    </cfRule>
    <cfRule type="expression" dxfId="3434" priority="237">
      <formula>AND($R$56,$S$56)</formula>
    </cfRule>
  </conditionalFormatting>
  <conditionalFormatting sqref="W58">
    <cfRule type="expression" dxfId="3433" priority="230">
      <formula>OR($T$58 = TRUE, AND($W$58 = TRUE, $S$58 = FALSE))</formula>
    </cfRule>
    <cfRule type="expression" dxfId="3432" priority="231">
      <formula>$S$58 = FALSE</formula>
    </cfRule>
    <cfRule type="expression" dxfId="3431" priority="232">
      <formula>AND(IF($R$58,$W$58,TRUE),LEN(TRIM($W$58))&gt;0)</formula>
    </cfRule>
    <cfRule type="expression" dxfId="3430" priority="233">
      <formula>AND($R$58,$S$58)</formula>
    </cfRule>
  </conditionalFormatting>
  <conditionalFormatting sqref="W59">
    <cfRule type="expression" dxfId="3429" priority="226">
      <formula>OR($T$59 = TRUE, AND($W$59 = TRUE, $S$59 = FALSE))</formula>
    </cfRule>
    <cfRule type="expression" dxfId="3428" priority="227">
      <formula>$S$59 = FALSE</formula>
    </cfRule>
    <cfRule type="expression" dxfId="3427" priority="228">
      <formula>AND(IF($R$59,$W$59,TRUE),LEN(TRIM($W$59))&gt;0)</formula>
    </cfRule>
    <cfRule type="expression" dxfId="3426" priority="229">
      <formula>AND($R$59,$S$59)</formula>
    </cfRule>
  </conditionalFormatting>
  <conditionalFormatting sqref="W60">
    <cfRule type="expression" dxfId="3425" priority="222">
      <formula>OR($T$60 = TRUE, AND($W$60 = TRUE, $S$60 = FALSE))</formula>
    </cfRule>
    <cfRule type="expression" dxfId="3424" priority="223">
      <formula>$S$60 = FALSE</formula>
    </cfRule>
    <cfRule type="expression" dxfId="3423" priority="224">
      <formula>AND(IF($R$60,$W$60,TRUE),LEN(TRIM($W$60))&gt;0)</formula>
    </cfRule>
    <cfRule type="expression" dxfId="3422" priority="225">
      <formula>AND($R$60,$S$60)</formula>
    </cfRule>
  </conditionalFormatting>
  <conditionalFormatting sqref="W82">
    <cfRule type="expression" dxfId="3421" priority="218">
      <formula>OR($T$82 = TRUE, AND($W$82 = TRUE, $S$82 = FALSE))</formula>
    </cfRule>
    <cfRule type="expression" dxfId="3420" priority="219">
      <formula>$S$82 = FALSE</formula>
    </cfRule>
    <cfRule type="expression" dxfId="3419" priority="220">
      <formula>AND(IF($R$82,$W$82,TRUE),LEN(TRIM($W$82))&gt;0)</formula>
    </cfRule>
    <cfRule type="expression" dxfId="3418" priority="221">
      <formula>AND($R$82,$S$82)</formula>
    </cfRule>
  </conditionalFormatting>
  <conditionalFormatting sqref="W85">
    <cfRule type="expression" dxfId="3417" priority="214">
      <formula>OR($T$85 = TRUE, AND($W$85 = TRUE, $S$85 = FALSE))</formula>
    </cfRule>
    <cfRule type="expression" dxfId="3416" priority="215">
      <formula>$S$85 = FALSE</formula>
    </cfRule>
    <cfRule type="expression" dxfId="3415" priority="216">
      <formula>AND(IF($R$85,$W$85,TRUE),LEN(TRIM($W$85))&gt;0)</formula>
    </cfRule>
    <cfRule type="expression" dxfId="3414" priority="217">
      <formula>AND($R$85,$S$85)</formula>
    </cfRule>
  </conditionalFormatting>
  <conditionalFormatting sqref="W88">
    <cfRule type="expression" dxfId="3413" priority="210">
      <formula>OR($T$88 = TRUE, AND($W$88 = TRUE, $S$88 = FALSE))</formula>
    </cfRule>
    <cfRule type="expression" dxfId="3412" priority="211">
      <formula>$S$88 = FALSE</formula>
    </cfRule>
    <cfRule type="expression" dxfId="3411" priority="212">
      <formula>AND(IF($R$88,$W$88,TRUE),LEN(TRIM($W$88))&gt;0)</formula>
    </cfRule>
    <cfRule type="expression" dxfId="3410" priority="213">
      <formula>AND($R$88,$S$88)</formula>
    </cfRule>
  </conditionalFormatting>
  <conditionalFormatting sqref="W90">
    <cfRule type="expression" dxfId="3409" priority="206">
      <formula>OR($T$90 = TRUE, AND($W$90 = TRUE, $S$90 = FALSE))</formula>
    </cfRule>
    <cfRule type="expression" dxfId="3408" priority="207">
      <formula>$S$90 = FALSE</formula>
    </cfRule>
    <cfRule type="expression" dxfId="3407" priority="208">
      <formula>AND(IF($R$90,$W$90,TRUE),LEN(TRIM($W$90))&gt;0)</formula>
    </cfRule>
    <cfRule type="expression" dxfId="3406" priority="209">
      <formula>AND($R$90,$S$90)</formula>
    </cfRule>
  </conditionalFormatting>
  <conditionalFormatting sqref="W91">
    <cfRule type="expression" dxfId="3405" priority="202">
      <formula>OR($T$91 = TRUE, AND($W$91 = TRUE, $S$91 = FALSE))</formula>
    </cfRule>
    <cfRule type="expression" dxfId="3404" priority="203">
      <formula>$S$91 = FALSE</formula>
    </cfRule>
    <cfRule type="expression" dxfId="3403" priority="204">
      <formula>AND(IF($R$91,$W$91,TRUE),LEN(TRIM($W$91))&gt;0)</formula>
    </cfRule>
    <cfRule type="expression" dxfId="3402" priority="205">
      <formula>AND($R$91,$S$91)</formula>
    </cfRule>
  </conditionalFormatting>
  <conditionalFormatting sqref="W93">
    <cfRule type="expression" dxfId="3401" priority="198">
      <formula>OR($T$93 = TRUE, AND($W$93 = TRUE, $S$93 = FALSE))</formula>
    </cfRule>
    <cfRule type="expression" dxfId="3400" priority="199">
      <formula>$S$93 = FALSE</formula>
    </cfRule>
    <cfRule type="expression" dxfId="3399" priority="200">
      <formula>AND(IF($R$93,$W$93,TRUE),LEN(TRIM($W$93))&gt;0)</formula>
    </cfRule>
    <cfRule type="expression" dxfId="3398" priority="201">
      <formula>AND($R$93,$S$93)</formula>
    </cfRule>
  </conditionalFormatting>
  <conditionalFormatting sqref="W94">
    <cfRule type="expression" dxfId="3397" priority="194">
      <formula>OR($T$94 = TRUE, AND($W$94 = TRUE, $S$94 = FALSE))</formula>
    </cfRule>
    <cfRule type="expression" dxfId="3396" priority="195">
      <formula>$S$94 = FALSE</formula>
    </cfRule>
    <cfRule type="expression" dxfId="3395" priority="196">
      <formula>AND(IF($R$94,$W$94,TRUE),LEN(TRIM($W$94))&gt;0)</formula>
    </cfRule>
    <cfRule type="expression" dxfId="3394" priority="197">
      <formula>AND($R$94,$S$94)</formula>
    </cfRule>
  </conditionalFormatting>
  <conditionalFormatting sqref="W95">
    <cfRule type="expression" dxfId="3393" priority="190">
      <formula>OR($T$95 = TRUE, AND($W$95 = TRUE, $S$95 = FALSE))</formula>
    </cfRule>
    <cfRule type="expression" dxfId="3392" priority="191">
      <formula>$S$95 = FALSE</formula>
    </cfRule>
    <cfRule type="expression" dxfId="3391" priority="192">
      <formula>AND(IF($R$95,$W$95,TRUE),LEN(TRIM($W$95))&gt;0)</formula>
    </cfRule>
    <cfRule type="expression" dxfId="3390" priority="193">
      <formula>AND($R$95,$S$95)</formula>
    </cfRule>
  </conditionalFormatting>
  <conditionalFormatting sqref="W101">
    <cfRule type="expression" dxfId="3389" priority="186">
      <formula>OR($T$101 = TRUE, AND($W$101 = TRUE, $S$101 = FALSE))</formula>
    </cfRule>
    <cfRule type="expression" dxfId="3388" priority="187">
      <formula>$S$101 = FALSE</formula>
    </cfRule>
    <cfRule type="expression" dxfId="3387" priority="188">
      <formula>AND(IF($R$101,$W$101,TRUE),LEN(TRIM($W$101))&gt;0)</formula>
    </cfRule>
    <cfRule type="expression" dxfId="3386" priority="189">
      <formula>AND($R$101,$S$101)</formula>
    </cfRule>
  </conditionalFormatting>
  <conditionalFormatting sqref="W103">
    <cfRule type="expression" dxfId="3385" priority="182">
      <formula>OR($T$103 = TRUE, AND($W$103 = TRUE, $S$103 = FALSE))</formula>
    </cfRule>
    <cfRule type="expression" dxfId="3384" priority="183">
      <formula>$S$103 = FALSE</formula>
    </cfRule>
    <cfRule type="expression" dxfId="3383" priority="184">
      <formula>AND(IF($R$103,$W$103,TRUE),LEN(TRIM($W$103))&gt;0)</formula>
    </cfRule>
    <cfRule type="expression" dxfId="3382" priority="185">
      <formula>AND($R$103,$S$103)</formula>
    </cfRule>
  </conditionalFormatting>
  <conditionalFormatting sqref="W106">
    <cfRule type="expression" dxfId="3381" priority="178">
      <formula>OR($T$106 = TRUE, AND($W$106 = TRUE, $S$106 = FALSE))</formula>
    </cfRule>
    <cfRule type="expression" dxfId="3380" priority="179">
      <formula>$S$106 = FALSE</formula>
    </cfRule>
    <cfRule type="expression" dxfId="3379" priority="180">
      <formula>AND(IF($R$106,$W$106,TRUE),LEN(TRIM($W$106))&gt;0)</formula>
    </cfRule>
    <cfRule type="expression" dxfId="3378" priority="181">
      <formula>AND($R$106,$S$106)</formula>
    </cfRule>
  </conditionalFormatting>
  <conditionalFormatting sqref="W108">
    <cfRule type="expression" dxfId="3377" priority="174">
      <formula>OR($T$108 = TRUE, AND($W$108 = TRUE, $S$108 = FALSE))</formula>
    </cfRule>
    <cfRule type="expression" dxfId="3376" priority="175">
      <formula>$S$108 = FALSE</formula>
    </cfRule>
    <cfRule type="expression" dxfId="3375" priority="176">
      <formula>AND(IF($R$108,$W$108,TRUE),LEN(TRIM($W$108))&gt;0)</formula>
    </cfRule>
    <cfRule type="expression" dxfId="3374" priority="177">
      <formula>AND($R$108,$S$108)</formula>
    </cfRule>
  </conditionalFormatting>
  <conditionalFormatting sqref="W111">
    <cfRule type="expression" dxfId="3373" priority="170">
      <formula>OR($T$111 = TRUE, AND($W$111 = TRUE, $S$111 = FALSE))</formula>
    </cfRule>
    <cfRule type="expression" dxfId="3372" priority="171">
      <formula>$S$111 = FALSE</formula>
    </cfRule>
    <cfRule type="expression" dxfId="3371" priority="172">
      <formula>AND(IF($R$111,$W$111,TRUE),LEN(TRIM($W$111))&gt;0)</formula>
    </cfRule>
    <cfRule type="expression" dxfId="3370" priority="173">
      <formula>AND($R$111,$S$111)</formula>
    </cfRule>
  </conditionalFormatting>
  <conditionalFormatting sqref="W113">
    <cfRule type="expression" dxfId="3369" priority="166">
      <formula>OR($T$113 = TRUE, AND($W$113 = TRUE, $S$113 = FALSE))</formula>
    </cfRule>
    <cfRule type="expression" dxfId="3368" priority="167">
      <formula>$S$113 = FALSE</formula>
    </cfRule>
    <cfRule type="expression" dxfId="3367" priority="168">
      <formula>AND(IF($R$113,$W$113,TRUE),LEN(TRIM($W$113))&gt;0)</formula>
    </cfRule>
    <cfRule type="expression" dxfId="3366" priority="169">
      <formula>AND($R$113,$S$113)</formula>
    </cfRule>
  </conditionalFormatting>
  <conditionalFormatting sqref="W114">
    <cfRule type="expression" dxfId="3365" priority="162">
      <formula>OR($T$114 = TRUE, AND($W$114 = TRUE, $S$114 = FALSE))</formula>
    </cfRule>
    <cfRule type="expression" dxfId="3364" priority="163">
      <formula>$S$114 = FALSE</formula>
    </cfRule>
    <cfRule type="expression" dxfId="3363" priority="164">
      <formula>AND(IF($R$114,$W$114,TRUE),LEN(TRIM($W$114))&gt;0)</formula>
    </cfRule>
    <cfRule type="expression" dxfId="3362" priority="165">
      <formula>AND($R$114,$S$114)</formula>
    </cfRule>
  </conditionalFormatting>
  <conditionalFormatting sqref="W116">
    <cfRule type="expression" dxfId="3361" priority="158">
      <formula>OR($T$116 = TRUE, AND($W$116 = TRUE, $S$116 = FALSE))</formula>
    </cfRule>
    <cfRule type="expression" dxfId="3360" priority="159">
      <formula>$S$116 = FALSE</formula>
    </cfRule>
    <cfRule type="expression" dxfId="3359" priority="160">
      <formula>AND(IF($R$116,$W$116,TRUE),LEN(TRIM($W$116))&gt;0)</formula>
    </cfRule>
    <cfRule type="expression" dxfId="3358" priority="161">
      <formula>AND($R$116,$S$116)</formula>
    </cfRule>
  </conditionalFormatting>
  <conditionalFormatting sqref="W118">
    <cfRule type="expression" dxfId="3357" priority="154">
      <formula>OR($T$118 = TRUE, AND($W$118 = TRUE, $S$118 = FALSE))</formula>
    </cfRule>
    <cfRule type="expression" dxfId="3356" priority="155">
      <formula>$S$118 = FALSE</formula>
    </cfRule>
    <cfRule type="expression" dxfId="3355" priority="156">
      <formula>AND(IF($R$118,$W$118,TRUE),LEN(TRIM($W$118))&gt;0)</formula>
    </cfRule>
    <cfRule type="expression" dxfId="3354" priority="157">
      <formula>AND($R$118,$S$118)</formula>
    </cfRule>
  </conditionalFormatting>
  <conditionalFormatting sqref="W119">
    <cfRule type="expression" dxfId="3353" priority="150">
      <formula>OR($T$119 = TRUE, AND($W$119 = TRUE, $S$119 = FALSE))</formula>
    </cfRule>
    <cfRule type="expression" dxfId="3352" priority="151">
      <formula>$S$119 = FALSE</formula>
    </cfRule>
    <cfRule type="expression" dxfId="3351" priority="152">
      <formula>AND(IF($R$119,$W$119,TRUE),LEN(TRIM($W$119))&gt;0)</formula>
    </cfRule>
    <cfRule type="expression" dxfId="3350" priority="153">
      <formula>AND($R$119,$S$119)</formula>
    </cfRule>
  </conditionalFormatting>
  <conditionalFormatting sqref="W122">
    <cfRule type="expression" dxfId="3349" priority="146">
      <formula>OR($T$122 = TRUE, AND($W$122 = TRUE, $S$122 = FALSE))</formula>
    </cfRule>
    <cfRule type="expression" dxfId="3348" priority="147">
      <formula>$S$122 = FALSE</formula>
    </cfRule>
    <cfRule type="expression" dxfId="3347" priority="148">
      <formula>AND(IF($R$122,$W$122,TRUE),LEN(TRIM($W$122))&gt;0)</formula>
    </cfRule>
    <cfRule type="expression" dxfId="3346" priority="149">
      <formula>AND($R$122,$S$122)</formula>
    </cfRule>
  </conditionalFormatting>
  <conditionalFormatting sqref="W128">
    <cfRule type="expression" dxfId="3345" priority="142">
      <formula>OR($T$128 = TRUE, AND($W$128 = TRUE, $S$128 = FALSE))</formula>
    </cfRule>
    <cfRule type="expression" dxfId="3344" priority="143">
      <formula>$S$128 = FALSE</formula>
    </cfRule>
    <cfRule type="expression" dxfId="3343" priority="144">
      <formula>AND(IF($R$128,$W$128,TRUE),LEN(TRIM($W$128))&gt;0)</formula>
    </cfRule>
    <cfRule type="expression" dxfId="3342" priority="145">
      <formula>AND($R$128,$S$128)</formula>
    </cfRule>
  </conditionalFormatting>
  <conditionalFormatting sqref="W130">
    <cfRule type="expression" dxfId="3341" priority="138">
      <formula>OR($T$130 = TRUE, AND($W$130 = TRUE, $S$130 = FALSE))</formula>
    </cfRule>
    <cfRule type="expression" dxfId="3340" priority="139">
      <formula>$S$130 = FALSE</formula>
    </cfRule>
    <cfRule type="expression" dxfId="3339" priority="140">
      <formula>AND(IF($R$130,$W$130,TRUE),LEN(TRIM($W$130))&gt;0)</formula>
    </cfRule>
    <cfRule type="expression" dxfId="3338" priority="141">
      <formula>AND($R$130,$S$130)</formula>
    </cfRule>
  </conditionalFormatting>
  <conditionalFormatting sqref="W134">
    <cfRule type="expression" dxfId="3337" priority="134">
      <formula>OR($T$134 = TRUE, AND($W$134 = TRUE, $S$134 = FALSE))</formula>
    </cfRule>
    <cfRule type="expression" dxfId="3336" priority="135">
      <formula>$S$134 = FALSE</formula>
    </cfRule>
    <cfRule type="expression" dxfId="3335" priority="136">
      <formula>AND(IF($R$134,$W$134,TRUE),LEN(TRIM($W$134))&gt;0)</formula>
    </cfRule>
    <cfRule type="expression" dxfId="3334" priority="137">
      <formula>AND($R$134,$S$134)</formula>
    </cfRule>
  </conditionalFormatting>
  <conditionalFormatting sqref="W141">
    <cfRule type="expression" dxfId="3333" priority="130">
      <formula>OR($T$141 = TRUE, AND($W$141 = TRUE, $S$141 = FALSE))</formula>
    </cfRule>
    <cfRule type="expression" dxfId="3332" priority="131">
      <formula>$S$141 = FALSE</formula>
    </cfRule>
    <cfRule type="expression" dxfId="3331" priority="132">
      <formula>AND(IF($R$141,$W$141,TRUE),LEN(TRIM($W$141))&gt;0)</formula>
    </cfRule>
    <cfRule type="expression" dxfId="3330" priority="133">
      <formula>AND($R$141,$S$141)</formula>
    </cfRule>
  </conditionalFormatting>
  <conditionalFormatting sqref="W143">
    <cfRule type="expression" dxfId="3329" priority="126">
      <formula>OR($T$143 = TRUE, AND($W$143 = TRUE, $S$143 = FALSE))</formula>
    </cfRule>
    <cfRule type="expression" dxfId="3328" priority="127">
      <formula>$S$143 = FALSE</formula>
    </cfRule>
    <cfRule type="expression" dxfId="3327" priority="128">
      <formula>AND(IF($R$143,$W$143,TRUE),LEN(TRIM($W$143))&gt;0)</formula>
    </cfRule>
    <cfRule type="expression" dxfId="3326" priority="129">
      <formula>AND($R$143,$S$143)</formula>
    </cfRule>
  </conditionalFormatting>
  <conditionalFormatting sqref="W144">
    <cfRule type="expression" dxfId="3325" priority="122">
      <formula>OR($T$144 = TRUE, AND($W$144 = TRUE, $S$144 = FALSE))</formula>
    </cfRule>
    <cfRule type="expression" dxfId="3324" priority="123">
      <formula>$S$144 = FALSE</formula>
    </cfRule>
    <cfRule type="expression" dxfId="3323" priority="124">
      <formula>AND(IF($R$144,$W$144,TRUE),LEN(TRIM($W$144))&gt;0)</formula>
    </cfRule>
    <cfRule type="expression" dxfId="3322" priority="125">
      <formula>AND($R$144,$S$144)</formula>
    </cfRule>
  </conditionalFormatting>
  <conditionalFormatting sqref="W146">
    <cfRule type="expression" dxfId="3321" priority="118">
      <formula>OR($T$146 = TRUE, AND($W$146 = TRUE, $S$146 = FALSE))</formula>
    </cfRule>
    <cfRule type="expression" dxfId="3320" priority="119">
      <formula>$S$146 = FALSE</formula>
    </cfRule>
    <cfRule type="expression" dxfId="3319" priority="120">
      <formula>AND(IF($R$146,$W$146,TRUE),LEN(TRIM($W$146))&gt;0)</formula>
    </cfRule>
    <cfRule type="expression" dxfId="3318" priority="121">
      <formula>AND($R$146,$S$146)</formula>
    </cfRule>
  </conditionalFormatting>
  <conditionalFormatting sqref="W147">
    <cfRule type="expression" dxfId="3317" priority="114">
      <formula>OR($T$147 = TRUE, AND($W$147 = TRUE, $S$147 = FALSE))</formula>
    </cfRule>
    <cfRule type="expression" dxfId="3316" priority="115">
      <formula>$S$147 = FALSE</formula>
    </cfRule>
    <cfRule type="expression" dxfId="3315" priority="116">
      <formula>AND(IF($R$147,$W$147,TRUE),LEN(TRIM($W$147))&gt;0)</formula>
    </cfRule>
    <cfRule type="expression" dxfId="3314" priority="117">
      <formula>AND($R$147,$S$147)</formula>
    </cfRule>
  </conditionalFormatting>
  <conditionalFormatting sqref="W148">
    <cfRule type="expression" dxfId="3313" priority="110">
      <formula>OR($T$148 = TRUE, AND($W$148 = TRUE, $S$148 = FALSE))</formula>
    </cfRule>
    <cfRule type="expression" dxfId="3312" priority="111">
      <formula>$S$148 = FALSE</formula>
    </cfRule>
    <cfRule type="expression" dxfId="3311" priority="112">
      <formula>AND(IF($R$148,$W$148,TRUE),LEN(TRIM($W$148))&gt;0)</formula>
    </cfRule>
    <cfRule type="expression" dxfId="3310" priority="113">
      <formula>AND($R$148,$S$148)</formula>
    </cfRule>
  </conditionalFormatting>
  <conditionalFormatting sqref="W149">
    <cfRule type="expression" dxfId="3309" priority="106">
      <formula>OR($T$149 = TRUE, AND($W$149 = TRUE, $S$149 = FALSE))</formula>
    </cfRule>
    <cfRule type="expression" dxfId="3308" priority="107">
      <formula>$S$149 = FALSE</formula>
    </cfRule>
    <cfRule type="expression" dxfId="3307" priority="108">
      <formula>AND(IF($R$149,$W$149,TRUE),LEN(TRIM($W$149))&gt;0)</formula>
    </cfRule>
    <cfRule type="expression" dxfId="3306" priority="109">
      <formula>AND($R$149,$S$149)</formula>
    </cfRule>
  </conditionalFormatting>
  <conditionalFormatting sqref="W150">
    <cfRule type="expression" dxfId="3305" priority="73">
      <formula>OR($T$150 = TRUE, AND($W$150 = TRUE, $S$150 = FALSE))</formula>
    </cfRule>
    <cfRule type="expression" dxfId="3304" priority="74">
      <formula>$S$150 = FALSE</formula>
    </cfRule>
    <cfRule type="expression" dxfId="3303" priority="75">
      <formula>AND(IF($R$150,$W$150,TRUE),LEN(TRIM($W$150))&gt;0)</formula>
    </cfRule>
    <cfRule type="expression" dxfId="3302" priority="76">
      <formula>AND($R$150,$S$150)</formula>
    </cfRule>
  </conditionalFormatting>
  <conditionalFormatting sqref="W152">
    <cfRule type="expression" dxfId="3301" priority="102">
      <formula>OR($T$152 = TRUE, AND($W$152 = TRUE, $S$152 = FALSE))</formula>
    </cfRule>
    <cfRule type="expression" dxfId="3300" priority="103">
      <formula>$S$152 = FALSE</formula>
    </cfRule>
    <cfRule type="expression" dxfId="3299" priority="104">
      <formula>AND(IF($R$152,$W$152,TRUE),LEN(TRIM($W$152))&gt;0)</formula>
    </cfRule>
    <cfRule type="expression" dxfId="3298" priority="105">
      <formula>AND($R$152,$S$152)</formula>
    </cfRule>
  </conditionalFormatting>
  <conditionalFormatting sqref="W167">
    <cfRule type="expression" dxfId="3297" priority="69">
      <formula>OR($T$167 = TRUE, AND($W$167 = TRUE, $S$167 = FALSE))</formula>
    </cfRule>
    <cfRule type="expression" dxfId="3296" priority="70">
      <formula>$S$167 = FALSE</formula>
    </cfRule>
    <cfRule type="expression" dxfId="3295" priority="71">
      <formula>AND(IF($R$167,$W$167,TRUE),LEN(TRIM($W$167))&gt;0)</formula>
    </cfRule>
    <cfRule type="expression" dxfId="3294" priority="72">
      <formula>AND($R$167,$S$167)</formula>
    </cfRule>
  </conditionalFormatting>
  <conditionalFormatting sqref="W168">
    <cfRule type="expression" dxfId="3293" priority="65">
      <formula>OR($T$168 = TRUE, AND($W$168 = TRUE, $S$168 = FALSE))</formula>
    </cfRule>
    <cfRule type="expression" dxfId="3292" priority="66">
      <formula>$S$168 = FALSE</formula>
    </cfRule>
    <cfRule type="expression" dxfId="3291" priority="67">
      <formula>AND(IF($R$168,$W$168,TRUE),LEN(TRIM($W$168))&gt;0)</formula>
    </cfRule>
    <cfRule type="expression" dxfId="3290" priority="68">
      <formula>AND($R$168,$S$168)</formula>
    </cfRule>
  </conditionalFormatting>
  <conditionalFormatting sqref="W169">
    <cfRule type="expression" dxfId="3289" priority="61">
      <formula>OR($T$169 = TRUE, AND($W$169 = TRUE, $S$169 = FALSE))</formula>
    </cfRule>
    <cfRule type="expression" dxfId="3288" priority="62">
      <formula>$S$169 = FALSE</formula>
    </cfRule>
    <cfRule type="expression" dxfId="3287" priority="63">
      <formula>AND(IF($R$169,$W$169,TRUE),LEN(TRIM($W$169))&gt;0)</formula>
    </cfRule>
    <cfRule type="expression" dxfId="3286" priority="64">
      <formula>AND($R$169,$S$169)</formula>
    </cfRule>
  </conditionalFormatting>
  <conditionalFormatting sqref="W171">
    <cfRule type="expression" dxfId="3285" priority="57">
      <formula>OR($T$171 = TRUE, AND($W$171 = TRUE, $S$171 = FALSE))</formula>
    </cfRule>
    <cfRule type="expression" dxfId="3284" priority="58">
      <formula>$S$171 = FALSE</formula>
    </cfRule>
    <cfRule type="expression" dxfId="3283" priority="59">
      <formula>AND(IF($R$171,$W$171,TRUE),LEN(TRIM($W$171))&gt;0)</formula>
    </cfRule>
    <cfRule type="expression" dxfId="3282" priority="60">
      <formula>AND($R$171,$S$171)</formula>
    </cfRule>
  </conditionalFormatting>
  <conditionalFormatting sqref="W172">
    <cfRule type="expression" dxfId="3281" priority="53">
      <formula>OR($T$172 = TRUE, AND($W$172 = TRUE, $S$172 = FALSE))</formula>
    </cfRule>
    <cfRule type="expression" dxfId="3280" priority="54">
      <formula>$S$172 = FALSE</formula>
    </cfRule>
    <cfRule type="expression" dxfId="3279" priority="55">
      <formula>AND(IF($R$172,$W$172,TRUE),LEN(TRIM($W$172))&gt;0)</formula>
    </cfRule>
    <cfRule type="expression" dxfId="3278" priority="56">
      <formula>AND($R$172,$S$172)</formula>
    </cfRule>
  </conditionalFormatting>
  <conditionalFormatting sqref="W173">
    <cfRule type="expression" dxfId="3277" priority="49">
      <formula>OR($T$173 = TRUE, AND($W$173 = TRUE, $S$173 = FALSE))</formula>
    </cfRule>
    <cfRule type="expression" dxfId="3276" priority="50">
      <formula>$S$173 = FALSE</formula>
    </cfRule>
    <cfRule type="expression" dxfId="3275" priority="51">
      <formula>AND(IF($R$173,$W$173,TRUE),LEN(TRIM($W$173))&gt;0)</formula>
    </cfRule>
    <cfRule type="expression" dxfId="3274" priority="52">
      <formula>AND($R$173,$S$173)</formula>
    </cfRule>
  </conditionalFormatting>
  <conditionalFormatting sqref="W174">
    <cfRule type="expression" dxfId="3273" priority="45">
      <formula>OR($T$174 = TRUE, AND($W$174 = TRUE, $S$174 = FALSE))</formula>
    </cfRule>
    <cfRule type="expression" dxfId="3272" priority="46">
      <formula>$S$174 = FALSE</formula>
    </cfRule>
    <cfRule type="expression" dxfId="3271" priority="47">
      <formula>AND(IF($R$174,$W$174,TRUE),LEN(TRIM($W$174))&gt;0)</formula>
    </cfRule>
    <cfRule type="expression" dxfId="3270" priority="48">
      <formula>AND($R$174,$S$174)</formula>
    </cfRule>
  </conditionalFormatting>
  <conditionalFormatting sqref="W175">
    <cfRule type="expression" dxfId="3269" priority="41">
      <formula>OR($T$175 = TRUE, AND($W$175 = TRUE, $S$175 = FALSE))</formula>
    </cfRule>
    <cfRule type="expression" dxfId="3268" priority="42">
      <formula>$S$175 = FALSE</formula>
    </cfRule>
    <cfRule type="expression" dxfId="3267" priority="43">
      <formula>AND(IF($R$175,$W$175,TRUE),LEN(TRIM($W$175))&gt;0)</formula>
    </cfRule>
    <cfRule type="expression" dxfId="3266" priority="44">
      <formula>AND($R$175,$S$175)</formula>
    </cfRule>
  </conditionalFormatting>
  <conditionalFormatting sqref="W176">
    <cfRule type="expression" dxfId="3265" priority="37">
      <formula>OR($T$176 = TRUE, AND($W$176 = TRUE, $S$176 = FALSE))</formula>
    </cfRule>
    <cfRule type="expression" dxfId="3264" priority="38">
      <formula>$S$176 = FALSE</formula>
    </cfRule>
    <cfRule type="expression" dxfId="3263" priority="39">
      <formula>AND(IF($R$176,$W$176,TRUE),LEN(TRIM($W$176))&gt;0)</formula>
    </cfRule>
    <cfRule type="expression" dxfId="3262" priority="40">
      <formula>AND($R$176,$S$176)</formula>
    </cfRule>
  </conditionalFormatting>
  <conditionalFormatting sqref="W181">
    <cfRule type="expression" dxfId="3261" priority="33">
      <formula>OR($T$181 = TRUE, AND($W$181 = TRUE, $S$181 = FALSE))</formula>
    </cfRule>
    <cfRule type="expression" dxfId="3260" priority="34">
      <formula>$S$181 = FALSE</formula>
    </cfRule>
    <cfRule type="expression" dxfId="3259" priority="35">
      <formula>AND(IF($R$181,$W$181,TRUE),LEN(TRIM($W$181))&gt;0)</formula>
    </cfRule>
    <cfRule type="expression" dxfId="3258" priority="36">
      <formula>AND($R$181,$S$181)</formula>
    </cfRule>
  </conditionalFormatting>
  <conditionalFormatting sqref="W182">
    <cfRule type="expression" dxfId="3257" priority="29">
      <formula>OR($T$182 = TRUE, AND($W$182 = TRUE, $S$182 = FALSE))</formula>
    </cfRule>
    <cfRule type="expression" dxfId="3256" priority="30">
      <formula>$S$182 = FALSE</formula>
    </cfRule>
    <cfRule type="expression" dxfId="3255" priority="31">
      <formula>AND(IF($R$182,$W$182,TRUE),LEN(TRIM($W$182))&gt;0)</formula>
    </cfRule>
    <cfRule type="expression" dxfId="3254" priority="32">
      <formula>AND($R$182,$S$182)</formula>
    </cfRule>
  </conditionalFormatting>
  <conditionalFormatting sqref="W183">
    <cfRule type="expression" dxfId="3253" priority="25">
      <formula>OR($T$183 = TRUE, AND($W$183 = TRUE, $S$183 = FALSE))</formula>
    </cfRule>
    <cfRule type="expression" dxfId="3252" priority="26">
      <formula>$S$183 = FALSE</formula>
    </cfRule>
    <cfRule type="expression" dxfId="3251" priority="27">
      <formula>AND(IF($R$183,$W$183,TRUE),LEN(TRIM($W$183))&gt;0)</formula>
    </cfRule>
    <cfRule type="expression" dxfId="3250" priority="28">
      <formula>AND($R$183,$S$183)</formula>
    </cfRule>
  </conditionalFormatting>
  <conditionalFormatting sqref="W184">
    <cfRule type="expression" dxfId="3249" priority="21">
      <formula>OR($T$184 = TRUE, AND($W$184 = TRUE, $S$184 = FALSE))</formula>
    </cfRule>
    <cfRule type="expression" dxfId="3248" priority="22">
      <formula>$S$184 = FALSE</formula>
    </cfRule>
    <cfRule type="expression" dxfId="3247" priority="23">
      <formula>AND(IF($R$184,$W$184,TRUE),LEN(TRIM($W$184))&gt;0)</formula>
    </cfRule>
    <cfRule type="expression" dxfId="3246" priority="24">
      <formula>AND($R$184,$S$184)</formula>
    </cfRule>
  </conditionalFormatting>
  <conditionalFormatting sqref="W185">
    <cfRule type="expression" dxfId="3245" priority="17">
      <formula>OR($T$185 = TRUE, AND($W$185 = TRUE, $S$185 = FALSE))</formula>
    </cfRule>
    <cfRule type="expression" dxfId="3244" priority="18">
      <formula>$S$185 = FALSE</formula>
    </cfRule>
    <cfRule type="expression" dxfId="3243" priority="19">
      <formula>AND(IF($R$185,$W$185,TRUE),LEN(TRIM($W$185))&gt;0)</formula>
    </cfRule>
    <cfRule type="expression" dxfId="3242" priority="20">
      <formula>AND($R$185,$S$185)</formula>
    </cfRule>
  </conditionalFormatting>
  <conditionalFormatting sqref="W186">
    <cfRule type="expression" dxfId="3241" priority="13">
      <formula>OR($T$186 = TRUE, AND($W$186 = TRUE, $S$186 = FALSE))</formula>
    </cfRule>
    <cfRule type="expression" dxfId="3240" priority="14">
      <formula>$S$186 = FALSE</formula>
    </cfRule>
    <cfRule type="expression" dxfId="3239" priority="15">
      <formula>AND(IF($R$186,$W$186,TRUE),LEN(TRIM($W$186))&gt;0)</formula>
    </cfRule>
    <cfRule type="expression" dxfId="3238" priority="16">
      <formula>AND($R$186,$S$186)</formula>
    </cfRule>
  </conditionalFormatting>
  <conditionalFormatting sqref="W187">
    <cfRule type="expression" dxfId="3237" priority="9">
      <formula>OR($T$187 = TRUE, AND($W$187 = TRUE, $S$187 = FALSE))</formula>
    </cfRule>
    <cfRule type="expression" dxfId="3236" priority="10">
      <formula>$S$187 = FALSE</formula>
    </cfRule>
    <cfRule type="expression" dxfId="3235" priority="11">
      <formula>AND(IF($R$187,$W$187,TRUE),LEN(TRIM($W$187))&gt;0)</formula>
    </cfRule>
    <cfRule type="expression" dxfId="3234" priority="12">
      <formula>AND($R$187,$S$187)</formula>
    </cfRule>
  </conditionalFormatting>
  <conditionalFormatting sqref="W193">
    <cfRule type="expression" dxfId="3233" priority="98">
      <formula>OR($T$193 = TRUE, AND($W$193 = TRUE, $S$193 = FALSE))</formula>
    </cfRule>
    <cfRule type="expression" dxfId="3232" priority="99">
      <formula>$S$193 = FALSE</formula>
    </cfRule>
    <cfRule type="expression" dxfId="3231" priority="100">
      <formula>AND(IF($R$193,$W$193,TRUE),LEN(TRIM($W$193))&gt;0)</formula>
    </cfRule>
    <cfRule type="expression" dxfId="3230" priority="101">
      <formula>AND($R$193,$S$193)</formula>
    </cfRule>
  </conditionalFormatting>
  <conditionalFormatting sqref="W195">
    <cfRule type="expression" dxfId="3229" priority="94">
      <formula>OR($T$195 = TRUE, AND($W$195 = TRUE, $S$195 = FALSE))</formula>
    </cfRule>
    <cfRule type="expression" dxfId="3228" priority="95">
      <formula>$S$195 = FALSE</formula>
    </cfRule>
    <cfRule type="expression" dxfId="3227" priority="96">
      <formula>AND(IF($R$195,$W$195,TRUE),LEN(TRIM($W$195))&gt;0)</formula>
    </cfRule>
    <cfRule type="expression" dxfId="3226" priority="97">
      <formula>AND($R$195,$S$195)</formula>
    </cfRule>
  </conditionalFormatting>
  <conditionalFormatting sqref="W198">
    <cfRule type="expression" dxfId="3225" priority="90">
      <formula>OR($T$198 = TRUE, AND($W$198 = TRUE, $S$198 = FALSE))</formula>
    </cfRule>
    <cfRule type="expression" dxfId="3224" priority="91">
      <formula>$S$198 = FALSE</formula>
    </cfRule>
    <cfRule type="expression" dxfId="3223" priority="92">
      <formula>AND(IF($R$198,$W$198,TRUE),LEN(TRIM($W$198))&gt;0)</formula>
    </cfRule>
    <cfRule type="expression" dxfId="3222" priority="93">
      <formula>AND($R$198,$S$198)</formula>
    </cfRule>
  </conditionalFormatting>
  <conditionalFormatting sqref="W211">
    <cfRule type="expression" dxfId="3221" priority="86">
      <formula>OR($T$211 = TRUE, AND($W$211 = TRUE, $S$211 = FALSE))</formula>
    </cfRule>
    <cfRule type="expression" dxfId="3220" priority="87">
      <formula>$S$211 = FALSE</formula>
    </cfRule>
    <cfRule type="expression" dxfId="3219" priority="88">
      <formula>AND(IF($R$211,$W$211,TRUE),LEN(TRIM($W$211))&gt;0)</formula>
    </cfRule>
    <cfRule type="expression" dxfId="3218" priority="89">
      <formula>AND($R$211,$S$211)</formula>
    </cfRule>
  </conditionalFormatting>
  <conditionalFormatting sqref="W213">
    <cfRule type="expression" dxfId="3217" priority="82">
      <formula>OR($T$213 = TRUE, AND($W$213 = TRUE, $S$213 = FALSE))</formula>
    </cfRule>
    <cfRule type="expression" dxfId="3216" priority="83">
      <formula>$S$213 = FALSE</formula>
    </cfRule>
    <cfRule type="expression" dxfId="3215" priority="84">
      <formula>AND(IF($R$213,$W$213,TRUE),LEN(TRIM($W$213))&gt;0)</formula>
    </cfRule>
    <cfRule type="expression" dxfId="3214" priority="85">
      <formula>AND($R$213,$S$213)</formula>
    </cfRule>
  </conditionalFormatting>
  <conditionalFormatting sqref="W217">
    <cfRule type="expression" dxfId="3213" priority="1">
      <formula>OR($T$217 = TRUE, AND($W$217 = TRUE, $S$217 = FALSE))</formula>
    </cfRule>
    <cfRule type="expression" dxfId="3212" priority="2">
      <formula>$S$217 = FALSE</formula>
    </cfRule>
    <cfRule type="expression" dxfId="3211" priority="3">
      <formula>AND(IF($R$217,$W$217,TRUE),LEN(TRIM($W$217))&gt;0)</formula>
    </cfRule>
    <cfRule type="expression" dxfId="3210" priority="4">
      <formula>AND($R$217,$S$217)</formula>
    </cfRule>
  </conditionalFormatting>
  <conditionalFormatting sqref="W220">
    <cfRule type="expression" dxfId="3209" priority="5">
      <formula>OR($T$220 = TRUE, AND($W$220 = TRUE, $S$220 = FALSE))</formula>
    </cfRule>
    <cfRule type="expression" dxfId="3208" priority="6">
      <formula>$S$220 = FALSE</formula>
    </cfRule>
    <cfRule type="expression" dxfId="3207" priority="7">
      <formula>AND(IF($R$220,$W$220,TRUE),LEN(TRIM($W$220))&gt;0)</formula>
    </cfRule>
    <cfRule type="expression" dxfId="3206" priority="8">
      <formula>AND($R$220,$S$220)</formula>
    </cfRule>
  </conditionalFormatting>
  <conditionalFormatting sqref="X1">
    <cfRule type="expression" dxfId="3205" priority="77">
      <formula>startError</formula>
    </cfRule>
  </conditionalFormatting>
  <conditionalFormatting sqref="X2">
    <cfRule type="expression" dxfId="3204" priority="814">
      <formula>$AG$3</formula>
    </cfRule>
  </conditionalFormatting>
  <conditionalFormatting sqref="X3">
    <cfRule type="expression" dxfId="3203" priority="815">
      <formula>$AI$3</formula>
    </cfRule>
  </conditionalFormatting>
  <dataValidations count="1">
    <dataValidation type="list" allowBlank="1" showDropDown="1" showInputMessage="1" showErrorMessage="1" error="Use Checkbox" prompt="Use Checkbox" sqref="W213 W211 W198 W195 W193 W30:W32 W143:W144 W141 W134 W130 W128 W122 W118:W119 W116 W113:W114 W111 W108 W106 W103 W101 W93:W95 W90:W91 W88 W85 W82 W58:W60 W56 W54 W51:W52 W49 W46:W47 W44 W42 W38 W15:W17 W25 W21:W23 W27:W28 W152 W146:W150 W181:W187 W171:W176 W167:W169 W217 W220" xr:uid="{00000000-0002-0000-0800-000000000000}">
      <formula1>TorF</formula1>
    </dataValidation>
  </dataValidations>
  <pageMargins left="0.7" right="0.7" top="0.75" bottom="0.75" header="0.3" footer="0.3"/>
  <pageSetup scale="44" fitToHeight="0" orientation="portrait" r:id="rId1"/>
  <rowBreaks count="2" manualBreakCount="2">
    <brk id="96" max="23" man="1"/>
    <brk id="200" max="23" man="1"/>
  </rowBreaks>
  <ignoredErrors>
    <ignoredError sqref="AQ15:AQ17 AQ30:AQ32 AQ38 AQ42 AQ44 AQ46:AQ47 AQ49 AQ51:AQ52 AQ54 AQ56 AQ58:AQ60 AQ21:AQ23 AQ25 AQ27:AQ28 AQ82 AQ85 AQ88 AQ90:AQ91 AQ93:AQ95 AQ101 AQ118:AQ119 AQ122 AQ103 AQ106 AQ108 AQ111 AQ113:AQ114 AQ116 AQ128 AQ149:AQ150 AQ130 AQ134 AQ141 AQ143:AQ144 AQ146:AQ148 AQ152 AQ167:AQ169 AQ171:AQ176 AQ181:AQ187 AQ193 AQ195 AQ198 AQ211 AQ213 AQ217 AQ220 AS15:AS17 AS30:AS32 AS38 AS42 AS44 AS46:AS47 AS49 AS51:AS52 AS54 AS56 AS58:AS60 AS21:AS23 AS25 AS27:AS28 AS82 AS85 AS88 AS90:AS91 AS93:AS95 AS101 AS118:AS119 AS122 AS103 AS106 AS108 AS111 AS113:AS114 AS116 AS128 AS149:AS150 AS130 AS134 AS141 AS143:AS144 AS146:AS148 AS152 AS167:AS169 AS171:AS176 AS181:AS187 AS193 AS195 AS198 AS211 AS213 AS217 AS220"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8316" r:id="rId4" name="Check Box 124">
              <controlPr locked="0" defaultSize="0" autoFill="0" autoLine="0" autoPict="0">
                <anchor moveWithCells="1" sizeWithCells="1">
                  <from>
                    <xdr:col>22</xdr:col>
                    <xdr:colOff>0</xdr:colOff>
                    <xdr:row>14</xdr:row>
                    <xdr:rowOff>0</xdr:rowOff>
                  </from>
                  <to>
                    <xdr:col>22</xdr:col>
                    <xdr:colOff>184150</xdr:colOff>
                    <xdr:row>14</xdr:row>
                    <xdr:rowOff>184150</xdr:rowOff>
                  </to>
                </anchor>
              </controlPr>
            </control>
          </mc:Choice>
        </mc:AlternateContent>
        <mc:AlternateContent xmlns:mc="http://schemas.openxmlformats.org/markup-compatibility/2006">
          <mc:Choice Requires="x14">
            <control shapeId="8317" r:id="rId5" name="Check Box 125">
              <controlPr locked="0" defaultSize="0" autoFill="0" autoLine="0" autoPict="0">
                <anchor moveWithCells="1" sizeWithCells="1">
                  <from>
                    <xdr:col>22</xdr:col>
                    <xdr:colOff>0</xdr:colOff>
                    <xdr:row>15</xdr:row>
                    <xdr:rowOff>0</xdr:rowOff>
                  </from>
                  <to>
                    <xdr:col>22</xdr:col>
                    <xdr:colOff>184150</xdr:colOff>
                    <xdr:row>15</xdr:row>
                    <xdr:rowOff>184150</xdr:rowOff>
                  </to>
                </anchor>
              </controlPr>
            </control>
          </mc:Choice>
        </mc:AlternateContent>
        <mc:AlternateContent xmlns:mc="http://schemas.openxmlformats.org/markup-compatibility/2006">
          <mc:Choice Requires="x14">
            <control shapeId="8318" r:id="rId6" name="Check Box 126">
              <controlPr locked="0" defaultSize="0" autoFill="0" autoLine="0" autoPict="0">
                <anchor moveWithCells="1" sizeWithCells="1">
                  <from>
                    <xdr:col>22</xdr:col>
                    <xdr:colOff>0</xdr:colOff>
                    <xdr:row>16</xdr:row>
                    <xdr:rowOff>0</xdr:rowOff>
                  </from>
                  <to>
                    <xdr:col>22</xdr:col>
                    <xdr:colOff>184150</xdr:colOff>
                    <xdr:row>16</xdr:row>
                    <xdr:rowOff>184150</xdr:rowOff>
                  </to>
                </anchor>
              </controlPr>
            </control>
          </mc:Choice>
        </mc:AlternateContent>
        <mc:AlternateContent xmlns:mc="http://schemas.openxmlformats.org/markup-compatibility/2006">
          <mc:Choice Requires="x14">
            <control shapeId="8319" r:id="rId7" name="Check Box 127">
              <controlPr locked="0" defaultSize="0" autoFill="0" autoLine="0" autoPict="0">
                <anchor moveWithCells="1" sizeWithCells="1">
                  <from>
                    <xdr:col>22</xdr:col>
                    <xdr:colOff>0</xdr:colOff>
                    <xdr:row>20</xdr:row>
                    <xdr:rowOff>0</xdr:rowOff>
                  </from>
                  <to>
                    <xdr:col>22</xdr:col>
                    <xdr:colOff>184150</xdr:colOff>
                    <xdr:row>20</xdr:row>
                    <xdr:rowOff>184150</xdr:rowOff>
                  </to>
                </anchor>
              </controlPr>
            </control>
          </mc:Choice>
        </mc:AlternateContent>
        <mc:AlternateContent xmlns:mc="http://schemas.openxmlformats.org/markup-compatibility/2006">
          <mc:Choice Requires="x14">
            <control shapeId="8320" r:id="rId8" name="Check Box 128">
              <controlPr locked="0" defaultSize="0" autoFill="0" autoLine="0" autoPict="0">
                <anchor moveWithCells="1" sizeWithCells="1">
                  <from>
                    <xdr:col>22</xdr:col>
                    <xdr:colOff>0</xdr:colOff>
                    <xdr:row>21</xdr:row>
                    <xdr:rowOff>0</xdr:rowOff>
                  </from>
                  <to>
                    <xdr:col>22</xdr:col>
                    <xdr:colOff>184150</xdr:colOff>
                    <xdr:row>21</xdr:row>
                    <xdr:rowOff>184150</xdr:rowOff>
                  </to>
                </anchor>
              </controlPr>
            </control>
          </mc:Choice>
        </mc:AlternateContent>
        <mc:AlternateContent xmlns:mc="http://schemas.openxmlformats.org/markup-compatibility/2006">
          <mc:Choice Requires="x14">
            <control shapeId="8321" r:id="rId9" name="Check Box 129">
              <controlPr locked="0" defaultSize="0" autoFill="0" autoLine="0" autoPict="0">
                <anchor moveWithCells="1" sizeWithCells="1">
                  <from>
                    <xdr:col>22</xdr:col>
                    <xdr:colOff>0</xdr:colOff>
                    <xdr:row>22</xdr:row>
                    <xdr:rowOff>0</xdr:rowOff>
                  </from>
                  <to>
                    <xdr:col>22</xdr:col>
                    <xdr:colOff>184150</xdr:colOff>
                    <xdr:row>22</xdr:row>
                    <xdr:rowOff>184150</xdr:rowOff>
                  </to>
                </anchor>
              </controlPr>
            </control>
          </mc:Choice>
        </mc:AlternateContent>
        <mc:AlternateContent xmlns:mc="http://schemas.openxmlformats.org/markup-compatibility/2006">
          <mc:Choice Requires="x14">
            <control shapeId="8322" r:id="rId10" name="Check Box 130">
              <controlPr locked="0" defaultSize="0" autoFill="0" autoLine="0" autoPict="0">
                <anchor moveWithCells="1" sizeWithCells="1">
                  <from>
                    <xdr:col>22</xdr:col>
                    <xdr:colOff>0</xdr:colOff>
                    <xdr:row>24</xdr:row>
                    <xdr:rowOff>0</xdr:rowOff>
                  </from>
                  <to>
                    <xdr:col>22</xdr:col>
                    <xdr:colOff>184150</xdr:colOff>
                    <xdr:row>24</xdr:row>
                    <xdr:rowOff>184150</xdr:rowOff>
                  </to>
                </anchor>
              </controlPr>
            </control>
          </mc:Choice>
        </mc:AlternateContent>
        <mc:AlternateContent xmlns:mc="http://schemas.openxmlformats.org/markup-compatibility/2006">
          <mc:Choice Requires="x14">
            <control shapeId="8323" r:id="rId11" name="Check Box 131">
              <controlPr locked="0" defaultSize="0" autoFill="0" autoLine="0" autoPict="0">
                <anchor moveWithCells="1" sizeWithCells="1">
                  <from>
                    <xdr:col>22</xdr:col>
                    <xdr:colOff>0</xdr:colOff>
                    <xdr:row>26</xdr:row>
                    <xdr:rowOff>0</xdr:rowOff>
                  </from>
                  <to>
                    <xdr:col>22</xdr:col>
                    <xdr:colOff>184150</xdr:colOff>
                    <xdr:row>26</xdr:row>
                    <xdr:rowOff>184150</xdr:rowOff>
                  </to>
                </anchor>
              </controlPr>
            </control>
          </mc:Choice>
        </mc:AlternateContent>
        <mc:AlternateContent xmlns:mc="http://schemas.openxmlformats.org/markup-compatibility/2006">
          <mc:Choice Requires="x14">
            <control shapeId="8324" r:id="rId12" name="Check Box 132">
              <controlPr locked="0" defaultSize="0" autoFill="0" autoLine="0" autoPict="0">
                <anchor moveWithCells="1" sizeWithCells="1">
                  <from>
                    <xdr:col>22</xdr:col>
                    <xdr:colOff>0</xdr:colOff>
                    <xdr:row>27</xdr:row>
                    <xdr:rowOff>0</xdr:rowOff>
                  </from>
                  <to>
                    <xdr:col>22</xdr:col>
                    <xdr:colOff>184150</xdr:colOff>
                    <xdr:row>27</xdr:row>
                    <xdr:rowOff>184150</xdr:rowOff>
                  </to>
                </anchor>
              </controlPr>
            </control>
          </mc:Choice>
        </mc:AlternateContent>
        <mc:AlternateContent xmlns:mc="http://schemas.openxmlformats.org/markup-compatibility/2006">
          <mc:Choice Requires="x14">
            <control shapeId="8325" r:id="rId13" name="Check Box 133">
              <controlPr locked="0" defaultSize="0" autoFill="0" autoLine="0" autoPict="0">
                <anchor moveWithCells="1" sizeWithCells="1">
                  <from>
                    <xdr:col>22</xdr:col>
                    <xdr:colOff>0</xdr:colOff>
                    <xdr:row>29</xdr:row>
                    <xdr:rowOff>0</xdr:rowOff>
                  </from>
                  <to>
                    <xdr:col>22</xdr:col>
                    <xdr:colOff>184150</xdr:colOff>
                    <xdr:row>29</xdr:row>
                    <xdr:rowOff>184150</xdr:rowOff>
                  </to>
                </anchor>
              </controlPr>
            </control>
          </mc:Choice>
        </mc:AlternateContent>
        <mc:AlternateContent xmlns:mc="http://schemas.openxmlformats.org/markup-compatibility/2006">
          <mc:Choice Requires="x14">
            <control shapeId="8326" r:id="rId14" name="Check Box 134">
              <controlPr locked="0" defaultSize="0" autoFill="0" autoLine="0" autoPict="0">
                <anchor moveWithCells="1" sizeWithCells="1">
                  <from>
                    <xdr:col>22</xdr:col>
                    <xdr:colOff>0</xdr:colOff>
                    <xdr:row>30</xdr:row>
                    <xdr:rowOff>0</xdr:rowOff>
                  </from>
                  <to>
                    <xdr:col>22</xdr:col>
                    <xdr:colOff>184150</xdr:colOff>
                    <xdr:row>30</xdr:row>
                    <xdr:rowOff>184150</xdr:rowOff>
                  </to>
                </anchor>
              </controlPr>
            </control>
          </mc:Choice>
        </mc:AlternateContent>
        <mc:AlternateContent xmlns:mc="http://schemas.openxmlformats.org/markup-compatibility/2006">
          <mc:Choice Requires="x14">
            <control shapeId="8327" r:id="rId15" name="Check Box 135">
              <controlPr locked="0" defaultSize="0" autoFill="0" autoLine="0" autoPict="0">
                <anchor moveWithCells="1" sizeWithCells="1">
                  <from>
                    <xdr:col>22</xdr:col>
                    <xdr:colOff>0</xdr:colOff>
                    <xdr:row>31</xdr:row>
                    <xdr:rowOff>0</xdr:rowOff>
                  </from>
                  <to>
                    <xdr:col>22</xdr:col>
                    <xdr:colOff>184150</xdr:colOff>
                    <xdr:row>31</xdr:row>
                    <xdr:rowOff>184150</xdr:rowOff>
                  </to>
                </anchor>
              </controlPr>
            </control>
          </mc:Choice>
        </mc:AlternateContent>
        <mc:AlternateContent xmlns:mc="http://schemas.openxmlformats.org/markup-compatibility/2006">
          <mc:Choice Requires="x14">
            <control shapeId="8328" r:id="rId16" name="Check Box 136">
              <controlPr locked="0" defaultSize="0" autoFill="0" autoLine="0" autoPict="0">
                <anchor moveWithCells="1" sizeWithCells="1">
                  <from>
                    <xdr:col>22</xdr:col>
                    <xdr:colOff>0</xdr:colOff>
                    <xdr:row>37</xdr:row>
                    <xdr:rowOff>0</xdr:rowOff>
                  </from>
                  <to>
                    <xdr:col>22</xdr:col>
                    <xdr:colOff>184150</xdr:colOff>
                    <xdr:row>37</xdr:row>
                    <xdr:rowOff>184150</xdr:rowOff>
                  </to>
                </anchor>
              </controlPr>
            </control>
          </mc:Choice>
        </mc:AlternateContent>
        <mc:AlternateContent xmlns:mc="http://schemas.openxmlformats.org/markup-compatibility/2006">
          <mc:Choice Requires="x14">
            <control shapeId="8329" r:id="rId17" name="Check Box 137">
              <controlPr locked="0" defaultSize="0" autoFill="0" autoLine="0" autoPict="0">
                <anchor moveWithCells="1" sizeWithCells="1">
                  <from>
                    <xdr:col>22</xdr:col>
                    <xdr:colOff>0</xdr:colOff>
                    <xdr:row>41</xdr:row>
                    <xdr:rowOff>0</xdr:rowOff>
                  </from>
                  <to>
                    <xdr:col>22</xdr:col>
                    <xdr:colOff>184150</xdr:colOff>
                    <xdr:row>41</xdr:row>
                    <xdr:rowOff>184150</xdr:rowOff>
                  </to>
                </anchor>
              </controlPr>
            </control>
          </mc:Choice>
        </mc:AlternateContent>
        <mc:AlternateContent xmlns:mc="http://schemas.openxmlformats.org/markup-compatibility/2006">
          <mc:Choice Requires="x14">
            <control shapeId="8330" r:id="rId18" name="Check Box 138">
              <controlPr locked="0" defaultSize="0" autoFill="0" autoLine="0" autoPict="0">
                <anchor moveWithCells="1" sizeWithCells="1">
                  <from>
                    <xdr:col>22</xdr:col>
                    <xdr:colOff>0</xdr:colOff>
                    <xdr:row>43</xdr:row>
                    <xdr:rowOff>0</xdr:rowOff>
                  </from>
                  <to>
                    <xdr:col>22</xdr:col>
                    <xdr:colOff>184150</xdr:colOff>
                    <xdr:row>43</xdr:row>
                    <xdr:rowOff>184150</xdr:rowOff>
                  </to>
                </anchor>
              </controlPr>
            </control>
          </mc:Choice>
        </mc:AlternateContent>
        <mc:AlternateContent xmlns:mc="http://schemas.openxmlformats.org/markup-compatibility/2006">
          <mc:Choice Requires="x14">
            <control shapeId="8331" r:id="rId19" name="Check Box 139">
              <controlPr locked="0" defaultSize="0" autoFill="0" autoLine="0" autoPict="0">
                <anchor moveWithCells="1" sizeWithCells="1">
                  <from>
                    <xdr:col>22</xdr:col>
                    <xdr:colOff>0</xdr:colOff>
                    <xdr:row>45</xdr:row>
                    <xdr:rowOff>0</xdr:rowOff>
                  </from>
                  <to>
                    <xdr:col>22</xdr:col>
                    <xdr:colOff>184150</xdr:colOff>
                    <xdr:row>45</xdr:row>
                    <xdr:rowOff>184150</xdr:rowOff>
                  </to>
                </anchor>
              </controlPr>
            </control>
          </mc:Choice>
        </mc:AlternateContent>
        <mc:AlternateContent xmlns:mc="http://schemas.openxmlformats.org/markup-compatibility/2006">
          <mc:Choice Requires="x14">
            <control shapeId="8332" r:id="rId20" name="Check Box 140">
              <controlPr locked="0" defaultSize="0" autoFill="0" autoLine="0" autoPict="0">
                <anchor moveWithCells="1" sizeWithCells="1">
                  <from>
                    <xdr:col>22</xdr:col>
                    <xdr:colOff>0</xdr:colOff>
                    <xdr:row>46</xdr:row>
                    <xdr:rowOff>0</xdr:rowOff>
                  </from>
                  <to>
                    <xdr:col>22</xdr:col>
                    <xdr:colOff>184150</xdr:colOff>
                    <xdr:row>46</xdr:row>
                    <xdr:rowOff>184150</xdr:rowOff>
                  </to>
                </anchor>
              </controlPr>
            </control>
          </mc:Choice>
        </mc:AlternateContent>
        <mc:AlternateContent xmlns:mc="http://schemas.openxmlformats.org/markup-compatibility/2006">
          <mc:Choice Requires="x14">
            <control shapeId="8333" r:id="rId21" name="Check Box 141">
              <controlPr locked="0" defaultSize="0" autoFill="0" autoLine="0" autoPict="0">
                <anchor moveWithCells="1" sizeWithCells="1">
                  <from>
                    <xdr:col>22</xdr:col>
                    <xdr:colOff>0</xdr:colOff>
                    <xdr:row>48</xdr:row>
                    <xdr:rowOff>0</xdr:rowOff>
                  </from>
                  <to>
                    <xdr:col>22</xdr:col>
                    <xdr:colOff>184150</xdr:colOff>
                    <xdr:row>48</xdr:row>
                    <xdr:rowOff>184150</xdr:rowOff>
                  </to>
                </anchor>
              </controlPr>
            </control>
          </mc:Choice>
        </mc:AlternateContent>
        <mc:AlternateContent xmlns:mc="http://schemas.openxmlformats.org/markup-compatibility/2006">
          <mc:Choice Requires="x14">
            <control shapeId="8334" r:id="rId22" name="Check Box 142">
              <controlPr locked="0" defaultSize="0" autoFill="0" autoLine="0" autoPict="0">
                <anchor moveWithCells="1" sizeWithCells="1">
                  <from>
                    <xdr:col>22</xdr:col>
                    <xdr:colOff>0</xdr:colOff>
                    <xdr:row>50</xdr:row>
                    <xdr:rowOff>0</xdr:rowOff>
                  </from>
                  <to>
                    <xdr:col>22</xdr:col>
                    <xdr:colOff>184150</xdr:colOff>
                    <xdr:row>50</xdr:row>
                    <xdr:rowOff>184150</xdr:rowOff>
                  </to>
                </anchor>
              </controlPr>
            </control>
          </mc:Choice>
        </mc:AlternateContent>
        <mc:AlternateContent xmlns:mc="http://schemas.openxmlformats.org/markup-compatibility/2006">
          <mc:Choice Requires="x14">
            <control shapeId="8335" r:id="rId23" name="Check Box 143">
              <controlPr locked="0" defaultSize="0" autoFill="0" autoLine="0" autoPict="0">
                <anchor moveWithCells="1" sizeWithCells="1">
                  <from>
                    <xdr:col>22</xdr:col>
                    <xdr:colOff>0</xdr:colOff>
                    <xdr:row>51</xdr:row>
                    <xdr:rowOff>0</xdr:rowOff>
                  </from>
                  <to>
                    <xdr:col>22</xdr:col>
                    <xdr:colOff>184150</xdr:colOff>
                    <xdr:row>51</xdr:row>
                    <xdr:rowOff>184150</xdr:rowOff>
                  </to>
                </anchor>
              </controlPr>
            </control>
          </mc:Choice>
        </mc:AlternateContent>
        <mc:AlternateContent xmlns:mc="http://schemas.openxmlformats.org/markup-compatibility/2006">
          <mc:Choice Requires="x14">
            <control shapeId="8336" r:id="rId24" name="Check Box 144">
              <controlPr locked="0" defaultSize="0" autoFill="0" autoLine="0" autoPict="0">
                <anchor moveWithCells="1" sizeWithCells="1">
                  <from>
                    <xdr:col>22</xdr:col>
                    <xdr:colOff>0</xdr:colOff>
                    <xdr:row>53</xdr:row>
                    <xdr:rowOff>0</xdr:rowOff>
                  </from>
                  <to>
                    <xdr:col>22</xdr:col>
                    <xdr:colOff>184150</xdr:colOff>
                    <xdr:row>53</xdr:row>
                    <xdr:rowOff>184150</xdr:rowOff>
                  </to>
                </anchor>
              </controlPr>
            </control>
          </mc:Choice>
        </mc:AlternateContent>
        <mc:AlternateContent xmlns:mc="http://schemas.openxmlformats.org/markup-compatibility/2006">
          <mc:Choice Requires="x14">
            <control shapeId="8337" r:id="rId25" name="Check Box 145">
              <controlPr locked="0" defaultSize="0" autoFill="0" autoLine="0" autoPict="0">
                <anchor moveWithCells="1" sizeWithCells="1">
                  <from>
                    <xdr:col>22</xdr:col>
                    <xdr:colOff>0</xdr:colOff>
                    <xdr:row>55</xdr:row>
                    <xdr:rowOff>0</xdr:rowOff>
                  </from>
                  <to>
                    <xdr:col>22</xdr:col>
                    <xdr:colOff>184150</xdr:colOff>
                    <xdr:row>55</xdr:row>
                    <xdr:rowOff>184150</xdr:rowOff>
                  </to>
                </anchor>
              </controlPr>
            </control>
          </mc:Choice>
        </mc:AlternateContent>
        <mc:AlternateContent xmlns:mc="http://schemas.openxmlformats.org/markup-compatibility/2006">
          <mc:Choice Requires="x14">
            <control shapeId="8338" r:id="rId26" name="Check Box 146">
              <controlPr locked="0" defaultSize="0" autoFill="0" autoLine="0" autoPict="0">
                <anchor moveWithCells="1" sizeWithCells="1">
                  <from>
                    <xdr:col>22</xdr:col>
                    <xdr:colOff>0</xdr:colOff>
                    <xdr:row>57</xdr:row>
                    <xdr:rowOff>0</xdr:rowOff>
                  </from>
                  <to>
                    <xdr:col>22</xdr:col>
                    <xdr:colOff>184150</xdr:colOff>
                    <xdr:row>57</xdr:row>
                    <xdr:rowOff>184150</xdr:rowOff>
                  </to>
                </anchor>
              </controlPr>
            </control>
          </mc:Choice>
        </mc:AlternateContent>
        <mc:AlternateContent xmlns:mc="http://schemas.openxmlformats.org/markup-compatibility/2006">
          <mc:Choice Requires="x14">
            <control shapeId="8339" r:id="rId27" name="Check Box 147">
              <controlPr locked="0" defaultSize="0" autoFill="0" autoLine="0" autoPict="0">
                <anchor moveWithCells="1" sizeWithCells="1">
                  <from>
                    <xdr:col>22</xdr:col>
                    <xdr:colOff>0</xdr:colOff>
                    <xdr:row>58</xdr:row>
                    <xdr:rowOff>0</xdr:rowOff>
                  </from>
                  <to>
                    <xdr:col>22</xdr:col>
                    <xdr:colOff>184150</xdr:colOff>
                    <xdr:row>58</xdr:row>
                    <xdr:rowOff>184150</xdr:rowOff>
                  </to>
                </anchor>
              </controlPr>
            </control>
          </mc:Choice>
        </mc:AlternateContent>
        <mc:AlternateContent xmlns:mc="http://schemas.openxmlformats.org/markup-compatibility/2006">
          <mc:Choice Requires="x14">
            <control shapeId="8340" r:id="rId28" name="Check Box 148">
              <controlPr locked="0" defaultSize="0" autoFill="0" autoLine="0" autoPict="0">
                <anchor moveWithCells="1" sizeWithCells="1">
                  <from>
                    <xdr:col>22</xdr:col>
                    <xdr:colOff>0</xdr:colOff>
                    <xdr:row>59</xdr:row>
                    <xdr:rowOff>0</xdr:rowOff>
                  </from>
                  <to>
                    <xdr:col>22</xdr:col>
                    <xdr:colOff>184150</xdr:colOff>
                    <xdr:row>59</xdr:row>
                    <xdr:rowOff>184150</xdr:rowOff>
                  </to>
                </anchor>
              </controlPr>
            </control>
          </mc:Choice>
        </mc:AlternateContent>
        <mc:AlternateContent xmlns:mc="http://schemas.openxmlformats.org/markup-compatibility/2006">
          <mc:Choice Requires="x14">
            <control shapeId="8341" r:id="rId29" name="Check Box 149">
              <controlPr locked="0" defaultSize="0" autoFill="0" autoLine="0" autoPict="0">
                <anchor moveWithCells="1" sizeWithCells="1">
                  <from>
                    <xdr:col>22</xdr:col>
                    <xdr:colOff>0</xdr:colOff>
                    <xdr:row>81</xdr:row>
                    <xdr:rowOff>0</xdr:rowOff>
                  </from>
                  <to>
                    <xdr:col>22</xdr:col>
                    <xdr:colOff>184150</xdr:colOff>
                    <xdr:row>81</xdr:row>
                    <xdr:rowOff>184150</xdr:rowOff>
                  </to>
                </anchor>
              </controlPr>
            </control>
          </mc:Choice>
        </mc:AlternateContent>
        <mc:AlternateContent xmlns:mc="http://schemas.openxmlformats.org/markup-compatibility/2006">
          <mc:Choice Requires="x14">
            <control shapeId="8342" r:id="rId30" name="Check Box 150">
              <controlPr locked="0" defaultSize="0" autoFill="0" autoLine="0" autoPict="0">
                <anchor moveWithCells="1" sizeWithCells="1">
                  <from>
                    <xdr:col>22</xdr:col>
                    <xdr:colOff>0</xdr:colOff>
                    <xdr:row>84</xdr:row>
                    <xdr:rowOff>0</xdr:rowOff>
                  </from>
                  <to>
                    <xdr:col>22</xdr:col>
                    <xdr:colOff>184150</xdr:colOff>
                    <xdr:row>84</xdr:row>
                    <xdr:rowOff>184150</xdr:rowOff>
                  </to>
                </anchor>
              </controlPr>
            </control>
          </mc:Choice>
        </mc:AlternateContent>
        <mc:AlternateContent xmlns:mc="http://schemas.openxmlformats.org/markup-compatibility/2006">
          <mc:Choice Requires="x14">
            <control shapeId="8343" r:id="rId31" name="Check Box 151">
              <controlPr locked="0" defaultSize="0" autoFill="0" autoLine="0" autoPict="0">
                <anchor moveWithCells="1" sizeWithCells="1">
                  <from>
                    <xdr:col>22</xdr:col>
                    <xdr:colOff>0</xdr:colOff>
                    <xdr:row>87</xdr:row>
                    <xdr:rowOff>0</xdr:rowOff>
                  </from>
                  <to>
                    <xdr:col>22</xdr:col>
                    <xdr:colOff>184150</xdr:colOff>
                    <xdr:row>87</xdr:row>
                    <xdr:rowOff>184150</xdr:rowOff>
                  </to>
                </anchor>
              </controlPr>
            </control>
          </mc:Choice>
        </mc:AlternateContent>
        <mc:AlternateContent xmlns:mc="http://schemas.openxmlformats.org/markup-compatibility/2006">
          <mc:Choice Requires="x14">
            <control shapeId="8344" r:id="rId32" name="Check Box 152">
              <controlPr locked="0" defaultSize="0" autoFill="0" autoLine="0" autoPict="0">
                <anchor moveWithCells="1" sizeWithCells="1">
                  <from>
                    <xdr:col>22</xdr:col>
                    <xdr:colOff>0</xdr:colOff>
                    <xdr:row>89</xdr:row>
                    <xdr:rowOff>0</xdr:rowOff>
                  </from>
                  <to>
                    <xdr:col>22</xdr:col>
                    <xdr:colOff>184150</xdr:colOff>
                    <xdr:row>89</xdr:row>
                    <xdr:rowOff>184150</xdr:rowOff>
                  </to>
                </anchor>
              </controlPr>
            </control>
          </mc:Choice>
        </mc:AlternateContent>
        <mc:AlternateContent xmlns:mc="http://schemas.openxmlformats.org/markup-compatibility/2006">
          <mc:Choice Requires="x14">
            <control shapeId="8345" r:id="rId33" name="Check Box 153">
              <controlPr locked="0" defaultSize="0" autoFill="0" autoLine="0" autoPict="0">
                <anchor moveWithCells="1" sizeWithCells="1">
                  <from>
                    <xdr:col>22</xdr:col>
                    <xdr:colOff>0</xdr:colOff>
                    <xdr:row>90</xdr:row>
                    <xdr:rowOff>0</xdr:rowOff>
                  </from>
                  <to>
                    <xdr:col>22</xdr:col>
                    <xdr:colOff>184150</xdr:colOff>
                    <xdr:row>90</xdr:row>
                    <xdr:rowOff>184150</xdr:rowOff>
                  </to>
                </anchor>
              </controlPr>
            </control>
          </mc:Choice>
        </mc:AlternateContent>
        <mc:AlternateContent xmlns:mc="http://schemas.openxmlformats.org/markup-compatibility/2006">
          <mc:Choice Requires="x14">
            <control shapeId="8346" r:id="rId34" name="Check Box 154">
              <controlPr locked="0" defaultSize="0" autoFill="0" autoLine="0" autoPict="0">
                <anchor moveWithCells="1" sizeWithCells="1">
                  <from>
                    <xdr:col>22</xdr:col>
                    <xdr:colOff>0</xdr:colOff>
                    <xdr:row>92</xdr:row>
                    <xdr:rowOff>0</xdr:rowOff>
                  </from>
                  <to>
                    <xdr:col>22</xdr:col>
                    <xdr:colOff>184150</xdr:colOff>
                    <xdr:row>92</xdr:row>
                    <xdr:rowOff>184150</xdr:rowOff>
                  </to>
                </anchor>
              </controlPr>
            </control>
          </mc:Choice>
        </mc:AlternateContent>
        <mc:AlternateContent xmlns:mc="http://schemas.openxmlformats.org/markup-compatibility/2006">
          <mc:Choice Requires="x14">
            <control shapeId="8347" r:id="rId35" name="Check Box 155">
              <controlPr locked="0" defaultSize="0" autoFill="0" autoLine="0" autoPict="0">
                <anchor moveWithCells="1" sizeWithCells="1">
                  <from>
                    <xdr:col>22</xdr:col>
                    <xdr:colOff>0</xdr:colOff>
                    <xdr:row>93</xdr:row>
                    <xdr:rowOff>0</xdr:rowOff>
                  </from>
                  <to>
                    <xdr:col>22</xdr:col>
                    <xdr:colOff>184150</xdr:colOff>
                    <xdr:row>93</xdr:row>
                    <xdr:rowOff>184150</xdr:rowOff>
                  </to>
                </anchor>
              </controlPr>
            </control>
          </mc:Choice>
        </mc:AlternateContent>
        <mc:AlternateContent xmlns:mc="http://schemas.openxmlformats.org/markup-compatibility/2006">
          <mc:Choice Requires="x14">
            <control shapeId="8348" r:id="rId36" name="Check Box 156">
              <controlPr locked="0" defaultSize="0" autoFill="0" autoLine="0" autoPict="0">
                <anchor moveWithCells="1" sizeWithCells="1">
                  <from>
                    <xdr:col>22</xdr:col>
                    <xdr:colOff>0</xdr:colOff>
                    <xdr:row>94</xdr:row>
                    <xdr:rowOff>0</xdr:rowOff>
                  </from>
                  <to>
                    <xdr:col>22</xdr:col>
                    <xdr:colOff>184150</xdr:colOff>
                    <xdr:row>94</xdr:row>
                    <xdr:rowOff>184150</xdr:rowOff>
                  </to>
                </anchor>
              </controlPr>
            </control>
          </mc:Choice>
        </mc:AlternateContent>
        <mc:AlternateContent xmlns:mc="http://schemas.openxmlformats.org/markup-compatibility/2006">
          <mc:Choice Requires="x14">
            <control shapeId="8349" r:id="rId37" name="Check Box 157">
              <controlPr locked="0" defaultSize="0" autoFill="0" autoLine="0" autoPict="0">
                <anchor moveWithCells="1" sizeWithCells="1">
                  <from>
                    <xdr:col>22</xdr:col>
                    <xdr:colOff>0</xdr:colOff>
                    <xdr:row>100</xdr:row>
                    <xdr:rowOff>0</xdr:rowOff>
                  </from>
                  <to>
                    <xdr:col>22</xdr:col>
                    <xdr:colOff>184150</xdr:colOff>
                    <xdr:row>100</xdr:row>
                    <xdr:rowOff>184150</xdr:rowOff>
                  </to>
                </anchor>
              </controlPr>
            </control>
          </mc:Choice>
        </mc:AlternateContent>
        <mc:AlternateContent xmlns:mc="http://schemas.openxmlformats.org/markup-compatibility/2006">
          <mc:Choice Requires="x14">
            <control shapeId="8350" r:id="rId38" name="Check Box 158">
              <controlPr locked="0" defaultSize="0" autoFill="0" autoLine="0" autoPict="0">
                <anchor moveWithCells="1" sizeWithCells="1">
                  <from>
                    <xdr:col>22</xdr:col>
                    <xdr:colOff>0</xdr:colOff>
                    <xdr:row>102</xdr:row>
                    <xdr:rowOff>0</xdr:rowOff>
                  </from>
                  <to>
                    <xdr:col>22</xdr:col>
                    <xdr:colOff>184150</xdr:colOff>
                    <xdr:row>102</xdr:row>
                    <xdr:rowOff>184150</xdr:rowOff>
                  </to>
                </anchor>
              </controlPr>
            </control>
          </mc:Choice>
        </mc:AlternateContent>
        <mc:AlternateContent xmlns:mc="http://schemas.openxmlformats.org/markup-compatibility/2006">
          <mc:Choice Requires="x14">
            <control shapeId="8351" r:id="rId39" name="Check Box 159">
              <controlPr locked="0" defaultSize="0" autoFill="0" autoLine="0" autoPict="0">
                <anchor moveWithCells="1" sizeWithCells="1">
                  <from>
                    <xdr:col>22</xdr:col>
                    <xdr:colOff>0</xdr:colOff>
                    <xdr:row>105</xdr:row>
                    <xdr:rowOff>0</xdr:rowOff>
                  </from>
                  <to>
                    <xdr:col>22</xdr:col>
                    <xdr:colOff>184150</xdr:colOff>
                    <xdr:row>105</xdr:row>
                    <xdr:rowOff>184150</xdr:rowOff>
                  </to>
                </anchor>
              </controlPr>
            </control>
          </mc:Choice>
        </mc:AlternateContent>
        <mc:AlternateContent xmlns:mc="http://schemas.openxmlformats.org/markup-compatibility/2006">
          <mc:Choice Requires="x14">
            <control shapeId="8352" r:id="rId40" name="Check Box 160">
              <controlPr locked="0" defaultSize="0" autoFill="0" autoLine="0" autoPict="0">
                <anchor moveWithCells="1" sizeWithCells="1">
                  <from>
                    <xdr:col>22</xdr:col>
                    <xdr:colOff>0</xdr:colOff>
                    <xdr:row>107</xdr:row>
                    <xdr:rowOff>0</xdr:rowOff>
                  </from>
                  <to>
                    <xdr:col>22</xdr:col>
                    <xdr:colOff>184150</xdr:colOff>
                    <xdr:row>107</xdr:row>
                    <xdr:rowOff>184150</xdr:rowOff>
                  </to>
                </anchor>
              </controlPr>
            </control>
          </mc:Choice>
        </mc:AlternateContent>
        <mc:AlternateContent xmlns:mc="http://schemas.openxmlformats.org/markup-compatibility/2006">
          <mc:Choice Requires="x14">
            <control shapeId="8353" r:id="rId41" name="Check Box 161">
              <controlPr locked="0" defaultSize="0" autoFill="0" autoLine="0" autoPict="0">
                <anchor moveWithCells="1" sizeWithCells="1">
                  <from>
                    <xdr:col>22</xdr:col>
                    <xdr:colOff>0</xdr:colOff>
                    <xdr:row>110</xdr:row>
                    <xdr:rowOff>0</xdr:rowOff>
                  </from>
                  <to>
                    <xdr:col>22</xdr:col>
                    <xdr:colOff>184150</xdr:colOff>
                    <xdr:row>110</xdr:row>
                    <xdr:rowOff>184150</xdr:rowOff>
                  </to>
                </anchor>
              </controlPr>
            </control>
          </mc:Choice>
        </mc:AlternateContent>
        <mc:AlternateContent xmlns:mc="http://schemas.openxmlformats.org/markup-compatibility/2006">
          <mc:Choice Requires="x14">
            <control shapeId="8354" r:id="rId42" name="Check Box 162">
              <controlPr locked="0" defaultSize="0" autoFill="0" autoLine="0" autoPict="0">
                <anchor moveWithCells="1" sizeWithCells="1">
                  <from>
                    <xdr:col>22</xdr:col>
                    <xdr:colOff>0</xdr:colOff>
                    <xdr:row>112</xdr:row>
                    <xdr:rowOff>0</xdr:rowOff>
                  </from>
                  <to>
                    <xdr:col>22</xdr:col>
                    <xdr:colOff>184150</xdr:colOff>
                    <xdr:row>112</xdr:row>
                    <xdr:rowOff>184150</xdr:rowOff>
                  </to>
                </anchor>
              </controlPr>
            </control>
          </mc:Choice>
        </mc:AlternateContent>
        <mc:AlternateContent xmlns:mc="http://schemas.openxmlformats.org/markup-compatibility/2006">
          <mc:Choice Requires="x14">
            <control shapeId="8355" r:id="rId43" name="Check Box 163">
              <controlPr locked="0" defaultSize="0" autoFill="0" autoLine="0" autoPict="0">
                <anchor moveWithCells="1" sizeWithCells="1">
                  <from>
                    <xdr:col>22</xdr:col>
                    <xdr:colOff>0</xdr:colOff>
                    <xdr:row>113</xdr:row>
                    <xdr:rowOff>0</xdr:rowOff>
                  </from>
                  <to>
                    <xdr:col>22</xdr:col>
                    <xdr:colOff>184150</xdr:colOff>
                    <xdr:row>113</xdr:row>
                    <xdr:rowOff>184150</xdr:rowOff>
                  </to>
                </anchor>
              </controlPr>
            </control>
          </mc:Choice>
        </mc:AlternateContent>
        <mc:AlternateContent xmlns:mc="http://schemas.openxmlformats.org/markup-compatibility/2006">
          <mc:Choice Requires="x14">
            <control shapeId="8356" r:id="rId44" name="Check Box 164">
              <controlPr locked="0" defaultSize="0" autoFill="0" autoLine="0" autoPict="0">
                <anchor moveWithCells="1" sizeWithCells="1">
                  <from>
                    <xdr:col>22</xdr:col>
                    <xdr:colOff>0</xdr:colOff>
                    <xdr:row>115</xdr:row>
                    <xdr:rowOff>0</xdr:rowOff>
                  </from>
                  <to>
                    <xdr:col>22</xdr:col>
                    <xdr:colOff>184150</xdr:colOff>
                    <xdr:row>115</xdr:row>
                    <xdr:rowOff>184150</xdr:rowOff>
                  </to>
                </anchor>
              </controlPr>
            </control>
          </mc:Choice>
        </mc:AlternateContent>
        <mc:AlternateContent xmlns:mc="http://schemas.openxmlformats.org/markup-compatibility/2006">
          <mc:Choice Requires="x14">
            <control shapeId="8357" r:id="rId45" name="Check Box 165">
              <controlPr locked="0" defaultSize="0" autoFill="0" autoLine="0" autoPict="0">
                <anchor moveWithCells="1" sizeWithCells="1">
                  <from>
                    <xdr:col>22</xdr:col>
                    <xdr:colOff>0</xdr:colOff>
                    <xdr:row>117</xdr:row>
                    <xdr:rowOff>0</xdr:rowOff>
                  </from>
                  <to>
                    <xdr:col>22</xdr:col>
                    <xdr:colOff>184150</xdr:colOff>
                    <xdr:row>117</xdr:row>
                    <xdr:rowOff>184150</xdr:rowOff>
                  </to>
                </anchor>
              </controlPr>
            </control>
          </mc:Choice>
        </mc:AlternateContent>
        <mc:AlternateContent xmlns:mc="http://schemas.openxmlformats.org/markup-compatibility/2006">
          <mc:Choice Requires="x14">
            <control shapeId="8358" r:id="rId46" name="Check Box 166">
              <controlPr locked="0" defaultSize="0" autoFill="0" autoLine="0" autoPict="0">
                <anchor moveWithCells="1" sizeWithCells="1">
                  <from>
                    <xdr:col>22</xdr:col>
                    <xdr:colOff>0</xdr:colOff>
                    <xdr:row>118</xdr:row>
                    <xdr:rowOff>0</xdr:rowOff>
                  </from>
                  <to>
                    <xdr:col>22</xdr:col>
                    <xdr:colOff>184150</xdr:colOff>
                    <xdr:row>118</xdr:row>
                    <xdr:rowOff>184150</xdr:rowOff>
                  </to>
                </anchor>
              </controlPr>
            </control>
          </mc:Choice>
        </mc:AlternateContent>
        <mc:AlternateContent xmlns:mc="http://schemas.openxmlformats.org/markup-compatibility/2006">
          <mc:Choice Requires="x14">
            <control shapeId="8359" r:id="rId47" name="Check Box 167">
              <controlPr locked="0" defaultSize="0" autoFill="0" autoLine="0" autoPict="0">
                <anchor moveWithCells="1" sizeWithCells="1">
                  <from>
                    <xdr:col>22</xdr:col>
                    <xdr:colOff>0</xdr:colOff>
                    <xdr:row>121</xdr:row>
                    <xdr:rowOff>0</xdr:rowOff>
                  </from>
                  <to>
                    <xdr:col>22</xdr:col>
                    <xdr:colOff>184150</xdr:colOff>
                    <xdr:row>121</xdr:row>
                    <xdr:rowOff>184150</xdr:rowOff>
                  </to>
                </anchor>
              </controlPr>
            </control>
          </mc:Choice>
        </mc:AlternateContent>
        <mc:AlternateContent xmlns:mc="http://schemas.openxmlformats.org/markup-compatibility/2006">
          <mc:Choice Requires="x14">
            <control shapeId="8360" r:id="rId48" name="Check Box 168">
              <controlPr locked="0" defaultSize="0" autoFill="0" autoLine="0" autoPict="0">
                <anchor moveWithCells="1" sizeWithCells="1">
                  <from>
                    <xdr:col>22</xdr:col>
                    <xdr:colOff>0</xdr:colOff>
                    <xdr:row>127</xdr:row>
                    <xdr:rowOff>0</xdr:rowOff>
                  </from>
                  <to>
                    <xdr:col>22</xdr:col>
                    <xdr:colOff>184150</xdr:colOff>
                    <xdr:row>127</xdr:row>
                    <xdr:rowOff>184150</xdr:rowOff>
                  </to>
                </anchor>
              </controlPr>
            </control>
          </mc:Choice>
        </mc:AlternateContent>
        <mc:AlternateContent xmlns:mc="http://schemas.openxmlformats.org/markup-compatibility/2006">
          <mc:Choice Requires="x14">
            <control shapeId="8361" r:id="rId49" name="Check Box 169">
              <controlPr locked="0" defaultSize="0" autoFill="0" autoLine="0" autoPict="0">
                <anchor moveWithCells="1" sizeWithCells="1">
                  <from>
                    <xdr:col>22</xdr:col>
                    <xdr:colOff>0</xdr:colOff>
                    <xdr:row>129</xdr:row>
                    <xdr:rowOff>0</xdr:rowOff>
                  </from>
                  <to>
                    <xdr:col>22</xdr:col>
                    <xdr:colOff>184150</xdr:colOff>
                    <xdr:row>129</xdr:row>
                    <xdr:rowOff>184150</xdr:rowOff>
                  </to>
                </anchor>
              </controlPr>
            </control>
          </mc:Choice>
        </mc:AlternateContent>
        <mc:AlternateContent xmlns:mc="http://schemas.openxmlformats.org/markup-compatibility/2006">
          <mc:Choice Requires="x14">
            <control shapeId="8362" r:id="rId50" name="Check Box 170">
              <controlPr locked="0" defaultSize="0" autoFill="0" autoLine="0" autoPict="0">
                <anchor moveWithCells="1" sizeWithCells="1">
                  <from>
                    <xdr:col>22</xdr:col>
                    <xdr:colOff>0</xdr:colOff>
                    <xdr:row>133</xdr:row>
                    <xdr:rowOff>0</xdr:rowOff>
                  </from>
                  <to>
                    <xdr:col>22</xdr:col>
                    <xdr:colOff>184150</xdr:colOff>
                    <xdr:row>133</xdr:row>
                    <xdr:rowOff>184150</xdr:rowOff>
                  </to>
                </anchor>
              </controlPr>
            </control>
          </mc:Choice>
        </mc:AlternateContent>
        <mc:AlternateContent xmlns:mc="http://schemas.openxmlformats.org/markup-compatibility/2006">
          <mc:Choice Requires="x14">
            <control shapeId="8363" r:id="rId51" name="Check Box 171">
              <controlPr locked="0" defaultSize="0" autoFill="0" autoLine="0" autoPict="0">
                <anchor moveWithCells="1" sizeWithCells="1">
                  <from>
                    <xdr:col>22</xdr:col>
                    <xdr:colOff>0</xdr:colOff>
                    <xdr:row>140</xdr:row>
                    <xdr:rowOff>0</xdr:rowOff>
                  </from>
                  <to>
                    <xdr:col>22</xdr:col>
                    <xdr:colOff>184150</xdr:colOff>
                    <xdr:row>140</xdr:row>
                    <xdr:rowOff>184150</xdr:rowOff>
                  </to>
                </anchor>
              </controlPr>
            </control>
          </mc:Choice>
        </mc:AlternateContent>
        <mc:AlternateContent xmlns:mc="http://schemas.openxmlformats.org/markup-compatibility/2006">
          <mc:Choice Requires="x14">
            <control shapeId="8364" r:id="rId52" name="Check Box 172">
              <controlPr locked="0" defaultSize="0" autoFill="0" autoLine="0" autoPict="0">
                <anchor moveWithCells="1" sizeWithCells="1">
                  <from>
                    <xdr:col>22</xdr:col>
                    <xdr:colOff>0</xdr:colOff>
                    <xdr:row>142</xdr:row>
                    <xdr:rowOff>0</xdr:rowOff>
                  </from>
                  <to>
                    <xdr:col>22</xdr:col>
                    <xdr:colOff>184150</xdr:colOff>
                    <xdr:row>142</xdr:row>
                    <xdr:rowOff>184150</xdr:rowOff>
                  </to>
                </anchor>
              </controlPr>
            </control>
          </mc:Choice>
        </mc:AlternateContent>
        <mc:AlternateContent xmlns:mc="http://schemas.openxmlformats.org/markup-compatibility/2006">
          <mc:Choice Requires="x14">
            <control shapeId="8365" r:id="rId53" name="Check Box 173">
              <controlPr locked="0" defaultSize="0" autoFill="0" autoLine="0" autoPict="0">
                <anchor moveWithCells="1" sizeWithCells="1">
                  <from>
                    <xdr:col>22</xdr:col>
                    <xdr:colOff>0</xdr:colOff>
                    <xdr:row>143</xdr:row>
                    <xdr:rowOff>0</xdr:rowOff>
                  </from>
                  <to>
                    <xdr:col>22</xdr:col>
                    <xdr:colOff>184150</xdr:colOff>
                    <xdr:row>143</xdr:row>
                    <xdr:rowOff>184150</xdr:rowOff>
                  </to>
                </anchor>
              </controlPr>
            </control>
          </mc:Choice>
        </mc:AlternateContent>
        <mc:AlternateContent xmlns:mc="http://schemas.openxmlformats.org/markup-compatibility/2006">
          <mc:Choice Requires="x14">
            <control shapeId="8366" r:id="rId54" name="Check Box 174">
              <controlPr locked="0" defaultSize="0" autoFill="0" autoLine="0" autoPict="0">
                <anchor moveWithCells="1" sizeWithCells="1">
                  <from>
                    <xdr:col>22</xdr:col>
                    <xdr:colOff>0</xdr:colOff>
                    <xdr:row>145</xdr:row>
                    <xdr:rowOff>0</xdr:rowOff>
                  </from>
                  <to>
                    <xdr:col>22</xdr:col>
                    <xdr:colOff>184150</xdr:colOff>
                    <xdr:row>145</xdr:row>
                    <xdr:rowOff>184150</xdr:rowOff>
                  </to>
                </anchor>
              </controlPr>
            </control>
          </mc:Choice>
        </mc:AlternateContent>
        <mc:AlternateContent xmlns:mc="http://schemas.openxmlformats.org/markup-compatibility/2006">
          <mc:Choice Requires="x14">
            <control shapeId="8367" r:id="rId55" name="Check Box 175">
              <controlPr locked="0" defaultSize="0" autoFill="0" autoLine="0" autoPict="0">
                <anchor moveWithCells="1" sizeWithCells="1">
                  <from>
                    <xdr:col>22</xdr:col>
                    <xdr:colOff>0</xdr:colOff>
                    <xdr:row>146</xdr:row>
                    <xdr:rowOff>0</xdr:rowOff>
                  </from>
                  <to>
                    <xdr:col>22</xdr:col>
                    <xdr:colOff>184150</xdr:colOff>
                    <xdr:row>146</xdr:row>
                    <xdr:rowOff>184150</xdr:rowOff>
                  </to>
                </anchor>
              </controlPr>
            </control>
          </mc:Choice>
        </mc:AlternateContent>
        <mc:AlternateContent xmlns:mc="http://schemas.openxmlformats.org/markup-compatibility/2006">
          <mc:Choice Requires="x14">
            <control shapeId="8368" r:id="rId56" name="Check Box 176">
              <controlPr locked="0" defaultSize="0" autoFill="0" autoLine="0" autoPict="0">
                <anchor moveWithCells="1" sizeWithCells="1">
                  <from>
                    <xdr:col>22</xdr:col>
                    <xdr:colOff>0</xdr:colOff>
                    <xdr:row>147</xdr:row>
                    <xdr:rowOff>0</xdr:rowOff>
                  </from>
                  <to>
                    <xdr:col>22</xdr:col>
                    <xdr:colOff>184150</xdr:colOff>
                    <xdr:row>147</xdr:row>
                    <xdr:rowOff>184150</xdr:rowOff>
                  </to>
                </anchor>
              </controlPr>
            </control>
          </mc:Choice>
        </mc:AlternateContent>
        <mc:AlternateContent xmlns:mc="http://schemas.openxmlformats.org/markup-compatibility/2006">
          <mc:Choice Requires="x14">
            <control shapeId="8369" r:id="rId57" name="Check Box 177">
              <controlPr locked="0" defaultSize="0" autoFill="0" autoLine="0" autoPict="0">
                <anchor moveWithCells="1" sizeWithCells="1">
                  <from>
                    <xdr:col>22</xdr:col>
                    <xdr:colOff>0</xdr:colOff>
                    <xdr:row>148</xdr:row>
                    <xdr:rowOff>0</xdr:rowOff>
                  </from>
                  <to>
                    <xdr:col>22</xdr:col>
                    <xdr:colOff>184150</xdr:colOff>
                    <xdr:row>148</xdr:row>
                    <xdr:rowOff>184150</xdr:rowOff>
                  </to>
                </anchor>
              </controlPr>
            </control>
          </mc:Choice>
        </mc:AlternateContent>
        <mc:AlternateContent xmlns:mc="http://schemas.openxmlformats.org/markup-compatibility/2006">
          <mc:Choice Requires="x14">
            <control shapeId="8370" r:id="rId58" name="Check Box 178">
              <controlPr locked="0" defaultSize="0" autoFill="0" autoLine="0" autoPict="0">
                <anchor moveWithCells="1" sizeWithCells="1">
                  <from>
                    <xdr:col>22</xdr:col>
                    <xdr:colOff>0</xdr:colOff>
                    <xdr:row>151</xdr:row>
                    <xdr:rowOff>0</xdr:rowOff>
                  </from>
                  <to>
                    <xdr:col>22</xdr:col>
                    <xdr:colOff>184150</xdr:colOff>
                    <xdr:row>151</xdr:row>
                    <xdr:rowOff>184150</xdr:rowOff>
                  </to>
                </anchor>
              </controlPr>
            </control>
          </mc:Choice>
        </mc:AlternateContent>
        <mc:AlternateContent xmlns:mc="http://schemas.openxmlformats.org/markup-compatibility/2006">
          <mc:Choice Requires="x14">
            <control shapeId="8371" r:id="rId59" name="Check Box 179">
              <controlPr locked="0" defaultSize="0" autoFill="0" autoLine="0" autoPict="0">
                <anchor moveWithCells="1" sizeWithCells="1">
                  <from>
                    <xdr:col>22</xdr:col>
                    <xdr:colOff>0</xdr:colOff>
                    <xdr:row>192</xdr:row>
                    <xdr:rowOff>0</xdr:rowOff>
                  </from>
                  <to>
                    <xdr:col>22</xdr:col>
                    <xdr:colOff>184150</xdr:colOff>
                    <xdr:row>192</xdr:row>
                    <xdr:rowOff>184150</xdr:rowOff>
                  </to>
                </anchor>
              </controlPr>
            </control>
          </mc:Choice>
        </mc:AlternateContent>
        <mc:AlternateContent xmlns:mc="http://schemas.openxmlformats.org/markup-compatibility/2006">
          <mc:Choice Requires="x14">
            <control shapeId="8372" r:id="rId60" name="Check Box 180">
              <controlPr locked="0" defaultSize="0" autoFill="0" autoLine="0" autoPict="0">
                <anchor moveWithCells="1" sizeWithCells="1">
                  <from>
                    <xdr:col>22</xdr:col>
                    <xdr:colOff>0</xdr:colOff>
                    <xdr:row>194</xdr:row>
                    <xdr:rowOff>0</xdr:rowOff>
                  </from>
                  <to>
                    <xdr:col>22</xdr:col>
                    <xdr:colOff>184150</xdr:colOff>
                    <xdr:row>194</xdr:row>
                    <xdr:rowOff>184150</xdr:rowOff>
                  </to>
                </anchor>
              </controlPr>
            </control>
          </mc:Choice>
        </mc:AlternateContent>
        <mc:AlternateContent xmlns:mc="http://schemas.openxmlformats.org/markup-compatibility/2006">
          <mc:Choice Requires="x14">
            <control shapeId="8373" r:id="rId61" name="Check Box 181">
              <controlPr locked="0" defaultSize="0" autoFill="0" autoLine="0" autoPict="0">
                <anchor moveWithCells="1" sizeWithCells="1">
                  <from>
                    <xdr:col>22</xdr:col>
                    <xdr:colOff>0</xdr:colOff>
                    <xdr:row>197</xdr:row>
                    <xdr:rowOff>0</xdr:rowOff>
                  </from>
                  <to>
                    <xdr:col>22</xdr:col>
                    <xdr:colOff>184150</xdr:colOff>
                    <xdr:row>197</xdr:row>
                    <xdr:rowOff>184150</xdr:rowOff>
                  </to>
                </anchor>
              </controlPr>
            </control>
          </mc:Choice>
        </mc:AlternateContent>
        <mc:AlternateContent xmlns:mc="http://schemas.openxmlformats.org/markup-compatibility/2006">
          <mc:Choice Requires="x14">
            <control shapeId="8374" r:id="rId62" name="Check Box 182">
              <controlPr locked="0" defaultSize="0" autoFill="0" autoLine="0" autoPict="0">
                <anchor moveWithCells="1" sizeWithCells="1">
                  <from>
                    <xdr:col>22</xdr:col>
                    <xdr:colOff>0</xdr:colOff>
                    <xdr:row>210</xdr:row>
                    <xdr:rowOff>0</xdr:rowOff>
                  </from>
                  <to>
                    <xdr:col>22</xdr:col>
                    <xdr:colOff>184150</xdr:colOff>
                    <xdr:row>210</xdr:row>
                    <xdr:rowOff>184150</xdr:rowOff>
                  </to>
                </anchor>
              </controlPr>
            </control>
          </mc:Choice>
        </mc:AlternateContent>
        <mc:AlternateContent xmlns:mc="http://schemas.openxmlformats.org/markup-compatibility/2006">
          <mc:Choice Requires="x14">
            <control shapeId="8375" r:id="rId63" name="Check Box 183">
              <controlPr locked="0" defaultSize="0" autoFill="0" autoLine="0" autoPict="0">
                <anchor moveWithCells="1" sizeWithCells="1">
                  <from>
                    <xdr:col>22</xdr:col>
                    <xdr:colOff>0</xdr:colOff>
                    <xdr:row>212</xdr:row>
                    <xdr:rowOff>0</xdr:rowOff>
                  </from>
                  <to>
                    <xdr:col>22</xdr:col>
                    <xdr:colOff>184150</xdr:colOff>
                    <xdr:row>212</xdr:row>
                    <xdr:rowOff>184150</xdr:rowOff>
                  </to>
                </anchor>
              </controlPr>
            </control>
          </mc:Choice>
        </mc:AlternateContent>
        <mc:AlternateContent xmlns:mc="http://schemas.openxmlformats.org/markup-compatibility/2006">
          <mc:Choice Requires="x14">
            <control shapeId="8377" r:id="rId64" name="Check Box 185">
              <controlPr locked="0" defaultSize="0" autoFill="0" autoLine="0" autoPict="0">
                <anchor moveWithCells="1" sizeWithCells="1">
                  <from>
                    <xdr:col>22</xdr:col>
                    <xdr:colOff>0</xdr:colOff>
                    <xdr:row>149</xdr:row>
                    <xdr:rowOff>0</xdr:rowOff>
                  </from>
                  <to>
                    <xdr:col>22</xdr:col>
                    <xdr:colOff>184150</xdr:colOff>
                    <xdr:row>149</xdr:row>
                    <xdr:rowOff>184150</xdr:rowOff>
                  </to>
                </anchor>
              </controlPr>
            </control>
          </mc:Choice>
        </mc:AlternateContent>
        <mc:AlternateContent xmlns:mc="http://schemas.openxmlformats.org/markup-compatibility/2006">
          <mc:Choice Requires="x14">
            <control shapeId="8379" r:id="rId65" name="Check Box 187">
              <controlPr locked="0" defaultSize="0" autoFill="0" autoLine="0" autoPict="0">
                <anchor moveWithCells="1" sizeWithCells="1">
                  <from>
                    <xdr:col>22</xdr:col>
                    <xdr:colOff>0</xdr:colOff>
                    <xdr:row>166</xdr:row>
                    <xdr:rowOff>0</xdr:rowOff>
                  </from>
                  <to>
                    <xdr:col>22</xdr:col>
                    <xdr:colOff>184150</xdr:colOff>
                    <xdr:row>166</xdr:row>
                    <xdr:rowOff>184150</xdr:rowOff>
                  </to>
                </anchor>
              </controlPr>
            </control>
          </mc:Choice>
        </mc:AlternateContent>
        <mc:AlternateContent xmlns:mc="http://schemas.openxmlformats.org/markup-compatibility/2006">
          <mc:Choice Requires="x14">
            <control shapeId="8380" r:id="rId66" name="Check Box 188">
              <controlPr locked="0" defaultSize="0" autoFill="0" autoLine="0" autoPict="0">
                <anchor moveWithCells="1" sizeWithCells="1">
                  <from>
                    <xdr:col>22</xdr:col>
                    <xdr:colOff>0</xdr:colOff>
                    <xdr:row>167</xdr:row>
                    <xdr:rowOff>0</xdr:rowOff>
                  </from>
                  <to>
                    <xdr:col>22</xdr:col>
                    <xdr:colOff>184150</xdr:colOff>
                    <xdr:row>167</xdr:row>
                    <xdr:rowOff>184150</xdr:rowOff>
                  </to>
                </anchor>
              </controlPr>
            </control>
          </mc:Choice>
        </mc:AlternateContent>
        <mc:AlternateContent xmlns:mc="http://schemas.openxmlformats.org/markup-compatibility/2006">
          <mc:Choice Requires="x14">
            <control shapeId="8381" r:id="rId67" name="Check Box 189">
              <controlPr locked="0" defaultSize="0" autoFill="0" autoLine="0" autoPict="0">
                <anchor moveWithCells="1" sizeWithCells="1">
                  <from>
                    <xdr:col>22</xdr:col>
                    <xdr:colOff>0</xdr:colOff>
                    <xdr:row>168</xdr:row>
                    <xdr:rowOff>0</xdr:rowOff>
                  </from>
                  <to>
                    <xdr:col>22</xdr:col>
                    <xdr:colOff>184150</xdr:colOff>
                    <xdr:row>168</xdr:row>
                    <xdr:rowOff>184150</xdr:rowOff>
                  </to>
                </anchor>
              </controlPr>
            </control>
          </mc:Choice>
        </mc:AlternateContent>
        <mc:AlternateContent xmlns:mc="http://schemas.openxmlformats.org/markup-compatibility/2006">
          <mc:Choice Requires="x14">
            <control shapeId="8382" r:id="rId68" name="Check Box 190">
              <controlPr locked="0" defaultSize="0" autoFill="0" autoLine="0" autoPict="0">
                <anchor moveWithCells="1" sizeWithCells="1">
                  <from>
                    <xdr:col>22</xdr:col>
                    <xdr:colOff>0</xdr:colOff>
                    <xdr:row>170</xdr:row>
                    <xdr:rowOff>0</xdr:rowOff>
                  </from>
                  <to>
                    <xdr:col>22</xdr:col>
                    <xdr:colOff>184150</xdr:colOff>
                    <xdr:row>170</xdr:row>
                    <xdr:rowOff>184150</xdr:rowOff>
                  </to>
                </anchor>
              </controlPr>
            </control>
          </mc:Choice>
        </mc:AlternateContent>
        <mc:AlternateContent xmlns:mc="http://schemas.openxmlformats.org/markup-compatibility/2006">
          <mc:Choice Requires="x14">
            <control shapeId="8383" r:id="rId69" name="Check Box 191">
              <controlPr locked="0" defaultSize="0" autoFill="0" autoLine="0" autoPict="0">
                <anchor moveWithCells="1" sizeWithCells="1">
                  <from>
                    <xdr:col>22</xdr:col>
                    <xdr:colOff>0</xdr:colOff>
                    <xdr:row>171</xdr:row>
                    <xdr:rowOff>0</xdr:rowOff>
                  </from>
                  <to>
                    <xdr:col>22</xdr:col>
                    <xdr:colOff>184150</xdr:colOff>
                    <xdr:row>171</xdr:row>
                    <xdr:rowOff>184150</xdr:rowOff>
                  </to>
                </anchor>
              </controlPr>
            </control>
          </mc:Choice>
        </mc:AlternateContent>
        <mc:AlternateContent xmlns:mc="http://schemas.openxmlformats.org/markup-compatibility/2006">
          <mc:Choice Requires="x14">
            <control shapeId="8384" r:id="rId70" name="Check Box 192">
              <controlPr locked="0" defaultSize="0" autoFill="0" autoLine="0" autoPict="0">
                <anchor moveWithCells="1" sizeWithCells="1">
                  <from>
                    <xdr:col>22</xdr:col>
                    <xdr:colOff>0</xdr:colOff>
                    <xdr:row>172</xdr:row>
                    <xdr:rowOff>0</xdr:rowOff>
                  </from>
                  <to>
                    <xdr:col>22</xdr:col>
                    <xdr:colOff>184150</xdr:colOff>
                    <xdr:row>172</xdr:row>
                    <xdr:rowOff>184150</xdr:rowOff>
                  </to>
                </anchor>
              </controlPr>
            </control>
          </mc:Choice>
        </mc:AlternateContent>
        <mc:AlternateContent xmlns:mc="http://schemas.openxmlformats.org/markup-compatibility/2006">
          <mc:Choice Requires="x14">
            <control shapeId="8385" r:id="rId71" name="Check Box 193">
              <controlPr locked="0" defaultSize="0" autoFill="0" autoLine="0" autoPict="0">
                <anchor moveWithCells="1" sizeWithCells="1">
                  <from>
                    <xdr:col>22</xdr:col>
                    <xdr:colOff>0</xdr:colOff>
                    <xdr:row>173</xdr:row>
                    <xdr:rowOff>0</xdr:rowOff>
                  </from>
                  <to>
                    <xdr:col>22</xdr:col>
                    <xdr:colOff>184150</xdr:colOff>
                    <xdr:row>173</xdr:row>
                    <xdr:rowOff>184150</xdr:rowOff>
                  </to>
                </anchor>
              </controlPr>
            </control>
          </mc:Choice>
        </mc:AlternateContent>
        <mc:AlternateContent xmlns:mc="http://schemas.openxmlformats.org/markup-compatibility/2006">
          <mc:Choice Requires="x14">
            <control shapeId="8386" r:id="rId72" name="Check Box 194">
              <controlPr locked="0" defaultSize="0" autoFill="0" autoLine="0" autoPict="0">
                <anchor moveWithCells="1" sizeWithCells="1">
                  <from>
                    <xdr:col>22</xdr:col>
                    <xdr:colOff>0</xdr:colOff>
                    <xdr:row>174</xdr:row>
                    <xdr:rowOff>0</xdr:rowOff>
                  </from>
                  <to>
                    <xdr:col>22</xdr:col>
                    <xdr:colOff>184150</xdr:colOff>
                    <xdr:row>174</xdr:row>
                    <xdr:rowOff>184150</xdr:rowOff>
                  </to>
                </anchor>
              </controlPr>
            </control>
          </mc:Choice>
        </mc:AlternateContent>
        <mc:AlternateContent xmlns:mc="http://schemas.openxmlformats.org/markup-compatibility/2006">
          <mc:Choice Requires="x14">
            <control shapeId="8387" r:id="rId73" name="Check Box 195">
              <controlPr locked="0" defaultSize="0" autoFill="0" autoLine="0" autoPict="0">
                <anchor moveWithCells="1" sizeWithCells="1">
                  <from>
                    <xdr:col>22</xdr:col>
                    <xdr:colOff>0</xdr:colOff>
                    <xdr:row>175</xdr:row>
                    <xdr:rowOff>0</xdr:rowOff>
                  </from>
                  <to>
                    <xdr:col>22</xdr:col>
                    <xdr:colOff>184150</xdr:colOff>
                    <xdr:row>175</xdr:row>
                    <xdr:rowOff>184150</xdr:rowOff>
                  </to>
                </anchor>
              </controlPr>
            </control>
          </mc:Choice>
        </mc:AlternateContent>
        <mc:AlternateContent xmlns:mc="http://schemas.openxmlformats.org/markup-compatibility/2006">
          <mc:Choice Requires="x14">
            <control shapeId="8388" r:id="rId74" name="Check Box 196">
              <controlPr locked="0" defaultSize="0" autoFill="0" autoLine="0" autoPict="0">
                <anchor moveWithCells="1" sizeWithCells="1">
                  <from>
                    <xdr:col>22</xdr:col>
                    <xdr:colOff>0</xdr:colOff>
                    <xdr:row>180</xdr:row>
                    <xdr:rowOff>0</xdr:rowOff>
                  </from>
                  <to>
                    <xdr:col>22</xdr:col>
                    <xdr:colOff>184150</xdr:colOff>
                    <xdr:row>180</xdr:row>
                    <xdr:rowOff>184150</xdr:rowOff>
                  </to>
                </anchor>
              </controlPr>
            </control>
          </mc:Choice>
        </mc:AlternateContent>
        <mc:AlternateContent xmlns:mc="http://schemas.openxmlformats.org/markup-compatibility/2006">
          <mc:Choice Requires="x14">
            <control shapeId="8389" r:id="rId75" name="Check Box 197">
              <controlPr locked="0" defaultSize="0" autoFill="0" autoLine="0" autoPict="0">
                <anchor moveWithCells="1" sizeWithCells="1">
                  <from>
                    <xdr:col>22</xdr:col>
                    <xdr:colOff>0</xdr:colOff>
                    <xdr:row>181</xdr:row>
                    <xdr:rowOff>0</xdr:rowOff>
                  </from>
                  <to>
                    <xdr:col>22</xdr:col>
                    <xdr:colOff>184150</xdr:colOff>
                    <xdr:row>181</xdr:row>
                    <xdr:rowOff>184150</xdr:rowOff>
                  </to>
                </anchor>
              </controlPr>
            </control>
          </mc:Choice>
        </mc:AlternateContent>
        <mc:AlternateContent xmlns:mc="http://schemas.openxmlformats.org/markup-compatibility/2006">
          <mc:Choice Requires="x14">
            <control shapeId="8390" r:id="rId76" name="Check Box 198">
              <controlPr locked="0" defaultSize="0" autoFill="0" autoLine="0" autoPict="0">
                <anchor moveWithCells="1" sizeWithCells="1">
                  <from>
                    <xdr:col>22</xdr:col>
                    <xdr:colOff>0</xdr:colOff>
                    <xdr:row>182</xdr:row>
                    <xdr:rowOff>0</xdr:rowOff>
                  </from>
                  <to>
                    <xdr:col>22</xdr:col>
                    <xdr:colOff>184150</xdr:colOff>
                    <xdr:row>182</xdr:row>
                    <xdr:rowOff>184150</xdr:rowOff>
                  </to>
                </anchor>
              </controlPr>
            </control>
          </mc:Choice>
        </mc:AlternateContent>
        <mc:AlternateContent xmlns:mc="http://schemas.openxmlformats.org/markup-compatibility/2006">
          <mc:Choice Requires="x14">
            <control shapeId="8391" r:id="rId77" name="Check Box 199">
              <controlPr locked="0" defaultSize="0" autoFill="0" autoLine="0" autoPict="0">
                <anchor moveWithCells="1" sizeWithCells="1">
                  <from>
                    <xdr:col>22</xdr:col>
                    <xdr:colOff>0</xdr:colOff>
                    <xdr:row>183</xdr:row>
                    <xdr:rowOff>0</xdr:rowOff>
                  </from>
                  <to>
                    <xdr:col>22</xdr:col>
                    <xdr:colOff>184150</xdr:colOff>
                    <xdr:row>183</xdr:row>
                    <xdr:rowOff>184150</xdr:rowOff>
                  </to>
                </anchor>
              </controlPr>
            </control>
          </mc:Choice>
        </mc:AlternateContent>
        <mc:AlternateContent xmlns:mc="http://schemas.openxmlformats.org/markup-compatibility/2006">
          <mc:Choice Requires="x14">
            <control shapeId="8392" r:id="rId78" name="Check Box 200">
              <controlPr locked="0" defaultSize="0" autoFill="0" autoLine="0" autoPict="0">
                <anchor moveWithCells="1" sizeWithCells="1">
                  <from>
                    <xdr:col>22</xdr:col>
                    <xdr:colOff>0</xdr:colOff>
                    <xdr:row>184</xdr:row>
                    <xdr:rowOff>0</xdr:rowOff>
                  </from>
                  <to>
                    <xdr:col>22</xdr:col>
                    <xdr:colOff>184150</xdr:colOff>
                    <xdr:row>184</xdr:row>
                    <xdr:rowOff>184150</xdr:rowOff>
                  </to>
                </anchor>
              </controlPr>
            </control>
          </mc:Choice>
        </mc:AlternateContent>
        <mc:AlternateContent xmlns:mc="http://schemas.openxmlformats.org/markup-compatibility/2006">
          <mc:Choice Requires="x14">
            <control shapeId="8393" r:id="rId79" name="Check Box 201">
              <controlPr locked="0" defaultSize="0" autoFill="0" autoLine="0" autoPict="0">
                <anchor moveWithCells="1" sizeWithCells="1">
                  <from>
                    <xdr:col>22</xdr:col>
                    <xdr:colOff>0</xdr:colOff>
                    <xdr:row>185</xdr:row>
                    <xdr:rowOff>0</xdr:rowOff>
                  </from>
                  <to>
                    <xdr:col>22</xdr:col>
                    <xdr:colOff>184150</xdr:colOff>
                    <xdr:row>185</xdr:row>
                    <xdr:rowOff>184150</xdr:rowOff>
                  </to>
                </anchor>
              </controlPr>
            </control>
          </mc:Choice>
        </mc:AlternateContent>
        <mc:AlternateContent xmlns:mc="http://schemas.openxmlformats.org/markup-compatibility/2006">
          <mc:Choice Requires="x14">
            <control shapeId="8394" r:id="rId80" name="Check Box 202">
              <controlPr locked="0" defaultSize="0" autoFill="0" autoLine="0" autoPict="0">
                <anchor moveWithCells="1" sizeWithCells="1">
                  <from>
                    <xdr:col>22</xdr:col>
                    <xdr:colOff>0</xdr:colOff>
                    <xdr:row>186</xdr:row>
                    <xdr:rowOff>0</xdr:rowOff>
                  </from>
                  <to>
                    <xdr:col>22</xdr:col>
                    <xdr:colOff>184150</xdr:colOff>
                    <xdr:row>186</xdr:row>
                    <xdr:rowOff>184150</xdr:rowOff>
                  </to>
                </anchor>
              </controlPr>
            </control>
          </mc:Choice>
        </mc:AlternateContent>
        <mc:AlternateContent xmlns:mc="http://schemas.openxmlformats.org/markup-compatibility/2006">
          <mc:Choice Requires="x14">
            <control shapeId="8396" r:id="rId81" name="Check Box 204">
              <controlPr locked="0" defaultSize="0" autoFill="0" autoLine="0" autoPict="0">
                <anchor moveWithCells="1" sizeWithCells="1">
                  <from>
                    <xdr:col>22</xdr:col>
                    <xdr:colOff>0</xdr:colOff>
                    <xdr:row>219</xdr:row>
                    <xdr:rowOff>0</xdr:rowOff>
                  </from>
                  <to>
                    <xdr:col>22</xdr:col>
                    <xdr:colOff>184150</xdr:colOff>
                    <xdr:row>219</xdr:row>
                    <xdr:rowOff>184150</xdr:rowOff>
                  </to>
                </anchor>
              </controlPr>
            </control>
          </mc:Choice>
        </mc:AlternateContent>
        <mc:AlternateContent xmlns:mc="http://schemas.openxmlformats.org/markup-compatibility/2006">
          <mc:Choice Requires="x14">
            <control shapeId="8397" r:id="rId82" name="Check Box 205">
              <controlPr locked="0" defaultSize="0" autoFill="0" autoLine="0" autoPict="0">
                <anchor moveWithCells="1" sizeWithCells="1">
                  <from>
                    <xdr:col>22</xdr:col>
                    <xdr:colOff>0</xdr:colOff>
                    <xdr:row>216</xdr:row>
                    <xdr:rowOff>0</xdr:rowOff>
                  </from>
                  <to>
                    <xdr:col>22</xdr:col>
                    <xdr:colOff>184150</xdr:colOff>
                    <xdr:row>216</xdr:row>
                    <xdr:rowOff>184150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6053</vt:i4>
      </vt:variant>
    </vt:vector>
  </HeadingPairs>
  <TitlesOfParts>
    <vt:vector size="6094" baseType="lpstr">
      <vt:lpstr>Info &amp; Intro</vt:lpstr>
      <vt:lpstr>Overview (Design)</vt:lpstr>
      <vt:lpstr>Ch5</vt:lpstr>
      <vt:lpstr>Ch6</vt:lpstr>
      <vt:lpstr>Ch7</vt:lpstr>
      <vt:lpstr>Ch8</vt:lpstr>
      <vt:lpstr>Ch9</vt:lpstr>
      <vt:lpstr>Ch10</vt:lpstr>
      <vt:lpstr>Req. Doc.</vt:lpstr>
      <vt:lpstr>Design Summ.</vt:lpstr>
      <vt:lpstr>Badges (Design)</vt:lpstr>
      <vt:lpstr>WaterSense (Design)</vt:lpstr>
      <vt:lpstr>GRESB (Design)</vt:lpstr>
      <vt:lpstr>Overview (Verification)</vt:lpstr>
      <vt:lpstr>Verification Report</vt:lpstr>
      <vt:lpstr>Badges (Verification)</vt:lpstr>
      <vt:lpstr>WaterSense (Verification)</vt:lpstr>
      <vt:lpstr>GRESB (Verification)</vt:lpstr>
      <vt:lpstr>Rough Summary</vt:lpstr>
      <vt:lpstr>Final Summary</vt:lpstr>
      <vt:lpstr>Appendix B</vt:lpstr>
      <vt:lpstr>Table 602.1.12</vt:lpstr>
      <vt:lpstr>Table 604.1</vt:lpstr>
      <vt:lpstr>Table 610.1.2.1</vt:lpstr>
      <vt:lpstr>Table 610.1.2.2</vt:lpstr>
      <vt:lpstr>Figure 6(2)</vt:lpstr>
      <vt:lpstr>Figure 6(3)</vt:lpstr>
      <vt:lpstr>Table 701.4.3.2(2)</vt:lpstr>
      <vt:lpstr>Table 703.2.1(a)</vt:lpstr>
      <vt:lpstr>Table 703.2.1(b)</vt:lpstr>
      <vt:lpstr>Table 703.2.2</vt:lpstr>
      <vt:lpstr>Table 703.2.4</vt:lpstr>
      <vt:lpstr>Table 703.2.5.1</vt:lpstr>
      <vt:lpstr>Tables 703.2.5.2(a), (b) &amp; (c)</vt:lpstr>
      <vt:lpstr>Table 703.7.1(7)</vt:lpstr>
      <vt:lpstr>Table 801.1(1)</vt:lpstr>
      <vt:lpstr>Table 801.1(2)</vt:lpstr>
      <vt:lpstr>Table 901.9.1</vt:lpstr>
      <vt:lpstr>Table 901.9.2</vt:lpstr>
      <vt:lpstr>Table 901.10(3)</vt:lpstr>
      <vt:lpstr>Errata</vt:lpstr>
      <vt:lpstr>Ch10Add</vt:lpstr>
      <vt:lpstr>Ch10AddFinal</vt:lpstr>
      <vt:lpstr>Ch10AddGoal</vt:lpstr>
      <vt:lpstr>Ch10GLevFinal</vt:lpstr>
      <vt:lpstr>Ch10Level</vt:lpstr>
      <vt:lpstr>Ch10LevelFinal</vt:lpstr>
      <vt:lpstr>Ch10NLev</vt:lpstr>
      <vt:lpstr>Ch10Points</vt:lpstr>
      <vt:lpstr>Ch10PointsFinal</vt:lpstr>
      <vt:lpstr>Points!Ch5Add</vt:lpstr>
      <vt:lpstr>Ch5AddFinal</vt:lpstr>
      <vt:lpstr>Ch5AddGoal</vt:lpstr>
      <vt:lpstr>Ch5Error</vt:lpstr>
      <vt:lpstr>Ch5GLevFinal</vt:lpstr>
      <vt:lpstr>Points!Ch5Level</vt:lpstr>
      <vt:lpstr>Ch5LevelFinal</vt:lpstr>
      <vt:lpstr>Ch5MandError</vt:lpstr>
      <vt:lpstr>Points!Ch5NLev</vt:lpstr>
      <vt:lpstr>Points!Ch5Points</vt:lpstr>
      <vt:lpstr>Ch5PointsFinal</vt:lpstr>
      <vt:lpstr>Ch6Add</vt:lpstr>
      <vt:lpstr>Ch6AddFinal</vt:lpstr>
      <vt:lpstr>Ch6AddGoal</vt:lpstr>
      <vt:lpstr>Ch6GLevFinal</vt:lpstr>
      <vt:lpstr>Ch6Level</vt:lpstr>
      <vt:lpstr>Ch6LevelFinal</vt:lpstr>
      <vt:lpstr>Ch6NLev</vt:lpstr>
      <vt:lpstr>Ch6Points</vt:lpstr>
      <vt:lpstr>Ch6PointsFinal</vt:lpstr>
      <vt:lpstr>Ch7Add</vt:lpstr>
      <vt:lpstr>Ch7AddFinal</vt:lpstr>
      <vt:lpstr>Ch7AddGoal</vt:lpstr>
      <vt:lpstr>Ch7GLevFinal</vt:lpstr>
      <vt:lpstr>Ch7Level</vt:lpstr>
      <vt:lpstr>Ch7LevelFinal</vt:lpstr>
      <vt:lpstr>Ch7Max</vt:lpstr>
      <vt:lpstr>Ch7NLev</vt:lpstr>
      <vt:lpstr>Ch7Path</vt:lpstr>
      <vt:lpstr>Ch7Points</vt:lpstr>
      <vt:lpstr>Ch7PointsFinal</vt:lpstr>
      <vt:lpstr>Ch8Add</vt:lpstr>
      <vt:lpstr>Ch8AddFinal</vt:lpstr>
      <vt:lpstr>Ch8AddGoal</vt:lpstr>
      <vt:lpstr>Ch8GLevFinal</vt:lpstr>
      <vt:lpstr>Ch8Level</vt:lpstr>
      <vt:lpstr>Ch8LevelFinal</vt:lpstr>
      <vt:lpstr>Ch8Max</vt:lpstr>
      <vt:lpstr>Ch8NLev</vt:lpstr>
      <vt:lpstr>Ch8Points</vt:lpstr>
      <vt:lpstr>Ch8PointsFinal</vt:lpstr>
      <vt:lpstr>Ch9Add</vt:lpstr>
      <vt:lpstr>Ch9AddFinal</vt:lpstr>
      <vt:lpstr>Ch9AddGoal</vt:lpstr>
      <vt:lpstr>Ch9GLevFinal</vt:lpstr>
      <vt:lpstr>Ch9Level</vt:lpstr>
      <vt:lpstr>Ch9LevelFinal</vt:lpstr>
      <vt:lpstr>Ch9NLev</vt:lpstr>
      <vt:lpstr>Ch9Points</vt:lpstr>
      <vt:lpstr>Ch9PointsFinal</vt:lpstr>
      <vt:lpstr>codChapter10</vt:lpstr>
      <vt:lpstr>codChapter5</vt:lpstr>
      <vt:lpstr>codChapter6</vt:lpstr>
      <vt:lpstr>codChapter7</vt:lpstr>
      <vt:lpstr>codChapter8</vt:lpstr>
      <vt:lpstr>codChapter9</vt:lpstr>
      <vt:lpstr>dbState</vt:lpstr>
      <vt:lpstr>dch1001_1_1</vt:lpstr>
      <vt:lpstr>dch1001_1_10</vt:lpstr>
      <vt:lpstr>dch1001_1_11</vt:lpstr>
      <vt:lpstr>dch1001_1_12</vt:lpstr>
      <vt:lpstr>dch1001_1_13</vt:lpstr>
      <vt:lpstr>dch1001_1_14</vt:lpstr>
      <vt:lpstr>dch1001_1_15</vt:lpstr>
      <vt:lpstr>dch1001_1_16</vt:lpstr>
      <vt:lpstr>dch1001_1_17</vt:lpstr>
      <vt:lpstr>dch1001_1_18</vt:lpstr>
      <vt:lpstr>dch1001_1_19</vt:lpstr>
      <vt:lpstr>dch1001_1_2</vt:lpstr>
      <vt:lpstr>dch1001_1_20</vt:lpstr>
      <vt:lpstr>dch1001_1_21</vt:lpstr>
      <vt:lpstr>dch1001_1_22</vt:lpstr>
      <vt:lpstr>dch1001_1_23</vt:lpstr>
      <vt:lpstr>dch1001_1_24</vt:lpstr>
      <vt:lpstr>dch1001_1_3</vt:lpstr>
      <vt:lpstr>dch1001_1_4</vt:lpstr>
      <vt:lpstr>dch1001_1_5</vt:lpstr>
      <vt:lpstr>dch1001_1_6</vt:lpstr>
      <vt:lpstr>dch1001_1_7</vt:lpstr>
      <vt:lpstr>dch1001_1_8</vt:lpstr>
      <vt:lpstr>dch1001_1_9</vt:lpstr>
      <vt:lpstr>dch1001_2</vt:lpstr>
      <vt:lpstr>dch1002_1_1</vt:lpstr>
      <vt:lpstr>dch1002_1_2</vt:lpstr>
      <vt:lpstr>dch1002_1_3</vt:lpstr>
      <vt:lpstr>dch1002_1_4</vt:lpstr>
      <vt:lpstr>dch1002_1_5</vt:lpstr>
      <vt:lpstr>dch1002_1_6</vt:lpstr>
      <vt:lpstr>dch1002_1_7</vt:lpstr>
      <vt:lpstr>dch1002_1_8</vt:lpstr>
      <vt:lpstr>dch1002_2_1</vt:lpstr>
      <vt:lpstr>dch1002_2_10</vt:lpstr>
      <vt:lpstr>dch1002_2_11</vt:lpstr>
      <vt:lpstr>dch1002_2_2</vt:lpstr>
      <vt:lpstr>dch1002_2_3</vt:lpstr>
      <vt:lpstr>dch1002_2_4</vt:lpstr>
      <vt:lpstr>dch1002_2_5</vt:lpstr>
      <vt:lpstr>dch1002_2_6</vt:lpstr>
      <vt:lpstr>dch1002_2_7</vt:lpstr>
      <vt:lpstr>dch1002_2_8</vt:lpstr>
      <vt:lpstr>dch1002_2_9</vt:lpstr>
      <vt:lpstr>dch1002_3_1</vt:lpstr>
      <vt:lpstr>dch1002_3_10</vt:lpstr>
      <vt:lpstr>dch1002_3_11</vt:lpstr>
      <vt:lpstr>dch1002_3_2</vt:lpstr>
      <vt:lpstr>dch1002_3_3</vt:lpstr>
      <vt:lpstr>dch1002_3_4</vt:lpstr>
      <vt:lpstr>dch1002_3_5</vt:lpstr>
      <vt:lpstr>dch1002_3_6</vt:lpstr>
      <vt:lpstr>dch1002_3_7</vt:lpstr>
      <vt:lpstr>dch1002_3_8</vt:lpstr>
      <vt:lpstr>dch1002_3_9</vt:lpstr>
      <vt:lpstr>dch1002_4</vt:lpstr>
      <vt:lpstr>dch1002_5_1</vt:lpstr>
      <vt:lpstr>dch1002_5_2</vt:lpstr>
      <vt:lpstr>dch1002_5_3</vt:lpstr>
      <vt:lpstr>dch1002_5_4</vt:lpstr>
      <vt:lpstr>dch1002_5_5</vt:lpstr>
      <vt:lpstr>dch1002_5_6</vt:lpstr>
      <vt:lpstr>dch1002_5_7</vt:lpstr>
      <vt:lpstr>dch1002_5_8</vt:lpstr>
      <vt:lpstr>dch1002_5_9</vt:lpstr>
      <vt:lpstr>dch1002_6_1</vt:lpstr>
      <vt:lpstr>dch1002_6_2</vt:lpstr>
      <vt:lpstr>dch1002_6_3</vt:lpstr>
      <vt:lpstr>dch1002_6_4</vt:lpstr>
      <vt:lpstr>dch1002_6_5</vt:lpstr>
      <vt:lpstr>dch1002_6_6</vt:lpstr>
      <vt:lpstr>dch1002_6_7</vt:lpstr>
      <vt:lpstr>dch1003_1_1</vt:lpstr>
      <vt:lpstr>dch1003_1_2</vt:lpstr>
      <vt:lpstr>dch1003_1_3</vt:lpstr>
      <vt:lpstr>dch1004_1_1</vt:lpstr>
      <vt:lpstr>dch1004_1_2</vt:lpstr>
      <vt:lpstr>dch1005_1_1</vt:lpstr>
      <vt:lpstr>dch1005_1_2</vt:lpstr>
      <vt:lpstr>dch501_1_1</vt:lpstr>
      <vt:lpstr>dch501_1_2_a</vt:lpstr>
      <vt:lpstr>dch501_1_2_b</vt:lpstr>
      <vt:lpstr>dch501_1_2_c</vt:lpstr>
      <vt:lpstr>dch501_2_1</vt:lpstr>
      <vt:lpstr>dch501_2_2</vt:lpstr>
      <vt:lpstr>dch501_2_3</vt:lpstr>
      <vt:lpstr>dch501_2_4</vt:lpstr>
      <vt:lpstr>dch501_2_4_1</vt:lpstr>
      <vt:lpstr>dch501_2_5</vt:lpstr>
      <vt:lpstr>dch501_2_6</vt:lpstr>
      <vt:lpstr>dch501_2_6_d</vt:lpstr>
      <vt:lpstr>dch501_2_7</vt:lpstr>
      <vt:lpstr>dch501_2_8</vt:lpstr>
      <vt:lpstr>dch502_1</vt:lpstr>
      <vt:lpstr>dch503_1_1</vt:lpstr>
      <vt:lpstr>dch503_1_2</vt:lpstr>
      <vt:lpstr>dch503_1_3</vt:lpstr>
      <vt:lpstr>dch503_1_4</vt:lpstr>
      <vt:lpstr>dch503_1_5</vt:lpstr>
      <vt:lpstr>dch503_1_6</vt:lpstr>
      <vt:lpstr>dch503_1_7</vt:lpstr>
      <vt:lpstr>dch503_1_8</vt:lpstr>
      <vt:lpstr>dch503_2</vt:lpstr>
      <vt:lpstr>dch503_2_1</vt:lpstr>
      <vt:lpstr>dch503_2_2</vt:lpstr>
      <vt:lpstr>dch503_2_3</vt:lpstr>
      <vt:lpstr>dch503_2_4</vt:lpstr>
      <vt:lpstr>dch503_2_5</vt:lpstr>
      <vt:lpstr>dch503_3_1</vt:lpstr>
      <vt:lpstr>dch503_3_2_a</vt:lpstr>
      <vt:lpstr>dch503_3_2_b</vt:lpstr>
      <vt:lpstr>dch503_3_2_c</vt:lpstr>
      <vt:lpstr>dch503_3_2_d</vt:lpstr>
      <vt:lpstr>dch503_3_3</vt:lpstr>
      <vt:lpstr>dch503_4_1</vt:lpstr>
      <vt:lpstr>dch503_4_2</vt:lpstr>
      <vt:lpstr>dch503_4_3</vt:lpstr>
      <vt:lpstr>dch503_4_4</vt:lpstr>
      <vt:lpstr>dch503_4_4_c_1</vt:lpstr>
      <vt:lpstr>dch503_4_5</vt:lpstr>
      <vt:lpstr>dch503_5</vt:lpstr>
      <vt:lpstr>dch503_5_1</vt:lpstr>
      <vt:lpstr>dch503_5_10</vt:lpstr>
      <vt:lpstr>dch503_5_11</vt:lpstr>
      <vt:lpstr>dch503_5_12</vt:lpstr>
      <vt:lpstr>dch503_5_13</vt:lpstr>
      <vt:lpstr>dch503_5_2</vt:lpstr>
      <vt:lpstr>dch503_5_3</vt:lpstr>
      <vt:lpstr>dch503_5_4</vt:lpstr>
      <vt:lpstr>dch503_5_5</vt:lpstr>
      <vt:lpstr>dch503_5_6</vt:lpstr>
      <vt:lpstr>dch503_5_7</vt:lpstr>
      <vt:lpstr>dch503_5_8</vt:lpstr>
      <vt:lpstr>dch503_5_9</vt:lpstr>
      <vt:lpstr>dch503_6_1</vt:lpstr>
      <vt:lpstr>dch503_6_2</vt:lpstr>
      <vt:lpstr>dch503_6_3</vt:lpstr>
      <vt:lpstr>dch503_6_4</vt:lpstr>
      <vt:lpstr>dch503_7</vt:lpstr>
      <vt:lpstr>dch503_8</vt:lpstr>
      <vt:lpstr>dch504_1</vt:lpstr>
      <vt:lpstr>dch504_2_1</vt:lpstr>
      <vt:lpstr>dch504_2_2</vt:lpstr>
      <vt:lpstr>dch504_2_3</vt:lpstr>
      <vt:lpstr>dch504_3_1</vt:lpstr>
      <vt:lpstr>dch504_3_2</vt:lpstr>
      <vt:lpstr>dch504_3_3</vt:lpstr>
      <vt:lpstr>dch504_3_4</vt:lpstr>
      <vt:lpstr>dch504_3_5</vt:lpstr>
      <vt:lpstr>dch504_3_6</vt:lpstr>
      <vt:lpstr>dch504_3_7</vt:lpstr>
      <vt:lpstr>dch504_3_8a</vt:lpstr>
      <vt:lpstr>dch504_3_8b</vt:lpstr>
      <vt:lpstr>dch504_3_8c</vt:lpstr>
      <vt:lpstr>dch504_3_8d</vt:lpstr>
      <vt:lpstr>dch504_3_8e</vt:lpstr>
      <vt:lpstr>dch504_3_8f</vt:lpstr>
      <vt:lpstr>dch504_3_9</vt:lpstr>
      <vt:lpstr>dch505_1_1</vt:lpstr>
      <vt:lpstr>dch505_1_2</vt:lpstr>
      <vt:lpstr>dch505_1_3</vt:lpstr>
      <vt:lpstr>dch505_10_a</vt:lpstr>
      <vt:lpstr>dch505_10_b</vt:lpstr>
      <vt:lpstr>dch505_10_c</vt:lpstr>
      <vt:lpstr>dch505_2_1_a</vt:lpstr>
      <vt:lpstr>dch505_2_1_b</vt:lpstr>
      <vt:lpstr>dch505_2_1_c</vt:lpstr>
      <vt:lpstr>dch505_2_2</vt:lpstr>
      <vt:lpstr>dch505_3_1</vt:lpstr>
      <vt:lpstr>dch505_4_1</vt:lpstr>
      <vt:lpstr>dch505_5_a</vt:lpstr>
      <vt:lpstr>dch505_5_b</vt:lpstr>
      <vt:lpstr>dch505_5_c</vt:lpstr>
      <vt:lpstr>dch505_5_d</vt:lpstr>
      <vt:lpstr>dch505_6</vt:lpstr>
      <vt:lpstr>dch505_7</vt:lpstr>
      <vt:lpstr>dch505_8</vt:lpstr>
      <vt:lpstr>dch505_9_a</vt:lpstr>
      <vt:lpstr>dch505_9_b</vt:lpstr>
      <vt:lpstr>dch505_9_c</vt:lpstr>
      <vt:lpstr>dch601_2_1</vt:lpstr>
      <vt:lpstr>dch601_2_2</vt:lpstr>
      <vt:lpstr>dch601_2_3</vt:lpstr>
      <vt:lpstr>dch601_3_1</vt:lpstr>
      <vt:lpstr>dch601_3_2</vt:lpstr>
      <vt:lpstr>dch601_3_3</vt:lpstr>
      <vt:lpstr>dch601_3_4</vt:lpstr>
      <vt:lpstr>dch601_3_5</vt:lpstr>
      <vt:lpstr>dch601_4</vt:lpstr>
      <vt:lpstr>dch601_5_1</vt:lpstr>
      <vt:lpstr>dch601_5_2</vt:lpstr>
      <vt:lpstr>dch601_5_3</vt:lpstr>
      <vt:lpstr>dch601_5_4</vt:lpstr>
      <vt:lpstr>dch601_5_5</vt:lpstr>
      <vt:lpstr>dch601_7_a</vt:lpstr>
      <vt:lpstr>dch601_7_b</vt:lpstr>
      <vt:lpstr>dch601_7_c</vt:lpstr>
      <vt:lpstr>dch601_7_d</vt:lpstr>
      <vt:lpstr>dch601_7_e</vt:lpstr>
      <vt:lpstr>dch601_8</vt:lpstr>
      <vt:lpstr>dch602_1_1_1</vt:lpstr>
      <vt:lpstr>dch602_1_1_2</vt:lpstr>
      <vt:lpstr>dch602_1_10</vt:lpstr>
      <vt:lpstr>dch602_1_11</vt:lpstr>
      <vt:lpstr>dch602_1_12</vt:lpstr>
      <vt:lpstr>dch602_1_13</vt:lpstr>
      <vt:lpstr>dch602_1_14_1</vt:lpstr>
      <vt:lpstr>dch602_1_14_2</vt:lpstr>
      <vt:lpstr>dch602_1_14_3</vt:lpstr>
      <vt:lpstr>dch602_1_15</vt:lpstr>
      <vt:lpstr>dch602_1_2__1</vt:lpstr>
      <vt:lpstr>dch602_1_2__2</vt:lpstr>
      <vt:lpstr>dch602_1_3_1</vt:lpstr>
      <vt:lpstr>dch602_1_3_2</vt:lpstr>
      <vt:lpstr>dch602_1_4_1_1</vt:lpstr>
      <vt:lpstr>dch602_1_4_1_2</vt:lpstr>
      <vt:lpstr>dch602_1_4_2_1</vt:lpstr>
      <vt:lpstr>dch602_1_4_2_2</vt:lpstr>
      <vt:lpstr>dch602_1_5</vt:lpstr>
      <vt:lpstr>dch602_1_5_1</vt:lpstr>
      <vt:lpstr>dch602_1_5_2</vt:lpstr>
      <vt:lpstr>dch602_1_6_1</vt:lpstr>
      <vt:lpstr>dch602_1_6_2</vt:lpstr>
      <vt:lpstr>dch602_1_6_3</vt:lpstr>
      <vt:lpstr>dch602_1_7_1_1</vt:lpstr>
      <vt:lpstr>dch602_1_7_1_2</vt:lpstr>
      <vt:lpstr>dch602_1_7_1_3</vt:lpstr>
      <vt:lpstr>dch602_1_7_2</vt:lpstr>
      <vt:lpstr>dch602_1_7_3</vt:lpstr>
      <vt:lpstr>dch602_1_8</vt:lpstr>
      <vt:lpstr>dch602_1_9_1</vt:lpstr>
      <vt:lpstr>dch602_1_9_2</vt:lpstr>
      <vt:lpstr>dch602_1_9_3</vt:lpstr>
      <vt:lpstr>dch602_1_9_4</vt:lpstr>
      <vt:lpstr>dch602_1_9_5</vt:lpstr>
      <vt:lpstr>dch602_1_9_6</vt:lpstr>
      <vt:lpstr>dch602_1_9_7</vt:lpstr>
      <vt:lpstr>dch602_2_1</vt:lpstr>
      <vt:lpstr>dch602_2_2</vt:lpstr>
      <vt:lpstr>dch602_2_3</vt:lpstr>
      <vt:lpstr>dch602_3</vt:lpstr>
      <vt:lpstr>dch602_4_1</vt:lpstr>
      <vt:lpstr>dch602_4_2</vt:lpstr>
      <vt:lpstr>dch602_4_3</vt:lpstr>
      <vt:lpstr>dch603_1</vt:lpstr>
      <vt:lpstr>dch603_2</vt:lpstr>
      <vt:lpstr>dch603_3</vt:lpstr>
      <vt:lpstr>dch604_1a</vt:lpstr>
      <vt:lpstr>dch604_1b</vt:lpstr>
      <vt:lpstr>dch604_1c</vt:lpstr>
      <vt:lpstr>dch604_1d</vt:lpstr>
      <vt:lpstr>dch605_1</vt:lpstr>
      <vt:lpstr>dch605_2</vt:lpstr>
      <vt:lpstr>dch605_2_2</vt:lpstr>
      <vt:lpstr>dch605_3</vt:lpstr>
      <vt:lpstr>dch605_4_2_a</vt:lpstr>
      <vt:lpstr>dch605_4_2_b</vt:lpstr>
      <vt:lpstr>dch605_4_2_c</vt:lpstr>
      <vt:lpstr>dch605_4_2_d</vt:lpstr>
      <vt:lpstr>dch605_4_2_e</vt:lpstr>
      <vt:lpstr>dch605_4_2_f</vt:lpstr>
      <vt:lpstr>dch605_4_2_g</vt:lpstr>
      <vt:lpstr>dch605_4_2_h</vt:lpstr>
      <vt:lpstr>dch605_4_2_i</vt:lpstr>
      <vt:lpstr>dch606_1_a</vt:lpstr>
      <vt:lpstr>dch606_1_b</vt:lpstr>
      <vt:lpstr>dch606_1_c</vt:lpstr>
      <vt:lpstr>dch606_1_d</vt:lpstr>
      <vt:lpstr>dch606_1_e</vt:lpstr>
      <vt:lpstr>dch606_1_f</vt:lpstr>
      <vt:lpstr>dch606_1_g</vt:lpstr>
      <vt:lpstr>dch606_1_h</vt:lpstr>
      <vt:lpstr>dch606_2_1a</vt:lpstr>
      <vt:lpstr>dch606_2_1b</vt:lpstr>
      <vt:lpstr>dch606_2_2a</vt:lpstr>
      <vt:lpstr>dch606_2_2b</vt:lpstr>
      <vt:lpstr>dch606_3</vt:lpstr>
      <vt:lpstr>dch607_1_1</vt:lpstr>
      <vt:lpstr>dch607_1_2</vt:lpstr>
      <vt:lpstr>dch607_2</vt:lpstr>
      <vt:lpstr>dch608_1</vt:lpstr>
      <vt:lpstr>dch609_1_1</vt:lpstr>
      <vt:lpstr>dch609_1_2</vt:lpstr>
      <vt:lpstr>dch610_1_1_1</vt:lpstr>
      <vt:lpstr>dch610_1_1_2</vt:lpstr>
      <vt:lpstr>dch610_1_1_3</vt:lpstr>
      <vt:lpstr>dch610_1_2_1a</vt:lpstr>
      <vt:lpstr>dch610_1_2_1b</vt:lpstr>
      <vt:lpstr>dch610_1_2_2_f</vt:lpstr>
      <vt:lpstr>dch610_1_2_2a</vt:lpstr>
      <vt:lpstr>dch610_1_2_2b</vt:lpstr>
      <vt:lpstr>dch610_1_2_2c</vt:lpstr>
      <vt:lpstr>dch611_1_1</vt:lpstr>
      <vt:lpstr>dch611_1_2</vt:lpstr>
      <vt:lpstr>dch612_1</vt:lpstr>
      <vt:lpstr>dch612_2_1</vt:lpstr>
      <vt:lpstr>dch612_2_2</vt:lpstr>
      <vt:lpstr>dch612_2_3</vt:lpstr>
      <vt:lpstr>dch612_2_4</vt:lpstr>
      <vt:lpstr>dch612_2_5</vt:lpstr>
      <vt:lpstr>dch612_2_6</vt:lpstr>
      <vt:lpstr>dch612_2_7</vt:lpstr>
      <vt:lpstr>dch612_3_1</vt:lpstr>
      <vt:lpstr>dch612_3_2</vt:lpstr>
      <vt:lpstr>dch612_3_3</vt:lpstr>
      <vt:lpstr>dch612_3_4</vt:lpstr>
      <vt:lpstr>dch612_3_5</vt:lpstr>
      <vt:lpstr>dch612_3_6</vt:lpstr>
      <vt:lpstr>dch612_3_7</vt:lpstr>
      <vt:lpstr>dch612_3_8</vt:lpstr>
      <vt:lpstr>dch612_3_9</vt:lpstr>
      <vt:lpstr>dch613_1</vt:lpstr>
      <vt:lpstr>dch701_1</vt:lpstr>
      <vt:lpstr>dch701_1_</vt:lpstr>
      <vt:lpstr>dch701_1_4</vt:lpstr>
      <vt:lpstr>dch701_1_4_</vt:lpstr>
      <vt:lpstr>dch701_1_6_1</vt:lpstr>
      <vt:lpstr>dch701_1_6_2</vt:lpstr>
      <vt:lpstr>dch701_1_6_3</vt:lpstr>
      <vt:lpstr>dch701_1_6_4</vt:lpstr>
      <vt:lpstr>dch701_1_6_5</vt:lpstr>
      <vt:lpstr>dch701_1_6_6_a</vt:lpstr>
      <vt:lpstr>dch701_1_6_6_b</vt:lpstr>
      <vt:lpstr>dch701_1_6_6_c</vt:lpstr>
      <vt:lpstr>dch701_1_6_7_a</vt:lpstr>
      <vt:lpstr>dch701_1_6_7_b</vt:lpstr>
      <vt:lpstr>dch701_1_6_7_c</vt:lpstr>
      <vt:lpstr>dch701_1_6_8</vt:lpstr>
      <vt:lpstr>dch701_1_6_9</vt:lpstr>
      <vt:lpstr>dch701_3</vt:lpstr>
      <vt:lpstr>dch701_4_1</vt:lpstr>
      <vt:lpstr>dch701_4_1_1</vt:lpstr>
      <vt:lpstr>dch701_4_1_2</vt:lpstr>
      <vt:lpstr>dch701_4_2_2</vt:lpstr>
      <vt:lpstr>dch701_4_2_3</vt:lpstr>
      <vt:lpstr>dch701_4_3_1</vt:lpstr>
      <vt:lpstr>dch701_4_3_1_a</vt:lpstr>
      <vt:lpstr>dch701_4_3_1_b</vt:lpstr>
      <vt:lpstr>dch701_4_3_1_c</vt:lpstr>
      <vt:lpstr>dch701_4_3_1_d</vt:lpstr>
      <vt:lpstr>dch701_4_3_1_e</vt:lpstr>
      <vt:lpstr>dch701_4_3_1_f</vt:lpstr>
      <vt:lpstr>dch701_4_3_1_g</vt:lpstr>
      <vt:lpstr>dch701_4_3_1_h</vt:lpstr>
      <vt:lpstr>dch701_4_3_1_i</vt:lpstr>
      <vt:lpstr>dch701_4_3_1_j</vt:lpstr>
      <vt:lpstr>dch701_4_3_1_k</vt:lpstr>
      <vt:lpstr>dch701_4_3_1_l</vt:lpstr>
      <vt:lpstr>dch701_4_3_1_m</vt:lpstr>
      <vt:lpstr>dch701_4_3_2_1</vt:lpstr>
      <vt:lpstr>dch701_4_3_2_1_</vt:lpstr>
      <vt:lpstr>dch701_4_3_2_2</vt:lpstr>
      <vt:lpstr>dch701_4_3_2e</vt:lpstr>
      <vt:lpstr>dch701_4_3_4</vt:lpstr>
      <vt:lpstr>dch701_4_3_5</vt:lpstr>
      <vt:lpstr>dch701_4_4_1</vt:lpstr>
      <vt:lpstr>dch701_4_4_2</vt:lpstr>
      <vt:lpstr>dch701_4_5</vt:lpstr>
      <vt:lpstr>dch702_2_1</vt:lpstr>
      <vt:lpstr>dch702_2_2</vt:lpstr>
      <vt:lpstr>dch703_1_1</vt:lpstr>
      <vt:lpstr>dch703_1_2</vt:lpstr>
      <vt:lpstr>dch703_1_3</vt:lpstr>
      <vt:lpstr>dch703_1_3_1</vt:lpstr>
      <vt:lpstr>dch703_1_3_2</vt:lpstr>
      <vt:lpstr>dch703_2_1</vt:lpstr>
      <vt:lpstr>dch703_2_1_2</vt:lpstr>
      <vt:lpstr>dch703_2_2</vt:lpstr>
      <vt:lpstr>dch703_2_3</vt:lpstr>
      <vt:lpstr>dch703_2_5_1</vt:lpstr>
      <vt:lpstr>dch703_2_5_1_1</vt:lpstr>
      <vt:lpstr>dch703_2_5_2</vt:lpstr>
      <vt:lpstr>dch703_2_5_2_1</vt:lpstr>
      <vt:lpstr>dch703_3_0_1</vt:lpstr>
      <vt:lpstr>dch703_3_0_2</vt:lpstr>
      <vt:lpstr>dch703_3_1</vt:lpstr>
      <vt:lpstr>dch703_3_2__1_1</vt:lpstr>
      <vt:lpstr>dch703_3_2__2_1</vt:lpstr>
      <vt:lpstr>dch703_3_2__3_1</vt:lpstr>
      <vt:lpstr>dch703_3_2__4_1</vt:lpstr>
      <vt:lpstr>dch703_3_3__1_1</vt:lpstr>
      <vt:lpstr>dch703_3_3__2</vt:lpstr>
      <vt:lpstr>dch703_3_3__3</vt:lpstr>
      <vt:lpstr>dch703_3_4_1_1</vt:lpstr>
      <vt:lpstr>dch703_3_4_1_6</vt:lpstr>
      <vt:lpstr>dch703_3_4_2</vt:lpstr>
      <vt:lpstr>dch703_3_5</vt:lpstr>
      <vt:lpstr>dch703_3_6</vt:lpstr>
      <vt:lpstr>dch703_3_7_1</vt:lpstr>
      <vt:lpstr>dch703_3_7_2</vt:lpstr>
      <vt:lpstr>dch703_3_8</vt:lpstr>
      <vt:lpstr>dch703_4_1</vt:lpstr>
      <vt:lpstr>dch703_4_2</vt:lpstr>
      <vt:lpstr>dch703_4_3_1</vt:lpstr>
      <vt:lpstr>dch703_4_3_2</vt:lpstr>
      <vt:lpstr>dch703_4_3_3</vt:lpstr>
      <vt:lpstr>dch703_4_4</vt:lpstr>
      <vt:lpstr>dch703_5_1</vt:lpstr>
      <vt:lpstr>dch703_5_1_1</vt:lpstr>
      <vt:lpstr>dch703_5_1_1_a</vt:lpstr>
      <vt:lpstr>dch703_5_1_2</vt:lpstr>
      <vt:lpstr>dch703_5_1_2_a</vt:lpstr>
      <vt:lpstr>dch703_5_1_3</vt:lpstr>
      <vt:lpstr>dch703_5_2</vt:lpstr>
      <vt:lpstr>dch703_5_3</vt:lpstr>
      <vt:lpstr>dch703_5_4</vt:lpstr>
      <vt:lpstr>dch703_5_5</vt:lpstr>
      <vt:lpstr>dch703_5_5_a</vt:lpstr>
      <vt:lpstr>dch703_6_1_1</vt:lpstr>
      <vt:lpstr>dch703_6_1_2</vt:lpstr>
      <vt:lpstr>dch703_6_1_3</vt:lpstr>
      <vt:lpstr>dch703_6_2__1</vt:lpstr>
      <vt:lpstr>dch703_6_2__2</vt:lpstr>
      <vt:lpstr>dch703_6_2__3</vt:lpstr>
      <vt:lpstr>dch703_7_1</vt:lpstr>
      <vt:lpstr>dch703_7_2</vt:lpstr>
      <vt:lpstr>dch703_7_3_1_a</vt:lpstr>
      <vt:lpstr>dch703_7_3_1_b</vt:lpstr>
      <vt:lpstr>dch703_7_3_1_c</vt:lpstr>
      <vt:lpstr>dch703_7_3_1_d</vt:lpstr>
      <vt:lpstr>dch703_7_3_2</vt:lpstr>
      <vt:lpstr>dch703_7_3_3</vt:lpstr>
      <vt:lpstr>dch703_7_3_4</vt:lpstr>
      <vt:lpstr>dch703_7_3_5_a</vt:lpstr>
      <vt:lpstr>dch703_7_3_5_b</vt:lpstr>
      <vt:lpstr>dch703_7_3_6</vt:lpstr>
      <vt:lpstr>dch703_7_4</vt:lpstr>
      <vt:lpstr>dch704_2_1</vt:lpstr>
      <vt:lpstr>dch704_2_2</vt:lpstr>
      <vt:lpstr>dch705_2_1_1</vt:lpstr>
      <vt:lpstr>dch705_2_1_2</vt:lpstr>
      <vt:lpstr>dch705_2_1_3_1</vt:lpstr>
      <vt:lpstr>dch705_2_1_3_2</vt:lpstr>
      <vt:lpstr>dch705_2_1_4</vt:lpstr>
      <vt:lpstr>dch705_2_2</vt:lpstr>
      <vt:lpstr>dch705_2_3</vt:lpstr>
      <vt:lpstr>dch705_2_4</vt:lpstr>
      <vt:lpstr>dch705_3</vt:lpstr>
      <vt:lpstr>dch705_4</vt:lpstr>
      <vt:lpstr>dch705_5_1_1</vt:lpstr>
      <vt:lpstr>dch705_5_1_2</vt:lpstr>
      <vt:lpstr>dch705_5_2</vt:lpstr>
      <vt:lpstr>dch705_5_3_1</vt:lpstr>
      <vt:lpstr>dch705_5_3_2</vt:lpstr>
      <vt:lpstr>dch705_6_2_1_1_1</vt:lpstr>
      <vt:lpstr>dch705_6_2_1_1_2</vt:lpstr>
      <vt:lpstr>dch705_6_2_1_2</vt:lpstr>
      <vt:lpstr>dch705_6_2_2_1</vt:lpstr>
      <vt:lpstr>dch705_6_2_2_2</vt:lpstr>
      <vt:lpstr>dch705_6_2_3</vt:lpstr>
      <vt:lpstr>dch705_6_3</vt:lpstr>
      <vt:lpstr>dch705_6_3_1</vt:lpstr>
      <vt:lpstr>dch705_6_4_1</vt:lpstr>
      <vt:lpstr>dch705_6_4_2</vt:lpstr>
      <vt:lpstr>dch705_7</vt:lpstr>
      <vt:lpstr>dch706_1_1</vt:lpstr>
      <vt:lpstr>dch706_1_2</vt:lpstr>
      <vt:lpstr>dch706_1_3</vt:lpstr>
      <vt:lpstr>dch706_1_4</vt:lpstr>
      <vt:lpstr>dch706_1_5</vt:lpstr>
      <vt:lpstr>dch706_10</vt:lpstr>
      <vt:lpstr>dch706_11</vt:lpstr>
      <vt:lpstr>dch706_12</vt:lpstr>
      <vt:lpstr>dch706_13</vt:lpstr>
      <vt:lpstr>dch706_14_1</vt:lpstr>
      <vt:lpstr>dch706_14_2</vt:lpstr>
      <vt:lpstr>dch706_15_1</vt:lpstr>
      <vt:lpstr>dch706_15_2</vt:lpstr>
      <vt:lpstr>dch706_2_1</vt:lpstr>
      <vt:lpstr>dch706_2_2</vt:lpstr>
      <vt:lpstr>dch706_3_1</vt:lpstr>
      <vt:lpstr>dch706_3_2</vt:lpstr>
      <vt:lpstr>dch706_3_3</vt:lpstr>
      <vt:lpstr>dch706_3_4</vt:lpstr>
      <vt:lpstr>dch706_3_5</vt:lpstr>
      <vt:lpstr>dch706_3_6</vt:lpstr>
      <vt:lpstr>dch706_3_7</vt:lpstr>
      <vt:lpstr>dch706_3_8</vt:lpstr>
      <vt:lpstr>dch706_4_1_1</vt:lpstr>
      <vt:lpstr>dch706_4_1_2</vt:lpstr>
      <vt:lpstr>dch706_4_2</vt:lpstr>
      <vt:lpstr>dch706_5_1</vt:lpstr>
      <vt:lpstr>dch706_5_2</vt:lpstr>
      <vt:lpstr>dch706_5_3</vt:lpstr>
      <vt:lpstr>dch706_6</vt:lpstr>
      <vt:lpstr>dch706_7_1</vt:lpstr>
      <vt:lpstr>dch706_7_2</vt:lpstr>
      <vt:lpstr>dch706_8</vt:lpstr>
      <vt:lpstr>dch706_9</vt:lpstr>
      <vt:lpstr>dch801_1</vt:lpstr>
      <vt:lpstr>dch802_1</vt:lpstr>
      <vt:lpstr>dch802_1_6</vt:lpstr>
      <vt:lpstr>dch802_10_1</vt:lpstr>
      <vt:lpstr>dch802_10_1_1</vt:lpstr>
      <vt:lpstr>dch802_2_1</vt:lpstr>
      <vt:lpstr>dch802_2_2</vt:lpstr>
      <vt:lpstr>dch802_3_1_a</vt:lpstr>
      <vt:lpstr>dch802_3_1_b</vt:lpstr>
      <vt:lpstr>dch802_3_2_a</vt:lpstr>
      <vt:lpstr>dch802_3_2_b</vt:lpstr>
      <vt:lpstr>dch802_4_1</vt:lpstr>
      <vt:lpstr>dch802_4_2</vt:lpstr>
      <vt:lpstr>dch802_4_3</vt:lpstr>
      <vt:lpstr>dch802_5_1a</vt:lpstr>
      <vt:lpstr>dch802_5_1b</vt:lpstr>
      <vt:lpstr>dch802_5_2</vt:lpstr>
      <vt:lpstr>dch802_5_3</vt:lpstr>
      <vt:lpstr>dch802_5_4_2</vt:lpstr>
      <vt:lpstr>dch802_5_4_3</vt:lpstr>
      <vt:lpstr>dch802_5_4_4_a</vt:lpstr>
      <vt:lpstr>dch802_5_4_4_b</vt:lpstr>
      <vt:lpstr>dch802_5_4_4_c</vt:lpstr>
      <vt:lpstr>dch802_6_1</vt:lpstr>
      <vt:lpstr>dch802_6_2</vt:lpstr>
      <vt:lpstr>dch802_6_3_1</vt:lpstr>
      <vt:lpstr>dch802_6_3_2</vt:lpstr>
      <vt:lpstr>dch802_6_3_3</vt:lpstr>
      <vt:lpstr>dch802_6_4_1</vt:lpstr>
      <vt:lpstr>dch802_6_4_2</vt:lpstr>
      <vt:lpstr>dch802_6_5_1</vt:lpstr>
      <vt:lpstr>dch802_6_5_2</vt:lpstr>
      <vt:lpstr>dch802_6_5_3</vt:lpstr>
      <vt:lpstr>dch802_6_5_4</vt:lpstr>
      <vt:lpstr>dch802_6_5_5</vt:lpstr>
      <vt:lpstr>dch802_7_1</vt:lpstr>
      <vt:lpstr>dch802_7_2_1</vt:lpstr>
      <vt:lpstr>dch802_7_2_2</vt:lpstr>
      <vt:lpstr>dch802_8</vt:lpstr>
      <vt:lpstr>dch802_9_1</vt:lpstr>
      <vt:lpstr>dch802_9_2</vt:lpstr>
      <vt:lpstr>dch803_1_1</vt:lpstr>
      <vt:lpstr>dch803_1_2</vt:lpstr>
      <vt:lpstr>dch803_2</vt:lpstr>
      <vt:lpstr>dch803_3</vt:lpstr>
      <vt:lpstr>dch803_4</vt:lpstr>
      <vt:lpstr>dch803_5</vt:lpstr>
      <vt:lpstr>dch803_6</vt:lpstr>
      <vt:lpstr>dch804_2</vt:lpstr>
      <vt:lpstr>dch901_1_1</vt:lpstr>
      <vt:lpstr>dch901_1_2</vt:lpstr>
      <vt:lpstr>dch901_1_3_1</vt:lpstr>
      <vt:lpstr>dch901_1_3_2</vt:lpstr>
      <vt:lpstr>dch901_1_4</vt:lpstr>
      <vt:lpstr>dch901_1_5</vt:lpstr>
      <vt:lpstr>dch901_1_6</vt:lpstr>
      <vt:lpstr>dch901_10_1</vt:lpstr>
      <vt:lpstr>dch901_10_2</vt:lpstr>
      <vt:lpstr>dch901_10_3</vt:lpstr>
      <vt:lpstr>dch901_11</vt:lpstr>
      <vt:lpstr>dch901_12</vt:lpstr>
      <vt:lpstr>dch901_13</vt:lpstr>
      <vt:lpstr>dch901_14_1</vt:lpstr>
      <vt:lpstr>dch901_14_2</vt:lpstr>
      <vt:lpstr>dch901_15_1</vt:lpstr>
      <vt:lpstr>dch901_15_2</vt:lpstr>
      <vt:lpstr>dch901_2_1_1</vt:lpstr>
      <vt:lpstr>dch901_2_1_2</vt:lpstr>
      <vt:lpstr>dch901_2_1_3</vt:lpstr>
      <vt:lpstr>dch901_2_1_4</vt:lpstr>
      <vt:lpstr>dch901_2_1_5</vt:lpstr>
      <vt:lpstr>dch901_2_2</vt:lpstr>
      <vt:lpstr>dch901_3_1_a</vt:lpstr>
      <vt:lpstr>dch901_3_1_b</vt:lpstr>
      <vt:lpstr>dch901_3_1_c</vt:lpstr>
      <vt:lpstr>dch901_3_2</vt:lpstr>
      <vt:lpstr>dch901_4_1</vt:lpstr>
      <vt:lpstr>dch901_4_a</vt:lpstr>
      <vt:lpstr>dch901_4_b</vt:lpstr>
      <vt:lpstr>dch901_4_c</vt:lpstr>
      <vt:lpstr>dch901_4_d</vt:lpstr>
      <vt:lpstr>dch901_5_1</vt:lpstr>
      <vt:lpstr>dch901_5_2</vt:lpstr>
      <vt:lpstr>dch901_6</vt:lpstr>
      <vt:lpstr>dch901_7_1</vt:lpstr>
      <vt:lpstr>dch901_7_2</vt:lpstr>
      <vt:lpstr>dch901_7_3</vt:lpstr>
      <vt:lpstr>dch901_8</vt:lpstr>
      <vt:lpstr>dch901_9_1_1</vt:lpstr>
      <vt:lpstr>dch901_9_1_2</vt:lpstr>
      <vt:lpstr>dch901_9_1_3</vt:lpstr>
      <vt:lpstr>dch901_9_2</vt:lpstr>
      <vt:lpstr>dch901_9_3</vt:lpstr>
      <vt:lpstr>dch902_1_1</vt:lpstr>
      <vt:lpstr>dch902_1_1_a</vt:lpstr>
      <vt:lpstr>dch902_1_2</vt:lpstr>
      <vt:lpstr>dch902_1_2_</vt:lpstr>
      <vt:lpstr>dch902_1_2_2</vt:lpstr>
      <vt:lpstr>dch902_1_3</vt:lpstr>
      <vt:lpstr>dch902_1_3_</vt:lpstr>
      <vt:lpstr>dch902_1_4_1</vt:lpstr>
      <vt:lpstr>dch902_1_4_2</vt:lpstr>
      <vt:lpstr>dch902_1_5_1</vt:lpstr>
      <vt:lpstr>dch902_1_5_2</vt:lpstr>
      <vt:lpstr>dch902_1_5_3</vt:lpstr>
      <vt:lpstr>dch902_1_6</vt:lpstr>
      <vt:lpstr>dch902_2_1</vt:lpstr>
      <vt:lpstr>dch902_2_2</vt:lpstr>
      <vt:lpstr>dch902_2_3</vt:lpstr>
      <vt:lpstr>dch902_2_4</vt:lpstr>
      <vt:lpstr>dch902_3</vt:lpstr>
      <vt:lpstr>dch902_3_2</vt:lpstr>
      <vt:lpstr>dch902_3_2_1</vt:lpstr>
      <vt:lpstr>dch902_3_2_1_b</vt:lpstr>
      <vt:lpstr>dch902_4_1</vt:lpstr>
      <vt:lpstr>dch902_4_2</vt:lpstr>
      <vt:lpstr>dch902_4_3</vt:lpstr>
      <vt:lpstr>dch902_5</vt:lpstr>
      <vt:lpstr>dch902_6</vt:lpstr>
      <vt:lpstr>dch903_1</vt:lpstr>
      <vt:lpstr>dch903_2</vt:lpstr>
      <vt:lpstr>dch903_3_1</vt:lpstr>
      <vt:lpstr>dch903_3_2</vt:lpstr>
      <vt:lpstr>dch904_1</vt:lpstr>
      <vt:lpstr>dch904_2</vt:lpstr>
      <vt:lpstr>dch904_3_1</vt:lpstr>
      <vt:lpstr>dch904_3_2</vt:lpstr>
      <vt:lpstr>dch905_1</vt:lpstr>
      <vt:lpstr>dch905_2</vt:lpstr>
      <vt:lpstr>dch905_3_1</vt:lpstr>
      <vt:lpstr>dch905_3_2</vt:lpstr>
      <vt:lpstr>dch905_4</vt:lpstr>
      <vt:lpstr>dch905_5</vt:lpstr>
      <vt:lpstr>dch905_6</vt:lpstr>
      <vt:lpstr>dd13_102_1</vt:lpstr>
      <vt:lpstr>dd13_104_1_1</vt:lpstr>
      <vt:lpstr>dd13_104_1_2</vt:lpstr>
      <vt:lpstr>dd13_104_1_3</vt:lpstr>
      <vt:lpstr>dd13_104_1_4</vt:lpstr>
      <vt:lpstr>dd13_104_1_5_1</vt:lpstr>
      <vt:lpstr>dd13_104_1_5_10</vt:lpstr>
      <vt:lpstr>dd13_104_1_5_11</vt:lpstr>
      <vt:lpstr>dd13_104_1_5_12</vt:lpstr>
      <vt:lpstr>dd13_104_1_5_2</vt:lpstr>
      <vt:lpstr>dd13_104_1_5_3</vt:lpstr>
      <vt:lpstr>dd13_104_1_5_4</vt:lpstr>
      <vt:lpstr>dd13_104_1_5_5</vt:lpstr>
      <vt:lpstr>dd13_104_1_5_6</vt:lpstr>
      <vt:lpstr>dd13_104_1_5_7</vt:lpstr>
      <vt:lpstr>dd13_104_1_5_8</vt:lpstr>
      <vt:lpstr>dd13_104_1_5_9</vt:lpstr>
      <vt:lpstr>dd13_104_1_6</vt:lpstr>
      <vt:lpstr>dd13_104_1_7</vt:lpstr>
      <vt:lpstr>dd13_105_10</vt:lpstr>
      <vt:lpstr>dd13_105_11</vt:lpstr>
      <vt:lpstr>dd13_105_11_1</vt:lpstr>
      <vt:lpstr>dd13_105_11_2</vt:lpstr>
      <vt:lpstr>dd13_105_11_3</vt:lpstr>
      <vt:lpstr>dd13_105_12</vt:lpstr>
      <vt:lpstr>dd13_105_3_1</vt:lpstr>
      <vt:lpstr>dd13_105_3_10</vt:lpstr>
      <vt:lpstr>dd13_105_3_11</vt:lpstr>
      <vt:lpstr>dd13_105_3_12</vt:lpstr>
      <vt:lpstr>dd13_105_3_2</vt:lpstr>
      <vt:lpstr>dd13_105_3_3</vt:lpstr>
      <vt:lpstr>dd13_105_3_4</vt:lpstr>
      <vt:lpstr>dd13_105_3_5</vt:lpstr>
      <vt:lpstr>dd13_105_3_6</vt:lpstr>
      <vt:lpstr>dd13_105_3_7</vt:lpstr>
      <vt:lpstr>dd13_105_3_8</vt:lpstr>
      <vt:lpstr>dd13_105_3_9</vt:lpstr>
      <vt:lpstr>dd13_105_4</vt:lpstr>
      <vt:lpstr>dd13_106_3_1</vt:lpstr>
      <vt:lpstr>dd13_106_3_2</vt:lpstr>
      <vt:lpstr>dd13_106_3_3</vt:lpstr>
      <vt:lpstr>dd13_106_3_4</vt:lpstr>
      <vt:lpstr>dd13_106_4_1</vt:lpstr>
      <vt:lpstr>dd13_106_4_2</vt:lpstr>
      <vt:lpstr>dd13_106_4_3</vt:lpstr>
      <vt:lpstr>dd13_106_4_4</vt:lpstr>
      <vt:lpstr>dd13_106_5_1</vt:lpstr>
      <vt:lpstr>dd13_106_5_2</vt:lpstr>
      <vt:lpstr>dd13_106_5_3</vt:lpstr>
      <vt:lpstr>dd13_106_6</vt:lpstr>
      <vt:lpstr>dd13_107_1_1</vt:lpstr>
      <vt:lpstr>dd13_107_4</vt:lpstr>
      <vt:lpstr>dd13_107_4_1</vt:lpstr>
      <vt:lpstr>dd13_107_4_2</vt:lpstr>
      <vt:lpstr>dd13_107_4_2_1</vt:lpstr>
      <vt:lpstr>dd13_107_4_2_2</vt:lpstr>
      <vt:lpstr>dd13_107_4_2_3</vt:lpstr>
      <vt:lpstr>dd13_107_4_3</vt:lpstr>
      <vt:lpstr>dd13_107_4_4</vt:lpstr>
      <vt:lpstr>dd13_107_6_1</vt:lpstr>
      <vt:lpstr>dd13_107_6_2</vt:lpstr>
      <vt:lpstr>dd501_2_4_1</vt:lpstr>
      <vt:lpstr>dd501_2_6</vt:lpstr>
      <vt:lpstr>dd503_2_3</vt:lpstr>
      <vt:lpstr>dd503_4_3</vt:lpstr>
      <vt:lpstr>dd503_4_4</vt:lpstr>
      <vt:lpstr>dd503_5</vt:lpstr>
      <vt:lpstr>dd503_5_1</vt:lpstr>
      <vt:lpstr>dd503_5_6</vt:lpstr>
      <vt:lpstr>dd503_7</vt:lpstr>
      <vt:lpstr>dd503_8</vt:lpstr>
      <vt:lpstr>dd505_1_3</vt:lpstr>
      <vt:lpstr>dd505_3</vt:lpstr>
      <vt:lpstr>dd601_6</vt:lpstr>
      <vt:lpstr>dd601_7_a</vt:lpstr>
      <vt:lpstr>dd601_7_b</vt:lpstr>
      <vt:lpstr>dd601_7_c</vt:lpstr>
      <vt:lpstr>dd601_7_d</vt:lpstr>
      <vt:lpstr>dd601_7_e</vt:lpstr>
      <vt:lpstr>dd602_1_1_1</vt:lpstr>
      <vt:lpstr>dd602_1_10</vt:lpstr>
      <vt:lpstr>dd602_1_11</vt:lpstr>
      <vt:lpstr>dd602_1_13</vt:lpstr>
      <vt:lpstr>dd602_1_14_1</vt:lpstr>
      <vt:lpstr>dd602_1_4_1_2</vt:lpstr>
      <vt:lpstr>dd602_1_4_2_2</vt:lpstr>
      <vt:lpstr>dd602_1_5</vt:lpstr>
      <vt:lpstr>dd602_1_7_1_2</vt:lpstr>
      <vt:lpstr>dd602_1_8</vt:lpstr>
      <vt:lpstr>dd602_1_9_5</vt:lpstr>
      <vt:lpstr>dd606_1_a</vt:lpstr>
      <vt:lpstr>dd606_1_b</vt:lpstr>
      <vt:lpstr>dd606_1_c</vt:lpstr>
      <vt:lpstr>dd606_1_d</vt:lpstr>
      <vt:lpstr>dd606_1_e</vt:lpstr>
      <vt:lpstr>dd606_1_f</vt:lpstr>
      <vt:lpstr>dd606_1_g</vt:lpstr>
      <vt:lpstr>dd606_1_h</vt:lpstr>
      <vt:lpstr>dd606_2_1a</vt:lpstr>
      <vt:lpstr>dd606_2_1b</vt:lpstr>
      <vt:lpstr>dd606_2_2a</vt:lpstr>
      <vt:lpstr>dd606_2_2b</vt:lpstr>
      <vt:lpstr>dd606_3</vt:lpstr>
      <vt:lpstr>dd608_1</vt:lpstr>
      <vt:lpstr>dd609_1_1</vt:lpstr>
      <vt:lpstr>dd609_1_2</vt:lpstr>
      <vt:lpstr>dd610_1_2_1a</vt:lpstr>
      <vt:lpstr>dd610_1_2_1b</vt:lpstr>
      <vt:lpstr>dd610_1_2_2_f</vt:lpstr>
      <vt:lpstr>dd610_1_2_2a</vt:lpstr>
      <vt:lpstr>dd610_1_2_2b</vt:lpstr>
      <vt:lpstr>dd610_1_2_2c</vt:lpstr>
      <vt:lpstr>dd612_1</vt:lpstr>
      <vt:lpstr>dd612_3_9</vt:lpstr>
      <vt:lpstr>dd613_1</vt:lpstr>
      <vt:lpstr>dd701_1</vt:lpstr>
      <vt:lpstr>dd701_1_</vt:lpstr>
      <vt:lpstr>dd701_1_4</vt:lpstr>
      <vt:lpstr>dd701_1_6_2</vt:lpstr>
      <vt:lpstr>dd701_1_6_4</vt:lpstr>
      <vt:lpstr>dd701_4_1_2</vt:lpstr>
      <vt:lpstr>dd701_4_3_1_a</vt:lpstr>
      <vt:lpstr>dd701_4_3_1_b</vt:lpstr>
      <vt:lpstr>dd701_4_3_1_c</vt:lpstr>
      <vt:lpstr>dd701_4_3_1_d</vt:lpstr>
      <vt:lpstr>dd701_4_3_1_e</vt:lpstr>
      <vt:lpstr>dd701_4_3_1_f</vt:lpstr>
      <vt:lpstr>dd701_4_3_1_g</vt:lpstr>
      <vt:lpstr>dd701_4_3_1_h</vt:lpstr>
      <vt:lpstr>dd701_4_3_1_i</vt:lpstr>
      <vt:lpstr>dd701_4_3_1_j</vt:lpstr>
      <vt:lpstr>dd701_4_3_1_k</vt:lpstr>
      <vt:lpstr>dd701_4_3_1_l</vt:lpstr>
      <vt:lpstr>dd701_4_3_1_m</vt:lpstr>
      <vt:lpstr>dd701_4_3_5</vt:lpstr>
      <vt:lpstr>dd703_1_3</vt:lpstr>
      <vt:lpstr>dd703_2_5_1</vt:lpstr>
      <vt:lpstr>dd703_2_5_1_1</vt:lpstr>
      <vt:lpstr>dd703_2_5_2</vt:lpstr>
      <vt:lpstr>dd703_2_5_2_1</vt:lpstr>
      <vt:lpstr>dd703_3_0_1</vt:lpstr>
      <vt:lpstr>dd703_3_0_2</vt:lpstr>
      <vt:lpstr>dd703_4_4</vt:lpstr>
      <vt:lpstr>dd703_5_1</vt:lpstr>
      <vt:lpstr>dd703_5_1_1</vt:lpstr>
      <vt:lpstr>dd703_5_1_2</vt:lpstr>
      <vt:lpstr>dd703_5_5</vt:lpstr>
      <vt:lpstr>dd705_2_1_1</vt:lpstr>
      <vt:lpstr>dd705_2_1_3_1</vt:lpstr>
      <vt:lpstr>dd705_2_1_3_2</vt:lpstr>
      <vt:lpstr>dd705_2_1_4</vt:lpstr>
      <vt:lpstr>dd705_6_2_3</vt:lpstr>
      <vt:lpstr>dd706_13</vt:lpstr>
      <vt:lpstr>dd706_2_2</vt:lpstr>
      <vt:lpstr>dd801_1</vt:lpstr>
      <vt:lpstr>dd802_1</vt:lpstr>
      <vt:lpstr>dd802_10_1</vt:lpstr>
      <vt:lpstr>dd802_2_2</vt:lpstr>
      <vt:lpstr>dd802_4_1</vt:lpstr>
      <vt:lpstr>dd802_4_2</vt:lpstr>
      <vt:lpstr>dd802_4_3</vt:lpstr>
      <vt:lpstr>dd802_5_1a</vt:lpstr>
      <vt:lpstr>dd802_5_1b</vt:lpstr>
      <vt:lpstr>dd802_5_2</vt:lpstr>
      <vt:lpstr>dd802_5_3</vt:lpstr>
      <vt:lpstr>dd802_5_4_2</vt:lpstr>
      <vt:lpstr>dd802_5_4_4_a</vt:lpstr>
      <vt:lpstr>dd802_6_1</vt:lpstr>
      <vt:lpstr>dd802_7_1</vt:lpstr>
      <vt:lpstr>dd802_7_2_1</vt:lpstr>
      <vt:lpstr>dd802_9_1</vt:lpstr>
      <vt:lpstr>dd802_9_2</vt:lpstr>
      <vt:lpstr>dd803_1_1</vt:lpstr>
      <vt:lpstr>dd803_3</vt:lpstr>
      <vt:lpstr>dd901_1_3_1</vt:lpstr>
      <vt:lpstr>dd901_1_3_2</vt:lpstr>
      <vt:lpstr>dd901_1_4</vt:lpstr>
      <vt:lpstr>dd901_1_6</vt:lpstr>
      <vt:lpstr>dd901_13</vt:lpstr>
      <vt:lpstr>dd901_2_1_1_m</vt:lpstr>
      <vt:lpstr>dd901_2_1_2_m</vt:lpstr>
      <vt:lpstr>dd901_2_1_3_m</vt:lpstr>
      <vt:lpstr>dd901_2_1_4_m</vt:lpstr>
      <vt:lpstr>dd901_2_1_5_m</vt:lpstr>
      <vt:lpstr>dd901_3_1_a_m</vt:lpstr>
      <vt:lpstr>dd901_3_1_b_m</vt:lpstr>
      <vt:lpstr>dd901_4_1</vt:lpstr>
      <vt:lpstr>dd901_4_a</vt:lpstr>
      <vt:lpstr>dd901_4_b</vt:lpstr>
      <vt:lpstr>dd901_4_c</vt:lpstr>
      <vt:lpstr>dd901_4_d</vt:lpstr>
      <vt:lpstr>dd902_1_2</vt:lpstr>
      <vt:lpstr>dd902_2_1</vt:lpstr>
      <vt:lpstr>dd902_3</vt:lpstr>
      <vt:lpstr>dd903_1</vt:lpstr>
      <vt:lpstr>dd903_2</vt:lpstr>
      <vt:lpstr>ddAltBronze</vt:lpstr>
      <vt:lpstr>ddAltSilver</vt:lpstr>
      <vt:lpstr>ddAttachedGarage</vt:lpstr>
      <vt:lpstr>ddAttic</vt:lpstr>
      <vt:lpstr>ddBuildingCode</vt:lpstr>
      <vt:lpstr>ddBuildingCodeMF</vt:lpstr>
      <vt:lpstr>ddCDucts</vt:lpstr>
      <vt:lpstr>ddCommercial</vt:lpstr>
      <vt:lpstr>ddCool1</vt:lpstr>
      <vt:lpstr>ddCool2</vt:lpstr>
      <vt:lpstr>ddCool3</vt:lpstr>
      <vt:lpstr>ddCToilet</vt:lpstr>
      <vt:lpstr>ddEnergyCode</vt:lpstr>
      <vt:lpstr>ddFoundation</vt:lpstr>
      <vt:lpstr>ddFuel</vt:lpstr>
      <vt:lpstr>ddHDucts</vt:lpstr>
      <vt:lpstr>ddHeat1</vt:lpstr>
      <vt:lpstr>ddHeat2</vt:lpstr>
      <vt:lpstr>ddHeat3</vt:lpstr>
      <vt:lpstr>ddMassWalls</vt:lpstr>
      <vt:lpstr>ddMetNotMetNA</vt:lpstr>
      <vt:lpstr>ddPassiveSolar</vt:lpstr>
      <vt:lpstr>ddRadiantHydronic</vt:lpstr>
      <vt:lpstr>ddRecessedLighting</vt:lpstr>
      <vt:lpstr>ddRenewable</vt:lpstr>
      <vt:lpstr>ddSingleOrMulti</vt:lpstr>
      <vt:lpstr>ddTEInsulation</vt:lpstr>
      <vt:lpstr>ddTLWH</vt:lpstr>
      <vt:lpstr>ddWellnessException</vt:lpstr>
      <vt:lpstr>ddWS1</vt:lpstr>
      <vt:lpstr>desBadges703_7_2</vt:lpstr>
      <vt:lpstr>desBadges802_10_1_1</vt:lpstr>
      <vt:lpstr>desBadges802_6_4_1</vt:lpstr>
      <vt:lpstr>desBadges802_6_5_5</vt:lpstr>
      <vt:lpstr>desBadges803_3_1</vt:lpstr>
      <vt:lpstr>desBadges901_1_1</vt:lpstr>
      <vt:lpstr>desBadges901_1_5</vt:lpstr>
      <vt:lpstr>desBadges903_3</vt:lpstr>
      <vt:lpstr>desBadgesBuildingVent</vt:lpstr>
      <vt:lpstr>desBadgesElectricAC</vt:lpstr>
      <vt:lpstr>desBadgesElectricHeat</vt:lpstr>
      <vt:lpstr>desBadgesFloorRVal</vt:lpstr>
      <vt:lpstr>desBadgesGasBoiler</vt:lpstr>
      <vt:lpstr>desBadgesGEDHPHeating</vt:lpstr>
      <vt:lpstr>desBadgesGEHHPCooling</vt:lpstr>
      <vt:lpstr>desBadgesGeothermalEfficiency</vt:lpstr>
      <vt:lpstr>desBadgesGeothermalFieldArea</vt:lpstr>
      <vt:lpstr>desBadgesGeothermalPower</vt:lpstr>
      <vt:lpstr>desBadgesGeothermalResTemp</vt:lpstr>
      <vt:lpstr>desBadgesGeothermalSurfaceTemp</vt:lpstr>
      <vt:lpstr>desBadgesGeothermalWells</vt:lpstr>
      <vt:lpstr>desBadgesGroundSourceHP</vt:lpstr>
      <vt:lpstr>desBadgesOilBoiler</vt:lpstr>
      <vt:lpstr>desBadgesOilFurnace</vt:lpstr>
      <vt:lpstr>desBadgesPropane</vt:lpstr>
      <vt:lpstr>desBadgesRadiant</vt:lpstr>
      <vt:lpstr>desBadgesResilienceAdditional</vt:lpstr>
      <vt:lpstr>desBadgesRoofRVal</vt:lpstr>
      <vt:lpstr>desBadgesSHGC</vt:lpstr>
      <vt:lpstr>desBadgesSmartAdd</vt:lpstr>
      <vt:lpstr>desBadgesSolarThermalArea</vt:lpstr>
      <vt:lpstr>desBadgesSolarThermalEfficiency</vt:lpstr>
      <vt:lpstr>desBadgesSolarThermalHeatingRate</vt:lpstr>
      <vt:lpstr>desBadgesSolarThermalSlope</vt:lpstr>
      <vt:lpstr>desBadgesSolarThermalTankVolume</vt:lpstr>
      <vt:lpstr>desBadgesSpotVent</vt:lpstr>
      <vt:lpstr>desBadgesWallRVal</vt:lpstr>
      <vt:lpstr>desBadgesWaterSourceHC</vt:lpstr>
      <vt:lpstr>desBadgesWellnessException</vt:lpstr>
      <vt:lpstr>desBadgesWindowUVal</vt:lpstr>
      <vt:lpstr>desBadgesWindowWallRatio</vt:lpstr>
      <vt:lpstr>desGoalLevel</vt:lpstr>
      <vt:lpstr>desWaterSenseClothesWasher</vt:lpstr>
      <vt:lpstr>desWaterSenseDishwasher</vt:lpstr>
      <vt:lpstr>desWaterSenseIrrigation</vt:lpstr>
      <vt:lpstr>desWaterSenseLavFaucet</vt:lpstr>
      <vt:lpstr>desWaterSenseLeaks1</vt:lpstr>
      <vt:lpstr>desWaterSenseLeaks2</vt:lpstr>
      <vt:lpstr>desWaterSenseLeaks3</vt:lpstr>
      <vt:lpstr>desWaterSenseLeaks4</vt:lpstr>
      <vt:lpstr>desWaterSenseLeaks5</vt:lpstr>
      <vt:lpstr>desWaterSenseLeaks6</vt:lpstr>
      <vt:lpstr>desWaterSenseLeaks7</vt:lpstr>
      <vt:lpstr>desWaterSenseLeaks8</vt:lpstr>
      <vt:lpstr>desWaterSenseOptionA</vt:lpstr>
      <vt:lpstr>desWaterSenseShowerheads</vt:lpstr>
      <vt:lpstr>desWaterSenseToilet</vt:lpstr>
      <vt:lpstr>dnt1001_1_1</vt:lpstr>
      <vt:lpstr>dnt1001_1_10</vt:lpstr>
      <vt:lpstr>dnt1001_1_11</vt:lpstr>
      <vt:lpstr>dnt1001_1_12</vt:lpstr>
      <vt:lpstr>dnt1001_1_13</vt:lpstr>
      <vt:lpstr>dnt1001_1_14</vt:lpstr>
      <vt:lpstr>dnt1001_1_15</vt:lpstr>
      <vt:lpstr>dnt1001_1_16</vt:lpstr>
      <vt:lpstr>dnt1001_1_17</vt:lpstr>
      <vt:lpstr>dnt1001_1_18</vt:lpstr>
      <vt:lpstr>dnt1001_1_19</vt:lpstr>
      <vt:lpstr>dnt1001_1_2</vt:lpstr>
      <vt:lpstr>dnt1001_1_20</vt:lpstr>
      <vt:lpstr>dnt1001_1_21</vt:lpstr>
      <vt:lpstr>dnt1001_1_22</vt:lpstr>
      <vt:lpstr>dnt1001_1_23</vt:lpstr>
      <vt:lpstr>dnt1001_1_24</vt:lpstr>
      <vt:lpstr>dnt1001_1_3</vt:lpstr>
      <vt:lpstr>dnt1001_1_4</vt:lpstr>
      <vt:lpstr>dnt1001_1_5</vt:lpstr>
      <vt:lpstr>dnt1001_1_6</vt:lpstr>
      <vt:lpstr>dnt1001_1_7</vt:lpstr>
      <vt:lpstr>dnt1001_1_8</vt:lpstr>
      <vt:lpstr>dnt1001_1_9</vt:lpstr>
      <vt:lpstr>dnt1001_2</vt:lpstr>
      <vt:lpstr>dnt1002_1_1</vt:lpstr>
      <vt:lpstr>dnt1002_1_2</vt:lpstr>
      <vt:lpstr>dnt1002_1_3</vt:lpstr>
      <vt:lpstr>dnt1002_1_4</vt:lpstr>
      <vt:lpstr>dnt1002_1_5</vt:lpstr>
      <vt:lpstr>dnt1002_1_6</vt:lpstr>
      <vt:lpstr>dnt1002_1_7</vt:lpstr>
      <vt:lpstr>dnt1002_1_8</vt:lpstr>
      <vt:lpstr>dnt1002_2_1</vt:lpstr>
      <vt:lpstr>dnt1002_2_10</vt:lpstr>
      <vt:lpstr>dnt1002_2_11</vt:lpstr>
      <vt:lpstr>dnt1002_2_2</vt:lpstr>
      <vt:lpstr>dnt1002_2_3</vt:lpstr>
      <vt:lpstr>dnt1002_2_4</vt:lpstr>
      <vt:lpstr>dnt1002_2_5</vt:lpstr>
      <vt:lpstr>dnt1002_2_6</vt:lpstr>
      <vt:lpstr>dnt1002_2_7</vt:lpstr>
      <vt:lpstr>dnt1002_2_8</vt:lpstr>
      <vt:lpstr>dnt1002_2_9</vt:lpstr>
      <vt:lpstr>dnt1002_3_1</vt:lpstr>
      <vt:lpstr>dnt1002_3_10</vt:lpstr>
      <vt:lpstr>dnt1002_3_11</vt:lpstr>
      <vt:lpstr>dnt1002_3_2</vt:lpstr>
      <vt:lpstr>dnt1002_3_3</vt:lpstr>
      <vt:lpstr>dnt1002_3_4</vt:lpstr>
      <vt:lpstr>dnt1002_3_5</vt:lpstr>
      <vt:lpstr>dnt1002_3_6</vt:lpstr>
      <vt:lpstr>dnt1002_3_7</vt:lpstr>
      <vt:lpstr>dnt1002_3_8</vt:lpstr>
      <vt:lpstr>dnt1002_3_9</vt:lpstr>
      <vt:lpstr>dnt1002_4</vt:lpstr>
      <vt:lpstr>dnt1002_5_1</vt:lpstr>
      <vt:lpstr>dnt1002_5_2</vt:lpstr>
      <vt:lpstr>dnt1002_5_3</vt:lpstr>
      <vt:lpstr>dnt1002_5_4</vt:lpstr>
      <vt:lpstr>dnt1002_5_5</vt:lpstr>
      <vt:lpstr>dnt1002_5_6</vt:lpstr>
      <vt:lpstr>dnt1002_5_7</vt:lpstr>
      <vt:lpstr>dnt1002_5_8</vt:lpstr>
      <vt:lpstr>dnt1002_5_9</vt:lpstr>
      <vt:lpstr>dnt1002_6_1</vt:lpstr>
      <vt:lpstr>dnt1002_6_2</vt:lpstr>
      <vt:lpstr>dnt1002_6_3</vt:lpstr>
      <vt:lpstr>dnt1002_6_4</vt:lpstr>
      <vt:lpstr>dnt1002_6_5</vt:lpstr>
      <vt:lpstr>dnt1002_6_6</vt:lpstr>
      <vt:lpstr>dnt1002_6_7</vt:lpstr>
      <vt:lpstr>dnt1003_1_1</vt:lpstr>
      <vt:lpstr>dnt1003_1_2</vt:lpstr>
      <vt:lpstr>dnt1003_1_3</vt:lpstr>
      <vt:lpstr>dnt1004_1_1</vt:lpstr>
      <vt:lpstr>dnt1004_1_2</vt:lpstr>
      <vt:lpstr>dnt1005_1_1</vt:lpstr>
      <vt:lpstr>dnt1005_1_2</vt:lpstr>
      <vt:lpstr>dnt501_1</vt:lpstr>
      <vt:lpstr>dnt501_2</vt:lpstr>
      <vt:lpstr>dnt501_2_1</vt:lpstr>
      <vt:lpstr>dnt501_2_2</vt:lpstr>
      <vt:lpstr>dnt501_2_3</vt:lpstr>
      <vt:lpstr>dnt501_2_4</vt:lpstr>
      <vt:lpstr>dnt501_2_4_1</vt:lpstr>
      <vt:lpstr>dnt501_2_5</vt:lpstr>
      <vt:lpstr>dnt501_2_6</vt:lpstr>
      <vt:lpstr>dnt501_2_6_d</vt:lpstr>
      <vt:lpstr>dnt501_2_7</vt:lpstr>
      <vt:lpstr>dnt501_2_8</vt:lpstr>
      <vt:lpstr>dnt502_1</vt:lpstr>
      <vt:lpstr>dnt503_0</vt:lpstr>
      <vt:lpstr>dnt503_1</vt:lpstr>
      <vt:lpstr>dnt503_2</vt:lpstr>
      <vt:lpstr>dnt503_3</vt:lpstr>
      <vt:lpstr>dnt503_4</vt:lpstr>
      <vt:lpstr>dnt503_4_1</vt:lpstr>
      <vt:lpstr>dnt503_4_2</vt:lpstr>
      <vt:lpstr>dnt503_4_3</vt:lpstr>
      <vt:lpstr>dnt503_4_4</vt:lpstr>
      <vt:lpstr>dnt503_4_4_c_1</vt:lpstr>
      <vt:lpstr>dnt503_4_5</vt:lpstr>
      <vt:lpstr>dnt503_5</vt:lpstr>
      <vt:lpstr>dnt503_5_1</vt:lpstr>
      <vt:lpstr>dnt503_5_10</vt:lpstr>
      <vt:lpstr>dnt503_5_11</vt:lpstr>
      <vt:lpstr>dnt503_5_12</vt:lpstr>
      <vt:lpstr>dnt503_5_13</vt:lpstr>
      <vt:lpstr>dnt503_5_2</vt:lpstr>
      <vt:lpstr>dnt503_5_3</vt:lpstr>
      <vt:lpstr>dnt503_5_4</vt:lpstr>
      <vt:lpstr>dnt503_5_5</vt:lpstr>
      <vt:lpstr>dnt503_5_6</vt:lpstr>
      <vt:lpstr>dnt503_5_7</vt:lpstr>
      <vt:lpstr>dnt503_5_8</vt:lpstr>
      <vt:lpstr>dnt503_5_9</vt:lpstr>
      <vt:lpstr>dnt503_6</vt:lpstr>
      <vt:lpstr>dnt503_7</vt:lpstr>
      <vt:lpstr>dnt503_8</vt:lpstr>
      <vt:lpstr>dnt504_1</vt:lpstr>
      <vt:lpstr>dnt504_2</vt:lpstr>
      <vt:lpstr>dnt504_3</vt:lpstr>
      <vt:lpstr>dnt504_3_1</vt:lpstr>
      <vt:lpstr>dnt504_3_2</vt:lpstr>
      <vt:lpstr>dnt504_3_3</vt:lpstr>
      <vt:lpstr>dnt504_3_4</vt:lpstr>
      <vt:lpstr>dnt504_3_5</vt:lpstr>
      <vt:lpstr>dnt504_3_6</vt:lpstr>
      <vt:lpstr>dnt504_3_7</vt:lpstr>
      <vt:lpstr>dnt504_3_8</vt:lpstr>
      <vt:lpstr>dnt504_3_9</vt:lpstr>
      <vt:lpstr>dnt505_1_1</vt:lpstr>
      <vt:lpstr>dnt505_1_2</vt:lpstr>
      <vt:lpstr>dnt505_1_3</vt:lpstr>
      <vt:lpstr>dnt505_10_a</vt:lpstr>
      <vt:lpstr>dnt505_10_b</vt:lpstr>
      <vt:lpstr>dnt505_10_c</vt:lpstr>
      <vt:lpstr>dnt505_2_1</vt:lpstr>
      <vt:lpstr>dnt505_2_2</vt:lpstr>
      <vt:lpstr>dnt505_3</vt:lpstr>
      <vt:lpstr>dnt505_4_1</vt:lpstr>
      <vt:lpstr>dnt505_5_a</vt:lpstr>
      <vt:lpstr>dnt505_5_b</vt:lpstr>
      <vt:lpstr>dnt505_5_c</vt:lpstr>
      <vt:lpstr>dnt505_5_d</vt:lpstr>
      <vt:lpstr>dnt505_6</vt:lpstr>
      <vt:lpstr>dnt505_7</vt:lpstr>
      <vt:lpstr>dnt505_8</vt:lpstr>
      <vt:lpstr>dnt505_9_a</vt:lpstr>
      <vt:lpstr>dnt505_9_b</vt:lpstr>
      <vt:lpstr>dnt505_9_c</vt:lpstr>
      <vt:lpstr>dnt601_1</vt:lpstr>
      <vt:lpstr>dnt601_2_1</vt:lpstr>
      <vt:lpstr>dnt601_2_2</vt:lpstr>
      <vt:lpstr>dnt601_2_3</vt:lpstr>
      <vt:lpstr>dnt601_3_1</vt:lpstr>
      <vt:lpstr>dnt601_3_2</vt:lpstr>
      <vt:lpstr>dnt601_3_3</vt:lpstr>
      <vt:lpstr>dnt601_3_4</vt:lpstr>
      <vt:lpstr>dnt601_3_5</vt:lpstr>
      <vt:lpstr>dnt601_4</vt:lpstr>
      <vt:lpstr>dnt601_5_1</vt:lpstr>
      <vt:lpstr>dnt601_5_2</vt:lpstr>
      <vt:lpstr>dnt601_5_3</vt:lpstr>
      <vt:lpstr>dnt601_5_4</vt:lpstr>
      <vt:lpstr>dnt601_5_5</vt:lpstr>
      <vt:lpstr>dnt601_6</vt:lpstr>
      <vt:lpstr>dnt601_7</vt:lpstr>
      <vt:lpstr>dnt601_8</vt:lpstr>
      <vt:lpstr>dnt602_1_1_1</vt:lpstr>
      <vt:lpstr>dnt602_1_1_2</vt:lpstr>
      <vt:lpstr>dnt602_1_10</vt:lpstr>
      <vt:lpstr>dnt602_1_11</vt:lpstr>
      <vt:lpstr>dnt602_1_12</vt:lpstr>
      <vt:lpstr>dnt602_1_13</vt:lpstr>
      <vt:lpstr>dnt602_1_14_1</vt:lpstr>
      <vt:lpstr>dnt602_1_14_2</vt:lpstr>
      <vt:lpstr>dnt602_1_14_3</vt:lpstr>
      <vt:lpstr>dnt602_1_15</vt:lpstr>
      <vt:lpstr>dnt602_1_2</vt:lpstr>
      <vt:lpstr>dnt602_1_3_1</vt:lpstr>
      <vt:lpstr>dnt602_1_3_2</vt:lpstr>
      <vt:lpstr>dnt602_1_4_1_1</vt:lpstr>
      <vt:lpstr>dnt602_1_4_1_2</vt:lpstr>
      <vt:lpstr>dnt602_1_4_2_1</vt:lpstr>
      <vt:lpstr>dnt602_1_4_2_2</vt:lpstr>
      <vt:lpstr>dnt602_1_5</vt:lpstr>
      <vt:lpstr>dnt602_1_6_1</vt:lpstr>
      <vt:lpstr>dnt602_1_7_1_1</vt:lpstr>
      <vt:lpstr>dnt602_1_7_1_2</vt:lpstr>
      <vt:lpstr>dnt602_1_7_1_3</vt:lpstr>
      <vt:lpstr>dnt602_1_7_2</vt:lpstr>
      <vt:lpstr>dnt602_1_7_3</vt:lpstr>
      <vt:lpstr>dnt602_1_8</vt:lpstr>
      <vt:lpstr>dnt602_1_9_1</vt:lpstr>
      <vt:lpstr>dnt602_1_9_2</vt:lpstr>
      <vt:lpstr>dnt602_1_9_3</vt:lpstr>
      <vt:lpstr>dnt602_1_9_4</vt:lpstr>
      <vt:lpstr>dnt602_1_9_5</vt:lpstr>
      <vt:lpstr>dnt602_1_9_6</vt:lpstr>
      <vt:lpstr>dnt602_1_9_7</vt:lpstr>
      <vt:lpstr>dnt602_2_1</vt:lpstr>
      <vt:lpstr>dnt602_2_2</vt:lpstr>
      <vt:lpstr>dnt602_2_3</vt:lpstr>
      <vt:lpstr>dnt602_3</vt:lpstr>
      <vt:lpstr>dnt602_4_1</vt:lpstr>
      <vt:lpstr>dnt602_4_2</vt:lpstr>
      <vt:lpstr>dnt602_4_3</vt:lpstr>
      <vt:lpstr>dnt603_1</vt:lpstr>
      <vt:lpstr>dnt603_2</vt:lpstr>
      <vt:lpstr>dnt603_3</vt:lpstr>
      <vt:lpstr>dnt604_1a</vt:lpstr>
      <vt:lpstr>dnt604_1b</vt:lpstr>
      <vt:lpstr>dnt604_1c</vt:lpstr>
      <vt:lpstr>dnt604_1d</vt:lpstr>
      <vt:lpstr>dnt605_1</vt:lpstr>
      <vt:lpstr>dnt605_2</vt:lpstr>
      <vt:lpstr>dnt605_3</vt:lpstr>
      <vt:lpstr>dnt605_4_2_a</vt:lpstr>
      <vt:lpstr>dnt605_4_2_h</vt:lpstr>
      <vt:lpstr>dnt605_4_2_i</vt:lpstr>
      <vt:lpstr>dnt606_1_a</vt:lpstr>
      <vt:lpstr>dnt606_2_1a</vt:lpstr>
      <vt:lpstr>dnt606_2_1b</vt:lpstr>
      <vt:lpstr>dnt606_2_2a</vt:lpstr>
      <vt:lpstr>dnt606_2_2b</vt:lpstr>
      <vt:lpstr>dnt606_3</vt:lpstr>
      <vt:lpstr>dnt607_1_1</vt:lpstr>
      <vt:lpstr>dnt607_1_2</vt:lpstr>
      <vt:lpstr>dnt607_2</vt:lpstr>
      <vt:lpstr>dnt608_1</vt:lpstr>
      <vt:lpstr>dnt609_1_1</vt:lpstr>
      <vt:lpstr>dnt609_1_2</vt:lpstr>
      <vt:lpstr>dnt610_1</vt:lpstr>
      <vt:lpstr>dnt610_1_1_1</vt:lpstr>
      <vt:lpstr>dnt610_1_1_2</vt:lpstr>
      <vt:lpstr>dnt610_1_1_3</vt:lpstr>
      <vt:lpstr>dnt610_1_2_1</vt:lpstr>
      <vt:lpstr>dnt610_1_2_1_e</vt:lpstr>
      <vt:lpstr>dnt610_1_2_2_e</vt:lpstr>
      <vt:lpstr>dnt610_1_2_2a</vt:lpstr>
      <vt:lpstr>dnt610_1_2_2b</vt:lpstr>
      <vt:lpstr>dnt610_1_2_2c</vt:lpstr>
      <vt:lpstr>dnt611_1_1</vt:lpstr>
      <vt:lpstr>dnt611_1_2</vt:lpstr>
      <vt:lpstr>dnt612_1</vt:lpstr>
      <vt:lpstr>dnt612_2_1</vt:lpstr>
      <vt:lpstr>dnt612_2_2</vt:lpstr>
      <vt:lpstr>dnt612_2_3</vt:lpstr>
      <vt:lpstr>dnt612_2_4</vt:lpstr>
      <vt:lpstr>dnt612_2_5</vt:lpstr>
      <vt:lpstr>dnt612_2_6</vt:lpstr>
      <vt:lpstr>dnt612_2_7</vt:lpstr>
      <vt:lpstr>dnt612_3_1</vt:lpstr>
      <vt:lpstr>dnt612_3_2</vt:lpstr>
      <vt:lpstr>dnt612_3_3</vt:lpstr>
      <vt:lpstr>dnt612_3_4</vt:lpstr>
      <vt:lpstr>dnt612_3_5</vt:lpstr>
      <vt:lpstr>dnt612_3_6</vt:lpstr>
      <vt:lpstr>dnt612_3_7</vt:lpstr>
      <vt:lpstr>dnt612_3_8</vt:lpstr>
      <vt:lpstr>dnt612_3_9</vt:lpstr>
      <vt:lpstr>dnt613_1</vt:lpstr>
      <vt:lpstr>dnt701_1_</vt:lpstr>
      <vt:lpstr>dnt701_1_1</vt:lpstr>
      <vt:lpstr>dnt701_1_2</vt:lpstr>
      <vt:lpstr>dnt701_1_3</vt:lpstr>
      <vt:lpstr>dnt701_1_4</vt:lpstr>
      <vt:lpstr>dnt701_1_6_1</vt:lpstr>
      <vt:lpstr>dnt701_1_6_2</vt:lpstr>
      <vt:lpstr>dnt701_1_6_3</vt:lpstr>
      <vt:lpstr>dnt701_1_6_4</vt:lpstr>
      <vt:lpstr>dnt701_1_6_5</vt:lpstr>
      <vt:lpstr>dnt701_1_6_6_a</vt:lpstr>
      <vt:lpstr>dnt701_1_6_6_b</vt:lpstr>
      <vt:lpstr>dnt701_1_6_6_c</vt:lpstr>
      <vt:lpstr>dnt701_1_6_7_a</vt:lpstr>
      <vt:lpstr>dnt701_1_6_7_b</vt:lpstr>
      <vt:lpstr>dnt701_1_6_7_c</vt:lpstr>
      <vt:lpstr>dnt701_1_6_8</vt:lpstr>
      <vt:lpstr>dnt701_1_6_9</vt:lpstr>
      <vt:lpstr>dnt701_3</vt:lpstr>
      <vt:lpstr>dnt701_4_1</vt:lpstr>
      <vt:lpstr>dnt701_4_1_1</vt:lpstr>
      <vt:lpstr>dnt701_4_1_2</vt:lpstr>
      <vt:lpstr>dnt701_4_2_2</vt:lpstr>
      <vt:lpstr>dnt701_4_2_3</vt:lpstr>
      <vt:lpstr>dnt701_4_3_1</vt:lpstr>
      <vt:lpstr>dnt701_4_3_1_a</vt:lpstr>
      <vt:lpstr>dnt701_4_3_1_b</vt:lpstr>
      <vt:lpstr>dnt701_4_3_1_c</vt:lpstr>
      <vt:lpstr>dnt701_4_3_1_d</vt:lpstr>
      <vt:lpstr>dnt701_4_3_1_e</vt:lpstr>
      <vt:lpstr>dnt701_4_3_1_f</vt:lpstr>
      <vt:lpstr>dnt701_4_3_1_g</vt:lpstr>
      <vt:lpstr>dnt701_4_3_1_h</vt:lpstr>
      <vt:lpstr>dnt701_4_3_1_i</vt:lpstr>
      <vt:lpstr>dnt701_4_3_1_j</vt:lpstr>
      <vt:lpstr>dnt701_4_3_1_k</vt:lpstr>
      <vt:lpstr>dnt701_4_3_1_l</vt:lpstr>
      <vt:lpstr>dnt701_4_3_1_m</vt:lpstr>
      <vt:lpstr>dnt701_4_3_2_1_</vt:lpstr>
      <vt:lpstr>dnt701_4_3_2_1_1</vt:lpstr>
      <vt:lpstr>dnt701_4_3_2_1_2</vt:lpstr>
      <vt:lpstr>dnt701_4_3_2_1_3</vt:lpstr>
      <vt:lpstr>dnt701_4_3_2_1_4</vt:lpstr>
      <vt:lpstr>dnt701_4_3_2_1_5</vt:lpstr>
      <vt:lpstr>dnt701_4_3_2_1_6</vt:lpstr>
      <vt:lpstr>dnt701_4_3_2_1_7</vt:lpstr>
      <vt:lpstr>dnt701_4_3_2_1_8</vt:lpstr>
      <vt:lpstr>dnt701_4_3_2_1_9</vt:lpstr>
      <vt:lpstr>dnt701_4_3_2_1_a</vt:lpstr>
      <vt:lpstr>dnt701_4_3_2_1_b</vt:lpstr>
      <vt:lpstr>dnt701_4_3_2_1_c</vt:lpstr>
      <vt:lpstr>dnt701_4_3_2_1_d</vt:lpstr>
      <vt:lpstr>dnt701_4_3_2_1_e</vt:lpstr>
      <vt:lpstr>dnt701_4_3_2_1_f</vt:lpstr>
      <vt:lpstr>dnt701_4_3_2_1_g</vt:lpstr>
      <vt:lpstr>dnt701_4_3_2_1_h</vt:lpstr>
      <vt:lpstr>dnt701_4_3_2_2</vt:lpstr>
      <vt:lpstr>dnt701_4_3_2e</vt:lpstr>
      <vt:lpstr>dnt701_4_3_3</vt:lpstr>
      <vt:lpstr>dnt701_4_3_4</vt:lpstr>
      <vt:lpstr>dnt701_4_3_5</vt:lpstr>
      <vt:lpstr>dnt701_4_4_1</vt:lpstr>
      <vt:lpstr>dnt701_4_4_2</vt:lpstr>
      <vt:lpstr>dnt701_4_5</vt:lpstr>
      <vt:lpstr>dnt702_2_1</vt:lpstr>
      <vt:lpstr>dnt702_2_2</vt:lpstr>
      <vt:lpstr>dnt702_2_2_m</vt:lpstr>
      <vt:lpstr>dnt702_2_3</vt:lpstr>
      <vt:lpstr>dnt703_1_1</vt:lpstr>
      <vt:lpstr>dnt703_1_2</vt:lpstr>
      <vt:lpstr>dnt703_1_3</vt:lpstr>
      <vt:lpstr>dnt703_2_1</vt:lpstr>
      <vt:lpstr>dnt703_2_2</vt:lpstr>
      <vt:lpstr>dnt703_2_3</vt:lpstr>
      <vt:lpstr>dnt703_2_4</vt:lpstr>
      <vt:lpstr>dnt703_2_5_1</vt:lpstr>
      <vt:lpstr>dnt703_2_5_1_1</vt:lpstr>
      <vt:lpstr>dnt703_2_5_2</vt:lpstr>
      <vt:lpstr>dnt703_2_5_2_1</vt:lpstr>
      <vt:lpstr>dnt703_3_0_1</vt:lpstr>
      <vt:lpstr>dnt703_3_0_2</vt:lpstr>
      <vt:lpstr>dnt703_3_1</vt:lpstr>
      <vt:lpstr>dnt703_3_2__1</vt:lpstr>
      <vt:lpstr>dnt703_3_2__2</vt:lpstr>
      <vt:lpstr>dnt703_3_2__3</vt:lpstr>
      <vt:lpstr>dnt703_3_2__4</vt:lpstr>
      <vt:lpstr>dnt703_3_3__1</vt:lpstr>
      <vt:lpstr>dnt703_3_3__2</vt:lpstr>
      <vt:lpstr>dnt703_3_3__3</vt:lpstr>
      <vt:lpstr>dnt703_3_4_1</vt:lpstr>
      <vt:lpstr>dnt703_3_4_1_6</vt:lpstr>
      <vt:lpstr>dnt703_3_4_2</vt:lpstr>
      <vt:lpstr>dnt703_3_5</vt:lpstr>
      <vt:lpstr>dnt703_3_6</vt:lpstr>
      <vt:lpstr>dnt703_3_7_1</vt:lpstr>
      <vt:lpstr>dnt703_3_8</vt:lpstr>
      <vt:lpstr>dnt703_4_1</vt:lpstr>
      <vt:lpstr>dnt703_4_2</vt:lpstr>
      <vt:lpstr>dnt703_4_3_1</vt:lpstr>
      <vt:lpstr>dnt703_4_3_2</vt:lpstr>
      <vt:lpstr>dnt703_4_3_3</vt:lpstr>
      <vt:lpstr>dnt703_4_4</vt:lpstr>
      <vt:lpstr>dnt703_5_1</vt:lpstr>
      <vt:lpstr>dnt703_5_2</vt:lpstr>
      <vt:lpstr>dnt703_5_3</vt:lpstr>
      <vt:lpstr>dnt703_5_4</vt:lpstr>
      <vt:lpstr>dnt703_5_5</vt:lpstr>
      <vt:lpstr>dnt703_6_1_1</vt:lpstr>
      <vt:lpstr>dnt703_6_1_2</vt:lpstr>
      <vt:lpstr>dnt703_6_1_3</vt:lpstr>
      <vt:lpstr>dnt703_6_2__1</vt:lpstr>
      <vt:lpstr>dnt703_6_2__2</vt:lpstr>
      <vt:lpstr>dnt703_6_2__3</vt:lpstr>
      <vt:lpstr>dnt703_7_1_1</vt:lpstr>
      <vt:lpstr>dnt703_7_1_2</vt:lpstr>
      <vt:lpstr>dnt703_7_1_3</vt:lpstr>
      <vt:lpstr>dnt703_7_1_4</vt:lpstr>
      <vt:lpstr>dnt703_7_1_5</vt:lpstr>
      <vt:lpstr>dnt703_7_1_6_a</vt:lpstr>
      <vt:lpstr>dnt703_7_1_6_b</vt:lpstr>
      <vt:lpstr>dnt703_7_1_6_c</vt:lpstr>
      <vt:lpstr>dnt703_7_1_7</vt:lpstr>
      <vt:lpstr>dnt703_7_1_8</vt:lpstr>
      <vt:lpstr>dnt703_7_1_9</vt:lpstr>
      <vt:lpstr>dnt703_7_1_9_m</vt:lpstr>
      <vt:lpstr>dnt703_7_2</vt:lpstr>
      <vt:lpstr>dnt703_7_3_1_a</vt:lpstr>
      <vt:lpstr>dnt703_7_3_1_b</vt:lpstr>
      <vt:lpstr>dnt703_7_3_1_c</vt:lpstr>
      <vt:lpstr>dnt703_7_3_1_d</vt:lpstr>
      <vt:lpstr>dnt703_7_3_2</vt:lpstr>
      <vt:lpstr>dnt703_7_3_3</vt:lpstr>
      <vt:lpstr>dnt703_7_3_4</vt:lpstr>
      <vt:lpstr>dnt703_7_3_5_a</vt:lpstr>
      <vt:lpstr>dnt703_7_3_5_b</vt:lpstr>
      <vt:lpstr>dnt703_7_3_6</vt:lpstr>
      <vt:lpstr>dnt703_7_4_1</vt:lpstr>
      <vt:lpstr>dnt703_7_4_2_a</vt:lpstr>
      <vt:lpstr>dnt703_7_4_2_b</vt:lpstr>
      <vt:lpstr>dnt703_7_4_2_c</vt:lpstr>
      <vt:lpstr>dnt703_7_4_3</vt:lpstr>
      <vt:lpstr>dnt704_1</vt:lpstr>
      <vt:lpstr>dnt705_2_1_1</vt:lpstr>
      <vt:lpstr>dnt705_2_1_2</vt:lpstr>
      <vt:lpstr>dnt705_2_1_3_1</vt:lpstr>
      <vt:lpstr>dnt705_2_1_3_2</vt:lpstr>
      <vt:lpstr>dnt705_2_1_4</vt:lpstr>
      <vt:lpstr>dnt705_2_2</vt:lpstr>
      <vt:lpstr>dnt705_2_3</vt:lpstr>
      <vt:lpstr>dnt705_2_4</vt:lpstr>
      <vt:lpstr>dnt705_3</vt:lpstr>
      <vt:lpstr>dnt705_4</vt:lpstr>
      <vt:lpstr>dnt705_5_1_1</vt:lpstr>
      <vt:lpstr>dnt705_5_1_2</vt:lpstr>
      <vt:lpstr>dnt705_5_2</vt:lpstr>
      <vt:lpstr>dnt705_5_2_1</vt:lpstr>
      <vt:lpstr>dnt705_5_2_2</vt:lpstr>
      <vt:lpstr>dnt705_5_2_3</vt:lpstr>
      <vt:lpstr>dnt705_5_2_4</vt:lpstr>
      <vt:lpstr>dnt705_5_2_5</vt:lpstr>
      <vt:lpstr>dnt705_5_2_6</vt:lpstr>
      <vt:lpstr>dnt705_5_3_1</vt:lpstr>
      <vt:lpstr>dnt705_5_3_2</vt:lpstr>
      <vt:lpstr>dnt705_6_1</vt:lpstr>
      <vt:lpstr>dnt705_6_2_1_1_1</vt:lpstr>
      <vt:lpstr>dnt705_6_2_1_2</vt:lpstr>
      <vt:lpstr>dnt705_6_2_2_1</vt:lpstr>
      <vt:lpstr>dnt705_6_2_2_2</vt:lpstr>
      <vt:lpstr>dnt705_6_2_3</vt:lpstr>
      <vt:lpstr>dnt705_6_3_a</vt:lpstr>
      <vt:lpstr>dnt705_6_3_b</vt:lpstr>
      <vt:lpstr>dnt705_6_3_c</vt:lpstr>
      <vt:lpstr>dnt705_6_3_d</vt:lpstr>
      <vt:lpstr>dnt705_6_3_e</vt:lpstr>
      <vt:lpstr>dnt705_6_3_f</vt:lpstr>
      <vt:lpstr>dnt705_6_3_g</vt:lpstr>
      <vt:lpstr>dnt705_6_4_1</vt:lpstr>
      <vt:lpstr>dnt705_6_4_2</vt:lpstr>
      <vt:lpstr>dnt705_7</vt:lpstr>
      <vt:lpstr>dnt706_1_1</vt:lpstr>
      <vt:lpstr>dnt706_1_2</vt:lpstr>
      <vt:lpstr>dnt706_1_3</vt:lpstr>
      <vt:lpstr>dnt706_1_4</vt:lpstr>
      <vt:lpstr>dnt706_1_5</vt:lpstr>
      <vt:lpstr>dnt706_10</vt:lpstr>
      <vt:lpstr>dnt706_11</vt:lpstr>
      <vt:lpstr>dnt706_12</vt:lpstr>
      <vt:lpstr>dnt706_13</vt:lpstr>
      <vt:lpstr>dnt706_14_1</vt:lpstr>
      <vt:lpstr>dnt706_14_2</vt:lpstr>
      <vt:lpstr>dnt706_15_1</vt:lpstr>
      <vt:lpstr>dnt706_15_2</vt:lpstr>
      <vt:lpstr>dnt706_2_1</vt:lpstr>
      <vt:lpstr>dnt706_2_2</vt:lpstr>
      <vt:lpstr>dnt706_3</vt:lpstr>
      <vt:lpstr>dnt706_3_1</vt:lpstr>
      <vt:lpstr>dnt706_3_2</vt:lpstr>
      <vt:lpstr>dnt706_3_3</vt:lpstr>
      <vt:lpstr>dnt706_3_4</vt:lpstr>
      <vt:lpstr>dnt706_3_5</vt:lpstr>
      <vt:lpstr>dnt706_3_6</vt:lpstr>
      <vt:lpstr>dnt706_3_7</vt:lpstr>
      <vt:lpstr>dnt706_3_8</vt:lpstr>
      <vt:lpstr>dnt706_4_1_1</vt:lpstr>
      <vt:lpstr>dnt706_4_1_2</vt:lpstr>
      <vt:lpstr>dnt706_4_2</vt:lpstr>
      <vt:lpstr>dnt706_5</vt:lpstr>
      <vt:lpstr>dnt706_6</vt:lpstr>
      <vt:lpstr>dnt706_7_1</vt:lpstr>
      <vt:lpstr>dnt706_7_2</vt:lpstr>
      <vt:lpstr>dnt706_8</vt:lpstr>
      <vt:lpstr>dnt706_9</vt:lpstr>
      <vt:lpstr>dnt801_1</vt:lpstr>
      <vt:lpstr>dnt802_1_1</vt:lpstr>
      <vt:lpstr>dnt802_1_5</vt:lpstr>
      <vt:lpstr>dnt802_1_6</vt:lpstr>
      <vt:lpstr>dnt802_10_1</vt:lpstr>
      <vt:lpstr>dnt802_10_1_1</vt:lpstr>
      <vt:lpstr>dnt802_2_1</vt:lpstr>
      <vt:lpstr>dnt802_2_2</vt:lpstr>
      <vt:lpstr>dnt802_3_1_a</vt:lpstr>
      <vt:lpstr>dnt802_3_1_b</vt:lpstr>
      <vt:lpstr>dnt802_3_2_a</vt:lpstr>
      <vt:lpstr>dnt802_3_2_b</vt:lpstr>
      <vt:lpstr>dnt802_4_1</vt:lpstr>
      <vt:lpstr>dnt802_4_2</vt:lpstr>
      <vt:lpstr>dnt802_4_3</vt:lpstr>
      <vt:lpstr>dnt802_5_1a</vt:lpstr>
      <vt:lpstr>dnt802_5_2</vt:lpstr>
      <vt:lpstr>dnt802_5_3</vt:lpstr>
      <vt:lpstr>dnt802_5_4_1</vt:lpstr>
      <vt:lpstr>dnt802_5_4_2</vt:lpstr>
      <vt:lpstr>dnt802_5_4_3</vt:lpstr>
      <vt:lpstr>dnt802_5_4_4_a</vt:lpstr>
      <vt:lpstr>dnt802_5_4_4_b</vt:lpstr>
      <vt:lpstr>dnt802_5_4_4_c</vt:lpstr>
      <vt:lpstr>dnt802_6_1</vt:lpstr>
      <vt:lpstr>dnt802_6_2</vt:lpstr>
      <vt:lpstr>dnt802_6_3_1</vt:lpstr>
      <vt:lpstr>dnt802_6_3_2</vt:lpstr>
      <vt:lpstr>dnt802_6_3_3</vt:lpstr>
      <vt:lpstr>dnt802_6_4_1</vt:lpstr>
      <vt:lpstr>dnt802_6_4_2</vt:lpstr>
      <vt:lpstr>dnt802_6_5_1</vt:lpstr>
      <vt:lpstr>dnt802_6_5_2</vt:lpstr>
      <vt:lpstr>dnt802_6_5_3</vt:lpstr>
      <vt:lpstr>dnt802_6_5_4</vt:lpstr>
      <vt:lpstr>dnt802_6_5_5</vt:lpstr>
      <vt:lpstr>dnt802_7_1</vt:lpstr>
      <vt:lpstr>dnt802_7_2_1</vt:lpstr>
      <vt:lpstr>dnt802_7_2_2</vt:lpstr>
      <vt:lpstr>dnt802_8</vt:lpstr>
      <vt:lpstr>dnt802_9_1</vt:lpstr>
      <vt:lpstr>dnt802_9_2</vt:lpstr>
      <vt:lpstr>dnt803_1_1</vt:lpstr>
      <vt:lpstr>dnt803_1_2</vt:lpstr>
      <vt:lpstr>dnt803_2</vt:lpstr>
      <vt:lpstr>dnt803_3</vt:lpstr>
      <vt:lpstr>dnt803_4</vt:lpstr>
      <vt:lpstr>dnt803_5</vt:lpstr>
      <vt:lpstr>dnt803_6</vt:lpstr>
      <vt:lpstr>dnt804_2</vt:lpstr>
      <vt:lpstr>dnt901_1_1</vt:lpstr>
      <vt:lpstr>dnt901_1_2</vt:lpstr>
      <vt:lpstr>dnt901_1_3_1</vt:lpstr>
      <vt:lpstr>dnt901_1_3_2</vt:lpstr>
      <vt:lpstr>dnt901_1_4</vt:lpstr>
      <vt:lpstr>dnt901_1_5</vt:lpstr>
      <vt:lpstr>dnt901_1_6</vt:lpstr>
      <vt:lpstr>dnt901_10_1</vt:lpstr>
      <vt:lpstr>dnt901_10_2</vt:lpstr>
      <vt:lpstr>dnt901_10_3</vt:lpstr>
      <vt:lpstr>dnt901_11</vt:lpstr>
      <vt:lpstr>dnt901_12</vt:lpstr>
      <vt:lpstr>dnt901_13</vt:lpstr>
      <vt:lpstr>dnt901_14</vt:lpstr>
      <vt:lpstr>dnt901_15_1</vt:lpstr>
      <vt:lpstr>dnt901_15_2</vt:lpstr>
      <vt:lpstr>dnt901_2_1_1</vt:lpstr>
      <vt:lpstr>dnt901_2_1_2</vt:lpstr>
      <vt:lpstr>dnt901_2_1_3</vt:lpstr>
      <vt:lpstr>dnt901_2_1_4</vt:lpstr>
      <vt:lpstr>dnt901_2_1_5</vt:lpstr>
      <vt:lpstr>dnt901_2_2</vt:lpstr>
      <vt:lpstr>dnt901_3_1_a</vt:lpstr>
      <vt:lpstr>dnt901_3_1_b</vt:lpstr>
      <vt:lpstr>dnt901_3_1_c</vt:lpstr>
      <vt:lpstr>dnt901_3_2</vt:lpstr>
      <vt:lpstr>dnt901_4_1</vt:lpstr>
      <vt:lpstr>dnt901_4_a</vt:lpstr>
      <vt:lpstr>dnt901_5_1</vt:lpstr>
      <vt:lpstr>dnt901_5_2</vt:lpstr>
      <vt:lpstr>dnt901_6</vt:lpstr>
      <vt:lpstr>dnt901_7_1</vt:lpstr>
      <vt:lpstr>dnt901_7_2</vt:lpstr>
      <vt:lpstr>dnt901_8</vt:lpstr>
      <vt:lpstr>dnt901_9</vt:lpstr>
      <vt:lpstr>dnt901_9_1_1</vt:lpstr>
      <vt:lpstr>dnt901_9_1_2</vt:lpstr>
      <vt:lpstr>dnt901_9_1_3</vt:lpstr>
      <vt:lpstr>dnt901_9_2</vt:lpstr>
      <vt:lpstr>dnt901_9_3</vt:lpstr>
      <vt:lpstr>dnt902_1_1</vt:lpstr>
      <vt:lpstr>dnt902_1_1_a</vt:lpstr>
      <vt:lpstr>dnt902_1_2</vt:lpstr>
      <vt:lpstr>dnt902_1_2_</vt:lpstr>
      <vt:lpstr>dnt902_1_3</vt:lpstr>
      <vt:lpstr>dnt902_1_3_</vt:lpstr>
      <vt:lpstr>dnt902_1_4</vt:lpstr>
      <vt:lpstr>dnt902_1_5_1</vt:lpstr>
      <vt:lpstr>dnt902_1_5_2</vt:lpstr>
      <vt:lpstr>dnt902_1_5_3</vt:lpstr>
      <vt:lpstr>dnt902_1_6</vt:lpstr>
      <vt:lpstr>dnt902_2_1</vt:lpstr>
      <vt:lpstr>dnt902_2_2</vt:lpstr>
      <vt:lpstr>dnt902_2_3</vt:lpstr>
      <vt:lpstr>dnt902_2_4</vt:lpstr>
      <vt:lpstr>dnt902_3</vt:lpstr>
      <vt:lpstr>dnt902_3_1</vt:lpstr>
      <vt:lpstr>dnt902_3_2_1</vt:lpstr>
      <vt:lpstr>dnt902_3_2_2</vt:lpstr>
      <vt:lpstr>dnt902_4_1</vt:lpstr>
      <vt:lpstr>dnt902_4_2</vt:lpstr>
      <vt:lpstr>dnt902_4_3</vt:lpstr>
      <vt:lpstr>dnt902_5</vt:lpstr>
      <vt:lpstr>dnt902_6</vt:lpstr>
      <vt:lpstr>dnt903_1</vt:lpstr>
      <vt:lpstr>dnt903_2</vt:lpstr>
      <vt:lpstr>dnt903_3</vt:lpstr>
      <vt:lpstr>dnt904_1</vt:lpstr>
      <vt:lpstr>dnt904_2</vt:lpstr>
      <vt:lpstr>dnt904_3_1</vt:lpstr>
      <vt:lpstr>dnt904_3_2</vt:lpstr>
      <vt:lpstr>dnt905_1</vt:lpstr>
      <vt:lpstr>dnt905_2</vt:lpstr>
      <vt:lpstr>dnt905_3_1</vt:lpstr>
      <vt:lpstr>dnt905_3_2</vt:lpstr>
      <vt:lpstr>dnt905_4</vt:lpstr>
      <vt:lpstr>dnt905_5</vt:lpstr>
      <vt:lpstr>dnt905_6</vt:lpstr>
      <vt:lpstr>dntBadgesAirLeakage</vt:lpstr>
      <vt:lpstr>dntBadgesAirSealing</vt:lpstr>
      <vt:lpstr>dntBadgesBatteryStorage</vt:lpstr>
      <vt:lpstr>dntBadgesBuildingVent</vt:lpstr>
      <vt:lpstr>dntBadgesDaylighting</vt:lpstr>
      <vt:lpstr>dntBadgesElectricAC</vt:lpstr>
      <vt:lpstr>dntBadgesElectricHeat</vt:lpstr>
      <vt:lpstr>dntBadgesEnergyCredits</vt:lpstr>
      <vt:lpstr>dntBadgesExteriorShading</vt:lpstr>
      <vt:lpstr>dntBadgesFloorRVal</vt:lpstr>
      <vt:lpstr>dntBadgesGasBoiler</vt:lpstr>
      <vt:lpstr>dntBadgesGEDHPHeating</vt:lpstr>
      <vt:lpstr>dntBadgesGEHHPCooling</vt:lpstr>
      <vt:lpstr>dntBadgesGeothermalPower</vt:lpstr>
      <vt:lpstr>dntBadgesGroundSourceHP</vt:lpstr>
      <vt:lpstr>dntBadgesHVACDesc</vt:lpstr>
      <vt:lpstr>dntBadgesLightingDesign</vt:lpstr>
      <vt:lpstr>dntBadgesLightingType</vt:lpstr>
      <vt:lpstr>dntBadgesOccSensor</vt:lpstr>
      <vt:lpstr>dntBadgesOilBoiler</vt:lpstr>
      <vt:lpstr>dntBadgesOilFurnace</vt:lpstr>
      <vt:lpstr>dntBadgesPropane</vt:lpstr>
      <vt:lpstr>dntBadgesRadiant</vt:lpstr>
      <vt:lpstr>dntBadgesResilienceAdditional</vt:lpstr>
      <vt:lpstr>dntBadgesResilienceSect1</vt:lpstr>
      <vt:lpstr>dntBadgesResilienceSect2</vt:lpstr>
      <vt:lpstr>dntBadgesRoofRVal</vt:lpstr>
      <vt:lpstr>dntBadgesSHGC</vt:lpstr>
      <vt:lpstr>dntBadgesSmartAdd</vt:lpstr>
      <vt:lpstr>dntBadgesSmartSect1</vt:lpstr>
      <vt:lpstr>dntBadgesSmartSect2</vt:lpstr>
      <vt:lpstr>dntBadgesSmartSect3</vt:lpstr>
      <vt:lpstr>dntBadgesSmartSect4</vt:lpstr>
      <vt:lpstr>dntBadgesSolar</vt:lpstr>
      <vt:lpstr>dntBadgesSolarThermalArea</vt:lpstr>
      <vt:lpstr>dntBadgesSpotVent</vt:lpstr>
      <vt:lpstr>dntBadgesWallDesc</vt:lpstr>
      <vt:lpstr>dntBadgesWallRVal</vt:lpstr>
      <vt:lpstr>dntBadgesWaterSourceHC</vt:lpstr>
      <vt:lpstr>dntBadgesWellnessSect1</vt:lpstr>
      <vt:lpstr>dntBadgesWellnessSect2</vt:lpstr>
      <vt:lpstr>dntBadgesWellnessSect3</vt:lpstr>
      <vt:lpstr>dntBadgesWellnessSect4</vt:lpstr>
      <vt:lpstr>dntBadgesWellnessSect5</vt:lpstr>
      <vt:lpstr>dntBadgesWellnessSect6</vt:lpstr>
      <vt:lpstr>dntBadgesWellnessSect7</vt:lpstr>
      <vt:lpstr>dntBadgesWellnessSect8</vt:lpstr>
      <vt:lpstr>dntBadgesWellnessSect9</vt:lpstr>
      <vt:lpstr>dntBadgesWind</vt:lpstr>
      <vt:lpstr>dntBadgesWindowDesc</vt:lpstr>
      <vt:lpstr>dntBadgesWindowUVal</vt:lpstr>
      <vt:lpstr>dntBadgesWindowWallRatio</vt:lpstr>
      <vt:lpstr>dntWaterSenseClothesWasher</vt:lpstr>
      <vt:lpstr>dntWaterSenseDishwasher</vt:lpstr>
      <vt:lpstr>dntWaterSenseIrrigation</vt:lpstr>
      <vt:lpstr>dntWaterSenseLavFaucet</vt:lpstr>
      <vt:lpstr>dntWaterSenseLeaks1</vt:lpstr>
      <vt:lpstr>dntWaterSenseLeaks2</vt:lpstr>
      <vt:lpstr>dntWaterSenseLeaks3</vt:lpstr>
      <vt:lpstr>dntWaterSenseLeaks4</vt:lpstr>
      <vt:lpstr>dntWaterSenseLeaks5</vt:lpstr>
      <vt:lpstr>dntWaterSenseLeaks6</vt:lpstr>
      <vt:lpstr>dntWaterSenseLeaks7</vt:lpstr>
      <vt:lpstr>dntWaterSenseLeaks8</vt:lpstr>
      <vt:lpstr>dntWaterSenseOptionA</vt:lpstr>
      <vt:lpstr>dntWaterSenseShowerheads</vt:lpstr>
      <vt:lpstr>dntWaterSenseToilet</vt:lpstr>
      <vt:lpstr>dpa1001_1</vt:lpstr>
      <vt:lpstr>dpa1001_1_1</vt:lpstr>
      <vt:lpstr>dpa1001_1_2</vt:lpstr>
      <vt:lpstr>dpa1001_1_3</vt:lpstr>
      <vt:lpstr>dpa1001_1_9</vt:lpstr>
      <vt:lpstr>dpa1001_2</vt:lpstr>
      <vt:lpstr>dpa1001_2_m</vt:lpstr>
      <vt:lpstr>dpa1002_1</vt:lpstr>
      <vt:lpstr>dpa1002_1_1</vt:lpstr>
      <vt:lpstr>dpa1002_1_2</vt:lpstr>
      <vt:lpstr>dpa1002_1_3</vt:lpstr>
      <vt:lpstr>dpa1002_2</vt:lpstr>
      <vt:lpstr>dpa1002_2_1</vt:lpstr>
      <vt:lpstr>dpa1002_2_11</vt:lpstr>
      <vt:lpstr>dpa1002_2_2</vt:lpstr>
      <vt:lpstr>dpa1002_3</vt:lpstr>
      <vt:lpstr>dpa1002_3_1</vt:lpstr>
      <vt:lpstr>dpa1002_4</vt:lpstr>
      <vt:lpstr>dpa1002_4_m</vt:lpstr>
      <vt:lpstr>dpa1002_5</vt:lpstr>
      <vt:lpstr>dpa1002_5_1</vt:lpstr>
      <vt:lpstr>dpa1002_5_2</vt:lpstr>
      <vt:lpstr>dpa1002_5_3</vt:lpstr>
      <vt:lpstr>dpa1002_6</vt:lpstr>
      <vt:lpstr>dpa1003_1</vt:lpstr>
      <vt:lpstr>dpa1003_1_1</vt:lpstr>
      <vt:lpstr>dpa1003_1_2</vt:lpstr>
      <vt:lpstr>dpa1003_1_3</vt:lpstr>
      <vt:lpstr>dpa1004_1_1</vt:lpstr>
      <vt:lpstr>dpa1004_1_2</vt:lpstr>
      <vt:lpstr>dpa1005_1_1</vt:lpstr>
      <vt:lpstr>dpa1005_1_2</vt:lpstr>
      <vt:lpstr>dpa1005_1_3</vt:lpstr>
      <vt:lpstr>dpa501_1</vt:lpstr>
      <vt:lpstr>dpa501_1_2_a</vt:lpstr>
      <vt:lpstr>dpa501_1_2_b</vt:lpstr>
      <vt:lpstr>dpa501_1_2_c</vt:lpstr>
      <vt:lpstr>dpa501_2_1</vt:lpstr>
      <vt:lpstr>dpa501_2_2</vt:lpstr>
      <vt:lpstr>dpa501_2_3</vt:lpstr>
      <vt:lpstr>dpa501_2_4</vt:lpstr>
      <vt:lpstr>dpa501_2_4_1_a</vt:lpstr>
      <vt:lpstr>dpa501_2_4_1_b</vt:lpstr>
      <vt:lpstr>dpa501_2_5</vt:lpstr>
      <vt:lpstr>dpa501_2_6_a</vt:lpstr>
      <vt:lpstr>dpa501_2_6_b</vt:lpstr>
      <vt:lpstr>dpa501_2_6_c</vt:lpstr>
      <vt:lpstr>dpa501_2_6_d</vt:lpstr>
      <vt:lpstr>dpa501_2_7</vt:lpstr>
      <vt:lpstr>dpa501_2_8</vt:lpstr>
      <vt:lpstr>dpa502_1</vt:lpstr>
      <vt:lpstr>dpa503_1_1</vt:lpstr>
      <vt:lpstr>dpa503_1_2</vt:lpstr>
      <vt:lpstr>dpa503_1_3</vt:lpstr>
      <vt:lpstr>dpa503_1_4</vt:lpstr>
      <vt:lpstr>dpa503_1_5</vt:lpstr>
      <vt:lpstr>dpa503_1_6</vt:lpstr>
      <vt:lpstr>dpa503_1_7</vt:lpstr>
      <vt:lpstr>dpa503_1_8</vt:lpstr>
      <vt:lpstr>dpa503_2_1</vt:lpstr>
      <vt:lpstr>dpa503_2_2</vt:lpstr>
      <vt:lpstr>dpa503_2_3_a</vt:lpstr>
      <vt:lpstr>dpa503_2_3_b</vt:lpstr>
      <vt:lpstr>dpa503_2_3_c</vt:lpstr>
      <vt:lpstr>dpa503_2_4</vt:lpstr>
      <vt:lpstr>dpa503_2_5</vt:lpstr>
      <vt:lpstr>dpa503_3_1</vt:lpstr>
      <vt:lpstr>dpa503_3_2</vt:lpstr>
      <vt:lpstr>dpa503_3_3</vt:lpstr>
      <vt:lpstr>dpa503_4_1</vt:lpstr>
      <vt:lpstr>dpa503_4_2</vt:lpstr>
      <vt:lpstr>dpa503_4_3_a</vt:lpstr>
      <vt:lpstr>dpa503_4_3_b</vt:lpstr>
      <vt:lpstr>dpa503_4_3_c</vt:lpstr>
      <vt:lpstr>dpa503_4_4_a</vt:lpstr>
      <vt:lpstr>dpa503_4_4_b</vt:lpstr>
      <vt:lpstr>dpa503_4_4_c</vt:lpstr>
      <vt:lpstr>dpa503_4_4_c_1</vt:lpstr>
      <vt:lpstr>dpa503_4_5</vt:lpstr>
      <vt:lpstr>dpa503_5_1_a</vt:lpstr>
      <vt:lpstr>dpa503_5_1_b</vt:lpstr>
      <vt:lpstr>dpa503_5_1_c</vt:lpstr>
      <vt:lpstr>dpa503_5_1_d</vt:lpstr>
      <vt:lpstr>dpa503_5_10</vt:lpstr>
      <vt:lpstr>dpa503_5_11</vt:lpstr>
      <vt:lpstr>dpa503_5_12</vt:lpstr>
      <vt:lpstr>dpa503_5_13</vt:lpstr>
      <vt:lpstr>dpa503_5_2</vt:lpstr>
      <vt:lpstr>dpa503_5_3</vt:lpstr>
      <vt:lpstr>dpa503_5_4</vt:lpstr>
      <vt:lpstr>dpa503_5_5</vt:lpstr>
      <vt:lpstr>dpa503_5_6_a</vt:lpstr>
      <vt:lpstr>dpa503_5_6_b</vt:lpstr>
      <vt:lpstr>dpa503_5_6_c</vt:lpstr>
      <vt:lpstr>dpa503_5_6_d</vt:lpstr>
      <vt:lpstr>dpa503_5_7</vt:lpstr>
      <vt:lpstr>dpa503_5_8</vt:lpstr>
      <vt:lpstr>dpa503_5_9</vt:lpstr>
      <vt:lpstr>dpa503_6_1</vt:lpstr>
      <vt:lpstr>dpa503_6_2</vt:lpstr>
      <vt:lpstr>dpa503_6_3</vt:lpstr>
      <vt:lpstr>dpa503_6_4</vt:lpstr>
      <vt:lpstr>dpa503_7</vt:lpstr>
      <vt:lpstr>dpa503_8</vt:lpstr>
      <vt:lpstr>dpa503_8_1</vt:lpstr>
      <vt:lpstr>dpa504_1</vt:lpstr>
      <vt:lpstr>dpa504_2_1</vt:lpstr>
      <vt:lpstr>dpa504_2_2</vt:lpstr>
      <vt:lpstr>dpa504_2_3</vt:lpstr>
      <vt:lpstr>dpa504_3_1</vt:lpstr>
      <vt:lpstr>dpa504_3_2</vt:lpstr>
      <vt:lpstr>dpa504_3_3</vt:lpstr>
      <vt:lpstr>dpa504_3_4</vt:lpstr>
      <vt:lpstr>dpa504_3_5</vt:lpstr>
      <vt:lpstr>dpa504_3_6</vt:lpstr>
      <vt:lpstr>dpa504_3_7</vt:lpstr>
      <vt:lpstr>dpa504_3_8</vt:lpstr>
      <vt:lpstr>dpa504_3_9</vt:lpstr>
      <vt:lpstr>dpa505_1_1</vt:lpstr>
      <vt:lpstr>dpa505_1_2</vt:lpstr>
      <vt:lpstr>dpa505_1_3_a</vt:lpstr>
      <vt:lpstr>dpa505_1_3_b</vt:lpstr>
      <vt:lpstr>dpa505_1_3_c</vt:lpstr>
      <vt:lpstr>dpa505_10_a</vt:lpstr>
      <vt:lpstr>dpa505_10_b</vt:lpstr>
      <vt:lpstr>dpa505_10_c</vt:lpstr>
      <vt:lpstr>dpa505_2_1</vt:lpstr>
      <vt:lpstr>dpa505_2_2</vt:lpstr>
      <vt:lpstr>dpa505_3_1</vt:lpstr>
      <vt:lpstr>dpa505_3_2</vt:lpstr>
      <vt:lpstr>dpa505_3_3</vt:lpstr>
      <vt:lpstr>dpa505_3_4</vt:lpstr>
      <vt:lpstr>dpa505_3_5</vt:lpstr>
      <vt:lpstr>dpa505_4_1</vt:lpstr>
      <vt:lpstr>dpa505_5_a</vt:lpstr>
      <vt:lpstr>dpa505_5_b</vt:lpstr>
      <vt:lpstr>dpa505_5_c</vt:lpstr>
      <vt:lpstr>dpa505_5_d</vt:lpstr>
      <vt:lpstr>dpa505_6</vt:lpstr>
      <vt:lpstr>dpa505_7</vt:lpstr>
      <vt:lpstr>dpa505_8</vt:lpstr>
      <vt:lpstr>dpa505_9_a</vt:lpstr>
      <vt:lpstr>dpa505_9_b</vt:lpstr>
      <vt:lpstr>dpa505_9_c</vt:lpstr>
      <vt:lpstr>dpa601_1_1</vt:lpstr>
      <vt:lpstr>dpa601_1_2</vt:lpstr>
      <vt:lpstr>dpa601_1_3</vt:lpstr>
      <vt:lpstr>dpa601_1_4</vt:lpstr>
      <vt:lpstr>dpa601_1_5</vt:lpstr>
      <vt:lpstr>dpa601_2_1</vt:lpstr>
      <vt:lpstr>dpa601_2_2</vt:lpstr>
      <vt:lpstr>dpa601_2_3</vt:lpstr>
      <vt:lpstr>dpa601_3_1</vt:lpstr>
      <vt:lpstr>dpa601_3_2</vt:lpstr>
      <vt:lpstr>dpa601_3_3</vt:lpstr>
      <vt:lpstr>dpa601_3_4</vt:lpstr>
      <vt:lpstr>dpa601_3_5</vt:lpstr>
      <vt:lpstr>dpa601_4</vt:lpstr>
      <vt:lpstr>dpa601_5</vt:lpstr>
      <vt:lpstr>dpa601_5_1</vt:lpstr>
      <vt:lpstr>dpa601_5_2</vt:lpstr>
      <vt:lpstr>dpa601_5_3</vt:lpstr>
      <vt:lpstr>dpa601_5_4</vt:lpstr>
      <vt:lpstr>dpa601_5_5</vt:lpstr>
      <vt:lpstr>dpa601_6</vt:lpstr>
      <vt:lpstr>dpa601_6_1</vt:lpstr>
      <vt:lpstr>dpa601_6_2</vt:lpstr>
      <vt:lpstr>dpa601_7</vt:lpstr>
      <vt:lpstr>dpa601_7_1</vt:lpstr>
      <vt:lpstr>dpa601_7_2</vt:lpstr>
      <vt:lpstr>dpa601_7_3</vt:lpstr>
      <vt:lpstr>dpa601_8</vt:lpstr>
      <vt:lpstr>dpa602_1_1_1</vt:lpstr>
      <vt:lpstr>dpa602_1_1_2</vt:lpstr>
      <vt:lpstr>dpa602_1_10</vt:lpstr>
      <vt:lpstr>dpa602_1_11</vt:lpstr>
      <vt:lpstr>dpa602_1_12</vt:lpstr>
      <vt:lpstr>dpa602_1_13</vt:lpstr>
      <vt:lpstr>dpa602_1_14_1</vt:lpstr>
      <vt:lpstr>dpa602_1_14_2</vt:lpstr>
      <vt:lpstr>dpa602_1_14_3</vt:lpstr>
      <vt:lpstr>dpa602_1_15</vt:lpstr>
      <vt:lpstr>dpa602_1_2</vt:lpstr>
      <vt:lpstr>dpa602_1_3_1</vt:lpstr>
      <vt:lpstr>dpa602_1_3_2</vt:lpstr>
      <vt:lpstr>dpa602_1_4_1_1</vt:lpstr>
      <vt:lpstr>dpa602_1_4_1_2</vt:lpstr>
      <vt:lpstr>dpa602_1_4_2_1</vt:lpstr>
      <vt:lpstr>dpa602_1_4_2_2</vt:lpstr>
      <vt:lpstr>dpa602_1_5_1</vt:lpstr>
      <vt:lpstr>dpa602_1_5_2</vt:lpstr>
      <vt:lpstr>dpa602_1_6_1</vt:lpstr>
      <vt:lpstr>dpa602_1_6_2</vt:lpstr>
      <vt:lpstr>dpa602_1_6_3</vt:lpstr>
      <vt:lpstr>dpa602_1_7_1_1</vt:lpstr>
      <vt:lpstr>dpa602_1_7_1_2</vt:lpstr>
      <vt:lpstr>dpa602_1_7_1_3</vt:lpstr>
      <vt:lpstr>dpa602_1_7_2</vt:lpstr>
      <vt:lpstr>dpa602_1_7_3</vt:lpstr>
      <vt:lpstr>dpa602_1_8</vt:lpstr>
      <vt:lpstr>dpa602_1_9_1</vt:lpstr>
      <vt:lpstr>dpa602_1_9_2</vt:lpstr>
      <vt:lpstr>dpa602_1_9_3</vt:lpstr>
      <vt:lpstr>dpa602_1_9_4</vt:lpstr>
      <vt:lpstr>dpa602_1_9_5_a</vt:lpstr>
      <vt:lpstr>dpa602_1_9_5_b</vt:lpstr>
      <vt:lpstr>dpa602_1_9_6</vt:lpstr>
      <vt:lpstr>dpa602_1_9_7</vt:lpstr>
      <vt:lpstr>dpa602_2</vt:lpstr>
      <vt:lpstr>dpa602_3</vt:lpstr>
      <vt:lpstr>dpa602_4_1</vt:lpstr>
      <vt:lpstr>dpa602_4_2</vt:lpstr>
      <vt:lpstr>dpa602_4_3</vt:lpstr>
      <vt:lpstr>dpa603_1</vt:lpstr>
      <vt:lpstr>dpa603_2</vt:lpstr>
      <vt:lpstr>dpa603_3</vt:lpstr>
      <vt:lpstr>dpa604_1a</vt:lpstr>
      <vt:lpstr>dpa605_1</vt:lpstr>
      <vt:lpstr>dpa605_2</vt:lpstr>
      <vt:lpstr>dpa605_3</vt:lpstr>
      <vt:lpstr>dpa605_4</vt:lpstr>
      <vt:lpstr>dpa605_4_1</vt:lpstr>
      <vt:lpstr>dpa605_4_2</vt:lpstr>
      <vt:lpstr>dpa606_1_1</vt:lpstr>
      <vt:lpstr>dpa606_1_2</vt:lpstr>
      <vt:lpstr>dpa606_1_3</vt:lpstr>
      <vt:lpstr>dpa606_2_1a</vt:lpstr>
      <vt:lpstr>dpa606_2_2a</vt:lpstr>
      <vt:lpstr>dpa606_3</vt:lpstr>
      <vt:lpstr>dpa607_1_1</vt:lpstr>
      <vt:lpstr>dpa607_1_2</vt:lpstr>
      <vt:lpstr>dpa607_2</vt:lpstr>
      <vt:lpstr>dpa608_1</vt:lpstr>
      <vt:lpstr>dpa609_1</vt:lpstr>
      <vt:lpstr>dpa609_1_1</vt:lpstr>
      <vt:lpstr>dpa609_1_2</vt:lpstr>
      <vt:lpstr>dpa610_1_1_1</vt:lpstr>
      <vt:lpstr>dpa610_1_1_2</vt:lpstr>
      <vt:lpstr>dpa610_1_1_3</vt:lpstr>
      <vt:lpstr>dpa610_1_2</vt:lpstr>
      <vt:lpstr>dpa610_1_2_1</vt:lpstr>
      <vt:lpstr>dpa610_1_2_2a</vt:lpstr>
      <vt:lpstr>dpa611_1</vt:lpstr>
      <vt:lpstr>dpa612_1</vt:lpstr>
      <vt:lpstr>dpa612_2</vt:lpstr>
      <vt:lpstr>dpa612_2_1</vt:lpstr>
      <vt:lpstr>dpa612_2_2</vt:lpstr>
      <vt:lpstr>dpa612_2_3</vt:lpstr>
      <vt:lpstr>dpa612_2_4</vt:lpstr>
      <vt:lpstr>dpa612_2_5</vt:lpstr>
      <vt:lpstr>dpa612_2_6</vt:lpstr>
      <vt:lpstr>dpa612_2_7</vt:lpstr>
      <vt:lpstr>dpa612_3</vt:lpstr>
      <vt:lpstr>dpa612_3_1</vt:lpstr>
      <vt:lpstr>dpa612_3_2</vt:lpstr>
      <vt:lpstr>dpa612_3_3</vt:lpstr>
      <vt:lpstr>dpa612_3_4</vt:lpstr>
      <vt:lpstr>dpa612_3_5</vt:lpstr>
      <vt:lpstr>dpa612_3_6</vt:lpstr>
      <vt:lpstr>dpa612_3_7</vt:lpstr>
      <vt:lpstr>dpa612_3_8</vt:lpstr>
      <vt:lpstr>dpa612_3_9</vt:lpstr>
      <vt:lpstr>dpa613_1_a</vt:lpstr>
      <vt:lpstr>dpa613_1_b</vt:lpstr>
      <vt:lpstr>dpa613_1_c</vt:lpstr>
      <vt:lpstr>dpa613_1_d</vt:lpstr>
      <vt:lpstr>dpa613_1_e</vt:lpstr>
      <vt:lpstr>dpa613_1_f</vt:lpstr>
      <vt:lpstr>dpa701_1_6_1</vt:lpstr>
      <vt:lpstr>dpa701_1_6_2</vt:lpstr>
      <vt:lpstr>dpa701_1_6_3</vt:lpstr>
      <vt:lpstr>dpa701_1_6_4</vt:lpstr>
      <vt:lpstr>dpa701_1_6_5</vt:lpstr>
      <vt:lpstr>dpa701_1_6_6_a</vt:lpstr>
      <vt:lpstr>dpa701_1_6_6_b</vt:lpstr>
      <vt:lpstr>dpa701_1_6_6_c</vt:lpstr>
      <vt:lpstr>dpa701_1_6_7_a</vt:lpstr>
      <vt:lpstr>dpa701_1_6_7_b</vt:lpstr>
      <vt:lpstr>dpa701_1_6_7_c</vt:lpstr>
      <vt:lpstr>dpa701_1_6_8</vt:lpstr>
      <vt:lpstr>dpa701_1_6_9</vt:lpstr>
      <vt:lpstr>dpa701_4_1</vt:lpstr>
      <vt:lpstr>dpa701_4_1_1</vt:lpstr>
      <vt:lpstr>dpa701_4_1_2</vt:lpstr>
      <vt:lpstr>dpa701_4_2_2</vt:lpstr>
      <vt:lpstr>dpa701_4_2_3</vt:lpstr>
      <vt:lpstr>dpa701_4_3_1</vt:lpstr>
      <vt:lpstr>dpa701_4_3_2</vt:lpstr>
      <vt:lpstr>dpa701_4_3_2_1</vt:lpstr>
      <vt:lpstr>dpa701_4_3_4</vt:lpstr>
      <vt:lpstr>dpa701_4_3_5</vt:lpstr>
      <vt:lpstr>dpa701_4_4</vt:lpstr>
      <vt:lpstr>dpa701_4_5</vt:lpstr>
      <vt:lpstr>dpa702_2_1</vt:lpstr>
      <vt:lpstr>dpa702_2_2</vt:lpstr>
      <vt:lpstr>dpa703_1</vt:lpstr>
      <vt:lpstr>dpa703_1_1</vt:lpstr>
      <vt:lpstr>dpa703_1_2</vt:lpstr>
      <vt:lpstr>dpa703_1_3</vt:lpstr>
      <vt:lpstr>dpa703_2_1</vt:lpstr>
      <vt:lpstr>dpa703_2_2</vt:lpstr>
      <vt:lpstr>dpa703_2_3</vt:lpstr>
      <vt:lpstr>dpa703_2_4</vt:lpstr>
      <vt:lpstr>dpa703_2_5_1</vt:lpstr>
      <vt:lpstr>dpa703_2_5_2</vt:lpstr>
      <vt:lpstr>dpa703_2_5_2_a</vt:lpstr>
      <vt:lpstr>dpa703_2_5_2_b</vt:lpstr>
      <vt:lpstr>dpa703_2_5_2_c</vt:lpstr>
      <vt:lpstr>dpa703_3_1</vt:lpstr>
      <vt:lpstr>dpa703_3_2__1_1</vt:lpstr>
      <vt:lpstr>dpa703_3_2__1_2</vt:lpstr>
      <vt:lpstr>dpa703_3_2__1_3</vt:lpstr>
      <vt:lpstr>dpa703_3_2__1_4</vt:lpstr>
      <vt:lpstr>dpa703_3_2__1_5</vt:lpstr>
      <vt:lpstr>dpa703_3_2__2_1</vt:lpstr>
      <vt:lpstr>dpa703_3_2__2_2</vt:lpstr>
      <vt:lpstr>dpa703_3_2__3_1</vt:lpstr>
      <vt:lpstr>dpa703_3_2__3_2</vt:lpstr>
      <vt:lpstr>dpa703_3_2__3_3</vt:lpstr>
      <vt:lpstr>dpa703_3_2__3_4</vt:lpstr>
      <vt:lpstr>dpa703_3_2__4_1</vt:lpstr>
      <vt:lpstr>dpa703_3_2__4_2</vt:lpstr>
      <vt:lpstr>dpa703_3_3__1_1</vt:lpstr>
      <vt:lpstr>dpa703_3_3__1_2</vt:lpstr>
      <vt:lpstr>dpa703_3_3__1_3</vt:lpstr>
      <vt:lpstr>dpa703_3_3__1_4</vt:lpstr>
      <vt:lpstr>dpa703_3_3__1_5</vt:lpstr>
      <vt:lpstr>dpa703_3_3__2</vt:lpstr>
      <vt:lpstr>dpa703_3_3__3</vt:lpstr>
      <vt:lpstr>dpa703_3_4_1_1</vt:lpstr>
      <vt:lpstr>dpa703_3_4_1_2</vt:lpstr>
      <vt:lpstr>dpa703_3_4_1_3</vt:lpstr>
      <vt:lpstr>dpa703_3_4_1_4</vt:lpstr>
      <vt:lpstr>dpa703_3_4_1_5</vt:lpstr>
      <vt:lpstr>dpa703_3_4_1_6</vt:lpstr>
      <vt:lpstr>dpa703_3_4_2</vt:lpstr>
      <vt:lpstr>dpa703_3_5</vt:lpstr>
      <vt:lpstr>dpa703_3_6_1</vt:lpstr>
      <vt:lpstr>dpa703_3_6_2</vt:lpstr>
      <vt:lpstr>dpa703_3_6_3</vt:lpstr>
      <vt:lpstr>dpa703_3_7_1</vt:lpstr>
      <vt:lpstr>dpa703_3_8</vt:lpstr>
      <vt:lpstr>dpa703_4_1</vt:lpstr>
      <vt:lpstr>dpa703_4_2</vt:lpstr>
      <vt:lpstr>dpa703_4_3</vt:lpstr>
      <vt:lpstr>dpa703_4_4_1</vt:lpstr>
      <vt:lpstr>dpa703_4_4_2</vt:lpstr>
      <vt:lpstr>dpa703_4_4_3</vt:lpstr>
      <vt:lpstr>dpa703_5_1_1_a_1</vt:lpstr>
      <vt:lpstr>dpa703_5_1_1_a_2</vt:lpstr>
      <vt:lpstr>dpa703_5_1_1_b</vt:lpstr>
      <vt:lpstr>dpa703_5_1_1_c_1</vt:lpstr>
      <vt:lpstr>dpa703_5_1_1_c_2</vt:lpstr>
      <vt:lpstr>dpa703_5_1_1_d_1</vt:lpstr>
      <vt:lpstr>dpa703_5_1_1_d_2</vt:lpstr>
      <vt:lpstr>dpa703_5_1_1_e_1</vt:lpstr>
      <vt:lpstr>dpa703_5_1_1_e_2</vt:lpstr>
      <vt:lpstr>dpa703_5_1_2_a_1</vt:lpstr>
      <vt:lpstr>dpa703_5_1_2_a_2</vt:lpstr>
      <vt:lpstr>dpa703_5_1_2_a_3</vt:lpstr>
      <vt:lpstr>dpa703_5_1_2_a_4</vt:lpstr>
      <vt:lpstr>dpa703_5_1_2_a_5</vt:lpstr>
      <vt:lpstr>dpa703_5_1_2_a_6</vt:lpstr>
      <vt:lpstr>dpa703_5_1_2_a_7</vt:lpstr>
      <vt:lpstr>dpa703_5_1_2_b_1</vt:lpstr>
      <vt:lpstr>dpa703_5_1_2_b_2</vt:lpstr>
      <vt:lpstr>dpa703_5_1_2_b_3</vt:lpstr>
      <vt:lpstr>dpa703_5_1_2_b_4</vt:lpstr>
      <vt:lpstr>dpa703_5_1_2_c</vt:lpstr>
      <vt:lpstr>dpa703_5_1_2_d</vt:lpstr>
      <vt:lpstr>dpa703_5_1_2_e</vt:lpstr>
      <vt:lpstr>dpa703_5_1_3</vt:lpstr>
      <vt:lpstr>dpa703_5_2</vt:lpstr>
      <vt:lpstr>dpa703_5_3</vt:lpstr>
      <vt:lpstr>dpa703_5_4</vt:lpstr>
      <vt:lpstr>dpa703_5_5_a_1</vt:lpstr>
      <vt:lpstr>dpa703_5_5_a_2</vt:lpstr>
      <vt:lpstr>dpa703_5_5_a_3</vt:lpstr>
      <vt:lpstr>dpa703_5_5_a_4</vt:lpstr>
      <vt:lpstr>dpa703_5_5_a_5</vt:lpstr>
      <vt:lpstr>dpa703_5_5_b_1</vt:lpstr>
      <vt:lpstr>dpa703_5_5_b_2</vt:lpstr>
      <vt:lpstr>dpa703_5_5_b_3</vt:lpstr>
      <vt:lpstr>dpa703_5_5_b_4</vt:lpstr>
      <vt:lpstr>dpa703_5_5_b_5</vt:lpstr>
      <vt:lpstr>dpa703_6_1_1</vt:lpstr>
      <vt:lpstr>dpa703_6_1_2</vt:lpstr>
      <vt:lpstr>dpa703_6_1_3</vt:lpstr>
      <vt:lpstr>dpa703_6_2__1</vt:lpstr>
      <vt:lpstr>dpa703_6_2__2</vt:lpstr>
      <vt:lpstr>dpa703_6_2__3</vt:lpstr>
      <vt:lpstr>dpa703_7_1</vt:lpstr>
      <vt:lpstr>dpa703_7_2</vt:lpstr>
      <vt:lpstr>dpa703_7_3_1</vt:lpstr>
      <vt:lpstr>dpa703_7_3_2</vt:lpstr>
      <vt:lpstr>dpa703_7_4</vt:lpstr>
      <vt:lpstr>dpa705_2_1_1_1</vt:lpstr>
      <vt:lpstr>dpa705_2_1_1_2</vt:lpstr>
      <vt:lpstr>dpa705_2_1_2</vt:lpstr>
      <vt:lpstr>dpa705_2_1_3_1_a</vt:lpstr>
      <vt:lpstr>dpa705_2_1_3_1_b</vt:lpstr>
      <vt:lpstr>dpa705_2_1_3_2_a</vt:lpstr>
      <vt:lpstr>dpa705_2_1_3_2_b</vt:lpstr>
      <vt:lpstr>dpa705_2_1_4_1</vt:lpstr>
      <vt:lpstr>dpa705_2_1_4_2</vt:lpstr>
      <vt:lpstr>dpa705_2_2</vt:lpstr>
      <vt:lpstr>dpa705_2_3</vt:lpstr>
      <vt:lpstr>dpa705_2_4</vt:lpstr>
      <vt:lpstr>dpa705_3</vt:lpstr>
      <vt:lpstr>dpa705_4</vt:lpstr>
      <vt:lpstr>dpa705_5_1_1</vt:lpstr>
      <vt:lpstr>dpa705_5_1_2</vt:lpstr>
      <vt:lpstr>dpa705_5_2</vt:lpstr>
      <vt:lpstr>dpa705_5_3_1</vt:lpstr>
      <vt:lpstr>dpa705_5_3_2</vt:lpstr>
      <vt:lpstr>dpa705_6_1</vt:lpstr>
      <vt:lpstr>dpa705_6_2_1_1_1</vt:lpstr>
      <vt:lpstr>dpa705_6_2_1_2</vt:lpstr>
      <vt:lpstr>dpa705_6_2_2_1</vt:lpstr>
      <vt:lpstr>dpa705_6_2_2_2</vt:lpstr>
      <vt:lpstr>dpa705_6_2_3_1</vt:lpstr>
      <vt:lpstr>dpa705_6_2_3_2</vt:lpstr>
      <vt:lpstr>dpa705_6_3</vt:lpstr>
      <vt:lpstr>dpa705_6_4_1</vt:lpstr>
      <vt:lpstr>dpa705_6_4_2</vt:lpstr>
      <vt:lpstr>dpa705_7</vt:lpstr>
      <vt:lpstr>dpa706_1</vt:lpstr>
      <vt:lpstr>dpa706_1_1</vt:lpstr>
      <vt:lpstr>dpa706_1_2</vt:lpstr>
      <vt:lpstr>dpa706_1_3</vt:lpstr>
      <vt:lpstr>dpa706_1_4</vt:lpstr>
      <vt:lpstr>dpa706_1_5</vt:lpstr>
      <vt:lpstr>dpa706_10</vt:lpstr>
      <vt:lpstr>dpa706_11</vt:lpstr>
      <vt:lpstr>dpa706_12</vt:lpstr>
      <vt:lpstr>dpa706_13_1</vt:lpstr>
      <vt:lpstr>dpa706_13_2</vt:lpstr>
      <vt:lpstr>dpa706_14_1</vt:lpstr>
      <vt:lpstr>dpa706_14_2</vt:lpstr>
      <vt:lpstr>dpa706_15_1</vt:lpstr>
      <vt:lpstr>dpa706_15_2</vt:lpstr>
      <vt:lpstr>dpa706_2_1</vt:lpstr>
      <vt:lpstr>dpa706_2_2_a</vt:lpstr>
      <vt:lpstr>dpa706_2_2_b</vt:lpstr>
      <vt:lpstr>dpa706_3_a</vt:lpstr>
      <vt:lpstr>dpa706_3_b</vt:lpstr>
      <vt:lpstr>dpa706_4_1_1</vt:lpstr>
      <vt:lpstr>dpa706_4_1_2</vt:lpstr>
      <vt:lpstr>dpa706_4_2</vt:lpstr>
      <vt:lpstr>dpa706_5_1</vt:lpstr>
      <vt:lpstr>dpa706_5_2</vt:lpstr>
      <vt:lpstr>dpa706_5_3</vt:lpstr>
      <vt:lpstr>dpa706_6</vt:lpstr>
      <vt:lpstr>dpa706_7_1</vt:lpstr>
      <vt:lpstr>dpa706_7_2</vt:lpstr>
      <vt:lpstr>dpa706_8</vt:lpstr>
      <vt:lpstr>dpa706_9</vt:lpstr>
      <vt:lpstr>dpa802_1_1</vt:lpstr>
      <vt:lpstr>dpa802_1_2</vt:lpstr>
      <vt:lpstr>dpa802_1_3</vt:lpstr>
      <vt:lpstr>dpa802_1_4</vt:lpstr>
      <vt:lpstr>dpa802_1_4_a</vt:lpstr>
      <vt:lpstr>dpa802_1_5</vt:lpstr>
      <vt:lpstr>dpa802_1_6</vt:lpstr>
      <vt:lpstr>dpa802_10_1</vt:lpstr>
      <vt:lpstr>dpa802_10_1_1</vt:lpstr>
      <vt:lpstr>dpa802_2_1</vt:lpstr>
      <vt:lpstr>dpa802_2_2</vt:lpstr>
      <vt:lpstr>dpa802_2_3</vt:lpstr>
      <vt:lpstr>dpa802_3_1_a</vt:lpstr>
      <vt:lpstr>dpa802_3_1_b</vt:lpstr>
      <vt:lpstr>dpa802_3_2_a</vt:lpstr>
      <vt:lpstr>dpa802_3_2_b</vt:lpstr>
      <vt:lpstr>dpa802_4_1</vt:lpstr>
      <vt:lpstr>dpa802_4_1_1</vt:lpstr>
      <vt:lpstr>dpa802_4_1_2</vt:lpstr>
      <vt:lpstr>dpa802_4_2_a</vt:lpstr>
      <vt:lpstr>dpa802_4_2_b</vt:lpstr>
      <vt:lpstr>dpa802_4_3</vt:lpstr>
      <vt:lpstr>dpa802_5_1_1</vt:lpstr>
      <vt:lpstr>dpa802_5_1_2</vt:lpstr>
      <vt:lpstr>dpa802_5_1_3</vt:lpstr>
      <vt:lpstr>dpa802_5_1_4</vt:lpstr>
      <vt:lpstr>dpa802_5_1_5</vt:lpstr>
      <vt:lpstr>dpa802_5_2_1</vt:lpstr>
      <vt:lpstr>dpa802_5_2_2</vt:lpstr>
      <vt:lpstr>dpa802_5_3</vt:lpstr>
      <vt:lpstr>dpa802_5_4_2</vt:lpstr>
      <vt:lpstr>dpa802_5_4_3</vt:lpstr>
      <vt:lpstr>dpa802_5_4_4_a</vt:lpstr>
      <vt:lpstr>dpa802_5_4_4_b</vt:lpstr>
      <vt:lpstr>dpa802_5_4_4_c</vt:lpstr>
      <vt:lpstr>dpa802_6_1</vt:lpstr>
      <vt:lpstr>dpa802_6_2</vt:lpstr>
      <vt:lpstr>dpa802_6_3_1</vt:lpstr>
      <vt:lpstr>dpa802_6_3_2</vt:lpstr>
      <vt:lpstr>dpa802_6_3_3</vt:lpstr>
      <vt:lpstr>dpa802_6_4_1</vt:lpstr>
      <vt:lpstr>dpa802_6_4_2</vt:lpstr>
      <vt:lpstr>dpa802_6_5_1</vt:lpstr>
      <vt:lpstr>dpa802_6_5_2</vt:lpstr>
      <vt:lpstr>dpa802_6_5_3</vt:lpstr>
      <vt:lpstr>dpa802_6_5_4</vt:lpstr>
      <vt:lpstr>dpa802_6_5_5</vt:lpstr>
      <vt:lpstr>dpa802_7_1_1</vt:lpstr>
      <vt:lpstr>dpa802_7_1_2_a</vt:lpstr>
      <vt:lpstr>dpa802_7_1_2_b</vt:lpstr>
      <vt:lpstr>dpa802_7_1_2_c</vt:lpstr>
      <vt:lpstr>dpa802_7_1_2_d</vt:lpstr>
      <vt:lpstr>dpa802_7_2_1</vt:lpstr>
      <vt:lpstr>dpa802_7_2_2</vt:lpstr>
      <vt:lpstr>dpa802_8</vt:lpstr>
      <vt:lpstr>dpa802_9_1_1</vt:lpstr>
      <vt:lpstr>dpa802_9_1_2</vt:lpstr>
      <vt:lpstr>dpa802_9_2_1</vt:lpstr>
      <vt:lpstr>dpa802_9_2_2</vt:lpstr>
      <vt:lpstr>dpa803_1_1</vt:lpstr>
      <vt:lpstr>dpa803_1_2</vt:lpstr>
      <vt:lpstr>dpa803_2</vt:lpstr>
      <vt:lpstr>dpa803_3</vt:lpstr>
      <vt:lpstr>dpa803_4</vt:lpstr>
      <vt:lpstr>dpa803_5</vt:lpstr>
      <vt:lpstr>dpa803_6</vt:lpstr>
      <vt:lpstr>dpa901_1_1</vt:lpstr>
      <vt:lpstr>dpa901_1_2</vt:lpstr>
      <vt:lpstr>dpa901_1_3_1_a</vt:lpstr>
      <vt:lpstr>dpa901_1_3_1_b</vt:lpstr>
      <vt:lpstr>dpa901_1_3_2_a</vt:lpstr>
      <vt:lpstr>dpa901_1_3_2_b</vt:lpstr>
      <vt:lpstr>dpa901_1_4</vt:lpstr>
      <vt:lpstr>dpa901_1_5</vt:lpstr>
      <vt:lpstr>dpa901_1_6_1</vt:lpstr>
      <vt:lpstr>dpa901_1_6_2</vt:lpstr>
      <vt:lpstr>dpa901_10_1</vt:lpstr>
      <vt:lpstr>dpa901_10_2</vt:lpstr>
      <vt:lpstr>dpa901_10_3</vt:lpstr>
      <vt:lpstr>dpa901_11</vt:lpstr>
      <vt:lpstr>dpa901_12</vt:lpstr>
      <vt:lpstr>dpa901_13</vt:lpstr>
      <vt:lpstr>dpa901_14_1</vt:lpstr>
      <vt:lpstr>dpa901_14_2</vt:lpstr>
      <vt:lpstr>dpa901_15_1</vt:lpstr>
      <vt:lpstr>dpa901_15_2</vt:lpstr>
      <vt:lpstr>dpa901_2_1_1</vt:lpstr>
      <vt:lpstr>dpa901_2_1_1_m</vt:lpstr>
      <vt:lpstr>dpa901_2_1_2</vt:lpstr>
      <vt:lpstr>dpa901_2_1_2_m</vt:lpstr>
      <vt:lpstr>dpa901_2_1_3</vt:lpstr>
      <vt:lpstr>dpa901_2_1_3_m</vt:lpstr>
      <vt:lpstr>dpa901_2_1_4</vt:lpstr>
      <vt:lpstr>dpa901_2_1_4_m</vt:lpstr>
      <vt:lpstr>dpa901_2_1_5</vt:lpstr>
      <vt:lpstr>dpa901_2_1_5_m</vt:lpstr>
      <vt:lpstr>dpa901_2_2</vt:lpstr>
      <vt:lpstr>dpa901_3_1_a</vt:lpstr>
      <vt:lpstr>dpa901_3_1_a_m</vt:lpstr>
      <vt:lpstr>dpa901_3_1_b</vt:lpstr>
      <vt:lpstr>dpa901_3_1_b_m</vt:lpstr>
      <vt:lpstr>dpa901_3_1_c</vt:lpstr>
      <vt:lpstr>dpa901_3_2</vt:lpstr>
      <vt:lpstr>dpa901_4</vt:lpstr>
      <vt:lpstr>dpa901_4_1</vt:lpstr>
      <vt:lpstr>dpa901_4_2</vt:lpstr>
      <vt:lpstr>dpa901_4_3</vt:lpstr>
      <vt:lpstr>dpa901_4_4</vt:lpstr>
      <vt:lpstr>dpa901_4_5</vt:lpstr>
      <vt:lpstr>dpa901_4_6</vt:lpstr>
      <vt:lpstr>dpa901_5_1</vt:lpstr>
      <vt:lpstr>dpa901_5_2</vt:lpstr>
      <vt:lpstr>dpa901_6</vt:lpstr>
      <vt:lpstr>dpa901_7</vt:lpstr>
      <vt:lpstr>dpa901_8</vt:lpstr>
      <vt:lpstr>dpa901_9_1</vt:lpstr>
      <vt:lpstr>dpa901_9_2</vt:lpstr>
      <vt:lpstr>dpa901_9_3</vt:lpstr>
      <vt:lpstr>dpa902_1_1</vt:lpstr>
      <vt:lpstr>dpa902_1_1_a</vt:lpstr>
      <vt:lpstr>dpa902_1_2</vt:lpstr>
      <vt:lpstr>dpa902_1_2_</vt:lpstr>
      <vt:lpstr>dpa902_1_2_1</vt:lpstr>
      <vt:lpstr>dpa902_1_2_2</vt:lpstr>
      <vt:lpstr>dpa902_1_3</vt:lpstr>
      <vt:lpstr>dpa902_1_3_</vt:lpstr>
      <vt:lpstr>dpa902_1_4</vt:lpstr>
      <vt:lpstr>dpa902_1_4_1</vt:lpstr>
      <vt:lpstr>dpa902_1_4_2</vt:lpstr>
      <vt:lpstr>dpa902_1_5</vt:lpstr>
      <vt:lpstr>dpa902_1_6</vt:lpstr>
      <vt:lpstr>dpa902_2_1</vt:lpstr>
      <vt:lpstr>dpa902_2_1_1</vt:lpstr>
      <vt:lpstr>dpa902_2_1_2</vt:lpstr>
      <vt:lpstr>dpa902_2_1_3</vt:lpstr>
      <vt:lpstr>dpa902_2_1_4</vt:lpstr>
      <vt:lpstr>dpa902_2_1_5</vt:lpstr>
      <vt:lpstr>dpa902_2_2</vt:lpstr>
      <vt:lpstr>dpa902_2_3</vt:lpstr>
      <vt:lpstr>dpa902_2_4</vt:lpstr>
      <vt:lpstr>dpa902_3</vt:lpstr>
      <vt:lpstr>dpa902_3_1_a</vt:lpstr>
      <vt:lpstr>dpa902_3_1_b</vt:lpstr>
      <vt:lpstr>dpa902_3_2</vt:lpstr>
      <vt:lpstr>dpa902_3_2_1</vt:lpstr>
      <vt:lpstr>dpa902_3_2_2</vt:lpstr>
      <vt:lpstr>dpa902_3_2_a</vt:lpstr>
      <vt:lpstr>dpa902_3_2_b</vt:lpstr>
      <vt:lpstr>dpa902_4</vt:lpstr>
      <vt:lpstr>dpa902_5</vt:lpstr>
      <vt:lpstr>dpa902_6</vt:lpstr>
      <vt:lpstr>dpa903_1_1_1</vt:lpstr>
      <vt:lpstr>dpa903_1_2_2</vt:lpstr>
      <vt:lpstr>dpa903_2_1</vt:lpstr>
      <vt:lpstr>dpa903_2_2</vt:lpstr>
      <vt:lpstr>dpa903_3</vt:lpstr>
      <vt:lpstr>dpa904_1</vt:lpstr>
      <vt:lpstr>dpa904_2</vt:lpstr>
      <vt:lpstr>dpa904_3_1</vt:lpstr>
      <vt:lpstr>dpa904_3_2</vt:lpstr>
      <vt:lpstr>dpa905_1</vt:lpstr>
      <vt:lpstr>dpa905_2</vt:lpstr>
      <vt:lpstr>dpa905_3</vt:lpstr>
      <vt:lpstr>dpa905_4</vt:lpstr>
      <vt:lpstr>dpa905_5</vt:lpstr>
      <vt:lpstr>dpa905_6</vt:lpstr>
      <vt:lpstr>dpc1001_1</vt:lpstr>
      <vt:lpstr>dpc1001_2</vt:lpstr>
      <vt:lpstr>dpc1002_1</vt:lpstr>
      <vt:lpstr>dpc1002_2</vt:lpstr>
      <vt:lpstr>dpc1002_3</vt:lpstr>
      <vt:lpstr>dpc1002_4</vt:lpstr>
      <vt:lpstr>dpc1002_5</vt:lpstr>
      <vt:lpstr>dpc1002_6</vt:lpstr>
      <vt:lpstr>dpc1003_1</vt:lpstr>
      <vt:lpstr>dpc1004_1_1</vt:lpstr>
      <vt:lpstr>dpc1004_1_2</vt:lpstr>
      <vt:lpstr>dpc1005_1_1</vt:lpstr>
      <vt:lpstr>dpc1005_1_2</vt:lpstr>
      <vt:lpstr>dpc1005_1_3</vt:lpstr>
      <vt:lpstr>dpc501_1</vt:lpstr>
      <vt:lpstr>dpc501_2_1</vt:lpstr>
      <vt:lpstr>dpc501_2_2</vt:lpstr>
      <vt:lpstr>dpc501_2_3</vt:lpstr>
      <vt:lpstr>dpc501_2_4</vt:lpstr>
      <vt:lpstr>dpc501_2_4_1</vt:lpstr>
      <vt:lpstr>dpc501_2_5</vt:lpstr>
      <vt:lpstr>dpc501_2_6</vt:lpstr>
      <vt:lpstr>dpc501_2_6_d</vt:lpstr>
      <vt:lpstr>dpc501_2_7</vt:lpstr>
      <vt:lpstr>dpc501_2_8</vt:lpstr>
      <vt:lpstr>dpc502_1</vt:lpstr>
      <vt:lpstr>dpc503_1_1</vt:lpstr>
      <vt:lpstr>dpc503_1_2</vt:lpstr>
      <vt:lpstr>dpc503_1_3</vt:lpstr>
      <vt:lpstr>dpc503_1_4</vt:lpstr>
      <vt:lpstr>dpc503_1_5</vt:lpstr>
      <vt:lpstr>dpc503_1_6</vt:lpstr>
      <vt:lpstr>dpc503_1_7</vt:lpstr>
      <vt:lpstr>dpc503_1_8</vt:lpstr>
      <vt:lpstr>dpc503_2_1</vt:lpstr>
      <vt:lpstr>dpc503_2_2</vt:lpstr>
      <vt:lpstr>dpc503_2_3</vt:lpstr>
      <vt:lpstr>dpc503_2_4</vt:lpstr>
      <vt:lpstr>dpc503_2_5</vt:lpstr>
      <vt:lpstr>dpc503_3_1</vt:lpstr>
      <vt:lpstr>dpc503_3_2</vt:lpstr>
      <vt:lpstr>dpc503_3_3</vt:lpstr>
      <vt:lpstr>dpc503_4_1</vt:lpstr>
      <vt:lpstr>dpc503_4_2</vt:lpstr>
      <vt:lpstr>dpc503_4_3</vt:lpstr>
      <vt:lpstr>dpc503_4_4</vt:lpstr>
      <vt:lpstr>dpc503_4_4_c_1</vt:lpstr>
      <vt:lpstr>dpc503_4_5</vt:lpstr>
      <vt:lpstr>dpc503_5_1</vt:lpstr>
      <vt:lpstr>dpc503_5_10</vt:lpstr>
      <vt:lpstr>dpc503_5_11</vt:lpstr>
      <vt:lpstr>dpc503_5_12</vt:lpstr>
      <vt:lpstr>dpc503_5_13</vt:lpstr>
      <vt:lpstr>dpc503_5_2</vt:lpstr>
      <vt:lpstr>dpc503_5_3</vt:lpstr>
      <vt:lpstr>dpc503_5_4</vt:lpstr>
      <vt:lpstr>dpc503_5_5</vt:lpstr>
      <vt:lpstr>dpc503_5_6</vt:lpstr>
      <vt:lpstr>dpc503_5_7</vt:lpstr>
      <vt:lpstr>dpc503_5_8</vt:lpstr>
      <vt:lpstr>dpc503_5_9</vt:lpstr>
      <vt:lpstr>dpc503_6</vt:lpstr>
      <vt:lpstr>dpc503_7</vt:lpstr>
      <vt:lpstr>dpc503_8</vt:lpstr>
      <vt:lpstr>dpc504_1</vt:lpstr>
      <vt:lpstr>dpc504_2_1</vt:lpstr>
      <vt:lpstr>dpc504_2_2</vt:lpstr>
      <vt:lpstr>dpc504_2_3</vt:lpstr>
      <vt:lpstr>dpc504_3_1</vt:lpstr>
      <vt:lpstr>dpc504_3_2</vt:lpstr>
      <vt:lpstr>dpc504_3_3</vt:lpstr>
      <vt:lpstr>dpc504_3_4</vt:lpstr>
      <vt:lpstr>dpc504_3_5</vt:lpstr>
      <vt:lpstr>dpc504_3_6</vt:lpstr>
      <vt:lpstr>dpc504_3_7</vt:lpstr>
      <vt:lpstr>dpc504_3_8</vt:lpstr>
      <vt:lpstr>dpc504_3_9</vt:lpstr>
      <vt:lpstr>dpc505_1_1</vt:lpstr>
      <vt:lpstr>dpc505_1_2</vt:lpstr>
      <vt:lpstr>dpc505_1_3</vt:lpstr>
      <vt:lpstr>dpc505_10_a</vt:lpstr>
      <vt:lpstr>dpc505_10_b</vt:lpstr>
      <vt:lpstr>dpc505_10_c</vt:lpstr>
      <vt:lpstr>dpc505_2_1</vt:lpstr>
      <vt:lpstr>dpc505_2_2</vt:lpstr>
      <vt:lpstr>dpc505_3</vt:lpstr>
      <vt:lpstr>dpc505_4_1</vt:lpstr>
      <vt:lpstr>dpc505_5_a</vt:lpstr>
      <vt:lpstr>dpc505_5_b</vt:lpstr>
      <vt:lpstr>dpc505_5_c</vt:lpstr>
      <vt:lpstr>dpc505_5_d</vt:lpstr>
      <vt:lpstr>dpc505_6</vt:lpstr>
      <vt:lpstr>dpc505_7</vt:lpstr>
      <vt:lpstr>dpc505_8</vt:lpstr>
      <vt:lpstr>dpc505_9_a</vt:lpstr>
      <vt:lpstr>dpc505_9_b</vt:lpstr>
      <vt:lpstr>dpc505_9_c</vt:lpstr>
      <vt:lpstr>dpc601_1</vt:lpstr>
      <vt:lpstr>dpc601_2_1</vt:lpstr>
      <vt:lpstr>dpc601_2_2</vt:lpstr>
      <vt:lpstr>dpc601_2_3</vt:lpstr>
      <vt:lpstr>dpc601_3_1</vt:lpstr>
      <vt:lpstr>dpc601_3_2</vt:lpstr>
      <vt:lpstr>dpc601_3_3</vt:lpstr>
      <vt:lpstr>dpc601_3_4</vt:lpstr>
      <vt:lpstr>dpc601_3_5</vt:lpstr>
      <vt:lpstr>dpc601_4</vt:lpstr>
      <vt:lpstr>dpc601_5_1</vt:lpstr>
      <vt:lpstr>dpc601_5_2</vt:lpstr>
      <vt:lpstr>dpc601_5_3</vt:lpstr>
      <vt:lpstr>dpc601_5_4</vt:lpstr>
      <vt:lpstr>dpc601_5_5</vt:lpstr>
      <vt:lpstr>dpc601_6</vt:lpstr>
      <vt:lpstr>dpc601_7</vt:lpstr>
      <vt:lpstr>dpc601_8</vt:lpstr>
      <vt:lpstr>dpc602_1_1_2</vt:lpstr>
      <vt:lpstr>dpc602_1_10</vt:lpstr>
      <vt:lpstr>dpc602_1_12</vt:lpstr>
      <vt:lpstr>dpc602_1_14_1</vt:lpstr>
      <vt:lpstr>dpc602_1_14_2</vt:lpstr>
      <vt:lpstr>dpc602_1_14_3</vt:lpstr>
      <vt:lpstr>dpc602_1_15</vt:lpstr>
      <vt:lpstr>dpc602_1_2</vt:lpstr>
      <vt:lpstr>dpc602_1_3_2</vt:lpstr>
      <vt:lpstr>dpc602_1_4_1_1</vt:lpstr>
      <vt:lpstr>dpc602_1_4_2_1</vt:lpstr>
      <vt:lpstr>dpc602_1_5_1</vt:lpstr>
      <vt:lpstr>dpc602_1_5_2</vt:lpstr>
      <vt:lpstr>dpc602_1_6_1</vt:lpstr>
      <vt:lpstr>dpc602_1_6_2</vt:lpstr>
      <vt:lpstr>dpc602_1_6_3</vt:lpstr>
      <vt:lpstr>dpc602_1_7_1_1</vt:lpstr>
      <vt:lpstr>dpc602_1_7_1_2</vt:lpstr>
      <vt:lpstr>dpc602_1_7_1_3</vt:lpstr>
      <vt:lpstr>dpc602_1_7_2</vt:lpstr>
      <vt:lpstr>dpc602_1_7_3</vt:lpstr>
      <vt:lpstr>dpc602_1_9_2</vt:lpstr>
      <vt:lpstr>dpc602_1_9_3</vt:lpstr>
      <vt:lpstr>dpc602_1_9_4</vt:lpstr>
      <vt:lpstr>dpc602_1_9_5</vt:lpstr>
      <vt:lpstr>dpc602_1_9_6</vt:lpstr>
      <vt:lpstr>dpc602_1_9_7</vt:lpstr>
      <vt:lpstr>dpc602_2</vt:lpstr>
      <vt:lpstr>dpc602_3</vt:lpstr>
      <vt:lpstr>dpc602_4_2</vt:lpstr>
      <vt:lpstr>dpc602_4_3</vt:lpstr>
      <vt:lpstr>dpc603_1</vt:lpstr>
      <vt:lpstr>dpc603_2</vt:lpstr>
      <vt:lpstr>dpc603_3</vt:lpstr>
      <vt:lpstr>dpc604_1a</vt:lpstr>
      <vt:lpstr>dpc605_2</vt:lpstr>
      <vt:lpstr>dpc605_3</vt:lpstr>
      <vt:lpstr>dpc605_4</vt:lpstr>
      <vt:lpstr>dpc606_1</vt:lpstr>
      <vt:lpstr>dpc606_2_1a</vt:lpstr>
      <vt:lpstr>dpc606_2_2a</vt:lpstr>
      <vt:lpstr>dpc606_3</vt:lpstr>
      <vt:lpstr>dpc607_1_1</vt:lpstr>
      <vt:lpstr>dpc607_1_2</vt:lpstr>
      <vt:lpstr>dpc607_2</vt:lpstr>
      <vt:lpstr>dpc608_1</vt:lpstr>
      <vt:lpstr>dpc609_1</vt:lpstr>
      <vt:lpstr>dpc610_1_1_1</vt:lpstr>
      <vt:lpstr>dpc610_1_1_2</vt:lpstr>
      <vt:lpstr>dpc610_1_1_3</vt:lpstr>
      <vt:lpstr>dpc610_1_2</vt:lpstr>
      <vt:lpstr>dpc611_1</vt:lpstr>
      <vt:lpstr>dpc612_1</vt:lpstr>
      <vt:lpstr>dpc612_2</vt:lpstr>
      <vt:lpstr>dpc612_3</vt:lpstr>
      <vt:lpstr>dpc613_1</vt:lpstr>
      <vt:lpstr>dpc701_1_4</vt:lpstr>
      <vt:lpstr>dpc702_2_2</vt:lpstr>
      <vt:lpstr>dpc703_1</vt:lpstr>
      <vt:lpstr>dpc703_2_1</vt:lpstr>
      <vt:lpstr>dpc703_2_2</vt:lpstr>
      <vt:lpstr>dpc703_2_3</vt:lpstr>
      <vt:lpstr>dpc703_2_4</vt:lpstr>
      <vt:lpstr>dpc703_2_5_2</vt:lpstr>
      <vt:lpstr>dpc703_3_1</vt:lpstr>
      <vt:lpstr>dpc703_3_2__1</vt:lpstr>
      <vt:lpstr>dpc703_3_2__2</vt:lpstr>
      <vt:lpstr>dpc703_3_2__3</vt:lpstr>
      <vt:lpstr>dpc703_3_2__4</vt:lpstr>
      <vt:lpstr>dpc703_3_3__1</vt:lpstr>
      <vt:lpstr>dpc703_3_3__2</vt:lpstr>
      <vt:lpstr>dpc703_3_3__3</vt:lpstr>
      <vt:lpstr>dpc703_3_4_1</vt:lpstr>
      <vt:lpstr>dpc703_3_4_1_6</vt:lpstr>
      <vt:lpstr>dpc703_3_4_2</vt:lpstr>
      <vt:lpstr>dpc703_3_5</vt:lpstr>
      <vt:lpstr>dpc703_3_6</vt:lpstr>
      <vt:lpstr>dpc703_3_7_1</vt:lpstr>
      <vt:lpstr>dpc703_3_8</vt:lpstr>
      <vt:lpstr>dpc703_4_1</vt:lpstr>
      <vt:lpstr>dpc703_4_2</vt:lpstr>
      <vt:lpstr>dpc703_4_3</vt:lpstr>
      <vt:lpstr>dpc703_4_4</vt:lpstr>
      <vt:lpstr>dpc703_5_1_1_a</vt:lpstr>
      <vt:lpstr>dpc703_5_1_1_b</vt:lpstr>
      <vt:lpstr>dpc703_5_1_1_d</vt:lpstr>
      <vt:lpstr>dpc703_5_1_1_e</vt:lpstr>
      <vt:lpstr>dpc703_5_1_2_a</vt:lpstr>
      <vt:lpstr>dpc703_5_1_2_b</vt:lpstr>
      <vt:lpstr>dpc703_5_1_2_c</vt:lpstr>
      <vt:lpstr>dpc703_5_1_2_d</vt:lpstr>
      <vt:lpstr>dpc703_5_1_2_e</vt:lpstr>
      <vt:lpstr>dpc703_5_1_3</vt:lpstr>
      <vt:lpstr>dpc703_5_2</vt:lpstr>
      <vt:lpstr>dpc703_5_3</vt:lpstr>
      <vt:lpstr>dpc703_5_4</vt:lpstr>
      <vt:lpstr>dpc703_5_5_a</vt:lpstr>
      <vt:lpstr>dpc703_5_5_b</vt:lpstr>
      <vt:lpstr>dpc703_6_1_1</vt:lpstr>
      <vt:lpstr>dpc703_6_1_2</vt:lpstr>
      <vt:lpstr>dpc703_6_1_3</vt:lpstr>
      <vt:lpstr>dpc703_6_2__1</vt:lpstr>
      <vt:lpstr>dpc703_6_2__2</vt:lpstr>
      <vt:lpstr>dpc703_6_2__3</vt:lpstr>
      <vt:lpstr>dpc703_7_1</vt:lpstr>
      <vt:lpstr>dpc703_7_2</vt:lpstr>
      <vt:lpstr>dpc703_7_3</vt:lpstr>
      <vt:lpstr>dpc703_7_4</vt:lpstr>
      <vt:lpstr>dpc704_1</vt:lpstr>
      <vt:lpstr>dpc705_2_1_1</vt:lpstr>
      <vt:lpstr>dpc705_2_1_2</vt:lpstr>
      <vt:lpstr>dpc705_2_1_3_1</vt:lpstr>
      <vt:lpstr>dpc705_2_1_3_2</vt:lpstr>
      <vt:lpstr>dpc705_2_1_4</vt:lpstr>
      <vt:lpstr>dpc705_2_2</vt:lpstr>
      <vt:lpstr>dpc705_2_3</vt:lpstr>
      <vt:lpstr>dpc705_2_4</vt:lpstr>
      <vt:lpstr>dpc705_3</vt:lpstr>
      <vt:lpstr>dpc705_4</vt:lpstr>
      <vt:lpstr>dpc705_5_1_1</vt:lpstr>
      <vt:lpstr>dpc705_5_1_2</vt:lpstr>
      <vt:lpstr>dpc705_5_2</vt:lpstr>
      <vt:lpstr>dpc705_5_3_1</vt:lpstr>
      <vt:lpstr>dpc705_5_3_2</vt:lpstr>
      <vt:lpstr>dpc705_6_1</vt:lpstr>
      <vt:lpstr>dpc705_6_2_1_1_1</vt:lpstr>
      <vt:lpstr>dpc705_6_2_1_2</vt:lpstr>
      <vt:lpstr>dpc705_6_2_2_1</vt:lpstr>
      <vt:lpstr>dpc705_6_2_2_2</vt:lpstr>
      <vt:lpstr>dpc705_6_2_3</vt:lpstr>
      <vt:lpstr>dpc705_6_3</vt:lpstr>
      <vt:lpstr>dpc705_6_4_1</vt:lpstr>
      <vt:lpstr>dpc705_6_4_2</vt:lpstr>
      <vt:lpstr>dpc705_7</vt:lpstr>
      <vt:lpstr>dpc706_1</vt:lpstr>
      <vt:lpstr>dpc706_10</vt:lpstr>
      <vt:lpstr>dpc706_11</vt:lpstr>
      <vt:lpstr>dpc706_12</vt:lpstr>
      <vt:lpstr>dpc706_13</vt:lpstr>
      <vt:lpstr>dpc706_14_1</vt:lpstr>
      <vt:lpstr>dpc706_14_2</vt:lpstr>
      <vt:lpstr>dpc706_15_1</vt:lpstr>
      <vt:lpstr>dpc706_15_2</vt:lpstr>
      <vt:lpstr>dpc706_2_1</vt:lpstr>
      <vt:lpstr>dpc706_2_2</vt:lpstr>
      <vt:lpstr>dpc706_3</vt:lpstr>
      <vt:lpstr>dpc706_4_1_1</vt:lpstr>
      <vt:lpstr>dpc706_4_1_2</vt:lpstr>
      <vt:lpstr>dpc706_4_2</vt:lpstr>
      <vt:lpstr>dpc706_5_1</vt:lpstr>
      <vt:lpstr>dpc706_5_2</vt:lpstr>
      <vt:lpstr>dpc706_5_3</vt:lpstr>
      <vt:lpstr>dpc706_6</vt:lpstr>
      <vt:lpstr>dpc706_7_1</vt:lpstr>
      <vt:lpstr>dpc706_7_2</vt:lpstr>
      <vt:lpstr>dpc706_8</vt:lpstr>
      <vt:lpstr>dpc706_9</vt:lpstr>
      <vt:lpstr>dpc802_1</vt:lpstr>
      <vt:lpstr>dpc802_1_6</vt:lpstr>
      <vt:lpstr>dpc802_10_1_1</vt:lpstr>
      <vt:lpstr>dpc802_2_1</vt:lpstr>
      <vt:lpstr>dpc802_2_2</vt:lpstr>
      <vt:lpstr>dpc802_3_1_a</vt:lpstr>
      <vt:lpstr>dpc802_3_1_b</vt:lpstr>
      <vt:lpstr>dpc802_3_2_a</vt:lpstr>
      <vt:lpstr>dpc802_3_2_b</vt:lpstr>
      <vt:lpstr>dpc802_4_1</vt:lpstr>
      <vt:lpstr>dpc802_4_2</vt:lpstr>
      <vt:lpstr>dpc802_4_3</vt:lpstr>
      <vt:lpstr>dpc802_5_1a</vt:lpstr>
      <vt:lpstr>dpc802_5_2</vt:lpstr>
      <vt:lpstr>dpc802_5_3</vt:lpstr>
      <vt:lpstr>dpc802_5_4_2</vt:lpstr>
      <vt:lpstr>dpc802_5_4_3</vt:lpstr>
      <vt:lpstr>dpc802_5_4_4_a</vt:lpstr>
      <vt:lpstr>dpc802_5_4_4_b</vt:lpstr>
      <vt:lpstr>dpc802_5_4_4_c</vt:lpstr>
      <vt:lpstr>dpc802_6_2</vt:lpstr>
      <vt:lpstr>dpc802_6_3_1</vt:lpstr>
      <vt:lpstr>dpc802_6_3_2</vt:lpstr>
      <vt:lpstr>dpc802_6_3_3</vt:lpstr>
      <vt:lpstr>dpc802_6_4_1</vt:lpstr>
      <vt:lpstr>dpc802_6_4_2</vt:lpstr>
      <vt:lpstr>dpc802_6_5_1</vt:lpstr>
      <vt:lpstr>dpc802_6_5_2</vt:lpstr>
      <vt:lpstr>dpc802_6_5_3</vt:lpstr>
      <vt:lpstr>dpc802_6_5_4</vt:lpstr>
      <vt:lpstr>dpc802_6_5_5</vt:lpstr>
      <vt:lpstr>dpc802_7_1</vt:lpstr>
      <vt:lpstr>dpc802_7_2</vt:lpstr>
      <vt:lpstr>dpc802_8</vt:lpstr>
      <vt:lpstr>dpc802_9_1</vt:lpstr>
      <vt:lpstr>dpc802_9_2</vt:lpstr>
      <vt:lpstr>dpc803_1</vt:lpstr>
      <vt:lpstr>dpc803_2</vt:lpstr>
      <vt:lpstr>dpc803_3</vt:lpstr>
      <vt:lpstr>dpc803_4</vt:lpstr>
      <vt:lpstr>dpc803_5</vt:lpstr>
      <vt:lpstr>dpc803_6</vt:lpstr>
      <vt:lpstr>dpc804_3</vt:lpstr>
      <vt:lpstr>dpc901_1_1</vt:lpstr>
      <vt:lpstr>dpc901_1_2</vt:lpstr>
      <vt:lpstr>dpc901_1_3_1</vt:lpstr>
      <vt:lpstr>dpc901_1_3_2</vt:lpstr>
      <vt:lpstr>dpc901_1_5</vt:lpstr>
      <vt:lpstr>dpc901_1_6</vt:lpstr>
      <vt:lpstr>dpc901_10</vt:lpstr>
      <vt:lpstr>dpc901_11</vt:lpstr>
      <vt:lpstr>dpc901_12</vt:lpstr>
      <vt:lpstr>dpc901_14</vt:lpstr>
      <vt:lpstr>dpc901_15_1</vt:lpstr>
      <vt:lpstr>dpc901_15_2</vt:lpstr>
      <vt:lpstr>dpc901_2_1_1</vt:lpstr>
      <vt:lpstr>dpc901_2_1_2</vt:lpstr>
      <vt:lpstr>dpc901_2_1_3</vt:lpstr>
      <vt:lpstr>dpc901_2_1_4</vt:lpstr>
      <vt:lpstr>dpc901_2_1_5</vt:lpstr>
      <vt:lpstr>dpc901_2_2</vt:lpstr>
      <vt:lpstr>dpc901_3_1_a</vt:lpstr>
      <vt:lpstr>dpc901_3_1_b</vt:lpstr>
      <vt:lpstr>dpc901_3_1_c</vt:lpstr>
      <vt:lpstr>dpc901_3_2</vt:lpstr>
      <vt:lpstr>dpc901_4</vt:lpstr>
      <vt:lpstr>dpc901_5_1</vt:lpstr>
      <vt:lpstr>dpc901_5_2</vt:lpstr>
      <vt:lpstr>dpc901_7</vt:lpstr>
      <vt:lpstr>dpc901_8</vt:lpstr>
      <vt:lpstr>dpc901_9_1</vt:lpstr>
      <vt:lpstr>dpc901_9_2</vt:lpstr>
      <vt:lpstr>dpc901_9_3</vt:lpstr>
      <vt:lpstr>dpc902_1_1_a</vt:lpstr>
      <vt:lpstr>dpc902_1_2_</vt:lpstr>
      <vt:lpstr>dpc902_1_3</vt:lpstr>
      <vt:lpstr>dpc902_1_3_</vt:lpstr>
      <vt:lpstr>dpc902_1_4</vt:lpstr>
      <vt:lpstr>dpc902_1_5</vt:lpstr>
      <vt:lpstr>dpc902_1_6</vt:lpstr>
      <vt:lpstr>dpc902_2_1</vt:lpstr>
      <vt:lpstr>dpc902_2_2</vt:lpstr>
      <vt:lpstr>dpc902_2_3</vt:lpstr>
      <vt:lpstr>dpc902_2_4</vt:lpstr>
      <vt:lpstr>dpc902_3_1</vt:lpstr>
      <vt:lpstr>dpc902_3_2</vt:lpstr>
      <vt:lpstr>dpc902_3_2_1</vt:lpstr>
      <vt:lpstr>dpc902_3_2_2</vt:lpstr>
      <vt:lpstr>dpc902_4</vt:lpstr>
      <vt:lpstr>dpc902_5</vt:lpstr>
      <vt:lpstr>dpc903_1</vt:lpstr>
      <vt:lpstr>dpc903_2</vt:lpstr>
      <vt:lpstr>dpc903_3</vt:lpstr>
      <vt:lpstr>dpc904_1</vt:lpstr>
      <vt:lpstr>dpc904_2</vt:lpstr>
      <vt:lpstr>dpc905_1</vt:lpstr>
      <vt:lpstr>dpc905_2</vt:lpstr>
      <vt:lpstr>dpc905_3</vt:lpstr>
      <vt:lpstr>dpc905_4</vt:lpstr>
      <vt:lpstr>dpc905_5</vt:lpstr>
      <vt:lpstr>dpc905_6</vt:lpstr>
      <vt:lpstr>dstAGFloorArea</vt:lpstr>
      <vt:lpstr>dstAttachedGarage</vt:lpstr>
      <vt:lpstr>dstAttic</vt:lpstr>
      <vt:lpstr>dstBatch</vt:lpstr>
      <vt:lpstr>dstBuilderName</vt:lpstr>
      <vt:lpstr>dstBuildingCode</vt:lpstr>
      <vt:lpstr>dstCDucts</vt:lpstr>
      <vt:lpstr>dstCity</vt:lpstr>
      <vt:lpstr>dstCommercial</vt:lpstr>
      <vt:lpstr>dstCool1</vt:lpstr>
      <vt:lpstr>dstCool2</vt:lpstr>
      <vt:lpstr>dstCool3</vt:lpstr>
      <vt:lpstr>dstCounty</vt:lpstr>
      <vt:lpstr>dstCToilet</vt:lpstr>
      <vt:lpstr>dstDesigner</vt:lpstr>
      <vt:lpstr>dstElevation</vt:lpstr>
      <vt:lpstr>dstEnergyCode</vt:lpstr>
      <vt:lpstr>dstFloors</vt:lpstr>
      <vt:lpstr>dstFoundation</vt:lpstr>
      <vt:lpstr>dstFuel</vt:lpstr>
      <vt:lpstr>dstHDucts</vt:lpstr>
      <vt:lpstr>dstHeat1</vt:lpstr>
      <vt:lpstr>dstHeat2</vt:lpstr>
      <vt:lpstr>dstHeat3</vt:lpstr>
      <vt:lpstr>dstHomeAddress</vt:lpstr>
      <vt:lpstr>dstLot</vt:lpstr>
      <vt:lpstr>dstMassWalls</vt:lpstr>
      <vt:lpstr>dstPassiveSolar</vt:lpstr>
      <vt:lpstr>dstProjectDesc</vt:lpstr>
      <vt:lpstr>dstProjectName</vt:lpstr>
      <vt:lpstr>dstRadiantHydronic</vt:lpstr>
      <vt:lpstr>dstRecessedLighting</vt:lpstr>
      <vt:lpstr>dstRenewable</vt:lpstr>
      <vt:lpstr>dstSingleOrMulti</vt:lpstr>
      <vt:lpstr>dstsSHGC</vt:lpstr>
      <vt:lpstr>dstState</vt:lpstr>
      <vt:lpstr>dstsUV</vt:lpstr>
      <vt:lpstr>dstTCFloorArea</vt:lpstr>
      <vt:lpstr>dstTEInsulation</vt:lpstr>
      <vt:lpstr>dstTLWH</vt:lpstr>
      <vt:lpstr>dstUnits</vt:lpstr>
      <vt:lpstr>dstwdSHGC</vt:lpstr>
      <vt:lpstr>dstwdUV</vt:lpstr>
      <vt:lpstr>dstZIP</vt:lpstr>
      <vt:lpstr>fsgBatchSubmissionCity1</vt:lpstr>
      <vt:lpstr>fsgBatchSubmissionCity10</vt:lpstr>
      <vt:lpstr>fsgBatchSubmissionCity11</vt:lpstr>
      <vt:lpstr>fsgBatchSubmissionCity12</vt:lpstr>
      <vt:lpstr>fsgBatchSubmissionCity13</vt:lpstr>
      <vt:lpstr>fsgBatchSubmissionCity14</vt:lpstr>
      <vt:lpstr>fsgBatchSubmissionCity15</vt:lpstr>
      <vt:lpstr>fsgBatchSubmissionCity16</vt:lpstr>
      <vt:lpstr>fsgBatchSubmissionCity17</vt:lpstr>
      <vt:lpstr>fsgBatchSubmissionCity18</vt:lpstr>
      <vt:lpstr>fsgBatchSubmissionCity19</vt:lpstr>
      <vt:lpstr>fsgBatchSubmissionCity2</vt:lpstr>
      <vt:lpstr>fsgBatchSubmissionCity20</vt:lpstr>
      <vt:lpstr>fsgBatchSubmissionCity21</vt:lpstr>
      <vt:lpstr>fsgBatchSubmissionCity22</vt:lpstr>
      <vt:lpstr>fsgBatchSubmissionCity23</vt:lpstr>
      <vt:lpstr>fsgBatchSubmissionCity24</vt:lpstr>
      <vt:lpstr>fsgBatchSubmissionCity25</vt:lpstr>
      <vt:lpstr>fsgBatchSubmissionCity26</vt:lpstr>
      <vt:lpstr>fsgBatchSubmissionCity27</vt:lpstr>
      <vt:lpstr>fsgBatchSubmissionCity28</vt:lpstr>
      <vt:lpstr>fsgBatchSubmissionCity29</vt:lpstr>
      <vt:lpstr>fsgBatchSubmissionCity3</vt:lpstr>
      <vt:lpstr>fsgBatchSubmissionCity30</vt:lpstr>
      <vt:lpstr>fsgBatchSubmissionCity31</vt:lpstr>
      <vt:lpstr>fsgBatchSubmissionCity32</vt:lpstr>
      <vt:lpstr>fsgBatchSubmissionCity33</vt:lpstr>
      <vt:lpstr>fsgBatchSubmissionCity34</vt:lpstr>
      <vt:lpstr>fsgBatchSubmissionCity35</vt:lpstr>
      <vt:lpstr>fsgBatchSubmissionCity36</vt:lpstr>
      <vt:lpstr>fsgBatchSubmissionCity37</vt:lpstr>
      <vt:lpstr>fsgBatchSubmissionCity38</vt:lpstr>
      <vt:lpstr>fsgBatchSubmissionCity39</vt:lpstr>
      <vt:lpstr>fsgBatchSubmissionCity4</vt:lpstr>
      <vt:lpstr>fsgBatchSubmissionCity40</vt:lpstr>
      <vt:lpstr>fsgBatchSubmissionCity41</vt:lpstr>
      <vt:lpstr>fsgBatchSubmissionCity42</vt:lpstr>
      <vt:lpstr>fsgBatchSubmissionCity43</vt:lpstr>
      <vt:lpstr>fsgBatchSubmissionCity44</vt:lpstr>
      <vt:lpstr>fsgBatchSubmissionCity45</vt:lpstr>
      <vt:lpstr>fsgBatchSubmissionCity46</vt:lpstr>
      <vt:lpstr>fsgBatchSubmissionCity47</vt:lpstr>
      <vt:lpstr>fsgBatchSubmissionCity48</vt:lpstr>
      <vt:lpstr>fsgBatchSubmissionCity49</vt:lpstr>
      <vt:lpstr>fsgBatchSubmissionCity5</vt:lpstr>
      <vt:lpstr>fsgBatchSubmissionCity50</vt:lpstr>
      <vt:lpstr>fsgBatchSubmissionCity6</vt:lpstr>
      <vt:lpstr>fsgBatchSubmissionCity7</vt:lpstr>
      <vt:lpstr>fsgBatchSubmissionCity8</vt:lpstr>
      <vt:lpstr>fsgBatchSubmissionCity9</vt:lpstr>
      <vt:lpstr>fsgBatchSubmissionFinalAddress1</vt:lpstr>
      <vt:lpstr>fsgBatchSubmissionFinalAddress10</vt:lpstr>
      <vt:lpstr>fsgBatchSubmissionFinalAddress11</vt:lpstr>
      <vt:lpstr>fsgBatchSubmissionFinalAddress12</vt:lpstr>
      <vt:lpstr>fsgBatchSubmissionFinalAddress13</vt:lpstr>
      <vt:lpstr>fsgBatchSubmissionFinalAddress14</vt:lpstr>
      <vt:lpstr>fsgBatchSubmissionFinalAddress15</vt:lpstr>
      <vt:lpstr>fsgBatchSubmissionFinalAddress16</vt:lpstr>
      <vt:lpstr>fsgBatchSubmissionFinalAddress17</vt:lpstr>
      <vt:lpstr>fsgBatchSubmissionFinalAddress18</vt:lpstr>
      <vt:lpstr>fsgBatchSubmissionFinalAddress19</vt:lpstr>
      <vt:lpstr>fsgBatchSubmissionFinalAddress2</vt:lpstr>
      <vt:lpstr>fsgBatchSubmissionFinalAddress20</vt:lpstr>
      <vt:lpstr>fsgBatchSubmissionFinalAddress21</vt:lpstr>
      <vt:lpstr>fsgBatchSubmissionFinalAddress22</vt:lpstr>
      <vt:lpstr>fsgBatchSubmissionFinalAddress23</vt:lpstr>
      <vt:lpstr>fsgBatchSubmissionFinalAddress24</vt:lpstr>
      <vt:lpstr>fsgBatchSubmissionFinalAddress25</vt:lpstr>
      <vt:lpstr>fsgBatchSubmissionFinalAddress26</vt:lpstr>
      <vt:lpstr>fsgBatchSubmissionFinalAddress27</vt:lpstr>
      <vt:lpstr>fsgBatchSubmissionFinalAddress28</vt:lpstr>
      <vt:lpstr>fsgBatchSubmissionFinalAddress29</vt:lpstr>
      <vt:lpstr>fsgBatchSubmissionFinalAddress3</vt:lpstr>
      <vt:lpstr>fsgBatchSubmissionFinalAddress30</vt:lpstr>
      <vt:lpstr>fsgBatchSubmissionFinalAddress31</vt:lpstr>
      <vt:lpstr>fsgBatchSubmissionFinalAddress32</vt:lpstr>
      <vt:lpstr>fsgBatchSubmissionFinalAddress33</vt:lpstr>
      <vt:lpstr>fsgBatchSubmissionFinalAddress34</vt:lpstr>
      <vt:lpstr>fsgBatchSubmissionFinalAddress35</vt:lpstr>
      <vt:lpstr>fsgBatchSubmissionFinalAddress36</vt:lpstr>
      <vt:lpstr>fsgBatchSubmissionFinalAddress37</vt:lpstr>
      <vt:lpstr>fsgBatchSubmissionFinalAddress38</vt:lpstr>
      <vt:lpstr>fsgBatchSubmissionFinalAddress39</vt:lpstr>
      <vt:lpstr>fsgBatchSubmissionFinalAddress4</vt:lpstr>
      <vt:lpstr>fsgBatchSubmissionFinalAddress40</vt:lpstr>
      <vt:lpstr>fsgBatchSubmissionFinalAddress41</vt:lpstr>
      <vt:lpstr>fsgBatchSubmissionFinalAddress42</vt:lpstr>
      <vt:lpstr>fsgBatchSubmissionFinalAddress43</vt:lpstr>
      <vt:lpstr>fsgBatchSubmissionFinalAddress44</vt:lpstr>
      <vt:lpstr>fsgBatchSubmissionFinalAddress45</vt:lpstr>
      <vt:lpstr>fsgBatchSubmissionFinalAddress46</vt:lpstr>
      <vt:lpstr>fsgBatchSubmissionFinalAddress47</vt:lpstr>
      <vt:lpstr>fsgBatchSubmissionFinalAddress48</vt:lpstr>
      <vt:lpstr>fsgBatchSubmissionFinalAddress49</vt:lpstr>
      <vt:lpstr>fsgBatchSubmissionFinalAddress5</vt:lpstr>
      <vt:lpstr>fsgBatchSubmissionFinalAddress50</vt:lpstr>
      <vt:lpstr>fsgBatchSubmissionFinalAddress6</vt:lpstr>
      <vt:lpstr>fsgBatchSubmissionFinalAddress7</vt:lpstr>
      <vt:lpstr>fsgBatchSubmissionFinalAddress8</vt:lpstr>
      <vt:lpstr>fsgBatchSubmissionFinalAddress9</vt:lpstr>
      <vt:lpstr>fsgBatchSubmissionFinalWRI1</vt:lpstr>
      <vt:lpstr>fsgBatchSubmissionFinalWRI10</vt:lpstr>
      <vt:lpstr>fsgBatchSubmissionFinalWRI11</vt:lpstr>
      <vt:lpstr>fsgBatchSubmissionFinalWRI12</vt:lpstr>
      <vt:lpstr>fsgBatchSubmissionFinalWRI13</vt:lpstr>
      <vt:lpstr>fsgBatchSubmissionFinalWRI14</vt:lpstr>
      <vt:lpstr>fsgBatchSubmissionFinalWRI15</vt:lpstr>
      <vt:lpstr>fsgBatchSubmissionFinalWRI16</vt:lpstr>
      <vt:lpstr>fsgBatchSubmissionFinalWRI17</vt:lpstr>
      <vt:lpstr>fsgBatchSubmissionFinalWRI18</vt:lpstr>
      <vt:lpstr>fsgBatchSubmissionFinalWRI19</vt:lpstr>
      <vt:lpstr>fsgBatchSubmissionFinalWRI2</vt:lpstr>
      <vt:lpstr>fsgBatchSubmissionFinalWRI20</vt:lpstr>
      <vt:lpstr>fsgBatchSubmissionFinalWRI21</vt:lpstr>
      <vt:lpstr>fsgBatchSubmissionFinalWRI22</vt:lpstr>
      <vt:lpstr>fsgBatchSubmissionFinalWRI23</vt:lpstr>
      <vt:lpstr>fsgBatchSubmissionFinalWRI24</vt:lpstr>
      <vt:lpstr>fsgBatchSubmissionFinalWRI25</vt:lpstr>
      <vt:lpstr>fsgBatchSubmissionFinalWRI26</vt:lpstr>
      <vt:lpstr>fsgBatchSubmissionFinalWRI27</vt:lpstr>
      <vt:lpstr>fsgBatchSubmissionFinalWRI28</vt:lpstr>
      <vt:lpstr>fsgBatchSubmissionFinalWRI29</vt:lpstr>
      <vt:lpstr>fsgBatchSubmissionFinalWRI3</vt:lpstr>
      <vt:lpstr>fsgBatchSubmissionFinalWRI30</vt:lpstr>
      <vt:lpstr>fsgBatchSubmissionFinalWRI31</vt:lpstr>
      <vt:lpstr>fsgBatchSubmissionFinalWRI32</vt:lpstr>
      <vt:lpstr>fsgBatchSubmissionFinalWRI33</vt:lpstr>
      <vt:lpstr>fsgBatchSubmissionFinalWRI34</vt:lpstr>
      <vt:lpstr>fsgBatchSubmissionFinalWRI35</vt:lpstr>
      <vt:lpstr>fsgBatchSubmissionFinalWRI36</vt:lpstr>
      <vt:lpstr>fsgBatchSubmissionFinalWRI37</vt:lpstr>
      <vt:lpstr>fsgBatchSubmissionFinalWRI38</vt:lpstr>
      <vt:lpstr>fsgBatchSubmissionFinalWRI39</vt:lpstr>
      <vt:lpstr>fsgBatchSubmissionFinalWRI4</vt:lpstr>
      <vt:lpstr>fsgBatchSubmissionFinalWRI40</vt:lpstr>
      <vt:lpstr>fsgBatchSubmissionFinalWRI41</vt:lpstr>
      <vt:lpstr>fsgBatchSubmissionFinalWRI42</vt:lpstr>
      <vt:lpstr>fsgBatchSubmissionFinalWRI43</vt:lpstr>
      <vt:lpstr>fsgBatchSubmissionFinalWRI44</vt:lpstr>
      <vt:lpstr>fsgBatchSubmissionFinalWRI45</vt:lpstr>
      <vt:lpstr>fsgBatchSubmissionFinalWRI46</vt:lpstr>
      <vt:lpstr>fsgBatchSubmissionFinalWRI47</vt:lpstr>
      <vt:lpstr>fsgBatchSubmissionFinalWRI48</vt:lpstr>
      <vt:lpstr>fsgBatchSubmissionFinalWRI49</vt:lpstr>
      <vt:lpstr>fsgBatchSubmissionFinalWRI5</vt:lpstr>
      <vt:lpstr>fsgBatchSubmissionFinalWRI50</vt:lpstr>
      <vt:lpstr>fsgBatchSubmissionFinalWRI6</vt:lpstr>
      <vt:lpstr>fsgBatchSubmissionFinalWRI7</vt:lpstr>
      <vt:lpstr>fsgBatchSubmissionFinalWRI8</vt:lpstr>
      <vt:lpstr>fsgBatchSubmissionFinalWRI9</vt:lpstr>
      <vt:lpstr>fsgBatchSubmissionInspectionDate1</vt:lpstr>
      <vt:lpstr>fsgBatchSubmissionInspectionDate10</vt:lpstr>
      <vt:lpstr>fsgBatchSubmissionInspectionDate11</vt:lpstr>
      <vt:lpstr>fsgBatchSubmissionInspectionDate12</vt:lpstr>
      <vt:lpstr>fsgBatchSubmissionInspectionDate13</vt:lpstr>
      <vt:lpstr>fsgBatchSubmissionInspectionDate14</vt:lpstr>
      <vt:lpstr>fsgBatchSubmissionInspectionDate15</vt:lpstr>
      <vt:lpstr>fsgBatchSubmissionInspectionDate16</vt:lpstr>
      <vt:lpstr>fsgBatchSubmissionInspectionDate17</vt:lpstr>
      <vt:lpstr>fsgBatchSubmissionInspectionDate18</vt:lpstr>
      <vt:lpstr>fsgBatchSubmissionInspectionDate19</vt:lpstr>
      <vt:lpstr>fsgBatchSubmissionInspectionDate2</vt:lpstr>
      <vt:lpstr>fsgBatchSubmissionInspectionDate20</vt:lpstr>
      <vt:lpstr>fsgBatchSubmissionInspectionDate21</vt:lpstr>
      <vt:lpstr>fsgBatchSubmissionInspectionDate22</vt:lpstr>
      <vt:lpstr>fsgBatchSubmissionInspectionDate23</vt:lpstr>
      <vt:lpstr>fsgBatchSubmissionInspectionDate24</vt:lpstr>
      <vt:lpstr>fsgBatchSubmissionInspectionDate25</vt:lpstr>
      <vt:lpstr>fsgBatchSubmissionInspectionDate26</vt:lpstr>
      <vt:lpstr>fsgBatchSubmissionInspectionDate27</vt:lpstr>
      <vt:lpstr>fsgBatchSubmissionInspectionDate28</vt:lpstr>
      <vt:lpstr>fsgBatchSubmissionInspectionDate29</vt:lpstr>
      <vt:lpstr>fsgBatchSubmissionInspectionDate3</vt:lpstr>
      <vt:lpstr>fsgBatchSubmissionInspectionDate30</vt:lpstr>
      <vt:lpstr>fsgBatchSubmissionInspectionDate31</vt:lpstr>
      <vt:lpstr>fsgBatchSubmissionInspectionDate32</vt:lpstr>
      <vt:lpstr>fsgBatchSubmissionInspectionDate33</vt:lpstr>
      <vt:lpstr>fsgBatchSubmissionInspectionDate34</vt:lpstr>
      <vt:lpstr>fsgBatchSubmissionInspectionDate35</vt:lpstr>
      <vt:lpstr>fsgBatchSubmissionInspectionDate36</vt:lpstr>
      <vt:lpstr>fsgBatchSubmissionInspectionDate37</vt:lpstr>
      <vt:lpstr>fsgBatchSubmissionInspectionDate38</vt:lpstr>
      <vt:lpstr>fsgBatchSubmissionInspectionDate39</vt:lpstr>
      <vt:lpstr>fsgBatchSubmissionInspectionDate4</vt:lpstr>
      <vt:lpstr>fsgBatchSubmissionInspectionDate40</vt:lpstr>
      <vt:lpstr>fsgBatchSubmissionInspectionDate41</vt:lpstr>
      <vt:lpstr>fsgBatchSubmissionInspectionDate42</vt:lpstr>
      <vt:lpstr>fsgBatchSubmissionInspectionDate43</vt:lpstr>
      <vt:lpstr>fsgBatchSubmissionInspectionDate44</vt:lpstr>
      <vt:lpstr>fsgBatchSubmissionInspectionDate45</vt:lpstr>
      <vt:lpstr>fsgBatchSubmissionInspectionDate46</vt:lpstr>
      <vt:lpstr>fsgBatchSubmissionInspectionDate47</vt:lpstr>
      <vt:lpstr>fsgBatchSubmissionInspectionDate48</vt:lpstr>
      <vt:lpstr>fsgBatchSubmissionInspectionDate49</vt:lpstr>
      <vt:lpstr>fsgBatchSubmissionInspectionDate5</vt:lpstr>
      <vt:lpstr>fsgBatchSubmissionInspectionDate50</vt:lpstr>
      <vt:lpstr>fsgBatchSubmissionInspectionDate6</vt:lpstr>
      <vt:lpstr>fsgBatchSubmissionInspectionDate7</vt:lpstr>
      <vt:lpstr>fsgBatchSubmissionInspectionDate8</vt:lpstr>
      <vt:lpstr>fsgBatchSubmissionInspectionDate9</vt:lpstr>
      <vt:lpstr>fsgBatchSubmissionProjectID1</vt:lpstr>
      <vt:lpstr>fsgBatchSubmissionProjectID10</vt:lpstr>
      <vt:lpstr>fsgBatchSubmissionProjectID11</vt:lpstr>
      <vt:lpstr>fsgBatchSubmissionProjectID12</vt:lpstr>
      <vt:lpstr>fsgBatchSubmissionProjectID13</vt:lpstr>
      <vt:lpstr>fsgBatchSubmissionProjectID14</vt:lpstr>
      <vt:lpstr>fsgBatchSubmissionProjectID15</vt:lpstr>
      <vt:lpstr>fsgBatchSubmissionProjectID16</vt:lpstr>
      <vt:lpstr>fsgBatchSubmissionProjectID17</vt:lpstr>
      <vt:lpstr>fsgBatchSubmissionProjectID18</vt:lpstr>
      <vt:lpstr>fsgBatchSubmissionProjectID19</vt:lpstr>
      <vt:lpstr>fsgBatchSubmissionProjectID2</vt:lpstr>
      <vt:lpstr>fsgBatchSubmissionProjectID20</vt:lpstr>
      <vt:lpstr>fsgBatchSubmissionProjectID21</vt:lpstr>
      <vt:lpstr>fsgBatchSubmissionProjectID22</vt:lpstr>
      <vt:lpstr>fsgBatchSubmissionProjectID23</vt:lpstr>
      <vt:lpstr>fsgBatchSubmissionProjectID24</vt:lpstr>
      <vt:lpstr>fsgBatchSubmissionProjectID25</vt:lpstr>
      <vt:lpstr>fsgBatchSubmissionProjectID26</vt:lpstr>
      <vt:lpstr>fsgBatchSubmissionProjectID27</vt:lpstr>
      <vt:lpstr>fsgBatchSubmissionProjectID28</vt:lpstr>
      <vt:lpstr>fsgBatchSubmissionProjectID29</vt:lpstr>
      <vt:lpstr>fsgBatchSubmissionProjectID3</vt:lpstr>
      <vt:lpstr>fsgBatchSubmissionProjectID30</vt:lpstr>
      <vt:lpstr>fsgBatchSubmissionProjectID31</vt:lpstr>
      <vt:lpstr>fsgBatchSubmissionProjectID32</vt:lpstr>
      <vt:lpstr>fsgBatchSubmissionProjectID33</vt:lpstr>
      <vt:lpstr>fsgBatchSubmissionProjectID34</vt:lpstr>
      <vt:lpstr>fsgBatchSubmissionProjectID35</vt:lpstr>
      <vt:lpstr>fsgBatchSubmissionProjectID36</vt:lpstr>
      <vt:lpstr>fsgBatchSubmissionProjectID37</vt:lpstr>
      <vt:lpstr>fsgBatchSubmissionProjectID38</vt:lpstr>
      <vt:lpstr>fsgBatchSubmissionProjectID39</vt:lpstr>
      <vt:lpstr>fsgBatchSubmissionProjectID4</vt:lpstr>
      <vt:lpstr>fsgBatchSubmissionProjectID40</vt:lpstr>
      <vt:lpstr>fsgBatchSubmissionProjectID41</vt:lpstr>
      <vt:lpstr>fsgBatchSubmissionProjectID42</vt:lpstr>
      <vt:lpstr>fsgBatchSubmissionProjectID43</vt:lpstr>
      <vt:lpstr>fsgBatchSubmissionProjectID44</vt:lpstr>
      <vt:lpstr>fsgBatchSubmissionProjectID45</vt:lpstr>
      <vt:lpstr>fsgBatchSubmissionProjectID46</vt:lpstr>
      <vt:lpstr>fsgBatchSubmissionProjectID47</vt:lpstr>
      <vt:lpstr>fsgBatchSubmissionProjectID48</vt:lpstr>
      <vt:lpstr>fsgBatchSubmissionProjectID49</vt:lpstr>
      <vt:lpstr>fsgBatchSubmissionProjectID5</vt:lpstr>
      <vt:lpstr>fsgBatchSubmissionProjectID50</vt:lpstr>
      <vt:lpstr>fsgBatchSubmissionProjectID6</vt:lpstr>
      <vt:lpstr>fsgBatchSubmissionProjectID7</vt:lpstr>
      <vt:lpstr>fsgBatchSubmissionProjectID8</vt:lpstr>
      <vt:lpstr>fsgBatchSubmissionProjectID9</vt:lpstr>
      <vt:lpstr>fsgBatchSubmissionZIP1</vt:lpstr>
      <vt:lpstr>fsgBatchSubmissionZIP10</vt:lpstr>
      <vt:lpstr>fsgBatchSubmissionZIP11</vt:lpstr>
      <vt:lpstr>fsgBatchSubmissionZIP12</vt:lpstr>
      <vt:lpstr>fsgBatchSubmissionZIP13</vt:lpstr>
      <vt:lpstr>fsgBatchSubmissionZIP14</vt:lpstr>
      <vt:lpstr>fsgBatchSubmissionZIP15</vt:lpstr>
      <vt:lpstr>fsgBatchSubmissionZIP16</vt:lpstr>
      <vt:lpstr>fsgBatchSubmissionZIP17</vt:lpstr>
      <vt:lpstr>fsgBatchSubmissionZIP18</vt:lpstr>
      <vt:lpstr>fsgBatchSubmissionZIP19</vt:lpstr>
      <vt:lpstr>fsgBatchSubmissionZIP2</vt:lpstr>
      <vt:lpstr>fsgBatchSubmissionZIP20</vt:lpstr>
      <vt:lpstr>fsgBatchSubmissionZIP21</vt:lpstr>
      <vt:lpstr>fsgBatchSubmissionZIP22</vt:lpstr>
      <vt:lpstr>fsgBatchSubmissionZIP23</vt:lpstr>
      <vt:lpstr>fsgBatchSubmissionZIP24</vt:lpstr>
      <vt:lpstr>fsgBatchSubmissionZIP25</vt:lpstr>
      <vt:lpstr>fsgBatchSubmissionZIP26</vt:lpstr>
      <vt:lpstr>fsgBatchSubmissionZIP27</vt:lpstr>
      <vt:lpstr>fsgBatchSubmissionZIP28</vt:lpstr>
      <vt:lpstr>fsgBatchSubmissionZIP29</vt:lpstr>
      <vt:lpstr>fsgBatchSubmissionZIP3</vt:lpstr>
      <vt:lpstr>fsgBatchSubmissionZIP30</vt:lpstr>
      <vt:lpstr>fsgBatchSubmissionZIP31</vt:lpstr>
      <vt:lpstr>fsgBatchSubmissionZIP32</vt:lpstr>
      <vt:lpstr>fsgBatchSubmissionZIP33</vt:lpstr>
      <vt:lpstr>fsgBatchSubmissionZIP34</vt:lpstr>
      <vt:lpstr>fsgBatchSubmissionZIP35</vt:lpstr>
      <vt:lpstr>fsgBatchSubmissionZIP36</vt:lpstr>
      <vt:lpstr>fsgBatchSubmissionZIP37</vt:lpstr>
      <vt:lpstr>fsgBatchSubmissionZIP38</vt:lpstr>
      <vt:lpstr>fsgBatchSubmissionZIP39</vt:lpstr>
      <vt:lpstr>fsgBatchSubmissionZIP4</vt:lpstr>
      <vt:lpstr>fsgBatchSubmissionZIP40</vt:lpstr>
      <vt:lpstr>fsgBatchSubmissionZIP41</vt:lpstr>
      <vt:lpstr>fsgBatchSubmissionZIP42</vt:lpstr>
      <vt:lpstr>fsgBatchSubmissionZIP43</vt:lpstr>
      <vt:lpstr>fsgBatchSubmissionZIP44</vt:lpstr>
      <vt:lpstr>fsgBatchSubmissionZIP45</vt:lpstr>
      <vt:lpstr>fsgBatchSubmissionZIP46</vt:lpstr>
      <vt:lpstr>fsgBatchSubmissionZIP47</vt:lpstr>
      <vt:lpstr>fsgBatchSubmissionZIP48</vt:lpstr>
      <vt:lpstr>fsgBatchSubmissionZIP49</vt:lpstr>
      <vt:lpstr>fsgBatchSubmissionZIP5</vt:lpstr>
      <vt:lpstr>fsgBatchSubmissionZIP50</vt:lpstr>
      <vt:lpstr>fsgBatchSubmissionZIP6</vt:lpstr>
      <vt:lpstr>fsgBatchSubmissionZIP7</vt:lpstr>
      <vt:lpstr>fsgBatchSubmissionZIP8</vt:lpstr>
      <vt:lpstr>fsgBatchSubmissionZIP9</vt:lpstr>
      <vt:lpstr>fsgBuilderComments</vt:lpstr>
      <vt:lpstr>fsgBuilderDate</vt:lpstr>
      <vt:lpstr>fsgBuilderEmail</vt:lpstr>
      <vt:lpstr>fsgBuilderName</vt:lpstr>
      <vt:lpstr>fsgBuilderPhone</vt:lpstr>
      <vt:lpstr>fsgSampleDate1</vt:lpstr>
      <vt:lpstr>fsgSampleDate10</vt:lpstr>
      <vt:lpstr>fsgSampleDate11</vt:lpstr>
      <vt:lpstr>fsgSampleDate12</vt:lpstr>
      <vt:lpstr>fsgSampleDate13</vt:lpstr>
      <vt:lpstr>fsgSampleDate14</vt:lpstr>
      <vt:lpstr>fsgSampleDate15</vt:lpstr>
      <vt:lpstr>fsgSampleDate16</vt:lpstr>
      <vt:lpstr>fsgSampleDate2</vt:lpstr>
      <vt:lpstr>fsgSampleDate3</vt:lpstr>
      <vt:lpstr>fsgSampleDate4</vt:lpstr>
      <vt:lpstr>fsgSampleDate5</vt:lpstr>
      <vt:lpstr>fsgSampleDate6</vt:lpstr>
      <vt:lpstr>fsgSampleDate7</vt:lpstr>
      <vt:lpstr>fsgSampleDate8</vt:lpstr>
      <vt:lpstr>fsgSampleDate9</vt:lpstr>
      <vt:lpstr>fsgSampleNotes1</vt:lpstr>
      <vt:lpstr>fsgSampleNotes10</vt:lpstr>
      <vt:lpstr>fsgSampleNotes11</vt:lpstr>
      <vt:lpstr>fsgSampleNotes12</vt:lpstr>
      <vt:lpstr>fsgSampleNotes13</vt:lpstr>
      <vt:lpstr>fsgSampleNotes14</vt:lpstr>
      <vt:lpstr>fsgSampleNotes15</vt:lpstr>
      <vt:lpstr>fsgSampleNotes16</vt:lpstr>
      <vt:lpstr>fsgSampleNotes2</vt:lpstr>
      <vt:lpstr>fsgSampleNotes3</vt:lpstr>
      <vt:lpstr>fsgSampleNotes4</vt:lpstr>
      <vt:lpstr>fsgSampleNotes5</vt:lpstr>
      <vt:lpstr>fsgSampleNotes6</vt:lpstr>
      <vt:lpstr>fsgSampleNotes7</vt:lpstr>
      <vt:lpstr>fsgSampleNotes8</vt:lpstr>
      <vt:lpstr>fsgSampleNotes9</vt:lpstr>
      <vt:lpstr>fsgSampleUnitsAvailable1</vt:lpstr>
      <vt:lpstr>fsgSampleUnitsAvailable10</vt:lpstr>
      <vt:lpstr>fsgSampleUnitsAvailable11</vt:lpstr>
      <vt:lpstr>fsgSampleUnitsAvailable12</vt:lpstr>
      <vt:lpstr>fsgSampleUnitsAvailable13</vt:lpstr>
      <vt:lpstr>fsgSampleUnitsAvailable14</vt:lpstr>
      <vt:lpstr>fsgSampleUnitsAvailable15</vt:lpstr>
      <vt:lpstr>fsgSampleUnitsAvailable16</vt:lpstr>
      <vt:lpstr>fsgSampleUnitsAvailable2</vt:lpstr>
      <vt:lpstr>fsgSampleUnitsAvailable3</vt:lpstr>
      <vt:lpstr>fsgSampleUnitsAvailable4</vt:lpstr>
      <vt:lpstr>fsgSampleUnitsAvailable5</vt:lpstr>
      <vt:lpstr>fsgSampleUnitsAvailable6</vt:lpstr>
      <vt:lpstr>fsgSampleUnitsAvailable7</vt:lpstr>
      <vt:lpstr>fsgSampleUnitsAvailable8</vt:lpstr>
      <vt:lpstr>fsgSampleUnitsAvailable9</vt:lpstr>
      <vt:lpstr>fsgSampleUnitsInspected1</vt:lpstr>
      <vt:lpstr>fsgSampleUnitsInspected10</vt:lpstr>
      <vt:lpstr>fsgSampleUnitsInspected11</vt:lpstr>
      <vt:lpstr>fsgSampleUnitsInspected12</vt:lpstr>
      <vt:lpstr>fsgSampleUnitsInspected13</vt:lpstr>
      <vt:lpstr>fsgSampleUnitsInspected14</vt:lpstr>
      <vt:lpstr>fsgSampleUnitsInspected15</vt:lpstr>
      <vt:lpstr>fsgSampleUnitsInspected16</vt:lpstr>
      <vt:lpstr>fsgSampleUnitsInspected2</vt:lpstr>
      <vt:lpstr>fsgSampleUnitsInspected3</vt:lpstr>
      <vt:lpstr>fsgSampleUnitsInspected4</vt:lpstr>
      <vt:lpstr>fsgSampleUnitsInspected5</vt:lpstr>
      <vt:lpstr>fsgSampleUnitsInspected6</vt:lpstr>
      <vt:lpstr>fsgSampleUnitsInspected7</vt:lpstr>
      <vt:lpstr>fsgSampleUnitsInspected8</vt:lpstr>
      <vt:lpstr>fsgSampleUnitsInspected9</vt:lpstr>
      <vt:lpstr>fsgTeamVerifierElementsVerified1</vt:lpstr>
      <vt:lpstr>fsgTeamVerifierElementsVerified2</vt:lpstr>
      <vt:lpstr>fsgTeamVerifierElementsVerified3</vt:lpstr>
      <vt:lpstr>fsgTeamVerifierElementsVerified4</vt:lpstr>
      <vt:lpstr>fsgTeamVerifierElementsVerified5</vt:lpstr>
      <vt:lpstr>fsgTeamVerifierInspectionDate1</vt:lpstr>
      <vt:lpstr>fsgTeamVerifierInspectionDate2</vt:lpstr>
      <vt:lpstr>fsgTeamVerifierInspectionDate3</vt:lpstr>
      <vt:lpstr>fsgTeamVerifierInspectionDate4</vt:lpstr>
      <vt:lpstr>fsgTeamVerifierInspectionDate5</vt:lpstr>
      <vt:lpstr>fsgTeamVerifierName1</vt:lpstr>
      <vt:lpstr>fsgTeamVerifierName2</vt:lpstr>
      <vt:lpstr>fsgTeamVerifierName3</vt:lpstr>
      <vt:lpstr>fsgTeamVerifierName4</vt:lpstr>
      <vt:lpstr>fsgTeamVerifierName5</vt:lpstr>
      <vt:lpstr>fsgTeamVerifierRole1</vt:lpstr>
      <vt:lpstr>fsgTeamVerifierRole2</vt:lpstr>
      <vt:lpstr>fsgTeamVerifierRole3</vt:lpstr>
      <vt:lpstr>fsgTeamVerifierRole4</vt:lpstr>
      <vt:lpstr>fsgTeamVerifierRole5</vt:lpstr>
      <vt:lpstr>fsgVerifierComments</vt:lpstr>
      <vt:lpstr>fsgVerifierDate</vt:lpstr>
      <vt:lpstr>fsgVerifierEmail</vt:lpstr>
      <vt:lpstr>fsgVerifierEndTime</vt:lpstr>
      <vt:lpstr>fsgVerifierName</vt:lpstr>
      <vt:lpstr>fsgVerifierPhone</vt:lpstr>
      <vt:lpstr>fsgVerifierStartTime</vt:lpstr>
      <vt:lpstr>GoalLevel</vt:lpstr>
      <vt:lpstr>hid802.3.2</vt:lpstr>
      <vt:lpstr>hid802.3.2ver</vt:lpstr>
      <vt:lpstr>'Badges (Design)'!hidBadgeMandatoryMsg</vt:lpstr>
      <vt:lpstr>'Badges (Verification)'!hidBadgeMandatoryMsg</vt:lpstr>
      <vt:lpstr>'WaterSense (Design)'!hidBadgeMandatoryMsg</vt:lpstr>
      <vt:lpstr>'WaterSense (Verification)'!hidBadgeMandatoryMsg</vt:lpstr>
      <vt:lpstr>'Badges (Design)'!hidBadgeOverviewMsg</vt:lpstr>
      <vt:lpstr>'Badges (Verification)'!hidBadgeOverviewMsg</vt:lpstr>
      <vt:lpstr>'WaterSense (Design)'!hidBadgeOverviewMsg</vt:lpstr>
      <vt:lpstr>'WaterSense (Verification)'!hidBadgeOverviewMsg</vt:lpstr>
      <vt:lpstr>hidCh10ErrorsMsg</vt:lpstr>
      <vt:lpstr>hidCh10MandatoryMsg</vt:lpstr>
      <vt:lpstr>hidCh10OverviewMsg</vt:lpstr>
      <vt:lpstr>hidCh5ErrorsMsg</vt:lpstr>
      <vt:lpstr>hidCh5MandatoryMsg</vt:lpstr>
      <vt:lpstr>hidCh5OverviewMsg</vt:lpstr>
      <vt:lpstr>hidCh6ErrorsMsg</vt:lpstr>
      <vt:lpstr>hidCh6MandatoryMsg</vt:lpstr>
      <vt:lpstr>hidCh6OverviewMsg</vt:lpstr>
      <vt:lpstr>hidCh7ErrorsMsg</vt:lpstr>
      <vt:lpstr>hidCh7MandatoryMsg</vt:lpstr>
      <vt:lpstr>hidCh7OverviewMsg</vt:lpstr>
      <vt:lpstr>hidCh8ErrorsMsg</vt:lpstr>
      <vt:lpstr>hidCh8MandatoryMsg</vt:lpstr>
      <vt:lpstr>hidCh8OverviewMsg</vt:lpstr>
      <vt:lpstr>hidCh9ErrorsMsg</vt:lpstr>
      <vt:lpstr>hidCh9MandatoryMsg</vt:lpstr>
      <vt:lpstr>hidCh9OverviewMsg</vt:lpstr>
      <vt:lpstr>hidCity</vt:lpstr>
      <vt:lpstr>hidCityInstruction</vt:lpstr>
      <vt:lpstr>'WaterSense (Design)'!hidDesBadgesErrorsMsg</vt:lpstr>
      <vt:lpstr>hidDesBadgesErrorsMsg</vt:lpstr>
      <vt:lpstr>'WaterSense (Design)'!hidDesBadgesMandatoryMsg</vt:lpstr>
      <vt:lpstr>hidDesBadgesMandatoryMsg</vt:lpstr>
      <vt:lpstr>'WaterSense (Design)'!hidDesBadgesOverviewMsg</vt:lpstr>
      <vt:lpstr>hidDesBadgesOverviewMsg</vt:lpstr>
      <vt:lpstr>hidElevationWarning</vt:lpstr>
      <vt:lpstr>hidElevationWarning2</vt:lpstr>
      <vt:lpstr>hidElevationWarning3</vt:lpstr>
      <vt:lpstr>hidElevationWarning4</vt:lpstr>
      <vt:lpstr>hidFinalSamp1</vt:lpstr>
      <vt:lpstr>hidFinalSamp2</vt:lpstr>
      <vt:lpstr>hidFSMandatoryMsg</vt:lpstr>
      <vt:lpstr>hidFSOverviewMsg</vt:lpstr>
      <vt:lpstr>hidIDInstruction</vt:lpstr>
      <vt:lpstr>hidODClimateFormula</vt:lpstr>
      <vt:lpstr>hidODClimateLabel</vt:lpstr>
      <vt:lpstr>hidODCommercial</vt:lpstr>
      <vt:lpstr>hidODCountyFormula</vt:lpstr>
      <vt:lpstr>hidODCountyLabel</vt:lpstr>
      <vt:lpstr>hidODMoistFormula</vt:lpstr>
      <vt:lpstr>hidODMoistLabel</vt:lpstr>
      <vt:lpstr>hidODNumberUnitsLabel</vt:lpstr>
      <vt:lpstr>hidODProjectNameLabel</vt:lpstr>
      <vt:lpstr>hidODStateFormula</vt:lpstr>
      <vt:lpstr>hidODStateLabel</vt:lpstr>
      <vt:lpstr>hidODTropicalFormula</vt:lpstr>
      <vt:lpstr>hidODTropicalLabel</vt:lpstr>
      <vt:lpstr>hidODWarmFormula</vt:lpstr>
      <vt:lpstr>hidODWarmLabel</vt:lpstr>
      <vt:lpstr>hidOVClimateFormula</vt:lpstr>
      <vt:lpstr>hidOVClimateLabel</vt:lpstr>
      <vt:lpstr>hidOVCommercial</vt:lpstr>
      <vt:lpstr>hidOVCountyFormula</vt:lpstr>
      <vt:lpstr>hidOVCountyLabel</vt:lpstr>
      <vt:lpstr>hidOVMoistFormula</vt:lpstr>
      <vt:lpstr>hidOVMoistLabel</vt:lpstr>
      <vt:lpstr>hidOVNumberUnitsLabel</vt:lpstr>
      <vt:lpstr>hidOVProjectNameLabel</vt:lpstr>
      <vt:lpstr>hidOVStateFormula</vt:lpstr>
      <vt:lpstr>hidOVStateLabel</vt:lpstr>
      <vt:lpstr>hidOVTropicalFormula</vt:lpstr>
      <vt:lpstr>hidOVTropicalLabel</vt:lpstr>
      <vt:lpstr>hidOVWarmFormula</vt:lpstr>
      <vt:lpstr>hidOVWarmLabel</vt:lpstr>
      <vt:lpstr>hidRoughCommNote</vt:lpstr>
      <vt:lpstr>hidRoughSamp1</vt:lpstr>
      <vt:lpstr>hidRoughSamp2</vt:lpstr>
      <vt:lpstr>hidRSMandatoryMsg</vt:lpstr>
      <vt:lpstr>hidRSOverviewMsg</vt:lpstr>
      <vt:lpstr>'WaterSense (Verification)'!hidVerBadgesErrorsMsg</vt:lpstr>
      <vt:lpstr>hidVerBadgesErrorsMsg</vt:lpstr>
      <vt:lpstr>'WaterSense (Verification)'!hidVerBadgesMandatoryMsg</vt:lpstr>
      <vt:lpstr>hidVerBadgesMandatoryMsg</vt:lpstr>
      <vt:lpstr>'WaterSense (Verification)'!hidVerBadgesOverviewMsg</vt:lpstr>
      <vt:lpstr>hidVerBadgesOverviewMsg</vt:lpstr>
      <vt:lpstr>hidVRErrorsMsg</vt:lpstr>
      <vt:lpstr>hidVRMandatoryMsg</vt:lpstr>
      <vt:lpstr>hidVROverviewMsg</vt:lpstr>
      <vt:lpstr>hidZip</vt:lpstr>
      <vt:lpstr>hidZIPInstruction</vt:lpstr>
      <vt:lpstr>hyptarg1</vt:lpstr>
      <vt:lpstr>hyptarg2</vt:lpstr>
      <vt:lpstr>hyptarg3</vt:lpstr>
      <vt:lpstr>hyptarg4</vt:lpstr>
      <vt:lpstr>hyptarg5</vt:lpstr>
      <vt:lpstr>hyptarg6</vt:lpstr>
      <vt:lpstr>hyptarg7.1</vt:lpstr>
      <vt:lpstr>hyptarg7.2</vt:lpstr>
      <vt:lpstr>hyptarg7.26</vt:lpstr>
      <vt:lpstr>hyptarg7.3</vt:lpstr>
      <vt:lpstr>hyptarg7.4</vt:lpstr>
      <vt:lpstr>hyptarg7.5</vt:lpstr>
      <vt:lpstr>hyptarg8.1</vt:lpstr>
      <vt:lpstr>hyptarg9.1</vt:lpstr>
      <vt:lpstr>hyptarg9.2</vt:lpstr>
      <vt:lpstr>hyptarg9.3</vt:lpstr>
      <vt:lpstr>Intro</vt:lpstr>
      <vt:lpstr>MFIntro</vt:lpstr>
      <vt:lpstr>'Badges (Design)'!Print_Area</vt:lpstr>
      <vt:lpstr>'Badges (Verification)'!Print_Area</vt:lpstr>
      <vt:lpstr>'Ch10'!Print_Area</vt:lpstr>
      <vt:lpstr>'Ch5'!Print_Area</vt:lpstr>
      <vt:lpstr>'Ch6'!Print_Area</vt:lpstr>
      <vt:lpstr>'Ch8'!Print_Area</vt:lpstr>
      <vt:lpstr>'Design Summ.'!Print_Area</vt:lpstr>
      <vt:lpstr>'Overview (Design)'!Print_Area</vt:lpstr>
      <vt:lpstr>'Overview (Verification)'!Print_Area</vt:lpstr>
      <vt:lpstr>'Verification Report'!Print_Area</vt:lpstr>
      <vt:lpstr>'WaterSense (Design)'!Print_Area</vt:lpstr>
      <vt:lpstr>'WaterSense (Verification)'!Print_Area</vt:lpstr>
      <vt:lpstr>'Badges (Design)'!ReportType</vt:lpstr>
      <vt:lpstr>'Badges (Verification)'!ReportType</vt:lpstr>
      <vt:lpstr>'Verification Report'!ReportType</vt:lpstr>
      <vt:lpstr>'WaterSense (Design)'!ReportType</vt:lpstr>
      <vt:lpstr>'WaterSense (Verification)'!ReportType</vt:lpstr>
      <vt:lpstr>ReportType</vt:lpstr>
      <vt:lpstr>ReportTypeRes</vt:lpstr>
      <vt:lpstr>rsgBatchSubmissionCity1</vt:lpstr>
      <vt:lpstr>rsgBatchSubmissionCity10</vt:lpstr>
      <vt:lpstr>rsgBatchSubmissionCity11</vt:lpstr>
      <vt:lpstr>rsgBatchSubmissionCity12</vt:lpstr>
      <vt:lpstr>rsgBatchSubmissionCity13</vt:lpstr>
      <vt:lpstr>rsgBatchSubmissionCity14</vt:lpstr>
      <vt:lpstr>rsgBatchSubmissionCity15</vt:lpstr>
      <vt:lpstr>rsgBatchSubmissionCity16</vt:lpstr>
      <vt:lpstr>rsgBatchSubmissionCity17</vt:lpstr>
      <vt:lpstr>rsgBatchSubmissionCity18</vt:lpstr>
      <vt:lpstr>rsgBatchSubmissionCity19</vt:lpstr>
      <vt:lpstr>rsgBatchSubmissionCity2</vt:lpstr>
      <vt:lpstr>rsgBatchSubmissionCity20</vt:lpstr>
      <vt:lpstr>rsgBatchSubmissionCity21</vt:lpstr>
      <vt:lpstr>rsgBatchSubmissionCity22</vt:lpstr>
      <vt:lpstr>rsgBatchSubmissionCity23</vt:lpstr>
      <vt:lpstr>rsgBatchSubmissionCity24</vt:lpstr>
      <vt:lpstr>rsgBatchSubmissionCity25</vt:lpstr>
      <vt:lpstr>rsgBatchSubmissionCity26</vt:lpstr>
      <vt:lpstr>rsgBatchSubmissionCity27</vt:lpstr>
      <vt:lpstr>rsgBatchSubmissionCity28</vt:lpstr>
      <vt:lpstr>rsgBatchSubmissionCity29</vt:lpstr>
      <vt:lpstr>rsgBatchSubmissionCity3</vt:lpstr>
      <vt:lpstr>rsgBatchSubmissionCity30</vt:lpstr>
      <vt:lpstr>rsgBatchSubmissionCity31</vt:lpstr>
      <vt:lpstr>rsgBatchSubmissionCity32</vt:lpstr>
      <vt:lpstr>rsgBatchSubmissionCity33</vt:lpstr>
      <vt:lpstr>rsgBatchSubmissionCity34</vt:lpstr>
      <vt:lpstr>rsgBatchSubmissionCity35</vt:lpstr>
      <vt:lpstr>rsgBatchSubmissionCity36</vt:lpstr>
      <vt:lpstr>rsgBatchSubmissionCity37</vt:lpstr>
      <vt:lpstr>rsgBatchSubmissionCity38</vt:lpstr>
      <vt:lpstr>rsgBatchSubmissionCity39</vt:lpstr>
      <vt:lpstr>rsgBatchSubmissionCity4</vt:lpstr>
      <vt:lpstr>rsgBatchSubmissionCity40</vt:lpstr>
      <vt:lpstr>rsgBatchSubmissionCity41</vt:lpstr>
      <vt:lpstr>rsgBatchSubmissionCity42</vt:lpstr>
      <vt:lpstr>rsgBatchSubmissionCity43</vt:lpstr>
      <vt:lpstr>rsgBatchSubmissionCity44</vt:lpstr>
      <vt:lpstr>rsgBatchSubmissionCity45</vt:lpstr>
      <vt:lpstr>rsgBatchSubmissionCity46</vt:lpstr>
      <vt:lpstr>rsgBatchSubmissionCity47</vt:lpstr>
      <vt:lpstr>rsgBatchSubmissionCity48</vt:lpstr>
      <vt:lpstr>rsgBatchSubmissionCity49</vt:lpstr>
      <vt:lpstr>rsgBatchSubmissionCity5</vt:lpstr>
      <vt:lpstr>rsgBatchSubmissionCity50</vt:lpstr>
      <vt:lpstr>rsgBatchSubmissionCity6</vt:lpstr>
      <vt:lpstr>rsgBatchSubmissionCity7</vt:lpstr>
      <vt:lpstr>rsgBatchSubmissionCity8</vt:lpstr>
      <vt:lpstr>rsgBatchSubmissionCity9</vt:lpstr>
      <vt:lpstr>rsgBatchSubmissionInspectionDate1</vt:lpstr>
      <vt:lpstr>rsgBatchSubmissionInspectionDate10</vt:lpstr>
      <vt:lpstr>rsgBatchSubmissionInspectionDate11</vt:lpstr>
      <vt:lpstr>rsgBatchSubmissionInspectionDate12</vt:lpstr>
      <vt:lpstr>rsgBatchSubmissionInspectionDate13</vt:lpstr>
      <vt:lpstr>rsgBatchSubmissionInspectionDate14</vt:lpstr>
      <vt:lpstr>rsgBatchSubmissionInspectionDate15</vt:lpstr>
      <vt:lpstr>rsgBatchSubmissionInspectionDate16</vt:lpstr>
      <vt:lpstr>rsgBatchSubmissionInspectionDate17</vt:lpstr>
      <vt:lpstr>rsgBatchSubmissionInspectionDate18</vt:lpstr>
      <vt:lpstr>rsgBatchSubmissionInspectionDate19</vt:lpstr>
      <vt:lpstr>rsgBatchSubmissionInspectionDate2</vt:lpstr>
      <vt:lpstr>rsgBatchSubmissionInspectionDate20</vt:lpstr>
      <vt:lpstr>rsgBatchSubmissionInspectionDate21</vt:lpstr>
      <vt:lpstr>rsgBatchSubmissionInspectionDate22</vt:lpstr>
      <vt:lpstr>rsgBatchSubmissionInspectionDate23</vt:lpstr>
      <vt:lpstr>rsgBatchSubmissionInspectionDate24</vt:lpstr>
      <vt:lpstr>rsgBatchSubmissionInspectionDate25</vt:lpstr>
      <vt:lpstr>rsgBatchSubmissionInspectionDate26</vt:lpstr>
      <vt:lpstr>rsgBatchSubmissionInspectionDate27</vt:lpstr>
      <vt:lpstr>rsgBatchSubmissionInspectionDate28</vt:lpstr>
      <vt:lpstr>rsgBatchSubmissionInspectionDate29</vt:lpstr>
      <vt:lpstr>rsgBatchSubmissionInspectionDate3</vt:lpstr>
      <vt:lpstr>rsgBatchSubmissionInspectionDate30</vt:lpstr>
      <vt:lpstr>rsgBatchSubmissionInspectionDate31</vt:lpstr>
      <vt:lpstr>rsgBatchSubmissionInspectionDate32</vt:lpstr>
      <vt:lpstr>rsgBatchSubmissionInspectionDate33</vt:lpstr>
      <vt:lpstr>rsgBatchSubmissionInspectionDate34</vt:lpstr>
      <vt:lpstr>rsgBatchSubmissionInspectionDate35</vt:lpstr>
      <vt:lpstr>rsgBatchSubmissionInspectionDate36</vt:lpstr>
      <vt:lpstr>rsgBatchSubmissionInspectionDate37</vt:lpstr>
      <vt:lpstr>rsgBatchSubmissionInspectionDate38</vt:lpstr>
      <vt:lpstr>rsgBatchSubmissionInspectionDate39</vt:lpstr>
      <vt:lpstr>rsgBatchSubmissionInspectionDate4</vt:lpstr>
      <vt:lpstr>rsgBatchSubmissionInspectionDate40</vt:lpstr>
      <vt:lpstr>rsgBatchSubmissionInspectionDate41</vt:lpstr>
      <vt:lpstr>rsgBatchSubmissionInspectionDate42</vt:lpstr>
      <vt:lpstr>rsgBatchSubmissionInspectionDate43</vt:lpstr>
      <vt:lpstr>rsgBatchSubmissionInspectionDate44</vt:lpstr>
      <vt:lpstr>rsgBatchSubmissionInspectionDate45</vt:lpstr>
      <vt:lpstr>rsgBatchSubmissionInspectionDate46</vt:lpstr>
      <vt:lpstr>rsgBatchSubmissionInspectionDate47</vt:lpstr>
      <vt:lpstr>rsgBatchSubmissionInspectionDate48</vt:lpstr>
      <vt:lpstr>rsgBatchSubmissionInspectionDate49</vt:lpstr>
      <vt:lpstr>rsgBatchSubmissionInspectionDate5</vt:lpstr>
      <vt:lpstr>rsgBatchSubmissionInspectionDate50</vt:lpstr>
      <vt:lpstr>rsgBatchSubmissionInspectionDate6</vt:lpstr>
      <vt:lpstr>rsgBatchSubmissionInspectionDate7</vt:lpstr>
      <vt:lpstr>rsgBatchSubmissionInspectionDate8</vt:lpstr>
      <vt:lpstr>rsgBatchSubmissionInspectionDate9</vt:lpstr>
      <vt:lpstr>rsgBatchSubmissionProjectID1</vt:lpstr>
      <vt:lpstr>rsgBatchSubmissionProjectID10</vt:lpstr>
      <vt:lpstr>rsgBatchSubmissionProjectID11</vt:lpstr>
      <vt:lpstr>rsgBatchSubmissionProjectID12</vt:lpstr>
      <vt:lpstr>rsgBatchSubmissionProjectID13</vt:lpstr>
      <vt:lpstr>rsgBatchSubmissionProjectID14</vt:lpstr>
      <vt:lpstr>rsgBatchSubmissionProjectID15</vt:lpstr>
      <vt:lpstr>rsgBatchSubmissionProjectID16</vt:lpstr>
      <vt:lpstr>rsgBatchSubmissionProjectID17</vt:lpstr>
      <vt:lpstr>rsgBatchSubmissionProjectID18</vt:lpstr>
      <vt:lpstr>rsgBatchSubmissionProjectID19</vt:lpstr>
      <vt:lpstr>rsgBatchSubmissionProjectID2</vt:lpstr>
      <vt:lpstr>rsgBatchSubmissionProjectID20</vt:lpstr>
      <vt:lpstr>rsgBatchSubmissionProjectID21</vt:lpstr>
      <vt:lpstr>rsgBatchSubmissionProjectID22</vt:lpstr>
      <vt:lpstr>rsgBatchSubmissionProjectID23</vt:lpstr>
      <vt:lpstr>rsgBatchSubmissionProjectID24</vt:lpstr>
      <vt:lpstr>rsgBatchSubmissionProjectID25</vt:lpstr>
      <vt:lpstr>rsgBatchSubmissionProjectID26</vt:lpstr>
      <vt:lpstr>rsgBatchSubmissionProjectID27</vt:lpstr>
      <vt:lpstr>rsgBatchSubmissionProjectID28</vt:lpstr>
      <vt:lpstr>rsgBatchSubmissionProjectID29</vt:lpstr>
      <vt:lpstr>rsgBatchSubmissionProjectID3</vt:lpstr>
      <vt:lpstr>rsgBatchSubmissionProjectID30</vt:lpstr>
      <vt:lpstr>rsgBatchSubmissionProjectID31</vt:lpstr>
      <vt:lpstr>rsgBatchSubmissionProjectID32</vt:lpstr>
      <vt:lpstr>rsgBatchSubmissionProjectID33</vt:lpstr>
      <vt:lpstr>rsgBatchSubmissionProjectID34</vt:lpstr>
      <vt:lpstr>rsgBatchSubmissionProjectID35</vt:lpstr>
      <vt:lpstr>rsgBatchSubmissionProjectID36</vt:lpstr>
      <vt:lpstr>rsgBatchSubmissionProjectID37</vt:lpstr>
      <vt:lpstr>rsgBatchSubmissionProjectID38</vt:lpstr>
      <vt:lpstr>rsgBatchSubmissionProjectID39</vt:lpstr>
      <vt:lpstr>rsgBatchSubmissionProjectID4</vt:lpstr>
      <vt:lpstr>rsgBatchSubmissionProjectID40</vt:lpstr>
      <vt:lpstr>rsgBatchSubmissionProjectID41</vt:lpstr>
      <vt:lpstr>rsgBatchSubmissionProjectID42</vt:lpstr>
      <vt:lpstr>rsgBatchSubmissionProjectID43</vt:lpstr>
      <vt:lpstr>rsgBatchSubmissionProjectID44</vt:lpstr>
      <vt:lpstr>rsgBatchSubmissionProjectID45</vt:lpstr>
      <vt:lpstr>rsgBatchSubmissionProjectID46</vt:lpstr>
      <vt:lpstr>rsgBatchSubmissionProjectID47</vt:lpstr>
      <vt:lpstr>rsgBatchSubmissionProjectID48</vt:lpstr>
      <vt:lpstr>rsgBatchSubmissionProjectID49</vt:lpstr>
      <vt:lpstr>rsgBatchSubmissionProjectID5</vt:lpstr>
      <vt:lpstr>rsgBatchSubmissionProjectID50</vt:lpstr>
      <vt:lpstr>rsgBatchSubmissionProjectID6</vt:lpstr>
      <vt:lpstr>rsgBatchSubmissionProjectID7</vt:lpstr>
      <vt:lpstr>rsgBatchSubmissionProjectID8</vt:lpstr>
      <vt:lpstr>rsgBatchSubmissionProjectID9</vt:lpstr>
      <vt:lpstr>rsgBatchSubmissionRoughAddress1</vt:lpstr>
      <vt:lpstr>rsgBatchSubmissionRoughAddress10</vt:lpstr>
      <vt:lpstr>rsgBatchSubmissionRoughAddress11</vt:lpstr>
      <vt:lpstr>rsgBatchSubmissionRoughAddress12</vt:lpstr>
      <vt:lpstr>rsgBatchSubmissionRoughAddress13</vt:lpstr>
      <vt:lpstr>rsgBatchSubmissionRoughAddress14</vt:lpstr>
      <vt:lpstr>rsgBatchSubmissionRoughAddress15</vt:lpstr>
      <vt:lpstr>rsgBatchSubmissionRoughAddress16</vt:lpstr>
      <vt:lpstr>rsgBatchSubmissionRoughAddress17</vt:lpstr>
      <vt:lpstr>rsgBatchSubmissionRoughAddress18</vt:lpstr>
      <vt:lpstr>rsgBatchSubmissionRoughAddress19</vt:lpstr>
      <vt:lpstr>rsgBatchSubmissionRoughAddress2</vt:lpstr>
      <vt:lpstr>rsgBatchSubmissionRoughAddress20</vt:lpstr>
      <vt:lpstr>rsgBatchSubmissionRoughAddress21</vt:lpstr>
      <vt:lpstr>rsgBatchSubmissionRoughAddress22</vt:lpstr>
      <vt:lpstr>rsgBatchSubmissionRoughAddress23</vt:lpstr>
      <vt:lpstr>rsgBatchSubmissionRoughAddress24</vt:lpstr>
      <vt:lpstr>rsgBatchSubmissionRoughAddress25</vt:lpstr>
      <vt:lpstr>rsgBatchSubmissionRoughAddress26</vt:lpstr>
      <vt:lpstr>rsgBatchSubmissionRoughAddress27</vt:lpstr>
      <vt:lpstr>rsgBatchSubmissionRoughAddress28</vt:lpstr>
      <vt:lpstr>rsgBatchSubmissionRoughAddress29</vt:lpstr>
      <vt:lpstr>rsgBatchSubmissionRoughAddress3</vt:lpstr>
      <vt:lpstr>rsgBatchSubmissionRoughAddress30</vt:lpstr>
      <vt:lpstr>rsgBatchSubmissionRoughAddress31</vt:lpstr>
      <vt:lpstr>rsgBatchSubmissionRoughAddress32</vt:lpstr>
      <vt:lpstr>rsgBatchSubmissionRoughAddress33</vt:lpstr>
      <vt:lpstr>rsgBatchSubmissionRoughAddress34</vt:lpstr>
      <vt:lpstr>rsgBatchSubmissionRoughAddress35</vt:lpstr>
      <vt:lpstr>rsgBatchSubmissionRoughAddress36</vt:lpstr>
      <vt:lpstr>rsgBatchSubmissionRoughAddress37</vt:lpstr>
      <vt:lpstr>rsgBatchSubmissionRoughAddress38</vt:lpstr>
      <vt:lpstr>rsgBatchSubmissionRoughAddress39</vt:lpstr>
      <vt:lpstr>rsgBatchSubmissionRoughAddress4</vt:lpstr>
      <vt:lpstr>rsgBatchSubmissionRoughAddress40</vt:lpstr>
      <vt:lpstr>rsgBatchSubmissionRoughAddress41</vt:lpstr>
      <vt:lpstr>rsgBatchSubmissionRoughAddress42</vt:lpstr>
      <vt:lpstr>rsgBatchSubmissionRoughAddress43</vt:lpstr>
      <vt:lpstr>rsgBatchSubmissionRoughAddress44</vt:lpstr>
      <vt:lpstr>rsgBatchSubmissionRoughAddress45</vt:lpstr>
      <vt:lpstr>rsgBatchSubmissionRoughAddress46</vt:lpstr>
      <vt:lpstr>rsgBatchSubmissionRoughAddress47</vt:lpstr>
      <vt:lpstr>rsgBatchSubmissionRoughAddress48</vt:lpstr>
      <vt:lpstr>rsgBatchSubmissionRoughAddress49</vt:lpstr>
      <vt:lpstr>rsgBatchSubmissionRoughAddress5</vt:lpstr>
      <vt:lpstr>rsgBatchSubmissionRoughAddress50</vt:lpstr>
      <vt:lpstr>rsgBatchSubmissionRoughAddress6</vt:lpstr>
      <vt:lpstr>rsgBatchSubmissionRoughAddress7</vt:lpstr>
      <vt:lpstr>rsgBatchSubmissionRoughAddress8</vt:lpstr>
      <vt:lpstr>rsgBatchSubmissionRoughAddress9</vt:lpstr>
      <vt:lpstr>rsgBatchSubmissionZIP1</vt:lpstr>
      <vt:lpstr>rsgBatchSubmissionZIP10</vt:lpstr>
      <vt:lpstr>rsgBatchSubmissionZIP11</vt:lpstr>
      <vt:lpstr>rsgBatchSubmissionZIP12</vt:lpstr>
      <vt:lpstr>rsgBatchSubmissionZIP13</vt:lpstr>
      <vt:lpstr>rsgBatchSubmissionZIP14</vt:lpstr>
      <vt:lpstr>rsgBatchSubmissionZIP15</vt:lpstr>
      <vt:lpstr>rsgBatchSubmissionZIP16</vt:lpstr>
      <vt:lpstr>rsgBatchSubmissionZIP17</vt:lpstr>
      <vt:lpstr>rsgBatchSubmissionZIP18</vt:lpstr>
      <vt:lpstr>rsgBatchSubmissionZIP19</vt:lpstr>
      <vt:lpstr>rsgBatchSubmissionZIP2</vt:lpstr>
      <vt:lpstr>rsgBatchSubmissionZIP20</vt:lpstr>
      <vt:lpstr>rsgBatchSubmissionZIP21</vt:lpstr>
      <vt:lpstr>rsgBatchSubmissionZIP22</vt:lpstr>
      <vt:lpstr>rsgBatchSubmissionZIP23</vt:lpstr>
      <vt:lpstr>rsgBatchSubmissionZIP24</vt:lpstr>
      <vt:lpstr>rsgBatchSubmissionZIP25</vt:lpstr>
      <vt:lpstr>rsgBatchSubmissionZIP26</vt:lpstr>
      <vt:lpstr>rsgBatchSubmissionZIP27</vt:lpstr>
      <vt:lpstr>rsgBatchSubmissionZIP28</vt:lpstr>
      <vt:lpstr>rsgBatchSubmissionZIP29</vt:lpstr>
      <vt:lpstr>rsgBatchSubmissionZIP3</vt:lpstr>
      <vt:lpstr>rsgBatchSubmissionZIP30</vt:lpstr>
      <vt:lpstr>rsgBatchSubmissionZIP31</vt:lpstr>
      <vt:lpstr>rsgBatchSubmissionZIP32</vt:lpstr>
      <vt:lpstr>rsgBatchSubmissionZIP33</vt:lpstr>
      <vt:lpstr>rsgBatchSubmissionZIP34</vt:lpstr>
      <vt:lpstr>rsgBatchSubmissionZIP35</vt:lpstr>
      <vt:lpstr>rsgBatchSubmissionZIP36</vt:lpstr>
      <vt:lpstr>rsgBatchSubmissionZIP37</vt:lpstr>
      <vt:lpstr>rsgBatchSubmissionZIP38</vt:lpstr>
      <vt:lpstr>rsgBatchSubmissionZIP39</vt:lpstr>
      <vt:lpstr>rsgBatchSubmissionZIP4</vt:lpstr>
      <vt:lpstr>rsgBatchSubmissionZIP40</vt:lpstr>
      <vt:lpstr>rsgBatchSubmissionZIP41</vt:lpstr>
      <vt:lpstr>rsgBatchSubmissionZIP42</vt:lpstr>
      <vt:lpstr>rsgBatchSubmissionZIP43</vt:lpstr>
      <vt:lpstr>rsgBatchSubmissionZIP44</vt:lpstr>
      <vt:lpstr>rsgBatchSubmissionZIP45</vt:lpstr>
      <vt:lpstr>rsgBatchSubmissionZIP46</vt:lpstr>
      <vt:lpstr>rsgBatchSubmissionZIP47</vt:lpstr>
      <vt:lpstr>rsgBatchSubmissionZIP48</vt:lpstr>
      <vt:lpstr>rsgBatchSubmissionZIP49</vt:lpstr>
      <vt:lpstr>rsgBatchSubmissionZIP5</vt:lpstr>
      <vt:lpstr>rsgBatchSubmissionZIP50</vt:lpstr>
      <vt:lpstr>rsgBatchSubmissionZIP6</vt:lpstr>
      <vt:lpstr>rsgBatchSubmissionZIP7</vt:lpstr>
      <vt:lpstr>rsgBatchSubmissionZIP8</vt:lpstr>
      <vt:lpstr>rsgBatchSubmissionZIP9</vt:lpstr>
      <vt:lpstr>rsgBuilderComments</vt:lpstr>
      <vt:lpstr>rsgBuilderDate</vt:lpstr>
      <vt:lpstr>rsgBuilderEmail</vt:lpstr>
      <vt:lpstr>rsgBuilderName</vt:lpstr>
      <vt:lpstr>rsgBuilderPhone</vt:lpstr>
      <vt:lpstr>rsgSampleDate1</vt:lpstr>
      <vt:lpstr>rsgSampleDate10</vt:lpstr>
      <vt:lpstr>rsgSampleDate11</vt:lpstr>
      <vt:lpstr>rsgSampleDate12</vt:lpstr>
      <vt:lpstr>rsgSampleDate13</vt:lpstr>
      <vt:lpstr>rsgSampleDate14</vt:lpstr>
      <vt:lpstr>rsgSampleDate15</vt:lpstr>
      <vt:lpstr>rsgSampleDate16</vt:lpstr>
      <vt:lpstr>rsgSampleDate2</vt:lpstr>
      <vt:lpstr>rsgSampleDate3</vt:lpstr>
      <vt:lpstr>rsgSampleDate4</vt:lpstr>
      <vt:lpstr>rsgSampleDate5</vt:lpstr>
      <vt:lpstr>rsgSampleDate6</vt:lpstr>
      <vt:lpstr>rsgSampleDate7</vt:lpstr>
      <vt:lpstr>rsgSampleDate8</vt:lpstr>
      <vt:lpstr>rsgSampleDate9</vt:lpstr>
      <vt:lpstr>rsgSampleNotes1</vt:lpstr>
      <vt:lpstr>rsgSampleNotes10</vt:lpstr>
      <vt:lpstr>rsgSampleNotes11</vt:lpstr>
      <vt:lpstr>rsgSampleNotes12</vt:lpstr>
      <vt:lpstr>rsgSampleNotes13</vt:lpstr>
      <vt:lpstr>rsgSampleNotes14</vt:lpstr>
      <vt:lpstr>rsgSampleNotes15</vt:lpstr>
      <vt:lpstr>rsgSampleNotes16</vt:lpstr>
      <vt:lpstr>rsgSampleNotes2</vt:lpstr>
      <vt:lpstr>rsgSampleNotes3</vt:lpstr>
      <vt:lpstr>rsgSampleNotes4</vt:lpstr>
      <vt:lpstr>rsgSampleNotes5</vt:lpstr>
      <vt:lpstr>rsgSampleNotes6</vt:lpstr>
      <vt:lpstr>rsgSampleNotes7</vt:lpstr>
      <vt:lpstr>rsgSampleNotes8</vt:lpstr>
      <vt:lpstr>rsgSampleNotes9</vt:lpstr>
      <vt:lpstr>rsgSampleUnitsAvailable1</vt:lpstr>
      <vt:lpstr>rsgSampleUnitsAvailable10</vt:lpstr>
      <vt:lpstr>rsgSampleUnitsAvailable11</vt:lpstr>
      <vt:lpstr>rsgSampleUnitsAvailable12</vt:lpstr>
      <vt:lpstr>rsgSampleUnitsAvailable13</vt:lpstr>
      <vt:lpstr>rsgSampleUnitsAvailable14</vt:lpstr>
      <vt:lpstr>rsgSampleUnitsAvailable15</vt:lpstr>
      <vt:lpstr>rsgSampleUnitsAvailable16</vt:lpstr>
      <vt:lpstr>rsgSampleUnitsAvailable2</vt:lpstr>
      <vt:lpstr>rsgSampleUnitsAvailable3</vt:lpstr>
      <vt:lpstr>rsgSampleUnitsAvailable4</vt:lpstr>
      <vt:lpstr>rsgSampleUnitsAvailable5</vt:lpstr>
      <vt:lpstr>rsgSampleUnitsAvailable6</vt:lpstr>
      <vt:lpstr>rsgSampleUnitsAvailable7</vt:lpstr>
      <vt:lpstr>rsgSampleUnitsAvailable8</vt:lpstr>
      <vt:lpstr>rsgSampleUnitsAvailable9</vt:lpstr>
      <vt:lpstr>rsgSampleUnitsInspected1</vt:lpstr>
      <vt:lpstr>rsgSampleUnitsInspected10</vt:lpstr>
      <vt:lpstr>rsgSampleUnitsInspected11</vt:lpstr>
      <vt:lpstr>rsgSampleUnitsInspected12</vt:lpstr>
      <vt:lpstr>rsgSampleUnitsInspected13</vt:lpstr>
      <vt:lpstr>rsgSampleUnitsInspected14</vt:lpstr>
      <vt:lpstr>rsgSampleUnitsInspected15</vt:lpstr>
      <vt:lpstr>rsgSampleUnitsInspected16</vt:lpstr>
      <vt:lpstr>rsgSampleUnitsInspected2</vt:lpstr>
      <vt:lpstr>rsgSampleUnitsInspected3</vt:lpstr>
      <vt:lpstr>rsgSampleUnitsInspected4</vt:lpstr>
      <vt:lpstr>rsgSampleUnitsInspected5</vt:lpstr>
      <vt:lpstr>rsgSampleUnitsInspected6</vt:lpstr>
      <vt:lpstr>rsgSampleUnitsInspected7</vt:lpstr>
      <vt:lpstr>rsgSampleUnitsInspected8</vt:lpstr>
      <vt:lpstr>rsgSampleUnitsInspected9</vt:lpstr>
      <vt:lpstr>rsgTeamVerifierElementsVerified1</vt:lpstr>
      <vt:lpstr>rsgTeamVerifierElementsVerified2</vt:lpstr>
      <vt:lpstr>rsgTeamVerifierElementsVerified3</vt:lpstr>
      <vt:lpstr>rsgTeamVerifierElementsVerified4</vt:lpstr>
      <vt:lpstr>rsgTeamVerifierElementsVerified5</vt:lpstr>
      <vt:lpstr>rsgTeamVerifierInspectionDate1</vt:lpstr>
      <vt:lpstr>rsgTeamVerifierInspectionDate2</vt:lpstr>
      <vt:lpstr>rsgTeamVerifierInspectionDate3</vt:lpstr>
      <vt:lpstr>rsgTeamVerifierInspectionDate4</vt:lpstr>
      <vt:lpstr>rsgTeamVerifierInspectionDate5</vt:lpstr>
      <vt:lpstr>rsgTeamVerifierName1</vt:lpstr>
      <vt:lpstr>rsgTeamVerifierName2</vt:lpstr>
      <vt:lpstr>rsgTeamVerifierName3</vt:lpstr>
      <vt:lpstr>rsgTeamVerifierName4</vt:lpstr>
      <vt:lpstr>rsgTeamVerifierName5</vt:lpstr>
      <vt:lpstr>rsgTeamVerifierRole1</vt:lpstr>
      <vt:lpstr>rsgTeamVerifierRole2</vt:lpstr>
      <vt:lpstr>rsgTeamVerifierRole3</vt:lpstr>
      <vt:lpstr>rsgTeamVerifierRole4</vt:lpstr>
      <vt:lpstr>rsgTeamVerifierRole5</vt:lpstr>
      <vt:lpstr>rsgVerifierComments</vt:lpstr>
      <vt:lpstr>rsgVerifierDate</vt:lpstr>
      <vt:lpstr>rsgVerifierEmail</vt:lpstr>
      <vt:lpstr>rsgVerifierEndTime</vt:lpstr>
      <vt:lpstr>rsgVerifierName</vt:lpstr>
      <vt:lpstr>rsgVerifierPhone</vt:lpstr>
      <vt:lpstr>rsgVerifierStartTime</vt:lpstr>
      <vt:lpstr>SFIntro</vt:lpstr>
      <vt:lpstr>startError</vt:lpstr>
      <vt:lpstr>TorF</vt:lpstr>
      <vt:lpstr>vch1001_1_1</vt:lpstr>
      <vt:lpstr>vch1001_1_10</vt:lpstr>
      <vt:lpstr>vch1001_1_11</vt:lpstr>
      <vt:lpstr>vch1001_1_12</vt:lpstr>
      <vt:lpstr>vch1001_1_13</vt:lpstr>
      <vt:lpstr>vch1001_1_14</vt:lpstr>
      <vt:lpstr>vch1001_1_15</vt:lpstr>
      <vt:lpstr>vch1001_1_16</vt:lpstr>
      <vt:lpstr>vch1001_1_17</vt:lpstr>
      <vt:lpstr>vch1001_1_18</vt:lpstr>
      <vt:lpstr>vch1001_1_19</vt:lpstr>
      <vt:lpstr>vch1001_1_2</vt:lpstr>
      <vt:lpstr>vch1001_1_20</vt:lpstr>
      <vt:lpstr>vch1001_1_21</vt:lpstr>
      <vt:lpstr>vch1001_1_22</vt:lpstr>
      <vt:lpstr>vch1001_1_23</vt:lpstr>
      <vt:lpstr>vch1001_1_24</vt:lpstr>
      <vt:lpstr>vch1001_1_3</vt:lpstr>
      <vt:lpstr>vch1001_1_4</vt:lpstr>
      <vt:lpstr>vch1001_1_5</vt:lpstr>
      <vt:lpstr>vch1001_1_6</vt:lpstr>
      <vt:lpstr>vch1001_1_7</vt:lpstr>
      <vt:lpstr>vch1001_1_8</vt:lpstr>
      <vt:lpstr>vch1001_1_9</vt:lpstr>
      <vt:lpstr>vch1001_2</vt:lpstr>
      <vt:lpstr>vch1002_1_1</vt:lpstr>
      <vt:lpstr>vch1002_1_2</vt:lpstr>
      <vt:lpstr>vch1002_1_3</vt:lpstr>
      <vt:lpstr>vch1002_1_4</vt:lpstr>
      <vt:lpstr>vch1002_1_5</vt:lpstr>
      <vt:lpstr>vch1002_1_6</vt:lpstr>
      <vt:lpstr>vch1002_1_7</vt:lpstr>
      <vt:lpstr>vch1002_1_8</vt:lpstr>
      <vt:lpstr>vch1002_2_1</vt:lpstr>
      <vt:lpstr>vch1002_2_10</vt:lpstr>
      <vt:lpstr>vch1002_2_11</vt:lpstr>
      <vt:lpstr>vch1002_2_2</vt:lpstr>
      <vt:lpstr>vch1002_2_3</vt:lpstr>
      <vt:lpstr>vch1002_2_4</vt:lpstr>
      <vt:lpstr>vch1002_2_5</vt:lpstr>
      <vt:lpstr>vch1002_2_6</vt:lpstr>
      <vt:lpstr>vch1002_2_7</vt:lpstr>
      <vt:lpstr>vch1002_2_8</vt:lpstr>
      <vt:lpstr>vch1002_2_9</vt:lpstr>
      <vt:lpstr>vch1002_3_1</vt:lpstr>
      <vt:lpstr>vch1002_3_10</vt:lpstr>
      <vt:lpstr>vch1002_3_11</vt:lpstr>
      <vt:lpstr>vch1002_3_2</vt:lpstr>
      <vt:lpstr>vch1002_3_3</vt:lpstr>
      <vt:lpstr>vch1002_3_4</vt:lpstr>
      <vt:lpstr>vch1002_3_5</vt:lpstr>
      <vt:lpstr>vch1002_3_6</vt:lpstr>
      <vt:lpstr>vch1002_3_7</vt:lpstr>
      <vt:lpstr>vch1002_3_8</vt:lpstr>
      <vt:lpstr>vch1002_3_9</vt:lpstr>
      <vt:lpstr>vch1002_4</vt:lpstr>
      <vt:lpstr>vch1002_5_1</vt:lpstr>
      <vt:lpstr>vch1002_5_2</vt:lpstr>
      <vt:lpstr>vch1002_5_3</vt:lpstr>
      <vt:lpstr>vch1002_5_4</vt:lpstr>
      <vt:lpstr>vch1002_5_5</vt:lpstr>
      <vt:lpstr>vch1002_5_6</vt:lpstr>
      <vt:lpstr>vch1002_5_7</vt:lpstr>
      <vt:lpstr>vch1002_5_8</vt:lpstr>
      <vt:lpstr>vch1002_5_9</vt:lpstr>
      <vt:lpstr>vch1002_6_1</vt:lpstr>
      <vt:lpstr>vch1002_6_2</vt:lpstr>
      <vt:lpstr>vch1002_6_3</vt:lpstr>
      <vt:lpstr>vch1002_6_4</vt:lpstr>
      <vt:lpstr>vch1002_6_5</vt:lpstr>
      <vt:lpstr>vch1002_6_6</vt:lpstr>
      <vt:lpstr>vch1002_6_7</vt:lpstr>
      <vt:lpstr>vch1003_1_1</vt:lpstr>
      <vt:lpstr>vch1003_1_2</vt:lpstr>
      <vt:lpstr>vch1003_1_3</vt:lpstr>
      <vt:lpstr>vch1004_1_1</vt:lpstr>
      <vt:lpstr>vch1004_1_2</vt:lpstr>
      <vt:lpstr>vch1005_1_1</vt:lpstr>
      <vt:lpstr>vch1005_1_2</vt:lpstr>
      <vt:lpstr>vch501_1_1</vt:lpstr>
      <vt:lpstr>vch501_1_2_a</vt:lpstr>
      <vt:lpstr>vch501_1_2_b</vt:lpstr>
      <vt:lpstr>vch501_1_2_c</vt:lpstr>
      <vt:lpstr>vch501_2_1</vt:lpstr>
      <vt:lpstr>vch501_2_2</vt:lpstr>
      <vt:lpstr>vch501_2_3</vt:lpstr>
      <vt:lpstr>vch501_2_4</vt:lpstr>
      <vt:lpstr>vch501_2_4_1</vt:lpstr>
      <vt:lpstr>vch501_2_5</vt:lpstr>
      <vt:lpstr>vch501_2_6</vt:lpstr>
      <vt:lpstr>vch501_2_6_d</vt:lpstr>
      <vt:lpstr>vch501_2_7</vt:lpstr>
      <vt:lpstr>vch501_2_8</vt:lpstr>
      <vt:lpstr>vch502_1</vt:lpstr>
      <vt:lpstr>vch503_1_1</vt:lpstr>
      <vt:lpstr>vch503_1_2</vt:lpstr>
      <vt:lpstr>vch503_1_3</vt:lpstr>
      <vt:lpstr>vch503_1_4</vt:lpstr>
      <vt:lpstr>vch503_1_5</vt:lpstr>
      <vt:lpstr>vch503_1_6</vt:lpstr>
      <vt:lpstr>vch503_1_7</vt:lpstr>
      <vt:lpstr>vch503_1_8</vt:lpstr>
      <vt:lpstr>vch503_2</vt:lpstr>
      <vt:lpstr>vch503_2_1</vt:lpstr>
      <vt:lpstr>vch503_2_2</vt:lpstr>
      <vt:lpstr>vch503_2_3</vt:lpstr>
      <vt:lpstr>vch503_2_4</vt:lpstr>
      <vt:lpstr>vch503_2_5</vt:lpstr>
      <vt:lpstr>vch503_3_1</vt:lpstr>
      <vt:lpstr>vch503_3_2_a</vt:lpstr>
      <vt:lpstr>vch503_3_2_b</vt:lpstr>
      <vt:lpstr>vch503_3_2_c</vt:lpstr>
      <vt:lpstr>vch503_3_2_d</vt:lpstr>
      <vt:lpstr>vch503_3_3</vt:lpstr>
      <vt:lpstr>vch503_4_1</vt:lpstr>
      <vt:lpstr>vch503_4_2</vt:lpstr>
      <vt:lpstr>vch503_4_3</vt:lpstr>
      <vt:lpstr>vch503_4_4</vt:lpstr>
      <vt:lpstr>vch503_4_4_c_1</vt:lpstr>
      <vt:lpstr>vch503_4_5</vt:lpstr>
      <vt:lpstr>vch503_5</vt:lpstr>
      <vt:lpstr>vch503_5_1</vt:lpstr>
      <vt:lpstr>vch503_5_10</vt:lpstr>
      <vt:lpstr>vch503_5_11</vt:lpstr>
      <vt:lpstr>vch503_5_12</vt:lpstr>
      <vt:lpstr>vch503_5_13</vt:lpstr>
      <vt:lpstr>vch503_5_2</vt:lpstr>
      <vt:lpstr>vch503_5_3</vt:lpstr>
      <vt:lpstr>vch503_5_4</vt:lpstr>
      <vt:lpstr>vch503_5_5</vt:lpstr>
      <vt:lpstr>vch503_5_6</vt:lpstr>
      <vt:lpstr>vch503_5_7</vt:lpstr>
      <vt:lpstr>vch503_5_8</vt:lpstr>
      <vt:lpstr>vch503_5_9</vt:lpstr>
      <vt:lpstr>vch503_6_1</vt:lpstr>
      <vt:lpstr>vch503_6_2</vt:lpstr>
      <vt:lpstr>vch503_6_3</vt:lpstr>
      <vt:lpstr>vch503_6_4</vt:lpstr>
      <vt:lpstr>vch503_7</vt:lpstr>
      <vt:lpstr>vch503_8</vt:lpstr>
      <vt:lpstr>vch504_1</vt:lpstr>
      <vt:lpstr>vch504_2_1</vt:lpstr>
      <vt:lpstr>vch504_2_2</vt:lpstr>
      <vt:lpstr>vch504_2_3</vt:lpstr>
      <vt:lpstr>vch504_3_1</vt:lpstr>
      <vt:lpstr>vch504_3_2</vt:lpstr>
      <vt:lpstr>vch504_3_3</vt:lpstr>
      <vt:lpstr>vch504_3_4</vt:lpstr>
      <vt:lpstr>vch504_3_5</vt:lpstr>
      <vt:lpstr>vch504_3_6</vt:lpstr>
      <vt:lpstr>vch504_3_7</vt:lpstr>
      <vt:lpstr>vch504_3_8a</vt:lpstr>
      <vt:lpstr>vch504_3_8b</vt:lpstr>
      <vt:lpstr>vch504_3_8c</vt:lpstr>
      <vt:lpstr>vch504_3_8d</vt:lpstr>
      <vt:lpstr>vch504_3_8e</vt:lpstr>
      <vt:lpstr>vch504_3_8f</vt:lpstr>
      <vt:lpstr>vch504_3_9</vt:lpstr>
      <vt:lpstr>vch505_1_1</vt:lpstr>
      <vt:lpstr>vch505_1_2</vt:lpstr>
      <vt:lpstr>vch505_1_3</vt:lpstr>
      <vt:lpstr>vch505_10_a</vt:lpstr>
      <vt:lpstr>vch505_10_b</vt:lpstr>
      <vt:lpstr>vch505_10_c</vt:lpstr>
      <vt:lpstr>vch505_2_1_a</vt:lpstr>
      <vt:lpstr>vch505_2_1_b</vt:lpstr>
      <vt:lpstr>vch505_2_1_c</vt:lpstr>
      <vt:lpstr>vch505_2_2</vt:lpstr>
      <vt:lpstr>vch505_3_1</vt:lpstr>
      <vt:lpstr>vch505_4_1</vt:lpstr>
      <vt:lpstr>vch505_5_a</vt:lpstr>
      <vt:lpstr>vch505_5_b</vt:lpstr>
      <vt:lpstr>vch505_5_c</vt:lpstr>
      <vt:lpstr>vch505_5_d</vt:lpstr>
      <vt:lpstr>vch505_6</vt:lpstr>
      <vt:lpstr>vch505_7</vt:lpstr>
      <vt:lpstr>vch505_8</vt:lpstr>
      <vt:lpstr>vch505_9_a</vt:lpstr>
      <vt:lpstr>vch505_9_b</vt:lpstr>
      <vt:lpstr>vch505_9_c</vt:lpstr>
      <vt:lpstr>vch601_2_1</vt:lpstr>
      <vt:lpstr>vch601_2_2</vt:lpstr>
      <vt:lpstr>vch601_2_3</vt:lpstr>
      <vt:lpstr>vch601_3_1</vt:lpstr>
      <vt:lpstr>vch601_3_2</vt:lpstr>
      <vt:lpstr>vch601_3_3</vt:lpstr>
      <vt:lpstr>vch601_3_4</vt:lpstr>
      <vt:lpstr>vch601_3_5</vt:lpstr>
      <vt:lpstr>vch601_4</vt:lpstr>
      <vt:lpstr>vch601_5_1</vt:lpstr>
      <vt:lpstr>vch601_5_2</vt:lpstr>
      <vt:lpstr>vch601_5_3</vt:lpstr>
      <vt:lpstr>vch601_5_4</vt:lpstr>
      <vt:lpstr>vch601_5_5</vt:lpstr>
      <vt:lpstr>vch601_7_a</vt:lpstr>
      <vt:lpstr>vch601_7_b</vt:lpstr>
      <vt:lpstr>vch601_7_c</vt:lpstr>
      <vt:lpstr>vch601_7_d</vt:lpstr>
      <vt:lpstr>vch601_7_e</vt:lpstr>
      <vt:lpstr>vch601_8</vt:lpstr>
      <vt:lpstr>vch602_1_1_1</vt:lpstr>
      <vt:lpstr>vch602_1_1_2</vt:lpstr>
      <vt:lpstr>vch602_1_10</vt:lpstr>
      <vt:lpstr>vch602_1_11</vt:lpstr>
      <vt:lpstr>vch602_1_12</vt:lpstr>
      <vt:lpstr>vch602_1_13</vt:lpstr>
      <vt:lpstr>vch602_1_14_1</vt:lpstr>
      <vt:lpstr>vch602_1_14_2</vt:lpstr>
      <vt:lpstr>vch602_1_14_3</vt:lpstr>
      <vt:lpstr>vch602_1_15</vt:lpstr>
      <vt:lpstr>vch602_1_2__1</vt:lpstr>
      <vt:lpstr>vch602_1_2__2</vt:lpstr>
      <vt:lpstr>vch602_1_3_1</vt:lpstr>
      <vt:lpstr>vch602_1_3_2</vt:lpstr>
      <vt:lpstr>vch602_1_4_1_1</vt:lpstr>
      <vt:lpstr>vch602_1_4_1_2</vt:lpstr>
      <vt:lpstr>vch602_1_4_2_1</vt:lpstr>
      <vt:lpstr>vch602_1_4_2_2</vt:lpstr>
      <vt:lpstr>vch602_1_5</vt:lpstr>
      <vt:lpstr>vch602_1_5_1</vt:lpstr>
      <vt:lpstr>vch602_1_5_2</vt:lpstr>
      <vt:lpstr>vch602_1_6_1</vt:lpstr>
      <vt:lpstr>vch602_1_6_2</vt:lpstr>
      <vt:lpstr>vch602_1_6_3</vt:lpstr>
      <vt:lpstr>vch602_1_7_1_1</vt:lpstr>
      <vt:lpstr>vch602_1_7_1_2</vt:lpstr>
      <vt:lpstr>vch602_1_7_1_3</vt:lpstr>
      <vt:lpstr>vch602_1_7_2</vt:lpstr>
      <vt:lpstr>vch602_1_7_3</vt:lpstr>
      <vt:lpstr>vch602_1_8</vt:lpstr>
      <vt:lpstr>vch602_1_9_1</vt:lpstr>
      <vt:lpstr>vch602_1_9_2</vt:lpstr>
      <vt:lpstr>vch602_1_9_3</vt:lpstr>
      <vt:lpstr>vch602_1_9_4</vt:lpstr>
      <vt:lpstr>vch602_1_9_5</vt:lpstr>
      <vt:lpstr>vch602_1_9_6</vt:lpstr>
      <vt:lpstr>vch602_1_9_7</vt:lpstr>
      <vt:lpstr>vch602_2_1</vt:lpstr>
      <vt:lpstr>vch602_2_2</vt:lpstr>
      <vt:lpstr>vch602_2_3</vt:lpstr>
      <vt:lpstr>vch602_3</vt:lpstr>
      <vt:lpstr>vch602_4_1</vt:lpstr>
      <vt:lpstr>vch602_4_2</vt:lpstr>
      <vt:lpstr>vch602_4_3</vt:lpstr>
      <vt:lpstr>vch603_1</vt:lpstr>
      <vt:lpstr>vch603_2</vt:lpstr>
      <vt:lpstr>vch603_3</vt:lpstr>
      <vt:lpstr>vch604_1a</vt:lpstr>
      <vt:lpstr>vch604_1b</vt:lpstr>
      <vt:lpstr>vch604_1c</vt:lpstr>
      <vt:lpstr>vch604_1d</vt:lpstr>
      <vt:lpstr>vch605_1</vt:lpstr>
      <vt:lpstr>vch605_2</vt:lpstr>
      <vt:lpstr>vch605_2_2</vt:lpstr>
      <vt:lpstr>vch605_3</vt:lpstr>
      <vt:lpstr>vch605_4_2_a</vt:lpstr>
      <vt:lpstr>vch605_4_2_b</vt:lpstr>
      <vt:lpstr>vch605_4_2_c</vt:lpstr>
      <vt:lpstr>vch605_4_2_d</vt:lpstr>
      <vt:lpstr>vch605_4_2_e</vt:lpstr>
      <vt:lpstr>vch605_4_2_f</vt:lpstr>
      <vt:lpstr>vch605_4_2_g</vt:lpstr>
      <vt:lpstr>vch605_4_2_h</vt:lpstr>
      <vt:lpstr>vch605_4_2_i</vt:lpstr>
      <vt:lpstr>vch606_1_a</vt:lpstr>
      <vt:lpstr>vch606_1_b</vt:lpstr>
      <vt:lpstr>vch606_1_c</vt:lpstr>
      <vt:lpstr>vch606_1_d</vt:lpstr>
      <vt:lpstr>vch606_1_e</vt:lpstr>
      <vt:lpstr>vch606_1_f</vt:lpstr>
      <vt:lpstr>vch606_1_g</vt:lpstr>
      <vt:lpstr>vch606_1_h</vt:lpstr>
      <vt:lpstr>vch606_2_1a</vt:lpstr>
      <vt:lpstr>vch606_2_1b</vt:lpstr>
      <vt:lpstr>vch606_2_2a</vt:lpstr>
      <vt:lpstr>vch606_2_2b</vt:lpstr>
      <vt:lpstr>vch606_3</vt:lpstr>
      <vt:lpstr>vch607_1_1</vt:lpstr>
      <vt:lpstr>vch607_1_2</vt:lpstr>
      <vt:lpstr>vch607_2</vt:lpstr>
      <vt:lpstr>vch608_1</vt:lpstr>
      <vt:lpstr>vch609_1_1</vt:lpstr>
      <vt:lpstr>vch609_1_2</vt:lpstr>
      <vt:lpstr>vch610_1_1_1</vt:lpstr>
      <vt:lpstr>vch610_1_1_2</vt:lpstr>
      <vt:lpstr>vch610_1_1_3</vt:lpstr>
      <vt:lpstr>vch610_1_2_1a</vt:lpstr>
      <vt:lpstr>vch610_1_2_1b</vt:lpstr>
      <vt:lpstr>vch610_1_2_2_f</vt:lpstr>
      <vt:lpstr>vch610_1_2_2a</vt:lpstr>
      <vt:lpstr>vch610_1_2_2b</vt:lpstr>
      <vt:lpstr>vch610_1_2_2c</vt:lpstr>
      <vt:lpstr>vch611_1_1</vt:lpstr>
      <vt:lpstr>vch611_1_2</vt:lpstr>
      <vt:lpstr>vch612_1</vt:lpstr>
      <vt:lpstr>vch612_2_1</vt:lpstr>
      <vt:lpstr>vch612_2_2</vt:lpstr>
      <vt:lpstr>vch612_2_3</vt:lpstr>
      <vt:lpstr>vch612_2_4</vt:lpstr>
      <vt:lpstr>vch612_2_5</vt:lpstr>
      <vt:lpstr>vch612_2_6</vt:lpstr>
      <vt:lpstr>vch612_2_7</vt:lpstr>
      <vt:lpstr>vch612_3_1</vt:lpstr>
      <vt:lpstr>vch612_3_2</vt:lpstr>
      <vt:lpstr>vch612_3_3</vt:lpstr>
      <vt:lpstr>vch612_3_4</vt:lpstr>
      <vt:lpstr>vch612_3_5</vt:lpstr>
      <vt:lpstr>vch612_3_6</vt:lpstr>
      <vt:lpstr>vch612_3_7</vt:lpstr>
      <vt:lpstr>vch612_3_8</vt:lpstr>
      <vt:lpstr>vch612_3_9</vt:lpstr>
      <vt:lpstr>vch613_1</vt:lpstr>
      <vt:lpstr>vch701_1</vt:lpstr>
      <vt:lpstr>vch701_1_</vt:lpstr>
      <vt:lpstr>vch701_1_4</vt:lpstr>
      <vt:lpstr>vch701_1_4_</vt:lpstr>
      <vt:lpstr>vch701_1_6_1</vt:lpstr>
      <vt:lpstr>vch701_1_6_2</vt:lpstr>
      <vt:lpstr>vch701_1_6_3</vt:lpstr>
      <vt:lpstr>vch701_1_6_4</vt:lpstr>
      <vt:lpstr>vch701_1_6_5</vt:lpstr>
      <vt:lpstr>vch701_1_6_6_a</vt:lpstr>
      <vt:lpstr>vch701_1_6_6_b</vt:lpstr>
      <vt:lpstr>vch701_1_6_6_c</vt:lpstr>
      <vt:lpstr>vch701_1_6_7_a</vt:lpstr>
      <vt:lpstr>vch701_1_6_7_b</vt:lpstr>
      <vt:lpstr>vch701_1_6_7_c</vt:lpstr>
      <vt:lpstr>vch701_1_6_8</vt:lpstr>
      <vt:lpstr>vch701_1_6_9</vt:lpstr>
      <vt:lpstr>vch701_3</vt:lpstr>
      <vt:lpstr>vch701_4_1</vt:lpstr>
      <vt:lpstr>vch701_4_1_1</vt:lpstr>
      <vt:lpstr>vch701_4_1_2</vt:lpstr>
      <vt:lpstr>vch701_4_2_2</vt:lpstr>
      <vt:lpstr>vch701_4_2_3</vt:lpstr>
      <vt:lpstr>vch701_4_3_1</vt:lpstr>
      <vt:lpstr>vch701_4_3_1_a</vt:lpstr>
      <vt:lpstr>vch701_4_3_1_b</vt:lpstr>
      <vt:lpstr>vch701_4_3_1_c</vt:lpstr>
      <vt:lpstr>vch701_4_3_1_d</vt:lpstr>
      <vt:lpstr>vch701_4_3_1_e</vt:lpstr>
      <vt:lpstr>vch701_4_3_1_f</vt:lpstr>
      <vt:lpstr>vch701_4_3_1_g</vt:lpstr>
      <vt:lpstr>vch701_4_3_1_h</vt:lpstr>
      <vt:lpstr>vch701_4_3_1_i</vt:lpstr>
      <vt:lpstr>vch701_4_3_1_j</vt:lpstr>
      <vt:lpstr>vch701_4_3_1_k</vt:lpstr>
      <vt:lpstr>vch701_4_3_1_l</vt:lpstr>
      <vt:lpstr>vch701_4_3_1_m</vt:lpstr>
      <vt:lpstr>vch701_4_3_2_1</vt:lpstr>
      <vt:lpstr>vch701_4_3_2_1_</vt:lpstr>
      <vt:lpstr>vch701_4_3_2_2</vt:lpstr>
      <vt:lpstr>vch701_4_3_2e</vt:lpstr>
      <vt:lpstr>vch701_4_3_4</vt:lpstr>
      <vt:lpstr>vch701_4_3_5</vt:lpstr>
      <vt:lpstr>vch701_4_4_1</vt:lpstr>
      <vt:lpstr>vch701_4_4_2</vt:lpstr>
      <vt:lpstr>vch701_4_5</vt:lpstr>
      <vt:lpstr>vch702_2_1</vt:lpstr>
      <vt:lpstr>vch702_2_2</vt:lpstr>
      <vt:lpstr>vch703_1_1</vt:lpstr>
      <vt:lpstr>vch703_1_2</vt:lpstr>
      <vt:lpstr>vch703_1_3</vt:lpstr>
      <vt:lpstr>vch703_1_3_1</vt:lpstr>
      <vt:lpstr>vch703_1_3_2</vt:lpstr>
      <vt:lpstr>vch703_2_1</vt:lpstr>
      <vt:lpstr>vch703_2_1_2</vt:lpstr>
      <vt:lpstr>vch703_2_2</vt:lpstr>
      <vt:lpstr>vch703_2_3</vt:lpstr>
      <vt:lpstr>vch703_2_5_1</vt:lpstr>
      <vt:lpstr>vch703_2_5_1_1</vt:lpstr>
      <vt:lpstr>vch703_2_5_2</vt:lpstr>
      <vt:lpstr>vch703_2_5_2_1</vt:lpstr>
      <vt:lpstr>vch703_3_0_1</vt:lpstr>
      <vt:lpstr>vch703_3_0_2</vt:lpstr>
      <vt:lpstr>vch703_3_1</vt:lpstr>
      <vt:lpstr>vch703_3_2__1_1</vt:lpstr>
      <vt:lpstr>vch703_3_2__2_1</vt:lpstr>
      <vt:lpstr>vch703_3_2__3_1</vt:lpstr>
      <vt:lpstr>vch703_3_2__4_1</vt:lpstr>
      <vt:lpstr>vch703_3_3__1_1</vt:lpstr>
      <vt:lpstr>vch703_3_3__2</vt:lpstr>
      <vt:lpstr>vch703_3_3__3</vt:lpstr>
      <vt:lpstr>vch703_3_4_1_1</vt:lpstr>
      <vt:lpstr>vch703_3_4_1_6</vt:lpstr>
      <vt:lpstr>vch703_3_4_2</vt:lpstr>
      <vt:lpstr>vch703_3_5</vt:lpstr>
      <vt:lpstr>vch703_3_6</vt:lpstr>
      <vt:lpstr>vch703_3_7_1</vt:lpstr>
      <vt:lpstr>vch703_3_7_2</vt:lpstr>
      <vt:lpstr>vch703_3_8</vt:lpstr>
      <vt:lpstr>vch703_4_1</vt:lpstr>
      <vt:lpstr>vch703_4_2</vt:lpstr>
      <vt:lpstr>vch703_4_3_1</vt:lpstr>
      <vt:lpstr>vch703_4_3_2</vt:lpstr>
      <vt:lpstr>vch703_4_3_3</vt:lpstr>
      <vt:lpstr>vch703_4_4</vt:lpstr>
      <vt:lpstr>vch703_5_1</vt:lpstr>
      <vt:lpstr>vch703_5_1_1</vt:lpstr>
      <vt:lpstr>vch703_5_1_1_a</vt:lpstr>
      <vt:lpstr>vch703_5_1_2</vt:lpstr>
      <vt:lpstr>vch703_5_1_2_a</vt:lpstr>
      <vt:lpstr>vch703_5_1_3</vt:lpstr>
      <vt:lpstr>vch703_5_2</vt:lpstr>
      <vt:lpstr>vch703_5_3</vt:lpstr>
      <vt:lpstr>vch703_5_4</vt:lpstr>
      <vt:lpstr>vch703_5_5</vt:lpstr>
      <vt:lpstr>vch703_5_5_a</vt:lpstr>
      <vt:lpstr>vch703_6_1_1</vt:lpstr>
      <vt:lpstr>vch703_6_1_2</vt:lpstr>
      <vt:lpstr>vch703_6_1_3</vt:lpstr>
      <vt:lpstr>vch703_6_2__1</vt:lpstr>
      <vt:lpstr>vch703_6_2__2</vt:lpstr>
      <vt:lpstr>vch703_6_2__3</vt:lpstr>
      <vt:lpstr>vch703_7_1</vt:lpstr>
      <vt:lpstr>vch703_7_2</vt:lpstr>
      <vt:lpstr>vch703_7_3_1_a</vt:lpstr>
      <vt:lpstr>vch703_7_3_1_b</vt:lpstr>
      <vt:lpstr>vch703_7_3_1_c</vt:lpstr>
      <vt:lpstr>vch703_7_3_1_d</vt:lpstr>
      <vt:lpstr>vch703_7_3_2</vt:lpstr>
      <vt:lpstr>vch703_7_3_3</vt:lpstr>
      <vt:lpstr>vch703_7_3_4</vt:lpstr>
      <vt:lpstr>vch703_7_3_5_a</vt:lpstr>
      <vt:lpstr>vch703_7_3_5_b</vt:lpstr>
      <vt:lpstr>vch703_7_3_6</vt:lpstr>
      <vt:lpstr>vch703_7_4</vt:lpstr>
      <vt:lpstr>vch704_2_1</vt:lpstr>
      <vt:lpstr>vch704_2_2</vt:lpstr>
      <vt:lpstr>vch705_2_1_1</vt:lpstr>
      <vt:lpstr>vch705_2_1_2</vt:lpstr>
      <vt:lpstr>vch705_2_1_3_1</vt:lpstr>
      <vt:lpstr>vch705_2_1_3_2</vt:lpstr>
      <vt:lpstr>vch705_2_1_4</vt:lpstr>
      <vt:lpstr>vch705_2_2</vt:lpstr>
      <vt:lpstr>vch705_2_3</vt:lpstr>
      <vt:lpstr>vch705_2_4</vt:lpstr>
      <vt:lpstr>vch705_3</vt:lpstr>
      <vt:lpstr>vch705_4</vt:lpstr>
      <vt:lpstr>vch705_5_1_1</vt:lpstr>
      <vt:lpstr>vch705_5_1_2</vt:lpstr>
      <vt:lpstr>vch705_5_2</vt:lpstr>
      <vt:lpstr>vch705_5_3_1</vt:lpstr>
      <vt:lpstr>vch705_5_3_2</vt:lpstr>
      <vt:lpstr>vch705_6_2_1_1_1</vt:lpstr>
      <vt:lpstr>vch705_6_2_1_1_2</vt:lpstr>
      <vt:lpstr>vch705_6_2_1_2</vt:lpstr>
      <vt:lpstr>vch705_6_2_2_1</vt:lpstr>
      <vt:lpstr>vch705_6_2_2_2</vt:lpstr>
      <vt:lpstr>vch705_6_2_3</vt:lpstr>
      <vt:lpstr>vch705_6_3</vt:lpstr>
      <vt:lpstr>vch705_6_3_1</vt:lpstr>
      <vt:lpstr>vch705_6_4_1</vt:lpstr>
      <vt:lpstr>vch705_6_4_2</vt:lpstr>
      <vt:lpstr>vch705_7</vt:lpstr>
      <vt:lpstr>vch706_1_1</vt:lpstr>
      <vt:lpstr>vch706_1_2</vt:lpstr>
      <vt:lpstr>vch706_1_3</vt:lpstr>
      <vt:lpstr>vch706_1_4</vt:lpstr>
      <vt:lpstr>vch706_1_5</vt:lpstr>
      <vt:lpstr>vch706_10</vt:lpstr>
      <vt:lpstr>vch706_11</vt:lpstr>
      <vt:lpstr>vch706_12</vt:lpstr>
      <vt:lpstr>vch706_13</vt:lpstr>
      <vt:lpstr>vch706_14_1</vt:lpstr>
      <vt:lpstr>vch706_14_2</vt:lpstr>
      <vt:lpstr>vch706_15_1</vt:lpstr>
      <vt:lpstr>vch706_15_2</vt:lpstr>
      <vt:lpstr>vch706_2_1</vt:lpstr>
      <vt:lpstr>vch706_2_2</vt:lpstr>
      <vt:lpstr>vch706_3_1</vt:lpstr>
      <vt:lpstr>vch706_3_2</vt:lpstr>
      <vt:lpstr>vch706_3_3</vt:lpstr>
      <vt:lpstr>vch706_3_4</vt:lpstr>
      <vt:lpstr>vch706_3_5</vt:lpstr>
      <vt:lpstr>vch706_3_6</vt:lpstr>
      <vt:lpstr>vch706_3_7</vt:lpstr>
      <vt:lpstr>vch706_3_8</vt:lpstr>
      <vt:lpstr>vch706_4_1_1</vt:lpstr>
      <vt:lpstr>vch706_4_1_2</vt:lpstr>
      <vt:lpstr>vch706_4_2</vt:lpstr>
      <vt:lpstr>vch706_5_1</vt:lpstr>
      <vt:lpstr>vch706_5_2</vt:lpstr>
      <vt:lpstr>vch706_5_3</vt:lpstr>
      <vt:lpstr>vch706_6</vt:lpstr>
      <vt:lpstr>vch706_7_1</vt:lpstr>
      <vt:lpstr>vch706_7_2</vt:lpstr>
      <vt:lpstr>vch706_8</vt:lpstr>
      <vt:lpstr>vch706_9</vt:lpstr>
      <vt:lpstr>vch801_1</vt:lpstr>
      <vt:lpstr>vch802_1</vt:lpstr>
      <vt:lpstr>vch802_1_6</vt:lpstr>
      <vt:lpstr>vch802_10_1</vt:lpstr>
      <vt:lpstr>vch802_10_1_1</vt:lpstr>
      <vt:lpstr>vch802_2_1</vt:lpstr>
      <vt:lpstr>vch802_2_2</vt:lpstr>
      <vt:lpstr>vch802_3_1_a</vt:lpstr>
      <vt:lpstr>vch802_3_1_b</vt:lpstr>
      <vt:lpstr>vch802_3_2_a</vt:lpstr>
      <vt:lpstr>vch802_3_2_b</vt:lpstr>
      <vt:lpstr>vch802_4_1</vt:lpstr>
      <vt:lpstr>vch802_4_2</vt:lpstr>
      <vt:lpstr>vch802_4_3</vt:lpstr>
      <vt:lpstr>vch802_5_1a</vt:lpstr>
      <vt:lpstr>vch802_5_1b</vt:lpstr>
      <vt:lpstr>vch802_5_2</vt:lpstr>
      <vt:lpstr>vch802_5_3</vt:lpstr>
      <vt:lpstr>vch802_5_4_2</vt:lpstr>
      <vt:lpstr>vch802_5_4_3</vt:lpstr>
      <vt:lpstr>vch802_5_4_4_a</vt:lpstr>
      <vt:lpstr>vch802_5_4_4_b</vt:lpstr>
      <vt:lpstr>vch802_5_4_4_c</vt:lpstr>
      <vt:lpstr>vch802_6_1</vt:lpstr>
      <vt:lpstr>vch802_6_2</vt:lpstr>
      <vt:lpstr>vch802_6_3_1</vt:lpstr>
      <vt:lpstr>vch802_6_3_2</vt:lpstr>
      <vt:lpstr>vch802_6_3_3</vt:lpstr>
      <vt:lpstr>vch802_6_4_1</vt:lpstr>
      <vt:lpstr>vch802_6_4_2</vt:lpstr>
      <vt:lpstr>vch802_6_5_1</vt:lpstr>
      <vt:lpstr>vch802_6_5_2</vt:lpstr>
      <vt:lpstr>vch802_6_5_3</vt:lpstr>
      <vt:lpstr>vch802_6_5_4</vt:lpstr>
      <vt:lpstr>vch802_6_5_5</vt:lpstr>
      <vt:lpstr>vch802_7_1</vt:lpstr>
      <vt:lpstr>vch802_7_2_1</vt:lpstr>
      <vt:lpstr>vch802_7_2_2</vt:lpstr>
      <vt:lpstr>vch802_8</vt:lpstr>
      <vt:lpstr>vch802_9_1</vt:lpstr>
      <vt:lpstr>vch802_9_2</vt:lpstr>
      <vt:lpstr>vch803_1_1</vt:lpstr>
      <vt:lpstr>vch803_1_2</vt:lpstr>
      <vt:lpstr>vch803_2</vt:lpstr>
      <vt:lpstr>vch803_3</vt:lpstr>
      <vt:lpstr>vch803_4</vt:lpstr>
      <vt:lpstr>vch803_5</vt:lpstr>
      <vt:lpstr>vch803_6</vt:lpstr>
      <vt:lpstr>vch804_2</vt:lpstr>
      <vt:lpstr>vch901_1_1</vt:lpstr>
      <vt:lpstr>vch901_1_2</vt:lpstr>
      <vt:lpstr>vch901_1_3_1</vt:lpstr>
      <vt:lpstr>vch901_1_3_2</vt:lpstr>
      <vt:lpstr>vch901_1_4</vt:lpstr>
      <vt:lpstr>vch901_1_5</vt:lpstr>
      <vt:lpstr>vch901_1_6</vt:lpstr>
      <vt:lpstr>vch901_10_1</vt:lpstr>
      <vt:lpstr>vch901_10_2</vt:lpstr>
      <vt:lpstr>vch901_10_3</vt:lpstr>
      <vt:lpstr>vch901_11</vt:lpstr>
      <vt:lpstr>vch901_12</vt:lpstr>
      <vt:lpstr>vch901_13</vt:lpstr>
      <vt:lpstr>vch901_14_1</vt:lpstr>
      <vt:lpstr>vch901_14_2</vt:lpstr>
      <vt:lpstr>vch901_15_1</vt:lpstr>
      <vt:lpstr>vch901_15_2</vt:lpstr>
      <vt:lpstr>vch901_2_1_1</vt:lpstr>
      <vt:lpstr>vch901_2_1_2</vt:lpstr>
      <vt:lpstr>vch901_2_1_3</vt:lpstr>
      <vt:lpstr>vch901_2_1_4</vt:lpstr>
      <vt:lpstr>vch901_2_1_5</vt:lpstr>
      <vt:lpstr>vch901_2_2</vt:lpstr>
      <vt:lpstr>vch901_3_1_a</vt:lpstr>
      <vt:lpstr>vch901_3_1_b</vt:lpstr>
      <vt:lpstr>vch901_3_1_c</vt:lpstr>
      <vt:lpstr>vch901_3_2</vt:lpstr>
      <vt:lpstr>vch901_4_1</vt:lpstr>
      <vt:lpstr>vch901_4_a</vt:lpstr>
      <vt:lpstr>vch901_4_b</vt:lpstr>
      <vt:lpstr>vch901_4_c</vt:lpstr>
      <vt:lpstr>vch901_4_d</vt:lpstr>
      <vt:lpstr>vch901_5_1</vt:lpstr>
      <vt:lpstr>vch901_5_2</vt:lpstr>
      <vt:lpstr>vch901_6</vt:lpstr>
      <vt:lpstr>vch901_7_1</vt:lpstr>
      <vt:lpstr>vch901_7_2</vt:lpstr>
      <vt:lpstr>vch901_7_3</vt:lpstr>
      <vt:lpstr>vch901_8</vt:lpstr>
      <vt:lpstr>vch901_9_1_1</vt:lpstr>
      <vt:lpstr>vch901_9_1_2</vt:lpstr>
      <vt:lpstr>vch901_9_1_3</vt:lpstr>
      <vt:lpstr>vch901_9_2</vt:lpstr>
      <vt:lpstr>vch901_9_3</vt:lpstr>
      <vt:lpstr>vch902_1_1</vt:lpstr>
      <vt:lpstr>vch902_1_1_a</vt:lpstr>
      <vt:lpstr>vch902_1_2</vt:lpstr>
      <vt:lpstr>vch902_1_2_</vt:lpstr>
      <vt:lpstr>vch902_1_2_2</vt:lpstr>
      <vt:lpstr>vch902_1_3</vt:lpstr>
      <vt:lpstr>vch902_1_3_</vt:lpstr>
      <vt:lpstr>vch902_1_4_1</vt:lpstr>
      <vt:lpstr>vch902_1_4_2</vt:lpstr>
      <vt:lpstr>vch902_1_5_1</vt:lpstr>
      <vt:lpstr>vch902_1_5_2</vt:lpstr>
      <vt:lpstr>vch902_1_5_3</vt:lpstr>
      <vt:lpstr>vch902_1_6</vt:lpstr>
      <vt:lpstr>vch902_2_1</vt:lpstr>
      <vt:lpstr>vch902_2_2</vt:lpstr>
      <vt:lpstr>vch902_2_3</vt:lpstr>
      <vt:lpstr>vch902_2_4</vt:lpstr>
      <vt:lpstr>vch902_3</vt:lpstr>
      <vt:lpstr>vch902_3_2</vt:lpstr>
      <vt:lpstr>vch902_3_2_1</vt:lpstr>
      <vt:lpstr>vch902_3_2_1_b</vt:lpstr>
      <vt:lpstr>vch902_4_1</vt:lpstr>
      <vt:lpstr>vch902_4_2</vt:lpstr>
      <vt:lpstr>vch902_4_3</vt:lpstr>
      <vt:lpstr>vch902_5</vt:lpstr>
      <vt:lpstr>vch902_6</vt:lpstr>
      <vt:lpstr>vch903_1</vt:lpstr>
      <vt:lpstr>vch903_2</vt:lpstr>
      <vt:lpstr>vch903_3_1</vt:lpstr>
      <vt:lpstr>vch903_3_2</vt:lpstr>
      <vt:lpstr>vch904_1</vt:lpstr>
      <vt:lpstr>vch904_2</vt:lpstr>
      <vt:lpstr>vch904_3_1</vt:lpstr>
      <vt:lpstr>vch904_3_2</vt:lpstr>
      <vt:lpstr>vch905_1</vt:lpstr>
      <vt:lpstr>vch905_2</vt:lpstr>
      <vt:lpstr>vch905_3_1</vt:lpstr>
      <vt:lpstr>vch905_3_2</vt:lpstr>
      <vt:lpstr>vch905_4</vt:lpstr>
      <vt:lpstr>vch905_5</vt:lpstr>
      <vt:lpstr>vch905_6</vt:lpstr>
      <vt:lpstr>vchWaterSenseClothesWasher</vt:lpstr>
      <vt:lpstr>vchWaterSenseDishwasher</vt:lpstr>
      <vt:lpstr>vchWaterSenseIrrigation</vt:lpstr>
      <vt:lpstr>vchWaterSenseLavFaucet</vt:lpstr>
      <vt:lpstr>vchWaterSenseLeaks1</vt:lpstr>
      <vt:lpstr>vchWaterSenseLeaks2</vt:lpstr>
      <vt:lpstr>vchWaterSenseLeaks3</vt:lpstr>
      <vt:lpstr>vchWaterSenseLeaks4</vt:lpstr>
      <vt:lpstr>vchWaterSenseLeaks5</vt:lpstr>
      <vt:lpstr>vchWaterSenseLeaks6</vt:lpstr>
      <vt:lpstr>vchWaterSenseLeaks7</vt:lpstr>
      <vt:lpstr>vchWaterSenseLeaks8</vt:lpstr>
      <vt:lpstr>vchWaterSenseOptionA</vt:lpstr>
      <vt:lpstr>vchWaterSenseShowerheads</vt:lpstr>
      <vt:lpstr>vchWaterSenseToilet</vt:lpstr>
      <vt:lpstr>verAGFloorArea</vt:lpstr>
      <vt:lpstr>verAttachedGarage</vt:lpstr>
      <vt:lpstr>verAttic</vt:lpstr>
      <vt:lpstr>verBadges703_7_2</vt:lpstr>
      <vt:lpstr>verBadges802_10_1_1</vt:lpstr>
      <vt:lpstr>verBadges802_6_4_1</vt:lpstr>
      <vt:lpstr>verBadges802_6_5_5</vt:lpstr>
      <vt:lpstr>verBadges803_3_1</vt:lpstr>
      <vt:lpstr>verBadges901_1_1</vt:lpstr>
      <vt:lpstr>verBadges901_1_3</vt:lpstr>
      <vt:lpstr>verBadges903_3</vt:lpstr>
      <vt:lpstr>verBadgesBuildingVent</vt:lpstr>
      <vt:lpstr>verBadgesElectricAC</vt:lpstr>
      <vt:lpstr>verBadgesElectricHeat</vt:lpstr>
      <vt:lpstr>verBadgesFloorRVal</vt:lpstr>
      <vt:lpstr>verBadgesGasBoiler</vt:lpstr>
      <vt:lpstr>verBadgesGEDHPHeating</vt:lpstr>
      <vt:lpstr>verBadgesGEHHPCooling</vt:lpstr>
      <vt:lpstr>verBadgesGeothermalEfficiency</vt:lpstr>
      <vt:lpstr>verBadgesGeothermalFieldArea</vt:lpstr>
      <vt:lpstr>verBadgesGeothermalPower</vt:lpstr>
      <vt:lpstr>verBadgesGeothermalResTemp</vt:lpstr>
      <vt:lpstr>verBadgesGeothermalSurfaceTemp</vt:lpstr>
      <vt:lpstr>verBadgesGeothermalWells</vt:lpstr>
      <vt:lpstr>verBadgesGroundSourceHP</vt:lpstr>
      <vt:lpstr>verBadgesOilBoiler</vt:lpstr>
      <vt:lpstr>verBadgesOilFurnace</vt:lpstr>
      <vt:lpstr>verBadgesPropane</vt:lpstr>
      <vt:lpstr>verBadgesRadiant</vt:lpstr>
      <vt:lpstr>verBadgesResilienceAdditional</vt:lpstr>
      <vt:lpstr>verBadgesRoofRVal</vt:lpstr>
      <vt:lpstr>verBadgesSHGC</vt:lpstr>
      <vt:lpstr>verBadgesSmartAdd</vt:lpstr>
      <vt:lpstr>verBadgesSolarThermalArea</vt:lpstr>
      <vt:lpstr>verBadgesSolarThermalEfficiency</vt:lpstr>
      <vt:lpstr>verBadgesSolarThermalHeatingRate</vt:lpstr>
      <vt:lpstr>verBadgesSolarThermalSlope</vt:lpstr>
      <vt:lpstr>verBadgesSolarThermalTankVolume</vt:lpstr>
      <vt:lpstr>verBadgesSpotVent</vt:lpstr>
      <vt:lpstr>verBadgesVerifierComments</vt:lpstr>
      <vt:lpstr>verBadgesVerifierDate</vt:lpstr>
      <vt:lpstr>verBadgesVerifierEmail</vt:lpstr>
      <vt:lpstr>verBadgesVerifierEndTime</vt:lpstr>
      <vt:lpstr>verBadgesVerifierName</vt:lpstr>
      <vt:lpstr>verBadgesVerifierPhone</vt:lpstr>
      <vt:lpstr>verBadgesVerifierSign</vt:lpstr>
      <vt:lpstr>verBadgesVerifierStartTime</vt:lpstr>
      <vt:lpstr>verBadgesWallRVal</vt:lpstr>
      <vt:lpstr>verBadgesWaterSourceHC</vt:lpstr>
      <vt:lpstr>verBadgesWellnessException</vt:lpstr>
      <vt:lpstr>verBadgesWindowUVal</vt:lpstr>
      <vt:lpstr>verBadgesWindowWallRatio</vt:lpstr>
      <vt:lpstr>verBuilderName</vt:lpstr>
      <vt:lpstr>verBuildingCode</vt:lpstr>
      <vt:lpstr>verBuildingCodeOther</vt:lpstr>
      <vt:lpstr>verCDucts</vt:lpstr>
      <vt:lpstr>verCity</vt:lpstr>
      <vt:lpstr>verCommercial</vt:lpstr>
      <vt:lpstr>verCool1</vt:lpstr>
      <vt:lpstr>verCool1Other</vt:lpstr>
      <vt:lpstr>verCool2</vt:lpstr>
      <vt:lpstr>verCool2Other</vt:lpstr>
      <vt:lpstr>verCool3</vt:lpstr>
      <vt:lpstr>verCool3Other</vt:lpstr>
      <vt:lpstr>verCounty</vt:lpstr>
      <vt:lpstr>verCToilet</vt:lpstr>
      <vt:lpstr>verElevation</vt:lpstr>
      <vt:lpstr>verEnergyCode</vt:lpstr>
      <vt:lpstr>verEnergyCodeOther</vt:lpstr>
      <vt:lpstr>verFloors</vt:lpstr>
      <vt:lpstr>verFoundation</vt:lpstr>
      <vt:lpstr>verFuel</vt:lpstr>
      <vt:lpstr>verFuelother</vt:lpstr>
      <vt:lpstr>verGoalLevel</vt:lpstr>
      <vt:lpstr>verHDucts</vt:lpstr>
      <vt:lpstr>verHomeAddress</vt:lpstr>
      <vt:lpstr>verHVAC1</vt:lpstr>
      <vt:lpstr>verHVAC1Other</vt:lpstr>
      <vt:lpstr>verHVAC2</vt:lpstr>
      <vt:lpstr>verHVAC2Other</vt:lpstr>
      <vt:lpstr>verHVAC3</vt:lpstr>
      <vt:lpstr>verHVAC3Other</vt:lpstr>
      <vt:lpstr>verLot</vt:lpstr>
      <vt:lpstr>verMassWalls</vt:lpstr>
      <vt:lpstr>verPassiveSolar</vt:lpstr>
      <vt:lpstr>verProjectDesc</vt:lpstr>
      <vt:lpstr>verProjectID</vt:lpstr>
      <vt:lpstr>verProjectName</vt:lpstr>
      <vt:lpstr>verRadiantHydronic</vt:lpstr>
      <vt:lpstr>verRecessedLighting</vt:lpstr>
      <vt:lpstr>verRenewable</vt:lpstr>
      <vt:lpstr>verRenewableOther</vt:lpstr>
      <vt:lpstr>verSingleOrMulti</vt:lpstr>
      <vt:lpstr>VersionDate</vt:lpstr>
      <vt:lpstr>VersionNum</vt:lpstr>
      <vt:lpstr>versSHGC</vt:lpstr>
      <vt:lpstr>verStartError</vt:lpstr>
      <vt:lpstr>verState</vt:lpstr>
      <vt:lpstr>versUV</vt:lpstr>
      <vt:lpstr>verTCFloorArea</vt:lpstr>
      <vt:lpstr>verTEInsulation</vt:lpstr>
      <vt:lpstr>verTEInsulationOther</vt:lpstr>
      <vt:lpstr>verTLWH</vt:lpstr>
      <vt:lpstr>verUnits</vt:lpstr>
      <vt:lpstr>verwdSHGC</vt:lpstr>
      <vt:lpstr>verwdUV</vt:lpstr>
      <vt:lpstr>verZIP</vt:lpstr>
      <vt:lpstr>vnt1001_1_1</vt:lpstr>
      <vt:lpstr>vnt1001_1_10</vt:lpstr>
      <vt:lpstr>vnt1001_1_11</vt:lpstr>
      <vt:lpstr>vnt1001_1_12</vt:lpstr>
      <vt:lpstr>vnt1001_1_13</vt:lpstr>
      <vt:lpstr>vnt1001_1_14</vt:lpstr>
      <vt:lpstr>vnt1001_1_15</vt:lpstr>
      <vt:lpstr>vnt1001_1_16</vt:lpstr>
      <vt:lpstr>vnt1001_1_17</vt:lpstr>
      <vt:lpstr>vnt1001_1_18</vt:lpstr>
      <vt:lpstr>vnt1001_1_19</vt:lpstr>
      <vt:lpstr>vnt1001_1_2</vt:lpstr>
      <vt:lpstr>vnt1001_1_20</vt:lpstr>
      <vt:lpstr>vnt1001_1_21</vt:lpstr>
      <vt:lpstr>vnt1001_1_22</vt:lpstr>
      <vt:lpstr>vnt1001_1_23</vt:lpstr>
      <vt:lpstr>vnt1001_1_24</vt:lpstr>
      <vt:lpstr>vnt1001_1_3</vt:lpstr>
      <vt:lpstr>vnt1001_1_4</vt:lpstr>
      <vt:lpstr>vnt1001_1_5</vt:lpstr>
      <vt:lpstr>vnt1001_1_6</vt:lpstr>
      <vt:lpstr>vnt1001_1_7</vt:lpstr>
      <vt:lpstr>vnt1001_1_8</vt:lpstr>
      <vt:lpstr>vnt1001_1_9</vt:lpstr>
      <vt:lpstr>vnt1001_2</vt:lpstr>
      <vt:lpstr>vnt1002_1_1</vt:lpstr>
      <vt:lpstr>vnt1002_1_2</vt:lpstr>
      <vt:lpstr>vnt1002_1_3</vt:lpstr>
      <vt:lpstr>vnt1002_1_4</vt:lpstr>
      <vt:lpstr>vnt1002_1_5</vt:lpstr>
      <vt:lpstr>vnt1002_1_6</vt:lpstr>
      <vt:lpstr>vnt1002_1_7</vt:lpstr>
      <vt:lpstr>vnt1002_1_8</vt:lpstr>
      <vt:lpstr>vnt1002_2_1</vt:lpstr>
      <vt:lpstr>vnt1002_2_10</vt:lpstr>
      <vt:lpstr>vnt1002_2_11</vt:lpstr>
      <vt:lpstr>vnt1002_2_2</vt:lpstr>
      <vt:lpstr>vnt1002_2_3</vt:lpstr>
      <vt:lpstr>vnt1002_2_4</vt:lpstr>
      <vt:lpstr>vnt1002_2_5</vt:lpstr>
      <vt:lpstr>vnt1002_2_6</vt:lpstr>
      <vt:lpstr>vnt1002_2_7</vt:lpstr>
      <vt:lpstr>vnt1002_2_8</vt:lpstr>
      <vt:lpstr>vnt1002_2_9</vt:lpstr>
      <vt:lpstr>vnt1002_3_1</vt:lpstr>
      <vt:lpstr>vnt1002_3_10</vt:lpstr>
      <vt:lpstr>vnt1002_3_11</vt:lpstr>
      <vt:lpstr>vnt1002_3_2</vt:lpstr>
      <vt:lpstr>vnt1002_3_3</vt:lpstr>
      <vt:lpstr>vnt1002_3_4</vt:lpstr>
      <vt:lpstr>vnt1002_3_5</vt:lpstr>
      <vt:lpstr>vnt1002_3_6</vt:lpstr>
      <vt:lpstr>vnt1002_3_7</vt:lpstr>
      <vt:lpstr>vnt1002_3_8</vt:lpstr>
      <vt:lpstr>vnt1002_3_9</vt:lpstr>
      <vt:lpstr>vnt1002_4</vt:lpstr>
      <vt:lpstr>vnt1002_5_1</vt:lpstr>
      <vt:lpstr>vnt1002_5_2</vt:lpstr>
      <vt:lpstr>vnt1002_5_3</vt:lpstr>
      <vt:lpstr>vnt1002_5_4</vt:lpstr>
      <vt:lpstr>vnt1002_5_5</vt:lpstr>
      <vt:lpstr>vnt1002_5_6</vt:lpstr>
      <vt:lpstr>vnt1002_5_7</vt:lpstr>
      <vt:lpstr>vnt1002_5_8</vt:lpstr>
      <vt:lpstr>vnt1002_5_9</vt:lpstr>
      <vt:lpstr>vnt1002_6_1</vt:lpstr>
      <vt:lpstr>vnt1002_6_2</vt:lpstr>
      <vt:lpstr>vnt1002_6_3</vt:lpstr>
      <vt:lpstr>vnt1002_6_4</vt:lpstr>
      <vt:lpstr>vnt1002_6_5</vt:lpstr>
      <vt:lpstr>vnt1002_6_6</vt:lpstr>
      <vt:lpstr>vnt1002_6_7</vt:lpstr>
      <vt:lpstr>vnt1003_1_1</vt:lpstr>
      <vt:lpstr>vnt1003_1_2</vt:lpstr>
      <vt:lpstr>vnt1003_1_3</vt:lpstr>
      <vt:lpstr>vnt1004_1_1</vt:lpstr>
      <vt:lpstr>vnt1004_1_2</vt:lpstr>
      <vt:lpstr>vnt1005_1_1</vt:lpstr>
      <vt:lpstr>vnt1005_1_2</vt:lpstr>
      <vt:lpstr>vnt501_1</vt:lpstr>
      <vt:lpstr>vnt501_2</vt:lpstr>
      <vt:lpstr>vnt501_2_1</vt:lpstr>
      <vt:lpstr>vnt501_2_2</vt:lpstr>
      <vt:lpstr>vnt501_2_3</vt:lpstr>
      <vt:lpstr>vnt501_2_4</vt:lpstr>
      <vt:lpstr>vnt501_2_4_1</vt:lpstr>
      <vt:lpstr>vnt501_2_5</vt:lpstr>
      <vt:lpstr>vnt501_2_6</vt:lpstr>
      <vt:lpstr>vnt501_2_6_d</vt:lpstr>
      <vt:lpstr>vnt501_2_7</vt:lpstr>
      <vt:lpstr>vnt501_2_8</vt:lpstr>
      <vt:lpstr>vnt502_1</vt:lpstr>
      <vt:lpstr>vnt503_0</vt:lpstr>
      <vt:lpstr>vnt503_1</vt:lpstr>
      <vt:lpstr>vnt503_2</vt:lpstr>
      <vt:lpstr>vnt503_3</vt:lpstr>
      <vt:lpstr>vnt503_4</vt:lpstr>
      <vt:lpstr>vnt503_4_1</vt:lpstr>
      <vt:lpstr>vnt503_4_2</vt:lpstr>
      <vt:lpstr>vnt503_4_3</vt:lpstr>
      <vt:lpstr>vnt503_4_4</vt:lpstr>
      <vt:lpstr>vnt503_4_4_c_1</vt:lpstr>
      <vt:lpstr>vnt503_4_5</vt:lpstr>
      <vt:lpstr>vnt503_5</vt:lpstr>
      <vt:lpstr>vnt503_5_1</vt:lpstr>
      <vt:lpstr>vnt503_5_10</vt:lpstr>
      <vt:lpstr>vnt503_5_11</vt:lpstr>
      <vt:lpstr>vnt503_5_12</vt:lpstr>
      <vt:lpstr>vnt503_5_13</vt:lpstr>
      <vt:lpstr>vnt503_5_2</vt:lpstr>
      <vt:lpstr>vnt503_5_3</vt:lpstr>
      <vt:lpstr>vnt503_5_4</vt:lpstr>
      <vt:lpstr>vnt503_5_5</vt:lpstr>
      <vt:lpstr>vnt503_5_6</vt:lpstr>
      <vt:lpstr>vnt503_5_7</vt:lpstr>
      <vt:lpstr>vnt503_5_8</vt:lpstr>
      <vt:lpstr>vnt503_5_9</vt:lpstr>
      <vt:lpstr>vnt503_6</vt:lpstr>
      <vt:lpstr>vnt503_7</vt:lpstr>
      <vt:lpstr>vnt503_8</vt:lpstr>
      <vt:lpstr>vnt504_1</vt:lpstr>
      <vt:lpstr>vnt504_2</vt:lpstr>
      <vt:lpstr>vnt504_3</vt:lpstr>
      <vt:lpstr>vnt504_3_1</vt:lpstr>
      <vt:lpstr>vnt504_3_2</vt:lpstr>
      <vt:lpstr>vnt504_3_3</vt:lpstr>
      <vt:lpstr>vnt504_3_4</vt:lpstr>
      <vt:lpstr>vnt504_3_5</vt:lpstr>
      <vt:lpstr>vnt504_3_6</vt:lpstr>
      <vt:lpstr>vnt504_3_7</vt:lpstr>
      <vt:lpstr>vnt504_3_8</vt:lpstr>
      <vt:lpstr>vnt504_3_9</vt:lpstr>
      <vt:lpstr>vnt505_1_1</vt:lpstr>
      <vt:lpstr>vnt505_1_2</vt:lpstr>
      <vt:lpstr>vnt505_1_3</vt:lpstr>
      <vt:lpstr>vnt505_10_a</vt:lpstr>
      <vt:lpstr>vnt505_10_b</vt:lpstr>
      <vt:lpstr>vnt505_10_c</vt:lpstr>
      <vt:lpstr>vnt505_2_1</vt:lpstr>
      <vt:lpstr>vnt505_2_2</vt:lpstr>
      <vt:lpstr>vnt505_3</vt:lpstr>
      <vt:lpstr>vnt505_4_1</vt:lpstr>
      <vt:lpstr>vnt505_5_a</vt:lpstr>
      <vt:lpstr>vnt505_5_b</vt:lpstr>
      <vt:lpstr>vnt505_5_c</vt:lpstr>
      <vt:lpstr>vnt505_5_d</vt:lpstr>
      <vt:lpstr>vnt505_6</vt:lpstr>
      <vt:lpstr>vnt505_7</vt:lpstr>
      <vt:lpstr>vnt505_8</vt:lpstr>
      <vt:lpstr>vnt505_9_a</vt:lpstr>
      <vt:lpstr>vnt505_9_b</vt:lpstr>
      <vt:lpstr>vnt505_9_c</vt:lpstr>
      <vt:lpstr>vnt601_1</vt:lpstr>
      <vt:lpstr>vnt601_2_1</vt:lpstr>
      <vt:lpstr>vnt601_2_2</vt:lpstr>
      <vt:lpstr>vnt601_2_3</vt:lpstr>
      <vt:lpstr>vnt601_3_1</vt:lpstr>
      <vt:lpstr>vnt601_3_2</vt:lpstr>
      <vt:lpstr>vnt601_3_3</vt:lpstr>
      <vt:lpstr>vnt601_3_4</vt:lpstr>
      <vt:lpstr>vnt601_3_5</vt:lpstr>
      <vt:lpstr>vnt601_4</vt:lpstr>
      <vt:lpstr>vnt601_5_1</vt:lpstr>
      <vt:lpstr>vnt601_5_2</vt:lpstr>
      <vt:lpstr>vnt601_5_3</vt:lpstr>
      <vt:lpstr>vnt601_5_4</vt:lpstr>
      <vt:lpstr>vnt601_5_5</vt:lpstr>
      <vt:lpstr>vnt601_6</vt:lpstr>
      <vt:lpstr>vnt601_7</vt:lpstr>
      <vt:lpstr>vnt601_8</vt:lpstr>
      <vt:lpstr>vnt602_1_1_1</vt:lpstr>
      <vt:lpstr>vnt602_1_1_2</vt:lpstr>
      <vt:lpstr>vnt602_1_10</vt:lpstr>
      <vt:lpstr>vnt602_1_11</vt:lpstr>
      <vt:lpstr>vnt602_1_12</vt:lpstr>
      <vt:lpstr>vnt602_1_13</vt:lpstr>
      <vt:lpstr>vnt602_1_14_1</vt:lpstr>
      <vt:lpstr>vnt602_1_14_2</vt:lpstr>
      <vt:lpstr>vnt602_1_14_3</vt:lpstr>
      <vt:lpstr>vnt602_1_15</vt:lpstr>
      <vt:lpstr>vnt602_1_2</vt:lpstr>
      <vt:lpstr>vnt602_1_3_1</vt:lpstr>
      <vt:lpstr>vnt602_1_3_2</vt:lpstr>
      <vt:lpstr>vnt602_1_4_1_1</vt:lpstr>
      <vt:lpstr>vnt602_1_4_1_2</vt:lpstr>
      <vt:lpstr>vnt602_1_4_2_1</vt:lpstr>
      <vt:lpstr>vnt602_1_4_2_2</vt:lpstr>
      <vt:lpstr>vnt602_1_5</vt:lpstr>
      <vt:lpstr>vnt602_1_6_1</vt:lpstr>
      <vt:lpstr>vnt602_1_7_1_1</vt:lpstr>
      <vt:lpstr>vnt602_1_7_1_2</vt:lpstr>
      <vt:lpstr>vnt602_1_7_1_3</vt:lpstr>
      <vt:lpstr>vnt602_1_7_2</vt:lpstr>
      <vt:lpstr>vnt602_1_7_3</vt:lpstr>
      <vt:lpstr>vnt602_1_8</vt:lpstr>
      <vt:lpstr>vnt602_1_9_1</vt:lpstr>
      <vt:lpstr>vnt602_1_9_2</vt:lpstr>
      <vt:lpstr>vnt602_1_9_3</vt:lpstr>
      <vt:lpstr>vnt602_1_9_4</vt:lpstr>
      <vt:lpstr>vnt602_1_9_5</vt:lpstr>
      <vt:lpstr>vnt602_1_9_6</vt:lpstr>
      <vt:lpstr>vnt602_1_9_7</vt:lpstr>
      <vt:lpstr>vnt602_2_1</vt:lpstr>
      <vt:lpstr>vnt602_2_2</vt:lpstr>
      <vt:lpstr>vnt602_2_3</vt:lpstr>
      <vt:lpstr>vnt602_3</vt:lpstr>
      <vt:lpstr>vnt602_4_1</vt:lpstr>
      <vt:lpstr>vnt602_4_2</vt:lpstr>
      <vt:lpstr>vnt602_4_3</vt:lpstr>
      <vt:lpstr>vnt603_1</vt:lpstr>
      <vt:lpstr>vnt603_2</vt:lpstr>
      <vt:lpstr>vnt603_3</vt:lpstr>
      <vt:lpstr>vnt604_1a</vt:lpstr>
      <vt:lpstr>vnt604_1b</vt:lpstr>
      <vt:lpstr>vnt604_1c</vt:lpstr>
      <vt:lpstr>vnt604_1d</vt:lpstr>
      <vt:lpstr>vnt605_1</vt:lpstr>
      <vt:lpstr>vnt605_2</vt:lpstr>
      <vt:lpstr>vnt605_3</vt:lpstr>
      <vt:lpstr>vnt605_4_2_a</vt:lpstr>
      <vt:lpstr>vnt605_4_2_h</vt:lpstr>
      <vt:lpstr>vnt605_4_2_i</vt:lpstr>
      <vt:lpstr>vnt606_1_a</vt:lpstr>
      <vt:lpstr>vnt606_2_1a</vt:lpstr>
      <vt:lpstr>vnt606_2_1b</vt:lpstr>
      <vt:lpstr>vnt606_2_2a</vt:lpstr>
      <vt:lpstr>vnt606_2_2b</vt:lpstr>
      <vt:lpstr>vnt606_3</vt:lpstr>
      <vt:lpstr>vnt607_1_1</vt:lpstr>
      <vt:lpstr>vnt607_1_2</vt:lpstr>
      <vt:lpstr>vnt607_2</vt:lpstr>
      <vt:lpstr>vnt608_1</vt:lpstr>
      <vt:lpstr>vnt609_1_1</vt:lpstr>
      <vt:lpstr>vnt609_1_2</vt:lpstr>
      <vt:lpstr>vnt610_1</vt:lpstr>
      <vt:lpstr>vnt610_1_1_1</vt:lpstr>
      <vt:lpstr>vnt610_1_1_2</vt:lpstr>
      <vt:lpstr>vnt610_1_1_3</vt:lpstr>
      <vt:lpstr>vnt610_1_2_1</vt:lpstr>
      <vt:lpstr>vnt610_1_2_1_e</vt:lpstr>
      <vt:lpstr>vnt610_1_2_2_e</vt:lpstr>
      <vt:lpstr>vnt610_1_2_2a</vt:lpstr>
      <vt:lpstr>vnt610_1_2_2b</vt:lpstr>
      <vt:lpstr>vnt610_1_2_2c</vt:lpstr>
      <vt:lpstr>vnt611_1_1</vt:lpstr>
      <vt:lpstr>vnt611_1_2</vt:lpstr>
      <vt:lpstr>vnt612_1</vt:lpstr>
      <vt:lpstr>vnt612_2_1</vt:lpstr>
      <vt:lpstr>vnt612_2_2</vt:lpstr>
      <vt:lpstr>vnt612_2_3</vt:lpstr>
      <vt:lpstr>vnt612_2_4</vt:lpstr>
      <vt:lpstr>vnt612_2_5</vt:lpstr>
      <vt:lpstr>vnt612_2_6</vt:lpstr>
      <vt:lpstr>vnt612_2_7</vt:lpstr>
      <vt:lpstr>vnt612_3_1</vt:lpstr>
      <vt:lpstr>vnt612_3_2</vt:lpstr>
      <vt:lpstr>vnt612_3_3</vt:lpstr>
      <vt:lpstr>vnt612_3_4</vt:lpstr>
      <vt:lpstr>vnt612_3_5</vt:lpstr>
      <vt:lpstr>vnt612_3_6</vt:lpstr>
      <vt:lpstr>vnt612_3_7</vt:lpstr>
      <vt:lpstr>vnt612_3_8</vt:lpstr>
      <vt:lpstr>vnt612_3_9</vt:lpstr>
      <vt:lpstr>vnt613_1</vt:lpstr>
      <vt:lpstr>vnt701_1_</vt:lpstr>
      <vt:lpstr>vnt701_1_1</vt:lpstr>
      <vt:lpstr>vnt701_1_2</vt:lpstr>
      <vt:lpstr>vnt701_1_3</vt:lpstr>
      <vt:lpstr>vnt701_1_4</vt:lpstr>
      <vt:lpstr>vnt701_1_6_1</vt:lpstr>
      <vt:lpstr>vnt701_1_6_2</vt:lpstr>
      <vt:lpstr>vnt701_1_6_3</vt:lpstr>
      <vt:lpstr>vnt701_1_6_4</vt:lpstr>
      <vt:lpstr>vnt701_1_6_5</vt:lpstr>
      <vt:lpstr>vnt701_1_6_6_a</vt:lpstr>
      <vt:lpstr>vnt701_1_6_6_b</vt:lpstr>
      <vt:lpstr>vnt701_1_6_6_c</vt:lpstr>
      <vt:lpstr>vnt701_1_6_7_a</vt:lpstr>
      <vt:lpstr>vnt701_1_6_7_b</vt:lpstr>
      <vt:lpstr>vnt701_1_6_7_c</vt:lpstr>
      <vt:lpstr>vnt701_1_6_8</vt:lpstr>
      <vt:lpstr>vnt701_1_6_9</vt:lpstr>
      <vt:lpstr>vnt701_3</vt:lpstr>
      <vt:lpstr>vnt701_4_1</vt:lpstr>
      <vt:lpstr>vnt701_4_1_1</vt:lpstr>
      <vt:lpstr>vnt701_4_1_2</vt:lpstr>
      <vt:lpstr>vnt701_4_2_2</vt:lpstr>
      <vt:lpstr>vnt701_4_2_3</vt:lpstr>
      <vt:lpstr>vnt701_4_3_1</vt:lpstr>
      <vt:lpstr>vnt701_4_3_1_a</vt:lpstr>
      <vt:lpstr>vnt701_4_3_1_b</vt:lpstr>
      <vt:lpstr>vnt701_4_3_1_c</vt:lpstr>
      <vt:lpstr>vnt701_4_3_1_d</vt:lpstr>
      <vt:lpstr>vnt701_4_3_1_e</vt:lpstr>
      <vt:lpstr>vnt701_4_3_1_f</vt:lpstr>
      <vt:lpstr>vnt701_4_3_1_g</vt:lpstr>
      <vt:lpstr>vnt701_4_3_1_h</vt:lpstr>
      <vt:lpstr>vnt701_4_3_1_i</vt:lpstr>
      <vt:lpstr>vnt701_4_3_1_j</vt:lpstr>
      <vt:lpstr>vnt701_4_3_1_k</vt:lpstr>
      <vt:lpstr>vnt701_4_3_1_l</vt:lpstr>
      <vt:lpstr>vnt701_4_3_1_m</vt:lpstr>
      <vt:lpstr>vnt701_4_3_2_1_</vt:lpstr>
      <vt:lpstr>vnt701_4_3_2_1_1</vt:lpstr>
      <vt:lpstr>vnt701_4_3_2_1_2</vt:lpstr>
      <vt:lpstr>vnt701_4_3_2_1_3</vt:lpstr>
      <vt:lpstr>vnt701_4_3_2_1_4</vt:lpstr>
      <vt:lpstr>vnt701_4_3_2_1_5</vt:lpstr>
      <vt:lpstr>vnt701_4_3_2_1_6</vt:lpstr>
      <vt:lpstr>vnt701_4_3_2_1_7</vt:lpstr>
      <vt:lpstr>vnt701_4_3_2_1_8</vt:lpstr>
      <vt:lpstr>vnt701_4_3_2_1_9</vt:lpstr>
      <vt:lpstr>vnt701_4_3_2_1_a</vt:lpstr>
      <vt:lpstr>vnt701_4_3_2_1_b</vt:lpstr>
      <vt:lpstr>vnt701_4_3_2_1_c</vt:lpstr>
      <vt:lpstr>vnt701_4_3_2_1_d</vt:lpstr>
      <vt:lpstr>vnt701_4_3_2_1_e</vt:lpstr>
      <vt:lpstr>vnt701_4_3_2_1_f</vt:lpstr>
      <vt:lpstr>vnt701_4_3_2_1_g</vt:lpstr>
      <vt:lpstr>vnt701_4_3_2_1_h</vt:lpstr>
      <vt:lpstr>vnt701_4_3_2_2</vt:lpstr>
      <vt:lpstr>vnt701_4_3_2e</vt:lpstr>
      <vt:lpstr>vnt701_4_3_3</vt:lpstr>
      <vt:lpstr>vnt701_4_3_4</vt:lpstr>
      <vt:lpstr>vnt701_4_3_5</vt:lpstr>
      <vt:lpstr>vnt701_4_4_1</vt:lpstr>
      <vt:lpstr>vnt701_4_4_2</vt:lpstr>
      <vt:lpstr>vnt701_4_5</vt:lpstr>
      <vt:lpstr>vnt702_2_1</vt:lpstr>
      <vt:lpstr>vnt702_2_2</vt:lpstr>
      <vt:lpstr>vnt702_2_2_m</vt:lpstr>
      <vt:lpstr>vnt702_2_3</vt:lpstr>
      <vt:lpstr>vnt703_1_1</vt:lpstr>
      <vt:lpstr>vnt703_1_2</vt:lpstr>
      <vt:lpstr>vnt703_1_3</vt:lpstr>
      <vt:lpstr>vnt703_2_1</vt:lpstr>
      <vt:lpstr>vnt703_2_2</vt:lpstr>
      <vt:lpstr>vnt703_2_3</vt:lpstr>
      <vt:lpstr>vnt703_2_4</vt:lpstr>
      <vt:lpstr>vnt703_2_5_1</vt:lpstr>
      <vt:lpstr>vnt703_2_5_1_1</vt:lpstr>
      <vt:lpstr>vnt703_2_5_2</vt:lpstr>
      <vt:lpstr>vnt703_2_5_2_1</vt:lpstr>
      <vt:lpstr>vnt703_3_0_1</vt:lpstr>
      <vt:lpstr>vnt703_3_0_2</vt:lpstr>
      <vt:lpstr>vnt703_3_1</vt:lpstr>
      <vt:lpstr>vnt703_3_2__1</vt:lpstr>
      <vt:lpstr>vnt703_3_2__2</vt:lpstr>
      <vt:lpstr>vnt703_3_2__3</vt:lpstr>
      <vt:lpstr>vnt703_3_2__4</vt:lpstr>
      <vt:lpstr>vnt703_3_3__1</vt:lpstr>
      <vt:lpstr>vnt703_3_3__2</vt:lpstr>
      <vt:lpstr>vnt703_3_3__3</vt:lpstr>
      <vt:lpstr>vnt703_3_4_1</vt:lpstr>
      <vt:lpstr>vnt703_3_4_1_6</vt:lpstr>
      <vt:lpstr>vnt703_3_4_2</vt:lpstr>
      <vt:lpstr>vnt703_3_5</vt:lpstr>
      <vt:lpstr>vnt703_3_6</vt:lpstr>
      <vt:lpstr>vnt703_3_7_1</vt:lpstr>
      <vt:lpstr>vnt703_3_8</vt:lpstr>
      <vt:lpstr>vnt703_4_1</vt:lpstr>
      <vt:lpstr>vnt703_4_2</vt:lpstr>
      <vt:lpstr>vnt703_4_3_1</vt:lpstr>
      <vt:lpstr>vnt703_4_3_2</vt:lpstr>
      <vt:lpstr>vnt703_4_3_3</vt:lpstr>
      <vt:lpstr>vnt703_4_4</vt:lpstr>
      <vt:lpstr>vnt703_5_1</vt:lpstr>
      <vt:lpstr>vnt703_5_2</vt:lpstr>
      <vt:lpstr>vnt703_5_3</vt:lpstr>
      <vt:lpstr>vnt703_5_4</vt:lpstr>
      <vt:lpstr>vnt703_5_5</vt:lpstr>
      <vt:lpstr>vnt703_6_1_1</vt:lpstr>
      <vt:lpstr>vnt703_6_1_2</vt:lpstr>
      <vt:lpstr>vnt703_6_1_3</vt:lpstr>
      <vt:lpstr>vnt703_6_2__1</vt:lpstr>
      <vt:lpstr>vnt703_6_2__2</vt:lpstr>
      <vt:lpstr>vnt703_6_2__3</vt:lpstr>
      <vt:lpstr>vnt703_7_1_1</vt:lpstr>
      <vt:lpstr>vnt703_7_1_2</vt:lpstr>
      <vt:lpstr>vnt703_7_1_3</vt:lpstr>
      <vt:lpstr>vnt703_7_1_4</vt:lpstr>
      <vt:lpstr>vnt703_7_1_5</vt:lpstr>
      <vt:lpstr>vnt703_7_1_6_a</vt:lpstr>
      <vt:lpstr>vnt703_7_1_6_b</vt:lpstr>
      <vt:lpstr>vnt703_7_1_6_c</vt:lpstr>
      <vt:lpstr>vnt703_7_1_7</vt:lpstr>
      <vt:lpstr>vnt703_7_1_8</vt:lpstr>
      <vt:lpstr>vnt703_7_1_9</vt:lpstr>
      <vt:lpstr>vnt703_7_1_9_m</vt:lpstr>
      <vt:lpstr>vnt703_7_2</vt:lpstr>
      <vt:lpstr>vnt703_7_3_1_a</vt:lpstr>
      <vt:lpstr>vnt703_7_3_1_b</vt:lpstr>
      <vt:lpstr>vnt703_7_3_1_c</vt:lpstr>
      <vt:lpstr>vnt703_7_3_1_d</vt:lpstr>
      <vt:lpstr>vnt703_7_3_2</vt:lpstr>
      <vt:lpstr>vnt703_7_3_3</vt:lpstr>
      <vt:lpstr>vnt703_7_3_4</vt:lpstr>
      <vt:lpstr>vnt703_7_3_5_a</vt:lpstr>
      <vt:lpstr>vnt703_7_3_5_b</vt:lpstr>
      <vt:lpstr>vnt703_7_3_6</vt:lpstr>
      <vt:lpstr>vnt703_7_4_1</vt:lpstr>
      <vt:lpstr>vnt703_7_4_2_a</vt:lpstr>
      <vt:lpstr>vnt703_7_4_2_b</vt:lpstr>
      <vt:lpstr>vnt703_7_4_2_c</vt:lpstr>
      <vt:lpstr>vnt703_7_4_3</vt:lpstr>
      <vt:lpstr>vnt704_1</vt:lpstr>
      <vt:lpstr>vnt705_2_1_1</vt:lpstr>
      <vt:lpstr>vnt705_2_1_2</vt:lpstr>
      <vt:lpstr>vnt705_2_1_3_1</vt:lpstr>
      <vt:lpstr>vnt705_2_1_3_2</vt:lpstr>
      <vt:lpstr>vnt705_2_1_4</vt:lpstr>
      <vt:lpstr>vnt705_2_2</vt:lpstr>
      <vt:lpstr>vnt705_2_3</vt:lpstr>
      <vt:lpstr>vnt705_2_4</vt:lpstr>
      <vt:lpstr>vnt705_3</vt:lpstr>
      <vt:lpstr>vnt705_4</vt:lpstr>
      <vt:lpstr>vnt705_5_1_1</vt:lpstr>
      <vt:lpstr>vnt705_5_1_2</vt:lpstr>
      <vt:lpstr>vnt705_5_2</vt:lpstr>
      <vt:lpstr>vnt705_5_2_1</vt:lpstr>
      <vt:lpstr>vnt705_5_2_2</vt:lpstr>
      <vt:lpstr>vnt705_5_2_3</vt:lpstr>
      <vt:lpstr>vnt705_5_2_4</vt:lpstr>
      <vt:lpstr>vnt705_5_2_5</vt:lpstr>
      <vt:lpstr>vnt705_5_2_6</vt:lpstr>
      <vt:lpstr>vnt705_5_3_1</vt:lpstr>
      <vt:lpstr>vnt705_5_3_2</vt:lpstr>
      <vt:lpstr>vnt705_6_1</vt:lpstr>
      <vt:lpstr>vnt705_6_2_1_1_1</vt:lpstr>
      <vt:lpstr>vnt705_6_2_1_2</vt:lpstr>
      <vt:lpstr>vnt705_6_2_2_1</vt:lpstr>
      <vt:lpstr>vnt705_6_2_2_2</vt:lpstr>
      <vt:lpstr>vnt705_6_2_3</vt:lpstr>
      <vt:lpstr>vnt705_6_3_a</vt:lpstr>
      <vt:lpstr>vnt705_6_3_b</vt:lpstr>
      <vt:lpstr>vnt705_6_3_c</vt:lpstr>
      <vt:lpstr>vnt705_6_3_d</vt:lpstr>
      <vt:lpstr>vnt705_6_3_e</vt:lpstr>
      <vt:lpstr>vnt705_6_3_f</vt:lpstr>
      <vt:lpstr>vnt705_6_3_g</vt:lpstr>
      <vt:lpstr>vnt705_6_4_1</vt:lpstr>
      <vt:lpstr>vnt705_6_4_2</vt:lpstr>
      <vt:lpstr>vnt705_7</vt:lpstr>
      <vt:lpstr>vnt706_1_1</vt:lpstr>
      <vt:lpstr>vnt706_1_2</vt:lpstr>
      <vt:lpstr>vnt706_1_3</vt:lpstr>
      <vt:lpstr>vnt706_1_4</vt:lpstr>
      <vt:lpstr>vnt706_1_5</vt:lpstr>
      <vt:lpstr>vnt706_10</vt:lpstr>
      <vt:lpstr>vnt706_11</vt:lpstr>
      <vt:lpstr>vnt706_12</vt:lpstr>
      <vt:lpstr>vnt706_13</vt:lpstr>
      <vt:lpstr>vnt706_14_1</vt:lpstr>
      <vt:lpstr>vnt706_14_2</vt:lpstr>
      <vt:lpstr>vnt706_15_1</vt:lpstr>
      <vt:lpstr>vnt706_15_2</vt:lpstr>
      <vt:lpstr>vnt706_2_1</vt:lpstr>
      <vt:lpstr>vnt706_2_2</vt:lpstr>
      <vt:lpstr>vnt706_3</vt:lpstr>
      <vt:lpstr>vnt706_3_1</vt:lpstr>
      <vt:lpstr>vnt706_3_2</vt:lpstr>
      <vt:lpstr>vnt706_3_3</vt:lpstr>
      <vt:lpstr>vnt706_3_4</vt:lpstr>
      <vt:lpstr>vnt706_3_5</vt:lpstr>
      <vt:lpstr>vnt706_3_6</vt:lpstr>
      <vt:lpstr>vnt706_3_7</vt:lpstr>
      <vt:lpstr>vnt706_3_8</vt:lpstr>
      <vt:lpstr>vnt706_4_1_1</vt:lpstr>
      <vt:lpstr>vnt706_4_1_2</vt:lpstr>
      <vt:lpstr>vnt706_4_2</vt:lpstr>
      <vt:lpstr>vnt706_5</vt:lpstr>
      <vt:lpstr>vnt706_6</vt:lpstr>
      <vt:lpstr>vnt706_7_1</vt:lpstr>
      <vt:lpstr>vnt706_7_2</vt:lpstr>
      <vt:lpstr>vnt706_8</vt:lpstr>
      <vt:lpstr>vnt706_9</vt:lpstr>
      <vt:lpstr>vnt801_1</vt:lpstr>
      <vt:lpstr>vnt802_1_1</vt:lpstr>
      <vt:lpstr>vnt802_1_5</vt:lpstr>
      <vt:lpstr>vnt802_1_6</vt:lpstr>
      <vt:lpstr>vnt802_10_1</vt:lpstr>
      <vt:lpstr>vnt802_10_1_1</vt:lpstr>
      <vt:lpstr>vnt802_2_1</vt:lpstr>
      <vt:lpstr>vnt802_2_2</vt:lpstr>
      <vt:lpstr>vnt802_3_1_a</vt:lpstr>
      <vt:lpstr>vnt802_3_1_b</vt:lpstr>
      <vt:lpstr>vnt802_3_2_a</vt:lpstr>
      <vt:lpstr>vnt802_3_2_b</vt:lpstr>
      <vt:lpstr>vnt802_4_1</vt:lpstr>
      <vt:lpstr>vnt802_4_2</vt:lpstr>
      <vt:lpstr>vnt802_4_3</vt:lpstr>
      <vt:lpstr>vnt802_5_1a</vt:lpstr>
      <vt:lpstr>vnt802_5_2</vt:lpstr>
      <vt:lpstr>vnt802_5_3</vt:lpstr>
      <vt:lpstr>vnt802_5_4_1</vt:lpstr>
      <vt:lpstr>vnt802_5_4_2</vt:lpstr>
      <vt:lpstr>vnt802_5_4_3</vt:lpstr>
      <vt:lpstr>vnt802_5_4_4_a</vt:lpstr>
      <vt:lpstr>vnt802_5_4_4_b</vt:lpstr>
      <vt:lpstr>vnt802_5_4_4_c</vt:lpstr>
      <vt:lpstr>vnt802_6_1</vt:lpstr>
      <vt:lpstr>vnt802_6_2</vt:lpstr>
      <vt:lpstr>vnt802_6_3_1</vt:lpstr>
      <vt:lpstr>vnt802_6_3_2</vt:lpstr>
      <vt:lpstr>vnt802_6_3_3</vt:lpstr>
      <vt:lpstr>vnt802_6_4_1</vt:lpstr>
      <vt:lpstr>vnt802_6_4_2</vt:lpstr>
      <vt:lpstr>vnt802_6_5_1</vt:lpstr>
      <vt:lpstr>vnt802_6_5_2</vt:lpstr>
      <vt:lpstr>vnt802_6_5_3</vt:lpstr>
      <vt:lpstr>vnt802_6_5_4</vt:lpstr>
      <vt:lpstr>vnt802_6_5_5</vt:lpstr>
      <vt:lpstr>vnt802_7_1</vt:lpstr>
      <vt:lpstr>vnt802_7_2_1</vt:lpstr>
      <vt:lpstr>vnt802_7_2_2</vt:lpstr>
      <vt:lpstr>vnt802_8</vt:lpstr>
      <vt:lpstr>vnt802_9_1</vt:lpstr>
      <vt:lpstr>vnt802_9_2</vt:lpstr>
      <vt:lpstr>vnt803_1_1</vt:lpstr>
      <vt:lpstr>vnt803_1_2</vt:lpstr>
      <vt:lpstr>vnt803_2</vt:lpstr>
      <vt:lpstr>vnt803_3</vt:lpstr>
      <vt:lpstr>vnt803_4</vt:lpstr>
      <vt:lpstr>vnt803_5</vt:lpstr>
      <vt:lpstr>vnt803_6</vt:lpstr>
      <vt:lpstr>vnt804_2</vt:lpstr>
      <vt:lpstr>vnt901_1_1</vt:lpstr>
      <vt:lpstr>vnt901_1_2</vt:lpstr>
      <vt:lpstr>vnt901_1_3_1</vt:lpstr>
      <vt:lpstr>vnt901_1_3_2</vt:lpstr>
      <vt:lpstr>vnt901_1_4</vt:lpstr>
      <vt:lpstr>vnt901_1_5</vt:lpstr>
      <vt:lpstr>vnt901_1_6</vt:lpstr>
      <vt:lpstr>vnt901_10_1</vt:lpstr>
      <vt:lpstr>vnt901_10_2</vt:lpstr>
      <vt:lpstr>vnt901_10_3</vt:lpstr>
      <vt:lpstr>vnt901_11</vt:lpstr>
      <vt:lpstr>vnt901_12</vt:lpstr>
      <vt:lpstr>vnt901_13</vt:lpstr>
      <vt:lpstr>vnt901_14</vt:lpstr>
      <vt:lpstr>vnt901_15_1</vt:lpstr>
      <vt:lpstr>vnt901_15_2</vt:lpstr>
      <vt:lpstr>vnt901_2_1_1</vt:lpstr>
      <vt:lpstr>vnt901_2_1_2</vt:lpstr>
      <vt:lpstr>vnt901_2_1_3</vt:lpstr>
      <vt:lpstr>vnt901_2_1_4</vt:lpstr>
      <vt:lpstr>vnt901_2_1_5</vt:lpstr>
      <vt:lpstr>vnt901_2_2</vt:lpstr>
      <vt:lpstr>vnt901_3_1_a</vt:lpstr>
      <vt:lpstr>vnt901_3_1_b</vt:lpstr>
      <vt:lpstr>vnt901_3_1_c</vt:lpstr>
      <vt:lpstr>vnt901_3_2</vt:lpstr>
      <vt:lpstr>vnt901_4_1</vt:lpstr>
      <vt:lpstr>vnt901_4_a</vt:lpstr>
      <vt:lpstr>vnt901_5_1</vt:lpstr>
      <vt:lpstr>vnt901_5_2</vt:lpstr>
      <vt:lpstr>vnt901_6</vt:lpstr>
      <vt:lpstr>vnt901_7_1</vt:lpstr>
      <vt:lpstr>vnt901_7_2</vt:lpstr>
      <vt:lpstr>vnt901_8</vt:lpstr>
      <vt:lpstr>vnt901_9</vt:lpstr>
      <vt:lpstr>vnt901_9_1_1</vt:lpstr>
      <vt:lpstr>vnt901_9_1_2</vt:lpstr>
      <vt:lpstr>vnt901_9_1_3</vt:lpstr>
      <vt:lpstr>vnt901_9_2</vt:lpstr>
      <vt:lpstr>vnt901_9_3</vt:lpstr>
      <vt:lpstr>vnt902_1_1</vt:lpstr>
      <vt:lpstr>vnt902_1_1_a</vt:lpstr>
      <vt:lpstr>vnt902_1_2</vt:lpstr>
      <vt:lpstr>vnt902_1_2_</vt:lpstr>
      <vt:lpstr>vnt902_1_3</vt:lpstr>
      <vt:lpstr>vnt902_1_3_</vt:lpstr>
      <vt:lpstr>vnt902_1_4</vt:lpstr>
      <vt:lpstr>vnt902_1_5_1</vt:lpstr>
      <vt:lpstr>vnt902_1_5_2</vt:lpstr>
      <vt:lpstr>vnt902_1_5_3</vt:lpstr>
      <vt:lpstr>vnt902_1_6</vt:lpstr>
      <vt:lpstr>vnt902_2_1</vt:lpstr>
      <vt:lpstr>vnt902_2_2</vt:lpstr>
      <vt:lpstr>vnt902_2_3</vt:lpstr>
      <vt:lpstr>vnt902_2_4</vt:lpstr>
      <vt:lpstr>vnt902_3</vt:lpstr>
      <vt:lpstr>vnt902_3_1</vt:lpstr>
      <vt:lpstr>vnt902_3_2_1</vt:lpstr>
      <vt:lpstr>vnt902_3_2_2</vt:lpstr>
      <vt:lpstr>vnt902_4_1</vt:lpstr>
      <vt:lpstr>vnt902_4_2</vt:lpstr>
      <vt:lpstr>vnt902_4_3</vt:lpstr>
      <vt:lpstr>vnt902_5</vt:lpstr>
      <vt:lpstr>vnt902_6</vt:lpstr>
      <vt:lpstr>vnt903_1</vt:lpstr>
      <vt:lpstr>vnt903_2</vt:lpstr>
      <vt:lpstr>vnt903_3</vt:lpstr>
      <vt:lpstr>vnt904_1</vt:lpstr>
      <vt:lpstr>vnt904_2</vt:lpstr>
      <vt:lpstr>vnt904_3_1</vt:lpstr>
      <vt:lpstr>vnt904_3_2</vt:lpstr>
      <vt:lpstr>vnt905_1</vt:lpstr>
      <vt:lpstr>vnt905_2</vt:lpstr>
      <vt:lpstr>vnt905_3_1</vt:lpstr>
      <vt:lpstr>vnt905_3_2</vt:lpstr>
      <vt:lpstr>vnt905_4</vt:lpstr>
      <vt:lpstr>vnt905_5</vt:lpstr>
      <vt:lpstr>vnt905_6</vt:lpstr>
      <vt:lpstr>vntBadgesAirLeakage</vt:lpstr>
      <vt:lpstr>vntBadgesAirSealing</vt:lpstr>
      <vt:lpstr>vntBadgesBatteryStorage</vt:lpstr>
      <vt:lpstr>vntBadgesBuildingVent</vt:lpstr>
      <vt:lpstr>vntBadgesDaylighting</vt:lpstr>
      <vt:lpstr>vntBadgesElectricAC</vt:lpstr>
      <vt:lpstr>vntBadgesElectricHeat</vt:lpstr>
      <vt:lpstr>vntBadgesEnergyCredits</vt:lpstr>
      <vt:lpstr>vntBadgesExteriorShading</vt:lpstr>
      <vt:lpstr>vntBadgesFloorRVal</vt:lpstr>
      <vt:lpstr>vntBadgesGasBoiler</vt:lpstr>
      <vt:lpstr>vntBadgesGEDHPHeating</vt:lpstr>
      <vt:lpstr>vntBadgesGEHHPCooling</vt:lpstr>
      <vt:lpstr>vntBadgesGeothermalPower</vt:lpstr>
      <vt:lpstr>vntBadgesGroundSourceHP</vt:lpstr>
      <vt:lpstr>vntBadgesHVACDesc</vt:lpstr>
      <vt:lpstr>vntBadgesLightingDesign</vt:lpstr>
      <vt:lpstr>vntBadgesLightingType</vt:lpstr>
      <vt:lpstr>vntBadgesOccSensor</vt:lpstr>
      <vt:lpstr>vntBadgesOilBoiler</vt:lpstr>
      <vt:lpstr>vntBadgesOilFurnace</vt:lpstr>
      <vt:lpstr>vntBadgesPropane</vt:lpstr>
      <vt:lpstr>vntBadgesRadiant</vt:lpstr>
      <vt:lpstr>vntBadgesResilienceAdditional</vt:lpstr>
      <vt:lpstr>vntBadgesResilienceSect1</vt:lpstr>
      <vt:lpstr>vntBadgesResilienceSect2</vt:lpstr>
      <vt:lpstr>vntBadgesRoofRVal</vt:lpstr>
      <vt:lpstr>vntBadgesSHGC</vt:lpstr>
      <vt:lpstr>vntBadgesSmartAdd</vt:lpstr>
      <vt:lpstr>vntBadgesSmartSect1</vt:lpstr>
      <vt:lpstr>vntBadgesSmartSect2</vt:lpstr>
      <vt:lpstr>vntBadgesSmartSect3</vt:lpstr>
      <vt:lpstr>vntBadgesSmartSect4</vt:lpstr>
      <vt:lpstr>vntBadgesSolar</vt:lpstr>
      <vt:lpstr>vntBadgesSolarThermalArea</vt:lpstr>
      <vt:lpstr>vntBadgesSpotVent</vt:lpstr>
      <vt:lpstr>vntBadgesWallDesc</vt:lpstr>
      <vt:lpstr>vntBadgesWallRVal</vt:lpstr>
      <vt:lpstr>vntBadgesWaterSourceHC</vt:lpstr>
      <vt:lpstr>vntBadgesWellnessSect1</vt:lpstr>
      <vt:lpstr>vntBadgesWellnessSect2</vt:lpstr>
      <vt:lpstr>vntBadgesWellnessSect3</vt:lpstr>
      <vt:lpstr>vntBadgesWellnessSect4</vt:lpstr>
      <vt:lpstr>vntBadgesWellnessSect5</vt:lpstr>
      <vt:lpstr>vntBadgesWellnessSect6</vt:lpstr>
      <vt:lpstr>vntBadgesWellnessSect7</vt:lpstr>
      <vt:lpstr>vntBadgesWellnessSect8</vt:lpstr>
      <vt:lpstr>vntBadgesWellnessSect9</vt:lpstr>
      <vt:lpstr>vntBadgesWind</vt:lpstr>
      <vt:lpstr>vntBadgesWindowDesc</vt:lpstr>
      <vt:lpstr>vntBadgesWindowUVal</vt:lpstr>
      <vt:lpstr>vntBadgesWindowWallRatio</vt:lpstr>
      <vt:lpstr>vntWaterSenseClothesWasher</vt:lpstr>
      <vt:lpstr>vntWaterSenseDishwasher</vt:lpstr>
      <vt:lpstr>vntWaterSenseIrrigation</vt:lpstr>
      <vt:lpstr>vntWaterSenseLavFaucet</vt:lpstr>
      <vt:lpstr>vntWaterSenseLeaks1</vt:lpstr>
      <vt:lpstr>vntWaterSenseLeaks2</vt:lpstr>
      <vt:lpstr>vntWaterSenseLeaks3</vt:lpstr>
      <vt:lpstr>vntWaterSenseLeaks4</vt:lpstr>
      <vt:lpstr>vntWaterSenseLeaks5</vt:lpstr>
      <vt:lpstr>vntWaterSenseLeaks6</vt:lpstr>
      <vt:lpstr>vntWaterSenseLeaks7</vt:lpstr>
      <vt:lpstr>vntWaterSenseLeaks8</vt:lpstr>
      <vt:lpstr>vntWaterSenseOptionA</vt:lpstr>
      <vt:lpstr>vntWaterSenseShowerheads</vt:lpstr>
      <vt:lpstr>vntWaterSenseToilet</vt:lpstr>
      <vt:lpstr>vpa1001_1</vt:lpstr>
      <vt:lpstr>vpa1001_1_1</vt:lpstr>
      <vt:lpstr>vpa1001_1_2</vt:lpstr>
      <vt:lpstr>vpa1001_1_3</vt:lpstr>
      <vt:lpstr>vpa1001_1_9</vt:lpstr>
      <vt:lpstr>vpa1001_2</vt:lpstr>
      <vt:lpstr>vpa1001_2_m</vt:lpstr>
      <vt:lpstr>vpa1002_1</vt:lpstr>
      <vt:lpstr>vpa1002_1_1</vt:lpstr>
      <vt:lpstr>vpa1002_1_2</vt:lpstr>
      <vt:lpstr>vpa1002_1_3</vt:lpstr>
      <vt:lpstr>vpa1002_2</vt:lpstr>
      <vt:lpstr>vpa1002_2_1</vt:lpstr>
      <vt:lpstr>vpa1002_2_11</vt:lpstr>
      <vt:lpstr>vpa1002_2_2</vt:lpstr>
      <vt:lpstr>vpa1002_3</vt:lpstr>
      <vt:lpstr>vpa1002_3_1</vt:lpstr>
      <vt:lpstr>vpa1002_4</vt:lpstr>
      <vt:lpstr>vpa1002_4_m</vt:lpstr>
      <vt:lpstr>vpa1002_5</vt:lpstr>
      <vt:lpstr>vpa1002_5_1</vt:lpstr>
      <vt:lpstr>vpa1002_5_2</vt:lpstr>
      <vt:lpstr>vpa1002_5_3</vt:lpstr>
      <vt:lpstr>vpa1002_6</vt:lpstr>
      <vt:lpstr>vpa1003_1</vt:lpstr>
      <vt:lpstr>vpa1003_1_1</vt:lpstr>
      <vt:lpstr>vpa1003_1_2</vt:lpstr>
      <vt:lpstr>vpa1003_1_3</vt:lpstr>
      <vt:lpstr>vpa1004_1_1</vt:lpstr>
      <vt:lpstr>vpa1004_1_2</vt:lpstr>
      <vt:lpstr>vpa1005_1_1</vt:lpstr>
      <vt:lpstr>vpa1005_1_2</vt:lpstr>
      <vt:lpstr>vpa1005_1_3</vt:lpstr>
      <vt:lpstr>vpa501_1</vt:lpstr>
      <vt:lpstr>vpa501_1_2_a</vt:lpstr>
      <vt:lpstr>vpa501_1_2_b</vt:lpstr>
      <vt:lpstr>vpa501_1_2_c</vt:lpstr>
      <vt:lpstr>vpa501_2_1</vt:lpstr>
      <vt:lpstr>vpa501_2_2</vt:lpstr>
      <vt:lpstr>vpa501_2_3</vt:lpstr>
      <vt:lpstr>vpa501_2_4</vt:lpstr>
      <vt:lpstr>vpa501_2_4_1_a</vt:lpstr>
      <vt:lpstr>vpa501_2_4_1_b</vt:lpstr>
      <vt:lpstr>vpa501_2_5</vt:lpstr>
      <vt:lpstr>vpa501_2_6_a</vt:lpstr>
      <vt:lpstr>vpa501_2_6_b</vt:lpstr>
      <vt:lpstr>vpa501_2_6_c</vt:lpstr>
      <vt:lpstr>vpa501_2_6_d</vt:lpstr>
      <vt:lpstr>vpa501_2_7</vt:lpstr>
      <vt:lpstr>vpa501_2_8</vt:lpstr>
      <vt:lpstr>vpa502_1</vt:lpstr>
      <vt:lpstr>vpa503_1_1</vt:lpstr>
      <vt:lpstr>vpa503_1_2</vt:lpstr>
      <vt:lpstr>vpa503_1_3</vt:lpstr>
      <vt:lpstr>vpa503_1_4</vt:lpstr>
      <vt:lpstr>vpa503_1_5</vt:lpstr>
      <vt:lpstr>vpa503_1_6</vt:lpstr>
      <vt:lpstr>vpa503_1_7</vt:lpstr>
      <vt:lpstr>vpa503_1_8</vt:lpstr>
      <vt:lpstr>vpa503_2_1</vt:lpstr>
      <vt:lpstr>vpa503_2_2</vt:lpstr>
      <vt:lpstr>vpa503_2_3_a</vt:lpstr>
      <vt:lpstr>vpa503_2_3_b</vt:lpstr>
      <vt:lpstr>vpa503_2_3_c</vt:lpstr>
      <vt:lpstr>vpa503_2_4</vt:lpstr>
      <vt:lpstr>vpa503_2_5</vt:lpstr>
      <vt:lpstr>vpa503_3_1</vt:lpstr>
      <vt:lpstr>vpa503_3_2</vt:lpstr>
      <vt:lpstr>vpa503_3_3</vt:lpstr>
      <vt:lpstr>vpa503_4_1</vt:lpstr>
      <vt:lpstr>vpa503_4_2</vt:lpstr>
      <vt:lpstr>vpa503_4_3_a</vt:lpstr>
      <vt:lpstr>vpa503_4_3_b</vt:lpstr>
      <vt:lpstr>vpa503_4_3_c</vt:lpstr>
      <vt:lpstr>vpa503_4_4_a</vt:lpstr>
      <vt:lpstr>vpa503_4_4_b</vt:lpstr>
      <vt:lpstr>vpa503_4_4_c</vt:lpstr>
      <vt:lpstr>vpa503_4_4_c_1</vt:lpstr>
      <vt:lpstr>vpa503_4_5</vt:lpstr>
      <vt:lpstr>vpa503_5_1_a</vt:lpstr>
      <vt:lpstr>vpa503_5_1_b</vt:lpstr>
      <vt:lpstr>vpa503_5_1_c</vt:lpstr>
      <vt:lpstr>vpa503_5_1_d</vt:lpstr>
      <vt:lpstr>vpa503_5_10</vt:lpstr>
      <vt:lpstr>vpa503_5_11</vt:lpstr>
      <vt:lpstr>vpa503_5_12</vt:lpstr>
      <vt:lpstr>vpa503_5_13</vt:lpstr>
      <vt:lpstr>vpa503_5_2</vt:lpstr>
      <vt:lpstr>vpa503_5_3</vt:lpstr>
      <vt:lpstr>vpa503_5_4</vt:lpstr>
      <vt:lpstr>vpa503_5_5</vt:lpstr>
      <vt:lpstr>vpa503_5_6_a</vt:lpstr>
      <vt:lpstr>vpa503_5_6_b</vt:lpstr>
      <vt:lpstr>vpa503_5_6_c</vt:lpstr>
      <vt:lpstr>vpa503_5_6_d</vt:lpstr>
      <vt:lpstr>vpa503_5_7</vt:lpstr>
      <vt:lpstr>vpa503_5_8</vt:lpstr>
      <vt:lpstr>vpa503_5_9</vt:lpstr>
      <vt:lpstr>vpa503_6_1</vt:lpstr>
      <vt:lpstr>vpa503_6_2</vt:lpstr>
      <vt:lpstr>vpa503_6_3</vt:lpstr>
      <vt:lpstr>vpa503_6_4</vt:lpstr>
      <vt:lpstr>vpa503_7</vt:lpstr>
      <vt:lpstr>vpa503_8</vt:lpstr>
      <vt:lpstr>vpa503_8_1</vt:lpstr>
      <vt:lpstr>vpa504_1</vt:lpstr>
      <vt:lpstr>vpa504_2_1</vt:lpstr>
      <vt:lpstr>vpa504_2_2</vt:lpstr>
      <vt:lpstr>vpa504_2_3</vt:lpstr>
      <vt:lpstr>vpa504_3_1</vt:lpstr>
      <vt:lpstr>vpa504_3_2</vt:lpstr>
      <vt:lpstr>vpa504_3_3</vt:lpstr>
      <vt:lpstr>vpa504_3_4</vt:lpstr>
      <vt:lpstr>vpa504_3_5</vt:lpstr>
      <vt:lpstr>vpa504_3_6</vt:lpstr>
      <vt:lpstr>vpa504_3_7</vt:lpstr>
      <vt:lpstr>vpa504_3_8</vt:lpstr>
      <vt:lpstr>vpa504_3_9</vt:lpstr>
      <vt:lpstr>vpa505_1_1</vt:lpstr>
      <vt:lpstr>vpa505_1_2</vt:lpstr>
      <vt:lpstr>vpa505_1_3_a</vt:lpstr>
      <vt:lpstr>vpa505_1_3_b</vt:lpstr>
      <vt:lpstr>vpa505_1_3_c</vt:lpstr>
      <vt:lpstr>vpa505_10_a</vt:lpstr>
      <vt:lpstr>vpa505_10_b</vt:lpstr>
      <vt:lpstr>vpa505_10_c</vt:lpstr>
      <vt:lpstr>vpa505_2_1</vt:lpstr>
      <vt:lpstr>vpa505_2_2</vt:lpstr>
      <vt:lpstr>vpa505_3_1</vt:lpstr>
      <vt:lpstr>vpa505_3_2</vt:lpstr>
      <vt:lpstr>vpa505_3_3</vt:lpstr>
      <vt:lpstr>vpa505_3_4</vt:lpstr>
      <vt:lpstr>vpa505_3_5</vt:lpstr>
      <vt:lpstr>vpa505_4_1</vt:lpstr>
      <vt:lpstr>vpa505_5_a</vt:lpstr>
      <vt:lpstr>vpa505_5_b</vt:lpstr>
      <vt:lpstr>vpa505_5_c</vt:lpstr>
      <vt:lpstr>vpa505_5_d</vt:lpstr>
      <vt:lpstr>vpa505_6</vt:lpstr>
      <vt:lpstr>vpa505_7</vt:lpstr>
      <vt:lpstr>vpa505_8</vt:lpstr>
      <vt:lpstr>vpa505_9_a</vt:lpstr>
      <vt:lpstr>vpa505_9_b</vt:lpstr>
      <vt:lpstr>vpa505_9_c</vt:lpstr>
      <vt:lpstr>vpa601_1_1</vt:lpstr>
      <vt:lpstr>vpa601_1_2</vt:lpstr>
      <vt:lpstr>vpa601_1_3</vt:lpstr>
      <vt:lpstr>vpa601_1_4</vt:lpstr>
      <vt:lpstr>vpa601_1_5</vt:lpstr>
      <vt:lpstr>vpa601_2_1</vt:lpstr>
      <vt:lpstr>vpa601_2_2</vt:lpstr>
      <vt:lpstr>vpa601_2_3</vt:lpstr>
      <vt:lpstr>vpa601_3_1</vt:lpstr>
      <vt:lpstr>vpa601_3_2</vt:lpstr>
      <vt:lpstr>vpa601_3_3</vt:lpstr>
      <vt:lpstr>vpa601_3_4</vt:lpstr>
      <vt:lpstr>vpa601_3_5</vt:lpstr>
      <vt:lpstr>vpa601_4</vt:lpstr>
      <vt:lpstr>vpa601_5</vt:lpstr>
      <vt:lpstr>vpa601_5_1</vt:lpstr>
      <vt:lpstr>vpa601_5_2</vt:lpstr>
      <vt:lpstr>vpa601_5_3</vt:lpstr>
      <vt:lpstr>vpa601_5_4</vt:lpstr>
      <vt:lpstr>vpa601_5_5</vt:lpstr>
      <vt:lpstr>vpa601_6</vt:lpstr>
      <vt:lpstr>vpa601_6_1</vt:lpstr>
      <vt:lpstr>vpa601_6_2</vt:lpstr>
      <vt:lpstr>vpa601_7</vt:lpstr>
      <vt:lpstr>vpa601_7_1</vt:lpstr>
      <vt:lpstr>vpa601_7_2</vt:lpstr>
      <vt:lpstr>vpa601_7_3</vt:lpstr>
      <vt:lpstr>vpa601_8</vt:lpstr>
      <vt:lpstr>vpa602_1_1_1</vt:lpstr>
      <vt:lpstr>vpa602_1_1_2</vt:lpstr>
      <vt:lpstr>vpa602_1_10</vt:lpstr>
      <vt:lpstr>vpa602_1_11</vt:lpstr>
      <vt:lpstr>vpa602_1_12</vt:lpstr>
      <vt:lpstr>vpa602_1_13</vt:lpstr>
      <vt:lpstr>vpa602_1_14_1</vt:lpstr>
      <vt:lpstr>vpa602_1_14_2</vt:lpstr>
      <vt:lpstr>vpa602_1_14_3</vt:lpstr>
      <vt:lpstr>vpa602_1_15</vt:lpstr>
      <vt:lpstr>vpa602_1_2</vt:lpstr>
      <vt:lpstr>vpa602_1_3_1</vt:lpstr>
      <vt:lpstr>vpa602_1_3_2</vt:lpstr>
      <vt:lpstr>vpa602_1_4_1_1</vt:lpstr>
      <vt:lpstr>vpa602_1_4_1_2</vt:lpstr>
      <vt:lpstr>vpa602_1_4_2_1</vt:lpstr>
      <vt:lpstr>vpa602_1_4_2_2</vt:lpstr>
      <vt:lpstr>vpa602_1_5_1</vt:lpstr>
      <vt:lpstr>vpa602_1_5_2</vt:lpstr>
      <vt:lpstr>vpa602_1_6_1</vt:lpstr>
      <vt:lpstr>vpa602_1_6_2</vt:lpstr>
      <vt:lpstr>vpa602_1_6_3</vt:lpstr>
      <vt:lpstr>vpa602_1_7_1_1</vt:lpstr>
      <vt:lpstr>vpa602_1_7_1_2</vt:lpstr>
      <vt:lpstr>vpa602_1_7_1_3</vt:lpstr>
      <vt:lpstr>vpa602_1_7_2</vt:lpstr>
      <vt:lpstr>vpa602_1_7_3</vt:lpstr>
      <vt:lpstr>vpa602_1_8</vt:lpstr>
      <vt:lpstr>vpa602_1_9_1</vt:lpstr>
      <vt:lpstr>vpa602_1_9_2</vt:lpstr>
      <vt:lpstr>vpa602_1_9_3</vt:lpstr>
      <vt:lpstr>vpa602_1_9_4</vt:lpstr>
      <vt:lpstr>vpa602_1_9_5_a</vt:lpstr>
      <vt:lpstr>vpa602_1_9_5_b</vt:lpstr>
      <vt:lpstr>vpa602_1_9_6</vt:lpstr>
      <vt:lpstr>vpa602_1_9_7</vt:lpstr>
      <vt:lpstr>vpa602_2</vt:lpstr>
      <vt:lpstr>vpa602_3</vt:lpstr>
      <vt:lpstr>vpa602_4_1</vt:lpstr>
      <vt:lpstr>vpa602_4_2</vt:lpstr>
      <vt:lpstr>vpa602_4_3</vt:lpstr>
      <vt:lpstr>vpa603_1</vt:lpstr>
      <vt:lpstr>vpa603_2</vt:lpstr>
      <vt:lpstr>vpa603_3</vt:lpstr>
      <vt:lpstr>vpa604_1a</vt:lpstr>
      <vt:lpstr>vpa605_1</vt:lpstr>
      <vt:lpstr>vpa605_2</vt:lpstr>
      <vt:lpstr>vpa605_3</vt:lpstr>
      <vt:lpstr>vpa605_4</vt:lpstr>
      <vt:lpstr>vpa605_4_1</vt:lpstr>
      <vt:lpstr>vpa605_4_2</vt:lpstr>
      <vt:lpstr>vpa606_1_1</vt:lpstr>
      <vt:lpstr>vpa606_1_2</vt:lpstr>
      <vt:lpstr>vpa606_1_3</vt:lpstr>
      <vt:lpstr>vpa606_2_1a</vt:lpstr>
      <vt:lpstr>vpa606_2_2a</vt:lpstr>
      <vt:lpstr>vpa606_3</vt:lpstr>
      <vt:lpstr>vpa607_1_1</vt:lpstr>
      <vt:lpstr>vpa607_1_2</vt:lpstr>
      <vt:lpstr>vpa607_2</vt:lpstr>
      <vt:lpstr>vpa608_1</vt:lpstr>
      <vt:lpstr>vpa609_1</vt:lpstr>
      <vt:lpstr>vpa609_1_1</vt:lpstr>
      <vt:lpstr>vpa609_1_2</vt:lpstr>
      <vt:lpstr>vpa610_1_1_1</vt:lpstr>
      <vt:lpstr>vpa610_1_1_2</vt:lpstr>
      <vt:lpstr>vpa610_1_1_3</vt:lpstr>
      <vt:lpstr>vpa610_1_2</vt:lpstr>
      <vt:lpstr>vpa610_1_2_1</vt:lpstr>
      <vt:lpstr>vpa610_1_2_2a</vt:lpstr>
      <vt:lpstr>vpa611_1</vt:lpstr>
      <vt:lpstr>vpa612_1</vt:lpstr>
      <vt:lpstr>vpa612_2</vt:lpstr>
      <vt:lpstr>vpa612_2_1</vt:lpstr>
      <vt:lpstr>vpa612_2_2</vt:lpstr>
      <vt:lpstr>vpa612_2_3</vt:lpstr>
      <vt:lpstr>vpa612_2_4</vt:lpstr>
      <vt:lpstr>vpa612_2_5</vt:lpstr>
      <vt:lpstr>vpa612_2_6</vt:lpstr>
      <vt:lpstr>vpa612_2_7</vt:lpstr>
      <vt:lpstr>vpa612_3</vt:lpstr>
      <vt:lpstr>vpa612_3_1</vt:lpstr>
      <vt:lpstr>vpa612_3_2</vt:lpstr>
      <vt:lpstr>vpa612_3_3</vt:lpstr>
      <vt:lpstr>vpa612_3_4</vt:lpstr>
      <vt:lpstr>vpa612_3_5</vt:lpstr>
      <vt:lpstr>vpa612_3_6</vt:lpstr>
      <vt:lpstr>vpa612_3_7</vt:lpstr>
      <vt:lpstr>vpa612_3_8</vt:lpstr>
      <vt:lpstr>vpa612_3_9</vt:lpstr>
      <vt:lpstr>vpa613_1_a</vt:lpstr>
      <vt:lpstr>vpa613_1_b</vt:lpstr>
      <vt:lpstr>vpa613_1_c</vt:lpstr>
      <vt:lpstr>vpa613_1_d</vt:lpstr>
      <vt:lpstr>vpa613_1_e</vt:lpstr>
      <vt:lpstr>vpa613_1_f</vt:lpstr>
      <vt:lpstr>vpa701_1_6_1</vt:lpstr>
      <vt:lpstr>vpa701_1_6_2</vt:lpstr>
      <vt:lpstr>vpa701_1_6_3</vt:lpstr>
      <vt:lpstr>vpa701_1_6_4</vt:lpstr>
      <vt:lpstr>vpa701_1_6_5</vt:lpstr>
      <vt:lpstr>vpa701_1_6_6_a</vt:lpstr>
      <vt:lpstr>vpa701_1_6_6_b</vt:lpstr>
      <vt:lpstr>vpa701_1_6_6_c</vt:lpstr>
      <vt:lpstr>vpa701_1_6_7_a</vt:lpstr>
      <vt:lpstr>vpa701_1_6_7_b</vt:lpstr>
      <vt:lpstr>vpa701_1_6_7_c</vt:lpstr>
      <vt:lpstr>vpa701_1_6_8</vt:lpstr>
      <vt:lpstr>vpa701_1_6_9</vt:lpstr>
      <vt:lpstr>vpa701_4_1</vt:lpstr>
      <vt:lpstr>vpa701_4_1_1</vt:lpstr>
      <vt:lpstr>vpa701_4_1_2</vt:lpstr>
      <vt:lpstr>vpa701_4_2_2</vt:lpstr>
      <vt:lpstr>vpa701_4_2_3</vt:lpstr>
      <vt:lpstr>vpa701_4_3_1</vt:lpstr>
      <vt:lpstr>vpa701_4_3_2</vt:lpstr>
      <vt:lpstr>vpa701_4_3_2_1</vt:lpstr>
      <vt:lpstr>vpa701_4_3_4</vt:lpstr>
      <vt:lpstr>vpa701_4_3_5</vt:lpstr>
      <vt:lpstr>vpa701_4_4</vt:lpstr>
      <vt:lpstr>vpa701_4_5</vt:lpstr>
      <vt:lpstr>vpa702_2_1</vt:lpstr>
      <vt:lpstr>vpa702_2_2</vt:lpstr>
      <vt:lpstr>vpa703_1</vt:lpstr>
      <vt:lpstr>vpa703_1_1</vt:lpstr>
      <vt:lpstr>vpa703_1_2</vt:lpstr>
      <vt:lpstr>vpa703_1_3</vt:lpstr>
      <vt:lpstr>vpa703_2_1</vt:lpstr>
      <vt:lpstr>vpa703_2_2</vt:lpstr>
      <vt:lpstr>vpa703_2_3</vt:lpstr>
      <vt:lpstr>vpa703_2_4</vt:lpstr>
      <vt:lpstr>vpa703_2_5_1</vt:lpstr>
      <vt:lpstr>vpa703_2_5_2</vt:lpstr>
      <vt:lpstr>vpa703_2_5_2_a</vt:lpstr>
      <vt:lpstr>vpa703_2_5_2_b</vt:lpstr>
      <vt:lpstr>vpa703_2_5_2_c</vt:lpstr>
      <vt:lpstr>vpa703_3_1</vt:lpstr>
      <vt:lpstr>vpa703_3_2__1_1</vt:lpstr>
      <vt:lpstr>vpa703_3_2__1_2</vt:lpstr>
      <vt:lpstr>vpa703_3_2__1_3</vt:lpstr>
      <vt:lpstr>vpa703_3_2__1_4</vt:lpstr>
      <vt:lpstr>vpa703_3_2__1_5</vt:lpstr>
      <vt:lpstr>vpa703_3_2__2_1</vt:lpstr>
      <vt:lpstr>vpa703_3_2__2_2</vt:lpstr>
      <vt:lpstr>vpa703_3_2__3_1</vt:lpstr>
      <vt:lpstr>vpa703_3_2__3_2</vt:lpstr>
      <vt:lpstr>vpa703_3_2__3_3</vt:lpstr>
      <vt:lpstr>vpa703_3_2__3_4</vt:lpstr>
      <vt:lpstr>vpa703_3_2__4_1</vt:lpstr>
      <vt:lpstr>vpa703_3_2__4_2</vt:lpstr>
      <vt:lpstr>vpa703_3_3__1_1</vt:lpstr>
      <vt:lpstr>vpa703_3_3__1_2</vt:lpstr>
      <vt:lpstr>vpa703_3_3__1_3</vt:lpstr>
      <vt:lpstr>vpa703_3_3__1_4</vt:lpstr>
      <vt:lpstr>vpa703_3_3__1_5</vt:lpstr>
      <vt:lpstr>vpa703_3_3__2</vt:lpstr>
      <vt:lpstr>vpa703_3_3__3</vt:lpstr>
      <vt:lpstr>vpa703_3_4_1_1</vt:lpstr>
      <vt:lpstr>vpa703_3_4_1_2</vt:lpstr>
      <vt:lpstr>vpa703_3_4_1_3</vt:lpstr>
      <vt:lpstr>vpa703_3_4_1_4</vt:lpstr>
      <vt:lpstr>vpa703_3_4_1_5</vt:lpstr>
      <vt:lpstr>vpa703_3_4_1_6</vt:lpstr>
      <vt:lpstr>vpa703_3_4_2</vt:lpstr>
      <vt:lpstr>vpa703_3_5</vt:lpstr>
      <vt:lpstr>vpa703_3_6_1</vt:lpstr>
      <vt:lpstr>vpa703_3_6_2</vt:lpstr>
      <vt:lpstr>vpa703_3_6_3</vt:lpstr>
      <vt:lpstr>vpa703_3_7_1</vt:lpstr>
      <vt:lpstr>vpa703_3_8</vt:lpstr>
      <vt:lpstr>vpa703_4_1</vt:lpstr>
      <vt:lpstr>vpa703_4_2</vt:lpstr>
      <vt:lpstr>vpa703_4_3</vt:lpstr>
      <vt:lpstr>vpa703_4_4_1</vt:lpstr>
      <vt:lpstr>vpa703_4_4_2</vt:lpstr>
      <vt:lpstr>vpa703_4_4_3</vt:lpstr>
      <vt:lpstr>vpa703_5_1_1_a_1</vt:lpstr>
      <vt:lpstr>vpa703_5_1_1_a_2</vt:lpstr>
      <vt:lpstr>vpa703_5_1_1_b</vt:lpstr>
      <vt:lpstr>vpa703_5_1_1_c_1</vt:lpstr>
      <vt:lpstr>vpa703_5_1_1_c_2</vt:lpstr>
      <vt:lpstr>vpa703_5_1_1_d_1</vt:lpstr>
      <vt:lpstr>vpa703_5_1_1_d_2</vt:lpstr>
      <vt:lpstr>vpa703_5_1_1_e_1</vt:lpstr>
      <vt:lpstr>vpa703_5_1_1_e_2</vt:lpstr>
      <vt:lpstr>vpa703_5_1_2_a_1</vt:lpstr>
      <vt:lpstr>vpa703_5_1_2_a_2</vt:lpstr>
      <vt:lpstr>vpa703_5_1_2_a_3</vt:lpstr>
      <vt:lpstr>vpa703_5_1_2_a_4</vt:lpstr>
      <vt:lpstr>vpa703_5_1_2_a_5</vt:lpstr>
      <vt:lpstr>vpa703_5_1_2_a_6</vt:lpstr>
      <vt:lpstr>vpa703_5_1_2_a_7</vt:lpstr>
      <vt:lpstr>vpa703_5_1_2_b_1</vt:lpstr>
      <vt:lpstr>vpa703_5_1_2_b_2</vt:lpstr>
      <vt:lpstr>vpa703_5_1_2_b_3</vt:lpstr>
      <vt:lpstr>vpa703_5_1_2_b_4</vt:lpstr>
      <vt:lpstr>vpa703_5_1_2_c</vt:lpstr>
      <vt:lpstr>vpa703_5_1_2_d</vt:lpstr>
      <vt:lpstr>vpa703_5_1_2_e</vt:lpstr>
      <vt:lpstr>vpa703_5_1_3</vt:lpstr>
      <vt:lpstr>vpa703_5_2</vt:lpstr>
      <vt:lpstr>vpa703_5_3</vt:lpstr>
      <vt:lpstr>vpa703_5_4</vt:lpstr>
      <vt:lpstr>vpa703_5_5_a_1</vt:lpstr>
      <vt:lpstr>vpa703_5_5_a_2</vt:lpstr>
      <vt:lpstr>vpa703_5_5_a_3</vt:lpstr>
      <vt:lpstr>vpa703_5_5_a_4</vt:lpstr>
      <vt:lpstr>vpa703_5_5_a_5</vt:lpstr>
      <vt:lpstr>vpa703_5_5_b_1</vt:lpstr>
      <vt:lpstr>vpa703_5_5_b_2</vt:lpstr>
      <vt:lpstr>vpa703_5_5_b_3</vt:lpstr>
      <vt:lpstr>vpa703_5_5_b_4</vt:lpstr>
      <vt:lpstr>vpa703_5_5_b_5</vt:lpstr>
      <vt:lpstr>vpa703_6_1_1</vt:lpstr>
      <vt:lpstr>vpa703_6_1_2</vt:lpstr>
      <vt:lpstr>vpa703_6_1_3</vt:lpstr>
      <vt:lpstr>vpa703_6_2__1</vt:lpstr>
      <vt:lpstr>vpa703_6_2__2</vt:lpstr>
      <vt:lpstr>vpa703_6_2__3</vt:lpstr>
      <vt:lpstr>vpa703_7_1</vt:lpstr>
      <vt:lpstr>vpa703_7_2</vt:lpstr>
      <vt:lpstr>vpa703_7_3_1</vt:lpstr>
      <vt:lpstr>vpa703_7_3_2</vt:lpstr>
      <vt:lpstr>vpa703_7_4</vt:lpstr>
      <vt:lpstr>vpa705_2_1_1_1</vt:lpstr>
      <vt:lpstr>vpa705_2_1_1_2</vt:lpstr>
      <vt:lpstr>vpa705_2_1_2</vt:lpstr>
      <vt:lpstr>vpa705_2_1_3_1_a</vt:lpstr>
      <vt:lpstr>vpa705_2_1_3_1_b</vt:lpstr>
      <vt:lpstr>vpa705_2_1_3_2_a</vt:lpstr>
      <vt:lpstr>vpa705_2_1_3_2_b</vt:lpstr>
      <vt:lpstr>vpa705_2_1_4_1</vt:lpstr>
      <vt:lpstr>vpa705_2_1_4_2</vt:lpstr>
      <vt:lpstr>vpa705_2_2</vt:lpstr>
      <vt:lpstr>vpa705_2_3</vt:lpstr>
      <vt:lpstr>vpa705_2_4</vt:lpstr>
      <vt:lpstr>vpa705_3</vt:lpstr>
      <vt:lpstr>vpa705_4</vt:lpstr>
      <vt:lpstr>vpa705_5_1_1</vt:lpstr>
      <vt:lpstr>vpa705_5_1_2</vt:lpstr>
      <vt:lpstr>vpa705_5_2</vt:lpstr>
      <vt:lpstr>vpa705_5_3_1</vt:lpstr>
      <vt:lpstr>vpa705_5_3_2</vt:lpstr>
      <vt:lpstr>vpa705_6_1</vt:lpstr>
      <vt:lpstr>vpa705_6_2_1_1_1</vt:lpstr>
      <vt:lpstr>vpa705_6_2_1_2</vt:lpstr>
      <vt:lpstr>vpa705_6_2_2_1</vt:lpstr>
      <vt:lpstr>vpa705_6_2_2_2</vt:lpstr>
      <vt:lpstr>vpa705_6_2_3_1</vt:lpstr>
      <vt:lpstr>vpa705_6_2_3_2</vt:lpstr>
      <vt:lpstr>vpa705_6_3</vt:lpstr>
      <vt:lpstr>vpa705_6_4_1</vt:lpstr>
      <vt:lpstr>vpa705_6_4_2</vt:lpstr>
      <vt:lpstr>vpa705_7</vt:lpstr>
      <vt:lpstr>vpa706_1</vt:lpstr>
      <vt:lpstr>vpa706_1_1</vt:lpstr>
      <vt:lpstr>vpa706_1_2</vt:lpstr>
      <vt:lpstr>vpa706_1_3</vt:lpstr>
      <vt:lpstr>vpa706_1_4</vt:lpstr>
      <vt:lpstr>vpa706_1_5</vt:lpstr>
      <vt:lpstr>vpa706_10</vt:lpstr>
      <vt:lpstr>vpa706_11</vt:lpstr>
      <vt:lpstr>vpa706_12</vt:lpstr>
      <vt:lpstr>vpa706_13_1</vt:lpstr>
      <vt:lpstr>vpa706_13_2</vt:lpstr>
      <vt:lpstr>vpa706_14_1</vt:lpstr>
      <vt:lpstr>vpa706_14_2</vt:lpstr>
      <vt:lpstr>vpa706_15_1</vt:lpstr>
      <vt:lpstr>vpa706_15_2</vt:lpstr>
      <vt:lpstr>vpa706_2_1</vt:lpstr>
      <vt:lpstr>vpa706_2_2_a</vt:lpstr>
      <vt:lpstr>vpa706_2_2_b</vt:lpstr>
      <vt:lpstr>vpa706_3_a</vt:lpstr>
      <vt:lpstr>vpa706_3_b</vt:lpstr>
      <vt:lpstr>vpa706_4_1_1</vt:lpstr>
      <vt:lpstr>vpa706_4_1_2</vt:lpstr>
      <vt:lpstr>vpa706_4_2</vt:lpstr>
      <vt:lpstr>vpa706_5_1</vt:lpstr>
      <vt:lpstr>vpa706_5_2</vt:lpstr>
      <vt:lpstr>vpa706_5_3</vt:lpstr>
      <vt:lpstr>vpa706_6</vt:lpstr>
      <vt:lpstr>vpa706_7_1</vt:lpstr>
      <vt:lpstr>vpa706_7_2</vt:lpstr>
      <vt:lpstr>vpa706_8</vt:lpstr>
      <vt:lpstr>vpa706_9</vt:lpstr>
      <vt:lpstr>vpa802_1_1</vt:lpstr>
      <vt:lpstr>vpa802_1_2</vt:lpstr>
      <vt:lpstr>vpa802_1_3</vt:lpstr>
      <vt:lpstr>vpa802_1_4</vt:lpstr>
      <vt:lpstr>vpa802_1_4_a</vt:lpstr>
      <vt:lpstr>vpa802_1_5</vt:lpstr>
      <vt:lpstr>vpa802_1_6</vt:lpstr>
      <vt:lpstr>vpa802_10_1</vt:lpstr>
      <vt:lpstr>vpa802_10_1_1</vt:lpstr>
      <vt:lpstr>vpa802_2_1</vt:lpstr>
      <vt:lpstr>vpa802_2_2</vt:lpstr>
      <vt:lpstr>vpa802_2_3</vt:lpstr>
      <vt:lpstr>vpa802_3_1_a</vt:lpstr>
      <vt:lpstr>vpa802_3_1_b</vt:lpstr>
      <vt:lpstr>vpa802_3_2_a</vt:lpstr>
      <vt:lpstr>vpa802_3_2_b</vt:lpstr>
      <vt:lpstr>vpa802_4_1</vt:lpstr>
      <vt:lpstr>vpa802_4_1_1</vt:lpstr>
      <vt:lpstr>vpa802_4_1_2</vt:lpstr>
      <vt:lpstr>vpa802_4_2_a</vt:lpstr>
      <vt:lpstr>vpa802_4_2_b</vt:lpstr>
      <vt:lpstr>vpa802_4_3</vt:lpstr>
      <vt:lpstr>vpa802_5_1_1</vt:lpstr>
      <vt:lpstr>vpa802_5_1_2</vt:lpstr>
      <vt:lpstr>vpa802_5_1_3</vt:lpstr>
      <vt:lpstr>vpa802_5_1_4</vt:lpstr>
      <vt:lpstr>vpa802_5_1_5</vt:lpstr>
      <vt:lpstr>vpa802_5_2_1</vt:lpstr>
      <vt:lpstr>vpa802_5_2_2</vt:lpstr>
      <vt:lpstr>vpa802_5_3</vt:lpstr>
      <vt:lpstr>vpa802_5_4_2</vt:lpstr>
      <vt:lpstr>vpa802_5_4_3</vt:lpstr>
      <vt:lpstr>vpa802_5_4_4_a</vt:lpstr>
      <vt:lpstr>vpa802_5_4_4_b</vt:lpstr>
      <vt:lpstr>vpa802_5_4_4_c</vt:lpstr>
      <vt:lpstr>vpa802_6_1</vt:lpstr>
      <vt:lpstr>vpa802_6_2</vt:lpstr>
      <vt:lpstr>vpa802_6_3_1</vt:lpstr>
      <vt:lpstr>vpa802_6_3_2</vt:lpstr>
      <vt:lpstr>vpa802_6_3_3</vt:lpstr>
      <vt:lpstr>vpa802_6_4_1</vt:lpstr>
      <vt:lpstr>vpa802_6_4_2</vt:lpstr>
      <vt:lpstr>vpa802_6_5_1</vt:lpstr>
      <vt:lpstr>vpa802_6_5_2</vt:lpstr>
      <vt:lpstr>vpa802_6_5_3</vt:lpstr>
      <vt:lpstr>vpa802_6_5_4</vt:lpstr>
      <vt:lpstr>vpa802_6_5_5</vt:lpstr>
      <vt:lpstr>vpa802_7_1_1</vt:lpstr>
      <vt:lpstr>vpa802_7_1_2_a</vt:lpstr>
      <vt:lpstr>vpa802_7_1_2_b</vt:lpstr>
      <vt:lpstr>vpa802_7_1_2_c</vt:lpstr>
      <vt:lpstr>vpa802_7_1_2_d</vt:lpstr>
      <vt:lpstr>vpa802_7_2_1</vt:lpstr>
      <vt:lpstr>vpa802_7_2_2</vt:lpstr>
      <vt:lpstr>vpa802_8</vt:lpstr>
      <vt:lpstr>vpa802_9_1_1</vt:lpstr>
      <vt:lpstr>vpa802_9_1_2</vt:lpstr>
      <vt:lpstr>vpa802_9_2_1</vt:lpstr>
      <vt:lpstr>vpa802_9_2_2</vt:lpstr>
      <vt:lpstr>vpa803_1_1</vt:lpstr>
      <vt:lpstr>vpa803_1_2</vt:lpstr>
      <vt:lpstr>vpa803_2</vt:lpstr>
      <vt:lpstr>vpa803_3</vt:lpstr>
      <vt:lpstr>vpa803_4</vt:lpstr>
      <vt:lpstr>vpa803_5</vt:lpstr>
      <vt:lpstr>vpa803_6</vt:lpstr>
      <vt:lpstr>vpa901_1_1</vt:lpstr>
      <vt:lpstr>vpa901_1_2</vt:lpstr>
      <vt:lpstr>vpa901_1_3_1_a</vt:lpstr>
      <vt:lpstr>vpa901_1_3_1_b</vt:lpstr>
      <vt:lpstr>vpa901_1_3_2_a</vt:lpstr>
      <vt:lpstr>vpa901_1_3_2_b</vt:lpstr>
      <vt:lpstr>vpa901_1_4</vt:lpstr>
      <vt:lpstr>vpa901_1_5</vt:lpstr>
      <vt:lpstr>vpa901_1_6_1</vt:lpstr>
      <vt:lpstr>vpa901_1_6_2</vt:lpstr>
      <vt:lpstr>vpa901_10_1</vt:lpstr>
      <vt:lpstr>vpa901_10_2</vt:lpstr>
      <vt:lpstr>vpa901_10_3</vt:lpstr>
      <vt:lpstr>vpa901_11</vt:lpstr>
      <vt:lpstr>vpa901_12</vt:lpstr>
      <vt:lpstr>vpa901_13</vt:lpstr>
      <vt:lpstr>vpa901_14_1</vt:lpstr>
      <vt:lpstr>vpa901_14_2</vt:lpstr>
      <vt:lpstr>vpa901_15_1</vt:lpstr>
      <vt:lpstr>vpa901_15_2</vt:lpstr>
      <vt:lpstr>vpa901_2_1_1</vt:lpstr>
      <vt:lpstr>vpa901_2_1_1_m</vt:lpstr>
      <vt:lpstr>vpa901_2_1_2</vt:lpstr>
      <vt:lpstr>vpa901_2_1_2_m</vt:lpstr>
      <vt:lpstr>vpa901_2_1_3</vt:lpstr>
      <vt:lpstr>vpa901_2_1_3_m</vt:lpstr>
      <vt:lpstr>vpa901_2_1_4</vt:lpstr>
      <vt:lpstr>vpa901_2_1_4_m</vt:lpstr>
      <vt:lpstr>vpa901_2_1_5</vt:lpstr>
      <vt:lpstr>vpa901_2_1_5_m</vt:lpstr>
      <vt:lpstr>vpa901_2_2</vt:lpstr>
      <vt:lpstr>vpa901_3_1_a</vt:lpstr>
      <vt:lpstr>vpa901_3_1_a_m</vt:lpstr>
      <vt:lpstr>vpa901_3_1_b</vt:lpstr>
      <vt:lpstr>vpa901_3_1_b_m</vt:lpstr>
      <vt:lpstr>vpa901_3_1_c</vt:lpstr>
      <vt:lpstr>vpa901_3_2</vt:lpstr>
      <vt:lpstr>vpa901_4</vt:lpstr>
      <vt:lpstr>vpa901_4_1</vt:lpstr>
      <vt:lpstr>vpa901_4_2</vt:lpstr>
      <vt:lpstr>vpa901_4_3</vt:lpstr>
      <vt:lpstr>vpa901_4_4</vt:lpstr>
      <vt:lpstr>vpa901_4_5</vt:lpstr>
      <vt:lpstr>vpa901_4_6</vt:lpstr>
      <vt:lpstr>vpa901_5_1</vt:lpstr>
      <vt:lpstr>vpa901_5_2</vt:lpstr>
      <vt:lpstr>vpa901_6</vt:lpstr>
      <vt:lpstr>vpa901_7</vt:lpstr>
      <vt:lpstr>vpa901_8</vt:lpstr>
      <vt:lpstr>vpa901_9_1</vt:lpstr>
      <vt:lpstr>vpa901_9_2</vt:lpstr>
      <vt:lpstr>vpa901_9_3</vt:lpstr>
      <vt:lpstr>vpa902_1_1</vt:lpstr>
      <vt:lpstr>vpa902_1_1_a</vt:lpstr>
      <vt:lpstr>vpa902_1_2</vt:lpstr>
      <vt:lpstr>vpa902_1_2_</vt:lpstr>
      <vt:lpstr>vpa902_1_2_1</vt:lpstr>
      <vt:lpstr>vpa902_1_2_2</vt:lpstr>
      <vt:lpstr>vpa902_1_3</vt:lpstr>
      <vt:lpstr>vpa902_1_3_</vt:lpstr>
      <vt:lpstr>vpa902_1_4</vt:lpstr>
      <vt:lpstr>vpa902_1_4_1</vt:lpstr>
      <vt:lpstr>vpa902_1_4_2</vt:lpstr>
      <vt:lpstr>vpa902_1_5</vt:lpstr>
      <vt:lpstr>vpa902_1_6</vt:lpstr>
      <vt:lpstr>vpa902_2_1</vt:lpstr>
      <vt:lpstr>vpa902_2_1_1</vt:lpstr>
      <vt:lpstr>vpa902_2_1_2</vt:lpstr>
      <vt:lpstr>vpa902_2_1_3</vt:lpstr>
      <vt:lpstr>vpa902_2_1_4</vt:lpstr>
      <vt:lpstr>vpa902_2_1_5</vt:lpstr>
      <vt:lpstr>vpa902_2_2</vt:lpstr>
      <vt:lpstr>vpa902_2_3</vt:lpstr>
      <vt:lpstr>vpa902_2_4</vt:lpstr>
      <vt:lpstr>vpa902_3</vt:lpstr>
      <vt:lpstr>vpa902_3_1_a</vt:lpstr>
      <vt:lpstr>vpa902_3_1_b</vt:lpstr>
      <vt:lpstr>vpa902_3_2</vt:lpstr>
      <vt:lpstr>vpa902_3_2_1</vt:lpstr>
      <vt:lpstr>vpa902_3_2_2</vt:lpstr>
      <vt:lpstr>vpa902_3_2_a</vt:lpstr>
      <vt:lpstr>vpa902_3_2_b</vt:lpstr>
      <vt:lpstr>vpa902_4</vt:lpstr>
      <vt:lpstr>vpa902_5</vt:lpstr>
      <vt:lpstr>vpa902_6</vt:lpstr>
      <vt:lpstr>vpa903_1_1_1</vt:lpstr>
      <vt:lpstr>vpa903_1_2_2</vt:lpstr>
      <vt:lpstr>vpa903_2_1</vt:lpstr>
      <vt:lpstr>vpa903_2_2</vt:lpstr>
      <vt:lpstr>vpa903_3</vt:lpstr>
      <vt:lpstr>vpa904_1</vt:lpstr>
      <vt:lpstr>vpa904_2</vt:lpstr>
      <vt:lpstr>vpa904_3_1</vt:lpstr>
      <vt:lpstr>vpa904_3_2</vt:lpstr>
      <vt:lpstr>vpa905_1</vt:lpstr>
      <vt:lpstr>vpa905_2</vt:lpstr>
      <vt:lpstr>vpa905_3</vt:lpstr>
      <vt:lpstr>vpa905_4</vt:lpstr>
      <vt:lpstr>vpa905_5</vt:lpstr>
      <vt:lpstr>vpa905_6</vt:lpstr>
      <vt:lpstr>vpc1001_1</vt:lpstr>
      <vt:lpstr>vpc1001_2</vt:lpstr>
      <vt:lpstr>vpc1002_1</vt:lpstr>
      <vt:lpstr>vpc1002_2</vt:lpstr>
      <vt:lpstr>vpc1002_3</vt:lpstr>
      <vt:lpstr>vpc1002_4</vt:lpstr>
      <vt:lpstr>vpc1002_5</vt:lpstr>
      <vt:lpstr>vpc1002_6</vt:lpstr>
      <vt:lpstr>vpc1003_1</vt:lpstr>
      <vt:lpstr>vpc1004_1_1</vt:lpstr>
      <vt:lpstr>vpc1004_1_2</vt:lpstr>
      <vt:lpstr>vpc1005_1_1</vt:lpstr>
      <vt:lpstr>vpc1005_1_2</vt:lpstr>
      <vt:lpstr>vpc1005_1_3</vt:lpstr>
      <vt:lpstr>vpc501_1</vt:lpstr>
      <vt:lpstr>vpc501_2_1</vt:lpstr>
      <vt:lpstr>vpc501_2_2</vt:lpstr>
      <vt:lpstr>vpc501_2_3</vt:lpstr>
      <vt:lpstr>vpc501_2_4</vt:lpstr>
      <vt:lpstr>vpc501_2_4_1</vt:lpstr>
      <vt:lpstr>vpc501_2_5</vt:lpstr>
      <vt:lpstr>vpc501_2_6</vt:lpstr>
      <vt:lpstr>vpc501_2_6_d</vt:lpstr>
      <vt:lpstr>vpc501_2_7</vt:lpstr>
      <vt:lpstr>vpc501_2_8</vt:lpstr>
      <vt:lpstr>vpc502_1</vt:lpstr>
      <vt:lpstr>vpc503_1_1</vt:lpstr>
      <vt:lpstr>vpc503_1_2</vt:lpstr>
      <vt:lpstr>vpc503_1_3</vt:lpstr>
      <vt:lpstr>vpc503_1_4</vt:lpstr>
      <vt:lpstr>vpc503_1_5</vt:lpstr>
      <vt:lpstr>vpc503_1_6</vt:lpstr>
      <vt:lpstr>vpc503_1_7</vt:lpstr>
      <vt:lpstr>vpc503_1_8</vt:lpstr>
      <vt:lpstr>vpc503_2_1</vt:lpstr>
      <vt:lpstr>vpc503_2_2</vt:lpstr>
      <vt:lpstr>vpc503_2_3</vt:lpstr>
      <vt:lpstr>vpc503_2_4</vt:lpstr>
      <vt:lpstr>vpc503_2_5</vt:lpstr>
      <vt:lpstr>vpc503_3_1</vt:lpstr>
      <vt:lpstr>vpc503_3_2</vt:lpstr>
      <vt:lpstr>vpc503_3_3</vt:lpstr>
      <vt:lpstr>vpc503_4_1</vt:lpstr>
      <vt:lpstr>vpc503_4_2</vt:lpstr>
      <vt:lpstr>vpc503_4_3</vt:lpstr>
      <vt:lpstr>vpc503_4_4</vt:lpstr>
      <vt:lpstr>vpc503_4_4_c_1</vt:lpstr>
      <vt:lpstr>vpc503_4_5</vt:lpstr>
      <vt:lpstr>vpc503_5_1</vt:lpstr>
      <vt:lpstr>vpc503_5_10</vt:lpstr>
      <vt:lpstr>vpc503_5_11</vt:lpstr>
      <vt:lpstr>vpc503_5_12</vt:lpstr>
      <vt:lpstr>vpc503_5_13</vt:lpstr>
      <vt:lpstr>vpc503_5_2</vt:lpstr>
      <vt:lpstr>vpc503_5_3</vt:lpstr>
      <vt:lpstr>vpc503_5_4</vt:lpstr>
      <vt:lpstr>vpc503_5_5</vt:lpstr>
      <vt:lpstr>vpc503_5_6</vt:lpstr>
      <vt:lpstr>vpc503_5_7</vt:lpstr>
      <vt:lpstr>vpc503_5_8</vt:lpstr>
      <vt:lpstr>vpc503_5_9</vt:lpstr>
      <vt:lpstr>vpc503_6</vt:lpstr>
      <vt:lpstr>vpc503_7</vt:lpstr>
      <vt:lpstr>vpc503_8</vt:lpstr>
      <vt:lpstr>vpc504_1</vt:lpstr>
      <vt:lpstr>vpc504_2_1</vt:lpstr>
      <vt:lpstr>vpc504_2_2</vt:lpstr>
      <vt:lpstr>vpc504_2_3</vt:lpstr>
      <vt:lpstr>vpc504_3_1</vt:lpstr>
      <vt:lpstr>vpc504_3_2</vt:lpstr>
      <vt:lpstr>vpc504_3_3</vt:lpstr>
      <vt:lpstr>vpc504_3_4</vt:lpstr>
      <vt:lpstr>vpc504_3_5</vt:lpstr>
      <vt:lpstr>vpc504_3_6</vt:lpstr>
      <vt:lpstr>vpc504_3_7</vt:lpstr>
      <vt:lpstr>vpc504_3_8</vt:lpstr>
      <vt:lpstr>vpc504_3_9</vt:lpstr>
      <vt:lpstr>vpc505_1_1</vt:lpstr>
      <vt:lpstr>vpc505_1_2</vt:lpstr>
      <vt:lpstr>vpc505_1_3</vt:lpstr>
      <vt:lpstr>vpc505_10_a</vt:lpstr>
      <vt:lpstr>vpc505_10_b</vt:lpstr>
      <vt:lpstr>vpc505_10_c</vt:lpstr>
      <vt:lpstr>vpc505_2_1</vt:lpstr>
      <vt:lpstr>vpc505_2_2</vt:lpstr>
      <vt:lpstr>vpc505_3</vt:lpstr>
      <vt:lpstr>vpc505_4_1</vt:lpstr>
      <vt:lpstr>vpc505_5_a</vt:lpstr>
      <vt:lpstr>vpc505_5_b</vt:lpstr>
      <vt:lpstr>vpc505_5_c</vt:lpstr>
      <vt:lpstr>vpc505_5_d</vt:lpstr>
      <vt:lpstr>vpc505_6</vt:lpstr>
      <vt:lpstr>vpc505_7</vt:lpstr>
      <vt:lpstr>vpc505_8</vt:lpstr>
      <vt:lpstr>vpc505_9_a</vt:lpstr>
      <vt:lpstr>vpc505_9_b</vt:lpstr>
      <vt:lpstr>vpc505_9_c</vt:lpstr>
      <vt:lpstr>vpc601_1</vt:lpstr>
      <vt:lpstr>vpc601_2_1</vt:lpstr>
      <vt:lpstr>vpc601_2_2</vt:lpstr>
      <vt:lpstr>vpc601_2_3</vt:lpstr>
      <vt:lpstr>vpc601_3_1</vt:lpstr>
      <vt:lpstr>vpc601_3_2</vt:lpstr>
      <vt:lpstr>vpc601_3_3</vt:lpstr>
      <vt:lpstr>vpc601_3_4</vt:lpstr>
      <vt:lpstr>vpc601_3_5</vt:lpstr>
      <vt:lpstr>vpc601_4</vt:lpstr>
      <vt:lpstr>vpc601_5_1</vt:lpstr>
      <vt:lpstr>vpc601_5_2</vt:lpstr>
      <vt:lpstr>vpc601_5_3</vt:lpstr>
      <vt:lpstr>vpc601_5_4</vt:lpstr>
      <vt:lpstr>vpc601_5_5</vt:lpstr>
      <vt:lpstr>vpc601_6</vt:lpstr>
      <vt:lpstr>vpc601_7</vt:lpstr>
      <vt:lpstr>vpc601_8</vt:lpstr>
      <vt:lpstr>vpc602_1_1_2</vt:lpstr>
      <vt:lpstr>vpc602_1_10</vt:lpstr>
      <vt:lpstr>vpc602_1_12</vt:lpstr>
      <vt:lpstr>vpc602_1_14_1</vt:lpstr>
      <vt:lpstr>vpc602_1_14_2</vt:lpstr>
      <vt:lpstr>vpc602_1_14_3</vt:lpstr>
      <vt:lpstr>vpc602_1_15</vt:lpstr>
      <vt:lpstr>vpc602_1_2</vt:lpstr>
      <vt:lpstr>vpc602_1_3_2</vt:lpstr>
      <vt:lpstr>vpc602_1_4_1_1</vt:lpstr>
      <vt:lpstr>vpc602_1_4_2_1</vt:lpstr>
      <vt:lpstr>vpc602_1_5_1</vt:lpstr>
      <vt:lpstr>vpc602_1_5_2</vt:lpstr>
      <vt:lpstr>vpc602_1_6_1</vt:lpstr>
      <vt:lpstr>vpc602_1_6_2</vt:lpstr>
      <vt:lpstr>vpc602_1_6_3</vt:lpstr>
      <vt:lpstr>vpc602_1_7_1_1</vt:lpstr>
      <vt:lpstr>vpc602_1_7_1_2</vt:lpstr>
      <vt:lpstr>vpc602_1_7_1_3</vt:lpstr>
      <vt:lpstr>vpc602_1_7_2</vt:lpstr>
      <vt:lpstr>vpc602_1_7_3</vt:lpstr>
      <vt:lpstr>vpc602_1_9_2</vt:lpstr>
      <vt:lpstr>vpc602_1_9_3</vt:lpstr>
      <vt:lpstr>vpc602_1_9_4</vt:lpstr>
      <vt:lpstr>vpc602_1_9_5</vt:lpstr>
      <vt:lpstr>vpc602_1_9_6</vt:lpstr>
      <vt:lpstr>vpc602_1_9_7</vt:lpstr>
      <vt:lpstr>vpc602_2</vt:lpstr>
      <vt:lpstr>vpc602_3</vt:lpstr>
      <vt:lpstr>vpc602_4_2</vt:lpstr>
      <vt:lpstr>vpc602_4_3</vt:lpstr>
      <vt:lpstr>vpc603_1</vt:lpstr>
      <vt:lpstr>vpc603_2</vt:lpstr>
      <vt:lpstr>vpc603_3</vt:lpstr>
      <vt:lpstr>vpc604_1a</vt:lpstr>
      <vt:lpstr>vpc605_2</vt:lpstr>
      <vt:lpstr>vpc605_3</vt:lpstr>
      <vt:lpstr>vpc605_4</vt:lpstr>
      <vt:lpstr>vpc606_1</vt:lpstr>
      <vt:lpstr>vpc606_2_1a</vt:lpstr>
      <vt:lpstr>vpc606_2_2a</vt:lpstr>
      <vt:lpstr>vpc606_3</vt:lpstr>
      <vt:lpstr>vpc607_1_1</vt:lpstr>
      <vt:lpstr>vpc607_1_2</vt:lpstr>
      <vt:lpstr>vpc607_2</vt:lpstr>
      <vt:lpstr>vpc608_1</vt:lpstr>
      <vt:lpstr>vpc609_1</vt:lpstr>
      <vt:lpstr>vpc610_1_1_1</vt:lpstr>
      <vt:lpstr>vpc610_1_1_2</vt:lpstr>
      <vt:lpstr>vpc610_1_1_3</vt:lpstr>
      <vt:lpstr>vpc610_1_2</vt:lpstr>
      <vt:lpstr>vpc611_1</vt:lpstr>
      <vt:lpstr>vpc612_1</vt:lpstr>
      <vt:lpstr>vpc612_2</vt:lpstr>
      <vt:lpstr>vpc612_3</vt:lpstr>
      <vt:lpstr>vpc613_1</vt:lpstr>
      <vt:lpstr>vpc701_1_4</vt:lpstr>
      <vt:lpstr>vpc702_2_2</vt:lpstr>
      <vt:lpstr>vpc703_1</vt:lpstr>
      <vt:lpstr>vpc703_2_1</vt:lpstr>
      <vt:lpstr>vpc703_2_2</vt:lpstr>
      <vt:lpstr>vpc703_2_3</vt:lpstr>
      <vt:lpstr>vpc703_2_4</vt:lpstr>
      <vt:lpstr>vpc703_2_5_2</vt:lpstr>
      <vt:lpstr>vpc703_3_1</vt:lpstr>
      <vt:lpstr>vpc703_3_2__1</vt:lpstr>
      <vt:lpstr>vpc703_3_2__2</vt:lpstr>
      <vt:lpstr>vpc703_3_2__3</vt:lpstr>
      <vt:lpstr>vpc703_3_2__4</vt:lpstr>
      <vt:lpstr>vpc703_3_3__1</vt:lpstr>
      <vt:lpstr>vpc703_3_3__2</vt:lpstr>
      <vt:lpstr>vpc703_3_3__3</vt:lpstr>
      <vt:lpstr>vpc703_3_4_1</vt:lpstr>
      <vt:lpstr>vpc703_3_4_1_6</vt:lpstr>
      <vt:lpstr>vpc703_3_4_2</vt:lpstr>
      <vt:lpstr>vpc703_3_5</vt:lpstr>
      <vt:lpstr>vpc703_3_6</vt:lpstr>
      <vt:lpstr>vpc703_3_7_1</vt:lpstr>
      <vt:lpstr>vpc703_3_8</vt:lpstr>
      <vt:lpstr>vpc703_4_1</vt:lpstr>
      <vt:lpstr>vpc703_4_2</vt:lpstr>
      <vt:lpstr>vpc703_4_3</vt:lpstr>
      <vt:lpstr>vpc703_4_4</vt:lpstr>
      <vt:lpstr>vpc703_5_1_1_a</vt:lpstr>
      <vt:lpstr>vpc703_5_1_1_b</vt:lpstr>
      <vt:lpstr>vpc703_5_1_1_d</vt:lpstr>
      <vt:lpstr>vpc703_5_1_1_e</vt:lpstr>
      <vt:lpstr>vpc703_5_1_2_a</vt:lpstr>
      <vt:lpstr>vpc703_5_1_2_b</vt:lpstr>
      <vt:lpstr>vpc703_5_1_2_c</vt:lpstr>
      <vt:lpstr>vpc703_5_1_2_d</vt:lpstr>
      <vt:lpstr>vpc703_5_1_2_e</vt:lpstr>
      <vt:lpstr>vpc703_5_1_3</vt:lpstr>
      <vt:lpstr>vpc703_5_2</vt:lpstr>
      <vt:lpstr>vpc703_5_3</vt:lpstr>
      <vt:lpstr>vpc703_5_4</vt:lpstr>
      <vt:lpstr>vpc703_5_5_a</vt:lpstr>
      <vt:lpstr>vpc703_5_5_b</vt:lpstr>
      <vt:lpstr>vpc703_6_1_1</vt:lpstr>
      <vt:lpstr>vpc703_6_1_2</vt:lpstr>
      <vt:lpstr>vpc703_6_1_3</vt:lpstr>
      <vt:lpstr>vpc703_6_2__1</vt:lpstr>
      <vt:lpstr>vpc703_6_2__2</vt:lpstr>
      <vt:lpstr>vpc703_6_2__3</vt:lpstr>
      <vt:lpstr>vpc703_7_1</vt:lpstr>
      <vt:lpstr>vpc703_7_2</vt:lpstr>
      <vt:lpstr>vpc703_7_3</vt:lpstr>
      <vt:lpstr>vpc703_7_4</vt:lpstr>
      <vt:lpstr>vpc704_1</vt:lpstr>
      <vt:lpstr>vpc705_2_1_1</vt:lpstr>
      <vt:lpstr>vpc705_2_1_2</vt:lpstr>
      <vt:lpstr>vpc705_2_1_3_1</vt:lpstr>
      <vt:lpstr>vpc705_2_1_3_2</vt:lpstr>
      <vt:lpstr>vpc705_2_1_4</vt:lpstr>
      <vt:lpstr>vpc705_2_2</vt:lpstr>
      <vt:lpstr>vpc705_2_3</vt:lpstr>
      <vt:lpstr>vpc705_2_4</vt:lpstr>
      <vt:lpstr>vpc705_3</vt:lpstr>
      <vt:lpstr>vpc705_4</vt:lpstr>
      <vt:lpstr>vpc705_5_1_1</vt:lpstr>
      <vt:lpstr>vpc705_5_1_2</vt:lpstr>
      <vt:lpstr>vpc705_5_2</vt:lpstr>
      <vt:lpstr>vpc705_5_3_1</vt:lpstr>
      <vt:lpstr>vpc705_5_3_2</vt:lpstr>
      <vt:lpstr>vpc705_6_1</vt:lpstr>
      <vt:lpstr>vpc705_6_2_1_1_1</vt:lpstr>
      <vt:lpstr>vpc705_6_2_1_2</vt:lpstr>
      <vt:lpstr>vpc705_6_2_2_1</vt:lpstr>
      <vt:lpstr>vpc705_6_2_2_2</vt:lpstr>
      <vt:lpstr>vpc705_6_2_3</vt:lpstr>
      <vt:lpstr>vpc705_6_3</vt:lpstr>
      <vt:lpstr>vpc705_6_4_1</vt:lpstr>
      <vt:lpstr>vpc705_6_4_2</vt:lpstr>
      <vt:lpstr>vpc705_7</vt:lpstr>
      <vt:lpstr>vpc706_1</vt:lpstr>
      <vt:lpstr>vpc706_10</vt:lpstr>
      <vt:lpstr>vpc706_11</vt:lpstr>
      <vt:lpstr>vpc706_12</vt:lpstr>
      <vt:lpstr>vpc706_13</vt:lpstr>
      <vt:lpstr>vpc706_14_1</vt:lpstr>
      <vt:lpstr>vpc706_14_2</vt:lpstr>
      <vt:lpstr>vpc706_15_1</vt:lpstr>
      <vt:lpstr>vpc706_15_2</vt:lpstr>
      <vt:lpstr>vpc706_2_1</vt:lpstr>
      <vt:lpstr>vpc706_2_2</vt:lpstr>
      <vt:lpstr>vpc706_3</vt:lpstr>
      <vt:lpstr>vpc706_4_1_1</vt:lpstr>
      <vt:lpstr>vpc706_4_1_2</vt:lpstr>
      <vt:lpstr>vpc706_4_2</vt:lpstr>
      <vt:lpstr>vpc706_5_1</vt:lpstr>
      <vt:lpstr>vpc706_5_2</vt:lpstr>
      <vt:lpstr>vpc706_5_3</vt:lpstr>
      <vt:lpstr>vpc706_6</vt:lpstr>
      <vt:lpstr>vpc706_7_1</vt:lpstr>
      <vt:lpstr>vpc706_7_2</vt:lpstr>
      <vt:lpstr>vpc706_8</vt:lpstr>
      <vt:lpstr>vpc706_9</vt:lpstr>
      <vt:lpstr>vpc802_1</vt:lpstr>
      <vt:lpstr>vpc802_1_6</vt:lpstr>
      <vt:lpstr>vpc802_10_1_1</vt:lpstr>
      <vt:lpstr>vpc802_2_1</vt:lpstr>
      <vt:lpstr>vpc802_2_2</vt:lpstr>
      <vt:lpstr>vpc802_3_1_a</vt:lpstr>
      <vt:lpstr>vpc802_3_1_b</vt:lpstr>
      <vt:lpstr>vpc802_3_2_a</vt:lpstr>
      <vt:lpstr>vpc802_3_2_b</vt:lpstr>
      <vt:lpstr>vpc802_4_1</vt:lpstr>
      <vt:lpstr>vpc802_4_2</vt:lpstr>
      <vt:lpstr>vpc802_4_3</vt:lpstr>
      <vt:lpstr>vpc802_5_1a</vt:lpstr>
      <vt:lpstr>vpc802_5_2</vt:lpstr>
      <vt:lpstr>vpc802_5_3</vt:lpstr>
      <vt:lpstr>vpc802_5_4_2</vt:lpstr>
      <vt:lpstr>vpc802_5_4_3</vt:lpstr>
      <vt:lpstr>vpc802_5_4_4_a</vt:lpstr>
      <vt:lpstr>vpc802_5_4_4_b</vt:lpstr>
      <vt:lpstr>vpc802_5_4_4_c</vt:lpstr>
      <vt:lpstr>vpc802_6_2</vt:lpstr>
      <vt:lpstr>vpc802_6_3_1</vt:lpstr>
      <vt:lpstr>vpc802_6_3_2</vt:lpstr>
      <vt:lpstr>vpc802_6_3_3</vt:lpstr>
      <vt:lpstr>vpc802_6_4_1</vt:lpstr>
      <vt:lpstr>vpc802_6_4_2</vt:lpstr>
      <vt:lpstr>vpc802_6_5_1</vt:lpstr>
      <vt:lpstr>vpc802_6_5_2</vt:lpstr>
      <vt:lpstr>vpc802_6_5_3</vt:lpstr>
      <vt:lpstr>vpc802_6_5_4</vt:lpstr>
      <vt:lpstr>vpc802_6_5_5</vt:lpstr>
      <vt:lpstr>vpc802_7_1</vt:lpstr>
      <vt:lpstr>vpc802_7_2</vt:lpstr>
      <vt:lpstr>vpc802_8</vt:lpstr>
      <vt:lpstr>vpc802_9_1</vt:lpstr>
      <vt:lpstr>vpc802_9_2</vt:lpstr>
      <vt:lpstr>vpc803_1</vt:lpstr>
      <vt:lpstr>vpc803_2</vt:lpstr>
      <vt:lpstr>vpc803_3</vt:lpstr>
      <vt:lpstr>vpc803_4</vt:lpstr>
      <vt:lpstr>vpc803_5</vt:lpstr>
      <vt:lpstr>vpc803_6</vt:lpstr>
      <vt:lpstr>vpc804_3</vt:lpstr>
      <vt:lpstr>vpc901_1_1</vt:lpstr>
      <vt:lpstr>vpc901_1_2</vt:lpstr>
      <vt:lpstr>vpc901_1_3_1</vt:lpstr>
      <vt:lpstr>vpc901_1_3_2</vt:lpstr>
      <vt:lpstr>vpc901_1_5</vt:lpstr>
      <vt:lpstr>vpc901_1_6</vt:lpstr>
      <vt:lpstr>vpc901_10</vt:lpstr>
      <vt:lpstr>vpc901_11</vt:lpstr>
      <vt:lpstr>vpc901_12</vt:lpstr>
      <vt:lpstr>vpc901_14</vt:lpstr>
      <vt:lpstr>vpc901_15_1</vt:lpstr>
      <vt:lpstr>vpc901_15_2</vt:lpstr>
      <vt:lpstr>vpc901_2_1_1</vt:lpstr>
      <vt:lpstr>vpc901_2_1_2</vt:lpstr>
      <vt:lpstr>vpc901_2_1_3</vt:lpstr>
      <vt:lpstr>vpc901_2_1_4</vt:lpstr>
      <vt:lpstr>vpc901_2_1_5</vt:lpstr>
      <vt:lpstr>vpc901_2_2</vt:lpstr>
      <vt:lpstr>vpc901_3_1_a</vt:lpstr>
      <vt:lpstr>vpc901_3_1_b</vt:lpstr>
      <vt:lpstr>vpc901_3_1_c</vt:lpstr>
      <vt:lpstr>vpc901_3_2</vt:lpstr>
      <vt:lpstr>vpc901_4</vt:lpstr>
      <vt:lpstr>vpc901_5_1</vt:lpstr>
      <vt:lpstr>vpc901_5_2</vt:lpstr>
      <vt:lpstr>vpc901_7</vt:lpstr>
      <vt:lpstr>vpc901_8</vt:lpstr>
      <vt:lpstr>vpc901_9_1</vt:lpstr>
      <vt:lpstr>vpc901_9_2</vt:lpstr>
      <vt:lpstr>vpc901_9_3</vt:lpstr>
      <vt:lpstr>vpc902_1_1_a</vt:lpstr>
      <vt:lpstr>vpc902_1_2_</vt:lpstr>
      <vt:lpstr>vpc902_1_3</vt:lpstr>
      <vt:lpstr>vpc902_1_3_</vt:lpstr>
      <vt:lpstr>vpc902_1_4</vt:lpstr>
      <vt:lpstr>vpc902_1_5</vt:lpstr>
      <vt:lpstr>vpc902_1_6</vt:lpstr>
      <vt:lpstr>vpc902_2_1</vt:lpstr>
      <vt:lpstr>vpc902_2_2</vt:lpstr>
      <vt:lpstr>vpc902_2_3</vt:lpstr>
      <vt:lpstr>vpc902_2_4</vt:lpstr>
      <vt:lpstr>vpc902_3_1</vt:lpstr>
      <vt:lpstr>vpc902_3_2</vt:lpstr>
      <vt:lpstr>vpc902_3_2_1</vt:lpstr>
      <vt:lpstr>vpc902_3_2_2</vt:lpstr>
      <vt:lpstr>vpc902_4</vt:lpstr>
      <vt:lpstr>vpc902_5</vt:lpstr>
      <vt:lpstr>vpc903_1</vt:lpstr>
      <vt:lpstr>vpc903_2</vt:lpstr>
      <vt:lpstr>vpc903_3</vt:lpstr>
      <vt:lpstr>vpc904_1</vt:lpstr>
      <vt:lpstr>vpc904_2</vt:lpstr>
      <vt:lpstr>vpc905_1</vt:lpstr>
      <vt:lpstr>vpc905_2</vt:lpstr>
      <vt:lpstr>vpc905_3</vt:lpstr>
      <vt:lpstr>vpc905_4</vt:lpstr>
      <vt:lpstr>vpc905_5</vt:lpstr>
      <vt:lpstr>vpc905_6</vt:lpstr>
      <vt:lpstr>vscAGFloorArea</vt:lpstr>
      <vt:lpstr>vscAttachedGarage</vt:lpstr>
      <vt:lpstr>vscAttic</vt:lpstr>
      <vt:lpstr>vscBuilderName</vt:lpstr>
      <vt:lpstr>vscBuildingCode</vt:lpstr>
      <vt:lpstr>vscCDucts</vt:lpstr>
      <vt:lpstr>vscCity</vt:lpstr>
      <vt:lpstr>vscCommercial</vt:lpstr>
      <vt:lpstr>vscCool1</vt:lpstr>
      <vt:lpstr>vscCool2</vt:lpstr>
      <vt:lpstr>vscCool3</vt:lpstr>
      <vt:lpstr>vscCounty</vt:lpstr>
      <vt:lpstr>vscCToilet</vt:lpstr>
      <vt:lpstr>vscEnergyCode</vt:lpstr>
      <vt:lpstr>vscFloors</vt:lpstr>
      <vt:lpstr>vscFoundation</vt:lpstr>
      <vt:lpstr>vscFuel</vt:lpstr>
      <vt:lpstr>vscHDucts</vt:lpstr>
      <vt:lpstr>vscHomeAddress</vt:lpstr>
      <vt:lpstr>vscHVAC1</vt:lpstr>
      <vt:lpstr>vscHVAC2</vt:lpstr>
      <vt:lpstr>vscHVAC3</vt:lpstr>
      <vt:lpstr>vscLot</vt:lpstr>
      <vt:lpstr>vscMassWalls</vt:lpstr>
      <vt:lpstr>vscPassiveSolar</vt:lpstr>
      <vt:lpstr>vscProjectDesc</vt:lpstr>
      <vt:lpstr>vscProjectName</vt:lpstr>
      <vt:lpstr>vscRadiantHydronic</vt:lpstr>
      <vt:lpstr>vscRecessedLighting</vt:lpstr>
      <vt:lpstr>vscRenewable</vt:lpstr>
      <vt:lpstr>vscSingleOrMulti</vt:lpstr>
      <vt:lpstr>vscsSHGC</vt:lpstr>
      <vt:lpstr>vscState</vt:lpstr>
      <vt:lpstr>vscsUV</vt:lpstr>
      <vt:lpstr>vscTCFloorArea</vt:lpstr>
      <vt:lpstr>vscTEInsulation</vt:lpstr>
      <vt:lpstr>vscTLWH</vt:lpstr>
      <vt:lpstr>vscUnits</vt:lpstr>
      <vt:lpstr>vscwdSHGC</vt:lpstr>
      <vt:lpstr>vscwdUV</vt:lpstr>
      <vt:lpstr>vscZIP</vt:lpstr>
      <vt:lpstr>vsfAGFloorArea</vt:lpstr>
      <vt:lpstr>vsfAttachedGarage</vt:lpstr>
      <vt:lpstr>vsfAttic</vt:lpstr>
      <vt:lpstr>vsfBuilderName</vt:lpstr>
      <vt:lpstr>vsfBuildingCode</vt:lpstr>
      <vt:lpstr>vsfCDucts</vt:lpstr>
      <vt:lpstr>vsfCity</vt:lpstr>
      <vt:lpstr>vsfCommercial</vt:lpstr>
      <vt:lpstr>vsfCool1</vt:lpstr>
      <vt:lpstr>vsfCool2</vt:lpstr>
      <vt:lpstr>vsfCool3</vt:lpstr>
      <vt:lpstr>vsfCounty</vt:lpstr>
      <vt:lpstr>vsfCToilet</vt:lpstr>
      <vt:lpstr>vsfElevation</vt:lpstr>
      <vt:lpstr>vsfEnergyCode</vt:lpstr>
      <vt:lpstr>vsfFloors</vt:lpstr>
      <vt:lpstr>vsfFoundation</vt:lpstr>
      <vt:lpstr>vsfFuel</vt:lpstr>
      <vt:lpstr>vsfHDucts</vt:lpstr>
      <vt:lpstr>vsfHomeAddress</vt:lpstr>
      <vt:lpstr>vsfHVAC1</vt:lpstr>
      <vt:lpstr>vsfHVAC2</vt:lpstr>
      <vt:lpstr>vsfHVAC3</vt:lpstr>
      <vt:lpstr>vsfLot</vt:lpstr>
      <vt:lpstr>vsfMassWalls</vt:lpstr>
      <vt:lpstr>vsfPassiveSolar</vt:lpstr>
      <vt:lpstr>vsfProjectDesc</vt:lpstr>
      <vt:lpstr>vsfProjectID</vt:lpstr>
      <vt:lpstr>vsfProjectName</vt:lpstr>
      <vt:lpstr>vsfRadiantHydronic</vt:lpstr>
      <vt:lpstr>vsfRecessedLighting</vt:lpstr>
      <vt:lpstr>vsfRenewable</vt:lpstr>
      <vt:lpstr>vsfSingleOrMulti</vt:lpstr>
      <vt:lpstr>vsfsSHGC</vt:lpstr>
      <vt:lpstr>vsfState</vt:lpstr>
      <vt:lpstr>vsfsUV</vt:lpstr>
      <vt:lpstr>vsfTCFloorArea</vt:lpstr>
      <vt:lpstr>vsfTEInsulation</vt:lpstr>
      <vt:lpstr>vsfTLWH</vt:lpstr>
      <vt:lpstr>vsfUnits</vt:lpstr>
      <vt:lpstr>vsfwdSHGC</vt:lpstr>
      <vt:lpstr>vsfwdUV</vt:lpstr>
      <vt:lpstr>vsfZIP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Stair</dc:creator>
  <cp:lastModifiedBy>Cindy Wasser</cp:lastModifiedBy>
  <cp:lastPrinted>2020-08-20T01:37:18Z</cp:lastPrinted>
  <dcterms:created xsi:type="dcterms:W3CDTF">2015-10-15T15:17:45Z</dcterms:created>
  <dcterms:modified xsi:type="dcterms:W3CDTF">2023-05-31T16:58:24Z</dcterms:modified>
</cp:coreProperties>
</file>